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oheili\گزارش کل پروانه های صادراتی\"/>
    </mc:Choice>
  </mc:AlternateContent>
  <bookViews>
    <workbookView minimized="1" xWindow="360" yWindow="75" windowWidth="17160" windowHeight="6210"/>
  </bookViews>
  <sheets>
    <sheet name="اصلی" sheetId="1" r:id="rId1"/>
    <sheet name="شرکتها" sheetId="3" r:id="rId2"/>
    <sheet name="ش.ق" sheetId="6" r:id="rId3"/>
    <sheet name="Sheet1" sheetId="7" r:id="rId4"/>
    <sheet name="Sheet2" sheetId="8" r:id="rId5"/>
    <sheet name="Sheet3" sheetId="9" r:id="rId6"/>
  </sheets>
  <definedNames>
    <definedName name="_xlnm._FilterDatabase" localSheetId="0" hidden="1">اصلی!$A$1:$Q$6436</definedName>
    <definedName name="_xlnm._FilterDatabase" localSheetId="2" hidden="1">ش.ق!$A$1:$M$1</definedName>
    <definedName name="_xlnm._FilterDatabase" localSheetId="1" hidden="1">شرکتها!$A$1:$C$11718</definedName>
    <definedName name="_xlnm.Print_Area" localSheetId="0">اصلی!$A$1:$F$924</definedName>
  </definedNames>
  <calcPr calcId="162913"/>
</workbook>
</file>

<file path=xl/calcChain.xml><?xml version="1.0" encoding="utf-8"?>
<calcChain xmlns="http://schemas.openxmlformats.org/spreadsheetml/2006/main">
  <c r="H6387" i="1" l="1"/>
  <c r="J6387" i="1"/>
  <c r="H6388" i="1"/>
  <c r="J6388" i="1"/>
  <c r="H6389" i="1"/>
  <c r="J6389" i="1"/>
  <c r="H6390" i="1"/>
  <c r="J6390" i="1"/>
  <c r="H6391" i="1"/>
  <c r="J6391" i="1"/>
  <c r="H6392" i="1"/>
  <c r="H6393" i="1"/>
  <c r="H6394" i="1"/>
  <c r="J6394" i="1"/>
  <c r="H6395" i="1"/>
  <c r="H6396" i="1"/>
  <c r="J6396" i="1"/>
  <c r="H6397" i="1"/>
  <c r="J6397" i="1"/>
  <c r="H6398" i="1"/>
  <c r="J6398" i="1"/>
  <c r="H6399" i="1"/>
  <c r="J6399" i="1"/>
  <c r="H6400" i="1"/>
  <c r="J6400" i="1"/>
  <c r="H6401" i="1"/>
  <c r="H6402" i="1"/>
  <c r="H6403" i="1"/>
  <c r="H6404" i="1"/>
  <c r="J6404" i="1"/>
  <c r="H6405" i="1"/>
  <c r="H6406" i="1"/>
  <c r="H6407" i="1"/>
  <c r="H6408" i="1"/>
  <c r="H6409" i="1"/>
  <c r="J6409" i="1"/>
  <c r="H6410" i="1"/>
  <c r="J6410" i="1"/>
  <c r="H6411" i="1"/>
  <c r="J6411" i="1"/>
  <c r="H6412" i="1"/>
  <c r="H6413" i="1"/>
  <c r="J6413" i="1"/>
  <c r="H6414" i="1"/>
  <c r="H6415" i="1"/>
  <c r="H6416" i="1"/>
  <c r="H6417" i="1"/>
  <c r="J6417" i="1"/>
  <c r="H6418" i="1"/>
  <c r="J6418" i="1"/>
  <c r="H6419" i="1"/>
  <c r="H6420" i="1"/>
  <c r="J6420" i="1"/>
  <c r="H6421" i="1"/>
  <c r="H6422" i="1"/>
  <c r="H6423" i="1"/>
  <c r="J6423" i="1"/>
  <c r="H6424" i="1"/>
  <c r="J6424" i="1"/>
  <c r="H6425" i="1"/>
  <c r="H6426" i="1"/>
  <c r="J6426" i="1"/>
  <c r="H6427" i="1"/>
  <c r="H6428" i="1"/>
  <c r="J6428" i="1"/>
  <c r="H6429" i="1"/>
  <c r="J6429" i="1"/>
  <c r="H6430" i="1"/>
  <c r="J6430" i="1"/>
  <c r="H6431" i="1"/>
  <c r="J6431" i="1"/>
  <c r="H6432" i="1"/>
  <c r="J6432" i="1"/>
  <c r="H6433" i="1"/>
  <c r="H6434" i="1"/>
  <c r="H6435" i="1"/>
  <c r="H6436" i="1"/>
  <c r="N6436" i="1"/>
  <c r="L6436" i="1"/>
  <c r="B6436" i="1"/>
  <c r="A6436" i="1"/>
  <c r="N6435" i="1"/>
  <c r="L6435" i="1"/>
  <c r="B6435" i="1"/>
  <c r="A6435" i="1"/>
  <c r="N6434" i="1"/>
  <c r="L6434" i="1"/>
  <c r="B6434" i="1"/>
  <c r="A6434" i="1"/>
  <c r="N6433" i="1"/>
  <c r="L6433" i="1"/>
  <c r="B6433" i="1"/>
  <c r="A6433" i="1"/>
  <c r="N6432" i="1"/>
  <c r="L6432" i="1"/>
  <c r="B6432" i="1"/>
  <c r="A6432" i="1"/>
  <c r="N6431" i="1"/>
  <c r="L6431" i="1"/>
  <c r="B6431" i="1"/>
  <c r="A6431" i="1"/>
  <c r="N6430" i="1"/>
  <c r="L6430" i="1"/>
  <c r="B6430" i="1"/>
  <c r="A6430" i="1"/>
  <c r="N6429" i="1"/>
  <c r="L6429" i="1"/>
  <c r="B6429" i="1"/>
  <c r="A6429" i="1"/>
  <c r="N6428" i="1"/>
  <c r="L6428" i="1"/>
  <c r="B6428" i="1"/>
  <c r="A6428" i="1"/>
  <c r="N6427" i="1"/>
  <c r="L6427" i="1"/>
  <c r="B6427" i="1"/>
  <c r="A6427" i="1"/>
  <c r="N6426" i="1"/>
  <c r="L6426" i="1"/>
  <c r="B6426" i="1"/>
  <c r="A6426" i="1"/>
  <c r="N6425" i="1"/>
  <c r="L6425" i="1"/>
  <c r="B6425" i="1"/>
  <c r="A6425" i="1"/>
  <c r="N6424" i="1"/>
  <c r="L6424" i="1"/>
  <c r="B6424" i="1"/>
  <c r="A6424" i="1"/>
  <c r="N6423" i="1"/>
  <c r="L6423" i="1"/>
  <c r="B6423" i="1"/>
  <c r="A6423" i="1"/>
  <c r="N6422" i="1"/>
  <c r="L6422" i="1"/>
  <c r="B6422" i="1"/>
  <c r="A6422" i="1"/>
  <c r="N6421" i="1"/>
  <c r="L6421" i="1"/>
  <c r="B6421" i="1"/>
  <c r="A6421" i="1"/>
  <c r="N6420" i="1"/>
  <c r="L6420" i="1"/>
  <c r="B6420" i="1"/>
  <c r="A6420" i="1"/>
  <c r="N6419" i="1"/>
  <c r="L6419" i="1"/>
  <c r="B6419" i="1"/>
  <c r="A6419" i="1"/>
  <c r="N6418" i="1"/>
  <c r="L6418" i="1"/>
  <c r="B6418" i="1"/>
  <c r="A6418" i="1"/>
  <c r="N6417" i="1"/>
  <c r="L6417" i="1"/>
  <c r="B6417" i="1"/>
  <c r="A6417" i="1"/>
  <c r="N6416" i="1"/>
  <c r="L6416" i="1"/>
  <c r="B6416" i="1"/>
  <c r="A6416" i="1"/>
  <c r="N6415" i="1"/>
  <c r="L6415" i="1"/>
  <c r="B6415" i="1"/>
  <c r="A6415" i="1"/>
  <c r="N6414" i="1"/>
  <c r="L6414" i="1"/>
  <c r="B6414" i="1"/>
  <c r="A6414" i="1"/>
  <c r="N6413" i="1"/>
  <c r="L6413" i="1"/>
  <c r="B6413" i="1"/>
  <c r="A6413" i="1"/>
  <c r="N6412" i="1"/>
  <c r="L6412" i="1"/>
  <c r="B6412" i="1"/>
  <c r="A6412" i="1"/>
  <c r="N6411" i="1"/>
  <c r="L6411" i="1"/>
  <c r="B6411" i="1"/>
  <c r="A6411" i="1"/>
  <c r="N6410" i="1"/>
  <c r="L6410" i="1"/>
  <c r="B6410" i="1"/>
  <c r="A6410" i="1"/>
  <c r="N6409" i="1"/>
  <c r="L6409" i="1"/>
  <c r="B6409" i="1"/>
  <c r="A6409" i="1"/>
  <c r="N6408" i="1"/>
  <c r="L6408" i="1"/>
  <c r="B6408" i="1"/>
  <c r="A6408" i="1"/>
  <c r="N6407" i="1"/>
  <c r="L6407" i="1"/>
  <c r="B6407" i="1"/>
  <c r="A6407" i="1"/>
  <c r="N6406" i="1"/>
  <c r="L6406" i="1"/>
  <c r="B6406" i="1"/>
  <c r="A6406" i="1"/>
  <c r="N6405" i="1"/>
  <c r="L6405" i="1"/>
  <c r="B6405" i="1"/>
  <c r="A6405" i="1"/>
  <c r="N6404" i="1"/>
  <c r="L6404" i="1"/>
  <c r="B6404" i="1"/>
  <c r="A6404" i="1"/>
  <c r="N6403" i="1"/>
  <c r="L6403" i="1"/>
  <c r="B6403" i="1"/>
  <c r="A6403" i="1"/>
  <c r="N6402" i="1"/>
  <c r="L6402" i="1"/>
  <c r="B6402" i="1"/>
  <c r="A6402" i="1"/>
  <c r="N6401" i="1"/>
  <c r="L6401" i="1"/>
  <c r="B6401" i="1"/>
  <c r="A6401" i="1"/>
  <c r="N6400" i="1"/>
  <c r="L6400" i="1"/>
  <c r="B6400" i="1"/>
  <c r="A6400" i="1"/>
  <c r="N6397" i="1"/>
  <c r="L6397" i="1"/>
  <c r="B6397" i="1"/>
  <c r="A6397" i="1"/>
  <c r="N6396" i="1"/>
  <c r="L6396" i="1"/>
  <c r="B6396" i="1"/>
  <c r="A6396" i="1"/>
  <c r="N6395" i="1"/>
  <c r="L6395" i="1"/>
  <c r="B6395" i="1"/>
  <c r="A6395" i="1"/>
  <c r="N6394" i="1"/>
  <c r="L6394" i="1"/>
  <c r="B6394" i="1"/>
  <c r="A6394" i="1"/>
  <c r="N6393" i="1"/>
  <c r="L6393" i="1"/>
  <c r="B6393" i="1"/>
  <c r="A6393" i="1"/>
  <c r="N6392" i="1"/>
  <c r="L6392" i="1"/>
  <c r="B6392" i="1"/>
  <c r="A6392" i="1"/>
  <c r="N6391" i="1"/>
  <c r="L6391" i="1"/>
  <c r="B6391" i="1"/>
  <c r="A6391" i="1"/>
  <c r="N6390" i="1"/>
  <c r="L6390" i="1"/>
  <c r="B6390" i="1"/>
  <c r="A6390" i="1"/>
  <c r="N6389" i="1"/>
  <c r="L6389" i="1"/>
  <c r="B6389" i="1"/>
  <c r="A6389" i="1"/>
  <c r="N6388" i="1"/>
  <c r="L6388" i="1"/>
  <c r="B6388" i="1"/>
  <c r="A6388" i="1"/>
  <c r="N6387" i="1"/>
  <c r="L6387" i="1"/>
  <c r="B6387" i="1"/>
  <c r="A6387" i="1"/>
  <c r="H6344" i="1" l="1"/>
  <c r="H6345" i="1"/>
  <c r="H6346" i="1"/>
  <c r="H6347" i="1"/>
  <c r="H6348" i="1"/>
  <c r="H6349" i="1"/>
  <c r="H6350" i="1"/>
  <c r="J6350" i="1"/>
  <c r="H6351" i="1"/>
  <c r="H6352" i="1"/>
  <c r="H6353" i="1"/>
  <c r="H6354" i="1"/>
  <c r="H6355" i="1"/>
  <c r="J6355" i="1"/>
  <c r="H6356" i="1"/>
  <c r="H6357" i="1"/>
  <c r="J6357" i="1"/>
  <c r="H6358" i="1"/>
  <c r="J6358" i="1"/>
  <c r="H6359" i="1"/>
  <c r="H6360" i="1"/>
  <c r="H6361" i="1"/>
  <c r="H6362" i="1"/>
  <c r="H6363" i="1"/>
  <c r="H6364" i="1"/>
  <c r="H6365" i="1"/>
  <c r="J6365" i="1"/>
  <c r="H6366" i="1"/>
  <c r="H6367" i="1"/>
  <c r="H6368" i="1"/>
  <c r="H6369" i="1"/>
  <c r="J6369" i="1"/>
  <c r="H6370" i="1"/>
  <c r="J6370" i="1"/>
  <c r="H6371" i="1"/>
  <c r="H6372" i="1"/>
  <c r="H6373" i="1"/>
  <c r="H6374" i="1"/>
  <c r="H6375" i="1"/>
  <c r="H6376" i="1"/>
  <c r="H6377" i="1"/>
  <c r="J6377" i="1"/>
  <c r="H6378" i="1"/>
  <c r="H6379" i="1"/>
  <c r="H6380" i="1"/>
  <c r="H6381" i="1"/>
  <c r="H6382" i="1"/>
  <c r="H6383" i="1"/>
  <c r="J6383" i="1"/>
  <c r="H6384" i="1"/>
  <c r="J6384" i="1"/>
  <c r="H6385" i="1"/>
  <c r="H6386" i="1"/>
  <c r="J6386" i="1"/>
  <c r="P6378" i="1"/>
  <c r="L6378" i="1"/>
  <c r="B6378" i="1"/>
  <c r="A6378" i="1"/>
  <c r="P6377" i="1"/>
  <c r="L6377" i="1"/>
  <c r="B6377" i="1"/>
  <c r="A6377" i="1"/>
  <c r="P6376" i="1"/>
  <c r="L6376" i="1"/>
  <c r="B6376" i="1"/>
  <c r="A6376" i="1"/>
  <c r="P6375" i="1"/>
  <c r="L6375" i="1"/>
  <c r="B6375" i="1"/>
  <c r="A6375" i="1"/>
  <c r="P6374" i="1"/>
  <c r="L6374" i="1"/>
  <c r="B6374" i="1"/>
  <c r="A6374" i="1"/>
  <c r="P6373" i="1"/>
  <c r="L6373" i="1"/>
  <c r="B6373" i="1"/>
  <c r="A6373" i="1"/>
  <c r="L6372" i="1"/>
  <c r="B6372" i="1"/>
  <c r="A6372" i="1"/>
  <c r="L6371" i="1"/>
  <c r="B6371" i="1"/>
  <c r="A6371" i="1"/>
  <c r="P6370" i="1"/>
  <c r="L6370" i="1"/>
  <c r="B6370" i="1"/>
  <c r="A6370" i="1"/>
  <c r="L6369" i="1"/>
  <c r="B6369" i="1"/>
  <c r="A6369" i="1"/>
  <c r="P6368" i="1"/>
  <c r="L6368" i="1"/>
  <c r="B6368" i="1"/>
  <c r="A6368" i="1"/>
  <c r="P6367" i="1"/>
  <c r="L6367" i="1"/>
  <c r="B6367" i="1"/>
  <c r="A6367" i="1"/>
  <c r="L6366" i="1"/>
  <c r="B6366" i="1"/>
  <c r="A6366" i="1"/>
  <c r="P6365" i="1"/>
  <c r="L6365" i="1"/>
  <c r="B6365" i="1"/>
  <c r="A6365" i="1"/>
  <c r="P6364" i="1"/>
  <c r="L6364" i="1"/>
  <c r="B6364" i="1"/>
  <c r="A6364" i="1"/>
  <c r="P6363" i="1"/>
  <c r="L6363" i="1"/>
  <c r="B6363" i="1"/>
  <c r="A6363" i="1"/>
  <c r="P6362" i="1"/>
  <c r="L6362" i="1"/>
  <c r="B6362" i="1"/>
  <c r="A6362" i="1"/>
  <c r="P6361" i="1"/>
  <c r="L6361" i="1"/>
  <c r="B6361" i="1"/>
  <c r="A6361" i="1"/>
  <c r="P6360" i="1"/>
  <c r="L6360" i="1"/>
  <c r="B6360" i="1"/>
  <c r="A6360" i="1"/>
  <c r="P6359" i="1"/>
  <c r="L6359" i="1"/>
  <c r="B6359" i="1"/>
  <c r="A6359" i="1"/>
  <c r="P6358" i="1"/>
  <c r="L6358" i="1"/>
  <c r="B6358" i="1"/>
  <c r="A6358" i="1"/>
  <c r="P6357" i="1"/>
  <c r="L6357" i="1"/>
  <c r="B6357" i="1"/>
  <c r="A6357" i="1"/>
  <c r="P6356" i="1"/>
  <c r="L6356" i="1"/>
  <c r="B6356" i="1"/>
  <c r="A6356" i="1"/>
  <c r="P6355" i="1"/>
  <c r="L6355" i="1"/>
  <c r="B6355" i="1"/>
  <c r="A6355" i="1"/>
  <c r="P6354" i="1"/>
  <c r="L6354" i="1"/>
  <c r="B6354" i="1"/>
  <c r="A6354" i="1"/>
  <c r="P6353" i="1"/>
  <c r="L6353" i="1"/>
  <c r="B6353" i="1"/>
  <c r="A6353" i="1"/>
  <c r="P6352" i="1"/>
  <c r="L6352" i="1"/>
  <c r="B6352" i="1"/>
  <c r="A6352" i="1"/>
  <c r="P6351" i="1"/>
  <c r="L6351" i="1"/>
  <c r="B6351" i="1"/>
  <c r="A6351" i="1"/>
  <c r="P6350" i="1"/>
  <c r="L6350" i="1"/>
  <c r="B6350" i="1"/>
  <c r="A6350" i="1"/>
  <c r="P6349" i="1"/>
  <c r="L6349" i="1"/>
  <c r="B6349" i="1"/>
  <c r="A6349" i="1"/>
  <c r="P6348" i="1"/>
  <c r="L6348" i="1"/>
  <c r="B6348" i="1"/>
  <c r="A6348" i="1"/>
  <c r="P6347" i="1"/>
  <c r="L6347" i="1"/>
  <c r="B6347" i="1"/>
  <c r="A6347" i="1"/>
  <c r="P6346" i="1"/>
  <c r="L6346" i="1"/>
  <c r="B6346" i="1"/>
  <c r="A6346" i="1"/>
  <c r="P6345" i="1"/>
  <c r="L6345" i="1"/>
  <c r="B6345" i="1"/>
  <c r="A6345" i="1"/>
  <c r="P6344" i="1"/>
  <c r="L6344" i="1"/>
  <c r="B6344" i="1"/>
  <c r="A6344" i="1"/>
  <c r="H6293" i="1" l="1"/>
  <c r="H6294" i="1"/>
  <c r="H6295" i="1"/>
  <c r="J6295" i="1"/>
  <c r="H6296" i="1"/>
  <c r="J6296" i="1"/>
  <c r="H6297" i="1"/>
  <c r="H6298" i="1"/>
  <c r="H6299" i="1"/>
  <c r="H6300" i="1"/>
  <c r="J6300" i="1"/>
  <c r="H6301" i="1"/>
  <c r="H6302" i="1"/>
  <c r="H6303" i="1"/>
  <c r="J6303" i="1"/>
  <c r="H6304" i="1"/>
  <c r="J6304" i="1"/>
  <c r="H6305" i="1"/>
  <c r="H6306" i="1"/>
  <c r="J6306" i="1"/>
  <c r="H6307" i="1"/>
  <c r="H6308" i="1"/>
  <c r="H6309" i="1"/>
  <c r="H6310" i="1"/>
  <c r="J6310" i="1"/>
  <c r="H6311" i="1"/>
  <c r="H6312" i="1"/>
  <c r="H6313" i="1"/>
  <c r="J6313" i="1"/>
  <c r="H6314" i="1"/>
  <c r="J6314" i="1"/>
  <c r="H6315" i="1"/>
  <c r="J6315" i="1"/>
  <c r="H6316" i="1"/>
  <c r="J6316" i="1"/>
  <c r="H6317" i="1"/>
  <c r="J6317" i="1"/>
  <c r="H6318" i="1"/>
  <c r="H6319" i="1"/>
  <c r="H6320" i="1"/>
  <c r="J6320" i="1"/>
  <c r="H6321" i="1"/>
  <c r="J6321" i="1"/>
  <c r="H6322" i="1"/>
  <c r="J6322" i="1"/>
  <c r="H6323" i="1"/>
  <c r="H6324" i="1"/>
  <c r="J6324" i="1"/>
  <c r="H6325" i="1"/>
  <c r="H6326" i="1"/>
  <c r="H6327" i="1"/>
  <c r="J6327" i="1"/>
  <c r="H6328" i="1"/>
  <c r="J6328" i="1"/>
  <c r="H6329" i="1"/>
  <c r="J6329" i="1"/>
  <c r="H6330" i="1"/>
  <c r="J6330" i="1"/>
  <c r="H6331" i="1"/>
  <c r="J6331" i="1"/>
  <c r="H6332" i="1"/>
  <c r="H6333" i="1"/>
  <c r="H6334" i="1"/>
  <c r="H6335" i="1"/>
  <c r="J6335" i="1"/>
  <c r="H6336" i="1"/>
  <c r="J6336" i="1"/>
  <c r="H6337" i="1"/>
  <c r="H6338" i="1"/>
  <c r="H6339" i="1"/>
  <c r="H6340" i="1"/>
  <c r="H6341" i="1"/>
  <c r="H6342" i="1"/>
  <c r="H6343" i="1"/>
  <c r="P6343" i="1"/>
  <c r="N6343" i="1"/>
  <c r="M6343" i="1"/>
  <c r="L6343" i="1"/>
  <c r="G6343" i="1"/>
  <c r="B6343" i="1"/>
  <c r="A6343" i="1"/>
  <c r="P6342" i="1"/>
  <c r="N6342" i="1"/>
  <c r="M6342" i="1"/>
  <c r="L6342" i="1"/>
  <c r="G6342" i="1"/>
  <c r="B6342" i="1"/>
  <c r="A6342" i="1"/>
  <c r="P6341" i="1"/>
  <c r="N6341" i="1"/>
  <c r="M6341" i="1"/>
  <c r="L6341" i="1"/>
  <c r="G6341" i="1"/>
  <c r="B6341" i="1"/>
  <c r="A6341" i="1"/>
  <c r="P6340" i="1"/>
  <c r="N6340" i="1"/>
  <c r="M6340" i="1"/>
  <c r="L6340" i="1"/>
  <c r="G6340" i="1"/>
  <c r="B6340" i="1"/>
  <c r="A6340" i="1"/>
  <c r="P6339" i="1"/>
  <c r="N6339" i="1"/>
  <c r="M6339" i="1"/>
  <c r="L6339" i="1"/>
  <c r="G6339" i="1"/>
  <c r="B6339" i="1"/>
  <c r="A6339" i="1"/>
  <c r="P6338" i="1"/>
  <c r="N6338" i="1"/>
  <c r="M6338" i="1"/>
  <c r="L6338" i="1"/>
  <c r="G6338" i="1"/>
  <c r="B6338" i="1"/>
  <c r="A6338" i="1"/>
  <c r="P6337" i="1"/>
  <c r="N6337" i="1"/>
  <c r="M6337" i="1"/>
  <c r="L6337" i="1"/>
  <c r="G6337" i="1"/>
  <c r="B6337" i="1"/>
  <c r="A6337" i="1"/>
  <c r="P6316" i="1"/>
  <c r="N6316" i="1"/>
  <c r="M6316" i="1"/>
  <c r="L6316" i="1"/>
  <c r="G6316" i="1"/>
  <c r="B6316" i="1"/>
  <c r="A6316" i="1"/>
  <c r="P6315" i="1"/>
  <c r="N6315" i="1"/>
  <c r="M6315" i="1"/>
  <c r="L6315" i="1"/>
  <c r="G6315" i="1"/>
  <c r="B6315" i="1"/>
  <c r="A6315" i="1"/>
  <c r="P6314" i="1"/>
  <c r="N6314" i="1"/>
  <c r="M6314" i="1"/>
  <c r="L6314" i="1"/>
  <c r="G6314" i="1"/>
  <c r="B6314" i="1"/>
  <c r="A6314" i="1"/>
  <c r="P6313" i="1"/>
  <c r="N6313" i="1"/>
  <c r="M6313" i="1"/>
  <c r="L6313" i="1"/>
  <c r="G6313" i="1"/>
  <c r="B6313" i="1"/>
  <c r="A6313" i="1"/>
  <c r="P6312" i="1"/>
  <c r="N6312" i="1"/>
  <c r="M6312" i="1"/>
  <c r="L6312" i="1"/>
  <c r="G6312" i="1"/>
  <c r="B6312" i="1"/>
  <c r="A6312" i="1"/>
  <c r="P6311" i="1"/>
  <c r="N6311" i="1"/>
  <c r="M6311" i="1"/>
  <c r="L6311" i="1"/>
  <c r="G6311" i="1"/>
  <c r="B6311" i="1"/>
  <c r="A6311" i="1"/>
  <c r="P6310" i="1"/>
  <c r="N6310" i="1"/>
  <c r="M6310" i="1"/>
  <c r="L6310" i="1"/>
  <c r="G6310" i="1"/>
  <c r="B6310" i="1"/>
  <c r="A6310" i="1"/>
  <c r="P6309" i="1"/>
  <c r="N6309" i="1"/>
  <c r="M6309" i="1"/>
  <c r="L6309" i="1"/>
  <c r="G6309" i="1"/>
  <c r="B6309" i="1"/>
  <c r="A6309" i="1"/>
  <c r="P6308" i="1"/>
  <c r="N6308" i="1"/>
  <c r="M6308" i="1"/>
  <c r="L6308" i="1"/>
  <c r="G6308" i="1"/>
  <c r="B6308" i="1"/>
  <c r="A6308" i="1"/>
  <c r="P6307" i="1"/>
  <c r="N6307" i="1"/>
  <c r="M6307" i="1"/>
  <c r="L6307" i="1"/>
  <c r="G6307" i="1"/>
  <c r="B6307" i="1"/>
  <c r="A6307" i="1"/>
  <c r="P6306" i="1"/>
  <c r="N6306" i="1"/>
  <c r="M6306" i="1"/>
  <c r="L6306" i="1"/>
  <c r="G6306" i="1"/>
  <c r="B6306" i="1"/>
  <c r="A6306" i="1"/>
  <c r="P6305" i="1"/>
  <c r="N6305" i="1"/>
  <c r="M6305" i="1"/>
  <c r="L6305" i="1"/>
  <c r="G6305" i="1"/>
  <c r="B6305" i="1"/>
  <c r="A6305" i="1"/>
  <c r="P6304" i="1"/>
  <c r="N6304" i="1"/>
  <c r="M6304" i="1"/>
  <c r="L6304" i="1"/>
  <c r="G6304" i="1"/>
  <c r="B6304" i="1"/>
  <c r="A6304" i="1"/>
  <c r="N6303" i="1"/>
  <c r="M6303" i="1"/>
  <c r="L6303" i="1"/>
  <c r="G6303" i="1"/>
  <c r="B6303" i="1"/>
  <c r="A6303" i="1"/>
  <c r="P6302" i="1"/>
  <c r="N6302" i="1"/>
  <c r="M6302" i="1"/>
  <c r="L6302" i="1"/>
  <c r="G6302" i="1"/>
  <c r="B6302" i="1"/>
  <c r="A6302" i="1"/>
  <c r="P6301" i="1"/>
  <c r="N6301" i="1"/>
  <c r="M6301" i="1"/>
  <c r="L6301" i="1"/>
  <c r="G6301" i="1"/>
  <c r="B6301" i="1"/>
  <c r="A6301" i="1"/>
  <c r="P6300" i="1"/>
  <c r="N6300" i="1"/>
  <c r="M6300" i="1"/>
  <c r="L6300" i="1"/>
  <c r="G6300" i="1"/>
  <c r="B6300" i="1"/>
  <c r="A6300" i="1"/>
  <c r="N6299" i="1"/>
  <c r="M6299" i="1"/>
  <c r="L6299" i="1"/>
  <c r="G6299" i="1"/>
  <c r="B6299" i="1"/>
  <c r="A6299" i="1"/>
  <c r="P6298" i="1"/>
  <c r="N6298" i="1"/>
  <c r="M6298" i="1"/>
  <c r="L6298" i="1"/>
  <c r="G6298" i="1"/>
  <c r="B6298" i="1"/>
  <c r="A6298" i="1"/>
  <c r="P6297" i="1"/>
  <c r="N6297" i="1"/>
  <c r="M6297" i="1"/>
  <c r="L6297" i="1"/>
  <c r="G6297" i="1"/>
  <c r="B6297" i="1"/>
  <c r="A6297" i="1"/>
  <c r="P6296" i="1"/>
  <c r="N6296" i="1"/>
  <c r="M6296" i="1"/>
  <c r="L6296" i="1"/>
  <c r="G6296" i="1"/>
  <c r="B6296" i="1"/>
  <c r="A6296" i="1"/>
  <c r="P6295" i="1"/>
  <c r="N6295" i="1"/>
  <c r="M6295" i="1"/>
  <c r="L6295" i="1"/>
  <c r="G6295" i="1"/>
  <c r="B6295" i="1"/>
  <c r="A6295" i="1"/>
  <c r="P6294" i="1"/>
  <c r="N6294" i="1"/>
  <c r="M6294" i="1"/>
  <c r="L6294" i="1"/>
  <c r="G6294" i="1"/>
  <c r="B6294" i="1"/>
  <c r="A6294" i="1"/>
  <c r="P6293" i="1"/>
  <c r="N6293" i="1"/>
  <c r="M6293" i="1"/>
  <c r="L6293" i="1"/>
  <c r="G6293" i="1"/>
  <c r="B6293" i="1"/>
  <c r="A6293" i="1"/>
  <c r="H6269" i="1" l="1"/>
  <c r="H6270" i="1"/>
  <c r="J6270" i="1"/>
  <c r="H6271" i="1"/>
  <c r="J6271" i="1"/>
  <c r="H6272" i="1"/>
  <c r="H6273" i="1"/>
  <c r="H6274" i="1"/>
  <c r="H6275" i="1"/>
  <c r="H6276" i="1"/>
  <c r="H6277" i="1"/>
  <c r="H6278" i="1"/>
  <c r="H6279" i="1"/>
  <c r="J6279" i="1"/>
  <c r="H6280" i="1"/>
  <c r="H6281" i="1"/>
  <c r="H6282" i="1"/>
  <c r="H6283" i="1"/>
  <c r="H6284" i="1"/>
  <c r="H6285" i="1"/>
  <c r="H6286" i="1"/>
  <c r="J6286" i="1"/>
  <c r="H6287" i="1"/>
  <c r="H6288" i="1"/>
  <c r="H6289" i="1"/>
  <c r="H6290" i="1"/>
  <c r="H6291" i="1"/>
  <c r="H6292" i="1"/>
  <c r="H6230" i="1"/>
  <c r="J6230" i="1"/>
  <c r="H6231" i="1"/>
  <c r="H6232" i="1"/>
  <c r="J6232" i="1"/>
  <c r="H6233" i="1"/>
  <c r="H6234" i="1"/>
  <c r="H6235" i="1"/>
  <c r="H6236" i="1"/>
  <c r="H6237" i="1"/>
  <c r="H6238" i="1"/>
  <c r="H6239" i="1"/>
  <c r="H6240" i="1"/>
  <c r="H6241" i="1"/>
  <c r="J6241" i="1"/>
  <c r="H6242" i="1"/>
  <c r="H6243" i="1"/>
  <c r="J6243" i="1"/>
  <c r="H6244" i="1"/>
  <c r="H6245" i="1"/>
  <c r="H6246" i="1"/>
  <c r="J6246" i="1"/>
  <c r="H6247" i="1"/>
  <c r="J6247" i="1"/>
  <c r="H6248" i="1"/>
  <c r="H6249" i="1"/>
  <c r="J6249" i="1"/>
  <c r="H6250" i="1"/>
  <c r="H6251" i="1"/>
  <c r="H6252" i="1"/>
  <c r="H6253" i="1"/>
  <c r="H6254" i="1"/>
  <c r="H6255" i="1"/>
  <c r="H6256" i="1"/>
  <c r="H6257" i="1"/>
  <c r="H6258" i="1"/>
  <c r="H6259" i="1"/>
  <c r="H6260" i="1"/>
  <c r="H6261" i="1"/>
  <c r="H6262" i="1"/>
  <c r="H6263" i="1"/>
  <c r="H6264" i="1"/>
  <c r="H6265" i="1"/>
  <c r="H6266" i="1"/>
  <c r="H6267" i="1"/>
  <c r="H6268" i="1"/>
  <c r="H6098" i="1"/>
  <c r="H6099" i="1"/>
  <c r="J6099" i="1"/>
  <c r="H6100" i="1"/>
  <c r="J6100" i="1"/>
  <c r="H6101" i="1"/>
  <c r="H6102" i="1"/>
  <c r="H6103" i="1"/>
  <c r="J6103" i="1"/>
  <c r="H6104" i="1"/>
  <c r="J6104" i="1"/>
  <c r="H6105" i="1"/>
  <c r="H6106" i="1"/>
  <c r="H6107" i="1"/>
  <c r="H6108" i="1"/>
  <c r="H6109" i="1"/>
  <c r="H6110" i="1"/>
  <c r="H6111" i="1"/>
  <c r="H6112" i="1"/>
  <c r="H6113" i="1"/>
  <c r="H6114" i="1"/>
  <c r="H6115" i="1"/>
  <c r="H6116" i="1"/>
  <c r="H6117" i="1"/>
  <c r="H6118" i="1"/>
  <c r="J6118" i="1"/>
  <c r="H6119" i="1"/>
  <c r="H6120" i="1"/>
  <c r="H6121" i="1"/>
  <c r="J6121" i="1"/>
  <c r="H6122" i="1"/>
  <c r="J6122" i="1"/>
  <c r="H6123" i="1"/>
  <c r="H6124" i="1"/>
  <c r="J6124" i="1"/>
  <c r="H6125" i="1"/>
  <c r="H6126" i="1"/>
  <c r="H6127" i="1"/>
  <c r="H6128" i="1"/>
  <c r="H6129" i="1"/>
  <c r="H6130" i="1"/>
  <c r="H6131" i="1"/>
  <c r="H6132" i="1"/>
  <c r="J6132" i="1"/>
  <c r="H6133" i="1"/>
  <c r="H6134" i="1"/>
  <c r="H6135" i="1"/>
  <c r="H6136" i="1"/>
  <c r="H6137" i="1"/>
  <c r="H6138" i="1"/>
  <c r="H6139" i="1"/>
  <c r="H6140" i="1"/>
  <c r="H6141" i="1"/>
  <c r="H6142" i="1"/>
  <c r="H6143" i="1"/>
  <c r="H6144" i="1"/>
  <c r="H6145" i="1"/>
  <c r="H6146" i="1"/>
  <c r="H6147" i="1"/>
  <c r="H6148" i="1"/>
  <c r="H6149" i="1"/>
  <c r="H6150" i="1"/>
  <c r="H6151" i="1"/>
  <c r="H6152" i="1"/>
  <c r="H6153" i="1"/>
  <c r="H6154" i="1"/>
  <c r="H6155" i="1"/>
  <c r="H6156" i="1"/>
  <c r="H6157" i="1"/>
  <c r="H6158" i="1"/>
  <c r="H6159" i="1"/>
  <c r="H6160" i="1"/>
  <c r="H6161" i="1"/>
  <c r="H6162" i="1"/>
  <c r="J6162" i="1"/>
  <c r="H6163" i="1"/>
  <c r="H6164" i="1"/>
  <c r="H6165" i="1"/>
  <c r="H6166" i="1"/>
  <c r="H6167" i="1"/>
  <c r="H6168" i="1"/>
  <c r="H6169" i="1"/>
  <c r="H6170" i="1"/>
  <c r="H6171" i="1"/>
  <c r="H6172" i="1"/>
  <c r="H6173" i="1"/>
  <c r="H6174" i="1"/>
  <c r="H6175" i="1"/>
  <c r="H6176" i="1"/>
  <c r="H6177" i="1"/>
  <c r="H6178" i="1"/>
  <c r="H6179" i="1"/>
  <c r="J6179" i="1"/>
  <c r="H6180" i="1"/>
  <c r="H6181" i="1"/>
  <c r="J6181" i="1"/>
  <c r="H6182" i="1"/>
  <c r="H6183" i="1"/>
  <c r="H6184" i="1"/>
  <c r="H6185" i="1"/>
  <c r="H6186" i="1"/>
  <c r="H6187" i="1"/>
  <c r="H6188" i="1"/>
  <c r="H6189" i="1"/>
  <c r="H6190" i="1"/>
  <c r="H6191" i="1"/>
  <c r="H6192" i="1"/>
  <c r="H6193" i="1"/>
  <c r="H6194" i="1"/>
  <c r="H6195" i="1"/>
  <c r="H6196" i="1"/>
  <c r="H6197" i="1"/>
  <c r="J6197" i="1"/>
  <c r="H6198" i="1"/>
  <c r="H6199" i="1"/>
  <c r="H6200" i="1"/>
  <c r="H6201" i="1"/>
  <c r="H6202" i="1"/>
  <c r="H6203" i="1"/>
  <c r="H6204" i="1"/>
  <c r="H6205" i="1"/>
  <c r="H6206" i="1"/>
  <c r="H6207" i="1"/>
  <c r="H6208" i="1"/>
  <c r="H6209" i="1"/>
  <c r="H6210" i="1"/>
  <c r="H6211" i="1"/>
  <c r="H6212" i="1"/>
  <c r="H6213" i="1"/>
  <c r="H6214" i="1"/>
  <c r="H6215" i="1"/>
  <c r="H6216" i="1"/>
  <c r="H6217" i="1"/>
  <c r="H6218" i="1"/>
  <c r="H6219" i="1"/>
  <c r="J6219" i="1"/>
  <c r="H6220" i="1"/>
  <c r="H6221" i="1"/>
  <c r="H6222" i="1"/>
  <c r="H6223" i="1"/>
  <c r="H6224" i="1"/>
  <c r="H6225" i="1"/>
  <c r="H6226" i="1"/>
  <c r="H6227" i="1"/>
  <c r="H6228" i="1"/>
  <c r="H6229" i="1"/>
  <c r="P6208" i="1"/>
  <c r="N6208" i="1"/>
  <c r="M6208" i="1"/>
  <c r="L6208" i="1"/>
  <c r="G6208" i="1"/>
  <c r="B6208" i="1"/>
  <c r="A6208" i="1"/>
  <c r="P6207" i="1"/>
  <c r="N6207" i="1"/>
  <c r="M6207" i="1"/>
  <c r="L6207" i="1"/>
  <c r="G6207" i="1"/>
  <c r="B6207" i="1"/>
  <c r="A6207" i="1"/>
  <c r="P6206" i="1"/>
  <c r="N6206" i="1"/>
  <c r="M6206" i="1"/>
  <c r="L6206" i="1"/>
  <c r="G6206" i="1"/>
  <c r="B6206" i="1"/>
  <c r="A6206" i="1"/>
  <c r="P6205" i="1"/>
  <c r="N6205" i="1"/>
  <c r="M6205" i="1"/>
  <c r="L6205" i="1"/>
  <c r="G6205" i="1"/>
  <c r="B6205" i="1"/>
  <c r="A6205" i="1"/>
  <c r="P6204" i="1"/>
  <c r="N6204" i="1"/>
  <c r="M6204" i="1"/>
  <c r="L6204" i="1"/>
  <c r="G6204" i="1"/>
  <c r="B6204" i="1"/>
  <c r="A6204" i="1"/>
  <c r="P6203" i="1"/>
  <c r="N6203" i="1"/>
  <c r="M6203" i="1"/>
  <c r="L6203" i="1"/>
  <c r="G6203" i="1"/>
  <c r="B6203" i="1"/>
  <c r="A6203" i="1"/>
  <c r="P6202" i="1"/>
  <c r="N6202" i="1"/>
  <c r="M6202" i="1"/>
  <c r="L6202" i="1"/>
  <c r="G6202" i="1"/>
  <c r="B6202" i="1"/>
  <c r="A6202" i="1"/>
  <c r="P6201" i="1"/>
  <c r="N6201" i="1"/>
  <c r="M6201" i="1"/>
  <c r="L6201" i="1"/>
  <c r="G6201" i="1"/>
  <c r="B6201" i="1"/>
  <c r="A6201" i="1"/>
  <c r="P6200" i="1"/>
  <c r="N6200" i="1"/>
  <c r="M6200" i="1"/>
  <c r="L6200" i="1"/>
  <c r="G6200" i="1"/>
  <c r="B6200" i="1"/>
  <c r="A6200" i="1"/>
  <c r="P6199" i="1"/>
  <c r="N6199" i="1"/>
  <c r="M6199" i="1"/>
  <c r="L6199" i="1"/>
  <c r="G6199" i="1"/>
  <c r="B6199" i="1"/>
  <c r="A6199" i="1"/>
  <c r="P6198" i="1"/>
  <c r="N6198" i="1"/>
  <c r="M6198" i="1"/>
  <c r="L6198" i="1"/>
  <c r="G6198" i="1"/>
  <c r="B6198" i="1"/>
  <c r="A6198" i="1"/>
  <c r="P6197" i="1"/>
  <c r="N6197" i="1"/>
  <c r="M6197" i="1"/>
  <c r="L6197" i="1"/>
  <c r="G6197" i="1"/>
  <c r="B6197" i="1"/>
  <c r="A6197" i="1"/>
  <c r="P6196" i="1"/>
  <c r="N6196" i="1"/>
  <c r="M6196" i="1"/>
  <c r="L6196" i="1"/>
  <c r="G6196" i="1"/>
  <c r="B6196" i="1"/>
  <c r="A6196" i="1"/>
  <c r="P6195" i="1"/>
  <c r="N6195" i="1"/>
  <c r="M6195" i="1"/>
  <c r="L6195" i="1"/>
  <c r="G6195" i="1"/>
  <c r="B6195" i="1"/>
  <c r="A6195" i="1"/>
  <c r="P6194" i="1"/>
  <c r="N6194" i="1"/>
  <c r="M6194" i="1"/>
  <c r="L6194" i="1"/>
  <c r="G6194" i="1"/>
  <c r="B6194" i="1"/>
  <c r="A6194" i="1"/>
  <c r="P6193" i="1"/>
  <c r="N6193" i="1"/>
  <c r="M6193" i="1"/>
  <c r="L6193" i="1"/>
  <c r="G6193" i="1"/>
  <c r="B6193" i="1"/>
  <c r="A6193" i="1"/>
  <c r="P6192" i="1"/>
  <c r="N6192" i="1"/>
  <c r="M6192" i="1"/>
  <c r="L6192" i="1"/>
  <c r="G6192" i="1"/>
  <c r="B6192" i="1"/>
  <c r="A6192" i="1"/>
  <c r="P6191" i="1"/>
  <c r="N6191" i="1"/>
  <c r="M6191" i="1"/>
  <c r="L6191" i="1"/>
  <c r="G6191" i="1"/>
  <c r="B6191" i="1"/>
  <c r="A6191" i="1"/>
  <c r="P6190" i="1"/>
  <c r="N6190" i="1"/>
  <c r="M6190" i="1"/>
  <c r="L6190" i="1"/>
  <c r="G6190" i="1"/>
  <c r="B6190" i="1"/>
  <c r="A6190" i="1"/>
  <c r="P6189" i="1"/>
  <c r="N6189" i="1"/>
  <c r="M6189" i="1"/>
  <c r="L6189" i="1"/>
  <c r="G6189" i="1"/>
  <c r="B6189" i="1"/>
  <c r="A6189" i="1"/>
  <c r="P6188" i="1"/>
  <c r="N6188" i="1"/>
  <c r="M6188" i="1"/>
  <c r="L6188" i="1"/>
  <c r="G6188" i="1"/>
  <c r="B6188" i="1"/>
  <c r="A6188" i="1"/>
  <c r="P6187" i="1"/>
  <c r="N6187" i="1"/>
  <c r="M6187" i="1"/>
  <c r="L6187" i="1"/>
  <c r="G6187" i="1"/>
  <c r="B6187" i="1"/>
  <c r="A6187" i="1"/>
  <c r="P6186" i="1"/>
  <c r="N6186" i="1"/>
  <c r="M6186" i="1"/>
  <c r="L6186" i="1"/>
  <c r="G6186" i="1"/>
  <c r="B6186" i="1"/>
  <c r="A6186" i="1"/>
  <c r="P6185" i="1"/>
  <c r="N6185" i="1"/>
  <c r="M6185" i="1"/>
  <c r="L6185" i="1"/>
  <c r="G6185" i="1"/>
  <c r="B6185" i="1"/>
  <c r="A6185" i="1"/>
  <c r="P6184" i="1"/>
  <c r="N6184" i="1"/>
  <c r="M6184" i="1"/>
  <c r="L6184" i="1"/>
  <c r="G6184" i="1"/>
  <c r="B6184" i="1"/>
  <c r="A6184" i="1"/>
  <c r="P6183" i="1"/>
  <c r="N6183" i="1"/>
  <c r="M6183" i="1"/>
  <c r="L6183" i="1"/>
  <c r="G6183" i="1"/>
  <c r="B6183" i="1"/>
  <c r="A6183" i="1"/>
  <c r="P6182" i="1"/>
  <c r="N6182" i="1"/>
  <c r="M6182" i="1"/>
  <c r="L6182" i="1"/>
  <c r="G6182" i="1"/>
  <c r="B6182" i="1"/>
  <c r="A6182" i="1"/>
  <c r="P6181" i="1"/>
  <c r="N6181" i="1"/>
  <c r="M6181" i="1"/>
  <c r="L6181" i="1"/>
  <c r="G6181" i="1"/>
  <c r="B6181" i="1"/>
  <c r="A6181" i="1"/>
  <c r="P6180" i="1"/>
  <c r="N6180" i="1"/>
  <c r="M6180" i="1"/>
  <c r="L6180" i="1"/>
  <c r="G6180" i="1"/>
  <c r="B6180" i="1"/>
  <c r="A6180" i="1"/>
  <c r="P6179" i="1"/>
  <c r="N6179" i="1"/>
  <c r="M6179" i="1"/>
  <c r="L6179" i="1"/>
  <c r="G6179" i="1"/>
  <c r="B6179" i="1"/>
  <c r="A6179" i="1"/>
  <c r="P6178" i="1"/>
  <c r="N6178" i="1"/>
  <c r="M6178" i="1"/>
  <c r="L6178" i="1"/>
  <c r="G6178" i="1"/>
  <c r="B6178" i="1"/>
  <c r="A6178" i="1"/>
  <c r="P6177" i="1"/>
  <c r="N6177" i="1"/>
  <c r="M6177" i="1"/>
  <c r="L6177" i="1"/>
  <c r="G6177" i="1"/>
  <c r="B6177" i="1"/>
  <c r="A6177" i="1"/>
  <c r="P6176" i="1"/>
  <c r="N6176" i="1"/>
  <c r="M6176" i="1"/>
  <c r="L6176" i="1"/>
  <c r="G6176" i="1"/>
  <c r="B6176" i="1"/>
  <c r="A6176" i="1"/>
  <c r="P6175" i="1"/>
  <c r="N6175" i="1"/>
  <c r="M6175" i="1"/>
  <c r="L6175" i="1"/>
  <c r="G6175" i="1"/>
  <c r="B6175" i="1"/>
  <c r="A6175" i="1"/>
  <c r="P6174" i="1"/>
  <c r="N6174" i="1"/>
  <c r="M6174" i="1"/>
  <c r="L6174" i="1"/>
  <c r="G6174" i="1"/>
  <c r="B6174" i="1"/>
  <c r="A6174" i="1"/>
  <c r="P6173" i="1"/>
  <c r="N6173" i="1"/>
  <c r="M6173" i="1"/>
  <c r="L6173" i="1"/>
  <c r="G6173" i="1"/>
  <c r="B6173" i="1"/>
  <c r="A6173" i="1"/>
  <c r="P6172" i="1"/>
  <c r="N6172" i="1"/>
  <c r="M6172" i="1"/>
  <c r="L6172" i="1"/>
  <c r="G6172" i="1"/>
  <c r="B6172" i="1"/>
  <c r="A6172" i="1"/>
  <c r="P6171" i="1"/>
  <c r="N6171" i="1"/>
  <c r="M6171" i="1"/>
  <c r="L6171" i="1"/>
  <c r="G6171" i="1"/>
  <c r="B6171" i="1"/>
  <c r="A6171" i="1"/>
  <c r="P6170" i="1"/>
  <c r="N6170" i="1"/>
  <c r="L6170" i="1"/>
  <c r="G6170" i="1"/>
  <c r="B6170" i="1"/>
  <c r="A6170" i="1"/>
  <c r="P6169" i="1"/>
  <c r="N6169" i="1"/>
  <c r="M6169" i="1"/>
  <c r="L6169" i="1"/>
  <c r="G6169" i="1"/>
  <c r="B6169" i="1"/>
  <c r="A6169" i="1"/>
  <c r="P6168" i="1"/>
  <c r="N6168" i="1"/>
  <c r="M6168" i="1"/>
  <c r="L6168" i="1"/>
  <c r="G6168" i="1"/>
  <c r="B6168" i="1"/>
  <c r="A6168" i="1"/>
  <c r="P6167" i="1"/>
  <c r="N6167" i="1"/>
  <c r="M6167" i="1"/>
  <c r="L6167" i="1"/>
  <c r="G6167" i="1"/>
  <c r="B6167" i="1"/>
  <c r="A6167" i="1"/>
  <c r="P6166" i="1"/>
  <c r="N6166" i="1"/>
  <c r="M6166" i="1"/>
  <c r="L6166" i="1"/>
  <c r="G6166" i="1"/>
  <c r="B6166" i="1"/>
  <c r="A6166" i="1"/>
  <c r="P6165" i="1"/>
  <c r="N6165" i="1"/>
  <c r="M6165" i="1"/>
  <c r="L6165" i="1"/>
  <c r="G6165" i="1"/>
  <c r="B6165" i="1"/>
  <c r="A6165" i="1"/>
  <c r="P6164" i="1"/>
  <c r="N6164" i="1"/>
  <c r="M6164" i="1"/>
  <c r="L6164" i="1"/>
  <c r="G6164" i="1"/>
  <c r="B6164" i="1"/>
  <c r="A6164" i="1"/>
  <c r="P6163" i="1"/>
  <c r="N6163" i="1"/>
  <c r="M6163" i="1"/>
  <c r="L6163" i="1"/>
  <c r="G6163" i="1"/>
  <c r="B6163" i="1"/>
  <c r="A6163" i="1"/>
  <c r="P6162" i="1"/>
  <c r="N6162" i="1"/>
  <c r="M6162" i="1"/>
  <c r="L6162" i="1"/>
  <c r="G6162" i="1"/>
  <c r="B6162" i="1"/>
  <c r="A6162" i="1"/>
  <c r="P6161" i="1"/>
  <c r="N6161" i="1"/>
  <c r="M6161" i="1"/>
  <c r="L6161" i="1"/>
  <c r="G6161" i="1"/>
  <c r="B6161" i="1"/>
  <c r="A6161" i="1"/>
  <c r="P6160" i="1"/>
  <c r="N6160" i="1"/>
  <c r="M6160" i="1"/>
  <c r="L6160" i="1"/>
  <c r="G6160" i="1"/>
  <c r="B6160" i="1"/>
  <c r="A6160" i="1"/>
  <c r="P6159" i="1"/>
  <c r="N6159" i="1"/>
  <c r="M6159" i="1"/>
  <c r="L6159" i="1"/>
  <c r="G6159" i="1"/>
  <c r="B6159" i="1"/>
  <c r="A6159" i="1"/>
  <c r="P6158" i="1"/>
  <c r="N6158" i="1"/>
  <c r="M6158" i="1"/>
  <c r="L6158" i="1"/>
  <c r="G6158" i="1"/>
  <c r="B6158" i="1"/>
  <c r="A6158" i="1"/>
  <c r="P6157" i="1"/>
  <c r="N6157" i="1"/>
  <c r="M6157" i="1"/>
  <c r="L6157" i="1"/>
  <c r="G6157" i="1"/>
  <c r="B6157" i="1"/>
  <c r="A6157" i="1"/>
  <c r="P6156" i="1"/>
  <c r="N6156" i="1"/>
  <c r="M6156" i="1"/>
  <c r="L6156" i="1"/>
  <c r="G6156" i="1"/>
  <c r="B6156" i="1"/>
  <c r="A6156" i="1"/>
  <c r="P6155" i="1"/>
  <c r="N6155" i="1"/>
  <c r="M6155" i="1"/>
  <c r="L6155" i="1"/>
  <c r="G6155" i="1"/>
  <c r="B6155" i="1"/>
  <c r="A6155" i="1"/>
  <c r="P6154" i="1"/>
  <c r="N6154" i="1"/>
  <c r="M6154" i="1"/>
  <c r="L6154" i="1"/>
  <c r="G6154" i="1"/>
  <c r="B6154" i="1"/>
  <c r="A6154" i="1"/>
  <c r="P6153" i="1"/>
  <c r="N6153" i="1"/>
  <c r="M6153" i="1"/>
  <c r="L6153" i="1"/>
  <c r="G6153" i="1"/>
  <c r="B6153" i="1"/>
  <c r="A6153" i="1"/>
  <c r="P6152" i="1"/>
  <c r="N6152" i="1"/>
  <c r="M6152" i="1"/>
  <c r="L6152" i="1"/>
  <c r="G6152" i="1"/>
  <c r="B6152" i="1"/>
  <c r="A6152" i="1"/>
  <c r="P6151" i="1"/>
  <c r="N6151" i="1"/>
  <c r="M6151" i="1"/>
  <c r="L6151" i="1"/>
  <c r="G6151" i="1"/>
  <c r="B6151" i="1"/>
  <c r="A6151" i="1"/>
  <c r="P6150" i="1"/>
  <c r="N6150" i="1"/>
  <c r="M6150" i="1"/>
  <c r="L6150" i="1"/>
  <c r="G6150" i="1"/>
  <c r="B6150" i="1"/>
  <c r="A6150" i="1"/>
  <c r="P6149" i="1"/>
  <c r="N6149" i="1"/>
  <c r="M6149" i="1"/>
  <c r="L6149" i="1"/>
  <c r="G6149" i="1"/>
  <c r="B6149" i="1"/>
  <c r="A6149" i="1"/>
  <c r="P6148" i="1"/>
  <c r="N6148" i="1"/>
  <c r="M6148" i="1"/>
  <c r="L6148" i="1"/>
  <c r="G6148" i="1"/>
  <c r="B6148" i="1"/>
  <c r="A6148" i="1"/>
  <c r="P6147" i="1"/>
  <c r="N6147" i="1"/>
  <c r="M6147" i="1"/>
  <c r="L6147" i="1"/>
  <c r="G6147" i="1"/>
  <c r="B6147" i="1"/>
  <c r="A6147" i="1"/>
  <c r="P6146" i="1"/>
  <c r="N6146" i="1"/>
  <c r="M6146" i="1"/>
  <c r="L6146" i="1"/>
  <c r="G6146" i="1"/>
  <c r="B6146" i="1"/>
  <c r="A6146" i="1"/>
  <c r="P6145" i="1"/>
  <c r="N6145" i="1"/>
  <c r="M6145" i="1"/>
  <c r="L6145" i="1"/>
  <c r="G6145" i="1"/>
  <c r="B6145" i="1"/>
  <c r="A6145" i="1"/>
  <c r="P6144" i="1"/>
  <c r="N6144" i="1"/>
  <c r="M6144" i="1"/>
  <c r="L6144" i="1"/>
  <c r="G6144" i="1"/>
  <c r="B6144" i="1"/>
  <c r="A6144" i="1"/>
  <c r="P6143" i="1"/>
  <c r="N6143" i="1"/>
  <c r="M6143" i="1"/>
  <c r="L6143" i="1"/>
  <c r="G6143" i="1"/>
  <c r="B6143" i="1"/>
  <c r="A6143" i="1"/>
  <c r="P6142" i="1"/>
  <c r="N6142" i="1"/>
  <c r="M6142" i="1"/>
  <c r="L6142" i="1"/>
  <c r="G6142" i="1"/>
  <c r="B6142" i="1"/>
  <c r="A6142" i="1"/>
  <c r="P6141" i="1"/>
  <c r="N6141" i="1"/>
  <c r="M6141" i="1"/>
  <c r="L6141" i="1"/>
  <c r="G6141" i="1"/>
  <c r="B6141" i="1"/>
  <c r="A6141" i="1"/>
  <c r="P6140" i="1"/>
  <c r="N6140" i="1"/>
  <c r="M6140" i="1"/>
  <c r="L6140" i="1"/>
  <c r="G6140" i="1"/>
  <c r="B6140" i="1"/>
  <c r="A6140" i="1"/>
  <c r="P6139" i="1"/>
  <c r="N6139" i="1"/>
  <c r="M6139" i="1"/>
  <c r="L6139" i="1"/>
  <c r="G6139" i="1"/>
  <c r="B6139" i="1"/>
  <c r="A6139" i="1"/>
  <c r="P6138" i="1"/>
  <c r="N6138" i="1"/>
  <c r="M6138" i="1"/>
  <c r="L6138" i="1"/>
  <c r="G6138" i="1"/>
  <c r="B6138" i="1"/>
  <c r="A6138" i="1"/>
  <c r="P6137" i="1"/>
  <c r="N6137" i="1"/>
  <c r="M6137" i="1"/>
  <c r="L6137" i="1"/>
  <c r="G6137" i="1"/>
  <c r="B6137" i="1"/>
  <c r="A6137" i="1"/>
  <c r="P6136" i="1"/>
  <c r="N6136" i="1"/>
  <c r="M6136" i="1"/>
  <c r="L6136" i="1"/>
  <c r="G6136" i="1"/>
  <c r="B6136" i="1"/>
  <c r="A6136" i="1"/>
  <c r="P6135" i="1"/>
  <c r="N6135" i="1"/>
  <c r="M6135" i="1"/>
  <c r="L6135" i="1"/>
  <c r="G6135" i="1"/>
  <c r="B6135" i="1"/>
  <c r="A6135" i="1"/>
  <c r="P6134" i="1"/>
  <c r="N6134" i="1"/>
  <c r="M6134" i="1"/>
  <c r="L6134" i="1"/>
  <c r="G6134" i="1"/>
  <c r="B6134" i="1"/>
  <c r="A6134" i="1"/>
  <c r="P6133" i="1"/>
  <c r="N6133" i="1"/>
  <c r="M6133" i="1"/>
  <c r="L6133" i="1"/>
  <c r="G6133" i="1"/>
  <c r="B6133" i="1"/>
  <c r="A6133" i="1"/>
  <c r="P6132" i="1"/>
  <c r="N6132" i="1"/>
  <c r="M6132" i="1"/>
  <c r="L6132" i="1"/>
  <c r="G6132" i="1"/>
  <c r="B6132" i="1"/>
  <c r="A6132" i="1"/>
  <c r="P6131" i="1"/>
  <c r="N6131" i="1"/>
  <c r="M6131" i="1"/>
  <c r="L6131" i="1"/>
  <c r="G6131" i="1"/>
  <c r="B6131" i="1"/>
  <c r="A6131" i="1"/>
  <c r="P6130" i="1"/>
  <c r="N6130" i="1"/>
  <c r="M6130" i="1"/>
  <c r="L6130" i="1"/>
  <c r="G6130" i="1"/>
  <c r="B6130" i="1"/>
  <c r="A6130" i="1"/>
  <c r="P6129" i="1"/>
  <c r="N6129" i="1"/>
  <c r="M6129" i="1"/>
  <c r="L6129" i="1"/>
  <c r="G6129" i="1"/>
  <c r="B6129" i="1"/>
  <c r="A6129" i="1"/>
  <c r="P6128" i="1"/>
  <c r="N6128" i="1"/>
  <c r="M6128" i="1"/>
  <c r="L6128" i="1"/>
  <c r="G6128" i="1"/>
  <c r="B6128" i="1"/>
  <c r="A6128" i="1"/>
  <c r="P6127" i="1"/>
  <c r="N6127" i="1"/>
  <c r="M6127" i="1"/>
  <c r="L6127" i="1"/>
  <c r="G6127" i="1"/>
  <c r="B6127" i="1"/>
  <c r="A6127" i="1"/>
  <c r="P6126" i="1"/>
  <c r="N6126" i="1"/>
  <c r="M6126" i="1"/>
  <c r="L6126" i="1"/>
  <c r="G6126" i="1"/>
  <c r="B6126" i="1"/>
  <c r="A6126" i="1"/>
  <c r="P6125" i="1"/>
  <c r="N6125" i="1"/>
  <c r="M6125" i="1"/>
  <c r="L6125" i="1"/>
  <c r="G6125" i="1"/>
  <c r="B6125" i="1"/>
  <c r="A6125" i="1"/>
  <c r="P6124" i="1"/>
  <c r="N6124" i="1"/>
  <c r="M6124" i="1"/>
  <c r="L6124" i="1"/>
  <c r="G6124" i="1"/>
  <c r="B6124" i="1"/>
  <c r="A6124" i="1"/>
  <c r="P6123" i="1"/>
  <c r="N6123" i="1"/>
  <c r="M6123" i="1"/>
  <c r="L6123" i="1"/>
  <c r="G6123" i="1"/>
  <c r="B6123" i="1"/>
  <c r="A6123" i="1"/>
  <c r="P6122" i="1"/>
  <c r="N6122" i="1"/>
  <c r="M6122" i="1"/>
  <c r="L6122" i="1"/>
  <c r="G6122" i="1"/>
  <c r="B6122" i="1"/>
  <c r="A6122" i="1"/>
  <c r="P6121" i="1"/>
  <c r="N6121" i="1"/>
  <c r="M6121" i="1"/>
  <c r="L6121" i="1"/>
  <c r="G6121" i="1"/>
  <c r="B6121" i="1"/>
  <c r="A6121" i="1"/>
  <c r="P6120" i="1"/>
  <c r="N6120" i="1"/>
  <c r="M6120" i="1"/>
  <c r="L6120" i="1"/>
  <c r="G6120" i="1"/>
  <c r="B6120" i="1"/>
  <c r="A6120" i="1"/>
  <c r="P6119" i="1"/>
  <c r="N6119" i="1"/>
  <c r="M6119" i="1"/>
  <c r="L6119" i="1"/>
  <c r="G6119" i="1"/>
  <c r="B6119" i="1"/>
  <c r="A6119" i="1"/>
  <c r="P6118" i="1"/>
  <c r="N6118" i="1"/>
  <c r="M6118" i="1"/>
  <c r="L6118" i="1"/>
  <c r="G6118" i="1"/>
  <c r="B6118" i="1"/>
  <c r="A6118" i="1"/>
  <c r="P6117" i="1"/>
  <c r="N6117" i="1"/>
  <c r="M6117" i="1"/>
  <c r="L6117" i="1"/>
  <c r="G6117" i="1"/>
  <c r="B6117" i="1"/>
  <c r="A6117" i="1"/>
  <c r="P6116" i="1"/>
  <c r="N6116" i="1"/>
  <c r="M6116" i="1"/>
  <c r="L6116" i="1"/>
  <c r="G6116" i="1"/>
  <c r="B6116" i="1"/>
  <c r="A6116" i="1"/>
  <c r="P6115" i="1"/>
  <c r="N6115" i="1"/>
  <c r="M6115" i="1"/>
  <c r="L6115" i="1"/>
  <c r="G6115" i="1"/>
  <c r="B6115" i="1"/>
  <c r="A6115" i="1"/>
  <c r="P6114" i="1"/>
  <c r="N6114" i="1"/>
  <c r="M6114" i="1"/>
  <c r="L6114" i="1"/>
  <c r="G6114" i="1"/>
  <c r="B6114" i="1"/>
  <c r="A6114" i="1"/>
  <c r="P6113" i="1"/>
  <c r="N6113" i="1"/>
  <c r="M6113" i="1"/>
  <c r="L6113" i="1"/>
  <c r="G6113" i="1"/>
  <c r="B6113" i="1"/>
  <c r="A6113" i="1"/>
  <c r="N6112" i="1"/>
  <c r="M6112" i="1"/>
  <c r="L6112" i="1"/>
  <c r="B6112" i="1"/>
  <c r="A6112" i="1"/>
  <c r="P6111" i="1"/>
  <c r="N6111" i="1"/>
  <c r="M6111" i="1"/>
  <c r="L6111" i="1"/>
  <c r="G6111" i="1"/>
  <c r="B6111" i="1"/>
  <c r="A6111" i="1"/>
  <c r="P6110" i="1"/>
  <c r="N6110" i="1"/>
  <c r="M6110" i="1"/>
  <c r="L6110" i="1"/>
  <c r="G6110" i="1"/>
  <c r="B6110" i="1"/>
  <c r="A6110" i="1"/>
  <c r="P6109" i="1"/>
  <c r="N6109" i="1"/>
  <c r="M6109" i="1"/>
  <c r="L6109" i="1"/>
  <c r="G6109" i="1"/>
  <c r="B6109" i="1"/>
  <c r="A6109" i="1"/>
  <c r="P6108" i="1"/>
  <c r="N6108" i="1"/>
  <c r="M6108" i="1"/>
  <c r="L6108" i="1"/>
  <c r="G6108" i="1"/>
  <c r="B6108" i="1"/>
  <c r="A6108" i="1"/>
  <c r="P6107" i="1"/>
  <c r="N6107" i="1"/>
  <c r="M6107" i="1"/>
  <c r="L6107" i="1"/>
  <c r="G6107" i="1"/>
  <c r="B6107" i="1"/>
  <c r="A6107" i="1"/>
  <c r="P6106" i="1"/>
  <c r="N6106" i="1"/>
  <c r="M6106" i="1"/>
  <c r="L6106" i="1"/>
  <c r="G6106" i="1"/>
  <c r="B6106" i="1"/>
  <c r="A6106" i="1"/>
  <c r="P6105" i="1"/>
  <c r="N6105" i="1"/>
  <c r="M6105" i="1"/>
  <c r="L6105" i="1"/>
  <c r="G6105" i="1"/>
  <c r="B6105" i="1"/>
  <c r="A6105" i="1"/>
  <c r="P6104" i="1"/>
  <c r="N6104" i="1"/>
  <c r="M6104" i="1"/>
  <c r="L6104" i="1"/>
  <c r="G6104" i="1"/>
  <c r="B6104" i="1"/>
  <c r="A6104" i="1"/>
  <c r="P6103" i="1"/>
  <c r="N6103" i="1"/>
  <c r="M6103" i="1"/>
  <c r="L6103" i="1"/>
  <c r="G6103" i="1"/>
  <c r="B6103" i="1"/>
  <c r="A6103" i="1"/>
  <c r="P6102" i="1"/>
  <c r="N6102" i="1"/>
  <c r="M6102" i="1"/>
  <c r="L6102" i="1"/>
  <c r="G6102" i="1"/>
  <c r="B6102" i="1"/>
  <c r="A6102" i="1"/>
  <c r="P6101" i="1"/>
  <c r="N6101" i="1"/>
  <c r="M6101" i="1"/>
  <c r="L6101" i="1"/>
  <c r="G6101" i="1"/>
  <c r="B6101" i="1"/>
  <c r="A6101" i="1"/>
  <c r="P6100" i="1"/>
  <c r="N6100" i="1"/>
  <c r="M6100" i="1"/>
  <c r="L6100" i="1"/>
  <c r="G6100" i="1"/>
  <c r="B6100" i="1"/>
  <c r="A6100" i="1"/>
  <c r="P6099" i="1"/>
  <c r="N6099" i="1"/>
  <c r="M6099" i="1"/>
  <c r="L6099" i="1"/>
  <c r="G6099" i="1"/>
  <c r="B6099" i="1"/>
  <c r="A6099" i="1"/>
  <c r="N6098" i="1"/>
  <c r="M6098" i="1"/>
  <c r="L6098" i="1"/>
  <c r="B6098" i="1"/>
  <c r="A6098" i="1"/>
  <c r="H6087" i="1" l="1"/>
  <c r="H6088" i="1"/>
  <c r="H6089" i="1"/>
  <c r="H6090" i="1"/>
  <c r="H6091" i="1"/>
  <c r="H6092" i="1"/>
  <c r="H6093" i="1"/>
  <c r="H6094" i="1"/>
  <c r="H6095" i="1"/>
  <c r="H6096" i="1"/>
  <c r="H6097" i="1"/>
  <c r="P6097" i="1"/>
  <c r="N6097" i="1"/>
  <c r="M6097" i="1"/>
  <c r="L6097" i="1"/>
  <c r="G6097" i="1"/>
  <c r="B6097" i="1"/>
  <c r="A6097" i="1"/>
  <c r="P6096" i="1"/>
  <c r="N6096" i="1"/>
  <c r="M6096" i="1"/>
  <c r="L6096" i="1"/>
  <c r="G6096" i="1"/>
  <c r="B6096" i="1"/>
  <c r="A6096" i="1"/>
  <c r="P6095" i="1"/>
  <c r="N6095" i="1"/>
  <c r="M6095" i="1"/>
  <c r="L6095" i="1"/>
  <c r="G6095" i="1"/>
  <c r="B6095" i="1"/>
  <c r="A6095" i="1"/>
  <c r="P6094" i="1"/>
  <c r="N6094" i="1"/>
  <c r="M6094" i="1"/>
  <c r="L6094" i="1"/>
  <c r="G6094" i="1"/>
  <c r="B6094" i="1"/>
  <c r="A6094" i="1"/>
  <c r="P6093" i="1"/>
  <c r="N6093" i="1"/>
  <c r="M6093" i="1"/>
  <c r="L6093" i="1"/>
  <c r="G6093" i="1"/>
  <c r="B6093" i="1"/>
  <c r="A6093" i="1"/>
  <c r="P6092" i="1"/>
  <c r="N6092" i="1"/>
  <c r="M6092" i="1"/>
  <c r="L6092" i="1"/>
  <c r="G6092" i="1"/>
  <c r="B6092" i="1"/>
  <c r="A6092" i="1"/>
  <c r="P6091" i="1"/>
  <c r="N6091" i="1"/>
  <c r="M6091" i="1"/>
  <c r="L6091" i="1"/>
  <c r="G6091" i="1"/>
  <c r="B6091" i="1"/>
  <c r="A6091" i="1"/>
  <c r="P6090" i="1"/>
  <c r="N6090" i="1"/>
  <c r="M6090" i="1"/>
  <c r="L6090" i="1"/>
  <c r="G6090" i="1"/>
  <c r="B6090" i="1"/>
  <c r="A6090" i="1"/>
  <c r="P6089" i="1"/>
  <c r="N6089" i="1"/>
  <c r="M6089" i="1"/>
  <c r="L6089" i="1"/>
  <c r="G6089" i="1"/>
  <c r="B6089" i="1"/>
  <c r="A6089" i="1"/>
  <c r="P6088" i="1"/>
  <c r="N6088" i="1"/>
  <c r="M6088" i="1"/>
  <c r="L6088" i="1"/>
  <c r="G6088" i="1"/>
  <c r="B6088" i="1"/>
  <c r="A6088" i="1"/>
  <c r="P6087" i="1"/>
  <c r="N6087" i="1"/>
  <c r="M6087" i="1"/>
  <c r="L6087" i="1"/>
  <c r="G6087" i="1"/>
  <c r="B6087" i="1"/>
  <c r="A6087" i="1"/>
  <c r="J5905" i="1" l="1"/>
  <c r="J5909" i="1"/>
  <c r="J5910" i="1"/>
  <c r="J5921" i="1"/>
  <c r="J5922" i="1"/>
  <c r="J5923" i="1"/>
  <c r="J5926" i="1"/>
  <c r="J5927" i="1"/>
  <c r="J5928" i="1"/>
  <c r="J5932" i="1"/>
  <c r="J5934" i="1"/>
  <c r="J5946" i="1"/>
  <c r="J5948" i="1"/>
  <c r="J5998" i="1"/>
  <c r="J6013" i="1"/>
  <c r="J6029" i="1"/>
  <c r="J6030" i="1"/>
  <c r="J6038" i="1"/>
  <c r="J6041" i="1"/>
  <c r="J6042" i="1"/>
  <c r="J6055" i="1"/>
  <c r="J6056" i="1"/>
  <c r="H5905" i="1"/>
  <c r="H5906" i="1"/>
  <c r="H5907" i="1"/>
  <c r="H5908" i="1"/>
  <c r="H5909" i="1"/>
  <c r="H5910" i="1"/>
  <c r="H5911" i="1"/>
  <c r="H5912" i="1"/>
  <c r="H5913" i="1"/>
  <c r="H5914" i="1"/>
  <c r="H5915" i="1"/>
  <c r="H5916" i="1"/>
  <c r="H5917" i="1"/>
  <c r="H5918" i="1"/>
  <c r="H5919" i="1"/>
  <c r="H5920" i="1"/>
  <c r="H5921" i="1"/>
  <c r="H5922" i="1"/>
  <c r="H5923" i="1"/>
  <c r="H5924" i="1"/>
  <c r="H5925" i="1"/>
  <c r="H5926" i="1"/>
  <c r="H5927" i="1"/>
  <c r="H5928" i="1"/>
  <c r="H5929" i="1"/>
  <c r="H5930" i="1"/>
  <c r="H5931" i="1"/>
  <c r="H5932" i="1"/>
  <c r="H5933" i="1"/>
  <c r="H5934" i="1"/>
  <c r="H5935" i="1"/>
  <c r="H5936" i="1"/>
  <c r="H5937" i="1"/>
  <c r="H5938" i="1"/>
  <c r="H5939" i="1"/>
  <c r="H5940" i="1"/>
  <c r="H5941" i="1"/>
  <c r="H5942" i="1"/>
  <c r="H5943" i="1"/>
  <c r="H5944" i="1"/>
  <c r="H5945" i="1"/>
  <c r="H5946" i="1"/>
  <c r="H5947" i="1"/>
  <c r="H5948" i="1"/>
  <c r="H5949" i="1"/>
  <c r="H5950" i="1"/>
  <c r="H5951" i="1"/>
  <c r="H5952" i="1"/>
  <c r="H5953" i="1"/>
  <c r="H5954" i="1"/>
  <c r="H5955" i="1"/>
  <c r="H5956" i="1"/>
  <c r="H5957" i="1"/>
  <c r="H5958" i="1"/>
  <c r="H5959" i="1"/>
  <c r="H5960" i="1"/>
  <c r="H5961" i="1"/>
  <c r="H5962" i="1"/>
  <c r="H5963" i="1"/>
  <c r="H5964" i="1"/>
  <c r="H5965" i="1"/>
  <c r="H5966" i="1"/>
  <c r="H5967" i="1"/>
  <c r="H5968" i="1"/>
  <c r="H5969" i="1"/>
  <c r="H5970" i="1"/>
  <c r="H5971" i="1"/>
  <c r="H5972" i="1"/>
  <c r="H5973" i="1"/>
  <c r="H5974" i="1"/>
  <c r="H5975" i="1"/>
  <c r="H5976" i="1"/>
  <c r="H5977" i="1"/>
  <c r="H5978" i="1"/>
  <c r="H5979" i="1"/>
  <c r="H5980" i="1"/>
  <c r="H5981" i="1"/>
  <c r="H5982" i="1"/>
  <c r="H5983" i="1"/>
  <c r="H5984" i="1"/>
  <c r="H5985" i="1"/>
  <c r="H5986" i="1"/>
  <c r="H5987" i="1"/>
  <c r="H5988" i="1"/>
  <c r="H5989" i="1"/>
  <c r="H5990" i="1"/>
  <c r="H5991" i="1"/>
  <c r="H5992" i="1"/>
  <c r="H5993" i="1"/>
  <c r="H5994" i="1"/>
  <c r="H5995" i="1"/>
  <c r="H5996" i="1"/>
  <c r="H5997" i="1"/>
  <c r="H5998" i="1"/>
  <c r="H5999" i="1"/>
  <c r="H6000" i="1"/>
  <c r="H6001" i="1"/>
  <c r="H6002" i="1"/>
  <c r="H6003" i="1"/>
  <c r="H6004" i="1"/>
  <c r="H6005" i="1"/>
  <c r="H6006" i="1"/>
  <c r="H6007" i="1"/>
  <c r="H6008" i="1"/>
  <c r="H6009" i="1"/>
  <c r="H6010" i="1"/>
  <c r="H6011" i="1"/>
  <c r="H6012" i="1"/>
  <c r="H6013" i="1"/>
  <c r="H6014" i="1"/>
  <c r="H6015" i="1"/>
  <c r="H6016" i="1"/>
  <c r="H6017" i="1"/>
  <c r="H6018" i="1"/>
  <c r="H6019" i="1"/>
  <c r="H6020" i="1"/>
  <c r="H6021" i="1"/>
  <c r="H6022" i="1"/>
  <c r="H6023" i="1"/>
  <c r="H6024" i="1"/>
  <c r="H6025" i="1"/>
  <c r="H6026" i="1"/>
  <c r="H6027" i="1"/>
  <c r="H6028" i="1"/>
  <c r="H6029" i="1"/>
  <c r="H6030" i="1"/>
  <c r="H6031" i="1"/>
  <c r="H6032" i="1"/>
  <c r="H6033" i="1"/>
  <c r="H6034" i="1"/>
  <c r="H6035" i="1"/>
  <c r="H6036" i="1"/>
  <c r="H6037" i="1"/>
  <c r="H6038" i="1"/>
  <c r="H6039" i="1"/>
  <c r="H6040" i="1"/>
  <c r="H6041" i="1"/>
  <c r="H6042" i="1"/>
  <c r="H6043" i="1"/>
  <c r="H6044" i="1"/>
  <c r="H6045" i="1"/>
  <c r="H6046" i="1"/>
  <c r="H6047" i="1"/>
  <c r="H6048" i="1"/>
  <c r="H6049" i="1"/>
  <c r="H6050" i="1"/>
  <c r="H6051" i="1"/>
  <c r="H6052" i="1"/>
  <c r="H6053" i="1"/>
  <c r="H6054" i="1"/>
  <c r="H6055" i="1"/>
  <c r="H6056" i="1"/>
  <c r="H6057" i="1"/>
  <c r="H6058" i="1"/>
  <c r="H6059" i="1"/>
  <c r="H6060" i="1"/>
  <c r="H6061" i="1"/>
  <c r="H6062" i="1"/>
  <c r="H6063" i="1"/>
  <c r="H6064" i="1"/>
  <c r="H6065" i="1"/>
  <c r="H6066" i="1"/>
  <c r="H6067" i="1"/>
  <c r="H6068" i="1"/>
  <c r="H6069" i="1"/>
  <c r="H6070" i="1"/>
  <c r="H6071" i="1"/>
  <c r="H6072" i="1"/>
  <c r="H6073" i="1"/>
  <c r="H6074" i="1"/>
  <c r="H6075" i="1"/>
  <c r="H6076" i="1"/>
  <c r="H6077" i="1"/>
  <c r="H6078" i="1"/>
  <c r="H6079" i="1"/>
  <c r="H6080" i="1"/>
  <c r="H6081" i="1"/>
  <c r="H6082" i="1"/>
  <c r="H6083" i="1"/>
  <c r="H6084" i="1"/>
  <c r="H6085" i="1"/>
  <c r="H6086" i="1"/>
  <c r="N6086" i="1"/>
  <c r="M6086" i="1"/>
  <c r="L6086" i="1"/>
  <c r="B6086" i="1"/>
  <c r="A6086" i="1"/>
  <c r="N6085" i="1"/>
  <c r="M6085" i="1"/>
  <c r="L6085" i="1"/>
  <c r="B6085" i="1"/>
  <c r="A6085" i="1"/>
  <c r="N6084" i="1"/>
  <c r="M6084" i="1"/>
  <c r="L6084" i="1"/>
  <c r="B6084" i="1"/>
  <c r="A6084" i="1"/>
  <c r="N6083" i="1"/>
  <c r="M6083" i="1"/>
  <c r="L6083" i="1"/>
  <c r="B6083" i="1"/>
  <c r="A6083" i="1"/>
  <c r="N6082" i="1"/>
  <c r="M6082" i="1"/>
  <c r="L6082" i="1"/>
  <c r="B6082" i="1"/>
  <c r="A6082" i="1"/>
  <c r="N6081" i="1"/>
  <c r="M6081" i="1"/>
  <c r="L6081" i="1"/>
  <c r="B6081" i="1"/>
  <c r="A6081" i="1"/>
  <c r="N6080" i="1"/>
  <c r="M6080" i="1"/>
  <c r="L6080" i="1"/>
  <c r="B6080" i="1"/>
  <c r="A6080" i="1"/>
  <c r="N6079" i="1"/>
  <c r="M6079" i="1"/>
  <c r="L6079" i="1"/>
  <c r="B6079" i="1"/>
  <c r="A6079" i="1"/>
  <c r="N6078" i="1"/>
  <c r="M6078" i="1"/>
  <c r="L6078" i="1"/>
  <c r="B6078" i="1"/>
  <c r="A6078" i="1"/>
  <c r="N6077" i="1"/>
  <c r="M6077" i="1"/>
  <c r="L6077" i="1"/>
  <c r="B6077" i="1"/>
  <c r="A6077" i="1"/>
  <c r="N6076" i="1"/>
  <c r="M6076" i="1"/>
  <c r="L6076" i="1"/>
  <c r="B6076" i="1"/>
  <c r="A6076" i="1"/>
  <c r="N6075" i="1"/>
  <c r="M6075" i="1"/>
  <c r="L6075" i="1"/>
  <c r="B6075" i="1"/>
  <c r="A6075" i="1"/>
  <c r="N6074" i="1"/>
  <c r="M6074" i="1"/>
  <c r="L6074" i="1"/>
  <c r="B6074" i="1"/>
  <c r="A6074" i="1"/>
  <c r="N5937" i="1"/>
  <c r="M5937" i="1"/>
  <c r="L5937" i="1"/>
  <c r="B5937" i="1"/>
  <c r="A5937" i="1"/>
  <c r="N5936" i="1"/>
  <c r="M5936" i="1"/>
  <c r="L5936" i="1"/>
  <c r="B5936" i="1"/>
  <c r="A5936" i="1"/>
  <c r="N5935" i="1"/>
  <c r="M5935" i="1"/>
  <c r="L5935" i="1"/>
  <c r="B5935" i="1"/>
  <c r="A5935" i="1"/>
  <c r="N5934" i="1"/>
  <c r="M5934" i="1"/>
  <c r="L5934" i="1"/>
  <c r="B5934" i="1"/>
  <c r="A5934" i="1"/>
  <c r="N5933" i="1"/>
  <c r="M5933" i="1"/>
  <c r="L5933" i="1"/>
  <c r="B5933" i="1"/>
  <c r="A5933" i="1"/>
  <c r="N5932" i="1"/>
  <c r="M5932" i="1"/>
  <c r="L5932" i="1"/>
  <c r="B5932" i="1"/>
  <c r="A5932" i="1"/>
  <c r="N5931" i="1"/>
  <c r="M5931" i="1"/>
  <c r="L5931" i="1"/>
  <c r="B5931" i="1"/>
  <c r="A5931" i="1"/>
  <c r="N5930" i="1"/>
  <c r="M5930" i="1"/>
  <c r="L5930" i="1"/>
  <c r="B5930" i="1"/>
  <c r="A5930" i="1"/>
  <c r="N5929" i="1"/>
  <c r="M5929" i="1"/>
  <c r="L5929" i="1"/>
  <c r="B5929" i="1"/>
  <c r="A5929" i="1"/>
  <c r="N5928" i="1"/>
  <c r="M5928" i="1"/>
  <c r="L5928" i="1"/>
  <c r="B5928" i="1"/>
  <c r="A5928" i="1"/>
  <c r="N5927" i="1"/>
  <c r="M5927" i="1"/>
  <c r="L5927" i="1"/>
  <c r="B5927" i="1"/>
  <c r="A5927" i="1"/>
  <c r="N5926" i="1"/>
  <c r="M5926" i="1"/>
  <c r="L5926" i="1"/>
  <c r="B5926" i="1"/>
  <c r="A5926" i="1"/>
  <c r="N5925" i="1"/>
  <c r="M5925" i="1"/>
  <c r="L5925" i="1"/>
  <c r="B5925" i="1"/>
  <c r="A5925" i="1"/>
  <c r="N5924" i="1"/>
  <c r="M5924" i="1"/>
  <c r="L5924" i="1"/>
  <c r="B5924" i="1"/>
  <c r="A5924" i="1"/>
  <c r="N5923" i="1"/>
  <c r="M5923" i="1"/>
  <c r="L5923" i="1"/>
  <c r="B5923" i="1"/>
  <c r="A5923" i="1"/>
  <c r="N5922" i="1"/>
  <c r="M5922" i="1"/>
  <c r="L5922" i="1"/>
  <c r="B5922" i="1"/>
  <c r="A5922" i="1"/>
  <c r="N5921" i="1"/>
  <c r="M5921" i="1"/>
  <c r="L5921" i="1"/>
  <c r="B5921" i="1"/>
  <c r="A5921" i="1"/>
  <c r="N5920" i="1"/>
  <c r="M5920" i="1"/>
  <c r="L5920" i="1"/>
  <c r="B5920" i="1"/>
  <c r="A5920" i="1"/>
  <c r="N5919" i="1"/>
  <c r="M5919" i="1"/>
  <c r="L5919" i="1"/>
  <c r="B5919" i="1"/>
  <c r="A5919" i="1"/>
  <c r="N5918" i="1"/>
  <c r="M5918" i="1"/>
  <c r="L5918" i="1"/>
  <c r="B5918" i="1"/>
  <c r="A5918" i="1"/>
  <c r="N5917" i="1"/>
  <c r="M5917" i="1"/>
  <c r="L5917" i="1"/>
  <c r="B5917" i="1"/>
  <c r="A5917" i="1"/>
  <c r="N5916" i="1"/>
  <c r="M5916" i="1"/>
  <c r="L5916" i="1"/>
  <c r="B5916" i="1"/>
  <c r="A5916" i="1"/>
  <c r="N5915" i="1"/>
  <c r="M5915" i="1"/>
  <c r="L5915" i="1"/>
  <c r="B5915" i="1"/>
  <c r="A5915" i="1"/>
  <c r="N5914" i="1"/>
  <c r="M5914" i="1"/>
  <c r="L5914" i="1"/>
  <c r="B5914" i="1"/>
  <c r="A5914" i="1"/>
  <c r="N5913" i="1"/>
  <c r="M5913" i="1"/>
  <c r="L5913" i="1"/>
  <c r="B5913" i="1"/>
  <c r="A5913" i="1"/>
  <c r="N5912" i="1"/>
  <c r="M5912" i="1"/>
  <c r="L5912" i="1"/>
  <c r="B5912" i="1"/>
  <c r="A5912" i="1"/>
  <c r="N5911" i="1"/>
  <c r="M5911" i="1"/>
  <c r="L5911" i="1"/>
  <c r="B5911" i="1"/>
  <c r="A5911" i="1"/>
  <c r="N5910" i="1"/>
  <c r="M5910" i="1"/>
  <c r="L5910" i="1"/>
  <c r="B5910" i="1"/>
  <c r="A5910" i="1"/>
  <c r="N5909" i="1"/>
  <c r="M5909" i="1"/>
  <c r="L5909" i="1"/>
  <c r="B5909" i="1"/>
  <c r="A5909" i="1"/>
  <c r="N5908" i="1"/>
  <c r="M5908" i="1"/>
  <c r="L5908" i="1"/>
  <c r="B5908" i="1"/>
  <c r="A5908" i="1"/>
  <c r="N5907" i="1"/>
  <c r="M5907" i="1"/>
  <c r="L5907" i="1"/>
  <c r="B5907" i="1"/>
  <c r="A5907" i="1"/>
  <c r="N5906" i="1"/>
  <c r="M5906" i="1"/>
  <c r="L5906" i="1"/>
  <c r="B5906" i="1"/>
  <c r="A5906" i="1"/>
  <c r="N5905" i="1"/>
  <c r="M5905" i="1"/>
  <c r="L5905" i="1"/>
  <c r="B5905" i="1"/>
  <c r="A5905" i="1"/>
  <c r="F5823" i="1"/>
  <c r="H5824" i="1" l="1"/>
  <c r="P5904" i="1" l="1"/>
  <c r="N5904" i="1"/>
  <c r="M5904" i="1"/>
  <c r="L5904" i="1"/>
  <c r="P5903" i="1"/>
  <c r="N5903" i="1"/>
  <c r="M5903" i="1"/>
  <c r="L5903" i="1"/>
  <c r="P5902" i="1"/>
  <c r="N5902" i="1"/>
  <c r="M5902" i="1"/>
  <c r="L5902" i="1"/>
  <c r="P5901" i="1"/>
  <c r="N5901" i="1"/>
  <c r="M5901" i="1"/>
  <c r="L5901" i="1"/>
  <c r="P5900" i="1"/>
  <c r="N5900" i="1"/>
  <c r="M5900" i="1"/>
  <c r="L5900" i="1"/>
  <c r="P5899" i="1"/>
  <c r="N5899" i="1"/>
  <c r="M5899" i="1"/>
  <c r="L5899" i="1"/>
  <c r="P5898" i="1"/>
  <c r="N5898" i="1"/>
  <c r="M5898" i="1"/>
  <c r="L5898" i="1"/>
  <c r="N5897" i="1"/>
  <c r="M5897" i="1"/>
  <c r="L5897" i="1"/>
  <c r="P5896" i="1"/>
  <c r="N5896" i="1"/>
  <c r="M5896" i="1"/>
  <c r="L5896" i="1"/>
  <c r="P5895" i="1"/>
  <c r="N5895" i="1"/>
  <c r="M5895" i="1"/>
  <c r="L5895" i="1"/>
  <c r="P5894" i="1"/>
  <c r="N5894" i="1"/>
  <c r="M5894" i="1"/>
  <c r="L5894" i="1"/>
  <c r="P5893" i="1"/>
  <c r="N5893" i="1"/>
  <c r="M5893" i="1"/>
  <c r="L5893" i="1"/>
  <c r="P5892" i="1"/>
  <c r="N5892" i="1"/>
  <c r="M5892" i="1"/>
  <c r="L5892" i="1"/>
  <c r="P5891" i="1"/>
  <c r="N5891" i="1"/>
  <c r="M5891" i="1"/>
  <c r="L5891" i="1"/>
  <c r="P5890" i="1"/>
  <c r="N5890" i="1"/>
  <c r="M5890" i="1"/>
  <c r="L5890" i="1"/>
  <c r="P5889" i="1"/>
  <c r="N5889" i="1"/>
  <c r="M5889" i="1"/>
  <c r="L5889" i="1"/>
  <c r="P5888" i="1"/>
  <c r="N5888" i="1"/>
  <c r="M5888" i="1"/>
  <c r="L5888" i="1"/>
  <c r="P5887" i="1"/>
  <c r="N5887" i="1"/>
  <c r="M5887" i="1"/>
  <c r="L5887" i="1"/>
  <c r="N5886" i="1"/>
  <c r="M5886" i="1"/>
  <c r="L5886" i="1"/>
  <c r="P5885" i="1"/>
  <c r="N5885" i="1"/>
  <c r="M5885" i="1"/>
  <c r="L5885" i="1"/>
  <c r="P5884" i="1"/>
  <c r="N5884" i="1"/>
  <c r="M5884" i="1"/>
  <c r="L5884" i="1"/>
  <c r="N5883" i="1"/>
  <c r="M5883" i="1"/>
  <c r="L5883" i="1"/>
  <c r="P5882" i="1"/>
  <c r="N5882" i="1"/>
  <c r="M5882" i="1"/>
  <c r="L5882" i="1"/>
  <c r="P5881" i="1"/>
  <c r="N5881" i="1"/>
  <c r="M5881" i="1"/>
  <c r="L5881" i="1"/>
  <c r="P5880" i="1"/>
  <c r="N5880" i="1"/>
  <c r="M5880" i="1"/>
  <c r="L5880" i="1"/>
  <c r="N5879" i="1"/>
  <c r="M5879" i="1"/>
  <c r="L5879" i="1"/>
  <c r="P5878" i="1"/>
  <c r="N5878" i="1"/>
  <c r="M5878" i="1"/>
  <c r="L5878" i="1"/>
  <c r="N5877" i="1"/>
  <c r="M5877" i="1"/>
  <c r="L5877" i="1"/>
  <c r="P5876" i="1"/>
  <c r="N5876" i="1"/>
  <c r="M5876" i="1"/>
  <c r="L5876" i="1"/>
  <c r="P5875" i="1"/>
  <c r="N5875" i="1"/>
  <c r="M5875" i="1"/>
  <c r="L5875" i="1"/>
  <c r="P5874" i="1"/>
  <c r="N5874" i="1"/>
  <c r="M5874" i="1"/>
  <c r="L5874" i="1"/>
  <c r="P5873" i="1"/>
  <c r="N5873" i="1"/>
  <c r="M5873" i="1"/>
  <c r="L5873" i="1"/>
  <c r="P5872" i="1"/>
  <c r="N5872" i="1"/>
  <c r="M5872" i="1"/>
  <c r="L5872" i="1"/>
  <c r="P5871" i="1"/>
  <c r="N5871" i="1"/>
  <c r="M5871" i="1"/>
  <c r="L5871" i="1"/>
  <c r="P5870" i="1"/>
  <c r="N5870" i="1"/>
  <c r="M5870" i="1"/>
  <c r="L5870" i="1"/>
  <c r="P5869" i="1"/>
  <c r="N5869" i="1"/>
  <c r="M5869" i="1"/>
  <c r="L5869" i="1"/>
  <c r="N5868" i="1"/>
  <c r="M5868" i="1"/>
  <c r="L5868" i="1"/>
  <c r="P5867" i="1"/>
  <c r="N5867" i="1"/>
  <c r="M5867" i="1"/>
  <c r="L5867" i="1"/>
  <c r="P5866" i="1"/>
  <c r="N5866" i="1"/>
  <c r="M5866" i="1"/>
  <c r="L5866" i="1"/>
  <c r="P5865" i="1"/>
  <c r="N5865" i="1"/>
  <c r="M5865" i="1"/>
  <c r="L5865" i="1"/>
  <c r="N5864" i="1"/>
  <c r="M5864" i="1"/>
  <c r="L5864" i="1"/>
  <c r="N5863" i="1"/>
  <c r="M5863" i="1"/>
  <c r="P5862" i="1"/>
  <c r="N5862" i="1"/>
  <c r="M5862" i="1"/>
  <c r="L5862" i="1"/>
  <c r="P5861" i="1"/>
  <c r="N5861" i="1"/>
  <c r="M5861" i="1"/>
  <c r="L5861" i="1"/>
  <c r="P5860" i="1"/>
  <c r="N5860" i="1"/>
  <c r="M5860" i="1"/>
  <c r="L5860" i="1"/>
  <c r="P5859" i="1"/>
  <c r="N5859" i="1"/>
  <c r="M5859" i="1"/>
  <c r="L5859" i="1"/>
  <c r="P5858" i="1"/>
  <c r="N5858" i="1"/>
  <c r="M5858" i="1"/>
  <c r="L5858" i="1"/>
  <c r="P5857" i="1"/>
  <c r="N5857" i="1"/>
  <c r="M5857" i="1"/>
  <c r="L5857" i="1"/>
  <c r="P5856" i="1"/>
  <c r="N5856" i="1"/>
  <c r="M5856" i="1"/>
  <c r="L5856" i="1"/>
  <c r="P5855" i="1"/>
  <c r="N5855" i="1"/>
  <c r="M5855" i="1"/>
  <c r="L5855" i="1"/>
  <c r="N5854" i="1"/>
  <c r="M5854" i="1"/>
  <c r="L5854" i="1"/>
  <c r="P5853" i="1"/>
  <c r="N5853" i="1"/>
  <c r="M5853" i="1"/>
  <c r="L5853" i="1"/>
  <c r="J5753" i="1"/>
  <c r="J5792" i="1"/>
  <c r="J5795" i="1"/>
  <c r="J5796" i="1"/>
  <c r="J5832" i="1"/>
  <c r="J5836" i="1"/>
  <c r="J5845" i="1"/>
  <c r="J5846" i="1"/>
  <c r="J5850" i="1"/>
  <c r="J5854" i="1"/>
  <c r="J5855" i="1"/>
  <c r="J5856" i="1"/>
  <c r="J5857" i="1"/>
  <c r="J5862" i="1"/>
  <c r="J5866" i="1"/>
  <c r="J5869" i="1"/>
  <c r="J5872" i="1"/>
  <c r="J5873" i="1"/>
  <c r="J5875" i="1"/>
  <c r="J5878" i="1"/>
  <c r="J5886" i="1"/>
  <c r="J5887" i="1"/>
  <c r="J5888" i="1"/>
  <c r="J5890" i="1"/>
  <c r="J5895" i="1"/>
  <c r="J5896" i="1"/>
  <c r="J5897" i="1"/>
  <c r="J5899" i="1"/>
  <c r="H5753" i="1"/>
  <c r="H5754" i="1"/>
  <c r="H5755" i="1"/>
  <c r="H5756" i="1"/>
  <c r="H5757" i="1"/>
  <c r="H5758" i="1"/>
  <c r="H5759" i="1"/>
  <c r="H5760" i="1"/>
  <c r="H5761" i="1"/>
  <c r="H5762" i="1"/>
  <c r="H5763" i="1"/>
  <c r="H5764" i="1"/>
  <c r="H5765" i="1"/>
  <c r="H5766" i="1"/>
  <c r="H5767" i="1"/>
  <c r="H5768" i="1"/>
  <c r="H5769" i="1"/>
  <c r="H5770" i="1"/>
  <c r="H5771" i="1"/>
  <c r="H5772" i="1"/>
  <c r="H5773" i="1"/>
  <c r="H5774" i="1"/>
  <c r="H5775" i="1"/>
  <c r="H5776" i="1"/>
  <c r="H5777" i="1"/>
  <c r="H5778" i="1"/>
  <c r="H5779" i="1"/>
  <c r="H5780" i="1"/>
  <c r="H5781" i="1"/>
  <c r="H5782" i="1"/>
  <c r="H5783" i="1"/>
  <c r="H5784" i="1"/>
  <c r="H5785" i="1"/>
  <c r="H5786" i="1"/>
  <c r="H5787" i="1"/>
  <c r="H5788" i="1"/>
  <c r="H5789" i="1"/>
  <c r="H5790" i="1"/>
  <c r="H5791" i="1"/>
  <c r="H5792" i="1"/>
  <c r="H5793" i="1"/>
  <c r="H5794" i="1"/>
  <c r="H5795" i="1"/>
  <c r="H5796" i="1"/>
  <c r="H5797" i="1"/>
  <c r="H5798" i="1"/>
  <c r="H5799" i="1"/>
  <c r="H5800" i="1"/>
  <c r="H5801" i="1"/>
  <c r="H5802" i="1"/>
  <c r="H5803" i="1"/>
  <c r="H5804" i="1"/>
  <c r="H5805" i="1"/>
  <c r="H5806" i="1"/>
  <c r="H5807" i="1"/>
  <c r="H5808" i="1"/>
  <c r="H5809" i="1"/>
  <c r="H5810" i="1"/>
  <c r="H5811" i="1"/>
  <c r="H5812" i="1"/>
  <c r="H5813" i="1"/>
  <c r="H5814" i="1"/>
  <c r="H5815" i="1"/>
  <c r="H5816" i="1"/>
  <c r="H5817" i="1"/>
  <c r="H5818" i="1"/>
  <c r="H5819" i="1"/>
  <c r="H5820" i="1"/>
  <c r="H5821" i="1"/>
  <c r="H5822" i="1"/>
  <c r="H5823" i="1"/>
  <c r="H5825" i="1"/>
  <c r="H5826" i="1"/>
  <c r="H5827" i="1"/>
  <c r="H5828" i="1"/>
  <c r="H5829" i="1"/>
  <c r="H5830" i="1"/>
  <c r="H5831" i="1"/>
  <c r="H5832" i="1"/>
  <c r="H5833" i="1"/>
  <c r="H5834" i="1"/>
  <c r="H5835" i="1"/>
  <c r="H5836" i="1"/>
  <c r="H5837" i="1"/>
  <c r="H5838" i="1"/>
  <c r="H5839" i="1"/>
  <c r="H5840" i="1"/>
  <c r="H5841" i="1"/>
  <c r="H5842" i="1"/>
  <c r="H5843" i="1"/>
  <c r="H5844" i="1"/>
  <c r="H5845" i="1"/>
  <c r="H5846" i="1"/>
  <c r="H5847" i="1"/>
  <c r="H5848" i="1"/>
  <c r="H5849" i="1"/>
  <c r="H5850" i="1"/>
  <c r="H5851" i="1"/>
  <c r="H5852" i="1"/>
  <c r="H5853" i="1"/>
  <c r="H5854" i="1"/>
  <c r="H5855" i="1"/>
  <c r="H5856" i="1"/>
  <c r="H5857" i="1"/>
  <c r="H5858" i="1"/>
  <c r="H5859" i="1"/>
  <c r="H5860" i="1"/>
  <c r="H5861" i="1"/>
  <c r="H5862" i="1"/>
  <c r="H5863" i="1"/>
  <c r="H5864" i="1"/>
  <c r="H5865" i="1"/>
  <c r="H5866" i="1"/>
  <c r="H5867" i="1"/>
  <c r="H5868" i="1"/>
  <c r="H5869" i="1"/>
  <c r="H5870" i="1"/>
  <c r="H5871" i="1"/>
  <c r="H5872" i="1"/>
  <c r="H5873" i="1"/>
  <c r="H5874" i="1"/>
  <c r="H5875" i="1"/>
  <c r="H5876" i="1"/>
  <c r="H5877" i="1"/>
  <c r="H5878" i="1"/>
  <c r="H5879" i="1"/>
  <c r="H5880" i="1"/>
  <c r="H5881" i="1"/>
  <c r="H5882" i="1"/>
  <c r="H5883" i="1"/>
  <c r="H5884" i="1"/>
  <c r="H5885" i="1"/>
  <c r="H5886" i="1"/>
  <c r="H5887" i="1"/>
  <c r="H5888" i="1"/>
  <c r="H5889" i="1"/>
  <c r="H5890" i="1"/>
  <c r="H5891" i="1"/>
  <c r="H5892" i="1"/>
  <c r="H5893" i="1"/>
  <c r="H5894" i="1"/>
  <c r="H5895" i="1"/>
  <c r="H5896" i="1"/>
  <c r="H5897" i="1"/>
  <c r="H5898" i="1"/>
  <c r="H5899" i="1"/>
  <c r="H5900" i="1"/>
  <c r="H5901" i="1"/>
  <c r="H5902" i="1"/>
  <c r="H5903" i="1"/>
  <c r="H5904" i="1"/>
  <c r="G5904" i="1"/>
  <c r="D5904" i="1"/>
  <c r="B5904" i="1"/>
  <c r="G5903" i="1"/>
  <c r="D5903" i="1"/>
  <c r="B5903" i="1"/>
  <c r="G5902" i="1"/>
  <c r="D5902" i="1"/>
  <c r="B5902" i="1"/>
  <c r="G5901" i="1"/>
  <c r="D5901" i="1"/>
  <c r="B5901" i="1"/>
  <c r="G5900" i="1"/>
  <c r="D5900" i="1"/>
  <c r="B5900" i="1"/>
  <c r="G5899" i="1"/>
  <c r="D5899" i="1"/>
  <c r="B5899" i="1"/>
  <c r="G5898" i="1"/>
  <c r="D5898" i="1"/>
  <c r="B5898" i="1"/>
  <c r="B5897" i="1"/>
  <c r="G5896" i="1"/>
  <c r="D5896" i="1"/>
  <c r="B5896" i="1"/>
  <c r="G5895" i="1"/>
  <c r="D5895" i="1"/>
  <c r="B5895" i="1"/>
  <c r="G5894" i="1"/>
  <c r="D5894" i="1"/>
  <c r="B5894" i="1"/>
  <c r="G5893" i="1"/>
  <c r="D5893" i="1"/>
  <c r="B5893" i="1"/>
  <c r="G5892" i="1"/>
  <c r="D5892" i="1"/>
  <c r="B5892" i="1"/>
  <c r="G5891" i="1"/>
  <c r="D5891" i="1"/>
  <c r="B5891" i="1"/>
  <c r="G5890" i="1"/>
  <c r="D5890" i="1"/>
  <c r="B5890" i="1"/>
  <c r="G5889" i="1"/>
  <c r="D5889" i="1"/>
  <c r="B5889" i="1"/>
  <c r="G5888" i="1"/>
  <c r="D5888" i="1"/>
  <c r="B5888" i="1"/>
  <c r="G5887" i="1"/>
  <c r="D5887" i="1"/>
  <c r="B5887" i="1"/>
  <c r="B5886" i="1"/>
  <c r="G5885" i="1"/>
  <c r="D5885" i="1"/>
  <c r="B5885" i="1"/>
  <c r="G5884" i="1"/>
  <c r="D5884" i="1"/>
  <c r="B5884" i="1"/>
  <c r="B5883" i="1"/>
  <c r="G5882" i="1"/>
  <c r="D5882" i="1"/>
  <c r="B5882" i="1"/>
  <c r="G5881" i="1"/>
  <c r="D5881" i="1"/>
  <c r="B5881" i="1"/>
  <c r="G5880" i="1"/>
  <c r="D5880" i="1"/>
  <c r="B5880" i="1"/>
  <c r="B5879" i="1"/>
  <c r="G5878" i="1"/>
  <c r="D5878" i="1"/>
  <c r="B5878" i="1"/>
  <c r="B5877" i="1"/>
  <c r="G5876" i="1"/>
  <c r="D5876" i="1"/>
  <c r="B5876" i="1"/>
  <c r="G5875" i="1"/>
  <c r="D5875" i="1"/>
  <c r="B5875" i="1"/>
  <c r="G5874" i="1"/>
  <c r="D5874" i="1"/>
  <c r="B5874" i="1"/>
  <c r="G5873" i="1"/>
  <c r="D5873" i="1"/>
  <c r="B5873" i="1"/>
  <c r="G5872" i="1"/>
  <c r="D5872" i="1"/>
  <c r="B5872" i="1"/>
  <c r="G5871" i="1"/>
  <c r="D5871" i="1"/>
  <c r="B5871" i="1"/>
  <c r="G5870" i="1"/>
  <c r="D5870" i="1"/>
  <c r="B5870" i="1"/>
  <c r="G5869" i="1"/>
  <c r="D5869" i="1"/>
  <c r="B5869" i="1"/>
  <c r="B5868" i="1"/>
  <c r="G5867" i="1"/>
  <c r="D5867" i="1"/>
  <c r="B5867" i="1"/>
  <c r="G5866" i="1"/>
  <c r="D5866" i="1"/>
  <c r="B5866" i="1"/>
  <c r="G5865" i="1"/>
  <c r="D5865" i="1"/>
  <c r="B5865" i="1"/>
  <c r="B5864" i="1"/>
  <c r="B5863" i="1"/>
  <c r="G5862" i="1"/>
  <c r="D5862" i="1"/>
  <c r="B5862" i="1"/>
  <c r="G5861" i="1"/>
  <c r="D5861" i="1"/>
  <c r="B5861" i="1"/>
  <c r="G5860" i="1"/>
  <c r="D5860" i="1"/>
  <c r="B5860" i="1"/>
  <c r="G5859" i="1"/>
  <c r="D5859" i="1"/>
  <c r="B5859" i="1"/>
  <c r="G5858" i="1"/>
  <c r="D5858" i="1"/>
  <c r="B5858" i="1"/>
  <c r="G5857" i="1"/>
  <c r="D5857" i="1"/>
  <c r="B5857" i="1"/>
  <c r="G5856" i="1"/>
  <c r="D5856" i="1"/>
  <c r="B5856" i="1"/>
  <c r="G5855" i="1"/>
  <c r="D5855" i="1"/>
  <c r="B5855" i="1"/>
  <c r="B5854" i="1"/>
  <c r="G5853" i="1"/>
  <c r="D5853" i="1"/>
  <c r="B5853" i="1"/>
  <c r="A5904" i="1"/>
  <c r="A5903" i="1"/>
  <c r="A5902" i="1"/>
  <c r="A5901" i="1"/>
  <c r="A5900" i="1"/>
  <c r="A5899" i="1"/>
  <c r="A5898" i="1"/>
  <c r="A5897" i="1"/>
  <c r="A5896" i="1"/>
  <c r="A5895" i="1"/>
  <c r="A5894" i="1"/>
  <c r="A5893" i="1"/>
  <c r="A5892" i="1"/>
  <c r="A5891" i="1"/>
  <c r="A5890" i="1"/>
  <c r="A5889" i="1"/>
  <c r="A5888" i="1"/>
  <c r="A5887" i="1"/>
  <c r="A5886" i="1"/>
  <c r="A5885" i="1"/>
  <c r="A5884" i="1"/>
  <c r="A5883" i="1"/>
  <c r="A5882" i="1"/>
  <c r="A5881" i="1"/>
  <c r="A5880" i="1"/>
  <c r="A5879" i="1"/>
  <c r="A5878" i="1"/>
  <c r="A5877" i="1"/>
  <c r="A5876" i="1"/>
  <c r="A5875" i="1"/>
  <c r="A5874" i="1"/>
  <c r="A5873" i="1"/>
  <c r="A5872" i="1"/>
  <c r="A5871" i="1"/>
  <c r="A5870" i="1"/>
  <c r="A5869" i="1"/>
  <c r="A5868" i="1"/>
  <c r="A5867" i="1"/>
  <c r="A5866" i="1"/>
  <c r="A5865" i="1"/>
  <c r="A5864" i="1"/>
  <c r="A5863" i="1"/>
  <c r="A5862" i="1"/>
  <c r="A5861" i="1"/>
  <c r="A5860" i="1"/>
  <c r="A5859" i="1"/>
  <c r="A5858" i="1"/>
  <c r="A5857" i="1"/>
  <c r="A5856" i="1"/>
  <c r="A5855" i="1"/>
  <c r="A5854" i="1"/>
  <c r="A5853" i="1"/>
  <c r="J1978" i="1" l="1"/>
  <c r="J1992" i="1"/>
  <c r="J1995" i="1"/>
  <c r="J1999" i="1"/>
  <c r="J2091" i="1"/>
  <c r="J2096" i="1"/>
  <c r="J2099" i="1"/>
  <c r="J2100" i="1"/>
  <c r="J2114" i="1"/>
  <c r="J2116" i="1"/>
  <c r="J2259" i="1"/>
  <c r="J2260" i="1"/>
  <c r="J2261" i="1"/>
  <c r="J2264" i="1"/>
  <c r="J2266" i="1"/>
  <c r="J2267" i="1"/>
  <c r="J2268" i="1"/>
  <c r="J2270" i="1"/>
  <c r="J2271" i="1"/>
  <c r="J2409" i="1"/>
  <c r="J2413" i="1"/>
  <c r="J2415" i="1"/>
  <c r="J2419" i="1"/>
  <c r="J2420" i="1"/>
  <c r="J2422" i="1"/>
  <c r="J2425" i="1"/>
  <c r="J2426" i="1"/>
  <c r="J2427" i="1"/>
  <c r="J2430" i="1"/>
  <c r="J2431" i="1"/>
  <c r="J2432" i="1"/>
  <c r="J2435" i="1"/>
  <c r="J2439" i="1"/>
  <c r="J2441" i="1"/>
  <c r="J2444" i="1"/>
  <c r="J2447" i="1"/>
  <c r="J2639" i="1"/>
  <c r="J2643" i="1"/>
  <c r="J2646" i="1"/>
  <c r="J2647" i="1"/>
  <c r="J2648" i="1"/>
  <c r="J2650" i="1"/>
  <c r="J2662" i="1"/>
  <c r="J2677" i="1"/>
  <c r="J2698" i="1"/>
  <c r="J2701" i="1"/>
  <c r="J2702" i="1"/>
  <c r="J2703" i="1"/>
  <c r="J2704" i="1"/>
  <c r="J2705" i="1"/>
  <c r="J2720" i="1"/>
  <c r="J2722" i="1"/>
  <c r="J2725" i="1"/>
  <c r="J2731" i="1"/>
  <c r="J2741" i="1"/>
  <c r="J2743" i="1"/>
  <c r="J2909" i="1"/>
  <c r="J2910" i="1"/>
  <c r="J2933" i="1"/>
  <c r="J3007" i="1"/>
  <c r="J3008" i="1"/>
  <c r="J3012" i="1"/>
  <c r="J3013" i="1"/>
  <c r="J3014" i="1"/>
  <c r="J3016" i="1"/>
  <c r="J3029" i="1"/>
  <c r="J3033" i="1"/>
  <c r="J3034" i="1"/>
  <c r="J3039" i="1"/>
  <c r="J3043" i="1"/>
  <c r="J3046" i="1"/>
  <c r="J3047" i="1"/>
  <c r="J3054" i="1"/>
  <c r="J3058" i="1"/>
  <c r="J3061" i="1"/>
  <c r="J3062" i="1"/>
  <c r="J3078" i="1"/>
  <c r="J3081" i="1"/>
  <c r="J3082" i="1"/>
  <c r="J3085" i="1"/>
  <c r="J3088" i="1"/>
  <c r="J3208" i="1"/>
  <c r="J3209" i="1"/>
  <c r="J3210" i="1"/>
  <c r="J3211" i="1"/>
  <c r="J3215" i="1"/>
  <c r="J3216" i="1"/>
  <c r="J3218" i="1"/>
  <c r="J3219" i="1"/>
  <c r="J3224" i="1"/>
  <c r="J3232" i="1"/>
  <c r="J3233" i="1"/>
  <c r="J3234" i="1"/>
  <c r="J3236" i="1"/>
  <c r="J3238" i="1"/>
  <c r="J3245" i="1"/>
  <c r="J3256" i="1"/>
  <c r="J3262" i="1"/>
  <c r="J3303" i="1"/>
  <c r="J3334" i="1"/>
  <c r="J3383" i="1"/>
  <c r="J3386" i="1"/>
  <c r="J3390" i="1"/>
  <c r="J3391" i="1"/>
  <c r="J3396" i="1"/>
  <c r="J3399" i="1"/>
  <c r="J3405" i="1"/>
  <c r="J3511" i="1"/>
  <c r="J3542" i="1"/>
  <c r="J3551" i="1"/>
  <c r="J3572" i="1"/>
  <c r="J3585" i="1"/>
  <c r="J3586" i="1"/>
  <c r="J3594" i="1"/>
  <c r="J3609" i="1"/>
  <c r="J3624" i="1"/>
  <c r="J3647" i="1"/>
  <c r="J3670" i="1"/>
  <c r="J3681" i="1"/>
  <c r="J3704" i="1"/>
  <c r="J3705" i="1"/>
  <c r="J3706" i="1"/>
  <c r="J3707" i="1"/>
  <c r="J3708" i="1"/>
  <c r="J3709" i="1"/>
  <c r="J3710" i="1"/>
  <c r="J3711" i="1"/>
  <c r="J3712" i="1"/>
  <c r="J3713" i="1"/>
  <c r="J3714" i="1"/>
  <c r="J3715" i="1"/>
  <c r="J3716" i="1"/>
  <c r="J3722" i="1"/>
  <c r="J3723" i="1"/>
  <c r="J3724" i="1"/>
  <c r="J3725" i="1"/>
  <c r="J3730" i="1"/>
  <c r="J3733" i="1"/>
  <c r="J3740" i="1"/>
  <c r="J3741" i="1"/>
  <c r="J3744" i="1"/>
  <c r="J3745" i="1"/>
  <c r="J3747" i="1"/>
  <c r="J3749" i="1"/>
  <c r="J3758" i="1"/>
  <c r="J3762" i="1"/>
  <c r="J3764" i="1"/>
  <c r="J3771" i="1"/>
  <c r="J3774" i="1"/>
  <c r="J3779" i="1"/>
  <c r="J3787" i="1"/>
  <c r="J3818" i="1"/>
  <c r="J3826" i="1"/>
  <c r="J3843" i="1"/>
  <c r="J3872" i="1"/>
  <c r="J3873" i="1"/>
  <c r="J3874" i="1"/>
  <c r="J3875" i="1"/>
  <c r="J3876" i="1"/>
  <c r="J3878" i="1"/>
  <c r="J3890" i="1"/>
  <c r="J3896" i="1"/>
  <c r="J3899" i="1"/>
  <c r="J3900" i="1"/>
  <c r="J3930" i="1"/>
  <c r="J3981" i="1"/>
  <c r="J3984" i="1"/>
  <c r="J3987" i="1"/>
  <c r="J3991" i="1"/>
  <c r="J3994" i="1"/>
  <c r="J3996" i="1"/>
  <c r="J3997" i="1"/>
  <c r="J4004" i="1"/>
  <c r="J4005" i="1"/>
  <c r="J4006" i="1"/>
  <c r="J4014" i="1"/>
  <c r="J4046" i="1"/>
  <c r="J4052" i="1"/>
  <c r="J4071" i="1"/>
  <c r="J4089" i="1"/>
  <c r="J4090" i="1"/>
  <c r="J4091" i="1"/>
  <c r="J4096" i="1"/>
  <c r="J4097" i="1"/>
  <c r="J4098" i="1"/>
  <c r="J4099" i="1"/>
  <c r="J4100" i="1"/>
  <c r="J4101" i="1"/>
  <c r="J4102" i="1"/>
  <c r="J4103" i="1"/>
  <c r="J4104" i="1"/>
  <c r="J4105" i="1"/>
  <c r="J4106" i="1"/>
  <c r="J4107" i="1"/>
  <c r="J4108" i="1"/>
  <c r="J4109" i="1"/>
  <c r="J4110" i="1"/>
  <c r="J4111" i="1"/>
  <c r="J4115" i="1"/>
  <c r="J4117" i="1"/>
  <c r="J4118" i="1"/>
  <c r="J4119" i="1"/>
  <c r="J4120" i="1"/>
  <c r="J4137" i="1"/>
  <c r="J4168" i="1"/>
  <c r="J4172" i="1"/>
  <c r="J4178" i="1"/>
  <c r="J4181" i="1"/>
  <c r="J4183" i="1"/>
  <c r="J4185" i="1"/>
  <c r="J4187" i="1"/>
  <c r="J4189" i="1"/>
  <c r="J4198" i="1"/>
  <c r="J4207" i="1"/>
  <c r="J4208" i="1"/>
  <c r="J4217" i="1"/>
  <c r="J4218" i="1"/>
  <c r="J4220" i="1"/>
  <c r="J4221" i="1"/>
  <c r="J4226" i="1"/>
  <c r="J4229" i="1"/>
  <c r="J4230" i="1"/>
  <c r="J4231" i="1"/>
  <c r="J4245" i="1"/>
  <c r="J4247" i="1"/>
  <c r="J4248" i="1"/>
  <c r="J4249" i="1"/>
  <c r="J4252" i="1"/>
  <c r="J4253" i="1"/>
  <c r="J4259" i="1"/>
  <c r="J4273" i="1"/>
  <c r="J4277" i="1"/>
  <c r="J4278" i="1"/>
  <c r="J4282" i="1"/>
  <c r="J4307" i="1"/>
  <c r="J4401" i="1"/>
  <c r="J4404" i="1"/>
  <c r="J4408" i="1"/>
  <c r="J4409" i="1"/>
  <c r="J4415" i="1"/>
  <c r="J4416" i="1"/>
  <c r="J4431" i="1"/>
  <c r="J4434" i="1"/>
  <c r="J4437" i="1"/>
  <c r="J4441" i="1"/>
  <c r="J4445" i="1"/>
  <c r="J4527" i="1"/>
  <c r="J4528" i="1"/>
  <c r="J4587" i="1"/>
  <c r="J4589" i="1"/>
  <c r="J4595" i="1"/>
  <c r="J4596" i="1"/>
  <c r="J4597" i="1"/>
  <c r="J4599" i="1"/>
  <c r="J4605" i="1"/>
  <c r="J4611" i="1"/>
  <c r="J4617" i="1"/>
  <c r="J4622" i="1"/>
  <c r="J4626" i="1"/>
  <c r="J4628" i="1"/>
  <c r="J4629" i="1"/>
  <c r="J4630" i="1"/>
  <c r="J4632" i="1"/>
  <c r="J4633" i="1"/>
  <c r="J4636" i="1"/>
  <c r="J4637" i="1"/>
  <c r="J4639" i="1"/>
  <c r="J4641" i="1"/>
  <c r="J4651" i="1"/>
  <c r="J4665" i="1"/>
  <c r="J4666" i="1"/>
  <c r="J4667" i="1"/>
  <c r="J4668" i="1"/>
  <c r="J4671" i="1"/>
  <c r="J4770" i="1"/>
  <c r="J4776" i="1"/>
  <c r="J4795" i="1"/>
  <c r="J4813" i="1"/>
  <c r="J4814" i="1"/>
  <c r="J4816" i="1"/>
  <c r="J4820" i="1"/>
  <c r="J4824" i="1"/>
  <c r="J4828" i="1"/>
  <c r="J4829" i="1"/>
  <c r="J4830" i="1"/>
  <c r="J4833" i="1"/>
  <c r="J4837" i="1"/>
  <c r="J4838" i="1"/>
  <c r="J4842" i="1"/>
  <c r="J4844" i="1"/>
  <c r="J4845" i="1"/>
  <c r="J4846" i="1"/>
  <c r="J4847" i="1"/>
  <c r="J4848" i="1"/>
  <c r="J4850" i="1"/>
  <c r="J4856" i="1"/>
  <c r="J4933" i="1"/>
  <c r="J4937" i="1"/>
  <c r="J4939" i="1"/>
  <c r="J4940" i="1"/>
  <c r="J4941" i="1"/>
  <c r="J4949" i="1"/>
  <c r="J4953" i="1"/>
  <c r="J4954" i="1"/>
  <c r="J4955" i="1"/>
  <c r="J4959" i="1"/>
  <c r="J4973" i="1"/>
  <c r="J4978" i="1"/>
  <c r="J4979" i="1"/>
  <c r="J4982" i="1"/>
  <c r="J4983" i="1"/>
  <c r="J4984" i="1"/>
  <c r="J4986" i="1"/>
  <c r="J4987" i="1"/>
  <c r="J4990" i="1"/>
  <c r="J5002" i="1"/>
  <c r="J5017" i="1"/>
  <c r="J5022" i="1"/>
  <c r="J5024" i="1"/>
  <c r="J5027" i="1"/>
  <c r="J5029" i="1"/>
  <c r="J5065" i="1"/>
  <c r="J5071" i="1"/>
  <c r="J5074" i="1"/>
  <c r="J5080" i="1"/>
  <c r="J5087" i="1"/>
  <c r="J5088" i="1"/>
  <c r="J5103" i="1"/>
  <c r="J5104" i="1"/>
  <c r="J5115" i="1"/>
  <c r="J5122" i="1"/>
  <c r="J5135" i="1"/>
  <c r="J5138" i="1"/>
  <c r="J5139" i="1"/>
  <c r="J5153" i="1"/>
  <c r="J5172" i="1"/>
  <c r="J5173" i="1"/>
  <c r="J5176" i="1"/>
  <c r="J5177" i="1"/>
  <c r="J5178" i="1"/>
  <c r="J5194" i="1"/>
  <c r="J5208" i="1"/>
  <c r="J5210" i="1"/>
  <c r="J5212" i="1"/>
  <c r="J5221" i="1"/>
  <c r="J5232" i="1"/>
  <c r="J5233" i="1"/>
  <c r="J5242" i="1"/>
  <c r="J5244" i="1"/>
  <c r="J5248" i="1"/>
  <c r="J5257" i="1"/>
  <c r="J5259" i="1"/>
  <c r="J5261" i="1"/>
  <c r="J5263" i="1"/>
  <c r="J5269" i="1"/>
  <c r="J5271" i="1"/>
  <c r="J5288" i="1"/>
  <c r="J5289" i="1"/>
  <c r="J5291" i="1"/>
  <c r="H5641" i="1" l="1"/>
  <c r="H5642" i="1"/>
  <c r="H5643" i="1"/>
  <c r="H5644" i="1"/>
  <c r="H5645" i="1"/>
  <c r="H5646" i="1"/>
  <c r="H5647" i="1"/>
  <c r="H5648" i="1"/>
  <c r="H5649" i="1"/>
  <c r="H5650" i="1"/>
  <c r="H5651" i="1"/>
  <c r="H5652" i="1"/>
  <c r="H5653" i="1"/>
  <c r="H5654" i="1"/>
  <c r="H5655" i="1"/>
  <c r="H5656" i="1"/>
  <c r="H5657" i="1"/>
  <c r="H5658" i="1"/>
  <c r="H5659" i="1"/>
  <c r="H5660" i="1"/>
  <c r="H5661" i="1"/>
  <c r="H5662" i="1"/>
  <c r="H5663" i="1"/>
  <c r="H5664" i="1"/>
  <c r="H5665" i="1"/>
  <c r="H5666" i="1"/>
  <c r="H5667" i="1"/>
  <c r="H5668" i="1"/>
  <c r="J5668" i="1"/>
  <c r="H5669" i="1"/>
  <c r="H5670" i="1"/>
  <c r="H5671" i="1"/>
  <c r="H5672" i="1"/>
  <c r="H5673" i="1"/>
  <c r="H5674" i="1"/>
  <c r="H5675" i="1"/>
  <c r="H5676" i="1"/>
  <c r="H5677" i="1"/>
  <c r="H5678" i="1"/>
  <c r="H5679" i="1"/>
  <c r="H5680" i="1"/>
  <c r="H5681" i="1"/>
  <c r="H5682" i="1"/>
  <c r="H5683" i="1"/>
  <c r="H5684" i="1"/>
  <c r="H5685" i="1"/>
  <c r="H5686" i="1"/>
  <c r="H5687" i="1"/>
  <c r="H5688" i="1"/>
  <c r="H5689" i="1"/>
  <c r="H5690" i="1"/>
  <c r="H5691" i="1"/>
  <c r="H5692" i="1"/>
  <c r="H5693" i="1"/>
  <c r="H5694" i="1"/>
  <c r="H5695" i="1"/>
  <c r="J5695" i="1"/>
  <c r="H5696" i="1"/>
  <c r="H5697" i="1"/>
  <c r="H5698" i="1"/>
  <c r="H5699" i="1"/>
  <c r="H5700" i="1"/>
  <c r="H5701" i="1"/>
  <c r="J5701" i="1"/>
  <c r="H5702" i="1"/>
  <c r="H5703" i="1"/>
  <c r="H5704" i="1"/>
  <c r="J5704" i="1"/>
  <c r="H5705" i="1"/>
  <c r="H5706" i="1"/>
  <c r="H5707" i="1"/>
  <c r="J5707" i="1"/>
  <c r="H5708" i="1"/>
  <c r="H5709" i="1"/>
  <c r="H5710" i="1"/>
  <c r="H5711" i="1"/>
  <c r="H5712" i="1"/>
  <c r="H5713" i="1"/>
  <c r="J5713" i="1"/>
  <c r="H5714" i="1"/>
  <c r="J5714" i="1"/>
  <c r="H5715" i="1"/>
  <c r="H5716" i="1"/>
  <c r="J5716" i="1"/>
  <c r="H5717" i="1"/>
  <c r="J5717" i="1"/>
  <c r="H5718" i="1"/>
  <c r="J5718" i="1"/>
  <c r="H5719" i="1"/>
  <c r="H5720" i="1"/>
  <c r="J5720" i="1"/>
  <c r="H5721" i="1"/>
  <c r="J5721" i="1"/>
  <c r="H5722" i="1"/>
  <c r="H5723" i="1"/>
  <c r="H5724" i="1"/>
  <c r="J5724" i="1"/>
  <c r="H5725" i="1"/>
  <c r="H5726" i="1"/>
  <c r="H5727" i="1"/>
  <c r="H5728" i="1"/>
  <c r="H5729" i="1"/>
  <c r="H5730" i="1"/>
  <c r="H5731" i="1"/>
  <c r="J5731" i="1"/>
  <c r="H5732" i="1"/>
  <c r="J5732" i="1"/>
  <c r="H5733" i="1"/>
  <c r="H5734" i="1"/>
  <c r="J5734" i="1"/>
  <c r="H5735" i="1"/>
  <c r="H5736" i="1"/>
  <c r="H5737" i="1"/>
  <c r="H5738" i="1"/>
  <c r="H5739" i="1"/>
  <c r="H5740" i="1"/>
  <c r="H5741" i="1"/>
  <c r="H5742" i="1"/>
  <c r="H5743" i="1"/>
  <c r="H5744" i="1"/>
  <c r="H5745" i="1"/>
  <c r="J5745" i="1"/>
  <c r="H5746" i="1"/>
  <c r="H5747" i="1"/>
  <c r="H5748" i="1"/>
  <c r="H5749" i="1"/>
  <c r="H5750" i="1"/>
  <c r="H5751" i="1"/>
  <c r="H5752" i="1"/>
  <c r="H5640" i="1" l="1"/>
  <c r="M5752" i="1"/>
  <c r="M5751" i="1"/>
  <c r="M5750" i="1"/>
  <c r="M5749" i="1"/>
  <c r="M5748" i="1"/>
  <c r="M5747" i="1"/>
  <c r="M5746" i="1"/>
  <c r="M5745" i="1"/>
  <c r="M5744" i="1"/>
  <c r="M5743" i="1"/>
  <c r="M5742" i="1"/>
  <c r="M5741" i="1"/>
  <c r="M5740" i="1"/>
  <c r="M5739" i="1"/>
  <c r="M5738" i="1"/>
  <c r="M5737" i="1"/>
  <c r="M5736" i="1"/>
  <c r="M5735" i="1"/>
  <c r="M5733" i="1"/>
  <c r="M5731" i="1"/>
  <c r="M5730" i="1"/>
  <c r="M5729" i="1"/>
  <c r="M5728" i="1"/>
  <c r="M5727" i="1"/>
  <c r="M5726" i="1"/>
  <c r="M5725" i="1"/>
  <c r="M5723" i="1"/>
  <c r="M5722" i="1"/>
  <c r="M5721" i="1"/>
  <c r="M5720" i="1"/>
  <c r="M5719" i="1"/>
  <c r="M5717" i="1"/>
  <c r="M5716" i="1"/>
  <c r="M5715" i="1"/>
  <c r="M5714" i="1"/>
  <c r="M5712" i="1"/>
  <c r="M5711" i="1"/>
  <c r="M5710" i="1"/>
  <c r="M5709" i="1"/>
  <c r="M5708" i="1"/>
  <c r="M5707" i="1"/>
  <c r="M5706" i="1"/>
  <c r="M5705" i="1"/>
  <c r="M5703" i="1"/>
  <c r="M5702" i="1"/>
  <c r="M5701" i="1"/>
  <c r="M5700" i="1"/>
  <c r="M5699" i="1"/>
  <c r="M5698" i="1"/>
  <c r="M5697" i="1"/>
  <c r="M5696" i="1"/>
  <c r="M5695" i="1"/>
  <c r="M5694" i="1"/>
  <c r="M5693" i="1"/>
  <c r="M5692" i="1"/>
  <c r="M5691" i="1"/>
  <c r="M5690" i="1"/>
  <c r="M5689" i="1"/>
  <c r="M5688" i="1"/>
  <c r="M5686" i="1"/>
  <c r="M5684" i="1"/>
  <c r="M5683" i="1"/>
  <c r="M5682" i="1"/>
  <c r="M5681" i="1"/>
  <c r="M5680" i="1"/>
  <c r="M5679" i="1"/>
  <c r="M5678" i="1"/>
  <c r="M5676" i="1"/>
  <c r="M5675" i="1"/>
  <c r="M5674" i="1"/>
  <c r="M5671" i="1"/>
  <c r="M5670" i="1"/>
  <c r="M5669" i="1"/>
  <c r="M5668" i="1"/>
  <c r="M5665" i="1"/>
  <c r="M5664" i="1"/>
  <c r="M5663" i="1"/>
  <c r="M5662" i="1"/>
  <c r="M5661" i="1"/>
  <c r="M5660" i="1"/>
  <c r="M5658" i="1"/>
  <c r="M5657" i="1"/>
  <c r="M5656" i="1"/>
  <c r="M5655" i="1"/>
  <c r="M5652" i="1"/>
  <c r="M5651" i="1"/>
  <c r="M5650" i="1"/>
  <c r="M5648" i="1"/>
  <c r="M5645" i="1"/>
  <c r="M5644" i="1"/>
  <c r="M5643" i="1"/>
  <c r="M5642" i="1"/>
  <c r="M5640" i="1"/>
  <c r="M5639" i="1"/>
  <c r="M5638" i="1"/>
  <c r="M5637" i="1"/>
  <c r="M5633" i="1"/>
  <c r="M5632" i="1"/>
  <c r="P5752" i="1"/>
  <c r="N5752" i="1"/>
  <c r="L5752" i="1"/>
  <c r="B5752" i="1"/>
  <c r="A5752" i="1"/>
  <c r="P5751" i="1"/>
  <c r="N5751" i="1"/>
  <c r="B5751" i="1"/>
  <c r="A5751" i="1"/>
  <c r="P5750" i="1"/>
  <c r="N5750" i="1"/>
  <c r="L5750" i="1"/>
  <c r="B5750" i="1"/>
  <c r="A5750" i="1"/>
  <c r="P5749" i="1"/>
  <c r="N5749" i="1"/>
  <c r="L5749" i="1"/>
  <c r="B5749" i="1"/>
  <c r="A5749" i="1"/>
  <c r="P5748" i="1"/>
  <c r="N5748" i="1"/>
  <c r="L5748" i="1"/>
  <c r="B5748" i="1"/>
  <c r="A5748" i="1"/>
  <c r="P5747" i="1"/>
  <c r="N5747" i="1"/>
  <c r="L5747" i="1"/>
  <c r="B5747" i="1"/>
  <c r="A5747" i="1"/>
  <c r="P5746" i="1"/>
  <c r="N5746" i="1"/>
  <c r="L5746" i="1"/>
  <c r="B5746" i="1"/>
  <c r="A5746" i="1"/>
  <c r="P5745" i="1"/>
  <c r="N5745" i="1"/>
  <c r="L5745" i="1"/>
  <c r="B5745" i="1"/>
  <c r="A5745" i="1"/>
  <c r="P5744" i="1"/>
  <c r="N5744" i="1"/>
  <c r="L5744" i="1"/>
  <c r="B5744" i="1"/>
  <c r="A5744" i="1"/>
  <c r="P5743" i="1"/>
  <c r="N5743" i="1"/>
  <c r="L5743" i="1"/>
  <c r="B5743" i="1"/>
  <c r="A5743" i="1"/>
  <c r="P5742" i="1"/>
  <c r="N5742" i="1"/>
  <c r="L5742" i="1"/>
  <c r="B5742" i="1"/>
  <c r="A5742" i="1"/>
  <c r="P5741" i="1"/>
  <c r="N5741" i="1"/>
  <c r="L5741" i="1"/>
  <c r="B5741" i="1"/>
  <c r="A5741" i="1"/>
  <c r="P5740" i="1"/>
  <c r="N5740" i="1"/>
  <c r="L5740" i="1"/>
  <c r="B5740" i="1"/>
  <c r="A5740" i="1"/>
  <c r="P5739" i="1"/>
  <c r="N5739" i="1"/>
  <c r="L5739" i="1"/>
  <c r="B5739" i="1"/>
  <c r="A5739" i="1"/>
  <c r="P5738" i="1"/>
  <c r="N5738" i="1"/>
  <c r="L5738" i="1"/>
  <c r="B5738" i="1"/>
  <c r="A5738" i="1"/>
  <c r="P5737" i="1"/>
  <c r="N5737" i="1"/>
  <c r="L5737" i="1"/>
  <c r="B5737" i="1"/>
  <c r="A5737" i="1"/>
  <c r="P5736" i="1"/>
  <c r="N5736" i="1"/>
  <c r="L5736" i="1"/>
  <c r="B5736" i="1"/>
  <c r="A5736" i="1"/>
  <c r="L5735" i="1"/>
  <c r="B5735" i="1"/>
  <c r="A5735" i="1"/>
  <c r="P5734" i="1"/>
  <c r="N5734" i="1"/>
  <c r="M5734" i="1"/>
  <c r="L5734" i="1"/>
  <c r="B5734" i="1"/>
  <c r="A5734" i="1"/>
  <c r="P5733" i="1"/>
  <c r="N5733" i="1"/>
  <c r="L5733" i="1"/>
  <c r="B5733" i="1"/>
  <c r="A5733" i="1"/>
  <c r="P5732" i="1"/>
  <c r="N5732" i="1"/>
  <c r="M5732" i="1"/>
  <c r="L5732" i="1"/>
  <c r="B5732" i="1"/>
  <c r="A5732" i="1"/>
  <c r="P5731" i="1"/>
  <c r="N5731" i="1"/>
  <c r="L5731" i="1"/>
  <c r="B5731" i="1"/>
  <c r="A5731" i="1"/>
  <c r="P5730" i="1"/>
  <c r="N5730" i="1"/>
  <c r="L5730" i="1"/>
  <c r="B5730" i="1"/>
  <c r="A5730" i="1"/>
  <c r="P5729" i="1"/>
  <c r="N5729" i="1"/>
  <c r="L5729" i="1"/>
  <c r="B5729" i="1"/>
  <c r="A5729" i="1"/>
  <c r="P5728" i="1"/>
  <c r="N5728" i="1"/>
  <c r="L5728" i="1"/>
  <c r="B5728" i="1"/>
  <c r="A5728" i="1"/>
  <c r="P5727" i="1"/>
  <c r="N5727" i="1"/>
  <c r="L5727" i="1"/>
  <c r="B5727" i="1"/>
  <c r="A5727" i="1"/>
  <c r="P5726" i="1"/>
  <c r="N5726" i="1"/>
  <c r="L5726" i="1"/>
  <c r="B5726" i="1"/>
  <c r="A5726" i="1"/>
  <c r="P5725" i="1"/>
  <c r="N5725" i="1"/>
  <c r="L5725" i="1"/>
  <c r="B5725" i="1"/>
  <c r="A5725" i="1"/>
  <c r="M5724" i="1"/>
  <c r="L5724" i="1"/>
  <c r="B5724" i="1"/>
  <c r="A5724" i="1"/>
  <c r="P5723" i="1"/>
  <c r="N5723" i="1"/>
  <c r="L5723" i="1"/>
  <c r="B5723" i="1"/>
  <c r="A5723" i="1"/>
  <c r="P5722" i="1"/>
  <c r="N5722" i="1"/>
  <c r="L5722" i="1"/>
  <c r="B5722" i="1"/>
  <c r="A5722" i="1"/>
  <c r="P5721" i="1"/>
  <c r="N5721" i="1"/>
  <c r="L5721" i="1"/>
  <c r="B5721" i="1"/>
  <c r="A5721" i="1"/>
  <c r="P5720" i="1"/>
  <c r="N5720" i="1"/>
  <c r="L5720" i="1"/>
  <c r="B5720" i="1"/>
  <c r="A5720" i="1"/>
  <c r="P5719" i="1"/>
  <c r="N5719" i="1"/>
  <c r="L5719" i="1"/>
  <c r="B5719" i="1"/>
  <c r="A5719" i="1"/>
  <c r="P5718" i="1"/>
  <c r="N5718" i="1"/>
  <c r="M5718" i="1"/>
  <c r="L5718" i="1"/>
  <c r="B5718" i="1"/>
  <c r="A5718" i="1"/>
  <c r="P5717" i="1"/>
  <c r="N5717" i="1"/>
  <c r="L5717" i="1"/>
  <c r="B5717" i="1"/>
  <c r="A5717" i="1"/>
  <c r="P5716" i="1"/>
  <c r="N5716" i="1"/>
  <c r="L5716" i="1"/>
  <c r="B5716" i="1"/>
  <c r="A5716" i="1"/>
  <c r="P5715" i="1"/>
  <c r="N5715" i="1"/>
  <c r="L5715" i="1"/>
  <c r="B5715" i="1"/>
  <c r="A5715" i="1"/>
  <c r="P5714" i="1"/>
  <c r="N5714" i="1"/>
  <c r="L5714" i="1"/>
  <c r="B5714" i="1"/>
  <c r="A5714" i="1"/>
  <c r="P5713" i="1"/>
  <c r="N5713" i="1"/>
  <c r="M5713" i="1"/>
  <c r="L5713" i="1"/>
  <c r="B5713" i="1"/>
  <c r="A5713" i="1"/>
  <c r="P5712" i="1"/>
  <c r="N5712" i="1"/>
  <c r="L5712" i="1"/>
  <c r="B5712" i="1"/>
  <c r="A5712" i="1"/>
  <c r="P5711" i="1"/>
  <c r="N5711" i="1"/>
  <c r="L5711" i="1"/>
  <c r="B5711" i="1"/>
  <c r="A5711" i="1"/>
  <c r="P5710" i="1"/>
  <c r="N5710" i="1"/>
  <c r="L5710" i="1"/>
  <c r="B5710" i="1"/>
  <c r="A5710" i="1"/>
  <c r="P5709" i="1"/>
  <c r="N5709" i="1"/>
  <c r="L5709" i="1"/>
  <c r="B5709" i="1"/>
  <c r="A5709" i="1"/>
  <c r="P5708" i="1"/>
  <c r="N5708" i="1"/>
  <c r="L5708" i="1"/>
  <c r="B5708" i="1"/>
  <c r="A5708" i="1"/>
  <c r="P5707" i="1"/>
  <c r="N5707" i="1"/>
  <c r="L5707" i="1"/>
  <c r="B5707" i="1"/>
  <c r="A5707" i="1"/>
  <c r="P5706" i="1"/>
  <c r="N5706" i="1"/>
  <c r="L5706" i="1"/>
  <c r="B5706" i="1"/>
  <c r="A5706" i="1"/>
  <c r="P5705" i="1"/>
  <c r="N5705" i="1"/>
  <c r="L5705" i="1"/>
  <c r="B5705" i="1"/>
  <c r="A5705" i="1"/>
  <c r="P5704" i="1"/>
  <c r="N5704" i="1"/>
  <c r="M5704" i="1"/>
  <c r="L5704" i="1"/>
  <c r="B5704" i="1"/>
  <c r="A5704" i="1"/>
  <c r="P5703" i="1"/>
  <c r="N5703" i="1"/>
  <c r="L5703" i="1"/>
  <c r="B5703" i="1"/>
  <c r="A5703" i="1"/>
  <c r="P5702" i="1"/>
  <c r="N5702" i="1"/>
  <c r="L5702" i="1"/>
  <c r="B5702" i="1"/>
  <c r="A5702" i="1"/>
  <c r="P5701" i="1"/>
  <c r="N5701" i="1"/>
  <c r="L5701" i="1"/>
  <c r="B5701" i="1"/>
  <c r="A5701" i="1"/>
  <c r="P5700" i="1"/>
  <c r="N5700" i="1"/>
  <c r="L5700" i="1"/>
  <c r="B5700" i="1"/>
  <c r="A5700" i="1"/>
  <c r="P5699" i="1"/>
  <c r="N5699" i="1"/>
  <c r="L5699" i="1"/>
  <c r="B5699" i="1"/>
  <c r="A5699" i="1"/>
  <c r="P5698" i="1"/>
  <c r="N5698" i="1"/>
  <c r="L5698" i="1"/>
  <c r="B5698" i="1"/>
  <c r="A5698" i="1"/>
  <c r="P5697" i="1"/>
  <c r="N5697" i="1"/>
  <c r="L5697" i="1"/>
  <c r="B5697" i="1"/>
  <c r="A5697" i="1"/>
  <c r="P5696" i="1"/>
  <c r="N5696" i="1"/>
  <c r="L5696" i="1"/>
  <c r="B5696" i="1"/>
  <c r="A5696" i="1"/>
  <c r="P5695" i="1"/>
  <c r="N5695" i="1"/>
  <c r="L5695" i="1"/>
  <c r="B5695" i="1"/>
  <c r="A5695" i="1"/>
  <c r="P5694" i="1"/>
  <c r="N5694" i="1"/>
  <c r="L5694" i="1"/>
  <c r="B5694" i="1"/>
  <c r="A5694" i="1"/>
  <c r="P5693" i="1"/>
  <c r="N5693" i="1"/>
  <c r="L5693" i="1"/>
  <c r="B5693" i="1"/>
  <c r="A5693" i="1"/>
  <c r="P5692" i="1"/>
  <c r="N5692" i="1"/>
  <c r="L5692" i="1"/>
  <c r="B5692" i="1"/>
  <c r="A5692" i="1"/>
  <c r="P5691" i="1"/>
  <c r="N5691" i="1"/>
  <c r="L5691" i="1"/>
  <c r="B5691" i="1"/>
  <c r="A5691" i="1"/>
  <c r="P5690" i="1"/>
  <c r="N5690" i="1"/>
  <c r="L5690" i="1"/>
  <c r="B5690" i="1"/>
  <c r="A5690" i="1"/>
  <c r="P5689" i="1"/>
  <c r="N5689" i="1"/>
  <c r="L5689" i="1"/>
  <c r="B5689" i="1"/>
  <c r="A5689" i="1"/>
  <c r="P5688" i="1"/>
  <c r="N5688" i="1"/>
  <c r="L5688" i="1"/>
  <c r="B5688" i="1"/>
  <c r="A5688" i="1"/>
  <c r="H5365" i="1"/>
  <c r="J5365" i="1"/>
  <c r="H5366" i="1"/>
  <c r="H5367" i="1"/>
  <c r="H5368" i="1"/>
  <c r="J5368" i="1"/>
  <c r="H5369" i="1"/>
  <c r="J5369" i="1"/>
  <c r="H5370" i="1"/>
  <c r="H5371" i="1"/>
  <c r="H5372" i="1"/>
  <c r="H5373" i="1"/>
  <c r="H5374" i="1"/>
  <c r="H5375" i="1"/>
  <c r="H5376" i="1"/>
  <c r="H5377" i="1"/>
  <c r="H5378" i="1"/>
  <c r="H5379" i="1"/>
  <c r="H5380" i="1"/>
  <c r="H5381" i="1"/>
  <c r="H5382" i="1"/>
  <c r="H5383" i="1"/>
  <c r="J5383" i="1"/>
  <c r="H5384" i="1"/>
  <c r="H5385" i="1"/>
  <c r="H5386" i="1"/>
  <c r="H5387" i="1"/>
  <c r="H5388" i="1"/>
  <c r="J5388" i="1"/>
  <c r="H5389" i="1"/>
  <c r="H5390" i="1"/>
  <c r="H5391" i="1"/>
  <c r="H5392" i="1"/>
  <c r="H5393" i="1"/>
  <c r="H5394" i="1"/>
  <c r="H5395" i="1"/>
  <c r="H5396" i="1"/>
  <c r="H5397" i="1"/>
  <c r="H5398" i="1"/>
  <c r="H5399" i="1"/>
  <c r="H5400" i="1"/>
  <c r="H5401" i="1"/>
  <c r="H5402" i="1"/>
  <c r="H5403" i="1"/>
  <c r="H5404" i="1"/>
  <c r="H5405" i="1"/>
  <c r="H5406" i="1"/>
  <c r="J5406" i="1"/>
  <c r="H5407" i="1"/>
  <c r="H5408" i="1"/>
  <c r="J5408" i="1"/>
  <c r="H5409" i="1"/>
  <c r="H5410" i="1"/>
  <c r="H5411" i="1"/>
  <c r="H5412" i="1"/>
  <c r="H5413" i="1"/>
  <c r="H5414" i="1"/>
  <c r="J5414" i="1"/>
  <c r="H5415" i="1"/>
  <c r="H5416" i="1"/>
  <c r="H5417" i="1"/>
  <c r="H5418" i="1"/>
  <c r="H5419" i="1"/>
  <c r="J5419" i="1"/>
  <c r="H5420" i="1"/>
  <c r="H5421" i="1"/>
  <c r="H5422" i="1"/>
  <c r="H5423" i="1"/>
  <c r="H5424" i="1"/>
  <c r="H5425" i="1"/>
  <c r="H5426" i="1"/>
  <c r="H5427" i="1"/>
  <c r="H5428" i="1"/>
  <c r="H5429" i="1"/>
  <c r="H5430" i="1"/>
  <c r="H5431" i="1"/>
  <c r="H5432" i="1"/>
  <c r="H5433" i="1"/>
  <c r="H5434" i="1"/>
  <c r="H5435" i="1"/>
  <c r="H5436" i="1"/>
  <c r="H5437" i="1"/>
  <c r="H5438" i="1"/>
  <c r="H5439" i="1"/>
  <c r="H5440" i="1"/>
  <c r="J5440" i="1"/>
  <c r="H5441" i="1"/>
  <c r="H5442" i="1"/>
  <c r="H5443" i="1"/>
  <c r="H5444" i="1"/>
  <c r="H5445" i="1"/>
  <c r="H5446" i="1"/>
  <c r="H5447" i="1"/>
  <c r="H5448" i="1"/>
  <c r="H5449" i="1"/>
  <c r="H5450" i="1"/>
  <c r="H5451" i="1"/>
  <c r="H5452" i="1"/>
  <c r="H5453" i="1"/>
  <c r="H5454" i="1"/>
  <c r="H5455" i="1"/>
  <c r="H5456" i="1"/>
  <c r="H5457" i="1"/>
  <c r="H5458" i="1"/>
  <c r="H5459" i="1"/>
  <c r="H5460" i="1"/>
  <c r="H5461" i="1"/>
  <c r="H5462" i="1"/>
  <c r="J5462" i="1"/>
  <c r="H5463" i="1"/>
  <c r="H5464" i="1"/>
  <c r="H5465" i="1"/>
  <c r="H5466" i="1"/>
  <c r="H5467" i="1"/>
  <c r="H5468" i="1"/>
  <c r="H5469" i="1"/>
  <c r="H5470" i="1"/>
  <c r="H5471" i="1"/>
  <c r="J5471" i="1"/>
  <c r="H5472" i="1"/>
  <c r="H5473" i="1"/>
  <c r="H5474" i="1"/>
  <c r="J5474" i="1"/>
  <c r="H5475" i="1"/>
  <c r="H5476" i="1"/>
  <c r="H5477" i="1"/>
  <c r="H5478" i="1"/>
  <c r="J5478" i="1"/>
  <c r="H5479" i="1"/>
  <c r="H5480" i="1"/>
  <c r="H5481" i="1"/>
  <c r="H5482" i="1"/>
  <c r="H5483" i="1"/>
  <c r="H5484" i="1"/>
  <c r="J5484" i="1"/>
  <c r="H5485" i="1"/>
  <c r="H5486" i="1"/>
  <c r="H5487" i="1"/>
  <c r="H5488" i="1"/>
  <c r="H5489" i="1"/>
  <c r="H5490" i="1"/>
  <c r="H5491" i="1"/>
  <c r="H5492" i="1"/>
  <c r="H5493" i="1"/>
  <c r="H5494" i="1"/>
  <c r="J5494" i="1"/>
  <c r="H5495" i="1"/>
  <c r="H5496" i="1"/>
  <c r="J5496" i="1"/>
  <c r="H5497" i="1"/>
  <c r="H5498" i="1"/>
  <c r="H5499" i="1"/>
  <c r="J5499" i="1"/>
  <c r="H5500" i="1"/>
  <c r="H5501" i="1"/>
  <c r="H5502" i="1"/>
  <c r="H5503" i="1"/>
  <c r="H5504" i="1"/>
  <c r="H5505" i="1"/>
  <c r="J5505" i="1"/>
  <c r="H5506" i="1"/>
  <c r="H5507" i="1"/>
  <c r="H5508" i="1"/>
  <c r="H5509" i="1"/>
  <c r="H5510" i="1"/>
  <c r="H5511" i="1"/>
  <c r="H5512" i="1"/>
  <c r="H5513" i="1"/>
  <c r="H5514" i="1"/>
  <c r="H5515" i="1"/>
  <c r="H5516" i="1"/>
  <c r="H5517" i="1"/>
  <c r="J5517" i="1"/>
  <c r="H5518" i="1"/>
  <c r="H5519" i="1"/>
  <c r="H5520" i="1"/>
  <c r="H5521" i="1"/>
  <c r="H5522" i="1"/>
  <c r="H5523" i="1"/>
  <c r="H5524" i="1"/>
  <c r="H5525" i="1"/>
  <c r="J5525" i="1"/>
  <c r="H5526" i="1"/>
  <c r="H5527" i="1"/>
  <c r="H5528" i="1"/>
  <c r="H5529" i="1"/>
  <c r="H5530" i="1"/>
  <c r="J5530" i="1"/>
  <c r="H5531" i="1"/>
  <c r="H5532" i="1"/>
  <c r="H5533" i="1"/>
  <c r="H5534" i="1"/>
  <c r="H5535" i="1"/>
  <c r="H5536" i="1"/>
  <c r="H5537" i="1"/>
  <c r="H5538" i="1"/>
  <c r="J5538" i="1"/>
  <c r="H5539" i="1"/>
  <c r="J5539" i="1"/>
  <c r="H5540" i="1"/>
  <c r="J5540" i="1"/>
  <c r="H5541" i="1"/>
  <c r="H5542" i="1"/>
  <c r="H5543" i="1"/>
  <c r="H5544" i="1"/>
  <c r="H5545" i="1"/>
  <c r="H5546" i="1"/>
  <c r="H5547" i="1"/>
  <c r="J5547" i="1"/>
  <c r="H5548" i="1"/>
  <c r="H5549" i="1"/>
  <c r="J5549" i="1"/>
  <c r="H5550" i="1"/>
  <c r="H5551" i="1"/>
  <c r="H5552" i="1"/>
  <c r="H5553" i="1"/>
  <c r="H5554" i="1"/>
  <c r="J5554" i="1"/>
  <c r="H5555" i="1"/>
  <c r="J5555" i="1"/>
  <c r="H5556" i="1"/>
  <c r="J5556" i="1"/>
  <c r="H5557" i="1"/>
  <c r="J5557" i="1"/>
  <c r="H5558" i="1"/>
  <c r="H5559" i="1"/>
  <c r="H5560" i="1"/>
  <c r="H5561" i="1"/>
  <c r="H5562" i="1"/>
  <c r="H5563" i="1"/>
  <c r="H5564" i="1"/>
  <c r="H5565" i="1"/>
  <c r="H5566" i="1"/>
  <c r="H5567" i="1"/>
  <c r="J5567" i="1"/>
  <c r="H5568" i="1"/>
  <c r="H5569" i="1"/>
  <c r="H5570" i="1"/>
  <c r="H5571" i="1"/>
  <c r="H5572" i="1"/>
  <c r="J5572" i="1"/>
  <c r="H5573" i="1"/>
  <c r="H5574" i="1"/>
  <c r="H5575" i="1"/>
  <c r="H5576" i="1"/>
  <c r="H5577" i="1"/>
  <c r="H5578" i="1"/>
  <c r="J5578" i="1"/>
  <c r="H5579" i="1"/>
  <c r="H5580" i="1"/>
  <c r="H5581" i="1"/>
  <c r="H5582" i="1"/>
  <c r="H5583" i="1"/>
  <c r="H5584" i="1"/>
  <c r="H5585" i="1"/>
  <c r="H5586" i="1"/>
  <c r="H5587" i="1"/>
  <c r="H5588" i="1"/>
  <c r="H5589" i="1"/>
  <c r="H5590" i="1"/>
  <c r="H5591" i="1"/>
  <c r="H5592" i="1"/>
  <c r="H5593" i="1"/>
  <c r="H5594" i="1"/>
  <c r="H5595" i="1"/>
  <c r="H5596" i="1"/>
  <c r="H5597" i="1"/>
  <c r="H5598" i="1"/>
  <c r="H5599" i="1"/>
  <c r="H5600" i="1"/>
  <c r="H5601" i="1"/>
  <c r="H5602" i="1"/>
  <c r="H5603" i="1"/>
  <c r="H5604" i="1"/>
  <c r="H5605" i="1"/>
  <c r="H5606" i="1"/>
  <c r="H5607" i="1"/>
  <c r="H5608" i="1"/>
  <c r="J5608" i="1"/>
  <c r="H5609" i="1"/>
  <c r="H5610" i="1"/>
  <c r="H5611" i="1"/>
  <c r="H5612" i="1"/>
  <c r="H5613" i="1"/>
  <c r="H5614" i="1"/>
  <c r="H5615" i="1"/>
  <c r="H5616" i="1"/>
  <c r="H5617" i="1"/>
  <c r="J5617" i="1"/>
  <c r="H5618" i="1"/>
  <c r="H5619" i="1"/>
  <c r="J5619" i="1"/>
  <c r="H5620" i="1"/>
  <c r="J5620" i="1"/>
  <c r="H5621" i="1"/>
  <c r="H5622" i="1"/>
  <c r="H5623" i="1"/>
  <c r="H5624" i="1"/>
  <c r="H5625" i="1"/>
  <c r="H5626" i="1"/>
  <c r="H5627" i="1"/>
  <c r="H5628" i="1"/>
  <c r="H5629" i="1"/>
  <c r="H5630" i="1"/>
  <c r="H5631" i="1"/>
  <c r="H5632" i="1"/>
  <c r="H5633" i="1"/>
  <c r="H5634" i="1"/>
  <c r="J5634" i="1"/>
  <c r="H5635" i="1"/>
  <c r="H5636" i="1"/>
  <c r="H5637" i="1"/>
  <c r="H5638" i="1"/>
  <c r="H5639" i="1"/>
  <c r="P5639" i="1"/>
  <c r="N5639" i="1"/>
  <c r="L5639" i="1"/>
  <c r="G5639" i="1"/>
  <c r="B5639" i="1"/>
  <c r="A5639" i="1"/>
  <c r="P5638" i="1"/>
  <c r="N5638" i="1"/>
  <c r="L5638" i="1"/>
  <c r="G5638" i="1"/>
  <c r="B5638" i="1"/>
  <c r="A5638" i="1"/>
  <c r="P5637" i="1"/>
  <c r="N5637" i="1"/>
  <c r="L5637" i="1"/>
  <c r="G5637" i="1"/>
  <c r="B5637" i="1"/>
  <c r="A5637" i="1"/>
  <c r="P5636" i="1"/>
  <c r="N5636" i="1"/>
  <c r="M5636" i="1"/>
  <c r="L5636" i="1"/>
  <c r="G5636" i="1"/>
  <c r="B5636" i="1"/>
  <c r="A5636" i="1"/>
  <c r="P5635" i="1"/>
  <c r="N5635" i="1"/>
  <c r="M5635" i="1"/>
  <c r="L5635" i="1"/>
  <c r="G5635" i="1"/>
  <c r="B5635" i="1"/>
  <c r="A5635" i="1"/>
  <c r="P5634" i="1"/>
  <c r="N5634" i="1"/>
  <c r="M5634" i="1"/>
  <c r="L5634" i="1"/>
  <c r="G5634" i="1"/>
  <c r="B5634" i="1"/>
  <c r="A5634" i="1"/>
  <c r="P5633" i="1"/>
  <c r="N5633" i="1"/>
  <c r="L5633" i="1"/>
  <c r="G5633" i="1"/>
  <c r="B5633" i="1"/>
  <c r="A5633" i="1"/>
  <c r="P5632" i="1"/>
  <c r="N5632" i="1"/>
  <c r="L5632" i="1"/>
  <c r="G5632" i="1"/>
  <c r="B5632" i="1"/>
  <c r="A5632" i="1"/>
  <c r="P5631" i="1"/>
  <c r="N5631" i="1"/>
  <c r="M5631" i="1"/>
  <c r="L5631" i="1"/>
  <c r="G5631" i="1"/>
  <c r="B5631" i="1"/>
  <c r="A5631" i="1"/>
  <c r="P5630" i="1"/>
  <c r="N5630" i="1"/>
  <c r="M5630" i="1"/>
  <c r="L5630" i="1"/>
  <c r="G5630" i="1"/>
  <c r="B5630" i="1"/>
  <c r="A5630" i="1"/>
  <c r="P5629" i="1"/>
  <c r="N5629" i="1"/>
  <c r="M5629" i="1"/>
  <c r="L5629" i="1"/>
  <c r="G5629" i="1"/>
  <c r="B5629" i="1"/>
  <c r="A5629" i="1"/>
  <c r="P5628" i="1"/>
  <c r="N5628" i="1"/>
  <c r="M5628" i="1"/>
  <c r="L5628" i="1"/>
  <c r="G5628" i="1"/>
  <c r="B5628" i="1"/>
  <c r="A5628" i="1"/>
  <c r="P5627" i="1"/>
  <c r="N5627" i="1"/>
  <c r="M5627" i="1"/>
  <c r="L5627" i="1"/>
  <c r="G5627" i="1"/>
  <c r="B5627" i="1"/>
  <c r="A5627" i="1"/>
  <c r="P5626" i="1"/>
  <c r="N5626" i="1"/>
  <c r="M5626" i="1"/>
  <c r="L5626" i="1"/>
  <c r="G5626" i="1"/>
  <c r="B5626" i="1"/>
  <c r="A5626" i="1"/>
  <c r="P5625" i="1"/>
  <c r="N5625" i="1"/>
  <c r="M5625" i="1"/>
  <c r="L5625" i="1"/>
  <c r="G5625" i="1"/>
  <c r="B5625" i="1"/>
  <c r="A5625" i="1"/>
  <c r="P5624" i="1"/>
  <c r="N5624" i="1"/>
  <c r="M5624" i="1"/>
  <c r="L5624" i="1"/>
  <c r="G5624" i="1"/>
  <c r="B5624" i="1"/>
  <c r="A5624" i="1"/>
  <c r="P5623" i="1"/>
  <c r="N5623" i="1"/>
  <c r="M5623" i="1"/>
  <c r="L5623" i="1"/>
  <c r="G5623" i="1"/>
  <c r="B5623" i="1"/>
  <c r="A5623" i="1"/>
  <c r="P5622" i="1"/>
  <c r="N5622" i="1"/>
  <c r="M5622" i="1"/>
  <c r="L5622" i="1"/>
  <c r="G5622" i="1"/>
  <c r="B5622" i="1"/>
  <c r="A5622" i="1"/>
  <c r="P5621" i="1"/>
  <c r="N5621" i="1"/>
  <c r="M5621" i="1"/>
  <c r="L5621" i="1"/>
  <c r="G5621" i="1"/>
  <c r="B5621" i="1"/>
  <c r="A5621" i="1"/>
  <c r="P5620" i="1"/>
  <c r="N5620" i="1"/>
  <c r="M5620" i="1"/>
  <c r="L5620" i="1"/>
  <c r="G5620" i="1"/>
  <c r="B5620" i="1"/>
  <c r="A5620" i="1"/>
  <c r="P5619" i="1"/>
  <c r="N5619" i="1"/>
  <c r="M5619" i="1"/>
  <c r="L5619" i="1"/>
  <c r="G5619" i="1"/>
  <c r="B5619" i="1"/>
  <c r="A5619" i="1"/>
  <c r="P5618" i="1"/>
  <c r="N5618" i="1"/>
  <c r="M5618" i="1"/>
  <c r="L5618" i="1"/>
  <c r="G5618" i="1"/>
  <c r="B5618" i="1"/>
  <c r="A5618" i="1"/>
  <c r="P5617" i="1"/>
  <c r="N5617" i="1"/>
  <c r="M5617" i="1"/>
  <c r="L5617" i="1"/>
  <c r="G5617" i="1"/>
  <c r="B5617" i="1"/>
  <c r="A5617" i="1"/>
  <c r="P5616" i="1"/>
  <c r="N5616" i="1"/>
  <c r="M5616" i="1"/>
  <c r="L5616" i="1"/>
  <c r="G5616" i="1"/>
  <c r="B5616" i="1"/>
  <c r="A5616" i="1"/>
  <c r="P5615" i="1"/>
  <c r="N5615" i="1"/>
  <c r="M5615" i="1"/>
  <c r="L5615" i="1"/>
  <c r="G5615" i="1"/>
  <c r="B5615" i="1"/>
  <c r="A5615" i="1"/>
  <c r="P5614" i="1"/>
  <c r="N5614" i="1"/>
  <c r="M5614" i="1"/>
  <c r="L5614" i="1"/>
  <c r="G5614" i="1"/>
  <c r="B5614" i="1"/>
  <c r="A5614" i="1"/>
  <c r="P5613" i="1"/>
  <c r="N5613" i="1"/>
  <c r="M5613" i="1"/>
  <c r="L5613" i="1"/>
  <c r="G5613" i="1"/>
  <c r="B5613" i="1"/>
  <c r="A5613" i="1"/>
  <c r="P5612" i="1"/>
  <c r="N5612" i="1"/>
  <c r="M5612" i="1"/>
  <c r="L5612" i="1"/>
  <c r="G5612" i="1"/>
  <c r="B5612" i="1"/>
  <c r="A5612" i="1"/>
  <c r="P5611" i="1"/>
  <c r="N5611" i="1"/>
  <c r="M5611" i="1"/>
  <c r="L5611" i="1"/>
  <c r="G5611" i="1"/>
  <c r="B5611" i="1"/>
  <c r="A5611" i="1"/>
  <c r="P5610" i="1"/>
  <c r="N5610" i="1"/>
  <c r="M5610" i="1"/>
  <c r="L5610" i="1"/>
  <c r="G5610" i="1"/>
  <c r="B5610" i="1"/>
  <c r="A5610" i="1"/>
  <c r="P5609" i="1"/>
  <c r="N5609" i="1"/>
  <c r="M5609" i="1"/>
  <c r="L5609" i="1"/>
  <c r="G5609" i="1"/>
  <c r="B5609" i="1"/>
  <c r="A5609" i="1"/>
  <c r="P5608" i="1"/>
  <c r="N5608" i="1"/>
  <c r="M5608" i="1"/>
  <c r="L5608" i="1"/>
  <c r="G5608" i="1"/>
  <c r="B5608" i="1"/>
  <c r="A5608" i="1"/>
  <c r="P5607" i="1"/>
  <c r="N5607" i="1"/>
  <c r="M5607" i="1"/>
  <c r="L5607" i="1"/>
  <c r="G5607" i="1"/>
  <c r="B5607" i="1"/>
  <c r="A5607" i="1"/>
  <c r="P5606" i="1"/>
  <c r="N5606" i="1"/>
  <c r="M5606" i="1"/>
  <c r="L5606" i="1"/>
  <c r="G5606" i="1"/>
  <c r="B5606" i="1"/>
  <c r="A5606" i="1"/>
  <c r="P5605" i="1"/>
  <c r="N5605" i="1"/>
  <c r="M5605" i="1"/>
  <c r="L5605" i="1"/>
  <c r="G5605" i="1"/>
  <c r="B5605" i="1"/>
  <c r="A5605" i="1"/>
  <c r="P5604" i="1"/>
  <c r="N5604" i="1"/>
  <c r="M5604" i="1"/>
  <c r="L5604" i="1"/>
  <c r="G5604" i="1"/>
  <c r="B5604" i="1"/>
  <c r="A5604" i="1"/>
  <c r="P5603" i="1"/>
  <c r="N5603" i="1"/>
  <c r="M5603" i="1"/>
  <c r="L5603" i="1"/>
  <c r="G5603" i="1"/>
  <c r="B5603" i="1"/>
  <c r="A5603" i="1"/>
  <c r="P5602" i="1"/>
  <c r="N5602" i="1"/>
  <c r="M5602" i="1"/>
  <c r="L5602" i="1"/>
  <c r="G5602" i="1"/>
  <c r="B5602" i="1"/>
  <c r="A5602" i="1"/>
  <c r="P5601" i="1"/>
  <c r="N5601" i="1"/>
  <c r="M5601" i="1"/>
  <c r="L5601" i="1"/>
  <c r="G5601" i="1"/>
  <c r="B5601" i="1"/>
  <c r="A5601" i="1"/>
  <c r="P5600" i="1"/>
  <c r="N5600" i="1"/>
  <c r="M5600" i="1"/>
  <c r="L5600" i="1"/>
  <c r="G5600" i="1"/>
  <c r="B5600" i="1"/>
  <c r="A5600" i="1"/>
  <c r="P5599" i="1"/>
  <c r="N5599" i="1"/>
  <c r="M5599" i="1"/>
  <c r="L5599" i="1"/>
  <c r="G5599" i="1"/>
  <c r="B5599" i="1"/>
  <c r="A5599" i="1"/>
  <c r="P5598" i="1"/>
  <c r="N5598" i="1"/>
  <c r="M5598" i="1"/>
  <c r="L5598" i="1"/>
  <c r="G5598" i="1"/>
  <c r="B5598" i="1"/>
  <c r="A5598" i="1"/>
  <c r="P5597" i="1"/>
  <c r="N5597" i="1"/>
  <c r="M5597" i="1"/>
  <c r="L5597" i="1"/>
  <c r="G5597" i="1"/>
  <c r="B5597" i="1"/>
  <c r="A5597" i="1"/>
  <c r="P5596" i="1"/>
  <c r="N5596" i="1"/>
  <c r="M5596" i="1"/>
  <c r="L5596" i="1"/>
  <c r="G5596" i="1"/>
  <c r="B5596" i="1"/>
  <c r="A5596" i="1"/>
  <c r="P5595" i="1"/>
  <c r="N5595" i="1"/>
  <c r="M5595" i="1"/>
  <c r="L5595" i="1"/>
  <c r="G5595" i="1"/>
  <c r="B5595" i="1"/>
  <c r="A5595" i="1"/>
  <c r="P5594" i="1"/>
  <c r="N5594" i="1"/>
  <c r="M5594" i="1"/>
  <c r="L5594" i="1"/>
  <c r="G5594" i="1"/>
  <c r="B5594" i="1"/>
  <c r="A5594" i="1"/>
  <c r="P5593" i="1"/>
  <c r="N5593" i="1"/>
  <c r="M5593" i="1"/>
  <c r="L5593" i="1"/>
  <c r="G5593" i="1"/>
  <c r="B5593" i="1"/>
  <c r="A5593" i="1"/>
  <c r="P5592" i="1"/>
  <c r="N5592" i="1"/>
  <c r="M5592" i="1"/>
  <c r="L5592" i="1"/>
  <c r="G5592" i="1"/>
  <c r="B5592" i="1"/>
  <c r="A5592" i="1"/>
  <c r="P5591" i="1"/>
  <c r="N5591" i="1"/>
  <c r="M5591" i="1"/>
  <c r="L5591" i="1"/>
  <c r="G5591" i="1"/>
  <c r="B5591" i="1"/>
  <c r="A5591" i="1"/>
  <c r="P5590" i="1"/>
  <c r="N5590" i="1"/>
  <c r="M5590" i="1"/>
  <c r="L5590" i="1"/>
  <c r="G5590" i="1"/>
  <c r="B5590" i="1"/>
  <c r="A5590" i="1"/>
  <c r="P5589" i="1"/>
  <c r="N5589" i="1"/>
  <c r="M5589" i="1"/>
  <c r="L5589" i="1"/>
  <c r="G5589" i="1"/>
  <c r="B5589" i="1"/>
  <c r="A5589" i="1"/>
  <c r="P5588" i="1"/>
  <c r="N5588" i="1"/>
  <c r="M5588" i="1"/>
  <c r="L5588" i="1"/>
  <c r="G5588" i="1"/>
  <c r="B5588" i="1"/>
  <c r="A5588" i="1"/>
  <c r="P5587" i="1"/>
  <c r="N5587" i="1"/>
  <c r="M5587" i="1"/>
  <c r="L5587" i="1"/>
  <c r="G5587" i="1"/>
  <c r="B5587" i="1"/>
  <c r="A5587" i="1"/>
  <c r="P5586" i="1"/>
  <c r="N5586" i="1"/>
  <c r="M5586" i="1"/>
  <c r="L5586" i="1"/>
  <c r="G5586" i="1"/>
  <c r="B5586" i="1"/>
  <c r="A5586" i="1"/>
  <c r="P5585" i="1"/>
  <c r="N5585" i="1"/>
  <c r="M5585" i="1"/>
  <c r="L5585" i="1"/>
  <c r="G5585" i="1"/>
  <c r="B5585" i="1"/>
  <c r="A5585" i="1"/>
  <c r="P5584" i="1"/>
  <c r="N5584" i="1"/>
  <c r="M5584" i="1"/>
  <c r="L5584" i="1"/>
  <c r="G5584" i="1"/>
  <c r="B5584" i="1"/>
  <c r="A5584" i="1"/>
  <c r="P5583" i="1"/>
  <c r="N5583" i="1"/>
  <c r="M5583" i="1"/>
  <c r="L5583" i="1"/>
  <c r="G5583" i="1"/>
  <c r="B5583" i="1"/>
  <c r="A5583" i="1"/>
  <c r="P5582" i="1"/>
  <c r="N5582" i="1"/>
  <c r="M5582" i="1"/>
  <c r="L5582" i="1"/>
  <c r="G5582" i="1"/>
  <c r="B5582" i="1"/>
  <c r="A5582" i="1"/>
  <c r="P5581" i="1"/>
  <c r="N5581" i="1"/>
  <c r="M5581" i="1"/>
  <c r="L5581" i="1"/>
  <c r="G5581" i="1"/>
  <c r="B5581" i="1"/>
  <c r="A5581" i="1"/>
  <c r="P5580" i="1"/>
  <c r="N5580" i="1"/>
  <c r="M5580" i="1"/>
  <c r="L5580" i="1"/>
  <c r="G5580" i="1"/>
  <c r="B5580" i="1"/>
  <c r="A5580" i="1"/>
  <c r="P5579" i="1"/>
  <c r="N5579" i="1"/>
  <c r="M5579" i="1"/>
  <c r="L5579" i="1"/>
  <c r="G5579" i="1"/>
  <c r="B5579" i="1"/>
  <c r="A5579" i="1"/>
  <c r="P5578" i="1"/>
  <c r="N5578" i="1"/>
  <c r="M5578" i="1"/>
  <c r="L5578" i="1"/>
  <c r="G5578" i="1"/>
  <c r="B5578" i="1"/>
  <c r="A5578" i="1"/>
  <c r="P5577" i="1"/>
  <c r="N5577" i="1"/>
  <c r="M5577" i="1"/>
  <c r="L5577" i="1"/>
  <c r="G5577" i="1"/>
  <c r="B5577" i="1"/>
  <c r="A5577" i="1"/>
  <c r="P5576" i="1"/>
  <c r="N5576" i="1"/>
  <c r="M5576" i="1"/>
  <c r="L5576" i="1"/>
  <c r="G5576" i="1"/>
  <c r="B5576" i="1"/>
  <c r="A5576" i="1"/>
  <c r="P5575" i="1"/>
  <c r="N5575" i="1"/>
  <c r="M5575" i="1"/>
  <c r="L5575" i="1"/>
  <c r="G5575" i="1"/>
  <c r="B5575" i="1"/>
  <c r="A5575" i="1"/>
  <c r="P5574" i="1"/>
  <c r="N5574" i="1"/>
  <c r="M5574" i="1"/>
  <c r="L5574" i="1"/>
  <c r="G5574" i="1"/>
  <c r="B5574" i="1"/>
  <c r="A5574" i="1"/>
  <c r="P5573" i="1"/>
  <c r="N5573" i="1"/>
  <c r="M5573" i="1"/>
  <c r="L5573" i="1"/>
  <c r="G5573" i="1"/>
  <c r="B5573" i="1"/>
  <c r="A5573" i="1"/>
  <c r="P5572" i="1"/>
  <c r="N5572" i="1"/>
  <c r="L5572" i="1"/>
  <c r="G5572" i="1"/>
  <c r="B5572" i="1"/>
  <c r="A5572" i="1"/>
  <c r="P5571" i="1"/>
  <c r="N5571" i="1"/>
  <c r="M5571" i="1"/>
  <c r="L5571" i="1"/>
  <c r="G5571" i="1"/>
  <c r="B5571" i="1"/>
  <c r="A5571" i="1"/>
  <c r="P5570" i="1"/>
  <c r="N5570" i="1"/>
  <c r="M5570" i="1"/>
  <c r="L5570" i="1"/>
  <c r="G5570" i="1"/>
  <c r="B5570" i="1"/>
  <c r="A5570" i="1"/>
  <c r="P5569" i="1"/>
  <c r="N5569" i="1"/>
  <c r="M5569" i="1"/>
  <c r="L5569" i="1"/>
  <c r="G5569" i="1"/>
  <c r="B5569" i="1"/>
  <c r="A5569" i="1"/>
  <c r="P5568" i="1"/>
  <c r="N5568" i="1"/>
  <c r="M5568" i="1"/>
  <c r="L5568" i="1"/>
  <c r="G5568" i="1"/>
  <c r="B5568" i="1"/>
  <c r="A5568" i="1"/>
  <c r="P5567" i="1"/>
  <c r="N5567" i="1"/>
  <c r="M5567" i="1"/>
  <c r="L5567" i="1"/>
  <c r="G5567" i="1"/>
  <c r="B5567" i="1"/>
  <c r="A5567" i="1"/>
  <c r="P5566" i="1"/>
  <c r="N5566" i="1"/>
  <c r="M5566" i="1"/>
  <c r="L5566" i="1"/>
  <c r="G5566" i="1"/>
  <c r="B5566" i="1"/>
  <c r="A5566" i="1"/>
  <c r="P5565" i="1"/>
  <c r="N5565" i="1"/>
  <c r="M5565" i="1"/>
  <c r="L5565" i="1"/>
  <c r="G5565" i="1"/>
  <c r="B5565" i="1"/>
  <c r="A5565" i="1"/>
  <c r="P5564" i="1"/>
  <c r="N5564" i="1"/>
  <c r="M5564" i="1"/>
  <c r="L5564" i="1"/>
  <c r="G5564" i="1"/>
  <c r="B5564" i="1"/>
  <c r="A5564" i="1"/>
  <c r="P5563" i="1"/>
  <c r="N5563" i="1"/>
  <c r="M5563" i="1"/>
  <c r="L5563" i="1"/>
  <c r="G5563" i="1"/>
  <c r="B5563" i="1"/>
  <c r="A5563" i="1"/>
  <c r="P5562" i="1"/>
  <c r="N5562" i="1"/>
  <c r="L5562" i="1"/>
  <c r="G5562" i="1"/>
  <c r="B5562" i="1"/>
  <c r="A5562" i="1"/>
  <c r="P5561" i="1"/>
  <c r="N5561" i="1"/>
  <c r="M5561" i="1"/>
  <c r="L5561" i="1"/>
  <c r="G5561" i="1"/>
  <c r="B5561" i="1"/>
  <c r="A5561" i="1"/>
  <c r="N5560" i="1"/>
  <c r="M5560" i="1"/>
  <c r="L5560" i="1"/>
  <c r="B5560" i="1"/>
  <c r="A5560" i="1"/>
  <c r="P5559" i="1"/>
  <c r="N5559" i="1"/>
  <c r="M5559" i="1"/>
  <c r="L5559" i="1"/>
  <c r="G5559" i="1"/>
  <c r="B5559" i="1"/>
  <c r="A5559" i="1"/>
  <c r="P5558" i="1"/>
  <c r="N5558" i="1"/>
  <c r="M5558" i="1"/>
  <c r="L5558" i="1"/>
  <c r="G5558" i="1"/>
  <c r="B5558" i="1"/>
  <c r="A5558" i="1"/>
  <c r="P5557" i="1"/>
  <c r="N5557" i="1"/>
  <c r="M5557" i="1"/>
  <c r="L5557" i="1"/>
  <c r="G5557" i="1"/>
  <c r="B5557" i="1"/>
  <c r="A5557" i="1"/>
  <c r="P5556" i="1"/>
  <c r="N5556" i="1"/>
  <c r="M5556" i="1"/>
  <c r="L5556" i="1"/>
  <c r="G5556" i="1"/>
  <c r="B5556" i="1"/>
  <c r="A5556" i="1"/>
  <c r="P5555" i="1"/>
  <c r="N5555" i="1"/>
  <c r="M5555" i="1"/>
  <c r="L5555" i="1"/>
  <c r="G5555" i="1"/>
  <c r="B5555" i="1"/>
  <c r="A5555" i="1"/>
  <c r="P5554" i="1"/>
  <c r="N5554" i="1"/>
  <c r="L5554" i="1"/>
  <c r="G5554" i="1"/>
  <c r="B5554" i="1"/>
  <c r="A5554" i="1"/>
  <c r="P5553" i="1"/>
  <c r="N5553" i="1"/>
  <c r="M5553" i="1"/>
  <c r="L5553" i="1"/>
  <c r="G5553" i="1"/>
  <c r="B5553" i="1"/>
  <c r="A5553" i="1"/>
  <c r="P5552" i="1"/>
  <c r="N5552" i="1"/>
  <c r="M5552" i="1"/>
  <c r="L5552" i="1"/>
  <c r="G5552" i="1"/>
  <c r="B5552" i="1"/>
  <c r="A5552" i="1"/>
  <c r="P5551" i="1"/>
  <c r="N5551" i="1"/>
  <c r="M5551" i="1"/>
  <c r="L5551" i="1"/>
  <c r="G5551" i="1"/>
  <c r="B5551" i="1"/>
  <c r="A5551" i="1"/>
  <c r="P5550" i="1"/>
  <c r="N5550" i="1"/>
  <c r="M5550" i="1"/>
  <c r="L5550" i="1"/>
  <c r="G5550" i="1"/>
  <c r="B5550" i="1"/>
  <c r="A5550" i="1"/>
  <c r="P5549" i="1"/>
  <c r="N5549" i="1"/>
  <c r="L5549" i="1"/>
  <c r="G5549" i="1"/>
  <c r="B5549" i="1"/>
  <c r="A5549" i="1"/>
  <c r="P5548" i="1"/>
  <c r="N5548" i="1"/>
  <c r="M5548" i="1"/>
  <c r="L5548" i="1"/>
  <c r="G5548" i="1"/>
  <c r="B5548" i="1"/>
  <c r="A5548" i="1"/>
  <c r="P5547" i="1"/>
  <c r="N5547" i="1"/>
  <c r="L5547" i="1"/>
  <c r="G5547" i="1"/>
  <c r="B5547" i="1"/>
  <c r="A5547" i="1"/>
  <c r="P5546" i="1"/>
  <c r="N5546" i="1"/>
  <c r="M5546" i="1"/>
  <c r="L5546" i="1"/>
  <c r="G5546" i="1"/>
  <c r="B5546" i="1"/>
  <c r="A5546" i="1"/>
  <c r="P5545" i="1"/>
  <c r="N5545" i="1"/>
  <c r="M5545" i="1"/>
  <c r="L5545" i="1"/>
  <c r="G5545" i="1"/>
  <c r="B5545" i="1"/>
  <c r="A5545" i="1"/>
  <c r="P5544" i="1"/>
  <c r="N5544" i="1"/>
  <c r="M5544" i="1"/>
  <c r="L5544" i="1"/>
  <c r="G5544" i="1"/>
  <c r="B5544" i="1"/>
  <c r="A5544" i="1"/>
  <c r="P5543" i="1"/>
  <c r="N5543" i="1"/>
  <c r="M5543" i="1"/>
  <c r="L5543" i="1"/>
  <c r="G5543" i="1"/>
  <c r="B5543" i="1"/>
  <c r="A5543" i="1"/>
  <c r="P5542" i="1"/>
  <c r="N5542" i="1"/>
  <c r="M5542" i="1"/>
  <c r="L5542" i="1"/>
  <c r="G5542" i="1"/>
  <c r="B5542" i="1"/>
  <c r="A5542" i="1"/>
  <c r="P5541" i="1"/>
  <c r="N5541" i="1"/>
  <c r="M5541" i="1"/>
  <c r="L5541" i="1"/>
  <c r="G5541" i="1"/>
  <c r="B5541" i="1"/>
  <c r="A5541" i="1"/>
  <c r="P5540" i="1"/>
  <c r="N5540" i="1"/>
  <c r="L5540" i="1"/>
  <c r="G5540" i="1"/>
  <c r="B5540" i="1"/>
  <c r="A5540" i="1"/>
  <c r="P5539" i="1"/>
  <c r="N5539" i="1"/>
  <c r="L5539" i="1"/>
  <c r="G5539" i="1"/>
  <c r="B5539" i="1"/>
  <c r="A5539" i="1"/>
  <c r="P5538" i="1"/>
  <c r="N5538" i="1"/>
  <c r="L5538" i="1"/>
  <c r="G5538" i="1"/>
  <c r="B5538" i="1"/>
  <c r="A5538" i="1"/>
  <c r="P5537" i="1"/>
  <c r="N5537" i="1"/>
  <c r="L5537" i="1"/>
  <c r="G5537" i="1"/>
  <c r="B5537" i="1"/>
  <c r="A5537" i="1"/>
  <c r="N5536" i="1"/>
  <c r="M5536" i="1"/>
  <c r="L5536" i="1"/>
  <c r="B5536" i="1"/>
  <c r="A5536" i="1"/>
  <c r="P5535" i="1"/>
  <c r="N5535" i="1"/>
  <c r="M5535" i="1"/>
  <c r="L5535" i="1"/>
  <c r="G5535" i="1"/>
  <c r="B5535" i="1"/>
  <c r="A5535" i="1"/>
  <c r="P5534" i="1"/>
  <c r="N5534" i="1"/>
  <c r="M5534" i="1"/>
  <c r="L5534" i="1"/>
  <c r="G5534" i="1"/>
  <c r="B5534" i="1"/>
  <c r="A5534" i="1"/>
  <c r="P5533" i="1"/>
  <c r="N5533" i="1"/>
  <c r="M5533" i="1"/>
  <c r="G5533" i="1"/>
  <c r="B5533" i="1"/>
  <c r="A5533" i="1"/>
  <c r="P5532" i="1"/>
  <c r="N5532" i="1"/>
  <c r="M5532" i="1"/>
  <c r="L5532" i="1"/>
  <c r="G5532" i="1"/>
  <c r="B5532" i="1"/>
  <c r="A5532" i="1"/>
  <c r="P5531" i="1"/>
  <c r="N5531" i="1"/>
  <c r="M5531" i="1"/>
  <c r="L5531" i="1"/>
  <c r="G5531" i="1"/>
  <c r="B5531" i="1"/>
  <c r="A5531" i="1"/>
  <c r="P5530" i="1"/>
  <c r="N5530" i="1"/>
  <c r="M5530" i="1"/>
  <c r="L5530" i="1"/>
  <c r="G5530" i="1"/>
  <c r="B5530" i="1"/>
  <c r="A5530" i="1"/>
  <c r="P5529" i="1"/>
  <c r="N5529" i="1"/>
  <c r="L5529" i="1"/>
  <c r="G5529" i="1"/>
  <c r="B5529" i="1"/>
  <c r="A5529" i="1"/>
  <c r="P5528" i="1"/>
  <c r="N5528" i="1"/>
  <c r="M5528" i="1"/>
  <c r="L5528" i="1"/>
  <c r="G5528" i="1"/>
  <c r="B5528" i="1"/>
  <c r="A5528" i="1"/>
  <c r="N5527" i="1"/>
  <c r="M5527" i="1"/>
  <c r="L5527" i="1"/>
  <c r="B5527" i="1"/>
  <c r="A5527" i="1"/>
  <c r="N5526" i="1"/>
  <c r="M5526" i="1"/>
  <c r="L5526" i="1"/>
  <c r="B5526" i="1"/>
  <c r="A5526" i="1"/>
  <c r="P5525" i="1"/>
  <c r="N5525" i="1"/>
  <c r="M5525" i="1"/>
  <c r="L5525" i="1"/>
  <c r="G5525" i="1"/>
  <c r="B5525" i="1"/>
  <c r="A5525" i="1"/>
  <c r="P5524" i="1"/>
  <c r="N5524" i="1"/>
  <c r="M5524" i="1"/>
  <c r="L5524" i="1"/>
  <c r="G5524" i="1"/>
  <c r="B5524" i="1"/>
  <c r="A5524" i="1"/>
  <c r="P5523" i="1"/>
  <c r="N5523" i="1"/>
  <c r="M5523" i="1"/>
  <c r="L5523" i="1"/>
  <c r="G5523" i="1"/>
  <c r="B5523" i="1"/>
  <c r="A5523" i="1"/>
  <c r="P5522" i="1"/>
  <c r="N5522" i="1"/>
  <c r="M5522" i="1"/>
  <c r="L5522" i="1"/>
  <c r="G5522" i="1"/>
  <c r="B5522" i="1"/>
  <c r="A5522" i="1"/>
  <c r="J5295" i="1" l="1"/>
  <c r="J5296" i="1"/>
  <c r="J5297" i="1"/>
  <c r="J5301" i="1"/>
  <c r="J5325" i="1"/>
  <c r="J5326" i="1"/>
  <c r="J5328" i="1"/>
  <c r="J5338" i="1"/>
  <c r="J5340" i="1"/>
  <c r="J5343" i="1"/>
  <c r="J5350" i="1"/>
  <c r="J5352" i="1"/>
  <c r="J5358" i="1"/>
  <c r="H5275" i="1"/>
  <c r="H5276" i="1"/>
  <c r="H5277" i="1"/>
  <c r="H5278" i="1"/>
  <c r="H5279" i="1"/>
  <c r="H5280" i="1"/>
  <c r="H5281" i="1"/>
  <c r="H5282" i="1"/>
  <c r="H5283" i="1"/>
  <c r="H5284" i="1"/>
  <c r="H5285" i="1"/>
  <c r="H5286" i="1"/>
  <c r="H5287" i="1"/>
  <c r="H5288" i="1"/>
  <c r="H5289" i="1"/>
  <c r="H5290" i="1"/>
  <c r="H5291" i="1"/>
  <c r="H5292" i="1"/>
  <c r="H5293" i="1"/>
  <c r="H5294" i="1"/>
  <c r="H5295" i="1"/>
  <c r="H5296" i="1"/>
  <c r="H5297" i="1"/>
  <c r="H5298" i="1"/>
  <c r="H5299" i="1"/>
  <c r="H5300" i="1"/>
  <c r="H5301" i="1"/>
  <c r="H5302" i="1"/>
  <c r="H5303" i="1"/>
  <c r="H5304" i="1"/>
  <c r="H5305" i="1"/>
  <c r="H5306" i="1"/>
  <c r="H5307" i="1"/>
  <c r="H5308" i="1"/>
  <c r="H5309" i="1"/>
  <c r="H5310" i="1"/>
  <c r="H5311" i="1"/>
  <c r="H5312" i="1"/>
  <c r="H5313" i="1"/>
  <c r="H5314" i="1"/>
  <c r="H5315" i="1"/>
  <c r="H5316" i="1"/>
  <c r="H5317" i="1"/>
  <c r="H5318" i="1"/>
  <c r="H5319" i="1"/>
  <c r="H5320" i="1"/>
  <c r="H5321" i="1"/>
  <c r="H5322" i="1"/>
  <c r="H5323" i="1"/>
  <c r="H5324" i="1"/>
  <c r="H5325" i="1"/>
  <c r="H5326" i="1"/>
  <c r="H5327" i="1"/>
  <c r="H5328" i="1"/>
  <c r="H5329" i="1"/>
  <c r="H5330" i="1"/>
  <c r="H5331" i="1"/>
  <c r="H5332" i="1"/>
  <c r="H5333" i="1"/>
  <c r="H5334" i="1"/>
  <c r="H5335" i="1"/>
  <c r="H5336" i="1"/>
  <c r="H5337" i="1"/>
  <c r="H5338" i="1"/>
  <c r="H5339" i="1"/>
  <c r="H5340" i="1"/>
  <c r="H5341" i="1"/>
  <c r="H5342" i="1"/>
  <c r="H5343" i="1"/>
  <c r="H5344" i="1"/>
  <c r="H5345" i="1"/>
  <c r="H5346" i="1"/>
  <c r="H5347" i="1"/>
  <c r="H5348" i="1"/>
  <c r="H5349" i="1"/>
  <c r="H5350" i="1"/>
  <c r="H5351" i="1"/>
  <c r="H5352" i="1"/>
  <c r="H5353" i="1"/>
  <c r="H5354" i="1"/>
  <c r="H5355" i="1"/>
  <c r="H5356" i="1"/>
  <c r="H5357" i="1"/>
  <c r="H5358" i="1"/>
  <c r="H5359" i="1"/>
  <c r="H5360" i="1"/>
  <c r="H5361" i="1"/>
  <c r="H5362" i="1"/>
  <c r="H5363" i="1"/>
  <c r="H5364" i="1"/>
  <c r="P5364" i="1"/>
  <c r="N5364" i="1"/>
  <c r="M5364" i="1"/>
  <c r="L5364" i="1"/>
  <c r="G5364" i="1"/>
  <c r="B5364" i="1"/>
  <c r="A5364" i="1"/>
  <c r="P5363" i="1"/>
  <c r="N5363" i="1"/>
  <c r="M5363" i="1"/>
  <c r="L5363" i="1"/>
  <c r="G5363" i="1"/>
  <c r="B5363" i="1"/>
  <c r="A5363" i="1"/>
  <c r="P5362" i="1"/>
  <c r="N5362" i="1"/>
  <c r="M5362" i="1"/>
  <c r="L5362" i="1"/>
  <c r="G5362" i="1"/>
  <c r="B5362" i="1"/>
  <c r="A5362" i="1"/>
  <c r="P5361" i="1"/>
  <c r="N5361" i="1"/>
  <c r="M5361" i="1"/>
  <c r="L5361" i="1"/>
  <c r="G5361" i="1"/>
  <c r="B5361" i="1"/>
  <c r="A5361" i="1"/>
  <c r="N5360" i="1"/>
  <c r="M5360" i="1"/>
  <c r="L5360" i="1"/>
  <c r="B5360" i="1"/>
  <c r="A5360" i="1"/>
  <c r="N5359" i="1"/>
  <c r="M5359" i="1"/>
  <c r="L5359" i="1"/>
  <c r="B5359" i="1"/>
  <c r="A5359" i="1"/>
  <c r="P5358" i="1"/>
  <c r="N5358" i="1"/>
  <c r="M5358" i="1"/>
  <c r="L5358" i="1"/>
  <c r="G5358" i="1"/>
  <c r="B5358" i="1"/>
  <c r="A5358" i="1"/>
  <c r="N5357" i="1"/>
  <c r="M5357" i="1"/>
  <c r="L5357" i="1"/>
  <c r="G5357" i="1"/>
  <c r="B5357" i="1"/>
  <c r="A5357" i="1"/>
  <c r="N5356" i="1"/>
  <c r="M5356" i="1"/>
  <c r="L5356" i="1"/>
  <c r="G5356" i="1"/>
  <c r="B5356" i="1"/>
  <c r="A5356" i="1"/>
  <c r="N5355" i="1"/>
  <c r="M5355" i="1"/>
  <c r="L5355" i="1"/>
  <c r="G5355" i="1"/>
  <c r="B5355" i="1"/>
  <c r="A5355" i="1"/>
  <c r="N5354" i="1"/>
  <c r="M5354" i="1"/>
  <c r="L5354" i="1"/>
  <c r="G5354" i="1"/>
  <c r="B5354" i="1"/>
  <c r="A5354" i="1"/>
  <c r="P5353" i="1"/>
  <c r="N5353" i="1"/>
  <c r="M5353" i="1"/>
  <c r="L5353" i="1"/>
  <c r="G5353" i="1"/>
  <c r="B5353" i="1"/>
  <c r="A5353" i="1"/>
  <c r="P5352" i="1"/>
  <c r="N5352" i="1"/>
  <c r="L5352" i="1"/>
  <c r="G5352" i="1"/>
  <c r="B5352" i="1"/>
  <c r="A5352" i="1"/>
  <c r="P5351" i="1"/>
  <c r="N5351" i="1"/>
  <c r="M5351" i="1"/>
  <c r="L5351" i="1"/>
  <c r="G5351" i="1"/>
  <c r="B5351" i="1"/>
  <c r="A5351" i="1"/>
  <c r="P5350" i="1"/>
  <c r="N5350" i="1"/>
  <c r="M5350" i="1"/>
  <c r="L5350" i="1"/>
  <c r="G5350" i="1"/>
  <c r="B5350" i="1"/>
  <c r="A5350" i="1"/>
  <c r="P5349" i="1"/>
  <c r="N5349" i="1"/>
  <c r="M5349" i="1"/>
  <c r="L5349" i="1"/>
  <c r="G5349" i="1"/>
  <c r="B5349" i="1"/>
  <c r="A5349" i="1"/>
  <c r="P5348" i="1"/>
  <c r="N5348" i="1"/>
  <c r="M5348" i="1"/>
  <c r="L5348" i="1"/>
  <c r="G5348" i="1"/>
  <c r="B5348" i="1"/>
  <c r="A5348" i="1"/>
  <c r="P5347" i="1"/>
  <c r="N5347" i="1"/>
  <c r="M5347" i="1"/>
  <c r="L5347" i="1"/>
  <c r="G5347" i="1"/>
  <c r="B5347" i="1"/>
  <c r="A5347" i="1"/>
  <c r="P5346" i="1"/>
  <c r="N5346" i="1"/>
  <c r="M5346" i="1"/>
  <c r="L5346" i="1"/>
  <c r="G5346" i="1"/>
  <c r="B5346" i="1"/>
  <c r="A5346" i="1"/>
  <c r="P5345" i="1"/>
  <c r="N5345" i="1"/>
  <c r="M5345" i="1"/>
  <c r="L5345" i="1"/>
  <c r="G5345" i="1"/>
  <c r="B5345" i="1"/>
  <c r="A5345" i="1"/>
  <c r="P5344" i="1"/>
  <c r="N5344" i="1"/>
  <c r="M5344" i="1"/>
  <c r="L5344" i="1"/>
  <c r="G5344" i="1"/>
  <c r="B5344" i="1"/>
  <c r="A5344" i="1"/>
  <c r="P5343" i="1"/>
  <c r="N5343" i="1"/>
  <c r="L5343" i="1"/>
  <c r="G5343" i="1"/>
  <c r="B5343" i="1"/>
  <c r="A5343" i="1"/>
  <c r="P5342" i="1"/>
  <c r="N5342" i="1"/>
  <c r="M5342" i="1"/>
  <c r="L5342" i="1"/>
  <c r="G5342" i="1"/>
  <c r="B5342" i="1"/>
  <c r="A5342" i="1"/>
  <c r="P5341" i="1"/>
  <c r="N5341" i="1"/>
  <c r="M5341" i="1"/>
  <c r="L5341" i="1"/>
  <c r="G5341" i="1"/>
  <c r="B5341" i="1"/>
  <c r="A5341" i="1"/>
  <c r="P5340" i="1"/>
  <c r="N5340" i="1"/>
  <c r="M5340" i="1"/>
  <c r="L5340" i="1"/>
  <c r="G5340" i="1"/>
  <c r="B5340" i="1"/>
  <c r="A5340" i="1"/>
  <c r="P5339" i="1"/>
  <c r="N5339" i="1"/>
  <c r="M5339" i="1"/>
  <c r="L5339" i="1"/>
  <c r="G5339" i="1"/>
  <c r="B5339" i="1"/>
  <c r="A5339" i="1"/>
  <c r="P5338" i="1"/>
  <c r="N5338" i="1"/>
  <c r="M5338" i="1"/>
  <c r="L5338" i="1"/>
  <c r="G5338" i="1"/>
  <c r="B5338" i="1"/>
  <c r="A5338" i="1"/>
  <c r="P5337" i="1"/>
  <c r="N5337" i="1"/>
  <c r="M5337" i="1"/>
  <c r="L5337" i="1"/>
  <c r="G5337" i="1"/>
  <c r="B5337" i="1"/>
  <c r="A5337" i="1"/>
  <c r="P5336" i="1"/>
  <c r="N5336" i="1"/>
  <c r="M5336" i="1"/>
  <c r="L5336" i="1"/>
  <c r="G5336" i="1"/>
  <c r="B5336" i="1"/>
  <c r="A5336" i="1"/>
  <c r="P5335" i="1"/>
  <c r="N5335" i="1"/>
  <c r="M5335" i="1"/>
  <c r="L5335" i="1"/>
  <c r="G5335" i="1"/>
  <c r="B5335" i="1"/>
  <c r="A5335" i="1"/>
  <c r="P5334" i="1"/>
  <c r="N5334" i="1"/>
  <c r="M5334" i="1"/>
  <c r="L5334" i="1"/>
  <c r="G5334" i="1"/>
  <c r="B5334" i="1"/>
  <c r="A5334" i="1"/>
  <c r="P5333" i="1"/>
  <c r="N5333" i="1"/>
  <c r="M5333" i="1"/>
  <c r="L5333" i="1"/>
  <c r="G5333" i="1"/>
  <c r="B5333" i="1"/>
  <c r="A5333" i="1"/>
  <c r="P5332" i="1"/>
  <c r="N5332" i="1"/>
  <c r="M5332" i="1"/>
  <c r="L5332" i="1"/>
  <c r="G5332" i="1"/>
  <c r="B5332" i="1"/>
  <c r="A5332" i="1"/>
  <c r="P5331" i="1"/>
  <c r="N5331" i="1"/>
  <c r="M5331" i="1"/>
  <c r="L5331" i="1"/>
  <c r="G5331" i="1"/>
  <c r="B5331" i="1"/>
  <c r="A5331" i="1"/>
  <c r="P5330" i="1"/>
  <c r="N5330" i="1"/>
  <c r="M5330" i="1"/>
  <c r="L5330" i="1"/>
  <c r="G5330" i="1"/>
  <c r="B5330" i="1"/>
  <c r="A5330" i="1"/>
  <c r="P5329" i="1"/>
  <c r="N5329" i="1"/>
  <c r="M5329" i="1"/>
  <c r="L5329" i="1"/>
  <c r="G5329" i="1"/>
  <c r="B5329" i="1"/>
  <c r="A5329" i="1"/>
  <c r="P5328" i="1"/>
  <c r="N5328" i="1"/>
  <c r="M5328" i="1"/>
  <c r="L5328" i="1"/>
  <c r="G5328" i="1"/>
  <c r="B5328" i="1"/>
  <c r="A5328" i="1"/>
  <c r="P5327" i="1"/>
  <c r="N5327" i="1"/>
  <c r="M5327" i="1"/>
  <c r="L5327" i="1"/>
  <c r="G5327" i="1"/>
  <c r="B5327" i="1"/>
  <c r="A5327" i="1"/>
  <c r="P5326" i="1"/>
  <c r="N5326" i="1"/>
  <c r="M5326" i="1"/>
  <c r="L5326" i="1"/>
  <c r="G5326" i="1"/>
  <c r="B5326" i="1"/>
  <c r="A5326" i="1"/>
  <c r="P5325" i="1"/>
  <c r="N5325" i="1"/>
  <c r="M5325" i="1"/>
  <c r="L5325" i="1"/>
  <c r="G5325" i="1"/>
  <c r="B5325" i="1"/>
  <c r="A5325" i="1"/>
  <c r="P5324" i="1"/>
  <c r="N5324" i="1"/>
  <c r="M5324" i="1"/>
  <c r="L5324" i="1"/>
  <c r="G5324" i="1"/>
  <c r="B5324" i="1"/>
  <c r="A5324" i="1"/>
  <c r="P5323" i="1"/>
  <c r="N5323" i="1"/>
  <c r="M5323" i="1"/>
  <c r="L5323" i="1"/>
  <c r="G5323" i="1"/>
  <c r="B5323" i="1"/>
  <c r="A5323" i="1"/>
  <c r="P5322" i="1"/>
  <c r="N5322" i="1"/>
  <c r="M5322" i="1"/>
  <c r="L5322" i="1"/>
  <c r="G5322" i="1"/>
  <c r="B5322" i="1"/>
  <c r="A5322" i="1"/>
  <c r="P5321" i="1"/>
  <c r="N5321" i="1"/>
  <c r="M5321" i="1"/>
  <c r="L5321" i="1"/>
  <c r="G5321" i="1"/>
  <c r="B5321" i="1"/>
  <c r="A5321" i="1"/>
  <c r="P5320" i="1"/>
  <c r="N5320" i="1"/>
  <c r="M5320" i="1"/>
  <c r="L5320" i="1"/>
  <c r="G5320" i="1"/>
  <c r="B5320" i="1"/>
  <c r="A5320" i="1"/>
  <c r="P5319" i="1"/>
  <c r="N5319" i="1"/>
  <c r="M5319" i="1"/>
  <c r="L5319" i="1"/>
  <c r="G5319" i="1"/>
  <c r="B5319" i="1"/>
  <c r="A5319" i="1"/>
  <c r="P5318" i="1"/>
  <c r="N5318" i="1"/>
  <c r="M5318" i="1"/>
  <c r="L5318" i="1"/>
  <c r="G5318" i="1"/>
  <c r="B5318" i="1"/>
  <c r="A5318" i="1"/>
  <c r="P5317" i="1"/>
  <c r="N5317" i="1"/>
  <c r="M5317" i="1"/>
  <c r="L5317" i="1"/>
  <c r="G5317" i="1"/>
  <c r="B5317" i="1"/>
  <c r="A5317" i="1"/>
  <c r="N5316" i="1"/>
  <c r="M5316" i="1"/>
  <c r="L5316" i="1"/>
  <c r="B5316" i="1"/>
  <c r="A5316" i="1"/>
  <c r="P5315" i="1"/>
  <c r="N5315" i="1"/>
  <c r="M5315" i="1"/>
  <c r="L5315" i="1"/>
  <c r="G5315" i="1"/>
  <c r="B5315" i="1"/>
  <c r="A5315" i="1"/>
  <c r="P5314" i="1"/>
  <c r="N5314" i="1"/>
  <c r="M5314" i="1"/>
  <c r="L5314" i="1"/>
  <c r="G5314" i="1"/>
  <c r="B5314" i="1"/>
  <c r="A5314" i="1"/>
  <c r="P5313" i="1"/>
  <c r="N5313" i="1"/>
  <c r="M5313" i="1"/>
  <c r="L5313" i="1"/>
  <c r="G5313" i="1"/>
  <c r="B5313" i="1"/>
  <c r="A5313" i="1"/>
  <c r="P5312" i="1"/>
  <c r="N5312" i="1"/>
  <c r="M5312" i="1"/>
  <c r="L5312" i="1"/>
  <c r="G5312" i="1"/>
  <c r="B5312" i="1"/>
  <c r="A5312" i="1"/>
  <c r="P5311" i="1"/>
  <c r="N5311" i="1"/>
  <c r="M5311" i="1"/>
  <c r="L5311" i="1"/>
  <c r="G5311" i="1"/>
  <c r="B5311" i="1"/>
  <c r="A5311" i="1"/>
  <c r="P5310" i="1"/>
  <c r="N5310" i="1"/>
  <c r="M5310" i="1"/>
  <c r="L5310" i="1"/>
  <c r="G5310" i="1"/>
  <c r="B5310" i="1"/>
  <c r="A5310" i="1"/>
  <c r="P5309" i="1"/>
  <c r="N5309" i="1"/>
  <c r="M5309" i="1"/>
  <c r="L5309" i="1"/>
  <c r="G5309" i="1"/>
  <c r="B5309" i="1"/>
  <c r="A5309" i="1"/>
  <c r="P5308" i="1"/>
  <c r="N5308" i="1"/>
  <c r="M5308" i="1"/>
  <c r="L5308" i="1"/>
  <c r="G5308" i="1"/>
  <c r="B5308" i="1"/>
  <c r="A5308" i="1"/>
  <c r="P5307" i="1"/>
  <c r="N5307" i="1"/>
  <c r="M5307" i="1"/>
  <c r="L5307" i="1"/>
  <c r="G5307" i="1"/>
  <c r="B5307" i="1"/>
  <c r="A5307" i="1"/>
  <c r="P5306" i="1"/>
  <c r="N5306" i="1"/>
  <c r="M5306" i="1"/>
  <c r="L5306" i="1"/>
  <c r="G5306" i="1"/>
  <c r="B5306" i="1"/>
  <c r="A5306" i="1"/>
  <c r="P5305" i="1"/>
  <c r="N5305" i="1"/>
  <c r="M5305" i="1"/>
  <c r="L5305" i="1"/>
  <c r="G5305" i="1"/>
  <c r="B5305" i="1"/>
  <c r="A5305" i="1"/>
  <c r="N5304" i="1"/>
  <c r="M5304" i="1"/>
  <c r="L5304" i="1"/>
  <c r="G5304" i="1"/>
  <c r="B5304" i="1"/>
  <c r="A5304" i="1"/>
  <c r="P5303" i="1"/>
  <c r="N5303" i="1"/>
  <c r="M5303" i="1"/>
  <c r="L5303" i="1"/>
  <c r="G5303" i="1"/>
  <c r="B5303" i="1"/>
  <c r="A5303" i="1"/>
  <c r="P5302" i="1"/>
  <c r="N5302" i="1"/>
  <c r="M5302" i="1"/>
  <c r="L5302" i="1"/>
  <c r="G5302" i="1"/>
  <c r="B5302" i="1"/>
  <c r="A5302" i="1"/>
  <c r="P5301" i="1"/>
  <c r="N5301" i="1"/>
  <c r="M5301" i="1"/>
  <c r="L5301" i="1"/>
  <c r="G5301" i="1"/>
  <c r="B5301" i="1"/>
  <c r="A5301" i="1"/>
  <c r="P5300" i="1"/>
  <c r="N5300" i="1"/>
  <c r="M5300" i="1"/>
  <c r="L5300" i="1"/>
  <c r="G5300" i="1"/>
  <c r="B5300" i="1"/>
  <c r="A5300" i="1"/>
  <c r="P5299" i="1"/>
  <c r="N5299" i="1"/>
  <c r="M5299" i="1"/>
  <c r="L5299" i="1"/>
  <c r="G5299" i="1"/>
  <c r="B5299" i="1"/>
  <c r="A5299" i="1"/>
  <c r="P5298" i="1"/>
  <c r="N5298" i="1"/>
  <c r="M5298" i="1"/>
  <c r="L5298" i="1"/>
  <c r="G5298" i="1"/>
  <c r="B5298" i="1"/>
  <c r="A5298" i="1"/>
  <c r="P5297" i="1"/>
  <c r="N5297" i="1"/>
  <c r="M5297" i="1"/>
  <c r="L5297" i="1"/>
  <c r="G5297" i="1"/>
  <c r="B5297" i="1"/>
  <c r="A5297" i="1"/>
  <c r="P5296" i="1"/>
  <c r="N5296" i="1"/>
  <c r="M5296" i="1"/>
  <c r="L5296" i="1"/>
  <c r="G5296" i="1"/>
  <c r="B5296" i="1"/>
  <c r="A5296" i="1"/>
  <c r="P5295" i="1"/>
  <c r="N5295" i="1"/>
  <c r="M5295" i="1"/>
  <c r="L5295" i="1"/>
  <c r="G5295" i="1"/>
  <c r="B5295" i="1"/>
  <c r="A5295" i="1"/>
  <c r="P5294" i="1"/>
  <c r="N5294" i="1"/>
  <c r="M5294" i="1"/>
  <c r="L5294" i="1"/>
  <c r="G5294" i="1"/>
  <c r="B5294" i="1"/>
  <c r="A5294" i="1"/>
  <c r="P5293" i="1"/>
  <c r="N5293" i="1"/>
  <c r="M5293" i="1"/>
  <c r="L5293" i="1"/>
  <c r="G5293" i="1"/>
  <c r="B5293" i="1"/>
  <c r="A5293" i="1"/>
  <c r="P5292" i="1"/>
  <c r="N5292" i="1"/>
  <c r="M5292" i="1"/>
  <c r="L5292" i="1"/>
  <c r="G5292" i="1"/>
  <c r="B5292" i="1"/>
  <c r="A5292" i="1"/>
  <c r="P5291" i="1"/>
  <c r="N5291" i="1"/>
  <c r="M5291" i="1"/>
  <c r="L5291" i="1"/>
  <c r="G5291" i="1"/>
  <c r="B5291" i="1"/>
  <c r="A5291" i="1"/>
  <c r="P5290" i="1"/>
  <c r="N5290" i="1"/>
  <c r="M5290" i="1"/>
  <c r="L5290" i="1"/>
  <c r="G5290" i="1"/>
  <c r="B5290" i="1"/>
  <c r="A5290" i="1"/>
  <c r="P5289" i="1"/>
  <c r="N5289" i="1"/>
  <c r="M5289" i="1"/>
  <c r="L5289" i="1"/>
  <c r="G5289" i="1"/>
  <c r="B5289" i="1"/>
  <c r="A5289" i="1"/>
  <c r="P5288" i="1"/>
  <c r="N5288" i="1"/>
  <c r="L5288" i="1"/>
  <c r="G5288" i="1"/>
  <c r="B5288" i="1"/>
  <c r="A5288" i="1"/>
  <c r="P5287" i="1"/>
  <c r="N5287" i="1"/>
  <c r="M5287" i="1"/>
  <c r="L5287" i="1"/>
  <c r="G5287" i="1"/>
  <c r="B5287" i="1"/>
  <c r="A5287" i="1"/>
  <c r="P5286" i="1"/>
  <c r="N5286" i="1"/>
  <c r="M5286" i="1"/>
  <c r="L5286" i="1"/>
  <c r="G5286" i="1"/>
  <c r="B5286" i="1"/>
  <c r="A5286" i="1"/>
  <c r="P5285" i="1"/>
  <c r="N5285" i="1"/>
  <c r="M5285" i="1"/>
  <c r="L5285" i="1"/>
  <c r="G5285" i="1"/>
  <c r="B5285" i="1"/>
  <c r="A5285" i="1"/>
  <c r="P5284" i="1"/>
  <c r="N5284" i="1"/>
  <c r="M5284" i="1"/>
  <c r="L5284" i="1"/>
  <c r="G5284" i="1"/>
  <c r="B5284" i="1"/>
  <c r="A5284" i="1"/>
  <c r="N5283" i="1"/>
  <c r="M5283" i="1"/>
  <c r="L5283" i="1"/>
  <c r="B5283" i="1"/>
  <c r="A5283" i="1"/>
  <c r="P5282" i="1"/>
  <c r="N5282" i="1"/>
  <c r="M5282" i="1"/>
  <c r="L5282" i="1"/>
  <c r="G5282" i="1"/>
  <c r="B5282" i="1"/>
  <c r="A5282" i="1"/>
  <c r="P5281" i="1"/>
  <c r="N5281" i="1"/>
  <c r="M5281" i="1"/>
  <c r="L5281" i="1"/>
  <c r="G5281" i="1"/>
  <c r="B5281" i="1"/>
  <c r="A5281" i="1"/>
  <c r="P5280" i="1"/>
  <c r="N5280" i="1"/>
  <c r="M5280" i="1"/>
  <c r="L5280" i="1"/>
  <c r="G5280" i="1"/>
  <c r="B5280" i="1"/>
  <c r="A5280" i="1"/>
  <c r="P5279" i="1"/>
  <c r="N5279" i="1"/>
  <c r="M5279" i="1"/>
  <c r="L5279" i="1"/>
  <c r="G5279" i="1"/>
  <c r="B5279" i="1"/>
  <c r="A5279" i="1"/>
  <c r="N5278" i="1"/>
  <c r="M5278" i="1"/>
  <c r="L5278" i="1"/>
  <c r="B5278" i="1"/>
  <c r="A5278" i="1"/>
  <c r="N5277" i="1"/>
  <c r="M5277" i="1"/>
  <c r="L5277" i="1"/>
  <c r="B5277" i="1"/>
  <c r="A5277" i="1"/>
  <c r="N5276" i="1"/>
  <c r="M5276" i="1"/>
  <c r="B5276" i="1"/>
  <c r="A5276" i="1"/>
  <c r="N5275" i="1"/>
  <c r="M5275" i="1"/>
  <c r="L5275" i="1"/>
  <c r="B5275" i="1"/>
  <c r="A5275" i="1"/>
  <c r="H5274" i="1" l="1"/>
  <c r="P5186" i="1"/>
  <c r="N5186" i="1"/>
  <c r="M5186" i="1"/>
  <c r="L5186" i="1"/>
  <c r="G5186" i="1"/>
  <c r="B5186" i="1"/>
  <c r="A5186" i="1"/>
  <c r="P5185" i="1"/>
  <c r="N5185" i="1"/>
  <c r="M5185" i="1"/>
  <c r="L5185" i="1"/>
  <c r="G5185" i="1"/>
  <c r="B5185" i="1"/>
  <c r="A5185" i="1"/>
  <c r="P5184" i="1"/>
  <c r="N5184" i="1"/>
  <c r="M5184" i="1"/>
  <c r="L5184" i="1"/>
  <c r="G5184" i="1"/>
  <c r="B5184" i="1"/>
  <c r="A5184" i="1"/>
  <c r="P5183" i="1"/>
  <c r="N5183" i="1"/>
  <c r="M5183" i="1"/>
  <c r="L5183" i="1"/>
  <c r="G5183" i="1"/>
  <c r="B5183" i="1"/>
  <c r="A5183" i="1"/>
  <c r="P5182" i="1"/>
  <c r="N5182" i="1"/>
  <c r="M5182" i="1"/>
  <c r="L5182" i="1"/>
  <c r="G5182" i="1"/>
  <c r="B5182" i="1"/>
  <c r="A5182" i="1"/>
  <c r="P5181" i="1"/>
  <c r="N5181" i="1"/>
  <c r="M5181" i="1"/>
  <c r="L5181" i="1"/>
  <c r="G5181" i="1"/>
  <c r="B5181" i="1"/>
  <c r="A5181" i="1"/>
  <c r="P5180" i="1"/>
  <c r="N5180" i="1"/>
  <c r="M5180" i="1"/>
  <c r="L5180" i="1"/>
  <c r="G5180" i="1"/>
  <c r="B5180" i="1"/>
  <c r="A5180" i="1"/>
  <c r="P5179" i="1"/>
  <c r="N5179" i="1"/>
  <c r="M5179" i="1"/>
  <c r="L5179" i="1"/>
  <c r="G5179" i="1"/>
  <c r="B5179" i="1"/>
  <c r="A5179" i="1"/>
  <c r="P5178" i="1"/>
  <c r="N5178" i="1"/>
  <c r="M5178" i="1"/>
  <c r="L5178" i="1"/>
  <c r="G5178" i="1"/>
  <c r="B5178" i="1"/>
  <c r="A5178" i="1"/>
  <c r="P5177" i="1"/>
  <c r="N5177" i="1"/>
  <c r="M5177" i="1"/>
  <c r="L5177" i="1"/>
  <c r="G5177" i="1"/>
  <c r="B5177" i="1"/>
  <c r="A5177" i="1"/>
  <c r="P5176" i="1"/>
  <c r="N5176" i="1"/>
  <c r="M5176" i="1"/>
  <c r="L5176" i="1"/>
  <c r="G5176" i="1"/>
  <c r="B5176" i="1"/>
  <c r="A5176" i="1"/>
  <c r="P5175" i="1"/>
  <c r="N5175" i="1"/>
  <c r="M5175" i="1"/>
  <c r="L5175" i="1"/>
  <c r="G5175" i="1"/>
  <c r="B5175" i="1"/>
  <c r="A5175" i="1"/>
  <c r="P5174" i="1"/>
  <c r="N5174" i="1"/>
  <c r="M5174" i="1"/>
  <c r="L5174" i="1"/>
  <c r="G5174" i="1"/>
  <c r="B5174" i="1"/>
  <c r="A5174" i="1"/>
  <c r="P5173" i="1"/>
  <c r="N5173" i="1"/>
  <c r="M5173" i="1"/>
  <c r="L5173" i="1"/>
  <c r="G5173" i="1"/>
  <c r="B5173" i="1"/>
  <c r="A5173" i="1"/>
  <c r="P5172" i="1"/>
  <c r="N5172" i="1"/>
  <c r="M5172" i="1"/>
  <c r="L5172" i="1"/>
  <c r="G5172" i="1"/>
  <c r="B5172" i="1"/>
  <c r="A5172" i="1"/>
  <c r="P5171" i="1"/>
  <c r="N5171" i="1"/>
  <c r="M5171" i="1"/>
  <c r="L5171" i="1"/>
  <c r="G5171" i="1"/>
  <c r="B5171" i="1"/>
  <c r="A5171" i="1"/>
  <c r="P5170" i="1"/>
  <c r="N5170" i="1"/>
  <c r="M5170" i="1"/>
  <c r="L5170" i="1"/>
  <c r="G5170" i="1"/>
  <c r="B5170" i="1"/>
  <c r="A5170" i="1"/>
  <c r="P5169" i="1"/>
  <c r="N5169" i="1"/>
  <c r="M5169" i="1"/>
  <c r="L5169" i="1"/>
  <c r="G5169" i="1"/>
  <c r="B5169" i="1"/>
  <c r="A5169" i="1"/>
  <c r="P5168" i="1"/>
  <c r="N5168" i="1"/>
  <c r="M5168" i="1"/>
  <c r="L5168" i="1"/>
  <c r="G5168" i="1"/>
  <c r="B5168" i="1"/>
  <c r="A5168" i="1"/>
  <c r="P5167" i="1"/>
  <c r="N5167" i="1"/>
  <c r="M5167" i="1"/>
  <c r="L5167" i="1"/>
  <c r="G5167" i="1"/>
  <c r="B5167" i="1"/>
  <c r="A5167" i="1"/>
  <c r="P5166" i="1"/>
  <c r="N5166" i="1"/>
  <c r="M5166" i="1"/>
  <c r="L5166" i="1"/>
  <c r="G5166" i="1"/>
  <c r="B5166" i="1"/>
  <c r="A5166" i="1"/>
  <c r="P5165" i="1"/>
  <c r="N5165" i="1"/>
  <c r="M5165" i="1"/>
  <c r="L5165" i="1"/>
  <c r="G5165" i="1"/>
  <c r="B5165" i="1"/>
  <c r="A5165" i="1"/>
  <c r="P5164" i="1"/>
  <c r="N5164" i="1"/>
  <c r="M5164" i="1"/>
  <c r="L5164" i="1"/>
  <c r="G5164" i="1"/>
  <c r="B5164" i="1"/>
  <c r="A5164" i="1"/>
  <c r="P5163" i="1"/>
  <c r="N5163" i="1"/>
  <c r="M5163" i="1"/>
  <c r="L5163" i="1"/>
  <c r="G5163" i="1"/>
  <c r="B5163" i="1"/>
  <c r="A5163" i="1"/>
  <c r="P5162" i="1"/>
  <c r="N5162" i="1"/>
  <c r="M5162" i="1"/>
  <c r="L5162" i="1"/>
  <c r="G5162" i="1"/>
  <c r="B5162" i="1"/>
  <c r="A5162" i="1"/>
  <c r="P5161" i="1"/>
  <c r="N5161" i="1"/>
  <c r="M5161" i="1"/>
  <c r="L5161" i="1"/>
  <c r="G5161" i="1"/>
  <c r="B5161" i="1"/>
  <c r="A5161" i="1"/>
  <c r="P5160" i="1"/>
  <c r="N5160" i="1"/>
  <c r="M5160" i="1"/>
  <c r="L5160" i="1"/>
  <c r="G5160" i="1"/>
  <c r="B5160" i="1"/>
  <c r="A5160" i="1"/>
  <c r="P5159" i="1"/>
  <c r="N5159" i="1"/>
  <c r="M5159" i="1"/>
  <c r="L5159" i="1"/>
  <c r="G5159" i="1"/>
  <c r="B5159" i="1"/>
  <c r="A5159" i="1"/>
  <c r="P5158" i="1"/>
  <c r="N5158" i="1"/>
  <c r="M5158" i="1"/>
  <c r="L5158" i="1"/>
  <c r="G5158" i="1"/>
  <c r="B5158" i="1"/>
  <c r="A5158" i="1"/>
  <c r="P5157" i="1"/>
  <c r="N5157" i="1"/>
  <c r="M5157" i="1"/>
  <c r="L5157" i="1"/>
  <c r="G5157" i="1"/>
  <c r="B5157" i="1"/>
  <c r="A5157" i="1"/>
  <c r="P5156" i="1"/>
  <c r="N5156" i="1"/>
  <c r="M5156" i="1"/>
  <c r="L5156" i="1"/>
  <c r="G5156" i="1"/>
  <c r="B5156" i="1"/>
  <c r="A5156" i="1"/>
  <c r="P5155" i="1"/>
  <c r="N5155" i="1"/>
  <c r="M5155" i="1"/>
  <c r="L5155" i="1"/>
  <c r="G5155" i="1"/>
  <c r="B5155" i="1"/>
  <c r="A5155" i="1"/>
  <c r="P5154" i="1"/>
  <c r="N5154" i="1"/>
  <c r="M5154" i="1"/>
  <c r="L5154" i="1"/>
  <c r="G5154" i="1"/>
  <c r="B5154" i="1"/>
  <c r="A5154" i="1"/>
  <c r="P5153" i="1"/>
  <c r="N5153" i="1"/>
  <c r="M5153" i="1"/>
  <c r="L5153" i="1"/>
  <c r="G5153" i="1"/>
  <c r="B5153" i="1"/>
  <c r="A5153" i="1"/>
  <c r="P5152" i="1"/>
  <c r="N5152" i="1"/>
  <c r="M5152" i="1"/>
  <c r="L5152" i="1"/>
  <c r="G5152" i="1"/>
  <c r="B5152" i="1"/>
  <c r="A5152" i="1"/>
  <c r="P5151" i="1"/>
  <c r="N5151" i="1"/>
  <c r="M5151" i="1"/>
  <c r="L5151" i="1"/>
  <c r="G5151" i="1"/>
  <c r="B5151" i="1"/>
  <c r="A5151" i="1"/>
  <c r="P5150" i="1"/>
  <c r="N5150" i="1"/>
  <c r="M5150" i="1"/>
  <c r="L5150" i="1"/>
  <c r="G5150" i="1"/>
  <c r="B5150" i="1"/>
  <c r="A5150" i="1"/>
  <c r="P5149" i="1"/>
  <c r="N5149" i="1"/>
  <c r="M5149" i="1"/>
  <c r="L5149" i="1"/>
  <c r="G5149" i="1"/>
  <c r="B5149" i="1"/>
  <c r="A5149" i="1"/>
  <c r="P5148" i="1"/>
  <c r="N5148" i="1"/>
  <c r="M5148" i="1"/>
  <c r="L5148" i="1"/>
  <c r="G5148" i="1"/>
  <c r="B5148" i="1"/>
  <c r="A5148" i="1"/>
  <c r="P5147" i="1"/>
  <c r="N5147" i="1"/>
  <c r="M5147" i="1"/>
  <c r="L5147" i="1"/>
  <c r="G5147" i="1"/>
  <c r="B5147" i="1"/>
  <c r="A5147" i="1"/>
  <c r="P5146" i="1"/>
  <c r="N5146" i="1"/>
  <c r="M5146" i="1"/>
  <c r="L5146" i="1"/>
  <c r="G5146" i="1"/>
  <c r="B5146" i="1"/>
  <c r="A5146" i="1"/>
  <c r="P5145" i="1"/>
  <c r="N5145" i="1"/>
  <c r="M5145" i="1"/>
  <c r="L5145" i="1"/>
  <c r="G5145" i="1"/>
  <c r="B5145" i="1"/>
  <c r="A5145" i="1"/>
  <c r="P5144" i="1"/>
  <c r="N5144" i="1"/>
  <c r="M5144" i="1"/>
  <c r="L5144" i="1"/>
  <c r="G5144" i="1"/>
  <c r="B5144" i="1"/>
  <c r="A5144" i="1"/>
  <c r="P5143" i="1"/>
  <c r="N5143" i="1"/>
  <c r="M5143" i="1"/>
  <c r="L5143" i="1"/>
  <c r="G5143" i="1"/>
  <c r="B5143" i="1"/>
  <c r="A5143" i="1"/>
  <c r="P5142" i="1"/>
  <c r="N5142" i="1"/>
  <c r="M5142" i="1"/>
  <c r="L5142" i="1"/>
  <c r="G5142" i="1"/>
  <c r="B5142" i="1"/>
  <c r="A5142" i="1"/>
  <c r="P5141" i="1"/>
  <c r="N5141" i="1"/>
  <c r="M5141" i="1"/>
  <c r="L5141" i="1"/>
  <c r="G5141" i="1"/>
  <c r="B5141" i="1"/>
  <c r="A5141" i="1"/>
  <c r="P5140" i="1"/>
  <c r="N5140" i="1"/>
  <c r="M5140" i="1"/>
  <c r="L5140" i="1"/>
  <c r="G5140" i="1"/>
  <c r="B5140" i="1"/>
  <c r="A5140" i="1"/>
  <c r="P5139" i="1"/>
  <c r="N5139" i="1"/>
  <c r="M5139" i="1"/>
  <c r="L5139" i="1"/>
  <c r="G5139" i="1"/>
  <c r="B5139" i="1"/>
  <c r="A5139" i="1"/>
  <c r="P5138" i="1"/>
  <c r="N5138" i="1"/>
  <c r="M5138" i="1"/>
  <c r="L5138" i="1"/>
  <c r="G5138" i="1"/>
  <c r="B5138" i="1"/>
  <c r="A5138" i="1"/>
  <c r="P5137" i="1"/>
  <c r="N5137" i="1"/>
  <c r="M5137" i="1"/>
  <c r="L5137" i="1"/>
  <c r="G5137" i="1"/>
  <c r="B5137" i="1"/>
  <c r="A5137" i="1"/>
  <c r="P5136" i="1"/>
  <c r="N5136" i="1"/>
  <c r="M5136" i="1"/>
  <c r="L5136" i="1"/>
  <c r="G5136" i="1"/>
  <c r="B5136" i="1"/>
  <c r="A5136" i="1"/>
  <c r="P5135" i="1"/>
  <c r="N5135" i="1"/>
  <c r="M5135" i="1"/>
  <c r="L5135" i="1"/>
  <c r="G5135" i="1"/>
  <c r="B5135" i="1"/>
  <c r="A5135" i="1"/>
  <c r="P5134" i="1"/>
  <c r="N5134" i="1"/>
  <c r="M5134" i="1"/>
  <c r="L5134" i="1"/>
  <c r="G5134" i="1"/>
  <c r="B5134" i="1"/>
  <c r="A5134" i="1"/>
  <c r="P5133" i="1"/>
  <c r="N5133" i="1"/>
  <c r="M5133" i="1"/>
  <c r="L5133" i="1"/>
  <c r="G5133" i="1"/>
  <c r="B5133" i="1"/>
  <c r="A5133" i="1"/>
  <c r="P5132" i="1"/>
  <c r="N5132" i="1"/>
  <c r="M5132" i="1"/>
  <c r="L5132" i="1"/>
  <c r="G5132" i="1"/>
  <c r="B5132" i="1"/>
  <c r="A5132" i="1"/>
  <c r="P5131" i="1"/>
  <c r="N5131" i="1"/>
  <c r="M5131" i="1"/>
  <c r="L5131" i="1"/>
  <c r="G5131" i="1"/>
  <c r="B5131" i="1"/>
  <c r="A5131" i="1"/>
  <c r="P5130" i="1"/>
  <c r="N5130" i="1"/>
  <c r="M5130" i="1"/>
  <c r="L5130" i="1"/>
  <c r="G5130" i="1"/>
  <c r="B5130" i="1"/>
  <c r="A5130" i="1"/>
  <c r="P5129" i="1"/>
  <c r="N5129" i="1"/>
  <c r="M5129" i="1"/>
  <c r="L5129" i="1"/>
  <c r="G5129" i="1"/>
  <c r="B5129" i="1"/>
  <c r="A5129" i="1"/>
  <c r="P5128" i="1"/>
  <c r="N5128" i="1"/>
  <c r="M5128" i="1"/>
  <c r="L5128" i="1"/>
  <c r="G5128" i="1"/>
  <c r="B5128" i="1"/>
  <c r="A5128" i="1"/>
  <c r="P5127" i="1"/>
  <c r="N5127" i="1"/>
  <c r="M5127" i="1"/>
  <c r="L5127" i="1"/>
  <c r="G5127" i="1"/>
  <c r="B5127" i="1"/>
  <c r="A5127" i="1"/>
  <c r="P5126" i="1"/>
  <c r="N5126" i="1"/>
  <c r="M5126" i="1"/>
  <c r="L5126" i="1"/>
  <c r="G5126" i="1"/>
  <c r="B5126" i="1"/>
  <c r="A5126" i="1"/>
  <c r="P5125" i="1"/>
  <c r="N5125" i="1"/>
  <c r="M5125" i="1"/>
  <c r="L5125" i="1"/>
  <c r="G5125" i="1"/>
  <c r="B5125" i="1"/>
  <c r="A5125" i="1"/>
  <c r="P5124" i="1"/>
  <c r="N5124" i="1"/>
  <c r="M5124" i="1"/>
  <c r="L5124" i="1"/>
  <c r="G5124" i="1"/>
  <c r="B5124" i="1"/>
  <c r="A5124" i="1"/>
  <c r="P5123" i="1"/>
  <c r="N5123" i="1"/>
  <c r="M5123" i="1"/>
  <c r="L5123" i="1"/>
  <c r="G5123" i="1"/>
  <c r="B5123" i="1"/>
  <c r="A5123" i="1"/>
  <c r="P5122" i="1"/>
  <c r="N5122" i="1"/>
  <c r="M5122" i="1"/>
  <c r="L5122" i="1"/>
  <c r="G5122" i="1"/>
  <c r="B5122" i="1"/>
  <c r="A5122" i="1"/>
  <c r="P5121" i="1"/>
  <c r="N5121" i="1"/>
  <c r="M5121" i="1"/>
  <c r="L5121" i="1"/>
  <c r="G5121" i="1"/>
  <c r="B5121" i="1"/>
  <c r="A5121" i="1"/>
  <c r="P5120" i="1"/>
  <c r="N5120" i="1"/>
  <c r="M5120" i="1"/>
  <c r="L5120" i="1"/>
  <c r="G5120" i="1"/>
  <c r="B5120" i="1"/>
  <c r="A5120" i="1"/>
  <c r="P5119" i="1"/>
  <c r="N5119" i="1"/>
  <c r="M5119" i="1"/>
  <c r="L5119" i="1"/>
  <c r="G5119" i="1"/>
  <c r="B5119" i="1"/>
  <c r="A5119" i="1"/>
  <c r="P5118" i="1"/>
  <c r="N5118" i="1"/>
  <c r="M5118" i="1"/>
  <c r="L5118" i="1"/>
  <c r="G5118" i="1"/>
  <c r="B5118" i="1"/>
  <c r="A5118" i="1"/>
  <c r="P5117" i="1"/>
  <c r="N5117" i="1"/>
  <c r="M5117" i="1"/>
  <c r="L5117" i="1"/>
  <c r="G5117" i="1"/>
  <c r="B5117" i="1"/>
  <c r="A5117" i="1"/>
  <c r="P5116" i="1"/>
  <c r="N5116" i="1"/>
  <c r="M5116" i="1"/>
  <c r="L5116" i="1"/>
  <c r="G5116" i="1"/>
  <c r="B5116" i="1"/>
  <c r="A5116" i="1"/>
  <c r="P5115" i="1"/>
  <c r="N5115" i="1"/>
  <c r="M5115" i="1"/>
  <c r="L5115" i="1"/>
  <c r="G5115" i="1"/>
  <c r="B5115" i="1"/>
  <c r="A5115" i="1"/>
  <c r="P5114" i="1"/>
  <c r="N5114" i="1"/>
  <c r="M5114" i="1"/>
  <c r="L5114" i="1"/>
  <c r="G5114" i="1"/>
  <c r="B5114" i="1"/>
  <c r="A5114" i="1"/>
  <c r="P5113" i="1"/>
  <c r="N5113" i="1"/>
  <c r="M5113" i="1"/>
  <c r="L5113" i="1"/>
  <c r="G5113" i="1"/>
  <c r="B5113" i="1"/>
  <c r="A5113" i="1"/>
  <c r="P5112" i="1"/>
  <c r="N5112" i="1"/>
  <c r="M5112" i="1"/>
  <c r="L5112" i="1"/>
  <c r="G5112" i="1"/>
  <c r="B5112" i="1"/>
  <c r="A5112" i="1"/>
  <c r="P5111" i="1"/>
  <c r="N5111" i="1"/>
  <c r="M5111" i="1"/>
  <c r="L5111" i="1"/>
  <c r="G5111" i="1"/>
  <c r="B5111" i="1"/>
  <c r="A5111" i="1"/>
  <c r="P5110" i="1"/>
  <c r="N5110" i="1"/>
  <c r="M5110" i="1"/>
  <c r="L5110" i="1"/>
  <c r="G5110" i="1"/>
  <c r="B5110" i="1"/>
  <c r="A5110" i="1"/>
  <c r="P5109" i="1"/>
  <c r="N5109" i="1"/>
  <c r="M5109" i="1"/>
  <c r="L5109" i="1"/>
  <c r="G5109" i="1"/>
  <c r="B5109" i="1"/>
  <c r="A5109" i="1"/>
  <c r="P5108" i="1"/>
  <c r="N5108" i="1"/>
  <c r="M5108" i="1"/>
  <c r="L5108" i="1"/>
  <c r="G5108" i="1"/>
  <c r="B5108" i="1"/>
  <c r="A5108" i="1"/>
  <c r="P5107" i="1"/>
  <c r="N5107" i="1"/>
  <c r="M5107" i="1"/>
  <c r="L5107" i="1"/>
  <c r="G5107" i="1"/>
  <c r="B5107" i="1"/>
  <c r="A5107" i="1"/>
  <c r="P5106" i="1"/>
  <c r="N5106" i="1"/>
  <c r="M5106" i="1"/>
  <c r="L5106" i="1"/>
  <c r="G5106" i="1"/>
  <c r="B5106" i="1"/>
  <c r="A5106" i="1"/>
  <c r="P5105" i="1"/>
  <c r="N5105" i="1"/>
  <c r="M5105" i="1"/>
  <c r="L5105" i="1"/>
  <c r="G5105" i="1"/>
  <c r="B5105" i="1"/>
  <c r="A5105" i="1"/>
  <c r="P5104" i="1"/>
  <c r="N5104" i="1"/>
  <c r="M5104" i="1"/>
  <c r="L5104" i="1"/>
  <c r="G5104" i="1"/>
  <c r="B5104" i="1"/>
  <c r="A5104" i="1"/>
  <c r="P5103" i="1"/>
  <c r="N5103" i="1"/>
  <c r="M5103" i="1"/>
  <c r="L5103" i="1"/>
  <c r="G5103" i="1"/>
  <c r="B5103" i="1"/>
  <c r="A5103" i="1"/>
  <c r="P5102" i="1"/>
  <c r="N5102" i="1"/>
  <c r="M5102" i="1"/>
  <c r="L5102" i="1"/>
  <c r="G5102" i="1"/>
  <c r="B5102" i="1"/>
  <c r="A5102" i="1"/>
  <c r="P5101" i="1"/>
  <c r="N5101" i="1"/>
  <c r="M5101" i="1"/>
  <c r="L5101" i="1"/>
  <c r="G5101" i="1"/>
  <c r="B5101" i="1"/>
  <c r="A5101" i="1"/>
  <c r="P5100" i="1"/>
  <c r="N5100" i="1"/>
  <c r="M5100" i="1"/>
  <c r="L5100" i="1"/>
  <c r="G5100" i="1"/>
  <c r="B5100" i="1"/>
  <c r="A5100" i="1"/>
  <c r="P5099" i="1"/>
  <c r="N5099" i="1"/>
  <c r="M5099" i="1"/>
  <c r="L5099" i="1"/>
  <c r="G5099" i="1"/>
  <c r="B5099" i="1"/>
  <c r="A5099" i="1"/>
  <c r="P5098" i="1"/>
  <c r="N5098" i="1"/>
  <c r="M5098" i="1"/>
  <c r="L5098" i="1"/>
  <c r="G5098" i="1"/>
  <c r="B5098" i="1"/>
  <c r="A5098" i="1"/>
  <c r="P5097" i="1"/>
  <c r="N5097" i="1"/>
  <c r="M5097" i="1"/>
  <c r="L5097" i="1"/>
  <c r="G5097" i="1"/>
  <c r="B5097" i="1"/>
  <c r="A5097" i="1"/>
  <c r="P5096" i="1"/>
  <c r="N5096" i="1"/>
  <c r="M5096" i="1"/>
  <c r="L5096" i="1"/>
  <c r="G5096" i="1"/>
  <c r="B5096" i="1"/>
  <c r="A5096" i="1"/>
  <c r="P5095" i="1"/>
  <c r="N5095" i="1"/>
  <c r="M5095" i="1"/>
  <c r="L5095" i="1"/>
  <c r="G5095" i="1"/>
  <c r="B5095" i="1"/>
  <c r="A5095" i="1"/>
  <c r="P5094" i="1"/>
  <c r="N5094" i="1"/>
  <c r="M5094" i="1"/>
  <c r="L5094" i="1"/>
  <c r="G5094" i="1"/>
  <c r="B5094" i="1"/>
  <c r="A5094" i="1"/>
  <c r="P5093" i="1"/>
  <c r="N5093" i="1"/>
  <c r="M5093" i="1"/>
  <c r="L5093" i="1"/>
  <c r="G5093" i="1"/>
  <c r="B5093" i="1"/>
  <c r="A5093" i="1"/>
  <c r="P5092" i="1"/>
  <c r="N5092" i="1"/>
  <c r="M5092" i="1"/>
  <c r="L5092" i="1"/>
  <c r="G5092" i="1"/>
  <c r="B5092" i="1"/>
  <c r="A5092" i="1"/>
  <c r="P5091" i="1"/>
  <c r="N5091" i="1"/>
  <c r="M5091" i="1"/>
  <c r="L5091" i="1"/>
  <c r="G5091" i="1"/>
  <c r="B5091" i="1"/>
  <c r="A5091" i="1"/>
  <c r="P5090" i="1"/>
  <c r="N5090" i="1"/>
  <c r="M5090" i="1"/>
  <c r="L5090" i="1"/>
  <c r="G5090" i="1"/>
  <c r="B5090" i="1"/>
  <c r="A5090" i="1"/>
  <c r="P5089" i="1"/>
  <c r="N5089" i="1"/>
  <c r="M5089" i="1"/>
  <c r="L5089" i="1"/>
  <c r="G5089" i="1"/>
  <c r="B5089" i="1"/>
  <c r="A5089" i="1"/>
  <c r="P5088" i="1"/>
  <c r="N5088" i="1"/>
  <c r="M5088" i="1"/>
  <c r="L5088" i="1"/>
  <c r="G5088" i="1"/>
  <c r="B5088" i="1"/>
  <c r="A5088" i="1"/>
  <c r="P5087" i="1"/>
  <c r="N5087" i="1"/>
  <c r="M5087" i="1"/>
  <c r="L5087" i="1"/>
  <c r="G5087" i="1"/>
  <c r="B5087" i="1"/>
  <c r="A5087" i="1"/>
  <c r="P5086" i="1"/>
  <c r="N5086" i="1"/>
  <c r="M5086" i="1"/>
  <c r="L5086" i="1"/>
  <c r="G5086" i="1"/>
  <c r="B5086" i="1"/>
  <c r="A5086" i="1"/>
  <c r="P5085" i="1"/>
  <c r="N5085" i="1"/>
  <c r="M5085" i="1"/>
  <c r="L5085" i="1"/>
  <c r="G5085" i="1"/>
  <c r="B5085" i="1"/>
  <c r="A5085" i="1"/>
  <c r="P5084" i="1"/>
  <c r="N5084" i="1"/>
  <c r="M5084" i="1"/>
  <c r="L5084" i="1"/>
  <c r="G5084" i="1"/>
  <c r="B5084" i="1"/>
  <c r="A5084" i="1"/>
  <c r="P5083" i="1"/>
  <c r="N5083" i="1"/>
  <c r="M5083" i="1"/>
  <c r="L5083" i="1"/>
  <c r="G5083" i="1"/>
  <c r="B5083" i="1"/>
  <c r="A5083" i="1"/>
  <c r="P5082" i="1"/>
  <c r="N5082" i="1"/>
  <c r="M5082" i="1"/>
  <c r="L5082" i="1"/>
  <c r="G5082" i="1"/>
  <c r="B5082" i="1"/>
  <c r="A5082" i="1"/>
  <c r="P5081" i="1"/>
  <c r="N5081" i="1"/>
  <c r="M5081" i="1"/>
  <c r="L5081" i="1"/>
  <c r="G5081" i="1"/>
  <c r="B5081" i="1"/>
  <c r="A5081" i="1"/>
  <c r="P5080" i="1"/>
  <c r="N5080" i="1"/>
  <c r="M5080" i="1"/>
  <c r="L5080" i="1"/>
  <c r="G5080" i="1"/>
  <c r="B5080" i="1"/>
  <c r="A5080" i="1"/>
  <c r="P5079" i="1"/>
  <c r="N5079" i="1"/>
  <c r="M5079" i="1"/>
  <c r="L5079" i="1"/>
  <c r="G5079" i="1"/>
  <c r="B5079" i="1"/>
  <c r="A5079" i="1"/>
  <c r="P5078" i="1"/>
  <c r="N5078" i="1"/>
  <c r="M5078" i="1"/>
  <c r="L5078" i="1"/>
  <c r="G5078" i="1"/>
  <c r="B5078" i="1"/>
  <c r="A5078" i="1"/>
  <c r="P5077" i="1"/>
  <c r="N5077" i="1"/>
  <c r="M5077" i="1"/>
  <c r="L5077" i="1"/>
  <c r="G5077" i="1"/>
  <c r="B5077" i="1"/>
  <c r="A5077" i="1"/>
  <c r="P5076" i="1"/>
  <c r="N5076" i="1"/>
  <c r="M5076" i="1"/>
  <c r="L5076" i="1"/>
  <c r="G5076" i="1"/>
  <c r="B5076" i="1"/>
  <c r="A5076" i="1"/>
  <c r="P5075" i="1"/>
  <c r="N5075" i="1"/>
  <c r="M5075" i="1"/>
  <c r="L5075" i="1"/>
  <c r="G5075" i="1"/>
  <c r="B5075" i="1"/>
  <c r="A5075" i="1"/>
  <c r="P5074" i="1"/>
  <c r="N5074" i="1"/>
  <c r="M5074" i="1"/>
  <c r="L5074" i="1"/>
  <c r="G5074" i="1"/>
  <c r="B5074" i="1"/>
  <c r="A5074" i="1"/>
  <c r="P5073" i="1"/>
  <c r="N5073" i="1"/>
  <c r="M5073" i="1"/>
  <c r="L5073" i="1"/>
  <c r="G5073" i="1"/>
  <c r="B5073" i="1"/>
  <c r="A5073" i="1"/>
  <c r="P5072" i="1"/>
  <c r="N5072" i="1"/>
  <c r="M5072" i="1"/>
  <c r="L5072" i="1"/>
  <c r="G5072" i="1"/>
  <c r="B5072" i="1"/>
  <c r="A5072" i="1"/>
  <c r="P5071" i="1"/>
  <c r="N5071" i="1"/>
  <c r="M5071" i="1"/>
  <c r="L5071" i="1"/>
  <c r="G5071" i="1"/>
  <c r="B5071" i="1"/>
  <c r="A5071" i="1"/>
  <c r="P5070" i="1"/>
  <c r="N5070" i="1"/>
  <c r="M5070" i="1"/>
  <c r="L5070" i="1"/>
  <c r="G5070" i="1"/>
  <c r="B5070" i="1"/>
  <c r="A5070" i="1"/>
  <c r="P5069" i="1"/>
  <c r="N5069" i="1"/>
  <c r="M5069" i="1"/>
  <c r="L5069" i="1"/>
  <c r="G5069" i="1"/>
  <c r="B5069" i="1"/>
  <c r="A5069" i="1"/>
  <c r="P5068" i="1"/>
  <c r="N5068" i="1"/>
  <c r="M5068" i="1"/>
  <c r="L5068" i="1"/>
  <c r="G5068" i="1"/>
  <c r="B5068" i="1"/>
  <c r="A5068" i="1"/>
  <c r="P5067" i="1"/>
  <c r="N5067" i="1"/>
  <c r="M5067" i="1"/>
  <c r="L5067" i="1"/>
  <c r="G5067" i="1"/>
  <c r="B5067" i="1"/>
  <c r="A5067" i="1"/>
  <c r="P5066" i="1"/>
  <c r="N5066" i="1"/>
  <c r="M5066" i="1"/>
  <c r="L5066" i="1"/>
  <c r="G5066" i="1"/>
  <c r="B5066" i="1"/>
  <c r="A5066" i="1"/>
  <c r="P5065" i="1"/>
  <c r="N5065" i="1"/>
  <c r="M5065" i="1"/>
  <c r="L5065" i="1"/>
  <c r="G5065" i="1"/>
  <c r="B5065" i="1"/>
  <c r="A5065" i="1"/>
  <c r="N5031" i="1"/>
  <c r="M5031" i="1"/>
  <c r="L5031" i="1"/>
  <c r="G5031" i="1"/>
  <c r="B5031" i="1"/>
  <c r="A5031" i="1"/>
  <c r="N5030" i="1"/>
  <c r="M5030" i="1"/>
  <c r="L5030" i="1"/>
  <c r="G5030" i="1"/>
  <c r="B5030" i="1"/>
  <c r="A5030" i="1"/>
  <c r="N5029" i="1"/>
  <c r="M5029" i="1"/>
  <c r="L5029" i="1"/>
  <c r="G5029" i="1"/>
  <c r="B5029" i="1"/>
  <c r="A5029" i="1"/>
  <c r="N5028" i="1"/>
  <c r="M5028" i="1"/>
  <c r="L5028" i="1"/>
  <c r="G5028" i="1"/>
  <c r="B5028" i="1"/>
  <c r="A5028" i="1"/>
  <c r="N5027" i="1"/>
  <c r="M5027" i="1"/>
  <c r="L5027" i="1"/>
  <c r="G5027" i="1"/>
  <c r="B5027" i="1"/>
  <c r="A5027" i="1"/>
  <c r="N5026" i="1"/>
  <c r="M5026" i="1"/>
  <c r="L5026" i="1"/>
  <c r="G5026" i="1"/>
  <c r="B5026" i="1"/>
  <c r="A5026" i="1"/>
  <c r="N5025" i="1"/>
  <c r="M5025" i="1"/>
  <c r="L5025" i="1"/>
  <c r="G5025" i="1"/>
  <c r="B5025" i="1"/>
  <c r="A5025" i="1"/>
  <c r="N5024" i="1"/>
  <c r="M5024" i="1"/>
  <c r="L5024" i="1"/>
  <c r="G5024" i="1"/>
  <c r="B5024" i="1"/>
  <c r="A5024" i="1"/>
  <c r="N5023" i="1"/>
  <c r="M5023" i="1"/>
  <c r="L5023" i="1"/>
  <c r="G5023" i="1"/>
  <c r="B5023" i="1"/>
  <c r="A5023" i="1"/>
  <c r="N5022" i="1"/>
  <c r="M5022" i="1"/>
  <c r="L5022" i="1"/>
  <c r="G5022" i="1"/>
  <c r="B5022" i="1"/>
  <c r="A5022" i="1"/>
  <c r="N5021" i="1"/>
  <c r="M5021" i="1"/>
  <c r="L5021" i="1"/>
  <c r="G5021" i="1"/>
  <c r="B5021" i="1"/>
  <c r="A5021" i="1"/>
  <c r="N5020" i="1"/>
  <c r="M5020" i="1"/>
  <c r="L5020" i="1"/>
  <c r="G5020" i="1"/>
  <c r="B5020" i="1"/>
  <c r="A5020" i="1"/>
  <c r="N5019" i="1"/>
  <c r="M5019" i="1"/>
  <c r="L5019" i="1"/>
  <c r="G5019" i="1"/>
  <c r="B5019" i="1"/>
  <c r="A5019" i="1"/>
  <c r="N5018" i="1"/>
  <c r="M5018" i="1"/>
  <c r="L5018" i="1"/>
  <c r="G5018" i="1"/>
  <c r="B5018" i="1"/>
  <c r="A5018" i="1"/>
  <c r="N5017" i="1"/>
  <c r="M5017" i="1"/>
  <c r="L5017" i="1"/>
  <c r="G5017" i="1"/>
  <c r="B5017" i="1"/>
  <c r="A5017" i="1"/>
  <c r="N5016" i="1"/>
  <c r="M5016" i="1"/>
  <c r="L5016" i="1"/>
  <c r="G5016" i="1"/>
  <c r="B5016" i="1"/>
  <c r="A5016" i="1"/>
  <c r="N5015" i="1"/>
  <c r="M5015" i="1"/>
  <c r="L5015" i="1"/>
  <c r="G5015" i="1"/>
  <c r="B5015" i="1"/>
  <c r="A5015" i="1"/>
  <c r="N5014" i="1"/>
  <c r="M5014" i="1"/>
  <c r="L5014" i="1"/>
  <c r="G5014" i="1"/>
  <c r="B5014" i="1"/>
  <c r="A5014" i="1"/>
  <c r="N5013" i="1"/>
  <c r="M5013" i="1"/>
  <c r="L5013" i="1"/>
  <c r="G5013" i="1"/>
  <c r="B5013" i="1"/>
  <c r="A5013" i="1"/>
  <c r="N5012" i="1"/>
  <c r="M5012" i="1"/>
  <c r="L5012" i="1"/>
  <c r="G5012" i="1"/>
  <c r="B5012" i="1"/>
  <c r="A5012" i="1"/>
  <c r="N5011" i="1"/>
  <c r="M5011" i="1"/>
  <c r="L5011" i="1"/>
  <c r="G5011" i="1"/>
  <c r="B5011" i="1"/>
  <c r="A5011" i="1"/>
  <c r="N5010" i="1"/>
  <c r="M5010" i="1"/>
  <c r="L5010" i="1"/>
  <c r="G5010" i="1"/>
  <c r="B5010" i="1"/>
  <c r="A5010" i="1"/>
  <c r="N5009" i="1"/>
  <c r="M5009" i="1"/>
  <c r="L5009" i="1"/>
  <c r="G5009" i="1"/>
  <c r="B5009" i="1"/>
  <c r="A5009" i="1"/>
  <c r="N5008" i="1"/>
  <c r="M5008" i="1"/>
  <c r="L5008" i="1"/>
  <c r="G5008" i="1"/>
  <c r="B5008" i="1"/>
  <c r="A5008" i="1"/>
  <c r="N5007" i="1"/>
  <c r="M5007" i="1"/>
  <c r="L5007" i="1"/>
  <c r="G5007" i="1"/>
  <c r="B5007" i="1"/>
  <c r="A5007" i="1"/>
  <c r="N5006" i="1"/>
  <c r="M5006" i="1"/>
  <c r="L5006" i="1"/>
  <c r="G5006" i="1"/>
  <c r="B5006" i="1"/>
  <c r="A5006" i="1"/>
  <c r="N5005" i="1"/>
  <c r="M5005" i="1"/>
  <c r="L5005" i="1"/>
  <c r="B5005" i="1"/>
  <c r="A5005" i="1"/>
  <c r="N5004" i="1"/>
  <c r="M5004" i="1"/>
  <c r="L5004" i="1"/>
  <c r="B5004" i="1"/>
  <c r="A5004" i="1"/>
  <c r="N5003" i="1"/>
  <c r="M5003" i="1"/>
  <c r="L5003" i="1"/>
  <c r="B5003" i="1"/>
  <c r="A5003" i="1"/>
  <c r="N5002" i="1"/>
  <c r="M5002" i="1"/>
  <c r="L5002" i="1"/>
  <c r="B5002" i="1"/>
  <c r="A5002" i="1"/>
  <c r="N5001" i="1"/>
  <c r="M5001" i="1"/>
  <c r="L5001" i="1"/>
  <c r="B5001" i="1"/>
  <c r="A5001" i="1"/>
  <c r="N5000" i="1"/>
  <c r="M5000" i="1"/>
  <c r="L5000" i="1"/>
  <c r="G5000" i="1"/>
  <c r="B5000" i="1"/>
  <c r="A5000" i="1"/>
  <c r="N4999" i="1"/>
  <c r="M4999" i="1"/>
  <c r="L4999" i="1"/>
  <c r="G4999" i="1"/>
  <c r="B4999" i="1"/>
  <c r="A4999" i="1"/>
  <c r="N4998" i="1"/>
  <c r="M4998" i="1"/>
  <c r="L4998" i="1"/>
  <c r="G4998" i="1"/>
  <c r="B4998" i="1"/>
  <c r="A4998" i="1"/>
  <c r="N4997" i="1"/>
  <c r="M4997" i="1"/>
  <c r="L4997" i="1"/>
  <c r="G4997" i="1"/>
  <c r="B4997" i="1"/>
  <c r="A4997" i="1"/>
  <c r="N4996" i="1"/>
  <c r="M4996" i="1"/>
  <c r="L4996" i="1"/>
  <c r="G4996" i="1"/>
  <c r="B4996" i="1"/>
  <c r="A4996" i="1"/>
  <c r="N4995" i="1"/>
  <c r="M4995" i="1"/>
  <c r="L4995" i="1"/>
  <c r="G4995" i="1"/>
  <c r="B4995" i="1"/>
  <c r="A4995" i="1"/>
  <c r="N4994" i="1"/>
  <c r="M4994" i="1"/>
  <c r="L4994" i="1"/>
  <c r="G4994" i="1"/>
  <c r="B4994" i="1"/>
  <c r="A4994" i="1"/>
  <c r="N4993" i="1"/>
  <c r="M4993" i="1"/>
  <c r="L4993" i="1"/>
  <c r="G4993" i="1"/>
  <c r="B4993" i="1"/>
  <c r="A4993" i="1"/>
  <c r="N4992" i="1"/>
  <c r="M4992" i="1"/>
  <c r="L4992" i="1"/>
  <c r="G4992" i="1"/>
  <c r="B4992" i="1"/>
  <c r="A4992" i="1"/>
  <c r="N4991" i="1"/>
  <c r="M4991" i="1"/>
  <c r="L4991" i="1"/>
  <c r="G4991" i="1"/>
  <c r="B4991" i="1"/>
  <c r="A4991" i="1"/>
  <c r="N4990" i="1"/>
  <c r="M4990" i="1"/>
  <c r="L4990" i="1"/>
  <c r="B4990" i="1"/>
  <c r="A4990" i="1"/>
  <c r="N4989" i="1"/>
  <c r="M4989" i="1"/>
  <c r="L4989" i="1"/>
  <c r="G4989" i="1"/>
  <c r="B4989" i="1"/>
  <c r="A4989" i="1"/>
  <c r="N4988" i="1"/>
  <c r="M4988" i="1"/>
  <c r="L4988" i="1"/>
  <c r="G4988" i="1"/>
  <c r="B4988" i="1"/>
  <c r="A4988" i="1"/>
  <c r="N4987" i="1"/>
  <c r="M4987" i="1"/>
  <c r="L4987" i="1"/>
  <c r="G4987" i="1"/>
  <c r="B4987" i="1"/>
  <c r="A4987" i="1"/>
  <c r="N4986" i="1"/>
  <c r="M4986" i="1"/>
  <c r="L4986" i="1"/>
  <c r="G4986" i="1"/>
  <c r="B4986" i="1"/>
  <c r="A4986" i="1"/>
  <c r="N4985" i="1"/>
  <c r="M4985" i="1"/>
  <c r="L4985" i="1"/>
  <c r="G4985" i="1"/>
  <c r="B4985" i="1"/>
  <c r="A4985" i="1"/>
  <c r="N4984" i="1"/>
  <c r="M4984" i="1"/>
  <c r="L4984" i="1"/>
  <c r="G4984" i="1"/>
  <c r="B4984" i="1"/>
  <c r="A4984" i="1"/>
  <c r="N4983" i="1"/>
  <c r="M4983" i="1"/>
  <c r="L4983" i="1"/>
  <c r="G4983" i="1"/>
  <c r="B4983" i="1"/>
  <c r="A4983" i="1"/>
  <c r="N4982" i="1"/>
  <c r="M4982" i="1"/>
  <c r="L4982" i="1"/>
  <c r="G4982" i="1"/>
  <c r="B4982" i="1"/>
  <c r="A4982" i="1"/>
  <c r="N4981" i="1"/>
  <c r="M4981" i="1"/>
  <c r="L4981" i="1"/>
  <c r="G4981" i="1"/>
  <c r="B4981" i="1"/>
  <c r="A4981" i="1"/>
  <c r="N4980" i="1"/>
  <c r="M4980" i="1"/>
  <c r="L4980" i="1"/>
  <c r="G4980" i="1"/>
  <c r="B4980" i="1"/>
  <c r="A4980" i="1"/>
  <c r="N4979" i="1"/>
  <c r="M4979" i="1"/>
  <c r="L4979" i="1"/>
  <c r="B4979" i="1"/>
  <c r="A4979" i="1"/>
  <c r="N4978" i="1"/>
  <c r="M4978" i="1"/>
  <c r="L4978" i="1"/>
  <c r="B4978" i="1"/>
  <c r="A4978" i="1"/>
  <c r="N4977" i="1"/>
  <c r="M4977" i="1"/>
  <c r="L4977" i="1"/>
  <c r="B4977" i="1"/>
  <c r="A4977" i="1"/>
  <c r="N4976" i="1"/>
  <c r="M4976" i="1"/>
  <c r="L4976" i="1"/>
  <c r="G4976" i="1"/>
  <c r="B4976" i="1"/>
  <c r="A4976" i="1"/>
  <c r="N4975" i="1"/>
  <c r="M4975" i="1"/>
  <c r="L4975" i="1"/>
  <c r="G4975" i="1"/>
  <c r="B4975" i="1"/>
  <c r="A4975" i="1"/>
  <c r="N4974" i="1"/>
  <c r="M4974" i="1"/>
  <c r="L4974" i="1"/>
  <c r="G4974" i="1"/>
  <c r="B4974" i="1"/>
  <c r="A4974" i="1"/>
  <c r="N4973" i="1"/>
  <c r="M4973" i="1"/>
  <c r="L4973" i="1"/>
  <c r="G4973" i="1"/>
  <c r="B4973" i="1"/>
  <c r="A4973" i="1"/>
  <c r="N4972" i="1"/>
  <c r="M4972" i="1"/>
  <c r="L4972" i="1"/>
  <c r="G4972" i="1"/>
  <c r="B4972" i="1"/>
  <c r="A4972" i="1"/>
  <c r="N4971" i="1"/>
  <c r="M4971" i="1"/>
  <c r="L4971" i="1"/>
  <c r="G4971" i="1"/>
  <c r="B4971" i="1"/>
  <c r="A4971" i="1"/>
  <c r="N4970" i="1"/>
  <c r="M4970" i="1"/>
  <c r="L4970" i="1"/>
  <c r="G4970" i="1"/>
  <c r="B4970" i="1"/>
  <c r="A4970" i="1"/>
  <c r="N4969" i="1"/>
  <c r="M4969" i="1"/>
  <c r="L4969" i="1"/>
  <c r="G4969" i="1"/>
  <c r="B4969" i="1"/>
  <c r="A4969" i="1"/>
  <c r="N4968" i="1"/>
  <c r="M4968" i="1"/>
  <c r="L4968" i="1"/>
  <c r="B4968" i="1"/>
  <c r="A4968" i="1"/>
  <c r="N4967" i="1"/>
  <c r="M4967" i="1"/>
  <c r="L4967" i="1"/>
  <c r="G4967" i="1"/>
  <c r="B4967" i="1"/>
  <c r="A4967" i="1"/>
  <c r="N4966" i="1"/>
  <c r="M4966" i="1"/>
  <c r="L4966" i="1"/>
  <c r="G4966" i="1"/>
  <c r="B4966" i="1"/>
  <c r="A4966" i="1"/>
  <c r="N4965" i="1"/>
  <c r="M4965" i="1"/>
  <c r="L4965" i="1"/>
  <c r="G4965" i="1"/>
  <c r="B4965" i="1"/>
  <c r="A4965" i="1"/>
  <c r="N4964" i="1"/>
  <c r="M4964" i="1"/>
  <c r="L4964" i="1"/>
  <c r="G4964" i="1"/>
  <c r="B4964" i="1"/>
  <c r="A4964" i="1"/>
  <c r="N4963" i="1"/>
  <c r="M4963" i="1"/>
  <c r="L4963" i="1"/>
  <c r="G4963" i="1"/>
  <c r="B4963" i="1"/>
  <c r="A4963" i="1"/>
  <c r="N4962" i="1"/>
  <c r="M4962" i="1"/>
  <c r="L4962" i="1"/>
  <c r="G4962" i="1"/>
  <c r="B4962" i="1"/>
  <c r="A4962" i="1"/>
  <c r="N4961" i="1"/>
  <c r="M4961" i="1"/>
  <c r="L4961" i="1"/>
  <c r="G4961" i="1"/>
  <c r="B4961" i="1"/>
  <c r="A4961" i="1"/>
  <c r="N4960" i="1"/>
  <c r="M4960" i="1"/>
  <c r="L4960" i="1"/>
  <c r="G4960" i="1"/>
  <c r="B4960" i="1"/>
  <c r="A4960" i="1"/>
  <c r="N4959" i="1"/>
  <c r="M4959" i="1"/>
  <c r="L4959" i="1"/>
  <c r="G4959" i="1"/>
  <c r="B4959" i="1"/>
  <c r="A4959" i="1"/>
  <c r="N4958" i="1"/>
  <c r="M4958" i="1"/>
  <c r="L4958" i="1"/>
  <c r="G4958" i="1"/>
  <c r="B4958" i="1"/>
  <c r="A4958" i="1"/>
  <c r="N4957" i="1"/>
  <c r="M4957" i="1"/>
  <c r="L4957" i="1"/>
  <c r="G4957" i="1"/>
  <c r="B4957" i="1"/>
  <c r="A4957" i="1"/>
  <c r="N4956" i="1"/>
  <c r="M4956" i="1"/>
  <c r="L4956" i="1"/>
  <c r="B4956" i="1"/>
  <c r="A4956" i="1"/>
  <c r="N4955" i="1"/>
  <c r="M4955" i="1"/>
  <c r="L4955" i="1"/>
  <c r="B4955" i="1"/>
  <c r="A4955" i="1"/>
  <c r="N4954" i="1"/>
  <c r="M4954" i="1"/>
  <c r="L4954" i="1"/>
  <c r="B4954" i="1"/>
  <c r="A4954" i="1"/>
  <c r="N4953" i="1"/>
  <c r="M4953" i="1"/>
  <c r="L4953" i="1"/>
  <c r="B4953" i="1"/>
  <c r="A4953" i="1"/>
  <c r="N4952" i="1"/>
  <c r="M4952" i="1"/>
  <c r="L4952" i="1"/>
  <c r="G4952" i="1"/>
  <c r="B4952" i="1"/>
  <c r="A4952" i="1"/>
  <c r="N4951" i="1"/>
  <c r="M4951" i="1"/>
  <c r="L4951" i="1"/>
  <c r="G4951" i="1"/>
  <c r="B4951" i="1"/>
  <c r="A4951" i="1"/>
  <c r="N4950" i="1"/>
  <c r="M4950" i="1"/>
  <c r="L4950" i="1"/>
  <c r="G4950" i="1"/>
  <c r="B4950" i="1"/>
  <c r="A4950" i="1"/>
  <c r="N4949" i="1"/>
  <c r="M4949" i="1"/>
  <c r="L4949" i="1"/>
  <c r="G4949" i="1"/>
  <c r="B4949" i="1"/>
  <c r="A4949" i="1"/>
  <c r="N4948" i="1"/>
  <c r="M4948" i="1"/>
  <c r="L4948" i="1"/>
  <c r="G4948" i="1"/>
  <c r="B4948" i="1"/>
  <c r="A4948" i="1"/>
  <c r="N4947" i="1"/>
  <c r="M4947" i="1"/>
  <c r="L4947" i="1"/>
  <c r="G4947" i="1"/>
  <c r="B4947" i="1"/>
  <c r="A4947" i="1"/>
  <c r="N4946" i="1"/>
  <c r="M4946" i="1"/>
  <c r="L4946" i="1"/>
  <c r="G4946" i="1"/>
  <c r="B4946" i="1"/>
  <c r="A4946" i="1"/>
  <c r="N4945" i="1"/>
  <c r="M4945" i="1"/>
  <c r="L4945" i="1"/>
  <c r="G4945" i="1"/>
  <c r="B4945" i="1"/>
  <c r="A4945" i="1"/>
  <c r="N4944" i="1"/>
  <c r="M4944" i="1"/>
  <c r="L4944" i="1"/>
  <c r="G4944" i="1"/>
  <c r="B4944" i="1"/>
  <c r="A4944" i="1"/>
  <c r="N4943" i="1"/>
  <c r="M4943" i="1"/>
  <c r="L4943" i="1"/>
  <c r="B4943" i="1"/>
  <c r="A4943" i="1"/>
  <c r="N4942" i="1"/>
  <c r="M4942" i="1"/>
  <c r="L4942" i="1"/>
  <c r="G4942" i="1"/>
  <c r="B4942" i="1"/>
  <c r="A4942" i="1"/>
  <c r="N4941" i="1"/>
  <c r="M4941" i="1"/>
  <c r="L4941" i="1"/>
  <c r="B4941" i="1"/>
  <c r="A4941" i="1"/>
  <c r="N4940" i="1"/>
  <c r="M4940" i="1"/>
  <c r="L4940" i="1"/>
  <c r="B4940" i="1"/>
  <c r="A4940" i="1"/>
  <c r="N4939" i="1"/>
  <c r="M4939" i="1"/>
  <c r="L4939" i="1"/>
  <c r="B4939" i="1"/>
  <c r="A4939" i="1"/>
  <c r="N4938" i="1"/>
  <c r="M4938" i="1"/>
  <c r="L4938" i="1"/>
  <c r="G4938" i="1"/>
  <c r="B4938" i="1"/>
  <c r="A4938" i="1"/>
  <c r="N4937" i="1"/>
  <c r="M4937" i="1"/>
  <c r="L4937" i="1"/>
  <c r="B4937" i="1"/>
  <c r="A4937" i="1"/>
  <c r="N4936" i="1"/>
  <c r="M4936" i="1"/>
  <c r="L4936" i="1"/>
  <c r="G4936" i="1"/>
  <c r="B4936" i="1"/>
  <c r="A4936" i="1"/>
  <c r="N4935" i="1"/>
  <c r="M4935" i="1"/>
  <c r="L4935" i="1"/>
  <c r="G4935" i="1"/>
  <c r="B4935" i="1"/>
  <c r="A4935" i="1"/>
  <c r="N4934" i="1"/>
  <c r="M4934" i="1"/>
  <c r="L4934" i="1"/>
  <c r="G4934" i="1"/>
  <c r="B4934" i="1"/>
  <c r="A4934" i="1"/>
  <c r="N4933" i="1"/>
  <c r="M4933" i="1"/>
  <c r="L4933" i="1"/>
  <c r="B4933" i="1"/>
  <c r="A4933" i="1"/>
  <c r="G4857" i="1"/>
  <c r="G4856" i="1"/>
  <c r="G4855" i="1"/>
  <c r="G4854" i="1"/>
  <c r="G4853" i="1"/>
  <c r="G4852" i="1"/>
  <c r="G4851" i="1"/>
  <c r="G4850" i="1"/>
  <c r="G4849" i="1"/>
  <c r="G4848" i="1"/>
  <c r="G4847" i="1"/>
  <c r="G4846" i="1"/>
  <c r="G4845" i="1"/>
  <c r="G4844" i="1"/>
  <c r="G4843" i="1"/>
  <c r="G4842" i="1"/>
  <c r="G4841" i="1"/>
  <c r="G4840" i="1"/>
  <c r="G4839" i="1"/>
  <c r="G4838" i="1"/>
  <c r="G4837" i="1"/>
  <c r="G4836" i="1"/>
  <c r="G4835" i="1"/>
  <c r="G4834" i="1"/>
  <c r="G4833" i="1"/>
  <c r="G4832" i="1"/>
  <c r="G4831" i="1"/>
  <c r="G4830" i="1"/>
  <c r="G4829" i="1"/>
  <c r="G4828" i="1"/>
  <c r="G4827" i="1"/>
  <c r="G4826" i="1"/>
  <c r="G4825" i="1"/>
  <c r="G4824" i="1"/>
  <c r="G4823" i="1"/>
  <c r="G4822" i="1"/>
  <c r="G4821" i="1"/>
  <c r="G4820" i="1"/>
  <c r="G4819" i="1"/>
  <c r="G4818" i="1"/>
  <c r="G4817" i="1"/>
  <c r="G4816" i="1"/>
  <c r="G4815" i="1"/>
  <c r="G4814" i="1"/>
  <c r="G4813" i="1"/>
  <c r="G4812" i="1"/>
  <c r="N4857" i="1" l="1"/>
  <c r="M4857" i="1"/>
  <c r="L4857" i="1"/>
  <c r="D4857" i="1"/>
  <c r="B4857" i="1"/>
  <c r="A4857" i="1"/>
  <c r="N4856" i="1"/>
  <c r="M4856" i="1"/>
  <c r="L4856" i="1"/>
  <c r="D4856" i="1"/>
  <c r="B4856" i="1"/>
  <c r="A4856" i="1"/>
  <c r="N4855" i="1"/>
  <c r="M4855" i="1"/>
  <c r="L4855" i="1"/>
  <c r="D4855" i="1"/>
  <c r="B4855" i="1"/>
  <c r="A4855" i="1"/>
  <c r="N4854" i="1"/>
  <c r="M4854" i="1"/>
  <c r="L4854" i="1"/>
  <c r="D4854" i="1"/>
  <c r="B4854" i="1"/>
  <c r="A4854" i="1"/>
  <c r="N4853" i="1"/>
  <c r="M4853" i="1"/>
  <c r="L4853" i="1"/>
  <c r="D4853" i="1"/>
  <c r="B4853" i="1"/>
  <c r="A4853" i="1"/>
  <c r="N4852" i="1"/>
  <c r="M4852" i="1"/>
  <c r="L4852" i="1"/>
  <c r="D4852" i="1"/>
  <c r="B4852" i="1"/>
  <c r="A4852" i="1"/>
  <c r="N4851" i="1"/>
  <c r="M4851" i="1"/>
  <c r="L4851" i="1"/>
  <c r="D4851" i="1"/>
  <c r="B4851" i="1"/>
  <c r="A4851" i="1"/>
  <c r="N4850" i="1"/>
  <c r="M4850" i="1"/>
  <c r="L4850" i="1"/>
  <c r="D4850" i="1"/>
  <c r="B4850" i="1"/>
  <c r="A4850" i="1"/>
  <c r="N4849" i="1"/>
  <c r="M4849" i="1"/>
  <c r="L4849" i="1"/>
  <c r="D4849" i="1"/>
  <c r="B4849" i="1"/>
  <c r="A4849" i="1"/>
  <c r="N4848" i="1"/>
  <c r="M4848" i="1"/>
  <c r="L4848" i="1"/>
  <c r="D4848" i="1"/>
  <c r="B4848" i="1"/>
  <c r="A4848" i="1"/>
  <c r="N4847" i="1"/>
  <c r="M4847" i="1"/>
  <c r="L4847" i="1"/>
  <c r="D4847" i="1"/>
  <c r="B4847" i="1"/>
  <c r="A4847" i="1"/>
  <c r="N4846" i="1"/>
  <c r="M4846" i="1"/>
  <c r="L4846" i="1"/>
  <c r="D4846" i="1"/>
  <c r="B4846" i="1"/>
  <c r="A4846" i="1"/>
  <c r="N4845" i="1"/>
  <c r="M4845" i="1"/>
  <c r="L4845" i="1"/>
  <c r="D4845" i="1"/>
  <c r="B4845" i="1"/>
  <c r="A4845" i="1"/>
  <c r="N4844" i="1"/>
  <c r="M4844" i="1"/>
  <c r="L4844" i="1"/>
  <c r="D4844" i="1"/>
  <c r="B4844" i="1"/>
  <c r="A4844" i="1"/>
  <c r="N4843" i="1"/>
  <c r="M4843" i="1"/>
  <c r="L4843" i="1"/>
  <c r="D4843" i="1"/>
  <c r="B4843" i="1"/>
  <c r="A4843" i="1"/>
  <c r="N4842" i="1"/>
  <c r="M4842" i="1"/>
  <c r="L4842" i="1"/>
  <c r="D4842" i="1"/>
  <c r="B4842" i="1"/>
  <c r="A4842" i="1"/>
  <c r="N4841" i="1"/>
  <c r="M4841" i="1"/>
  <c r="L4841" i="1"/>
  <c r="D4841" i="1"/>
  <c r="B4841" i="1"/>
  <c r="A4841" i="1"/>
  <c r="N4840" i="1"/>
  <c r="M4840" i="1"/>
  <c r="L4840" i="1"/>
  <c r="D4840" i="1"/>
  <c r="B4840" i="1"/>
  <c r="A4840" i="1"/>
  <c r="N4839" i="1"/>
  <c r="M4839" i="1"/>
  <c r="L4839" i="1"/>
  <c r="D4839" i="1"/>
  <c r="B4839" i="1"/>
  <c r="A4839" i="1"/>
  <c r="N4838" i="1"/>
  <c r="M4838" i="1"/>
  <c r="L4838" i="1"/>
  <c r="D4838" i="1"/>
  <c r="B4838" i="1"/>
  <c r="A4838" i="1"/>
  <c r="N4837" i="1"/>
  <c r="M4837" i="1"/>
  <c r="L4837" i="1"/>
  <c r="D4837" i="1"/>
  <c r="B4837" i="1"/>
  <c r="A4837" i="1"/>
  <c r="N4836" i="1"/>
  <c r="M4836" i="1"/>
  <c r="L4836" i="1"/>
  <c r="D4836" i="1"/>
  <c r="B4836" i="1"/>
  <c r="A4836" i="1"/>
  <c r="N4835" i="1"/>
  <c r="M4835" i="1"/>
  <c r="L4835" i="1"/>
  <c r="D4835" i="1"/>
  <c r="B4835" i="1"/>
  <c r="A4835" i="1"/>
  <c r="N4834" i="1"/>
  <c r="M4834" i="1"/>
  <c r="L4834" i="1"/>
  <c r="D4834" i="1"/>
  <c r="B4834" i="1"/>
  <c r="A4834" i="1"/>
  <c r="N4833" i="1"/>
  <c r="M4833" i="1"/>
  <c r="L4833" i="1"/>
  <c r="D4833" i="1"/>
  <c r="B4833" i="1"/>
  <c r="A4833" i="1"/>
  <c r="N4832" i="1"/>
  <c r="M4832" i="1"/>
  <c r="L4832" i="1"/>
  <c r="D4832" i="1"/>
  <c r="B4832" i="1"/>
  <c r="A4832" i="1"/>
  <c r="N4831" i="1"/>
  <c r="M4831" i="1"/>
  <c r="L4831" i="1"/>
  <c r="D4831" i="1"/>
  <c r="B4831" i="1"/>
  <c r="A4831" i="1"/>
  <c r="N4830" i="1"/>
  <c r="M4830" i="1"/>
  <c r="L4830" i="1"/>
  <c r="D4830" i="1"/>
  <c r="B4830" i="1"/>
  <c r="A4830" i="1"/>
  <c r="N4829" i="1"/>
  <c r="M4829" i="1"/>
  <c r="L4829" i="1"/>
  <c r="D4829" i="1"/>
  <c r="B4829" i="1"/>
  <c r="A4829" i="1"/>
  <c r="N4828" i="1"/>
  <c r="M4828" i="1"/>
  <c r="L4828" i="1"/>
  <c r="D4828" i="1"/>
  <c r="B4828" i="1"/>
  <c r="A4828" i="1"/>
  <c r="N4827" i="1"/>
  <c r="M4827" i="1"/>
  <c r="L4827" i="1"/>
  <c r="D4827" i="1"/>
  <c r="B4827" i="1"/>
  <c r="A4827" i="1"/>
  <c r="N4826" i="1"/>
  <c r="M4826" i="1"/>
  <c r="L4826" i="1"/>
  <c r="D4826" i="1"/>
  <c r="B4826" i="1"/>
  <c r="A4826" i="1"/>
  <c r="N4825" i="1"/>
  <c r="M4825" i="1"/>
  <c r="L4825" i="1"/>
  <c r="D4825" i="1"/>
  <c r="B4825" i="1"/>
  <c r="A4825" i="1"/>
  <c r="N4824" i="1"/>
  <c r="M4824" i="1"/>
  <c r="L4824" i="1"/>
  <c r="D4824" i="1"/>
  <c r="B4824" i="1"/>
  <c r="A4824" i="1"/>
  <c r="N4823" i="1"/>
  <c r="M4823" i="1"/>
  <c r="L4823" i="1"/>
  <c r="D4823" i="1"/>
  <c r="B4823" i="1"/>
  <c r="A4823" i="1"/>
  <c r="N4822" i="1"/>
  <c r="M4822" i="1"/>
  <c r="L4822" i="1"/>
  <c r="D4822" i="1"/>
  <c r="B4822" i="1"/>
  <c r="A4822" i="1"/>
  <c r="N4821" i="1"/>
  <c r="M4821" i="1"/>
  <c r="L4821" i="1"/>
  <c r="D4821" i="1"/>
  <c r="B4821" i="1"/>
  <c r="A4821" i="1"/>
  <c r="N4820" i="1"/>
  <c r="M4820" i="1"/>
  <c r="L4820" i="1"/>
  <c r="D4820" i="1"/>
  <c r="B4820" i="1"/>
  <c r="A4820" i="1"/>
  <c r="N4819" i="1"/>
  <c r="M4819" i="1"/>
  <c r="L4819" i="1"/>
  <c r="D4819" i="1"/>
  <c r="B4819" i="1"/>
  <c r="A4819" i="1"/>
  <c r="N4818" i="1"/>
  <c r="M4818" i="1"/>
  <c r="L4818" i="1"/>
  <c r="D4818" i="1"/>
  <c r="B4818" i="1"/>
  <c r="A4818" i="1"/>
  <c r="N4817" i="1"/>
  <c r="M4817" i="1"/>
  <c r="L4817" i="1"/>
  <c r="D4817" i="1"/>
  <c r="B4817" i="1"/>
  <c r="A4817" i="1"/>
  <c r="N4816" i="1"/>
  <c r="M4816" i="1"/>
  <c r="L4816" i="1"/>
  <c r="D4816" i="1"/>
  <c r="B4816" i="1"/>
  <c r="A4816" i="1"/>
  <c r="N4815" i="1"/>
  <c r="M4815" i="1"/>
  <c r="L4815" i="1"/>
  <c r="D4815" i="1"/>
  <c r="B4815" i="1"/>
  <c r="A4815" i="1"/>
  <c r="N4814" i="1"/>
  <c r="M4814" i="1"/>
  <c r="L4814" i="1"/>
  <c r="D4814" i="1"/>
  <c r="B4814" i="1"/>
  <c r="A4814" i="1"/>
  <c r="N4813" i="1"/>
  <c r="M4813" i="1"/>
  <c r="L4813" i="1"/>
  <c r="D4813" i="1"/>
  <c r="B4813" i="1"/>
  <c r="A4813" i="1"/>
  <c r="N4812" i="1"/>
  <c r="M4812" i="1"/>
  <c r="L4812" i="1"/>
  <c r="D4812" i="1"/>
  <c r="B4812" i="1"/>
  <c r="A4812" i="1"/>
  <c r="B6840" i="6"/>
  <c r="B6841" i="6"/>
  <c r="B6842" i="6"/>
  <c r="B6843" i="6"/>
  <c r="B6844" i="6"/>
  <c r="B6845" i="6"/>
  <c r="B6846" i="6"/>
  <c r="B6847" i="6"/>
  <c r="B6848" i="6"/>
  <c r="B6849" i="6"/>
  <c r="B6850" i="6"/>
  <c r="B6851" i="6"/>
  <c r="B6852" i="6"/>
  <c r="B6853" i="6"/>
  <c r="B6854" i="6"/>
  <c r="B6855" i="6"/>
  <c r="B6856" i="6"/>
  <c r="B6857" i="6"/>
  <c r="B6858" i="6"/>
  <c r="B6859" i="6"/>
  <c r="B6860" i="6"/>
  <c r="B6861" i="6"/>
  <c r="B6862" i="6"/>
  <c r="B6863" i="6"/>
  <c r="B6864" i="6"/>
  <c r="B6865" i="6"/>
  <c r="B6866" i="6"/>
  <c r="B6867" i="6"/>
  <c r="B6868" i="6"/>
  <c r="B6869" i="6"/>
  <c r="B6870" i="6"/>
  <c r="B6871" i="6"/>
  <c r="B6872" i="6"/>
  <c r="B6873" i="6"/>
  <c r="B6874" i="6"/>
  <c r="B6875" i="6"/>
  <c r="B6876" i="6"/>
  <c r="B6877" i="6"/>
  <c r="B6878" i="6"/>
  <c r="B6879" i="6"/>
  <c r="B6880" i="6"/>
  <c r="B6881" i="6"/>
  <c r="B6882" i="6"/>
  <c r="B6883" i="6"/>
  <c r="B6884" i="6"/>
  <c r="B6885" i="6"/>
  <c r="B6886" i="6"/>
  <c r="B6887" i="6"/>
  <c r="B6888" i="6"/>
  <c r="B6889" i="6"/>
  <c r="B6890" i="6"/>
  <c r="B6891" i="6"/>
  <c r="B6892" i="6"/>
  <c r="B6893" i="6"/>
  <c r="B6894" i="6"/>
  <c r="B6895" i="6"/>
  <c r="B6896" i="6"/>
  <c r="B6897" i="6"/>
  <c r="B6898" i="6"/>
  <c r="B6899" i="6"/>
  <c r="B6900" i="6"/>
  <c r="B6901" i="6"/>
  <c r="B6902" i="6"/>
  <c r="B6903" i="6"/>
  <c r="B6904" i="6"/>
  <c r="B6905" i="6"/>
  <c r="B6906" i="6"/>
  <c r="B6907" i="6"/>
  <c r="B6908" i="6"/>
  <c r="B6909" i="6"/>
  <c r="B6910" i="6"/>
  <c r="B6911" i="6"/>
  <c r="B6912" i="6"/>
  <c r="B6913" i="6"/>
  <c r="B6914" i="6"/>
  <c r="B6915" i="6"/>
  <c r="B6916" i="6"/>
  <c r="B6917" i="6"/>
  <c r="B6918" i="6"/>
  <c r="B6919" i="6"/>
  <c r="B6920" i="6"/>
  <c r="B6921" i="6"/>
  <c r="B6922" i="6"/>
  <c r="B6923" i="6"/>
  <c r="B6924" i="6"/>
  <c r="B6925" i="6"/>
  <c r="B6926" i="6"/>
  <c r="B6927" i="6"/>
  <c r="B6928" i="6"/>
  <c r="B6929" i="6"/>
  <c r="B6930" i="6"/>
  <c r="B6931" i="6"/>
  <c r="B6932" i="6"/>
  <c r="B6933" i="6"/>
  <c r="B6934" i="6"/>
  <c r="B6935" i="6"/>
  <c r="B6936" i="6"/>
  <c r="B6937" i="6"/>
  <c r="B6938" i="6"/>
  <c r="B6939" i="6"/>
  <c r="B6940" i="6"/>
  <c r="B6941" i="6"/>
  <c r="B6942" i="6"/>
  <c r="B6943" i="6"/>
  <c r="B6944" i="6"/>
  <c r="B6945" i="6"/>
  <c r="B6946" i="6"/>
  <c r="B6947" i="6"/>
  <c r="B6948" i="6"/>
  <c r="B6949" i="6"/>
  <c r="B6950" i="6"/>
  <c r="B6951" i="6"/>
  <c r="B6952" i="6"/>
  <c r="B6953" i="6"/>
  <c r="B6954" i="6"/>
  <c r="B6955" i="6"/>
  <c r="B6956" i="6"/>
  <c r="B6957" i="6"/>
  <c r="B6958" i="6"/>
  <c r="B6959" i="6"/>
  <c r="B6960" i="6"/>
  <c r="B6961" i="6"/>
  <c r="B6962" i="6"/>
  <c r="B6963" i="6"/>
  <c r="B6964" i="6"/>
  <c r="B6965" i="6"/>
  <c r="B6966" i="6"/>
  <c r="B6967" i="6"/>
  <c r="B6968" i="6"/>
  <c r="B6969" i="6"/>
  <c r="B6970" i="6"/>
  <c r="B6971" i="6"/>
  <c r="B6972" i="6"/>
  <c r="B6973" i="6"/>
  <c r="B6974" i="6"/>
  <c r="B6975" i="6"/>
  <c r="B6976" i="6"/>
  <c r="B6977" i="6"/>
  <c r="B6978" i="6"/>
  <c r="B6979" i="6"/>
  <c r="B6980" i="6"/>
  <c r="B6981" i="6"/>
  <c r="B6982" i="6"/>
  <c r="B6983" i="6"/>
  <c r="B6984" i="6"/>
  <c r="B6985" i="6"/>
  <c r="B6986" i="6"/>
  <c r="B6987" i="6"/>
  <c r="B6988" i="6"/>
  <c r="B6989" i="6"/>
  <c r="B6990" i="6"/>
  <c r="B6991" i="6"/>
  <c r="B6992" i="6"/>
  <c r="B6993" i="6"/>
  <c r="B6994" i="6"/>
  <c r="B6995" i="6"/>
  <c r="B6996" i="6"/>
  <c r="B6997" i="6"/>
  <c r="B6998" i="6"/>
  <c r="B6999" i="6"/>
  <c r="B7000" i="6"/>
  <c r="B7001" i="6"/>
  <c r="B7002" i="6"/>
  <c r="B7003" i="6"/>
  <c r="B7004" i="6"/>
  <c r="B7005" i="6"/>
  <c r="B7006" i="6"/>
  <c r="B7007" i="6"/>
  <c r="B7008" i="6"/>
  <c r="B7009" i="6"/>
  <c r="B7010" i="6"/>
  <c r="B7011" i="6"/>
  <c r="B7012" i="6"/>
  <c r="B7013" i="6"/>
  <c r="B7014" i="6"/>
  <c r="B7015" i="6"/>
  <c r="B7016" i="6"/>
  <c r="B7017" i="6"/>
  <c r="B7018" i="6"/>
  <c r="B7019" i="6"/>
  <c r="B7020" i="6"/>
  <c r="B7021" i="6"/>
  <c r="B7022" i="6"/>
  <c r="B7023" i="6"/>
  <c r="B7024" i="6"/>
  <c r="B7025" i="6"/>
  <c r="B7026" i="6"/>
  <c r="B7027" i="6"/>
  <c r="B7028" i="6"/>
  <c r="B7029" i="6"/>
  <c r="B7030" i="6"/>
  <c r="B7031" i="6"/>
  <c r="B7032" i="6"/>
  <c r="B7033" i="6"/>
  <c r="B7034" i="6"/>
  <c r="B7035" i="6"/>
  <c r="B7036" i="6"/>
  <c r="B7037" i="6"/>
  <c r="B7038" i="6"/>
  <c r="B7039" i="6"/>
  <c r="B7040" i="6"/>
  <c r="B7041" i="6"/>
  <c r="B7042" i="6"/>
  <c r="B7043" i="6"/>
  <c r="B7044" i="6"/>
  <c r="B7045" i="6"/>
  <c r="B7046" i="6"/>
  <c r="B7047" i="6"/>
  <c r="B7048" i="6"/>
  <c r="B7049" i="6"/>
  <c r="B7050" i="6"/>
  <c r="B7051" i="6"/>
  <c r="B7052" i="6"/>
  <c r="B7053" i="6"/>
  <c r="B7054" i="6"/>
  <c r="B7055" i="6"/>
  <c r="B7056" i="6"/>
  <c r="B7057" i="6"/>
  <c r="B7058" i="6"/>
  <c r="B7059" i="6"/>
  <c r="B7060" i="6"/>
  <c r="B7061" i="6"/>
  <c r="B7062" i="6"/>
  <c r="B7063" i="6"/>
  <c r="B7064" i="6"/>
  <c r="B7065" i="6"/>
  <c r="B7066" i="6"/>
  <c r="B7067" i="6"/>
  <c r="B7068" i="6"/>
  <c r="B7069" i="6"/>
  <c r="B7070" i="6"/>
  <c r="B7071" i="6"/>
  <c r="B7072" i="6"/>
  <c r="B7073" i="6"/>
  <c r="B7074" i="6"/>
  <c r="B7075" i="6"/>
  <c r="B7076" i="6"/>
  <c r="B7077" i="6"/>
  <c r="B7078" i="6"/>
  <c r="B7079" i="6"/>
  <c r="B7080" i="6"/>
  <c r="B7081" i="6"/>
  <c r="B7082" i="6"/>
  <c r="B7083" i="6"/>
  <c r="B7084" i="6"/>
  <c r="B7085" i="6"/>
  <c r="B7086" i="6"/>
  <c r="B7087" i="6"/>
  <c r="B7088" i="6"/>
  <c r="B7089" i="6"/>
  <c r="B7090" i="6"/>
  <c r="B7091" i="6"/>
  <c r="B7092" i="6"/>
  <c r="B7093" i="6"/>
  <c r="B7094" i="6"/>
  <c r="B7095" i="6"/>
  <c r="B7096" i="6"/>
  <c r="B7097" i="6"/>
  <c r="B7098" i="6"/>
  <c r="B7099" i="6"/>
  <c r="B7100" i="6"/>
  <c r="B7101" i="6"/>
  <c r="B7102" i="6"/>
  <c r="B7103" i="6"/>
  <c r="B7104" i="6"/>
  <c r="B7105" i="6"/>
  <c r="B7106" i="6"/>
  <c r="B7107" i="6"/>
  <c r="B7108" i="6"/>
  <c r="B7109" i="6"/>
  <c r="B7110" i="6"/>
  <c r="B7111" i="6"/>
  <c r="B7112" i="6"/>
  <c r="B7113" i="6"/>
  <c r="B7114" i="6"/>
  <c r="B7115" i="6"/>
  <c r="B7116" i="6"/>
  <c r="B7117" i="6"/>
  <c r="B7118" i="6"/>
  <c r="B7119" i="6"/>
  <c r="B7120" i="6"/>
  <c r="B7121" i="6"/>
  <c r="B7122" i="6"/>
  <c r="B7123" i="6"/>
  <c r="B7124" i="6"/>
  <c r="B7125" i="6"/>
  <c r="B7126" i="6"/>
  <c r="B7127" i="6"/>
  <c r="B7128" i="6"/>
  <c r="B7129" i="6"/>
  <c r="B7130" i="6"/>
  <c r="B7131" i="6"/>
  <c r="B7132" i="6"/>
  <c r="B7133" i="6"/>
  <c r="B7134" i="6"/>
  <c r="B7135" i="6"/>
  <c r="B7136" i="6"/>
  <c r="B7137" i="6"/>
  <c r="B7138" i="6"/>
  <c r="B7139" i="6"/>
  <c r="B7140" i="6"/>
  <c r="B7141" i="6"/>
  <c r="B7142" i="6"/>
  <c r="B7143" i="6"/>
  <c r="B7144" i="6"/>
  <c r="B7145" i="6"/>
  <c r="B7146" i="6"/>
  <c r="B7147" i="6"/>
  <c r="B7148" i="6"/>
  <c r="B7149" i="6"/>
  <c r="B7150" i="6"/>
  <c r="B7151" i="6"/>
  <c r="B7152" i="6"/>
  <c r="B7153" i="6"/>
  <c r="B7154" i="6"/>
  <c r="B7155" i="6"/>
  <c r="B7156" i="6"/>
  <c r="B7157" i="6"/>
  <c r="B7158" i="6"/>
  <c r="B7159" i="6"/>
  <c r="B7160" i="6"/>
  <c r="B7161" i="6"/>
  <c r="B7162" i="6"/>
  <c r="B7163" i="6"/>
  <c r="B7164" i="6"/>
  <c r="B7165" i="6"/>
  <c r="B7166" i="6"/>
  <c r="B7167" i="6"/>
  <c r="B7168" i="6"/>
  <c r="B7169" i="6"/>
  <c r="B7170" i="6"/>
  <c r="B7171" i="6"/>
  <c r="B7172" i="6"/>
  <c r="B7173" i="6"/>
  <c r="B7174" i="6"/>
  <c r="B7175" i="6"/>
  <c r="B7176" i="6"/>
  <c r="B7177" i="6"/>
  <c r="B7178" i="6"/>
  <c r="B7179" i="6"/>
  <c r="B7180" i="6"/>
  <c r="B7181" i="6"/>
  <c r="B7182" i="6"/>
  <c r="B7183" i="6"/>
  <c r="B7184" i="6"/>
  <c r="B7185" i="6"/>
  <c r="B7186" i="6"/>
  <c r="B7187" i="6"/>
  <c r="B7188" i="6"/>
  <c r="B7189" i="6"/>
  <c r="B7190" i="6"/>
  <c r="B7191" i="6"/>
  <c r="B7192" i="6"/>
  <c r="B7193" i="6"/>
  <c r="B7194" i="6"/>
  <c r="B7195" i="6"/>
  <c r="B7196" i="6"/>
  <c r="B7197" i="6"/>
  <c r="B7198" i="6"/>
  <c r="B7199" i="6"/>
  <c r="B7200" i="6"/>
  <c r="B7201" i="6"/>
  <c r="B7202" i="6"/>
  <c r="B7203" i="6"/>
  <c r="B7204" i="6"/>
  <c r="B7205" i="6"/>
  <c r="B7206" i="6"/>
  <c r="B7207" i="6"/>
  <c r="B7208" i="6"/>
  <c r="B7209" i="6"/>
  <c r="B7210" i="6"/>
  <c r="B7211" i="6"/>
  <c r="B7212" i="6"/>
  <c r="B7213" i="6"/>
  <c r="B7214" i="6"/>
  <c r="B7215" i="6"/>
  <c r="B7216" i="6"/>
  <c r="B7217" i="6"/>
  <c r="B7218" i="6"/>
  <c r="B7219" i="6"/>
  <c r="B7220" i="6"/>
  <c r="B7221" i="6"/>
  <c r="B7222" i="6"/>
  <c r="B7223" i="6"/>
  <c r="B7224" i="6"/>
  <c r="B7225" i="6"/>
  <c r="B7226" i="6"/>
  <c r="B7227" i="6"/>
  <c r="B7228" i="6"/>
  <c r="B7229" i="6"/>
  <c r="B7230" i="6"/>
  <c r="B7231" i="6"/>
  <c r="B7232" i="6"/>
  <c r="B7233" i="6"/>
  <c r="B7234" i="6"/>
  <c r="B7235" i="6"/>
  <c r="B7236" i="6"/>
  <c r="B7237" i="6"/>
  <c r="B7238" i="6"/>
  <c r="B7239" i="6"/>
  <c r="B7240" i="6"/>
  <c r="B7241" i="6"/>
  <c r="B7242" i="6"/>
  <c r="B7243" i="6"/>
  <c r="B7244" i="6"/>
  <c r="B7245" i="6"/>
  <c r="B7246" i="6"/>
  <c r="B7247" i="6"/>
  <c r="B7248" i="6"/>
  <c r="B7249" i="6"/>
  <c r="B7250" i="6"/>
  <c r="B7251" i="6"/>
  <c r="B7252" i="6"/>
  <c r="B7253" i="6"/>
  <c r="B7254" i="6"/>
  <c r="B7255" i="6"/>
  <c r="B7256" i="6"/>
  <c r="B7257" i="6"/>
  <c r="B7258" i="6"/>
  <c r="B7259" i="6"/>
  <c r="B7260" i="6"/>
  <c r="B7261" i="6"/>
  <c r="B7262" i="6"/>
  <c r="B7263" i="6"/>
  <c r="B7264" i="6"/>
  <c r="B7265" i="6"/>
  <c r="B7266" i="6"/>
  <c r="B7267" i="6"/>
  <c r="B7268" i="6"/>
  <c r="B7269" i="6"/>
  <c r="B7270" i="6"/>
  <c r="B7271" i="6"/>
  <c r="B7272" i="6"/>
  <c r="B7273" i="6"/>
  <c r="B7274" i="6"/>
  <c r="B7275" i="6"/>
  <c r="B7276" i="6"/>
  <c r="B7277" i="6"/>
  <c r="B7278" i="6"/>
  <c r="B7279" i="6"/>
  <c r="B7280" i="6"/>
  <c r="B7281" i="6"/>
  <c r="B7282" i="6"/>
  <c r="B7283" i="6"/>
  <c r="B7284" i="6"/>
  <c r="B7285" i="6"/>
  <c r="B7286" i="6"/>
  <c r="B7287" i="6"/>
  <c r="B7288" i="6"/>
  <c r="B7289" i="6"/>
  <c r="B7290" i="6"/>
  <c r="B7291" i="6"/>
  <c r="B7292" i="6"/>
  <c r="B7293" i="6"/>
  <c r="B7294" i="6"/>
  <c r="B7295" i="6"/>
  <c r="B7296" i="6"/>
  <c r="B7297" i="6"/>
  <c r="B7298" i="6"/>
  <c r="B7299" i="6"/>
  <c r="B7300" i="6"/>
  <c r="B7301" i="6"/>
  <c r="B7302" i="6"/>
  <c r="B7303" i="6"/>
  <c r="B7304" i="6"/>
  <c r="B7305" i="6"/>
  <c r="B7306" i="6"/>
  <c r="B7307" i="6"/>
  <c r="B7308" i="6"/>
  <c r="B7309" i="6"/>
  <c r="B7310" i="6"/>
  <c r="B7311" i="6"/>
  <c r="B7312" i="6"/>
  <c r="B7313" i="6"/>
  <c r="B7314" i="6"/>
  <c r="B7315" i="6"/>
  <c r="B7316" i="6"/>
  <c r="B7317" i="6"/>
  <c r="B7318" i="6"/>
  <c r="B7319" i="6"/>
  <c r="B7320" i="6"/>
  <c r="B7321" i="6"/>
  <c r="B7322" i="6"/>
  <c r="B7323" i="6"/>
  <c r="B7324" i="6"/>
  <c r="B7325" i="6"/>
  <c r="B7326" i="6"/>
  <c r="B7327" i="6"/>
  <c r="B7328" i="6"/>
  <c r="B7329" i="6"/>
  <c r="B7330" i="6"/>
  <c r="B7331" i="6"/>
  <c r="B7332" i="6"/>
  <c r="B7333" i="6"/>
  <c r="B7334" i="6"/>
  <c r="B7335" i="6"/>
  <c r="B7336" i="6"/>
  <c r="B7337" i="6"/>
  <c r="B7338" i="6"/>
  <c r="B7339" i="6"/>
  <c r="B7340" i="6"/>
  <c r="B7341" i="6"/>
  <c r="B7342" i="6"/>
  <c r="B7343" i="6"/>
  <c r="B7344" i="6"/>
  <c r="B7345" i="6"/>
  <c r="B7346" i="6"/>
  <c r="B7347" i="6"/>
  <c r="B7348" i="6"/>
  <c r="B7349" i="6"/>
  <c r="B7350" i="6"/>
  <c r="B7351" i="6"/>
  <c r="B7352" i="6"/>
  <c r="B7353" i="6"/>
  <c r="B7354" i="6"/>
  <c r="B7355" i="6"/>
  <c r="B7356" i="6"/>
  <c r="B7357" i="6"/>
  <c r="B7358" i="6"/>
  <c r="B7359" i="6"/>
  <c r="B7360" i="6"/>
  <c r="B7361" i="6"/>
  <c r="B7362" i="6"/>
  <c r="B7363" i="6"/>
  <c r="B7364" i="6"/>
  <c r="B7365" i="6"/>
  <c r="B7366" i="6"/>
  <c r="B7367" i="6"/>
  <c r="B7368" i="6"/>
  <c r="B7369" i="6"/>
  <c r="B7370" i="6"/>
  <c r="B7371" i="6"/>
  <c r="B7372" i="6"/>
  <c r="B7373" i="6"/>
  <c r="B7374" i="6"/>
  <c r="B7375" i="6"/>
  <c r="B7376" i="6"/>
  <c r="B7377" i="6"/>
  <c r="B7378" i="6"/>
  <c r="B7379" i="6"/>
  <c r="B7380" i="6"/>
  <c r="B7381" i="6"/>
  <c r="B7382" i="6"/>
  <c r="B7383" i="6"/>
  <c r="B7384" i="6"/>
  <c r="B7385" i="6"/>
  <c r="B7386" i="6"/>
  <c r="B7387" i="6"/>
  <c r="B7388" i="6"/>
  <c r="B7389" i="6"/>
  <c r="B7390" i="6"/>
  <c r="B7391" i="6"/>
  <c r="B7392" i="6"/>
  <c r="B7393" i="6"/>
  <c r="B7394" i="6"/>
  <c r="B7395" i="6"/>
  <c r="B7396" i="6"/>
  <c r="B7397" i="6"/>
  <c r="B7398" i="6"/>
  <c r="B7399" i="6"/>
  <c r="B7400" i="6"/>
  <c r="B7401" i="6"/>
  <c r="B7402" i="6"/>
  <c r="B7403" i="6"/>
  <c r="B7404" i="6"/>
  <c r="B7405" i="6"/>
  <c r="B7406" i="6"/>
  <c r="B7407" i="6"/>
  <c r="B7408" i="6"/>
  <c r="B7409" i="6"/>
  <c r="B7410" i="6"/>
  <c r="B7411" i="6"/>
  <c r="B7412" i="6"/>
  <c r="B7413" i="6"/>
  <c r="B7414" i="6"/>
  <c r="B7415" i="6"/>
  <c r="B7416" i="6"/>
  <c r="B7417" i="6"/>
  <c r="B7418" i="6"/>
  <c r="B7419" i="6"/>
  <c r="B7420" i="6"/>
  <c r="B7421" i="6"/>
  <c r="B7422" i="6"/>
  <c r="B7423" i="6"/>
  <c r="B7424" i="6"/>
  <c r="B7425" i="6"/>
  <c r="B7426" i="6"/>
  <c r="B7427" i="6"/>
  <c r="B7428" i="6"/>
  <c r="B7429" i="6"/>
  <c r="B7430" i="6"/>
  <c r="B7431" i="6"/>
  <c r="B7432" i="6"/>
  <c r="B7433" i="6"/>
  <c r="B7434" i="6"/>
  <c r="B7435" i="6"/>
  <c r="B7436" i="6"/>
  <c r="B7437" i="6"/>
  <c r="B7438" i="6"/>
  <c r="B7439" i="6"/>
  <c r="B7440" i="6"/>
  <c r="B7441" i="6"/>
  <c r="B7442" i="6"/>
  <c r="B7443" i="6"/>
  <c r="B7444" i="6"/>
  <c r="B7445" i="6"/>
  <c r="B7446" i="6"/>
  <c r="B7447" i="6"/>
  <c r="B7448" i="6"/>
  <c r="B7449" i="6"/>
  <c r="B7450" i="6"/>
  <c r="B7451" i="6"/>
  <c r="B7452" i="6"/>
  <c r="B7453" i="6"/>
  <c r="B7454" i="6"/>
  <c r="B7455" i="6"/>
  <c r="B7456" i="6"/>
  <c r="B7457" i="6"/>
  <c r="B7458" i="6"/>
  <c r="B7459" i="6"/>
  <c r="B7460" i="6"/>
  <c r="B7461" i="6"/>
  <c r="B7462" i="6"/>
  <c r="B7463" i="6"/>
  <c r="B7464" i="6"/>
  <c r="B7465" i="6"/>
  <c r="B7466" i="6"/>
  <c r="B7467" i="6"/>
  <c r="B7468" i="6"/>
  <c r="B7469" i="6"/>
  <c r="B7470" i="6"/>
  <c r="B7471" i="6"/>
  <c r="B7472" i="6"/>
  <c r="B7473" i="6"/>
  <c r="B7474" i="6"/>
  <c r="B7475" i="6"/>
  <c r="B7476" i="6"/>
  <c r="B7477" i="6"/>
  <c r="B7478" i="6"/>
  <c r="B7479" i="6"/>
  <c r="B7480" i="6"/>
  <c r="B7481" i="6"/>
  <c r="B7482" i="6"/>
  <c r="B7483" i="6"/>
  <c r="B7484" i="6"/>
  <c r="B7485" i="6"/>
  <c r="B7486" i="6"/>
  <c r="B7487" i="6"/>
  <c r="B7488" i="6"/>
  <c r="B7489" i="6"/>
  <c r="B7490" i="6"/>
  <c r="B7491" i="6"/>
  <c r="B7492" i="6"/>
  <c r="B7493" i="6"/>
  <c r="B7494" i="6"/>
  <c r="B7495" i="6"/>
  <c r="B7496" i="6"/>
  <c r="B7497" i="6"/>
  <c r="B7498" i="6"/>
  <c r="B7499" i="6"/>
  <c r="B7500" i="6"/>
  <c r="B7501" i="6"/>
  <c r="B7502" i="6"/>
  <c r="B7503" i="6"/>
  <c r="B7504" i="6"/>
  <c r="B7505" i="6"/>
  <c r="B7506" i="6"/>
  <c r="B7507" i="6"/>
  <c r="B7508" i="6"/>
  <c r="B7509" i="6"/>
  <c r="B7510" i="6"/>
  <c r="B7511" i="6"/>
  <c r="B7512" i="6"/>
  <c r="B7513" i="6"/>
  <c r="B7514" i="6"/>
  <c r="B7515" i="6"/>
  <c r="B7516" i="6"/>
  <c r="B7517" i="6"/>
  <c r="B7518" i="6"/>
  <c r="B7519" i="6"/>
  <c r="B7520" i="6"/>
  <c r="B7521" i="6"/>
  <c r="B7522" i="6"/>
  <c r="B7523" i="6"/>
  <c r="B7524" i="6"/>
  <c r="B7525" i="6"/>
  <c r="B7526" i="6"/>
  <c r="B7527" i="6"/>
  <c r="B7528" i="6"/>
  <c r="B7529" i="6"/>
  <c r="B7530" i="6"/>
  <c r="B7531" i="6"/>
  <c r="B7532" i="6"/>
  <c r="B7533" i="6"/>
  <c r="B7534" i="6"/>
  <c r="B7535" i="6"/>
  <c r="B7536" i="6"/>
  <c r="B7537" i="6"/>
  <c r="B7538" i="6"/>
  <c r="B7539" i="6"/>
  <c r="B7540" i="6"/>
  <c r="B7541" i="6"/>
  <c r="B7542" i="6"/>
  <c r="B7543" i="6"/>
  <c r="B7544" i="6"/>
  <c r="B7545" i="6"/>
  <c r="B7546" i="6"/>
  <c r="B7547" i="6"/>
  <c r="B7548" i="6"/>
  <c r="B7549" i="6"/>
  <c r="B7550" i="6"/>
  <c r="B7551" i="6"/>
  <c r="B7552" i="6"/>
  <c r="B7553" i="6"/>
  <c r="B7554" i="6"/>
  <c r="B7555" i="6"/>
  <c r="B7556" i="6"/>
  <c r="B7557" i="6"/>
  <c r="B7558" i="6"/>
  <c r="B7559" i="6"/>
  <c r="B7560" i="6"/>
  <c r="B7561" i="6"/>
  <c r="B7562" i="6"/>
  <c r="B7563" i="6"/>
  <c r="B7564" i="6"/>
  <c r="B7565" i="6"/>
  <c r="B7566" i="6"/>
  <c r="B7567" i="6"/>
  <c r="B7568" i="6"/>
  <c r="B7569" i="6"/>
  <c r="B7570" i="6"/>
  <c r="B7571" i="6"/>
  <c r="B7572" i="6"/>
  <c r="B7573" i="6"/>
  <c r="B7574" i="6"/>
  <c r="B7575" i="6"/>
  <c r="B7576" i="6"/>
  <c r="B7577" i="6"/>
  <c r="B7578" i="6"/>
  <c r="B7579" i="6"/>
  <c r="B7580" i="6"/>
  <c r="B7581" i="6"/>
  <c r="B7582" i="6"/>
  <c r="B7583" i="6"/>
  <c r="B7584" i="6"/>
  <c r="B7585" i="6"/>
  <c r="B7586" i="6"/>
  <c r="B7587" i="6"/>
  <c r="B7588" i="6"/>
  <c r="B7589" i="6"/>
  <c r="B7590" i="6"/>
  <c r="B7591" i="6"/>
  <c r="B7592" i="6"/>
  <c r="B7593" i="6"/>
  <c r="B7594" i="6"/>
  <c r="B7595" i="6"/>
  <c r="B7596" i="6"/>
  <c r="B7597" i="6"/>
  <c r="B7598" i="6"/>
  <c r="B7599" i="6"/>
  <c r="B7600" i="6"/>
  <c r="B7601" i="6"/>
  <c r="B7602" i="6"/>
  <c r="B7603" i="6"/>
  <c r="B7604" i="6"/>
  <c r="B7605" i="6"/>
  <c r="B7606" i="6"/>
  <c r="B7607" i="6"/>
  <c r="B7608" i="6"/>
  <c r="B7609" i="6"/>
  <c r="B7610" i="6"/>
  <c r="B7611" i="6"/>
  <c r="B7612" i="6"/>
  <c r="B7613" i="6"/>
  <c r="B7614" i="6"/>
  <c r="B7615" i="6"/>
  <c r="B7616" i="6"/>
  <c r="B7617" i="6"/>
  <c r="B7618" i="6"/>
  <c r="B7619" i="6"/>
  <c r="B7620" i="6"/>
  <c r="B7621" i="6"/>
  <c r="B7622" i="6"/>
  <c r="B7623" i="6"/>
  <c r="B7624" i="6"/>
  <c r="B7625" i="6"/>
  <c r="B7626" i="6"/>
  <c r="B7627" i="6"/>
  <c r="B7628" i="6"/>
  <c r="B7629" i="6"/>
  <c r="B7630" i="6"/>
  <c r="B7631" i="6"/>
  <c r="B7632" i="6"/>
  <c r="B7633" i="6"/>
  <c r="B7634" i="6"/>
  <c r="B7635" i="6"/>
  <c r="B7636" i="6"/>
  <c r="B7637" i="6"/>
  <c r="B7638" i="6"/>
  <c r="B7639" i="6"/>
  <c r="B7640" i="6"/>
  <c r="B7641" i="6"/>
  <c r="B7642" i="6"/>
  <c r="B7643" i="6"/>
  <c r="B7644" i="6"/>
  <c r="B7645" i="6"/>
  <c r="B7646" i="6"/>
  <c r="B7647" i="6"/>
  <c r="B7648" i="6"/>
  <c r="B7649" i="6"/>
  <c r="B7650" i="6"/>
  <c r="B7651" i="6"/>
  <c r="B7652" i="6"/>
  <c r="B7653" i="6"/>
  <c r="B7654" i="6"/>
  <c r="B7655" i="6"/>
  <c r="B7656" i="6"/>
  <c r="B7657" i="6"/>
  <c r="B7658" i="6"/>
  <c r="B7659" i="6"/>
  <c r="B7660" i="6"/>
  <c r="B7661" i="6"/>
  <c r="B7662" i="6"/>
  <c r="B7663" i="6"/>
  <c r="B7664" i="6"/>
  <c r="B7665" i="6"/>
  <c r="B7666" i="6"/>
  <c r="B7667" i="6"/>
  <c r="B7668" i="6"/>
  <c r="B7669" i="6"/>
  <c r="B7670" i="6"/>
  <c r="B7671" i="6"/>
  <c r="B7672" i="6"/>
  <c r="B7673" i="6"/>
  <c r="B7674" i="6"/>
  <c r="B7675" i="6"/>
  <c r="B7676" i="6"/>
  <c r="B7677" i="6"/>
  <c r="B7678" i="6"/>
  <c r="B7679" i="6"/>
  <c r="B7680" i="6"/>
  <c r="B7681" i="6"/>
  <c r="B7682" i="6"/>
  <c r="B7683" i="6"/>
  <c r="B7684" i="6"/>
  <c r="B7685" i="6"/>
  <c r="B7686" i="6"/>
  <c r="B7687" i="6"/>
  <c r="B7688" i="6"/>
  <c r="B7689" i="6"/>
  <c r="B7690" i="6"/>
  <c r="B7691" i="6"/>
  <c r="B7692" i="6"/>
  <c r="B7693" i="6"/>
  <c r="B7694" i="6"/>
  <c r="B7695" i="6"/>
  <c r="B7696" i="6"/>
  <c r="B7697" i="6"/>
  <c r="B7698" i="6"/>
  <c r="B7699" i="6"/>
  <c r="B7700" i="6"/>
  <c r="B7701" i="6"/>
  <c r="B7702" i="6"/>
  <c r="B7703" i="6"/>
  <c r="B7704" i="6"/>
  <c r="B7705" i="6"/>
  <c r="B7706" i="6"/>
  <c r="B7707" i="6"/>
  <c r="B7708" i="6"/>
  <c r="B7709" i="6"/>
  <c r="B7710" i="6"/>
  <c r="B7711" i="6"/>
  <c r="B7712" i="6"/>
  <c r="B7713" i="6"/>
  <c r="B7714" i="6"/>
  <c r="B7715" i="6"/>
  <c r="B7716" i="6"/>
  <c r="B7717" i="6"/>
  <c r="B7718" i="6"/>
  <c r="B7719" i="6"/>
  <c r="B7720" i="6"/>
  <c r="B7721" i="6"/>
  <c r="B7722" i="6"/>
  <c r="B7723" i="6"/>
  <c r="B7724" i="6"/>
  <c r="B7725" i="6"/>
  <c r="B7726" i="6"/>
  <c r="B7727" i="6"/>
  <c r="B7728" i="6"/>
  <c r="B7729" i="6"/>
  <c r="B7730" i="6"/>
  <c r="B7731" i="6"/>
  <c r="B7732" i="6"/>
  <c r="B7733" i="6"/>
  <c r="B7734" i="6"/>
  <c r="B7735" i="6"/>
  <c r="B7736" i="6"/>
  <c r="B7737" i="6"/>
  <c r="B7738" i="6"/>
  <c r="B7739" i="6"/>
  <c r="B7740" i="6"/>
  <c r="B7741" i="6"/>
  <c r="B7742" i="6"/>
  <c r="B7743" i="6"/>
  <c r="B7744" i="6"/>
  <c r="B7745" i="6"/>
  <c r="B7746" i="6"/>
  <c r="B7747" i="6"/>
  <c r="B7748" i="6"/>
  <c r="B7749" i="6"/>
  <c r="B7750" i="6"/>
  <c r="B7751" i="6"/>
  <c r="B7752" i="6"/>
  <c r="B7753" i="6"/>
  <c r="B7754" i="6"/>
  <c r="B7755" i="6"/>
  <c r="B7756" i="6"/>
  <c r="B7757" i="6"/>
  <c r="B7758" i="6"/>
  <c r="B7759" i="6"/>
  <c r="B7760" i="6"/>
  <c r="B7761" i="6"/>
  <c r="B7762" i="6"/>
  <c r="B7763" i="6"/>
  <c r="B7764" i="6"/>
  <c r="B7765" i="6"/>
  <c r="B7766" i="6"/>
  <c r="B7767" i="6"/>
  <c r="B7768" i="6"/>
  <c r="B7769" i="6"/>
  <c r="B7770" i="6"/>
  <c r="B7771" i="6"/>
  <c r="B7772" i="6"/>
  <c r="B7773" i="6"/>
  <c r="B7774" i="6"/>
  <c r="B7775" i="6"/>
  <c r="B7776" i="6"/>
  <c r="B7777" i="6"/>
  <c r="B7778" i="6"/>
  <c r="B7779" i="6"/>
  <c r="B7780" i="6"/>
  <c r="B7781" i="6"/>
  <c r="B7782" i="6"/>
  <c r="B7783" i="6"/>
  <c r="B7784" i="6"/>
  <c r="B7785" i="6"/>
  <c r="B7786" i="6"/>
  <c r="B7787" i="6"/>
  <c r="B7788" i="6"/>
  <c r="B7789" i="6"/>
  <c r="B7790" i="6"/>
  <c r="B7791" i="6"/>
  <c r="B7792" i="6"/>
  <c r="B7793" i="6"/>
  <c r="B7794" i="6"/>
  <c r="B7795" i="6"/>
  <c r="B7796" i="6"/>
  <c r="B7797" i="6"/>
  <c r="B7798" i="6"/>
  <c r="B7799" i="6"/>
  <c r="B7800" i="6"/>
  <c r="B7801" i="6"/>
  <c r="B7802" i="6"/>
  <c r="B7803" i="6"/>
  <c r="B7804" i="6"/>
  <c r="B7805" i="6"/>
  <c r="B7806" i="6"/>
  <c r="B7807" i="6"/>
  <c r="B7808" i="6"/>
  <c r="B7809" i="6"/>
  <c r="B7810" i="6"/>
  <c r="B7811" i="6"/>
  <c r="B7812" i="6"/>
  <c r="B7813" i="6"/>
  <c r="B7814" i="6"/>
  <c r="B7815" i="6"/>
  <c r="B7816" i="6"/>
  <c r="B7817" i="6"/>
  <c r="B7818" i="6"/>
  <c r="B7819" i="6"/>
  <c r="B7820" i="6"/>
  <c r="B7821" i="6"/>
  <c r="B7822" i="6"/>
  <c r="B7823" i="6"/>
  <c r="B7824" i="6"/>
  <c r="B7825" i="6"/>
  <c r="B7826" i="6"/>
  <c r="B7827" i="6"/>
  <c r="B7828" i="6"/>
  <c r="B7829" i="6"/>
  <c r="B7830" i="6"/>
  <c r="B7831" i="6"/>
  <c r="B7832" i="6"/>
  <c r="B7833" i="6"/>
  <c r="B7834" i="6"/>
  <c r="B7835" i="6"/>
  <c r="B7836" i="6"/>
  <c r="B7837" i="6"/>
  <c r="B7838" i="6"/>
  <c r="B7839" i="6"/>
  <c r="B7840" i="6"/>
  <c r="B7841" i="6"/>
  <c r="B7842" i="6"/>
  <c r="B7843" i="6"/>
  <c r="B7844" i="6"/>
  <c r="B7845" i="6"/>
  <c r="B7846" i="6"/>
  <c r="B7847" i="6"/>
  <c r="B7848" i="6"/>
  <c r="B7849" i="6"/>
  <c r="B7850" i="6"/>
  <c r="B7851" i="6"/>
  <c r="B7852" i="6"/>
  <c r="B7853" i="6"/>
  <c r="B7854" i="6"/>
  <c r="B7855" i="6"/>
  <c r="B7856" i="6"/>
  <c r="B7857" i="6"/>
  <c r="B7858" i="6"/>
  <c r="B7859" i="6"/>
  <c r="B7860" i="6"/>
  <c r="B7861" i="6"/>
  <c r="B7862" i="6"/>
  <c r="B7863" i="6"/>
  <c r="B7864" i="6"/>
  <c r="B7865" i="6"/>
  <c r="B7866" i="6"/>
  <c r="B7867" i="6"/>
  <c r="B7868" i="6"/>
  <c r="B7869" i="6"/>
  <c r="B7870" i="6"/>
  <c r="B7871" i="6"/>
  <c r="B7872" i="6"/>
  <c r="B7873" i="6"/>
  <c r="B7874" i="6"/>
  <c r="B7875" i="6"/>
  <c r="B7876" i="6"/>
  <c r="B7877" i="6"/>
  <c r="B7878" i="6"/>
  <c r="B7879" i="6"/>
  <c r="B7880" i="6"/>
  <c r="B7881" i="6"/>
  <c r="B7882" i="6"/>
  <c r="B7883" i="6"/>
  <c r="B7884" i="6"/>
  <c r="B7885" i="6"/>
  <c r="B7886" i="6"/>
  <c r="B7887" i="6"/>
  <c r="B7888" i="6"/>
  <c r="B7889" i="6"/>
  <c r="B7890" i="6"/>
  <c r="B7891" i="6"/>
  <c r="B7892" i="6"/>
  <c r="B7893" i="6"/>
  <c r="B7894" i="6"/>
  <c r="B7895" i="6"/>
  <c r="B7896" i="6"/>
  <c r="B7897" i="6"/>
  <c r="B7898" i="6"/>
  <c r="B7899" i="6"/>
  <c r="B7900" i="6"/>
  <c r="B7901" i="6"/>
  <c r="B7902" i="6"/>
  <c r="B7903" i="6"/>
  <c r="B7904" i="6"/>
  <c r="B7905" i="6"/>
  <c r="B7906" i="6"/>
  <c r="B7907" i="6"/>
  <c r="B7908" i="6"/>
  <c r="B7909" i="6"/>
  <c r="B7910" i="6"/>
  <c r="B7911" i="6"/>
  <c r="B7912" i="6"/>
  <c r="B7913" i="6"/>
  <c r="B7914" i="6"/>
  <c r="B7915" i="6"/>
  <c r="B7916" i="6"/>
  <c r="B7917" i="6"/>
  <c r="B7918" i="6"/>
  <c r="B7919" i="6"/>
  <c r="B7920" i="6"/>
  <c r="B7921" i="6"/>
  <c r="B7922" i="6"/>
  <c r="B7923" i="6"/>
  <c r="B7924" i="6"/>
  <c r="B7925" i="6"/>
  <c r="B7926" i="6"/>
  <c r="B7927" i="6"/>
  <c r="B7928" i="6"/>
  <c r="B7929" i="6"/>
  <c r="B7930" i="6"/>
  <c r="B7931" i="6"/>
  <c r="B7932" i="6"/>
  <c r="B7933" i="6"/>
  <c r="B7934" i="6"/>
  <c r="B7935" i="6"/>
  <c r="B7936" i="6"/>
  <c r="B7937" i="6"/>
  <c r="B7938" i="6"/>
  <c r="B7939" i="6"/>
  <c r="B7940" i="6"/>
  <c r="B7941" i="6"/>
  <c r="B7942" i="6"/>
  <c r="B7943" i="6"/>
  <c r="B7944" i="6"/>
  <c r="B7945" i="6"/>
  <c r="B7946" i="6"/>
  <c r="B7947" i="6"/>
  <c r="B7948" i="6"/>
  <c r="B7949" i="6"/>
  <c r="B7950" i="6"/>
  <c r="B7951" i="6"/>
  <c r="B7952" i="6"/>
  <c r="B7953" i="6"/>
  <c r="B7954" i="6"/>
  <c r="B7955" i="6"/>
  <c r="B7956" i="6"/>
  <c r="B7957" i="6"/>
  <c r="B7958" i="6"/>
  <c r="B7959" i="6"/>
  <c r="B7960" i="6"/>
  <c r="B7961" i="6"/>
  <c r="B7962" i="6"/>
  <c r="B7963" i="6"/>
  <c r="B7964" i="6"/>
  <c r="B7965" i="6"/>
  <c r="B7966" i="6"/>
  <c r="B7967" i="6"/>
  <c r="B7968" i="6"/>
  <c r="B7969" i="6"/>
  <c r="B7970" i="6"/>
  <c r="B7971" i="6"/>
  <c r="B7972" i="6"/>
  <c r="B7973" i="6"/>
  <c r="B7974" i="6"/>
  <c r="B7975" i="6"/>
  <c r="B7976" i="6"/>
  <c r="B7977" i="6"/>
  <c r="B7978" i="6"/>
  <c r="B7979" i="6"/>
  <c r="B7980" i="6"/>
  <c r="B7981" i="6"/>
  <c r="B7982" i="6"/>
  <c r="B7983" i="6"/>
  <c r="B7984" i="6"/>
  <c r="B7985" i="6"/>
  <c r="B7986" i="6"/>
  <c r="B7987" i="6"/>
  <c r="B7988" i="6"/>
  <c r="B7989" i="6"/>
  <c r="B7990" i="6"/>
  <c r="B7991" i="6"/>
  <c r="B7992" i="6"/>
  <c r="B7993" i="6"/>
  <c r="B7994" i="6"/>
  <c r="B7995" i="6"/>
  <c r="B7996" i="6"/>
  <c r="B7997" i="6"/>
  <c r="B7998" i="6"/>
  <c r="B7999" i="6"/>
  <c r="B8000" i="6"/>
  <c r="B8001" i="6"/>
  <c r="B8002" i="6"/>
  <c r="B8003" i="6"/>
  <c r="B8004" i="6"/>
  <c r="B8005" i="6"/>
  <c r="B8006" i="6"/>
  <c r="B8007" i="6"/>
  <c r="B8008" i="6"/>
  <c r="B8009" i="6"/>
  <c r="B8010" i="6"/>
  <c r="B8011" i="6"/>
  <c r="B8012" i="6"/>
  <c r="B8013" i="6"/>
  <c r="B8014" i="6"/>
  <c r="B8015" i="6"/>
  <c r="B8016" i="6"/>
  <c r="B8017" i="6"/>
  <c r="B8018" i="6"/>
  <c r="B8019" i="6"/>
  <c r="B8020" i="6"/>
  <c r="B8021" i="6"/>
  <c r="B8022" i="6"/>
  <c r="B8023" i="6"/>
  <c r="B8024" i="6"/>
  <c r="B8025" i="6"/>
  <c r="B8026" i="6"/>
  <c r="B8027" i="6"/>
  <c r="B8028" i="6"/>
  <c r="B8029" i="6"/>
  <c r="B8030" i="6"/>
  <c r="B8031" i="6"/>
  <c r="B8032" i="6"/>
  <c r="B8033" i="6"/>
  <c r="B8034" i="6"/>
  <c r="B8035" i="6"/>
  <c r="B8036" i="6"/>
  <c r="B8037" i="6"/>
  <c r="B8038" i="6"/>
  <c r="B8039" i="6"/>
  <c r="B8040" i="6"/>
  <c r="B8041" i="6"/>
  <c r="B8042" i="6"/>
  <c r="B8043" i="6"/>
  <c r="B8044" i="6"/>
  <c r="B8045" i="6"/>
  <c r="B8046" i="6"/>
  <c r="B8047" i="6"/>
  <c r="B8048" i="6"/>
  <c r="B8049" i="6"/>
  <c r="B8050" i="6"/>
  <c r="B8051" i="6"/>
  <c r="B8052" i="6"/>
  <c r="B8053" i="6"/>
  <c r="B8054" i="6"/>
  <c r="B8055" i="6"/>
  <c r="B8056" i="6"/>
  <c r="B8057" i="6"/>
  <c r="B8058" i="6"/>
  <c r="B8059" i="6"/>
  <c r="B8060" i="6"/>
  <c r="B8061" i="6"/>
  <c r="B8062" i="6"/>
  <c r="B8063" i="6"/>
  <c r="B8064" i="6"/>
  <c r="B8065" i="6"/>
  <c r="B8066" i="6"/>
  <c r="B8067" i="6"/>
  <c r="B8068" i="6"/>
  <c r="B8069" i="6"/>
  <c r="B8070" i="6"/>
  <c r="B8071" i="6"/>
  <c r="B8072" i="6"/>
  <c r="B8073" i="6"/>
  <c r="B8074" i="6"/>
  <c r="B8075" i="6"/>
  <c r="B8076" i="6"/>
  <c r="B8077" i="6"/>
  <c r="B8078" i="6"/>
  <c r="B8079" i="6"/>
  <c r="B8080" i="6"/>
  <c r="B8081" i="6"/>
  <c r="B8082" i="6"/>
  <c r="B8083" i="6"/>
  <c r="B8084" i="6"/>
  <c r="B8085" i="6"/>
  <c r="B8086" i="6"/>
  <c r="B8087" i="6"/>
  <c r="B8088" i="6"/>
  <c r="B8089" i="6"/>
  <c r="B8090" i="6"/>
  <c r="B8091" i="6"/>
  <c r="B8092" i="6"/>
  <c r="B8093" i="6"/>
  <c r="B8094" i="6"/>
  <c r="B8095" i="6"/>
  <c r="B8096" i="6"/>
  <c r="B8097" i="6"/>
  <c r="B8098" i="6"/>
  <c r="B8099" i="6"/>
  <c r="B8100" i="6"/>
  <c r="B8101" i="6"/>
  <c r="B8102" i="6"/>
  <c r="B8103" i="6"/>
  <c r="B8104" i="6"/>
  <c r="B8105" i="6"/>
  <c r="B8106" i="6"/>
  <c r="B8107" i="6"/>
  <c r="B8108" i="6"/>
  <c r="B8109" i="6"/>
  <c r="B8110" i="6"/>
  <c r="B8111" i="6"/>
  <c r="B8112" i="6"/>
  <c r="B8113" i="6"/>
  <c r="B8114" i="6"/>
  <c r="B8115" i="6"/>
  <c r="B8116" i="6"/>
  <c r="B8117" i="6"/>
  <c r="B8118" i="6"/>
  <c r="B8119" i="6"/>
  <c r="B8120" i="6"/>
  <c r="B8121" i="6"/>
  <c r="B8122" i="6"/>
  <c r="B8123" i="6"/>
  <c r="B8124" i="6"/>
  <c r="B8125" i="6"/>
  <c r="B8126" i="6"/>
  <c r="B8127" i="6"/>
  <c r="B8128" i="6"/>
  <c r="B8129" i="6"/>
  <c r="B8130" i="6"/>
  <c r="B8131" i="6"/>
  <c r="B8132" i="6"/>
  <c r="B8133" i="6"/>
  <c r="B8134" i="6"/>
  <c r="B8135" i="6"/>
  <c r="B8136" i="6"/>
  <c r="B8137" i="6"/>
  <c r="B8138" i="6"/>
  <c r="B8139" i="6"/>
  <c r="B8140" i="6"/>
  <c r="B8141" i="6"/>
  <c r="B8142" i="6"/>
  <c r="B8143" i="6"/>
  <c r="B8144" i="6"/>
  <c r="B8145" i="6"/>
  <c r="B8146" i="6"/>
  <c r="B8147" i="6"/>
  <c r="B8148" i="6"/>
  <c r="B8149" i="6"/>
  <c r="B8150" i="6"/>
  <c r="B8151" i="6"/>
  <c r="B8152" i="6"/>
  <c r="B8153" i="6"/>
  <c r="B8154" i="6"/>
  <c r="B8155" i="6"/>
  <c r="B8156" i="6"/>
  <c r="B8157" i="6"/>
  <c r="B8158" i="6"/>
  <c r="B8159" i="6"/>
  <c r="B8160" i="6"/>
  <c r="B8161" i="6"/>
  <c r="B8162" i="6"/>
  <c r="B8163" i="6"/>
  <c r="B8164" i="6"/>
  <c r="B8165" i="6"/>
  <c r="B8166" i="6"/>
  <c r="B8167" i="6"/>
  <c r="B8168" i="6"/>
  <c r="B8169" i="6"/>
  <c r="B8170" i="6"/>
  <c r="B8171" i="6"/>
  <c r="B8172" i="6"/>
  <c r="B8173" i="6"/>
  <c r="B8174" i="6"/>
  <c r="B8175" i="6"/>
  <c r="B8176" i="6"/>
  <c r="B8177" i="6"/>
  <c r="B8178" i="6"/>
  <c r="B8179" i="6"/>
  <c r="B8180" i="6"/>
  <c r="B8181" i="6"/>
  <c r="B8182" i="6"/>
  <c r="B8183" i="6"/>
  <c r="B8184" i="6"/>
  <c r="B8185" i="6"/>
  <c r="B8186" i="6"/>
  <c r="B8187" i="6"/>
  <c r="B8188" i="6"/>
  <c r="B8189" i="6"/>
  <c r="B8190" i="6"/>
  <c r="B8191" i="6"/>
  <c r="B8192" i="6"/>
  <c r="B8193" i="6"/>
  <c r="B8194" i="6"/>
  <c r="B8195" i="6"/>
  <c r="B8196" i="6"/>
  <c r="B8197" i="6"/>
  <c r="B8198" i="6"/>
  <c r="B8199" i="6"/>
  <c r="B8200" i="6"/>
  <c r="B8201" i="6"/>
  <c r="B8202" i="6"/>
  <c r="B8203" i="6"/>
  <c r="B8204" i="6"/>
  <c r="B8205" i="6"/>
  <c r="B8206" i="6"/>
  <c r="B8207" i="6"/>
  <c r="B8208" i="6"/>
  <c r="B8209" i="6"/>
  <c r="B8210" i="6"/>
  <c r="B8211" i="6"/>
  <c r="B8212" i="6"/>
  <c r="B8213" i="6"/>
  <c r="B8214" i="6"/>
  <c r="B8215" i="6"/>
  <c r="B8216" i="6"/>
  <c r="B8217" i="6"/>
  <c r="B8218" i="6"/>
  <c r="B8219" i="6"/>
  <c r="B8220" i="6"/>
  <c r="B8221" i="6"/>
  <c r="B8222" i="6"/>
  <c r="B8223" i="6"/>
  <c r="B8224" i="6"/>
  <c r="B8225" i="6"/>
  <c r="B8226" i="6"/>
  <c r="B8227" i="6"/>
  <c r="B8228" i="6"/>
  <c r="B8229" i="6"/>
  <c r="B8230" i="6"/>
  <c r="B8231" i="6"/>
  <c r="B8232" i="6"/>
  <c r="B8233" i="6"/>
  <c r="B8234" i="6"/>
  <c r="B8235" i="6"/>
  <c r="B8236" i="6"/>
  <c r="B8237" i="6"/>
  <c r="B8238" i="6"/>
  <c r="B8239" i="6"/>
  <c r="B8240" i="6"/>
  <c r="B8241" i="6"/>
  <c r="B8242" i="6"/>
  <c r="B8243" i="6"/>
  <c r="B8244" i="6"/>
  <c r="B8245" i="6"/>
  <c r="B8246" i="6"/>
  <c r="B8247" i="6"/>
  <c r="B8248" i="6"/>
  <c r="B8249" i="6"/>
  <c r="B8250" i="6"/>
  <c r="B8251" i="6"/>
  <c r="B8252" i="6"/>
  <c r="B8253" i="6"/>
  <c r="B8254" i="6"/>
  <c r="B8255" i="6"/>
  <c r="B8256" i="6"/>
  <c r="B8257" i="6"/>
  <c r="B8258" i="6"/>
  <c r="B8259" i="6"/>
  <c r="B8260" i="6"/>
  <c r="B8261" i="6"/>
  <c r="B8262" i="6"/>
  <c r="B8263" i="6"/>
  <c r="B8264" i="6"/>
  <c r="B8265" i="6"/>
  <c r="B8266" i="6"/>
  <c r="B8267" i="6"/>
  <c r="B8268" i="6"/>
  <c r="B8269" i="6"/>
  <c r="B8270" i="6"/>
  <c r="B8271" i="6"/>
  <c r="B8272" i="6"/>
  <c r="B8273" i="6"/>
  <c r="B8274" i="6"/>
  <c r="B8275" i="6"/>
  <c r="B8276" i="6"/>
  <c r="B8277" i="6"/>
  <c r="B8278" i="6"/>
  <c r="B8279" i="6"/>
  <c r="B8280" i="6"/>
  <c r="B8281" i="6"/>
  <c r="B8282" i="6"/>
  <c r="B8283" i="6"/>
  <c r="B8284" i="6"/>
  <c r="B8285" i="6"/>
  <c r="B8286" i="6"/>
  <c r="B8287" i="6"/>
  <c r="B8288" i="6"/>
  <c r="B8289" i="6"/>
  <c r="B8290" i="6"/>
  <c r="B8291" i="6"/>
  <c r="B8292" i="6"/>
  <c r="B8293" i="6"/>
  <c r="B8294" i="6"/>
  <c r="B8295" i="6"/>
  <c r="B8296" i="6"/>
  <c r="B8297" i="6"/>
  <c r="B8298" i="6"/>
  <c r="B8299" i="6"/>
  <c r="B8300" i="6"/>
  <c r="B8301" i="6"/>
  <c r="B8302" i="6"/>
  <c r="B8303" i="6"/>
  <c r="B8304" i="6"/>
  <c r="B8305" i="6"/>
  <c r="B8306" i="6"/>
  <c r="B8307" i="6"/>
  <c r="B8308" i="6"/>
  <c r="B8309" i="6"/>
  <c r="B8310" i="6"/>
  <c r="B8311" i="6"/>
  <c r="B8312" i="6"/>
  <c r="B8313" i="6"/>
  <c r="B8314" i="6"/>
  <c r="B8315" i="6"/>
  <c r="B8316" i="6"/>
  <c r="B8317" i="6"/>
  <c r="B8318" i="6"/>
  <c r="B8319" i="6"/>
  <c r="B8320" i="6"/>
  <c r="B8321" i="6"/>
  <c r="B8322" i="6"/>
  <c r="B8323" i="6"/>
  <c r="B8324" i="6"/>
  <c r="B8325" i="6"/>
  <c r="B8326" i="6"/>
  <c r="B8327" i="6"/>
  <c r="B8328" i="6"/>
  <c r="B8329" i="6"/>
  <c r="B8330" i="6"/>
  <c r="B8331" i="6"/>
  <c r="B8332" i="6"/>
  <c r="B8333" i="6"/>
  <c r="B8334" i="6"/>
  <c r="B8335" i="6"/>
  <c r="B8336" i="6"/>
  <c r="B8337" i="6"/>
  <c r="B8338" i="6"/>
  <c r="B8339" i="6"/>
  <c r="B8340" i="6"/>
  <c r="B8341" i="6"/>
  <c r="B8342" i="6"/>
  <c r="B8343" i="6"/>
  <c r="B8344" i="6"/>
  <c r="B8345" i="6"/>
  <c r="B8346" i="6"/>
  <c r="B8347" i="6"/>
  <c r="B8348" i="6"/>
  <c r="B8349" i="6"/>
  <c r="B8350" i="6"/>
  <c r="B8351" i="6"/>
  <c r="B8352" i="6"/>
  <c r="B8353" i="6"/>
  <c r="B8354" i="6"/>
  <c r="B8355" i="6"/>
  <c r="B8356" i="6"/>
  <c r="B8357" i="6"/>
  <c r="B8358" i="6"/>
  <c r="B8359" i="6"/>
  <c r="B8360" i="6"/>
  <c r="B8361" i="6"/>
  <c r="B8362" i="6"/>
  <c r="B8363" i="6"/>
  <c r="B8364" i="6"/>
  <c r="B8365" i="6"/>
  <c r="B8366" i="6"/>
  <c r="B8367" i="6"/>
  <c r="B8368" i="6"/>
  <c r="B8369" i="6"/>
  <c r="B8370" i="6"/>
  <c r="B8371" i="6"/>
  <c r="B8372" i="6"/>
  <c r="B8373" i="6"/>
  <c r="B8374" i="6"/>
  <c r="B8375" i="6"/>
  <c r="B8376" i="6"/>
  <c r="B8377" i="6"/>
  <c r="B8378" i="6"/>
  <c r="B8379" i="6"/>
  <c r="B8380" i="6"/>
  <c r="B8381" i="6"/>
  <c r="B8382" i="6"/>
  <c r="B8383" i="6"/>
  <c r="B8384" i="6"/>
  <c r="B8385" i="6"/>
  <c r="B8386" i="6"/>
  <c r="B8387" i="6"/>
  <c r="B8388" i="6"/>
  <c r="B8389" i="6"/>
  <c r="B8390" i="6"/>
  <c r="B8391" i="6"/>
  <c r="B8392" i="6"/>
  <c r="B8393" i="6"/>
  <c r="B8394" i="6"/>
  <c r="B8395" i="6"/>
  <c r="B8396" i="6"/>
  <c r="B8397" i="6"/>
  <c r="B8398" i="6"/>
  <c r="B8399" i="6"/>
  <c r="B8400" i="6"/>
  <c r="B8401" i="6"/>
  <c r="B8402" i="6"/>
  <c r="B8403" i="6"/>
  <c r="B8404" i="6"/>
  <c r="B8405" i="6"/>
  <c r="B8406" i="6"/>
  <c r="B8407" i="6"/>
  <c r="B8408" i="6"/>
  <c r="B8409" i="6"/>
  <c r="B8410" i="6"/>
  <c r="B8411" i="6"/>
  <c r="B8412" i="6"/>
  <c r="B8413" i="6"/>
  <c r="B8414" i="6"/>
  <c r="B8415" i="6"/>
  <c r="B8416" i="6"/>
  <c r="B8417" i="6"/>
  <c r="B8418" i="6"/>
  <c r="B8419" i="6"/>
  <c r="B8420" i="6"/>
  <c r="B8421" i="6"/>
  <c r="B8422" i="6"/>
  <c r="B8423" i="6"/>
  <c r="B8424" i="6"/>
  <c r="B8425" i="6"/>
  <c r="B8426" i="6"/>
  <c r="B8427" i="6"/>
  <c r="B8428" i="6"/>
  <c r="B8429" i="6"/>
  <c r="B8430" i="6"/>
  <c r="B8431" i="6"/>
  <c r="B8432" i="6"/>
  <c r="B8433" i="6"/>
  <c r="B8434" i="6"/>
  <c r="B8435" i="6"/>
  <c r="B8436" i="6"/>
  <c r="B8437" i="6"/>
  <c r="B8438" i="6"/>
  <c r="B8439" i="6"/>
  <c r="B8440" i="6"/>
  <c r="B8441" i="6"/>
  <c r="B8442" i="6"/>
  <c r="B8443" i="6"/>
  <c r="B8444" i="6"/>
  <c r="B8445" i="6"/>
  <c r="B8446" i="6"/>
  <c r="B8447" i="6"/>
  <c r="B8448" i="6"/>
  <c r="B8449" i="6"/>
  <c r="B8450" i="6"/>
  <c r="B8451" i="6"/>
  <c r="B8452" i="6"/>
  <c r="B8453" i="6"/>
  <c r="B8454" i="6"/>
  <c r="B8455" i="6"/>
  <c r="B8456" i="6"/>
  <c r="B8457" i="6"/>
  <c r="B8458" i="6"/>
  <c r="B8459" i="6"/>
  <c r="B8460" i="6"/>
  <c r="B8461" i="6"/>
  <c r="B8462" i="6"/>
  <c r="B8463" i="6"/>
  <c r="B8464" i="6"/>
  <c r="B8465" i="6"/>
  <c r="B8466" i="6"/>
  <c r="B8467" i="6"/>
  <c r="B8468" i="6"/>
  <c r="B8469" i="6"/>
  <c r="B8470" i="6"/>
  <c r="B8471" i="6"/>
  <c r="B8472" i="6"/>
  <c r="B8473" i="6"/>
  <c r="B8474" i="6"/>
  <c r="B8475" i="6"/>
  <c r="B8476" i="6"/>
  <c r="B8477" i="6"/>
  <c r="B8478" i="6"/>
  <c r="B8479" i="6"/>
  <c r="B8480" i="6"/>
  <c r="B8481" i="6"/>
  <c r="B8482" i="6"/>
  <c r="B8483" i="6"/>
  <c r="B8484" i="6"/>
  <c r="B8485" i="6"/>
  <c r="B8486" i="6"/>
  <c r="B8487" i="6"/>
  <c r="B8488" i="6"/>
  <c r="B8489" i="6"/>
  <c r="B8490" i="6"/>
  <c r="B8491" i="6"/>
  <c r="B8492" i="6"/>
  <c r="B8493" i="6"/>
  <c r="B8494" i="6"/>
  <c r="B8495" i="6"/>
  <c r="B8496" i="6"/>
  <c r="B8497" i="6"/>
  <c r="B8498" i="6"/>
  <c r="B8499" i="6"/>
  <c r="B8500" i="6"/>
  <c r="B8501" i="6"/>
  <c r="B8502" i="6"/>
  <c r="B8503" i="6"/>
  <c r="B8504" i="6"/>
  <c r="B8505" i="6"/>
  <c r="B8506" i="6"/>
  <c r="B8507" i="6"/>
  <c r="B8508" i="6"/>
  <c r="B8509" i="6"/>
  <c r="B8510" i="6"/>
  <c r="B8511" i="6"/>
  <c r="B8512" i="6"/>
  <c r="B8513" i="6"/>
  <c r="B8514" i="6"/>
  <c r="B8515" i="6"/>
  <c r="B8516" i="6"/>
  <c r="B8517" i="6"/>
  <c r="B8518" i="6"/>
  <c r="B8519" i="6"/>
  <c r="B8520" i="6"/>
  <c r="B8521" i="6"/>
  <c r="B8522" i="6"/>
  <c r="B8523" i="6"/>
  <c r="B8524" i="6"/>
  <c r="B8525" i="6"/>
  <c r="B8526" i="6"/>
  <c r="B8527" i="6"/>
  <c r="B8528" i="6"/>
  <c r="B8529" i="6"/>
  <c r="B8530" i="6"/>
  <c r="B8531" i="6"/>
  <c r="B8532" i="6"/>
  <c r="B8533" i="6"/>
  <c r="B8534" i="6"/>
  <c r="B8535" i="6"/>
  <c r="B8536" i="6"/>
  <c r="B8537" i="6"/>
  <c r="B8538" i="6"/>
  <c r="B8539" i="6"/>
  <c r="B8540" i="6"/>
  <c r="B8541" i="6"/>
  <c r="B8542" i="6"/>
  <c r="B8543" i="6"/>
  <c r="B8544" i="6"/>
  <c r="B8545" i="6"/>
  <c r="B8546" i="6"/>
  <c r="B8547" i="6"/>
  <c r="B8548" i="6"/>
  <c r="B8549" i="6"/>
  <c r="B8550" i="6"/>
  <c r="B8551" i="6"/>
  <c r="B8552" i="6"/>
  <c r="B8553" i="6"/>
  <c r="B8554" i="6"/>
  <c r="B8555" i="6"/>
  <c r="B8556" i="6"/>
  <c r="B8557" i="6"/>
  <c r="B8558" i="6"/>
  <c r="B8559" i="6"/>
  <c r="B8560" i="6"/>
  <c r="B8561" i="6"/>
  <c r="B8562" i="6"/>
  <c r="B8563" i="6"/>
  <c r="B8564" i="6"/>
  <c r="B8565" i="6"/>
  <c r="B8566" i="6"/>
  <c r="B8567" i="6"/>
  <c r="B8568" i="6"/>
  <c r="B8569" i="6"/>
  <c r="B8570" i="6"/>
  <c r="B8571" i="6"/>
  <c r="B8572" i="6"/>
  <c r="B8573" i="6"/>
  <c r="B8574" i="6"/>
  <c r="B8575" i="6"/>
  <c r="B8576" i="6"/>
  <c r="B8577" i="6"/>
  <c r="B8578" i="6"/>
  <c r="B8579" i="6"/>
  <c r="B8580" i="6"/>
  <c r="B8581" i="6"/>
  <c r="B8582" i="6"/>
  <c r="B8583" i="6"/>
  <c r="B8584" i="6"/>
  <c r="B8585" i="6"/>
  <c r="B8586" i="6"/>
  <c r="B8587" i="6"/>
  <c r="B8588" i="6"/>
  <c r="B8589" i="6"/>
  <c r="B8590" i="6"/>
  <c r="B8591" i="6"/>
  <c r="B8592" i="6"/>
  <c r="B8593" i="6"/>
  <c r="B8594" i="6"/>
  <c r="B8595" i="6"/>
  <c r="B8596" i="6"/>
  <c r="B8597" i="6"/>
  <c r="B8598" i="6"/>
  <c r="B8599" i="6"/>
  <c r="B8600" i="6"/>
  <c r="B8601" i="6"/>
  <c r="B8602" i="6"/>
  <c r="B8603" i="6"/>
  <c r="B8604" i="6"/>
  <c r="B8605" i="6"/>
  <c r="B8606" i="6"/>
  <c r="B8607" i="6"/>
  <c r="B8608" i="6"/>
  <c r="B8609" i="6"/>
  <c r="B8610" i="6"/>
  <c r="B8611" i="6"/>
  <c r="B8612" i="6"/>
  <c r="B8613" i="6"/>
  <c r="B8614" i="6"/>
  <c r="B8615" i="6"/>
  <c r="B8616" i="6"/>
  <c r="B8617" i="6"/>
  <c r="B8618" i="6"/>
  <c r="B8619" i="6"/>
  <c r="B8620" i="6"/>
  <c r="B8621" i="6"/>
  <c r="B8622" i="6"/>
  <c r="B8623" i="6"/>
  <c r="B8624" i="6"/>
  <c r="B8625" i="6"/>
  <c r="B8626" i="6"/>
  <c r="B8627" i="6"/>
  <c r="B8628" i="6"/>
  <c r="B8629" i="6"/>
  <c r="B8630" i="6"/>
  <c r="B8631" i="6"/>
  <c r="B8632" i="6"/>
  <c r="B8633" i="6"/>
  <c r="B8634" i="6"/>
  <c r="B8635" i="6"/>
  <c r="B8636" i="6"/>
  <c r="B8637" i="6"/>
  <c r="B8638" i="6"/>
  <c r="B8639" i="6"/>
  <c r="B8640" i="6"/>
  <c r="B8641" i="6"/>
  <c r="B8642" i="6"/>
  <c r="B8643" i="6"/>
  <c r="B8644" i="6"/>
  <c r="B8645" i="6"/>
  <c r="B8646" i="6"/>
  <c r="B8647" i="6"/>
  <c r="B8648" i="6"/>
  <c r="B8649" i="6"/>
  <c r="B8650" i="6"/>
  <c r="B8651" i="6"/>
  <c r="B8652" i="6"/>
  <c r="B8653" i="6"/>
  <c r="B8654" i="6"/>
  <c r="B8655" i="6"/>
  <c r="B8656" i="6"/>
  <c r="B8657" i="6"/>
  <c r="B8658" i="6"/>
  <c r="B8659" i="6"/>
  <c r="B8660" i="6"/>
  <c r="B8661" i="6"/>
  <c r="B8662" i="6"/>
  <c r="B8663" i="6"/>
  <c r="B8664" i="6"/>
  <c r="B8665" i="6"/>
  <c r="B8666" i="6"/>
  <c r="B8667" i="6"/>
  <c r="B8668" i="6"/>
  <c r="B8669" i="6"/>
  <c r="B8670" i="6"/>
  <c r="B8671" i="6"/>
  <c r="B8672" i="6"/>
  <c r="B8673" i="6"/>
  <c r="B8674" i="6"/>
  <c r="B8675" i="6"/>
  <c r="B8676" i="6"/>
  <c r="B8677" i="6"/>
  <c r="B8678" i="6"/>
  <c r="B8679" i="6"/>
  <c r="B8680" i="6"/>
  <c r="B8681" i="6"/>
  <c r="B8682" i="6"/>
  <c r="B8683" i="6"/>
  <c r="B8684" i="6"/>
  <c r="B8685" i="6"/>
  <c r="B8686" i="6"/>
  <c r="B8687" i="6"/>
  <c r="B8688" i="6"/>
  <c r="B8689" i="6"/>
  <c r="B8690" i="6"/>
  <c r="B8691" i="6"/>
  <c r="B8692" i="6"/>
  <c r="B8693" i="6"/>
  <c r="B8694" i="6"/>
  <c r="B8695" i="6"/>
  <c r="B8696" i="6"/>
  <c r="B8697" i="6"/>
  <c r="B8698" i="6"/>
  <c r="B8699" i="6"/>
  <c r="B8700" i="6"/>
  <c r="B8701" i="6"/>
  <c r="B8702" i="6"/>
  <c r="B8703" i="6"/>
  <c r="B8704" i="6"/>
  <c r="B8705" i="6"/>
  <c r="B8706" i="6"/>
  <c r="B8707" i="6"/>
  <c r="B8708" i="6"/>
  <c r="B8709" i="6"/>
  <c r="B8710" i="6"/>
  <c r="B8711" i="6"/>
  <c r="B8712" i="6"/>
  <c r="B8713" i="6"/>
  <c r="B8714" i="6"/>
  <c r="B8715" i="6"/>
  <c r="B8716" i="6"/>
  <c r="B8717" i="6"/>
  <c r="B8718" i="6"/>
  <c r="B8719" i="6"/>
  <c r="B8720" i="6"/>
  <c r="B8721" i="6"/>
  <c r="B8722" i="6"/>
  <c r="B8723" i="6"/>
  <c r="B8724" i="6"/>
  <c r="B8725" i="6"/>
  <c r="B8726" i="6"/>
  <c r="B8727" i="6"/>
  <c r="B8728" i="6"/>
  <c r="B8729" i="6"/>
  <c r="B8730" i="6"/>
  <c r="B8731" i="6"/>
  <c r="B8732" i="6"/>
  <c r="B8733" i="6"/>
  <c r="B8734" i="6"/>
  <c r="B8735" i="6"/>
  <c r="B8736" i="6"/>
  <c r="B8737" i="6"/>
  <c r="B8738" i="6"/>
  <c r="B8739" i="6"/>
  <c r="B8740" i="6"/>
  <c r="B8741" i="6"/>
  <c r="B8742" i="6"/>
  <c r="B8743" i="6"/>
  <c r="B8744" i="6"/>
  <c r="B8745" i="6"/>
  <c r="B8746" i="6"/>
  <c r="B8747" i="6"/>
  <c r="B8748" i="6"/>
  <c r="B8749" i="6"/>
  <c r="B8750" i="6"/>
  <c r="B8751" i="6"/>
  <c r="B8752" i="6"/>
  <c r="B8753" i="6"/>
  <c r="B8754" i="6"/>
  <c r="B8755" i="6"/>
  <c r="B8756" i="6"/>
  <c r="B8757" i="6"/>
  <c r="B8758" i="6"/>
  <c r="B8759" i="6"/>
  <c r="B8760" i="6"/>
  <c r="B8761" i="6"/>
  <c r="B8762" i="6"/>
  <c r="B8763" i="6"/>
  <c r="B8764" i="6"/>
  <c r="B8765" i="6"/>
  <c r="B8766" i="6"/>
  <c r="B8767" i="6"/>
  <c r="B8768" i="6"/>
  <c r="B8769" i="6"/>
  <c r="B6669" i="6"/>
  <c r="B6670" i="6"/>
  <c r="B6671" i="6"/>
  <c r="B6672" i="6"/>
  <c r="B6673" i="6"/>
  <c r="B6674" i="6"/>
  <c r="B6675" i="6"/>
  <c r="B6676" i="6"/>
  <c r="B6677" i="6"/>
  <c r="B6678" i="6"/>
  <c r="B6679" i="6"/>
  <c r="B6680" i="6"/>
  <c r="B6681" i="6"/>
  <c r="B6682" i="6"/>
  <c r="B6683" i="6"/>
  <c r="B6684" i="6"/>
  <c r="B6685" i="6"/>
  <c r="B6686" i="6"/>
  <c r="B6687" i="6"/>
  <c r="B6688" i="6"/>
  <c r="B6689" i="6"/>
  <c r="B6690" i="6"/>
  <c r="B6691" i="6"/>
  <c r="B6692" i="6"/>
  <c r="B6693" i="6"/>
  <c r="B6694" i="6"/>
  <c r="B6695" i="6"/>
  <c r="B6696" i="6"/>
  <c r="B6697" i="6"/>
  <c r="B6698" i="6"/>
  <c r="B6699" i="6"/>
  <c r="B6700" i="6"/>
  <c r="B6701" i="6"/>
  <c r="B6702" i="6"/>
  <c r="B6703" i="6"/>
  <c r="B6704" i="6"/>
  <c r="B6705" i="6"/>
  <c r="B6706" i="6"/>
  <c r="B6707" i="6"/>
  <c r="B6708" i="6"/>
  <c r="B6709" i="6"/>
  <c r="B6710" i="6"/>
  <c r="B6711" i="6"/>
  <c r="B6712" i="6"/>
  <c r="B6713" i="6"/>
  <c r="B6714" i="6"/>
  <c r="B6715" i="6"/>
  <c r="B6716" i="6"/>
  <c r="B6717" i="6"/>
  <c r="B6718" i="6"/>
  <c r="B6719" i="6"/>
  <c r="B6720" i="6"/>
  <c r="B6721" i="6"/>
  <c r="B6722" i="6"/>
  <c r="B6723" i="6"/>
  <c r="B6724" i="6"/>
  <c r="B6725" i="6"/>
  <c r="B6726" i="6"/>
  <c r="B6727" i="6"/>
  <c r="B6728" i="6"/>
  <c r="B6729" i="6"/>
  <c r="B6730" i="6"/>
  <c r="B6731" i="6"/>
  <c r="B6732" i="6"/>
  <c r="B6733" i="6"/>
  <c r="B6734" i="6"/>
  <c r="B6735" i="6"/>
  <c r="B6736" i="6"/>
  <c r="B6737" i="6"/>
  <c r="B6738" i="6"/>
  <c r="B6739" i="6"/>
  <c r="B6740" i="6"/>
  <c r="B6741" i="6"/>
  <c r="B6742" i="6"/>
  <c r="B6743" i="6"/>
  <c r="B6744" i="6"/>
  <c r="B6745" i="6"/>
  <c r="B6746" i="6"/>
  <c r="B6747" i="6"/>
  <c r="B6748" i="6"/>
  <c r="B6749" i="6"/>
  <c r="B6750" i="6"/>
  <c r="B6751" i="6"/>
  <c r="B6752" i="6"/>
  <c r="B6753" i="6"/>
  <c r="B6754" i="6"/>
  <c r="B6755" i="6"/>
  <c r="B6756" i="6"/>
  <c r="B6757" i="6"/>
  <c r="B6758" i="6"/>
  <c r="B6759" i="6"/>
  <c r="B6760" i="6"/>
  <c r="B6761" i="6"/>
  <c r="B6762" i="6"/>
  <c r="B6763" i="6"/>
  <c r="B6764" i="6"/>
  <c r="B6765" i="6"/>
  <c r="B6766" i="6"/>
  <c r="B6767" i="6"/>
  <c r="B6768" i="6"/>
  <c r="B6769" i="6"/>
  <c r="B6770" i="6"/>
  <c r="B6771" i="6"/>
  <c r="B6772" i="6"/>
  <c r="B6773" i="6"/>
  <c r="B6774" i="6"/>
  <c r="B6775" i="6"/>
  <c r="B6776" i="6"/>
  <c r="B6777" i="6"/>
  <c r="B6778" i="6"/>
  <c r="B6779" i="6"/>
  <c r="B6780" i="6"/>
  <c r="B6781" i="6"/>
  <c r="B6782" i="6"/>
  <c r="B6783" i="6"/>
  <c r="B6784" i="6"/>
  <c r="B6785" i="6"/>
  <c r="B6786" i="6"/>
  <c r="B6787" i="6"/>
  <c r="B6788" i="6"/>
  <c r="B6789" i="6"/>
  <c r="B6790" i="6"/>
  <c r="B6791" i="6"/>
  <c r="B6792" i="6"/>
  <c r="B6793" i="6"/>
  <c r="B6794" i="6"/>
  <c r="B6795" i="6"/>
  <c r="B6796" i="6"/>
  <c r="B6797" i="6"/>
  <c r="B6798" i="6"/>
  <c r="B6799" i="6"/>
  <c r="B6800" i="6"/>
  <c r="B6801" i="6"/>
  <c r="B6802" i="6"/>
  <c r="B6803" i="6"/>
  <c r="B6804" i="6"/>
  <c r="B6805" i="6"/>
  <c r="B6806" i="6"/>
  <c r="B6807" i="6"/>
  <c r="B6808" i="6"/>
  <c r="B6809" i="6"/>
  <c r="B6810" i="6"/>
  <c r="B6811" i="6"/>
  <c r="B6812" i="6"/>
  <c r="B6813" i="6"/>
  <c r="B6814" i="6"/>
  <c r="B6815" i="6"/>
  <c r="B6816" i="6"/>
  <c r="B6817" i="6"/>
  <c r="B6818" i="6"/>
  <c r="B6819" i="6"/>
  <c r="B6820" i="6"/>
  <c r="B6821" i="6"/>
  <c r="B6822" i="6"/>
  <c r="B6823" i="6"/>
  <c r="B6824" i="6"/>
  <c r="B6825" i="6"/>
  <c r="B6826" i="6"/>
  <c r="B6827" i="6"/>
  <c r="B6828" i="6"/>
  <c r="B6829" i="6"/>
  <c r="B6830" i="6"/>
  <c r="B6831" i="6"/>
  <c r="B6832" i="6"/>
  <c r="B6833" i="6"/>
  <c r="B6834" i="6"/>
  <c r="B6835" i="6"/>
  <c r="B6836" i="6"/>
  <c r="B6837" i="6"/>
  <c r="B6838" i="6"/>
  <c r="B6839" i="6"/>
  <c r="N4688" i="1" l="1"/>
  <c r="M4688" i="1"/>
  <c r="L4688" i="1"/>
  <c r="N4687" i="1"/>
  <c r="M4687" i="1"/>
  <c r="L4687" i="1"/>
  <c r="N4686" i="1"/>
  <c r="M4686" i="1"/>
  <c r="L4686" i="1"/>
  <c r="N4685" i="1"/>
  <c r="M4685" i="1"/>
  <c r="L4685" i="1"/>
  <c r="N4684" i="1"/>
  <c r="M4684" i="1"/>
  <c r="L4684" i="1"/>
  <c r="N4683" i="1"/>
  <c r="M4683" i="1"/>
  <c r="L4683" i="1"/>
  <c r="N4682" i="1"/>
  <c r="M4682" i="1"/>
  <c r="L4682" i="1"/>
  <c r="N4681" i="1"/>
  <c r="M4681" i="1"/>
  <c r="L4681" i="1"/>
  <c r="N4678" i="1"/>
  <c r="M4678" i="1"/>
  <c r="L4678" i="1"/>
  <c r="N4677" i="1"/>
  <c r="M4677" i="1"/>
  <c r="L4677" i="1"/>
  <c r="N4676" i="1"/>
  <c r="M4676" i="1"/>
  <c r="L4676" i="1"/>
  <c r="N4675" i="1"/>
  <c r="M4675" i="1"/>
  <c r="L4675" i="1"/>
  <c r="N4674" i="1"/>
  <c r="M4674" i="1"/>
  <c r="L4674" i="1"/>
  <c r="N4673" i="1"/>
  <c r="M4673" i="1"/>
  <c r="L4673" i="1"/>
  <c r="N4672" i="1"/>
  <c r="M4672" i="1"/>
  <c r="L4672" i="1"/>
  <c r="N4671" i="1"/>
  <c r="M4671" i="1"/>
  <c r="L4671" i="1"/>
  <c r="N4670" i="1"/>
  <c r="M4670" i="1"/>
  <c r="L4670" i="1"/>
  <c r="N4669" i="1"/>
  <c r="M4669" i="1"/>
  <c r="L4669" i="1"/>
  <c r="N4668" i="1"/>
  <c r="M4668" i="1"/>
  <c r="L4668" i="1"/>
  <c r="N4667" i="1"/>
  <c r="M4667" i="1"/>
  <c r="L4667" i="1"/>
  <c r="N4666" i="1"/>
  <c r="M4666" i="1"/>
  <c r="L4666" i="1"/>
  <c r="N4665" i="1"/>
  <c r="M4665" i="1"/>
  <c r="L4665" i="1"/>
  <c r="N4664" i="1"/>
  <c r="M4664" i="1"/>
  <c r="L4664" i="1"/>
  <c r="N4663" i="1"/>
  <c r="M4663" i="1"/>
  <c r="L4663" i="1"/>
  <c r="N4662" i="1"/>
  <c r="M4662" i="1"/>
  <c r="L4662" i="1"/>
  <c r="N4661" i="1"/>
  <c r="M4661" i="1"/>
  <c r="L4661" i="1"/>
  <c r="N4660" i="1"/>
  <c r="M4660" i="1"/>
  <c r="L4660" i="1"/>
  <c r="N4659" i="1"/>
  <c r="M4659" i="1"/>
  <c r="L4659" i="1"/>
  <c r="N4658" i="1"/>
  <c r="M4658" i="1"/>
  <c r="L4658" i="1"/>
  <c r="N4657" i="1"/>
  <c r="M4657" i="1"/>
  <c r="L4657" i="1"/>
  <c r="N4656" i="1"/>
  <c r="M4656" i="1"/>
  <c r="L4656" i="1"/>
  <c r="N4655" i="1"/>
  <c r="M4655" i="1"/>
  <c r="L4655" i="1"/>
  <c r="N4654" i="1"/>
  <c r="M4654" i="1"/>
  <c r="L4654" i="1"/>
  <c r="N4653" i="1"/>
  <c r="M4653" i="1"/>
  <c r="L4653" i="1"/>
  <c r="N4652" i="1"/>
  <c r="M4652" i="1"/>
  <c r="L4652" i="1"/>
  <c r="N4651" i="1"/>
  <c r="M4651" i="1"/>
  <c r="L4651" i="1"/>
  <c r="N4650" i="1"/>
  <c r="M4650" i="1"/>
  <c r="L4650" i="1"/>
  <c r="N4649" i="1"/>
  <c r="M4649" i="1"/>
  <c r="L4649" i="1"/>
  <c r="N4648" i="1"/>
  <c r="M4648" i="1"/>
  <c r="L4648" i="1"/>
  <c r="N4647" i="1"/>
  <c r="M4647" i="1"/>
  <c r="L4647" i="1"/>
  <c r="N4646" i="1"/>
  <c r="M4646" i="1"/>
  <c r="L4646" i="1"/>
  <c r="N4645" i="1"/>
  <c r="M4645" i="1"/>
  <c r="L4645" i="1"/>
  <c r="N4644" i="1"/>
  <c r="M4644" i="1"/>
  <c r="L4644" i="1"/>
  <c r="N4643" i="1"/>
  <c r="M4643" i="1"/>
  <c r="L4643" i="1"/>
  <c r="N4642" i="1"/>
  <c r="M4642" i="1"/>
  <c r="L4642" i="1"/>
  <c r="N4641" i="1"/>
  <c r="M4641" i="1"/>
  <c r="L4641" i="1"/>
  <c r="N4640" i="1"/>
  <c r="M4640" i="1"/>
  <c r="L4640" i="1"/>
  <c r="N4639" i="1"/>
  <c r="M4639" i="1"/>
  <c r="L4639" i="1"/>
  <c r="N4638" i="1"/>
  <c r="M4638" i="1"/>
  <c r="L4638" i="1"/>
  <c r="N4637" i="1"/>
  <c r="M4637" i="1"/>
  <c r="L4637" i="1"/>
  <c r="N4636" i="1"/>
  <c r="M4636" i="1"/>
  <c r="L4636" i="1"/>
  <c r="N4635" i="1"/>
  <c r="M4635" i="1"/>
  <c r="L4635" i="1"/>
  <c r="N4634" i="1"/>
  <c r="M4634" i="1"/>
  <c r="L4634" i="1"/>
  <c r="N4633" i="1"/>
  <c r="M4633" i="1"/>
  <c r="L4633" i="1"/>
  <c r="N4632" i="1"/>
  <c r="M4632" i="1"/>
  <c r="L4632" i="1"/>
  <c r="N4631" i="1"/>
  <c r="M4631" i="1"/>
  <c r="L4631" i="1"/>
  <c r="N4630" i="1"/>
  <c r="M4630" i="1"/>
  <c r="L4630" i="1"/>
  <c r="N4629" i="1"/>
  <c r="M4629" i="1"/>
  <c r="L4629" i="1"/>
  <c r="N4628" i="1"/>
  <c r="M4628" i="1"/>
  <c r="L4628" i="1"/>
  <c r="N4627" i="1"/>
  <c r="M4627" i="1"/>
  <c r="L4627" i="1"/>
  <c r="N4626" i="1"/>
  <c r="M4626" i="1"/>
  <c r="L4626" i="1"/>
  <c r="N4625" i="1"/>
  <c r="M4625" i="1"/>
  <c r="L4625" i="1"/>
  <c r="N4624" i="1"/>
  <c r="M4624" i="1"/>
  <c r="L4624" i="1"/>
  <c r="N4623" i="1"/>
  <c r="M4623" i="1"/>
  <c r="L4623" i="1"/>
  <c r="N4622" i="1"/>
  <c r="M4622" i="1"/>
  <c r="L4622" i="1"/>
  <c r="N4621" i="1"/>
  <c r="M4621" i="1"/>
  <c r="L4621" i="1"/>
  <c r="N4620" i="1"/>
  <c r="M4620" i="1"/>
  <c r="L4620" i="1"/>
  <c r="N4619" i="1"/>
  <c r="M4619" i="1"/>
  <c r="L4619" i="1"/>
  <c r="N4618" i="1"/>
  <c r="M4618" i="1"/>
  <c r="L4618" i="1"/>
  <c r="N4617" i="1"/>
  <c r="M4617" i="1"/>
  <c r="L4617" i="1"/>
  <c r="N4616" i="1"/>
  <c r="M4616" i="1"/>
  <c r="L4616" i="1"/>
  <c r="N4615" i="1"/>
  <c r="M4615" i="1"/>
  <c r="L4615" i="1"/>
  <c r="N4614" i="1"/>
  <c r="M4614" i="1"/>
  <c r="L4614" i="1"/>
  <c r="N4613" i="1"/>
  <c r="M4613" i="1"/>
  <c r="L4613" i="1"/>
  <c r="N4612" i="1"/>
  <c r="M4612" i="1"/>
  <c r="L4612" i="1"/>
  <c r="N4611" i="1"/>
  <c r="M4611" i="1"/>
  <c r="L4611" i="1"/>
  <c r="N4610" i="1"/>
  <c r="M4610" i="1"/>
  <c r="L4610" i="1"/>
  <c r="N4609" i="1"/>
  <c r="M4609" i="1"/>
  <c r="L4609" i="1"/>
  <c r="N4608" i="1"/>
  <c r="M4608" i="1"/>
  <c r="L4608" i="1"/>
  <c r="N4607" i="1"/>
  <c r="M4607" i="1"/>
  <c r="L4607" i="1"/>
  <c r="N4606" i="1"/>
  <c r="M4606" i="1"/>
  <c r="L4606" i="1"/>
  <c r="N4605" i="1"/>
  <c r="M4605" i="1"/>
  <c r="L4605" i="1"/>
  <c r="N4604" i="1"/>
  <c r="M4604" i="1"/>
  <c r="L4604" i="1"/>
  <c r="N4603" i="1"/>
  <c r="M4603" i="1"/>
  <c r="L4603" i="1"/>
  <c r="N4602" i="1"/>
  <c r="M4602" i="1"/>
  <c r="L4602" i="1"/>
  <c r="N4601" i="1"/>
  <c r="M4601" i="1"/>
  <c r="L4601" i="1"/>
  <c r="N4600" i="1"/>
  <c r="M4600" i="1"/>
  <c r="L4600" i="1"/>
  <c r="N4599" i="1"/>
  <c r="M4599" i="1"/>
  <c r="L4599" i="1"/>
  <c r="N4598" i="1"/>
  <c r="M4598" i="1"/>
  <c r="L4598" i="1"/>
  <c r="N4597" i="1"/>
  <c r="M4597" i="1"/>
  <c r="L4597" i="1"/>
  <c r="N4596" i="1"/>
  <c r="M4596" i="1"/>
  <c r="L4596" i="1"/>
  <c r="N4595" i="1"/>
  <c r="M4595" i="1"/>
  <c r="L4595" i="1"/>
  <c r="N4594" i="1"/>
  <c r="M4594" i="1"/>
  <c r="L4594" i="1"/>
  <c r="N4593" i="1"/>
  <c r="M4593" i="1"/>
  <c r="L4593" i="1"/>
  <c r="N4592" i="1"/>
  <c r="M4592" i="1"/>
  <c r="L4592" i="1"/>
  <c r="N4591" i="1"/>
  <c r="M4591" i="1"/>
  <c r="L4591" i="1"/>
  <c r="N4590" i="1"/>
  <c r="M4590" i="1"/>
  <c r="L4590" i="1"/>
  <c r="N4589" i="1"/>
  <c r="M4589" i="1"/>
  <c r="L4589" i="1"/>
  <c r="N4588" i="1"/>
  <c r="M4588" i="1"/>
  <c r="L4588" i="1"/>
  <c r="N4587" i="1"/>
  <c r="M4587" i="1"/>
  <c r="L4587" i="1"/>
  <c r="N4586" i="1"/>
  <c r="M4586" i="1"/>
  <c r="L4586" i="1"/>
  <c r="N4585" i="1"/>
  <c r="M4585" i="1"/>
  <c r="L4585" i="1"/>
  <c r="N4584" i="1"/>
  <c r="M4584" i="1"/>
  <c r="L4584" i="1"/>
  <c r="N4583" i="1"/>
  <c r="M4583" i="1"/>
  <c r="L4583" i="1"/>
  <c r="N4582" i="1"/>
  <c r="M4582" i="1"/>
  <c r="L4582" i="1"/>
  <c r="N4581" i="1"/>
  <c r="M4581" i="1"/>
  <c r="L4581" i="1"/>
  <c r="N4580" i="1"/>
  <c r="M4580" i="1"/>
  <c r="L4580" i="1"/>
  <c r="N4579" i="1"/>
  <c r="M4579" i="1"/>
  <c r="L4579" i="1"/>
  <c r="N4578" i="1"/>
  <c r="M4578" i="1"/>
  <c r="L4578" i="1"/>
  <c r="N4577" i="1"/>
  <c r="M4577" i="1"/>
  <c r="L4577" i="1"/>
  <c r="N4576" i="1"/>
  <c r="M4576" i="1"/>
  <c r="L4576" i="1"/>
  <c r="N4575" i="1"/>
  <c r="M4575" i="1"/>
  <c r="L4575" i="1"/>
  <c r="N4574" i="1"/>
  <c r="M4574" i="1"/>
  <c r="L4574" i="1"/>
  <c r="G4688" i="1"/>
  <c r="B4688" i="1"/>
  <c r="A4688" i="1"/>
  <c r="G4687" i="1"/>
  <c r="B4687" i="1"/>
  <c r="A4687" i="1"/>
  <c r="G4686" i="1"/>
  <c r="B4686" i="1"/>
  <c r="A4686" i="1"/>
  <c r="G4685" i="1"/>
  <c r="B4685" i="1"/>
  <c r="A4685" i="1"/>
  <c r="G4684" i="1"/>
  <c r="B4684" i="1"/>
  <c r="A4684" i="1"/>
  <c r="G4683" i="1"/>
  <c r="B4683" i="1"/>
  <c r="A4683" i="1"/>
  <c r="G4682" i="1"/>
  <c r="B4682" i="1"/>
  <c r="A4682" i="1"/>
  <c r="G4681" i="1"/>
  <c r="B4681" i="1"/>
  <c r="A4681" i="1"/>
  <c r="G4678" i="1"/>
  <c r="B4678" i="1"/>
  <c r="A4678" i="1"/>
  <c r="G4677" i="1"/>
  <c r="B4677" i="1"/>
  <c r="A4677" i="1"/>
  <c r="G4676" i="1"/>
  <c r="B4676" i="1"/>
  <c r="A4676" i="1"/>
  <c r="G4675" i="1"/>
  <c r="B4675" i="1"/>
  <c r="A4675" i="1"/>
  <c r="G4674" i="1"/>
  <c r="B4674" i="1"/>
  <c r="A4674" i="1"/>
  <c r="G4673" i="1"/>
  <c r="B4673" i="1"/>
  <c r="A4673" i="1"/>
  <c r="G4672" i="1"/>
  <c r="B4672" i="1"/>
  <c r="A4672" i="1"/>
  <c r="G4671" i="1"/>
  <c r="B4671" i="1"/>
  <c r="A4671" i="1"/>
  <c r="G4670" i="1"/>
  <c r="B4670" i="1"/>
  <c r="A4670" i="1"/>
  <c r="G4669" i="1"/>
  <c r="B4669" i="1"/>
  <c r="A4669" i="1"/>
  <c r="G4668" i="1"/>
  <c r="B4668" i="1"/>
  <c r="A4668" i="1"/>
  <c r="G4667" i="1"/>
  <c r="B4667" i="1"/>
  <c r="A4667" i="1"/>
  <c r="G4666" i="1"/>
  <c r="B4666" i="1"/>
  <c r="A4666" i="1"/>
  <c r="G4665" i="1"/>
  <c r="B4665" i="1"/>
  <c r="A4665" i="1"/>
  <c r="G4664" i="1"/>
  <c r="B4664" i="1"/>
  <c r="A4664" i="1"/>
  <c r="G4663" i="1"/>
  <c r="B4663" i="1"/>
  <c r="A4663" i="1"/>
  <c r="G4662" i="1"/>
  <c r="B4662" i="1"/>
  <c r="A4662" i="1"/>
  <c r="G4661" i="1"/>
  <c r="B4661" i="1"/>
  <c r="A4661" i="1"/>
  <c r="B4660" i="1"/>
  <c r="A4660" i="1"/>
  <c r="G4659" i="1"/>
  <c r="B4659" i="1"/>
  <c r="A4659" i="1"/>
  <c r="G4658" i="1"/>
  <c r="B4658" i="1"/>
  <c r="A4658" i="1"/>
  <c r="G4657" i="1"/>
  <c r="B4657" i="1"/>
  <c r="A4657" i="1"/>
  <c r="G4656" i="1"/>
  <c r="B4656" i="1"/>
  <c r="A4656" i="1"/>
  <c r="G4655" i="1"/>
  <c r="B4655" i="1"/>
  <c r="A4655" i="1"/>
  <c r="G4654" i="1"/>
  <c r="B4654" i="1"/>
  <c r="A4654" i="1"/>
  <c r="G4653" i="1"/>
  <c r="B4653" i="1"/>
  <c r="A4653" i="1"/>
  <c r="G4652" i="1"/>
  <c r="B4652" i="1"/>
  <c r="A4652" i="1"/>
  <c r="G4651" i="1"/>
  <c r="B4651" i="1"/>
  <c r="A4651" i="1"/>
  <c r="B4650" i="1"/>
  <c r="A4650" i="1"/>
  <c r="G4649" i="1"/>
  <c r="B4649" i="1"/>
  <c r="A4649" i="1"/>
  <c r="B4648" i="1"/>
  <c r="A4648" i="1"/>
  <c r="G4647" i="1"/>
  <c r="B4647" i="1"/>
  <c r="A4647" i="1"/>
  <c r="G4646" i="1"/>
  <c r="B4646" i="1"/>
  <c r="A4646" i="1"/>
  <c r="G4645" i="1"/>
  <c r="B4645" i="1"/>
  <c r="A4645" i="1"/>
  <c r="G4644" i="1"/>
  <c r="B4644" i="1"/>
  <c r="A4644" i="1"/>
  <c r="G4643" i="1"/>
  <c r="B4643" i="1"/>
  <c r="A4643" i="1"/>
  <c r="G4642" i="1"/>
  <c r="B4642" i="1"/>
  <c r="A4642" i="1"/>
  <c r="G4641" i="1"/>
  <c r="B4641" i="1"/>
  <c r="A4641" i="1"/>
  <c r="G4640" i="1"/>
  <c r="B4640" i="1"/>
  <c r="A4640" i="1"/>
  <c r="G4639" i="1"/>
  <c r="B4639" i="1"/>
  <c r="A4639" i="1"/>
  <c r="G4638" i="1"/>
  <c r="B4638" i="1"/>
  <c r="A4638" i="1"/>
  <c r="G4637" i="1"/>
  <c r="B4637" i="1"/>
  <c r="A4637" i="1"/>
  <c r="G4636" i="1"/>
  <c r="B4636" i="1"/>
  <c r="A4636" i="1"/>
  <c r="G4635" i="1"/>
  <c r="B4635" i="1"/>
  <c r="A4635" i="1"/>
  <c r="G4634" i="1"/>
  <c r="B4634" i="1"/>
  <c r="A4634" i="1"/>
  <c r="G4633" i="1"/>
  <c r="B4633" i="1"/>
  <c r="A4633" i="1"/>
  <c r="G4632" i="1"/>
  <c r="B4632" i="1"/>
  <c r="A4632" i="1"/>
  <c r="G4631" i="1"/>
  <c r="B4631" i="1"/>
  <c r="A4631" i="1"/>
  <c r="G4630" i="1"/>
  <c r="B4630" i="1"/>
  <c r="A4630" i="1"/>
  <c r="G4629" i="1"/>
  <c r="B4629" i="1"/>
  <c r="A4629" i="1"/>
  <c r="G4628" i="1"/>
  <c r="B4628" i="1"/>
  <c r="A4628" i="1"/>
  <c r="G4627" i="1"/>
  <c r="B4627" i="1"/>
  <c r="A4627" i="1"/>
  <c r="G4626" i="1"/>
  <c r="B4626" i="1"/>
  <c r="A4626" i="1"/>
  <c r="G4625" i="1"/>
  <c r="B4625" i="1"/>
  <c r="A4625" i="1"/>
  <c r="G4624" i="1"/>
  <c r="B4624" i="1"/>
  <c r="A4624" i="1"/>
  <c r="G4623" i="1"/>
  <c r="B4623" i="1"/>
  <c r="A4623" i="1"/>
  <c r="G4622" i="1"/>
  <c r="B4622" i="1"/>
  <c r="A4622" i="1"/>
  <c r="G4621" i="1"/>
  <c r="B4621" i="1"/>
  <c r="A4621" i="1"/>
  <c r="G4620" i="1"/>
  <c r="B4620" i="1"/>
  <c r="A4620" i="1"/>
  <c r="G4619" i="1"/>
  <c r="B4619" i="1"/>
  <c r="A4619" i="1"/>
  <c r="G4618" i="1"/>
  <c r="B4618" i="1"/>
  <c r="A4618" i="1"/>
  <c r="G4617" i="1"/>
  <c r="B4617" i="1"/>
  <c r="A4617" i="1"/>
  <c r="G4616" i="1"/>
  <c r="B4616" i="1"/>
  <c r="A4616" i="1"/>
  <c r="G4615" i="1"/>
  <c r="B4615" i="1"/>
  <c r="A4615" i="1"/>
  <c r="G4614" i="1"/>
  <c r="B4614" i="1"/>
  <c r="A4614" i="1"/>
  <c r="G4613" i="1"/>
  <c r="B4613" i="1"/>
  <c r="A4613" i="1"/>
  <c r="G4612" i="1"/>
  <c r="B4612" i="1"/>
  <c r="A4612" i="1"/>
  <c r="G4611" i="1"/>
  <c r="B4611" i="1"/>
  <c r="A4611" i="1"/>
  <c r="G4610" i="1"/>
  <c r="B4610" i="1"/>
  <c r="A4610" i="1"/>
  <c r="G4609" i="1"/>
  <c r="B4609" i="1"/>
  <c r="A4609" i="1"/>
  <c r="G4608" i="1"/>
  <c r="B4608" i="1"/>
  <c r="A4608" i="1"/>
  <c r="G4607" i="1"/>
  <c r="B4607" i="1"/>
  <c r="A4607" i="1"/>
  <c r="G4606" i="1"/>
  <c r="B4606" i="1"/>
  <c r="A4606" i="1"/>
  <c r="G4605" i="1"/>
  <c r="B4605" i="1"/>
  <c r="A4605" i="1"/>
  <c r="G4604" i="1"/>
  <c r="B4604" i="1"/>
  <c r="A4604" i="1"/>
  <c r="G4603" i="1"/>
  <c r="B4603" i="1"/>
  <c r="A4603" i="1"/>
  <c r="G4602" i="1"/>
  <c r="B4602" i="1"/>
  <c r="A4602" i="1"/>
  <c r="G4601" i="1"/>
  <c r="B4601" i="1"/>
  <c r="A4601" i="1"/>
  <c r="G4600" i="1"/>
  <c r="B4600" i="1"/>
  <c r="A4600" i="1"/>
  <c r="B4599" i="1"/>
  <c r="A4599" i="1"/>
  <c r="G4598" i="1"/>
  <c r="B4598" i="1"/>
  <c r="A4598" i="1"/>
  <c r="G4597" i="1"/>
  <c r="B4597" i="1"/>
  <c r="A4597" i="1"/>
  <c r="G4596" i="1"/>
  <c r="B4596" i="1"/>
  <c r="A4596" i="1"/>
  <c r="G4595" i="1"/>
  <c r="B4595" i="1"/>
  <c r="A4595" i="1"/>
  <c r="G4594" i="1"/>
  <c r="B4594" i="1"/>
  <c r="A4594" i="1"/>
  <c r="G4593" i="1"/>
  <c r="B4593" i="1"/>
  <c r="A4593" i="1"/>
  <c r="G4592" i="1"/>
  <c r="B4592" i="1"/>
  <c r="A4592" i="1"/>
  <c r="G4591" i="1"/>
  <c r="B4591" i="1"/>
  <c r="A4591" i="1"/>
  <c r="G4590" i="1"/>
  <c r="B4590" i="1"/>
  <c r="A4590" i="1"/>
  <c r="G4589" i="1"/>
  <c r="B4589" i="1"/>
  <c r="A4589" i="1"/>
  <c r="G4588" i="1"/>
  <c r="B4588" i="1"/>
  <c r="A4588" i="1"/>
  <c r="G4587" i="1"/>
  <c r="B4587" i="1"/>
  <c r="A4587" i="1"/>
  <c r="G4586" i="1"/>
  <c r="B4586" i="1"/>
  <c r="A4586" i="1"/>
  <c r="G4585" i="1"/>
  <c r="B4585" i="1"/>
  <c r="A4585" i="1"/>
  <c r="G4584" i="1"/>
  <c r="B4584" i="1"/>
  <c r="A4584" i="1"/>
  <c r="G4583" i="1"/>
  <c r="B4583" i="1"/>
  <c r="A4583" i="1"/>
  <c r="G4582" i="1"/>
  <c r="B4582" i="1"/>
  <c r="A4582" i="1"/>
  <c r="G4581" i="1"/>
  <c r="B4581" i="1"/>
  <c r="A4581" i="1"/>
  <c r="G4580" i="1"/>
  <c r="B4580" i="1"/>
  <c r="A4580" i="1"/>
  <c r="G4579" i="1"/>
  <c r="B4579" i="1"/>
  <c r="A4579" i="1"/>
  <c r="G4578" i="1"/>
  <c r="B4578" i="1"/>
  <c r="A4578" i="1"/>
  <c r="G4577" i="1"/>
  <c r="B4577" i="1"/>
  <c r="A4577" i="1"/>
  <c r="G4576" i="1"/>
  <c r="B4576" i="1"/>
  <c r="A4576" i="1"/>
  <c r="G4575" i="1"/>
  <c r="B4575" i="1"/>
  <c r="A4575" i="1"/>
  <c r="G4574" i="1"/>
  <c r="B4574" i="1"/>
  <c r="A4574" i="1"/>
  <c r="N4397" i="1"/>
  <c r="M4397" i="1"/>
  <c r="L4397" i="1"/>
  <c r="G4397" i="1"/>
  <c r="B4397" i="1"/>
  <c r="A4397" i="1"/>
  <c r="N4396" i="1"/>
  <c r="M4396" i="1"/>
  <c r="L4396" i="1"/>
  <c r="G4396" i="1"/>
  <c r="B4396" i="1"/>
  <c r="A4396" i="1"/>
  <c r="N4395" i="1"/>
  <c r="M4395" i="1"/>
  <c r="L4395" i="1"/>
  <c r="G4395" i="1"/>
  <c r="B4395" i="1"/>
  <c r="A4395" i="1"/>
  <c r="N4394" i="1"/>
  <c r="M4394" i="1"/>
  <c r="L4394" i="1"/>
  <c r="G4394" i="1"/>
  <c r="B4394" i="1"/>
  <c r="A4394" i="1"/>
  <c r="B6450" i="6"/>
  <c r="B6451" i="6"/>
  <c r="B6452" i="6"/>
  <c r="B6453" i="6"/>
  <c r="B6454" i="6"/>
  <c r="B6455" i="6"/>
  <c r="B6456" i="6"/>
  <c r="B6457" i="6"/>
  <c r="B6458" i="6"/>
  <c r="B6459" i="6"/>
  <c r="B6460" i="6"/>
  <c r="B6461" i="6"/>
  <c r="B6462" i="6"/>
  <c r="B6463" i="6"/>
  <c r="B6464" i="6"/>
  <c r="B6465" i="6"/>
  <c r="B6466" i="6"/>
  <c r="B6467" i="6"/>
  <c r="B6468" i="6"/>
  <c r="B6469" i="6"/>
  <c r="B6470" i="6"/>
  <c r="B6471" i="6"/>
  <c r="B6472" i="6"/>
  <c r="B6473" i="6"/>
  <c r="B6474" i="6"/>
  <c r="B6475" i="6"/>
  <c r="B6476" i="6"/>
  <c r="B6477" i="6"/>
  <c r="B6478" i="6"/>
  <c r="B6479" i="6"/>
  <c r="B6480" i="6"/>
  <c r="B6481" i="6"/>
  <c r="B6482" i="6"/>
  <c r="B6483" i="6"/>
  <c r="B6484" i="6"/>
  <c r="B6485" i="6"/>
  <c r="B6486" i="6"/>
  <c r="B6487" i="6"/>
  <c r="B6488" i="6"/>
  <c r="B6489" i="6"/>
  <c r="B6490" i="6"/>
  <c r="B6491" i="6"/>
  <c r="B6492" i="6"/>
  <c r="B6493" i="6"/>
  <c r="B6494" i="6"/>
  <c r="B6495" i="6"/>
  <c r="B6496" i="6"/>
  <c r="B6497" i="6"/>
  <c r="B6498" i="6"/>
  <c r="B6499" i="6"/>
  <c r="B6500" i="6"/>
  <c r="B6501" i="6"/>
  <c r="B6502" i="6"/>
  <c r="B6503" i="6"/>
  <c r="B6504" i="6"/>
  <c r="B6505" i="6"/>
  <c r="B6506" i="6"/>
  <c r="B6507" i="6"/>
  <c r="B6508" i="6"/>
  <c r="B6509" i="6"/>
  <c r="B6510" i="6"/>
  <c r="B6511" i="6"/>
  <c r="B6512" i="6"/>
  <c r="B6513" i="6"/>
  <c r="B6514" i="6"/>
  <c r="B6515" i="6"/>
  <c r="B6516" i="6"/>
  <c r="B6517" i="6"/>
  <c r="B6518" i="6"/>
  <c r="B6519" i="6"/>
  <c r="B6520" i="6"/>
  <c r="B6521" i="6"/>
  <c r="B6522" i="6"/>
  <c r="B6523" i="6"/>
  <c r="B6524" i="6"/>
  <c r="B6525" i="6"/>
  <c r="B6526" i="6"/>
  <c r="B6527" i="6"/>
  <c r="B6528" i="6"/>
  <c r="B6529" i="6"/>
  <c r="B6530" i="6"/>
  <c r="B6531" i="6"/>
  <c r="B6532" i="6"/>
  <c r="B6533" i="6"/>
  <c r="B6534" i="6"/>
  <c r="B6535" i="6"/>
  <c r="B6536" i="6"/>
  <c r="B6537" i="6"/>
  <c r="B6538" i="6"/>
  <c r="B6539" i="6"/>
  <c r="B6540" i="6"/>
  <c r="B6541" i="6"/>
  <c r="B6542" i="6"/>
  <c r="B6543" i="6"/>
  <c r="B6544" i="6"/>
  <c r="B6545" i="6"/>
  <c r="B6546" i="6"/>
  <c r="B6547" i="6"/>
  <c r="B6548" i="6"/>
  <c r="B6549" i="6"/>
  <c r="B6550" i="6"/>
  <c r="B6551" i="6"/>
  <c r="B6552" i="6"/>
  <c r="B6553" i="6"/>
  <c r="B6554" i="6"/>
  <c r="B6555" i="6"/>
  <c r="B6556" i="6"/>
  <c r="B6557" i="6"/>
  <c r="B6558" i="6"/>
  <c r="B6559" i="6"/>
  <c r="B6560" i="6"/>
  <c r="B6561" i="6"/>
  <c r="B6562" i="6"/>
  <c r="B6563" i="6"/>
  <c r="B6564" i="6"/>
  <c r="B6565" i="6"/>
  <c r="B6566" i="6"/>
  <c r="B6567" i="6"/>
  <c r="B6568" i="6"/>
  <c r="B6569" i="6"/>
  <c r="B6570" i="6"/>
  <c r="B6571" i="6"/>
  <c r="B6572" i="6"/>
  <c r="B6573" i="6"/>
  <c r="B6574" i="6"/>
  <c r="B6575" i="6"/>
  <c r="B6576" i="6"/>
  <c r="B6577" i="6"/>
  <c r="B6578" i="6"/>
  <c r="B6579" i="6"/>
  <c r="B6580" i="6"/>
  <c r="B6581" i="6"/>
  <c r="B6582" i="6"/>
  <c r="B6583" i="6"/>
  <c r="B6584" i="6"/>
  <c r="B6585" i="6"/>
  <c r="B6586" i="6"/>
  <c r="B6587" i="6"/>
  <c r="B6588" i="6"/>
  <c r="B6589" i="6"/>
  <c r="B6590" i="6"/>
  <c r="B6591" i="6"/>
  <c r="B6592" i="6"/>
  <c r="B6593" i="6"/>
  <c r="B6594" i="6"/>
  <c r="B6595" i="6"/>
  <c r="B6596" i="6"/>
  <c r="B6597" i="6"/>
  <c r="B6598" i="6"/>
  <c r="B6599" i="6"/>
  <c r="B6600" i="6"/>
  <c r="B6601" i="6"/>
  <c r="B6602" i="6"/>
  <c r="B6603" i="6"/>
  <c r="B6604" i="6"/>
  <c r="B6605" i="6"/>
  <c r="B6606" i="6"/>
  <c r="B6607" i="6"/>
  <c r="B6608" i="6"/>
  <c r="B6609" i="6"/>
  <c r="B6610" i="6"/>
  <c r="B6611" i="6"/>
  <c r="B6612" i="6"/>
  <c r="B6613" i="6"/>
  <c r="B6614" i="6"/>
  <c r="B6615" i="6"/>
  <c r="B6616" i="6"/>
  <c r="B6617" i="6"/>
  <c r="B6618" i="6"/>
  <c r="B6619" i="6"/>
  <c r="B6620" i="6"/>
  <c r="B6621" i="6"/>
  <c r="B6622" i="6"/>
  <c r="B6623" i="6"/>
  <c r="B6624" i="6"/>
  <c r="B6625" i="6"/>
  <c r="B6626" i="6"/>
  <c r="B6627" i="6"/>
  <c r="B6628" i="6"/>
  <c r="B6629" i="6"/>
  <c r="B6630" i="6"/>
  <c r="B6631" i="6"/>
  <c r="B6632" i="6"/>
  <c r="B6633" i="6"/>
  <c r="B6634" i="6"/>
  <c r="B6635" i="6"/>
  <c r="B6636" i="6"/>
  <c r="B6637" i="6"/>
  <c r="B6638" i="6"/>
  <c r="B6639" i="6"/>
  <c r="B6640" i="6"/>
  <c r="B6641" i="6"/>
  <c r="B6642" i="6"/>
  <c r="B6643" i="6"/>
  <c r="B6644" i="6"/>
  <c r="B6645" i="6"/>
  <c r="B6646" i="6"/>
  <c r="B6647" i="6"/>
  <c r="B6648" i="6"/>
  <c r="B6649" i="6"/>
  <c r="B6650" i="6"/>
  <c r="B6651" i="6"/>
  <c r="B6652" i="6"/>
  <c r="B6653" i="6"/>
  <c r="B6654" i="6"/>
  <c r="B6655" i="6"/>
  <c r="B6656" i="6"/>
  <c r="B6657" i="6"/>
  <c r="B6658" i="6"/>
  <c r="B6659" i="6"/>
  <c r="B6660" i="6"/>
  <c r="B6661" i="6"/>
  <c r="B6662" i="6"/>
  <c r="B6663" i="6"/>
  <c r="B6664" i="6"/>
  <c r="B6665" i="6"/>
  <c r="B6666" i="6"/>
  <c r="B6667" i="6"/>
  <c r="B6668" i="6"/>
  <c r="N4261" i="1" l="1"/>
  <c r="M4261" i="1"/>
  <c r="L4261" i="1"/>
  <c r="N4260" i="1"/>
  <c r="M4260" i="1"/>
  <c r="L4260" i="1"/>
  <c r="N4259" i="1"/>
  <c r="M4259" i="1"/>
  <c r="L4259" i="1"/>
  <c r="N4258" i="1"/>
  <c r="M4258" i="1"/>
  <c r="L4258" i="1"/>
  <c r="N4257" i="1"/>
  <c r="M4257" i="1"/>
  <c r="L4257" i="1"/>
  <c r="N4256" i="1"/>
  <c r="M4256" i="1"/>
  <c r="L4256" i="1"/>
  <c r="N4255" i="1"/>
  <c r="M4255" i="1"/>
  <c r="L4255" i="1"/>
  <c r="N4254" i="1"/>
  <c r="M4254" i="1"/>
  <c r="L4254" i="1"/>
  <c r="N4253" i="1"/>
  <c r="M4253" i="1"/>
  <c r="L4253" i="1"/>
  <c r="N4252" i="1"/>
  <c r="M4252" i="1"/>
  <c r="L4252" i="1"/>
  <c r="N4251" i="1"/>
  <c r="M4251" i="1"/>
  <c r="L4251" i="1"/>
  <c r="N4250" i="1"/>
  <c r="M4250" i="1"/>
  <c r="L4250" i="1"/>
  <c r="N4249" i="1"/>
  <c r="M4249" i="1"/>
  <c r="L4249" i="1"/>
  <c r="N4248" i="1"/>
  <c r="M4248" i="1"/>
  <c r="L4248" i="1"/>
  <c r="N4247" i="1"/>
  <c r="M4247" i="1"/>
  <c r="L4247" i="1"/>
  <c r="N4246" i="1"/>
  <c r="M4246" i="1"/>
  <c r="L4246" i="1"/>
  <c r="N4245" i="1"/>
  <c r="M4245" i="1"/>
  <c r="L4245" i="1"/>
  <c r="N4244" i="1"/>
  <c r="M4244" i="1"/>
  <c r="L4244" i="1"/>
  <c r="N4243" i="1"/>
  <c r="M4243" i="1"/>
  <c r="L4243" i="1"/>
  <c r="N4242" i="1"/>
  <c r="M4242" i="1"/>
  <c r="L4242" i="1"/>
  <c r="N4241" i="1"/>
  <c r="M4241" i="1"/>
  <c r="L4241" i="1"/>
  <c r="N4240" i="1"/>
  <c r="M4240" i="1"/>
  <c r="L4240" i="1"/>
  <c r="N4239" i="1"/>
  <c r="M4239" i="1"/>
  <c r="L4239" i="1"/>
  <c r="N4238" i="1"/>
  <c r="M4238" i="1"/>
  <c r="L4238" i="1"/>
  <c r="N4237" i="1"/>
  <c r="M4237" i="1"/>
  <c r="L4237" i="1"/>
  <c r="N4236" i="1"/>
  <c r="M4236" i="1"/>
  <c r="L4236" i="1"/>
  <c r="N4235" i="1"/>
  <c r="M4235" i="1"/>
  <c r="L4235" i="1"/>
  <c r="N4234" i="1"/>
  <c r="M4234" i="1"/>
  <c r="L4234" i="1"/>
  <c r="N4233" i="1"/>
  <c r="M4233" i="1"/>
  <c r="L4233" i="1"/>
  <c r="N4232" i="1"/>
  <c r="M4232" i="1"/>
  <c r="L4232" i="1"/>
  <c r="N4231" i="1"/>
  <c r="M4231" i="1"/>
  <c r="L4231" i="1"/>
  <c r="N4230" i="1"/>
  <c r="M4230" i="1"/>
  <c r="L4230" i="1"/>
  <c r="N4229" i="1"/>
  <c r="M4229" i="1"/>
  <c r="L4229" i="1"/>
  <c r="N4228" i="1"/>
  <c r="M4228" i="1"/>
  <c r="L4228" i="1"/>
  <c r="N4227" i="1"/>
  <c r="M4227" i="1"/>
  <c r="L4227" i="1"/>
  <c r="N4226" i="1"/>
  <c r="M4226" i="1"/>
  <c r="L4226" i="1"/>
  <c r="N4225" i="1"/>
  <c r="M4225" i="1"/>
  <c r="L4225" i="1"/>
  <c r="N4224" i="1"/>
  <c r="M4224" i="1"/>
  <c r="L4224" i="1"/>
  <c r="N4223" i="1"/>
  <c r="M4223" i="1"/>
  <c r="L4223" i="1"/>
  <c r="N4222" i="1"/>
  <c r="M4222" i="1"/>
  <c r="L4222" i="1"/>
  <c r="N4221" i="1"/>
  <c r="M4221" i="1"/>
  <c r="L4221" i="1"/>
  <c r="N4220" i="1"/>
  <c r="M4220" i="1"/>
  <c r="L4220" i="1"/>
  <c r="N4219" i="1"/>
  <c r="M4219" i="1"/>
  <c r="L4219" i="1"/>
  <c r="N4218" i="1"/>
  <c r="M4218" i="1"/>
  <c r="L4218" i="1"/>
  <c r="N4217" i="1"/>
  <c r="M4217" i="1"/>
  <c r="L4217" i="1"/>
  <c r="N4216" i="1"/>
  <c r="M4216" i="1"/>
  <c r="L4216" i="1"/>
  <c r="N4215" i="1"/>
  <c r="M4215" i="1"/>
  <c r="L4215" i="1"/>
  <c r="N4214" i="1"/>
  <c r="M4214" i="1"/>
  <c r="L4214" i="1"/>
  <c r="N4213" i="1"/>
  <c r="M4213" i="1"/>
  <c r="L4213" i="1"/>
  <c r="N4212" i="1"/>
  <c r="M4212" i="1"/>
  <c r="L4212" i="1"/>
  <c r="N4211" i="1"/>
  <c r="M4211" i="1"/>
  <c r="L4211" i="1"/>
  <c r="N4210" i="1"/>
  <c r="M4210" i="1"/>
  <c r="L4210" i="1"/>
  <c r="N4209" i="1"/>
  <c r="M4209" i="1"/>
  <c r="L4209" i="1"/>
  <c r="N4208" i="1"/>
  <c r="M4208" i="1"/>
  <c r="L4208" i="1"/>
  <c r="N4207" i="1"/>
  <c r="M4207" i="1"/>
  <c r="L4207" i="1"/>
  <c r="N4206" i="1"/>
  <c r="M4206" i="1"/>
  <c r="L4206" i="1"/>
  <c r="N4205" i="1"/>
  <c r="M4205" i="1"/>
  <c r="L4205" i="1"/>
  <c r="N4204" i="1"/>
  <c r="M4204" i="1"/>
  <c r="L4204" i="1"/>
  <c r="N4203" i="1"/>
  <c r="M4203" i="1"/>
  <c r="L4203" i="1"/>
  <c r="N4202" i="1"/>
  <c r="M4202" i="1"/>
  <c r="L4202" i="1"/>
  <c r="N4201" i="1"/>
  <c r="M4201" i="1"/>
  <c r="L4201" i="1"/>
  <c r="N4200" i="1"/>
  <c r="M4200" i="1"/>
  <c r="L4200" i="1"/>
  <c r="N4199" i="1"/>
  <c r="M4199" i="1"/>
  <c r="L4199" i="1"/>
  <c r="N4198" i="1"/>
  <c r="M4198" i="1"/>
  <c r="L4198" i="1"/>
  <c r="N4197" i="1"/>
  <c r="M4197" i="1"/>
  <c r="L4197" i="1"/>
  <c r="N4196" i="1"/>
  <c r="M4196" i="1"/>
  <c r="L4196" i="1"/>
  <c r="N4195" i="1"/>
  <c r="M4195" i="1"/>
  <c r="L4195" i="1"/>
  <c r="N4194" i="1"/>
  <c r="L4194" i="1"/>
  <c r="B4261" i="1"/>
  <c r="A4261" i="1"/>
  <c r="B4260" i="1"/>
  <c r="A4260" i="1"/>
  <c r="B4259" i="1"/>
  <c r="A4259" i="1"/>
  <c r="B4258" i="1"/>
  <c r="A4258" i="1"/>
  <c r="B4257" i="1"/>
  <c r="A4257" i="1"/>
  <c r="B4256" i="1"/>
  <c r="A4256" i="1"/>
  <c r="B4255" i="1"/>
  <c r="A4255" i="1"/>
  <c r="B4254" i="1"/>
  <c r="A4254" i="1"/>
  <c r="B4253" i="1"/>
  <c r="A4253" i="1"/>
  <c r="B4252" i="1"/>
  <c r="A4252" i="1"/>
  <c r="B4251" i="1"/>
  <c r="A4251" i="1"/>
  <c r="B4250" i="1"/>
  <c r="A4250" i="1"/>
  <c r="B4249" i="1"/>
  <c r="A4249" i="1"/>
  <c r="B4248" i="1"/>
  <c r="A4248" i="1"/>
  <c r="B4247" i="1"/>
  <c r="A4247" i="1"/>
  <c r="B4246" i="1"/>
  <c r="A4246" i="1"/>
  <c r="B4245" i="1"/>
  <c r="A4245" i="1"/>
  <c r="B4244" i="1"/>
  <c r="A4244" i="1"/>
  <c r="B4243" i="1"/>
  <c r="A4243" i="1"/>
  <c r="B4242" i="1"/>
  <c r="A4242" i="1"/>
  <c r="B4241" i="1"/>
  <c r="A4241" i="1"/>
  <c r="B4240" i="1"/>
  <c r="A4240" i="1"/>
  <c r="B4239" i="1"/>
  <c r="A4239" i="1"/>
  <c r="B4238" i="1"/>
  <c r="A4238" i="1"/>
  <c r="B4237" i="1"/>
  <c r="A4237" i="1"/>
  <c r="B4236" i="1"/>
  <c r="A4236" i="1"/>
  <c r="B4235" i="1"/>
  <c r="A4235" i="1"/>
  <c r="B4234" i="1"/>
  <c r="A4234" i="1"/>
  <c r="B4233" i="1"/>
  <c r="A4233" i="1"/>
  <c r="B4232" i="1"/>
  <c r="A4232" i="1"/>
  <c r="B4231" i="1"/>
  <c r="A4231" i="1"/>
  <c r="B4230" i="1"/>
  <c r="A4230" i="1"/>
  <c r="B4229" i="1"/>
  <c r="A4229" i="1"/>
  <c r="B4228" i="1"/>
  <c r="A4228" i="1"/>
  <c r="B4227" i="1"/>
  <c r="A4227" i="1"/>
  <c r="B4226" i="1"/>
  <c r="A4226" i="1"/>
  <c r="B4225" i="1"/>
  <c r="A4225" i="1"/>
  <c r="B4224" i="1"/>
  <c r="A4224" i="1"/>
  <c r="B4223" i="1"/>
  <c r="A4223" i="1"/>
  <c r="B4222" i="1"/>
  <c r="A4222" i="1"/>
  <c r="B4221" i="1"/>
  <c r="A4221" i="1"/>
  <c r="B4220" i="1"/>
  <c r="A4220" i="1"/>
  <c r="B4219" i="1"/>
  <c r="A4219" i="1"/>
  <c r="B4218" i="1"/>
  <c r="A4218" i="1"/>
  <c r="B4217" i="1"/>
  <c r="A4217" i="1"/>
  <c r="B4216" i="1"/>
  <c r="A4216" i="1"/>
  <c r="B4215" i="1"/>
  <c r="A4215" i="1"/>
  <c r="B4214" i="1"/>
  <c r="A4214" i="1"/>
  <c r="B4213" i="1"/>
  <c r="A4213" i="1"/>
  <c r="B4212" i="1"/>
  <c r="A4212" i="1"/>
  <c r="B4211" i="1"/>
  <c r="A4211" i="1"/>
  <c r="B4210" i="1"/>
  <c r="A4210" i="1"/>
  <c r="B4209" i="1"/>
  <c r="A4209" i="1"/>
  <c r="B4208" i="1"/>
  <c r="A4208" i="1"/>
  <c r="B4207" i="1"/>
  <c r="A4207" i="1"/>
  <c r="B4206" i="1"/>
  <c r="A4206" i="1"/>
  <c r="B4205" i="1"/>
  <c r="A4205" i="1"/>
  <c r="B4204" i="1"/>
  <c r="A4204" i="1"/>
  <c r="B4203" i="1"/>
  <c r="A4203" i="1"/>
  <c r="B4202" i="1"/>
  <c r="A4202" i="1"/>
  <c r="B4201" i="1"/>
  <c r="A4201" i="1"/>
  <c r="B4200" i="1"/>
  <c r="A4200" i="1"/>
  <c r="B4199" i="1"/>
  <c r="A4199" i="1"/>
  <c r="B4198" i="1"/>
  <c r="A4198" i="1"/>
  <c r="B4197" i="1"/>
  <c r="A4197" i="1"/>
  <c r="B4196" i="1"/>
  <c r="A4196" i="1"/>
  <c r="B4195" i="1"/>
  <c r="A4195" i="1"/>
  <c r="B4194" i="1"/>
  <c r="A4194" i="1"/>
  <c r="N4190" i="1"/>
  <c r="M4190" i="1"/>
  <c r="L4190" i="1"/>
  <c r="N4189" i="1"/>
  <c r="M4189" i="1"/>
  <c r="L4189" i="1"/>
  <c r="N4188" i="1"/>
  <c r="M4188" i="1"/>
  <c r="L4188" i="1"/>
  <c r="N4187" i="1"/>
  <c r="M4187" i="1"/>
  <c r="L4187" i="1"/>
  <c r="N4186" i="1"/>
  <c r="M4186" i="1"/>
  <c r="L4186" i="1"/>
  <c r="N4185" i="1"/>
  <c r="M4185" i="1"/>
  <c r="L4185" i="1"/>
  <c r="N4184" i="1"/>
  <c r="M4184" i="1"/>
  <c r="L4184" i="1"/>
  <c r="N4183" i="1"/>
  <c r="M4183" i="1"/>
  <c r="L4183" i="1"/>
  <c r="N4182" i="1"/>
  <c r="M4182" i="1"/>
  <c r="L4182" i="1"/>
  <c r="N4181" i="1"/>
  <c r="M4181" i="1"/>
  <c r="L4181" i="1"/>
  <c r="N4180" i="1"/>
  <c r="M4180" i="1"/>
  <c r="L4180" i="1"/>
  <c r="N4179" i="1"/>
  <c r="M4179" i="1"/>
  <c r="L4179" i="1"/>
  <c r="N4178" i="1"/>
  <c r="M4178" i="1"/>
  <c r="L4178" i="1"/>
  <c r="N4177" i="1"/>
  <c r="M4177" i="1"/>
  <c r="L4177" i="1"/>
  <c r="N4176" i="1"/>
  <c r="M4176" i="1"/>
  <c r="L4176" i="1"/>
  <c r="N4175" i="1"/>
  <c r="M4175" i="1"/>
  <c r="L4175" i="1"/>
  <c r="N4174" i="1"/>
  <c r="M4174" i="1"/>
  <c r="L4174" i="1"/>
  <c r="N4173" i="1"/>
  <c r="M4173" i="1"/>
  <c r="L4173" i="1"/>
  <c r="N4172" i="1"/>
  <c r="M4172" i="1"/>
  <c r="L4172" i="1"/>
  <c r="N4171" i="1"/>
  <c r="M4171" i="1"/>
  <c r="L4171" i="1"/>
  <c r="N4170" i="1"/>
  <c r="M4170" i="1"/>
  <c r="L4170" i="1"/>
  <c r="N4169" i="1"/>
  <c r="M4169" i="1"/>
  <c r="L4169" i="1"/>
  <c r="N4168" i="1"/>
  <c r="M4168" i="1"/>
  <c r="L4168" i="1"/>
  <c r="N4167" i="1"/>
  <c r="M4167" i="1"/>
  <c r="L4167" i="1"/>
  <c r="N4166" i="1"/>
  <c r="M4166" i="1"/>
  <c r="L4166" i="1"/>
  <c r="N4165" i="1"/>
  <c r="M4165" i="1"/>
  <c r="L4165" i="1"/>
  <c r="N4164" i="1"/>
  <c r="M4164" i="1"/>
  <c r="L4164" i="1"/>
  <c r="N4163" i="1"/>
  <c r="M4163" i="1"/>
  <c r="L4163" i="1"/>
  <c r="N4162" i="1"/>
  <c r="M4162" i="1"/>
  <c r="L4162" i="1"/>
  <c r="N4161" i="1"/>
  <c r="M4161" i="1"/>
  <c r="L4161" i="1"/>
  <c r="N4160" i="1"/>
  <c r="M4160" i="1"/>
  <c r="L4160" i="1"/>
  <c r="N4159" i="1"/>
  <c r="M4159" i="1"/>
  <c r="L4159" i="1"/>
  <c r="N4158" i="1"/>
  <c r="M4158" i="1"/>
  <c r="L4158" i="1"/>
  <c r="N4157" i="1"/>
  <c r="M4157" i="1"/>
  <c r="L4157" i="1"/>
  <c r="N4156" i="1"/>
  <c r="M4156" i="1"/>
  <c r="L4156" i="1"/>
  <c r="N4155" i="1"/>
  <c r="M4155" i="1"/>
  <c r="L4155" i="1"/>
  <c r="N4154" i="1"/>
  <c r="M4154" i="1"/>
  <c r="L4154" i="1"/>
  <c r="N4153" i="1"/>
  <c r="M4153" i="1"/>
  <c r="L4153" i="1"/>
  <c r="N4152" i="1"/>
  <c r="M4152" i="1"/>
  <c r="L4152" i="1"/>
  <c r="N4151" i="1"/>
  <c r="M4151" i="1"/>
  <c r="L4151" i="1"/>
  <c r="N4150" i="1"/>
  <c r="M4150" i="1"/>
  <c r="L4150" i="1"/>
  <c r="N4149" i="1"/>
  <c r="M4149" i="1"/>
  <c r="L4149" i="1"/>
  <c r="N4148" i="1"/>
  <c r="M4148" i="1"/>
  <c r="L4148" i="1"/>
  <c r="N4147" i="1"/>
  <c r="M4147" i="1"/>
  <c r="L4147" i="1"/>
  <c r="N4146" i="1"/>
  <c r="M4146" i="1"/>
  <c r="L4146" i="1"/>
  <c r="N4145" i="1"/>
  <c r="M4145" i="1"/>
  <c r="L4145" i="1"/>
  <c r="N4144" i="1"/>
  <c r="M4144" i="1"/>
  <c r="L4144" i="1"/>
  <c r="N4143" i="1"/>
  <c r="M4143" i="1"/>
  <c r="L4143" i="1"/>
  <c r="N4142" i="1"/>
  <c r="M4142" i="1"/>
  <c r="L4142" i="1"/>
  <c r="N4141" i="1"/>
  <c r="M4141" i="1"/>
  <c r="L4141" i="1"/>
  <c r="N4140" i="1"/>
  <c r="M4140" i="1"/>
  <c r="L4140" i="1"/>
  <c r="N4139" i="1"/>
  <c r="M4139" i="1"/>
  <c r="L4139" i="1"/>
  <c r="N4138" i="1"/>
  <c r="M4138" i="1"/>
  <c r="L4138" i="1"/>
  <c r="N4137" i="1"/>
  <c r="M4137" i="1"/>
  <c r="L4137" i="1"/>
  <c r="N4136" i="1"/>
  <c r="M4136" i="1"/>
  <c r="L4136" i="1"/>
  <c r="N4135" i="1"/>
  <c r="M4135" i="1"/>
  <c r="L4135" i="1"/>
  <c r="N4134" i="1"/>
  <c r="M4134" i="1"/>
  <c r="L4134" i="1"/>
  <c r="N4133" i="1"/>
  <c r="M4133" i="1"/>
  <c r="L4133" i="1"/>
  <c r="N4132" i="1"/>
  <c r="M4132" i="1"/>
  <c r="L4132" i="1"/>
  <c r="N4131" i="1"/>
  <c r="M4131" i="1"/>
  <c r="L4131" i="1"/>
  <c r="N4130" i="1"/>
  <c r="M4130" i="1"/>
  <c r="L4130" i="1"/>
  <c r="N4129" i="1"/>
  <c r="M4129" i="1"/>
  <c r="L4129" i="1"/>
  <c r="N4128" i="1"/>
  <c r="M4128" i="1"/>
  <c r="L4128" i="1"/>
  <c r="N4127" i="1"/>
  <c r="M4127" i="1"/>
  <c r="L4127" i="1"/>
  <c r="N4126" i="1"/>
  <c r="M4126" i="1"/>
  <c r="L4126" i="1"/>
  <c r="N4125" i="1"/>
  <c r="M4125" i="1"/>
  <c r="L4125" i="1"/>
  <c r="N4124" i="1"/>
  <c r="M4124" i="1"/>
  <c r="L4124" i="1"/>
  <c r="N4123" i="1"/>
  <c r="M4123" i="1"/>
  <c r="L4123" i="1"/>
  <c r="N4122" i="1"/>
  <c r="M4122" i="1"/>
  <c r="L4122" i="1"/>
  <c r="N4121" i="1"/>
  <c r="M4121" i="1"/>
  <c r="L4121" i="1"/>
  <c r="N4118" i="1"/>
  <c r="M4118" i="1"/>
  <c r="L4118" i="1"/>
  <c r="N4117" i="1"/>
  <c r="M4117" i="1"/>
  <c r="L4117" i="1"/>
  <c r="N4116" i="1"/>
  <c r="M4116" i="1"/>
  <c r="L4116" i="1"/>
  <c r="N4115" i="1"/>
  <c r="M4115" i="1"/>
  <c r="L4115" i="1"/>
  <c r="N4114" i="1"/>
  <c r="M4114" i="1"/>
  <c r="L4114" i="1"/>
  <c r="N4113" i="1"/>
  <c r="M4113" i="1"/>
  <c r="L4113" i="1"/>
  <c r="N4112" i="1"/>
  <c r="M4112" i="1"/>
  <c r="L4112" i="1"/>
  <c r="N4111" i="1"/>
  <c r="M4111" i="1"/>
  <c r="L4111" i="1"/>
  <c r="N4110" i="1"/>
  <c r="M4110" i="1"/>
  <c r="L4110" i="1"/>
  <c r="N4109" i="1"/>
  <c r="M4109" i="1"/>
  <c r="L4109" i="1"/>
  <c r="N4108" i="1"/>
  <c r="M4108" i="1"/>
  <c r="L4108" i="1"/>
  <c r="N4107" i="1"/>
  <c r="M4107" i="1"/>
  <c r="L4107" i="1"/>
  <c r="N4106" i="1"/>
  <c r="M4106" i="1"/>
  <c r="L4106" i="1"/>
  <c r="N4105" i="1"/>
  <c r="M4105" i="1"/>
  <c r="L4105" i="1"/>
  <c r="N4104" i="1"/>
  <c r="M4104" i="1"/>
  <c r="L4104" i="1"/>
  <c r="N4103" i="1"/>
  <c r="M4103" i="1"/>
  <c r="L4103" i="1"/>
  <c r="N4102" i="1"/>
  <c r="M4102" i="1"/>
  <c r="L4102" i="1"/>
  <c r="N4101" i="1"/>
  <c r="M4101" i="1"/>
  <c r="N4100" i="1"/>
  <c r="M4100" i="1"/>
  <c r="L4100" i="1"/>
  <c r="N4099" i="1"/>
  <c r="M4099" i="1"/>
  <c r="L4099" i="1"/>
  <c r="N4098" i="1"/>
  <c r="M4098" i="1"/>
  <c r="L4098" i="1"/>
  <c r="N4097" i="1"/>
  <c r="M4097" i="1"/>
  <c r="L4097" i="1"/>
  <c r="N4096" i="1"/>
  <c r="M4096" i="1"/>
  <c r="L4096" i="1"/>
  <c r="N4095" i="1"/>
  <c r="M4095" i="1"/>
  <c r="L4095" i="1"/>
  <c r="N4094" i="1"/>
  <c r="M4094" i="1"/>
  <c r="L4094" i="1"/>
  <c r="N4093" i="1"/>
  <c r="M4093" i="1"/>
  <c r="L4093" i="1"/>
  <c r="N4092" i="1"/>
  <c r="M4092" i="1"/>
  <c r="L4092" i="1"/>
  <c r="N4091" i="1"/>
  <c r="M4091" i="1"/>
  <c r="L4091" i="1"/>
  <c r="N4090" i="1"/>
  <c r="M4090" i="1"/>
  <c r="L4090" i="1"/>
  <c r="N4089" i="1"/>
  <c r="M4089" i="1"/>
  <c r="L4089" i="1"/>
  <c r="G4190" i="1"/>
  <c r="B4190" i="1"/>
  <c r="A4190" i="1"/>
  <c r="G4189" i="1"/>
  <c r="B4189" i="1"/>
  <c r="A4189" i="1"/>
  <c r="G4188" i="1"/>
  <c r="B4188" i="1"/>
  <c r="A4188" i="1"/>
  <c r="G4187" i="1"/>
  <c r="B4187" i="1"/>
  <c r="A4187" i="1"/>
  <c r="G4186" i="1"/>
  <c r="B4186" i="1"/>
  <c r="A4186" i="1"/>
  <c r="G4185" i="1"/>
  <c r="B4185" i="1"/>
  <c r="A4185" i="1"/>
  <c r="G4184" i="1"/>
  <c r="B4184" i="1"/>
  <c r="A4184" i="1"/>
  <c r="G4183" i="1"/>
  <c r="B4183" i="1"/>
  <c r="A4183" i="1"/>
  <c r="G4182" i="1"/>
  <c r="B4182" i="1"/>
  <c r="A4182" i="1"/>
  <c r="G4181" i="1"/>
  <c r="B4181" i="1"/>
  <c r="A4181" i="1"/>
  <c r="G4180" i="1"/>
  <c r="B4180" i="1"/>
  <c r="A4180" i="1"/>
  <c r="G4179" i="1"/>
  <c r="B4179" i="1"/>
  <c r="A4179" i="1"/>
  <c r="G4178" i="1"/>
  <c r="B4178" i="1"/>
  <c r="A4178" i="1"/>
  <c r="G4177" i="1"/>
  <c r="B4177" i="1"/>
  <c r="A4177" i="1"/>
  <c r="G4176" i="1"/>
  <c r="B4176" i="1"/>
  <c r="A4176" i="1"/>
  <c r="G4175" i="1"/>
  <c r="B4175" i="1"/>
  <c r="A4175" i="1"/>
  <c r="G4174" i="1"/>
  <c r="B4174" i="1"/>
  <c r="A4174" i="1"/>
  <c r="G4173" i="1"/>
  <c r="B4173" i="1"/>
  <c r="A4173" i="1"/>
  <c r="G4172" i="1"/>
  <c r="B4172" i="1"/>
  <c r="A4172" i="1"/>
  <c r="G4171" i="1"/>
  <c r="B4171" i="1"/>
  <c r="A4171" i="1"/>
  <c r="G4170" i="1"/>
  <c r="B4170" i="1"/>
  <c r="A4170" i="1"/>
  <c r="G4169" i="1"/>
  <c r="B4169" i="1"/>
  <c r="A4169" i="1"/>
  <c r="G4168" i="1"/>
  <c r="B4168" i="1"/>
  <c r="A4168" i="1"/>
  <c r="G4167" i="1"/>
  <c r="B4167" i="1"/>
  <c r="A4167" i="1"/>
  <c r="G4166" i="1"/>
  <c r="B4166" i="1"/>
  <c r="A4166" i="1"/>
  <c r="G4165" i="1"/>
  <c r="B4165" i="1"/>
  <c r="A4165" i="1"/>
  <c r="G4164" i="1"/>
  <c r="B4164" i="1"/>
  <c r="A4164" i="1"/>
  <c r="G4163" i="1"/>
  <c r="B4163" i="1"/>
  <c r="A4163" i="1"/>
  <c r="G4162" i="1"/>
  <c r="B4162" i="1"/>
  <c r="A4162" i="1"/>
  <c r="G4161" i="1"/>
  <c r="B4161" i="1"/>
  <c r="A4161" i="1"/>
  <c r="G4160" i="1"/>
  <c r="B4160" i="1"/>
  <c r="A4160" i="1"/>
  <c r="G4159" i="1"/>
  <c r="B4159" i="1"/>
  <c r="A4159" i="1"/>
  <c r="G4158" i="1"/>
  <c r="B4158" i="1"/>
  <c r="A4158" i="1"/>
  <c r="G4157" i="1"/>
  <c r="B4157" i="1"/>
  <c r="A4157" i="1"/>
  <c r="G4156" i="1"/>
  <c r="B4156" i="1"/>
  <c r="A4156" i="1"/>
  <c r="G4155" i="1"/>
  <c r="B4155" i="1"/>
  <c r="A4155" i="1"/>
  <c r="G4154" i="1"/>
  <c r="B4154" i="1"/>
  <c r="A4154" i="1"/>
  <c r="G4153" i="1"/>
  <c r="B4153" i="1"/>
  <c r="A4153" i="1"/>
  <c r="G4152" i="1"/>
  <c r="B4152" i="1"/>
  <c r="A4152" i="1"/>
  <c r="G4151" i="1"/>
  <c r="B4151" i="1"/>
  <c r="A4151" i="1"/>
  <c r="G4150" i="1"/>
  <c r="B4150" i="1"/>
  <c r="A4150" i="1"/>
  <c r="G4149" i="1"/>
  <c r="B4149" i="1"/>
  <c r="A4149" i="1"/>
  <c r="G4148" i="1"/>
  <c r="B4148" i="1"/>
  <c r="A4148" i="1"/>
  <c r="G4147" i="1"/>
  <c r="B4147" i="1"/>
  <c r="A4147" i="1"/>
  <c r="G4146" i="1"/>
  <c r="B4146" i="1"/>
  <c r="A4146" i="1"/>
  <c r="G4145" i="1"/>
  <c r="B4145" i="1"/>
  <c r="A4145" i="1"/>
  <c r="G4144" i="1"/>
  <c r="B4144" i="1"/>
  <c r="A4144" i="1"/>
  <c r="G4143" i="1"/>
  <c r="B4143" i="1"/>
  <c r="A4143" i="1"/>
  <c r="G4142" i="1"/>
  <c r="B4142" i="1"/>
  <c r="A4142" i="1"/>
  <c r="G4141" i="1"/>
  <c r="B4141" i="1"/>
  <c r="A4141" i="1"/>
  <c r="G4140" i="1"/>
  <c r="B4140" i="1"/>
  <c r="A4140" i="1"/>
  <c r="G4139" i="1"/>
  <c r="B4139" i="1"/>
  <c r="A4139" i="1"/>
  <c r="G4138" i="1"/>
  <c r="B4138" i="1"/>
  <c r="A4138" i="1"/>
  <c r="G4137" i="1"/>
  <c r="B4137" i="1"/>
  <c r="A4137" i="1"/>
  <c r="G4136" i="1"/>
  <c r="B4136" i="1"/>
  <c r="A4136" i="1"/>
  <c r="G4135" i="1"/>
  <c r="B4135" i="1"/>
  <c r="A4135" i="1"/>
  <c r="G4134" i="1"/>
  <c r="B4134" i="1"/>
  <c r="A4134" i="1"/>
  <c r="G4133" i="1"/>
  <c r="B4133" i="1"/>
  <c r="A4133" i="1"/>
  <c r="G4132" i="1"/>
  <c r="B4132" i="1"/>
  <c r="A4132" i="1"/>
  <c r="G4131" i="1"/>
  <c r="B4131" i="1"/>
  <c r="A4131" i="1"/>
  <c r="G4130" i="1"/>
  <c r="B4130" i="1"/>
  <c r="A4130" i="1"/>
  <c r="G4129" i="1"/>
  <c r="B4129" i="1"/>
  <c r="A4129" i="1"/>
  <c r="G4128" i="1"/>
  <c r="B4128" i="1"/>
  <c r="A4128" i="1"/>
  <c r="G4127" i="1"/>
  <c r="B4127" i="1"/>
  <c r="A4127" i="1"/>
  <c r="G4126" i="1"/>
  <c r="B4126" i="1"/>
  <c r="A4126" i="1"/>
  <c r="G4125" i="1"/>
  <c r="B4125" i="1"/>
  <c r="A4125" i="1"/>
  <c r="G4124" i="1"/>
  <c r="B4124" i="1"/>
  <c r="A4124" i="1"/>
  <c r="G4123" i="1"/>
  <c r="B4123" i="1"/>
  <c r="A4123" i="1"/>
  <c r="G4122" i="1"/>
  <c r="B4122" i="1"/>
  <c r="A4122" i="1"/>
  <c r="G4121" i="1"/>
  <c r="B4121" i="1"/>
  <c r="A4121" i="1"/>
  <c r="G4118" i="1"/>
  <c r="B4118" i="1"/>
  <c r="A4118" i="1"/>
  <c r="G4117" i="1"/>
  <c r="B4117" i="1"/>
  <c r="A4117" i="1"/>
  <c r="G4116" i="1"/>
  <c r="B4116" i="1"/>
  <c r="A4116" i="1"/>
  <c r="G4115" i="1"/>
  <c r="B4115" i="1"/>
  <c r="A4115" i="1"/>
  <c r="G4114" i="1"/>
  <c r="B4114" i="1"/>
  <c r="A4114" i="1"/>
  <c r="G4113" i="1"/>
  <c r="B4113" i="1"/>
  <c r="A4113" i="1"/>
  <c r="G4112" i="1"/>
  <c r="B4112" i="1"/>
  <c r="A4112" i="1"/>
  <c r="G4111" i="1"/>
  <c r="B4111" i="1"/>
  <c r="A4111" i="1"/>
  <c r="G4110" i="1"/>
  <c r="B4110" i="1"/>
  <c r="A4110" i="1"/>
  <c r="G4109" i="1"/>
  <c r="B4109" i="1"/>
  <c r="A4109" i="1"/>
  <c r="G4108" i="1"/>
  <c r="B4108" i="1"/>
  <c r="A4108" i="1"/>
  <c r="G4107" i="1"/>
  <c r="B4107" i="1"/>
  <c r="A4107" i="1"/>
  <c r="G4106" i="1"/>
  <c r="B4106" i="1"/>
  <c r="A4106" i="1"/>
  <c r="G4105" i="1"/>
  <c r="B4105" i="1"/>
  <c r="A4105" i="1"/>
  <c r="G4104" i="1"/>
  <c r="B4104" i="1"/>
  <c r="A4104" i="1"/>
  <c r="G4103" i="1"/>
  <c r="B4103" i="1"/>
  <c r="A4103" i="1"/>
  <c r="G4102" i="1"/>
  <c r="B4102" i="1"/>
  <c r="A4102" i="1"/>
  <c r="G4101" i="1"/>
  <c r="B4101" i="1"/>
  <c r="A4101" i="1"/>
  <c r="G4100" i="1"/>
  <c r="B4100" i="1"/>
  <c r="A4100" i="1"/>
  <c r="G4099" i="1"/>
  <c r="B4099" i="1"/>
  <c r="A4099" i="1"/>
  <c r="G4098" i="1"/>
  <c r="B4098" i="1"/>
  <c r="A4098" i="1"/>
  <c r="G4097" i="1"/>
  <c r="B4097" i="1"/>
  <c r="A4097" i="1"/>
  <c r="G4096" i="1"/>
  <c r="B4096" i="1"/>
  <c r="A4096" i="1"/>
  <c r="G4095" i="1"/>
  <c r="B4095" i="1"/>
  <c r="A4095" i="1"/>
  <c r="G4094" i="1"/>
  <c r="B4094" i="1"/>
  <c r="A4094" i="1"/>
  <c r="G4093" i="1"/>
  <c r="B4093" i="1"/>
  <c r="A4093" i="1"/>
  <c r="G4092" i="1"/>
  <c r="B4092" i="1"/>
  <c r="A4092" i="1"/>
  <c r="G4091" i="1"/>
  <c r="B4091" i="1"/>
  <c r="A4091" i="1"/>
  <c r="G4090" i="1"/>
  <c r="B4090" i="1"/>
  <c r="A4090" i="1"/>
  <c r="G4089" i="1"/>
  <c r="B4089" i="1"/>
  <c r="A4089" i="1"/>
  <c r="B6268" i="6"/>
  <c r="B6269" i="6"/>
  <c r="B6270" i="6"/>
  <c r="B6271" i="6"/>
  <c r="B6272" i="6"/>
  <c r="B6273" i="6"/>
  <c r="B6274" i="6"/>
  <c r="B6275" i="6"/>
  <c r="B6276" i="6"/>
  <c r="B6277" i="6"/>
  <c r="B6278" i="6"/>
  <c r="B6279" i="6"/>
  <c r="B6280" i="6"/>
  <c r="B6281" i="6"/>
  <c r="B6282" i="6"/>
  <c r="B6283" i="6"/>
  <c r="B6284" i="6"/>
  <c r="B6285" i="6"/>
  <c r="B6286" i="6"/>
  <c r="B6287" i="6"/>
  <c r="B6288" i="6"/>
  <c r="B6289" i="6"/>
  <c r="B6290" i="6"/>
  <c r="B6291" i="6"/>
  <c r="B6292" i="6"/>
  <c r="B6293" i="6"/>
  <c r="B6294" i="6"/>
  <c r="B6295" i="6"/>
  <c r="B6296" i="6"/>
  <c r="B6297" i="6"/>
  <c r="B6298" i="6"/>
  <c r="B6299" i="6"/>
  <c r="B6300" i="6"/>
  <c r="B6301" i="6"/>
  <c r="B6302" i="6"/>
  <c r="B6303" i="6"/>
  <c r="B6304" i="6"/>
  <c r="B6305" i="6"/>
  <c r="B6306" i="6"/>
  <c r="B6307" i="6"/>
  <c r="B6308" i="6"/>
  <c r="B6309" i="6"/>
  <c r="B6310" i="6"/>
  <c r="B6311" i="6"/>
  <c r="B6312" i="6"/>
  <c r="B6313" i="6"/>
  <c r="B6314" i="6"/>
  <c r="B6315" i="6"/>
  <c r="B6316" i="6"/>
  <c r="B6317" i="6"/>
  <c r="B6318" i="6"/>
  <c r="B6319" i="6"/>
  <c r="B6320" i="6"/>
  <c r="B6321" i="6"/>
  <c r="B6322" i="6"/>
  <c r="B6323" i="6"/>
  <c r="B6324" i="6"/>
  <c r="B6325" i="6"/>
  <c r="B6326" i="6"/>
  <c r="B6327" i="6"/>
  <c r="B6328" i="6"/>
  <c r="B6329" i="6"/>
  <c r="B6330" i="6"/>
  <c r="B6331" i="6"/>
  <c r="B6332" i="6"/>
  <c r="B6333" i="6"/>
  <c r="B6334" i="6"/>
  <c r="B6335" i="6"/>
  <c r="B6336" i="6"/>
  <c r="B6337" i="6"/>
  <c r="B6338" i="6"/>
  <c r="B6339" i="6"/>
  <c r="B6340" i="6"/>
  <c r="B6341" i="6"/>
  <c r="B6342" i="6"/>
  <c r="B6343" i="6"/>
  <c r="B6344" i="6"/>
  <c r="B6345" i="6"/>
  <c r="B6346" i="6"/>
  <c r="B6347" i="6"/>
  <c r="B6348" i="6"/>
  <c r="B6349" i="6"/>
  <c r="B6350" i="6"/>
  <c r="B6351" i="6"/>
  <c r="B6352" i="6"/>
  <c r="B6353" i="6"/>
  <c r="B6354" i="6"/>
  <c r="B6355" i="6"/>
  <c r="B6356" i="6"/>
  <c r="B6357" i="6"/>
  <c r="B6358" i="6"/>
  <c r="B6359" i="6"/>
  <c r="B6360" i="6"/>
  <c r="B6361" i="6"/>
  <c r="B6362" i="6"/>
  <c r="B6363" i="6"/>
  <c r="B6364" i="6"/>
  <c r="B6365" i="6"/>
  <c r="B6366" i="6"/>
  <c r="B6367" i="6"/>
  <c r="B6368" i="6"/>
  <c r="B6369" i="6"/>
  <c r="B6370" i="6"/>
  <c r="B6371" i="6"/>
  <c r="B6372" i="6"/>
  <c r="B6373" i="6"/>
  <c r="B6374" i="6"/>
  <c r="B6375" i="6"/>
  <c r="B6376" i="6"/>
  <c r="B6377" i="6"/>
  <c r="B6378" i="6"/>
  <c r="B6379" i="6"/>
  <c r="B6380" i="6"/>
  <c r="B6381" i="6"/>
  <c r="B6382" i="6"/>
  <c r="B6383" i="6"/>
  <c r="B6384" i="6"/>
  <c r="B6385" i="6"/>
  <c r="B6386" i="6"/>
  <c r="B6387" i="6"/>
  <c r="B6388" i="6"/>
  <c r="B6389" i="6"/>
  <c r="B6390" i="6"/>
  <c r="B6391" i="6"/>
  <c r="B6392" i="6"/>
  <c r="B6393" i="6"/>
  <c r="B6394" i="6"/>
  <c r="B6395" i="6"/>
  <c r="B6396" i="6"/>
  <c r="B6397" i="6"/>
  <c r="B6398" i="6"/>
  <c r="B6399" i="6"/>
  <c r="B6400" i="6"/>
  <c r="B6401" i="6"/>
  <c r="B6402" i="6"/>
  <c r="B6403" i="6"/>
  <c r="B6404" i="6"/>
  <c r="B6405" i="6"/>
  <c r="B6406" i="6"/>
  <c r="B6407" i="6"/>
  <c r="B6408" i="6"/>
  <c r="B6409" i="6"/>
  <c r="B6410" i="6"/>
  <c r="B6411" i="6"/>
  <c r="B6412" i="6"/>
  <c r="B6413" i="6"/>
  <c r="B6414" i="6"/>
  <c r="B6415" i="6"/>
  <c r="B6416" i="6"/>
  <c r="B6417" i="6"/>
  <c r="B6418" i="6"/>
  <c r="B6419" i="6"/>
  <c r="B6420" i="6"/>
  <c r="B6421" i="6"/>
  <c r="B6422" i="6"/>
  <c r="B6423" i="6"/>
  <c r="B6424" i="6"/>
  <c r="B6425" i="6"/>
  <c r="B6426" i="6"/>
  <c r="B6427" i="6"/>
  <c r="B6428" i="6"/>
  <c r="B6429" i="6"/>
  <c r="B6430" i="6"/>
  <c r="B6431" i="6"/>
  <c r="B6432" i="6"/>
  <c r="B6433" i="6"/>
  <c r="B6434" i="6"/>
  <c r="B6435" i="6"/>
  <c r="B6436" i="6"/>
  <c r="B6437" i="6"/>
  <c r="B6438" i="6"/>
  <c r="B6439" i="6"/>
  <c r="B6440" i="6"/>
  <c r="B6441" i="6"/>
  <c r="B6442" i="6"/>
  <c r="B6443" i="6"/>
  <c r="B6444" i="6"/>
  <c r="B6445" i="6"/>
  <c r="B6446" i="6"/>
  <c r="B6447" i="6"/>
  <c r="B6448" i="6"/>
  <c r="B6449" i="6"/>
  <c r="N4086" i="1"/>
  <c r="M4086" i="1"/>
  <c r="L4086" i="1"/>
  <c r="N4085" i="1"/>
  <c r="M4085" i="1"/>
  <c r="L4085" i="1"/>
  <c r="N4084" i="1"/>
  <c r="M4084" i="1"/>
  <c r="L4084" i="1"/>
  <c r="N4083" i="1"/>
  <c r="M4083" i="1"/>
  <c r="L4083" i="1"/>
  <c r="N4082" i="1"/>
  <c r="M4082" i="1"/>
  <c r="L4082" i="1"/>
  <c r="N4081" i="1"/>
  <c r="M4081" i="1"/>
  <c r="L4081" i="1"/>
  <c r="N4080" i="1"/>
  <c r="M4080" i="1"/>
  <c r="L4080" i="1"/>
  <c r="N4079" i="1"/>
  <c r="M4079" i="1"/>
  <c r="L4079" i="1"/>
  <c r="N4036" i="1"/>
  <c r="M4036" i="1"/>
  <c r="L4036" i="1"/>
  <c r="N4035" i="1"/>
  <c r="M4035" i="1"/>
  <c r="L4035" i="1"/>
  <c r="N4034" i="1"/>
  <c r="M4034" i="1"/>
  <c r="L4034" i="1"/>
  <c r="N4033" i="1"/>
  <c r="M4033" i="1"/>
  <c r="L4033" i="1"/>
  <c r="N4032" i="1"/>
  <c r="M4032" i="1"/>
  <c r="L4032" i="1"/>
  <c r="N4031" i="1"/>
  <c r="M4031" i="1"/>
  <c r="L4031" i="1"/>
  <c r="N4030" i="1"/>
  <c r="M4030" i="1"/>
  <c r="L4030" i="1"/>
  <c r="N4029" i="1"/>
  <c r="M4029" i="1"/>
  <c r="L4029" i="1"/>
  <c r="N4028" i="1"/>
  <c r="M4028" i="1"/>
  <c r="L4028" i="1"/>
  <c r="N4027" i="1"/>
  <c r="M4027" i="1"/>
  <c r="L4027" i="1"/>
  <c r="N4026" i="1"/>
  <c r="M4026" i="1"/>
  <c r="L4026" i="1"/>
  <c r="N4025" i="1"/>
  <c r="M4025" i="1"/>
  <c r="L4025" i="1"/>
  <c r="N4024" i="1"/>
  <c r="M4024" i="1"/>
  <c r="L4024" i="1"/>
  <c r="N4023" i="1"/>
  <c r="M4023" i="1"/>
  <c r="L4023" i="1"/>
  <c r="N4022" i="1"/>
  <c r="M4022" i="1"/>
  <c r="L4022" i="1"/>
  <c r="N4021" i="1"/>
  <c r="M4021" i="1"/>
  <c r="L4021" i="1"/>
  <c r="N4020" i="1"/>
  <c r="M4020" i="1"/>
  <c r="L4020" i="1"/>
  <c r="N4019" i="1"/>
  <c r="M4019" i="1"/>
  <c r="L4019" i="1"/>
  <c r="N4018" i="1"/>
  <c r="M4018" i="1"/>
  <c r="L4018" i="1"/>
  <c r="N4017" i="1"/>
  <c r="M4017" i="1"/>
  <c r="L4017" i="1"/>
  <c r="N4016" i="1"/>
  <c r="M4016" i="1"/>
  <c r="L4016" i="1"/>
  <c r="N4015" i="1"/>
  <c r="M4015" i="1"/>
  <c r="L4015" i="1"/>
  <c r="N4014" i="1"/>
  <c r="M4014" i="1"/>
  <c r="L4014" i="1"/>
  <c r="N4013" i="1"/>
  <c r="M4013" i="1"/>
  <c r="L4013" i="1"/>
  <c r="N4012" i="1"/>
  <c r="M4012" i="1"/>
  <c r="L4012" i="1"/>
  <c r="N4011" i="1"/>
  <c r="M4011" i="1"/>
  <c r="L4011" i="1"/>
  <c r="N4010" i="1"/>
  <c r="M4010" i="1"/>
  <c r="L4010" i="1"/>
  <c r="N4009" i="1"/>
  <c r="M4009" i="1"/>
  <c r="L4009" i="1"/>
  <c r="N4008" i="1"/>
  <c r="M4008" i="1"/>
  <c r="L4008" i="1"/>
  <c r="N4007" i="1"/>
  <c r="M4007" i="1"/>
  <c r="L4007" i="1"/>
  <c r="N4006" i="1"/>
  <c r="M4006" i="1"/>
  <c r="L4006" i="1"/>
  <c r="N4005" i="1"/>
  <c r="M4005" i="1"/>
  <c r="L4005" i="1"/>
  <c r="N4004" i="1"/>
  <c r="M4004" i="1"/>
  <c r="L4004" i="1"/>
  <c r="N4003" i="1"/>
  <c r="L4003" i="1"/>
  <c r="N4002" i="1"/>
  <c r="L4002" i="1"/>
  <c r="N4001" i="1"/>
  <c r="M4001" i="1"/>
  <c r="L4001" i="1"/>
  <c r="N4000" i="1"/>
  <c r="M4000" i="1"/>
  <c r="L4000" i="1"/>
  <c r="N3999" i="1"/>
  <c r="M3999" i="1"/>
  <c r="L3999" i="1"/>
  <c r="N3998" i="1"/>
  <c r="M3998" i="1"/>
  <c r="L3998" i="1"/>
  <c r="N3997" i="1"/>
  <c r="M3997" i="1"/>
  <c r="L3997" i="1"/>
  <c r="N3996" i="1"/>
  <c r="M3996" i="1"/>
  <c r="L3996" i="1"/>
  <c r="N3995" i="1"/>
  <c r="M3995" i="1"/>
  <c r="L3995" i="1"/>
  <c r="N3994" i="1"/>
  <c r="M3994" i="1"/>
  <c r="L3994" i="1"/>
  <c r="N3993" i="1"/>
  <c r="M3993" i="1"/>
  <c r="L3993" i="1"/>
  <c r="N3992" i="1"/>
  <c r="M3992" i="1"/>
  <c r="L3992" i="1"/>
  <c r="N3991" i="1"/>
  <c r="M3991" i="1"/>
  <c r="L3991" i="1"/>
  <c r="N3990" i="1"/>
  <c r="M3990" i="1"/>
  <c r="L3990" i="1"/>
  <c r="N3989" i="1"/>
  <c r="M3989" i="1"/>
  <c r="L3989" i="1"/>
  <c r="N3988" i="1"/>
  <c r="M3988" i="1"/>
  <c r="L3988" i="1"/>
  <c r="N3987" i="1"/>
  <c r="M3987" i="1"/>
  <c r="L3987" i="1"/>
  <c r="N3986" i="1"/>
  <c r="M3986" i="1"/>
  <c r="L3986" i="1"/>
  <c r="N3985" i="1"/>
  <c r="M3985" i="1"/>
  <c r="L3985" i="1"/>
  <c r="N3984" i="1"/>
  <c r="M3984" i="1"/>
  <c r="L3984" i="1"/>
  <c r="N3983" i="1"/>
  <c r="M3983" i="1"/>
  <c r="L3983" i="1"/>
  <c r="N3982" i="1"/>
  <c r="M3982" i="1"/>
  <c r="L3982" i="1"/>
  <c r="N3981" i="1"/>
  <c r="M3981" i="1"/>
  <c r="L3981" i="1"/>
  <c r="G4086" i="1"/>
  <c r="D4086" i="1"/>
  <c r="B4086" i="1"/>
  <c r="A4086" i="1"/>
  <c r="G4085" i="1"/>
  <c r="D4085" i="1"/>
  <c r="B4085" i="1"/>
  <c r="A4085" i="1"/>
  <c r="G4084" i="1"/>
  <c r="D4084" i="1"/>
  <c r="B4084" i="1"/>
  <c r="A4084" i="1"/>
  <c r="G4083" i="1"/>
  <c r="D4083" i="1"/>
  <c r="B4083" i="1"/>
  <c r="A4083" i="1"/>
  <c r="G4082" i="1"/>
  <c r="D4082" i="1"/>
  <c r="B4082" i="1"/>
  <c r="A4082" i="1"/>
  <c r="G4081" i="1"/>
  <c r="D4081" i="1"/>
  <c r="B4081" i="1"/>
  <c r="A4081" i="1"/>
  <c r="G4080" i="1"/>
  <c r="D4080" i="1"/>
  <c r="B4080" i="1"/>
  <c r="A4080" i="1"/>
  <c r="G4079" i="1"/>
  <c r="D4079" i="1"/>
  <c r="B4079" i="1"/>
  <c r="A4079" i="1"/>
  <c r="G4036" i="1"/>
  <c r="D4036" i="1"/>
  <c r="B4036" i="1"/>
  <c r="A4036" i="1"/>
  <c r="G4035" i="1"/>
  <c r="D4035" i="1"/>
  <c r="B4035" i="1"/>
  <c r="A4035" i="1"/>
  <c r="G4034" i="1"/>
  <c r="D4034" i="1"/>
  <c r="B4034" i="1"/>
  <c r="A4034" i="1"/>
  <c r="G4033" i="1"/>
  <c r="D4033" i="1"/>
  <c r="B4033" i="1"/>
  <c r="A4033" i="1"/>
  <c r="G4032" i="1"/>
  <c r="D4032" i="1"/>
  <c r="B4032" i="1"/>
  <c r="A4032" i="1"/>
  <c r="G4031" i="1"/>
  <c r="D4031" i="1"/>
  <c r="B4031" i="1"/>
  <c r="A4031" i="1"/>
  <c r="G4030" i="1"/>
  <c r="D4030" i="1"/>
  <c r="B4030" i="1"/>
  <c r="A4030" i="1"/>
  <c r="G4029" i="1"/>
  <c r="D4029" i="1"/>
  <c r="B4029" i="1"/>
  <c r="A4029" i="1"/>
  <c r="G4028" i="1"/>
  <c r="D4028" i="1"/>
  <c r="B4028" i="1"/>
  <c r="A4028" i="1"/>
  <c r="G4027" i="1"/>
  <c r="D4027" i="1"/>
  <c r="B4027" i="1"/>
  <c r="A4027" i="1"/>
  <c r="G4026" i="1"/>
  <c r="D4026" i="1"/>
  <c r="B4026" i="1"/>
  <c r="A4026" i="1"/>
  <c r="G4025" i="1"/>
  <c r="D4025" i="1"/>
  <c r="B4025" i="1"/>
  <c r="A4025" i="1"/>
  <c r="G4024" i="1"/>
  <c r="D4024" i="1"/>
  <c r="B4024" i="1"/>
  <c r="A4024" i="1"/>
  <c r="G4023" i="1"/>
  <c r="D4023" i="1"/>
  <c r="B4023" i="1"/>
  <c r="A4023" i="1"/>
  <c r="G4022" i="1"/>
  <c r="D4022" i="1"/>
  <c r="B4022" i="1"/>
  <c r="A4022" i="1"/>
  <c r="G4021" i="1"/>
  <c r="D4021" i="1"/>
  <c r="B4021" i="1"/>
  <c r="A4021" i="1"/>
  <c r="G4020" i="1"/>
  <c r="D4020" i="1"/>
  <c r="B4020" i="1"/>
  <c r="A4020" i="1"/>
  <c r="G4019" i="1"/>
  <c r="D4019" i="1"/>
  <c r="B4019" i="1"/>
  <c r="A4019" i="1"/>
  <c r="G4018" i="1"/>
  <c r="D4018" i="1"/>
  <c r="B4018" i="1"/>
  <c r="A4018" i="1"/>
  <c r="G4017" i="1"/>
  <c r="D4017" i="1"/>
  <c r="B4017" i="1"/>
  <c r="A4017" i="1"/>
  <c r="G4016" i="1"/>
  <c r="D4016" i="1"/>
  <c r="B4016" i="1"/>
  <c r="A4016" i="1"/>
  <c r="G4015" i="1"/>
  <c r="D4015" i="1"/>
  <c r="B4015" i="1"/>
  <c r="A4015" i="1"/>
  <c r="G4014" i="1"/>
  <c r="D4014" i="1"/>
  <c r="B4014" i="1"/>
  <c r="A4014" i="1"/>
  <c r="G4013" i="1"/>
  <c r="D4013" i="1"/>
  <c r="B4013" i="1"/>
  <c r="A4013" i="1"/>
  <c r="G4012" i="1"/>
  <c r="D4012" i="1"/>
  <c r="B4012" i="1"/>
  <c r="A4012" i="1"/>
  <c r="G4011" i="1"/>
  <c r="D4011" i="1"/>
  <c r="B4011" i="1"/>
  <c r="A4011" i="1"/>
  <c r="G4010" i="1"/>
  <c r="D4010" i="1"/>
  <c r="B4010" i="1"/>
  <c r="A4010" i="1"/>
  <c r="G4009" i="1"/>
  <c r="D4009" i="1"/>
  <c r="B4009" i="1"/>
  <c r="A4009" i="1"/>
  <c r="G4008" i="1"/>
  <c r="D4008" i="1"/>
  <c r="B4008" i="1"/>
  <c r="A4008" i="1"/>
  <c r="G4007" i="1"/>
  <c r="D4007" i="1"/>
  <c r="B4007" i="1"/>
  <c r="A4007" i="1"/>
  <c r="G4006" i="1"/>
  <c r="D4006" i="1"/>
  <c r="B4006" i="1"/>
  <c r="A4006" i="1"/>
  <c r="G4005" i="1"/>
  <c r="D4005" i="1"/>
  <c r="B4005" i="1"/>
  <c r="A4005" i="1"/>
  <c r="G4004" i="1"/>
  <c r="D4004" i="1"/>
  <c r="B4004" i="1"/>
  <c r="A4004" i="1"/>
  <c r="G4003" i="1"/>
  <c r="D4003" i="1"/>
  <c r="B4003" i="1"/>
  <c r="A4003" i="1"/>
  <c r="G4002" i="1"/>
  <c r="D4002" i="1"/>
  <c r="B4002" i="1"/>
  <c r="A4002" i="1"/>
  <c r="G4001" i="1"/>
  <c r="D4001" i="1"/>
  <c r="B4001" i="1"/>
  <c r="A4001" i="1"/>
  <c r="G4000" i="1"/>
  <c r="D4000" i="1"/>
  <c r="B4000" i="1"/>
  <c r="A4000" i="1"/>
  <c r="G3999" i="1"/>
  <c r="D3999" i="1"/>
  <c r="B3999" i="1"/>
  <c r="A3999" i="1"/>
  <c r="G3998" i="1"/>
  <c r="D3998" i="1"/>
  <c r="B3998" i="1"/>
  <c r="A3998" i="1"/>
  <c r="G3997" i="1"/>
  <c r="D3997" i="1"/>
  <c r="B3997" i="1"/>
  <c r="A3997" i="1"/>
  <c r="G3996" i="1"/>
  <c r="D3996" i="1"/>
  <c r="B3996" i="1"/>
  <c r="A3996" i="1"/>
  <c r="G3995" i="1"/>
  <c r="D3995" i="1"/>
  <c r="B3995" i="1"/>
  <c r="A3995" i="1"/>
  <c r="G3994" i="1"/>
  <c r="D3994" i="1"/>
  <c r="B3994" i="1"/>
  <c r="A3994" i="1"/>
  <c r="G3993" i="1"/>
  <c r="D3993" i="1"/>
  <c r="B3993" i="1"/>
  <c r="A3993" i="1"/>
  <c r="G3992" i="1"/>
  <c r="D3992" i="1"/>
  <c r="B3992" i="1"/>
  <c r="A3992" i="1"/>
  <c r="G3991" i="1"/>
  <c r="D3991" i="1"/>
  <c r="B3991" i="1"/>
  <c r="A3991" i="1"/>
  <c r="G3990" i="1"/>
  <c r="D3990" i="1"/>
  <c r="B3990" i="1"/>
  <c r="A3990" i="1"/>
  <c r="G3989" i="1"/>
  <c r="D3989" i="1"/>
  <c r="B3989" i="1"/>
  <c r="A3989" i="1"/>
  <c r="G3988" i="1"/>
  <c r="D3988" i="1"/>
  <c r="B3988" i="1"/>
  <c r="A3988" i="1"/>
  <c r="G3987" i="1"/>
  <c r="D3987" i="1"/>
  <c r="B3987" i="1"/>
  <c r="A3987" i="1"/>
  <c r="G3986" i="1"/>
  <c r="D3986" i="1"/>
  <c r="B3986" i="1"/>
  <c r="A3986" i="1"/>
  <c r="G3985" i="1"/>
  <c r="D3985" i="1"/>
  <c r="B3985" i="1"/>
  <c r="A3985" i="1"/>
  <c r="G3984" i="1"/>
  <c r="D3984" i="1"/>
  <c r="B3984" i="1"/>
  <c r="A3984" i="1"/>
  <c r="G3983" i="1"/>
  <c r="D3983" i="1"/>
  <c r="B3983" i="1"/>
  <c r="A3983" i="1"/>
  <c r="G3982" i="1"/>
  <c r="D3982" i="1"/>
  <c r="B3982" i="1"/>
  <c r="A3982" i="1"/>
  <c r="G3981" i="1"/>
  <c r="D3981" i="1"/>
  <c r="B3981" i="1"/>
  <c r="A3981" i="1"/>
  <c r="J50" i="1"/>
  <c r="J54" i="1"/>
  <c r="J55" i="1"/>
  <c r="J61" i="1"/>
  <c r="J62" i="1"/>
  <c r="J99" i="1"/>
  <c r="J102" i="1"/>
  <c r="J104" i="1"/>
  <c r="J107" i="1"/>
  <c r="J108" i="1"/>
  <c r="J179" i="1"/>
  <c r="J181" i="1"/>
  <c r="J182" i="1"/>
  <c r="J190" i="1"/>
  <c r="J191" i="1"/>
  <c r="J200" i="1"/>
  <c r="J205" i="1"/>
  <c r="J208" i="1"/>
  <c r="J212" i="1"/>
  <c r="J275" i="1"/>
  <c r="J276" i="1"/>
  <c r="J278" i="1"/>
  <c r="J328" i="1"/>
  <c r="J348" i="1"/>
  <c r="J354" i="1"/>
  <c r="J397" i="1"/>
  <c r="J545" i="1"/>
  <c r="J638" i="1"/>
  <c r="J1695" i="1"/>
  <c r="J1786" i="1"/>
  <c r="J1787" i="1"/>
  <c r="J1862" i="1"/>
  <c r="J1873" i="1"/>
  <c r="J1962" i="1"/>
  <c r="J1968" i="1"/>
  <c r="J1969" i="1"/>
  <c r="J1970" i="1"/>
  <c r="J1975" i="1"/>
  <c r="B5627" i="6"/>
  <c r="B5628" i="6"/>
  <c r="B5629" i="6"/>
  <c r="B5630" i="6"/>
  <c r="B5631" i="6"/>
  <c r="B5632" i="6"/>
  <c r="B5633" i="6"/>
  <c r="B5634" i="6"/>
  <c r="B5635" i="6"/>
  <c r="B5636" i="6"/>
  <c r="B5637" i="6"/>
  <c r="B5638" i="6"/>
  <c r="B5639" i="6"/>
  <c r="B5640" i="6"/>
  <c r="B5641" i="6"/>
  <c r="B5642" i="6"/>
  <c r="B5643" i="6"/>
  <c r="B5644" i="6"/>
  <c r="B5645" i="6"/>
  <c r="B5646" i="6"/>
  <c r="B5647" i="6"/>
  <c r="B5648" i="6"/>
  <c r="B5649" i="6"/>
  <c r="B5650" i="6"/>
  <c r="B5651" i="6"/>
  <c r="B5652" i="6"/>
  <c r="B5653" i="6"/>
  <c r="B5654" i="6"/>
  <c r="B5655" i="6"/>
  <c r="B5656" i="6"/>
  <c r="B5657" i="6"/>
  <c r="B5658" i="6"/>
  <c r="B5659" i="6"/>
  <c r="B5660" i="6"/>
  <c r="B5661" i="6"/>
  <c r="B5662" i="6"/>
  <c r="B5663" i="6"/>
  <c r="B5664" i="6"/>
  <c r="B5665" i="6"/>
  <c r="B5666" i="6"/>
  <c r="B5667" i="6"/>
  <c r="B5668" i="6"/>
  <c r="B5669" i="6"/>
  <c r="B5670" i="6"/>
  <c r="B5671" i="6"/>
  <c r="B5672" i="6"/>
  <c r="B5673" i="6"/>
  <c r="B5674" i="6"/>
  <c r="B5675" i="6"/>
  <c r="B5676" i="6"/>
  <c r="B5677" i="6"/>
  <c r="B5678" i="6"/>
  <c r="B5679" i="6"/>
  <c r="B5680" i="6"/>
  <c r="B5681" i="6"/>
  <c r="B5682" i="6"/>
  <c r="B5683" i="6"/>
  <c r="B5684" i="6"/>
  <c r="B5685" i="6"/>
  <c r="B5686" i="6"/>
  <c r="B5687" i="6"/>
  <c r="B5688" i="6"/>
  <c r="B5689" i="6"/>
  <c r="B5690" i="6"/>
  <c r="B5691" i="6"/>
  <c r="B5692" i="6"/>
  <c r="B5693" i="6"/>
  <c r="B5694" i="6"/>
  <c r="B5695" i="6"/>
  <c r="B5696" i="6"/>
  <c r="B5697" i="6"/>
  <c r="B5698" i="6"/>
  <c r="B5699" i="6"/>
  <c r="B5700" i="6"/>
  <c r="B5701" i="6"/>
  <c r="B5702" i="6"/>
  <c r="B5703" i="6"/>
  <c r="B5704" i="6"/>
  <c r="B5705" i="6"/>
  <c r="B5706" i="6"/>
  <c r="B5707" i="6"/>
  <c r="B5708" i="6"/>
  <c r="B5709" i="6"/>
  <c r="B5710" i="6"/>
  <c r="B5711" i="6"/>
  <c r="B5712" i="6"/>
  <c r="B5713" i="6"/>
  <c r="B5714" i="6"/>
  <c r="B5715" i="6"/>
  <c r="B5716" i="6"/>
  <c r="B5717" i="6"/>
  <c r="B5718" i="6"/>
  <c r="B5719" i="6"/>
  <c r="B5720" i="6"/>
  <c r="B5721" i="6"/>
  <c r="B5722" i="6"/>
  <c r="B5723" i="6"/>
  <c r="B5724" i="6"/>
  <c r="B5725" i="6"/>
  <c r="B5726" i="6"/>
  <c r="B5727" i="6"/>
  <c r="B5728" i="6"/>
  <c r="B5729" i="6"/>
  <c r="B5730" i="6"/>
  <c r="B5731" i="6"/>
  <c r="B5732" i="6"/>
  <c r="B5733" i="6"/>
  <c r="B5734" i="6"/>
  <c r="B5735" i="6"/>
  <c r="B5736" i="6"/>
  <c r="B5737" i="6"/>
  <c r="B5738" i="6"/>
  <c r="B5739" i="6"/>
  <c r="B5740" i="6"/>
  <c r="B5741" i="6"/>
  <c r="B5742" i="6"/>
  <c r="B5743" i="6"/>
  <c r="B5744" i="6"/>
  <c r="B5745" i="6"/>
  <c r="B5746" i="6"/>
  <c r="B5747" i="6"/>
  <c r="B5748" i="6"/>
  <c r="B5749" i="6"/>
  <c r="B5750" i="6"/>
  <c r="B5751" i="6"/>
  <c r="B5752" i="6"/>
  <c r="B5753" i="6"/>
  <c r="B5754" i="6"/>
  <c r="B5755" i="6"/>
  <c r="B5756" i="6"/>
  <c r="B5757" i="6"/>
  <c r="B5758" i="6"/>
  <c r="B5759" i="6"/>
  <c r="B5760" i="6"/>
  <c r="B5761" i="6"/>
  <c r="B5762" i="6"/>
  <c r="B5763" i="6"/>
  <c r="B5764" i="6"/>
  <c r="B5765" i="6"/>
  <c r="B5766" i="6"/>
  <c r="B5767" i="6"/>
  <c r="B5768" i="6"/>
  <c r="B5769" i="6"/>
  <c r="B5770" i="6"/>
  <c r="B5771" i="6"/>
  <c r="B5772" i="6"/>
  <c r="B5773" i="6"/>
  <c r="B5774" i="6"/>
  <c r="B5775" i="6"/>
  <c r="B5776" i="6"/>
  <c r="B5777" i="6"/>
  <c r="B5778" i="6"/>
  <c r="B5779" i="6"/>
  <c r="B5780" i="6"/>
  <c r="B5781" i="6"/>
  <c r="B5782" i="6"/>
  <c r="B5783" i="6"/>
  <c r="B5784" i="6"/>
  <c r="B5785" i="6"/>
  <c r="B5786" i="6"/>
  <c r="B5787" i="6"/>
  <c r="B5788" i="6"/>
  <c r="B5789" i="6"/>
  <c r="B5790" i="6"/>
  <c r="B5791" i="6"/>
  <c r="B5792" i="6"/>
  <c r="B5793" i="6"/>
  <c r="B5794" i="6"/>
  <c r="B5795" i="6"/>
  <c r="B5796" i="6"/>
  <c r="B5797" i="6"/>
  <c r="B5798" i="6"/>
  <c r="B5799" i="6"/>
  <c r="B5800" i="6"/>
  <c r="B5801" i="6"/>
  <c r="B5802" i="6"/>
  <c r="B5803" i="6"/>
  <c r="B5804" i="6"/>
  <c r="B5805" i="6"/>
  <c r="B5806" i="6"/>
  <c r="B5807" i="6"/>
  <c r="B5808" i="6"/>
  <c r="B5809" i="6"/>
  <c r="B5810" i="6"/>
  <c r="B5811" i="6"/>
  <c r="B5812" i="6"/>
  <c r="B5813" i="6"/>
  <c r="B5814" i="6"/>
  <c r="B5815" i="6"/>
  <c r="B5816" i="6"/>
  <c r="B5817" i="6"/>
  <c r="B5818" i="6"/>
  <c r="B5819" i="6"/>
  <c r="B5820" i="6"/>
  <c r="B5821" i="6"/>
  <c r="B5822" i="6"/>
  <c r="B5823" i="6"/>
  <c r="B5824" i="6"/>
  <c r="B5825" i="6"/>
  <c r="B5826" i="6"/>
  <c r="B5827" i="6"/>
  <c r="B5828" i="6"/>
  <c r="B5829" i="6"/>
  <c r="B5830" i="6"/>
  <c r="B5831" i="6"/>
  <c r="B5832" i="6"/>
  <c r="B5833" i="6"/>
  <c r="B5834" i="6"/>
  <c r="B5835" i="6"/>
  <c r="B5836" i="6"/>
  <c r="B5837" i="6"/>
  <c r="B5838" i="6"/>
  <c r="B5839" i="6"/>
  <c r="B5840" i="6"/>
  <c r="B5841" i="6"/>
  <c r="B5842" i="6"/>
  <c r="B5843" i="6"/>
  <c r="B5844" i="6"/>
  <c r="B5845" i="6"/>
  <c r="B5846" i="6"/>
  <c r="B5847" i="6"/>
  <c r="B5848" i="6"/>
  <c r="B5849" i="6"/>
  <c r="B5850" i="6"/>
  <c r="B5851" i="6"/>
  <c r="B5852" i="6"/>
  <c r="B5853" i="6"/>
  <c r="B5854" i="6"/>
  <c r="B5855" i="6"/>
  <c r="B5856" i="6"/>
  <c r="B5857" i="6"/>
  <c r="B5858" i="6"/>
  <c r="B5859" i="6"/>
  <c r="B5860" i="6"/>
  <c r="B5861" i="6"/>
  <c r="B5862" i="6"/>
  <c r="B5863" i="6"/>
  <c r="B5864" i="6"/>
  <c r="B5865" i="6"/>
  <c r="B5866" i="6"/>
  <c r="B5867" i="6"/>
  <c r="B5868" i="6"/>
  <c r="B5869" i="6"/>
  <c r="B5870" i="6"/>
  <c r="B5871" i="6"/>
  <c r="B5872" i="6"/>
  <c r="B5873" i="6"/>
  <c r="B5874" i="6"/>
  <c r="B5875" i="6"/>
  <c r="B5876" i="6"/>
  <c r="B5877" i="6"/>
  <c r="B5878" i="6"/>
  <c r="B5879" i="6"/>
  <c r="B5880" i="6"/>
  <c r="B5881" i="6"/>
  <c r="B5882" i="6"/>
  <c r="B5883" i="6"/>
  <c r="B5884" i="6"/>
  <c r="B5885" i="6"/>
  <c r="B5886" i="6"/>
  <c r="B5887" i="6"/>
  <c r="B5888" i="6"/>
  <c r="B5889" i="6"/>
  <c r="B5890" i="6"/>
  <c r="B5891" i="6"/>
  <c r="B5892" i="6"/>
  <c r="B5893" i="6"/>
  <c r="B5894" i="6"/>
  <c r="B5895" i="6"/>
  <c r="B5896" i="6"/>
  <c r="B5897" i="6"/>
  <c r="B5898" i="6"/>
  <c r="B5899" i="6"/>
  <c r="B5900" i="6"/>
  <c r="B5901" i="6"/>
  <c r="B5902" i="6"/>
  <c r="B5903" i="6"/>
  <c r="B5904" i="6"/>
  <c r="B5905" i="6"/>
  <c r="B5906" i="6"/>
  <c r="B5907" i="6"/>
  <c r="B5908" i="6"/>
  <c r="B5909" i="6"/>
  <c r="B5910" i="6"/>
  <c r="B5911" i="6"/>
  <c r="B5912" i="6"/>
  <c r="B5913" i="6"/>
  <c r="B5914" i="6"/>
  <c r="B5915" i="6"/>
  <c r="B5916" i="6"/>
  <c r="B5917" i="6"/>
  <c r="B5918" i="6"/>
  <c r="B5919" i="6"/>
  <c r="B5920" i="6"/>
  <c r="B5921" i="6"/>
  <c r="B5922" i="6"/>
  <c r="B5923" i="6"/>
  <c r="B5924" i="6"/>
  <c r="B5925" i="6"/>
  <c r="B5926" i="6"/>
  <c r="B5927" i="6"/>
  <c r="B5928" i="6"/>
  <c r="B5929" i="6"/>
  <c r="B5930" i="6"/>
  <c r="B5931" i="6"/>
  <c r="B5932" i="6"/>
  <c r="B5933" i="6"/>
  <c r="B5934" i="6"/>
  <c r="B5935" i="6"/>
  <c r="B5936" i="6"/>
  <c r="B5937" i="6"/>
  <c r="B5938" i="6"/>
  <c r="B5939" i="6"/>
  <c r="B5940" i="6"/>
  <c r="B5941" i="6"/>
  <c r="B5942" i="6"/>
  <c r="B5943" i="6"/>
  <c r="B5944" i="6"/>
  <c r="B5945" i="6"/>
  <c r="B5946" i="6"/>
  <c r="B5947" i="6"/>
  <c r="B5948" i="6"/>
  <c r="B5949" i="6"/>
  <c r="B5950" i="6"/>
  <c r="B5951" i="6"/>
  <c r="B5952" i="6"/>
  <c r="B5953" i="6"/>
  <c r="B5954" i="6"/>
  <c r="B5955" i="6"/>
  <c r="B5956" i="6"/>
  <c r="B5957" i="6"/>
  <c r="B5958" i="6"/>
  <c r="B5959" i="6"/>
  <c r="B5960" i="6"/>
  <c r="B5961" i="6"/>
  <c r="B5962" i="6"/>
  <c r="B5963" i="6"/>
  <c r="B5964" i="6"/>
  <c r="B5965" i="6"/>
  <c r="B5966" i="6"/>
  <c r="B5967" i="6"/>
  <c r="B5968" i="6"/>
  <c r="B5969" i="6"/>
  <c r="B5970" i="6"/>
  <c r="B5971" i="6"/>
  <c r="B5972" i="6"/>
  <c r="B5973" i="6"/>
  <c r="B5974" i="6"/>
  <c r="B5975" i="6"/>
  <c r="B5976" i="6"/>
  <c r="B5977" i="6"/>
  <c r="B5978" i="6"/>
  <c r="B5979" i="6"/>
  <c r="B5980" i="6"/>
  <c r="B5981" i="6"/>
  <c r="B5982" i="6"/>
  <c r="B5983" i="6"/>
  <c r="B5984" i="6"/>
  <c r="B5985" i="6"/>
  <c r="B5986" i="6"/>
  <c r="B5987" i="6"/>
  <c r="B5988" i="6"/>
  <c r="B5989" i="6"/>
  <c r="B5990" i="6"/>
  <c r="B5991" i="6"/>
  <c r="B5992" i="6"/>
  <c r="B5993" i="6"/>
  <c r="B5994" i="6"/>
  <c r="B5995" i="6"/>
  <c r="B5996" i="6"/>
  <c r="B5997" i="6"/>
  <c r="B5998" i="6"/>
  <c r="B5999" i="6"/>
  <c r="B6000" i="6"/>
  <c r="B6001" i="6"/>
  <c r="B6002" i="6"/>
  <c r="B6003" i="6"/>
  <c r="B6004" i="6"/>
  <c r="B6005" i="6"/>
  <c r="B6006" i="6"/>
  <c r="B6007" i="6"/>
  <c r="B6008" i="6"/>
  <c r="B6009" i="6"/>
  <c r="B6010" i="6"/>
  <c r="B6011" i="6"/>
  <c r="B6012" i="6"/>
  <c r="B6013" i="6"/>
  <c r="B6014" i="6"/>
  <c r="B6015" i="6"/>
  <c r="B6016" i="6"/>
  <c r="B6017" i="6"/>
  <c r="B6018" i="6"/>
  <c r="B6019" i="6"/>
  <c r="B6020" i="6"/>
  <c r="B6021" i="6"/>
  <c r="B6022" i="6"/>
  <c r="B6023" i="6"/>
  <c r="B6024" i="6"/>
  <c r="B6025" i="6"/>
  <c r="B6026" i="6"/>
  <c r="B6027" i="6"/>
  <c r="B6028" i="6"/>
  <c r="B6029" i="6"/>
  <c r="B6030" i="6"/>
  <c r="B6031" i="6"/>
  <c r="B6032" i="6"/>
  <c r="B6033" i="6"/>
  <c r="B6034" i="6"/>
  <c r="B6035" i="6"/>
  <c r="B6036" i="6"/>
  <c r="B6037" i="6"/>
  <c r="B6038" i="6"/>
  <c r="B6039" i="6"/>
  <c r="B6040" i="6"/>
  <c r="B6041" i="6"/>
  <c r="B6042" i="6"/>
  <c r="B6043" i="6"/>
  <c r="B6044" i="6"/>
  <c r="B6045" i="6"/>
  <c r="B6046" i="6"/>
  <c r="B6047" i="6"/>
  <c r="B6048" i="6"/>
  <c r="B6049" i="6"/>
  <c r="B6050" i="6"/>
  <c r="B6051" i="6"/>
  <c r="B6052" i="6"/>
  <c r="B6053" i="6"/>
  <c r="B6054" i="6"/>
  <c r="B6055" i="6"/>
  <c r="B6056" i="6"/>
  <c r="B6057" i="6"/>
  <c r="B6058" i="6"/>
  <c r="B6059" i="6"/>
  <c r="B6060" i="6"/>
  <c r="B6061" i="6"/>
  <c r="B6062" i="6"/>
  <c r="B6063" i="6"/>
  <c r="B6064" i="6"/>
  <c r="B6065" i="6"/>
  <c r="B6066" i="6"/>
  <c r="B6067" i="6"/>
  <c r="B6068" i="6"/>
  <c r="B6069" i="6"/>
  <c r="B6070" i="6"/>
  <c r="B6071" i="6"/>
  <c r="B6072" i="6"/>
  <c r="B6073" i="6"/>
  <c r="B6074" i="6"/>
  <c r="B6075" i="6"/>
  <c r="B6076" i="6"/>
  <c r="B6077" i="6"/>
  <c r="B6078" i="6"/>
  <c r="B6079" i="6"/>
  <c r="B6080" i="6"/>
  <c r="B6081" i="6"/>
  <c r="B6082" i="6"/>
  <c r="B6083" i="6"/>
  <c r="B6084" i="6"/>
  <c r="B6085" i="6"/>
  <c r="B6086" i="6"/>
  <c r="B6087" i="6"/>
  <c r="B6088" i="6"/>
  <c r="B6089" i="6"/>
  <c r="B6090" i="6"/>
  <c r="B6091" i="6"/>
  <c r="B6092" i="6"/>
  <c r="B6093" i="6"/>
  <c r="B6094" i="6"/>
  <c r="B6095" i="6"/>
  <c r="B6096" i="6"/>
  <c r="B6097" i="6"/>
  <c r="B6098" i="6"/>
  <c r="B6099" i="6"/>
  <c r="B6100" i="6"/>
  <c r="B6101" i="6"/>
  <c r="B6102" i="6"/>
  <c r="B6103" i="6"/>
  <c r="B6104" i="6"/>
  <c r="B6105" i="6"/>
  <c r="B6106" i="6"/>
  <c r="B6107" i="6"/>
  <c r="B6108" i="6"/>
  <c r="B6109" i="6"/>
  <c r="B6110" i="6"/>
  <c r="B6111" i="6"/>
  <c r="B6112" i="6"/>
  <c r="B6113" i="6"/>
  <c r="B6114" i="6"/>
  <c r="B6115" i="6"/>
  <c r="B6116" i="6"/>
  <c r="B6117" i="6"/>
  <c r="B6118" i="6"/>
  <c r="B6119" i="6"/>
  <c r="B6120" i="6"/>
  <c r="B6121" i="6"/>
  <c r="B6122" i="6"/>
  <c r="B6123" i="6"/>
  <c r="B6124" i="6"/>
  <c r="B6125" i="6"/>
  <c r="B6126" i="6"/>
  <c r="B6127" i="6"/>
  <c r="B6128" i="6"/>
  <c r="B6129" i="6"/>
  <c r="B6130" i="6"/>
  <c r="B6131" i="6"/>
  <c r="B6132" i="6"/>
  <c r="B6133" i="6"/>
  <c r="B6134" i="6"/>
  <c r="B6135" i="6"/>
  <c r="B6136" i="6"/>
  <c r="B6137" i="6"/>
  <c r="B6138" i="6"/>
  <c r="B6139" i="6"/>
  <c r="B6140" i="6"/>
  <c r="B6141" i="6"/>
  <c r="B6142" i="6"/>
  <c r="B6143" i="6"/>
  <c r="B6144" i="6"/>
  <c r="B6145" i="6"/>
  <c r="B6146" i="6"/>
  <c r="B6147" i="6"/>
  <c r="B6148" i="6"/>
  <c r="B6149" i="6"/>
  <c r="B6150" i="6"/>
  <c r="B6151" i="6"/>
  <c r="B6152" i="6"/>
  <c r="B6153" i="6"/>
  <c r="B6154" i="6"/>
  <c r="B6155" i="6"/>
  <c r="B6156" i="6"/>
  <c r="B6157" i="6"/>
  <c r="B6158" i="6"/>
  <c r="B6159" i="6"/>
  <c r="B6160" i="6"/>
  <c r="B6161" i="6"/>
  <c r="B6162" i="6"/>
  <c r="B6163" i="6"/>
  <c r="B6164" i="6"/>
  <c r="B6165" i="6"/>
  <c r="B6166" i="6"/>
  <c r="B6167" i="6"/>
  <c r="B6168" i="6"/>
  <c r="B6169" i="6"/>
  <c r="B6170" i="6"/>
  <c r="B6171" i="6"/>
  <c r="B6172" i="6"/>
  <c r="B6173" i="6"/>
  <c r="B6174" i="6"/>
  <c r="B6175" i="6"/>
  <c r="B6176" i="6"/>
  <c r="B6177" i="6"/>
  <c r="B6178" i="6"/>
  <c r="B6179" i="6"/>
  <c r="B6180" i="6"/>
  <c r="B6181" i="6"/>
  <c r="B6182" i="6"/>
  <c r="B6183" i="6"/>
  <c r="B6184" i="6"/>
  <c r="B6185" i="6"/>
  <c r="B6186" i="6"/>
  <c r="B6187" i="6"/>
  <c r="B6188" i="6"/>
  <c r="B6189" i="6"/>
  <c r="B6190" i="6"/>
  <c r="B6191" i="6"/>
  <c r="B6192" i="6"/>
  <c r="B6193" i="6"/>
  <c r="B6194" i="6"/>
  <c r="B6195" i="6"/>
  <c r="B6196" i="6"/>
  <c r="B6197" i="6"/>
  <c r="B6198" i="6"/>
  <c r="B6199" i="6"/>
  <c r="B6200" i="6"/>
  <c r="B6201" i="6"/>
  <c r="B6202" i="6"/>
  <c r="B6203" i="6"/>
  <c r="B6204" i="6"/>
  <c r="B6205" i="6"/>
  <c r="B6206" i="6"/>
  <c r="B6207" i="6"/>
  <c r="B6208" i="6"/>
  <c r="B6209" i="6"/>
  <c r="B6210" i="6"/>
  <c r="B6211" i="6"/>
  <c r="B6212" i="6"/>
  <c r="B6213" i="6"/>
  <c r="B6214" i="6"/>
  <c r="B6215" i="6"/>
  <c r="B6216" i="6"/>
  <c r="B6217" i="6"/>
  <c r="B6218" i="6"/>
  <c r="B6219" i="6"/>
  <c r="B6220" i="6"/>
  <c r="B6221" i="6"/>
  <c r="B6222" i="6"/>
  <c r="B6223" i="6"/>
  <c r="B6224" i="6"/>
  <c r="B6225" i="6"/>
  <c r="B6226" i="6"/>
  <c r="B6227" i="6"/>
  <c r="B6228" i="6"/>
  <c r="B6229" i="6"/>
  <c r="B6230" i="6"/>
  <c r="B6231" i="6"/>
  <c r="B6232" i="6"/>
  <c r="B6233" i="6"/>
  <c r="B6234" i="6"/>
  <c r="B6235" i="6"/>
  <c r="B6236" i="6"/>
  <c r="B6237" i="6"/>
  <c r="B6238" i="6"/>
  <c r="B6239" i="6"/>
  <c r="B6240" i="6"/>
  <c r="B6241" i="6"/>
  <c r="B6242" i="6"/>
  <c r="B6243" i="6"/>
  <c r="B6244" i="6"/>
  <c r="B6245" i="6"/>
  <c r="B6246" i="6"/>
  <c r="B6247" i="6"/>
  <c r="B6248" i="6"/>
  <c r="B6249" i="6"/>
  <c r="B6250" i="6"/>
  <c r="B6251" i="6"/>
  <c r="B6252" i="6"/>
  <c r="B6253" i="6"/>
  <c r="B6254" i="6"/>
  <c r="B6255" i="6"/>
  <c r="B6256" i="6"/>
  <c r="B6257" i="6"/>
  <c r="B6258" i="6"/>
  <c r="B6259" i="6"/>
  <c r="B6260" i="6"/>
  <c r="B6261" i="6"/>
  <c r="B6262" i="6"/>
  <c r="B6263" i="6"/>
  <c r="B6264" i="6"/>
  <c r="B6265" i="6"/>
  <c r="B6266" i="6"/>
  <c r="B6267" i="6"/>
  <c r="A3" i="8"/>
  <c r="A4" i="8"/>
  <c r="A5" i="8"/>
  <c r="A6" i="8"/>
  <c r="A7" i="8"/>
  <c r="A8" i="8"/>
  <c r="A9" i="8"/>
  <c r="A10" i="8"/>
  <c r="A11" i="8"/>
  <c r="A12" i="8"/>
  <c r="A13" i="8"/>
  <c r="A14" i="8"/>
  <c r="A15" i="8"/>
  <c r="A16" i="8"/>
  <c r="A17" i="8"/>
  <c r="A18" i="8"/>
  <c r="A19" i="8"/>
  <c r="A20" i="8"/>
  <c r="A21" i="8"/>
  <c r="A22" i="8"/>
  <c r="A23" i="8"/>
  <c r="A24" i="8"/>
  <c r="A25" i="8"/>
  <c r="A26" i="8"/>
  <c r="A27" i="8"/>
  <c r="A28" i="8"/>
  <c r="A29" i="8"/>
  <c r="A30" i="8"/>
  <c r="A31" i="8"/>
  <c r="A32" i="8"/>
  <c r="A33" i="8"/>
  <c r="A34" i="8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A89" i="8"/>
  <c r="A90" i="8"/>
  <c r="A91" i="8"/>
  <c r="A92" i="8"/>
  <c r="A93" i="8"/>
  <c r="A94" i="8"/>
  <c r="A95" i="8"/>
  <c r="A96" i="8"/>
  <c r="A97" i="8"/>
  <c r="A98" i="8"/>
  <c r="A99" i="8"/>
  <c r="A100" i="8"/>
  <c r="A101" i="8"/>
  <c r="A102" i="8"/>
  <c r="A103" i="8"/>
  <c r="A104" i="8"/>
  <c r="A105" i="8"/>
  <c r="A106" i="8"/>
  <c r="A107" i="8"/>
  <c r="A108" i="8"/>
  <c r="A109" i="8"/>
  <c r="A110" i="8"/>
  <c r="A111" i="8"/>
  <c r="A112" i="8"/>
  <c r="A113" i="8"/>
  <c r="A114" i="8"/>
  <c r="A115" i="8"/>
  <c r="A116" i="8"/>
  <c r="A117" i="8"/>
  <c r="A118" i="8"/>
  <c r="A119" i="8"/>
  <c r="A120" i="8"/>
  <c r="A121" i="8"/>
  <c r="A122" i="8"/>
  <c r="A123" i="8"/>
  <c r="A124" i="8"/>
  <c r="A125" i="8"/>
  <c r="A126" i="8"/>
  <c r="A127" i="8"/>
  <c r="A128" i="8"/>
  <c r="A129" i="8"/>
  <c r="A130" i="8"/>
  <c r="A131" i="8"/>
  <c r="A132" i="8"/>
  <c r="A133" i="8"/>
  <c r="A134" i="8"/>
  <c r="A135" i="8"/>
  <c r="A136" i="8"/>
  <c r="A137" i="8"/>
  <c r="A138" i="8"/>
  <c r="A139" i="8"/>
  <c r="A140" i="8"/>
  <c r="A141" i="8"/>
  <c r="A142" i="8"/>
  <c r="A143" i="8"/>
  <c r="A144" i="8"/>
  <c r="A145" i="8"/>
  <c r="A146" i="8"/>
  <c r="A147" i="8"/>
  <c r="A148" i="8"/>
  <c r="A149" i="8"/>
  <c r="A150" i="8"/>
  <c r="A151" i="8"/>
  <c r="A152" i="8"/>
  <c r="A153" i="8"/>
  <c r="A154" i="8"/>
  <c r="A155" i="8"/>
  <c r="A156" i="8"/>
  <c r="A157" i="8"/>
  <c r="A158" i="8"/>
  <c r="A159" i="8"/>
  <c r="A160" i="8"/>
  <c r="A161" i="8"/>
  <c r="A162" i="8"/>
  <c r="A163" i="8"/>
  <c r="A164" i="8"/>
  <c r="A165" i="8"/>
  <c r="A166" i="8"/>
  <c r="A167" i="8"/>
  <c r="A168" i="8"/>
  <c r="A169" i="8"/>
  <c r="A170" i="8"/>
  <c r="A171" i="8"/>
  <c r="A172" i="8"/>
  <c r="A173" i="8"/>
  <c r="A174" i="8"/>
  <c r="A175" i="8"/>
  <c r="A176" i="8"/>
  <c r="A177" i="8"/>
  <c r="A178" i="8"/>
  <c r="A179" i="8"/>
  <c r="A180" i="8"/>
  <c r="A181" i="8"/>
  <c r="A182" i="8"/>
  <c r="A183" i="8"/>
  <c r="A184" i="8"/>
  <c r="A185" i="8"/>
  <c r="A186" i="8"/>
  <c r="A187" i="8"/>
  <c r="A188" i="8"/>
  <c r="A189" i="8"/>
  <c r="A190" i="8"/>
  <c r="A191" i="8"/>
  <c r="A192" i="8"/>
  <c r="A193" i="8"/>
  <c r="A194" i="8"/>
  <c r="A195" i="8"/>
  <c r="A196" i="8"/>
  <c r="A197" i="8"/>
  <c r="A198" i="8"/>
  <c r="A199" i="8"/>
  <c r="A200" i="8"/>
  <c r="A201" i="8"/>
  <c r="A202" i="8"/>
  <c r="A203" i="8"/>
  <c r="A204" i="8"/>
  <c r="A205" i="8"/>
  <c r="A206" i="8"/>
  <c r="A207" i="8"/>
  <c r="A208" i="8"/>
  <c r="A209" i="8"/>
  <c r="A210" i="8"/>
  <c r="A211" i="8"/>
  <c r="A212" i="8"/>
  <c r="A213" i="8"/>
  <c r="A214" i="8"/>
  <c r="A215" i="8"/>
  <c r="A216" i="8"/>
  <c r="A217" i="8"/>
  <c r="A218" i="8"/>
  <c r="A219" i="8"/>
  <c r="A220" i="8"/>
  <c r="A221" i="8"/>
  <c r="A222" i="8"/>
  <c r="A223" i="8"/>
  <c r="A224" i="8"/>
  <c r="A225" i="8"/>
  <c r="A226" i="8"/>
  <c r="A227" i="8"/>
  <c r="A228" i="8"/>
  <c r="A229" i="8"/>
  <c r="A230" i="8"/>
  <c r="A231" i="8"/>
  <c r="A232" i="8"/>
  <c r="A233" i="8"/>
  <c r="A234" i="8"/>
  <c r="A235" i="8"/>
  <c r="A236" i="8"/>
  <c r="A237" i="8"/>
  <c r="A238" i="8"/>
  <c r="A239" i="8"/>
  <c r="A240" i="8"/>
  <c r="A241" i="8"/>
  <c r="A242" i="8"/>
  <c r="A243" i="8"/>
  <c r="A244" i="8"/>
  <c r="A245" i="8"/>
  <c r="A246" i="8"/>
  <c r="A247" i="8"/>
  <c r="A248" i="8"/>
  <c r="A249" i="8"/>
  <c r="A250" i="8"/>
  <c r="A251" i="8"/>
  <c r="A252" i="8"/>
  <c r="A253" i="8"/>
  <c r="A254" i="8"/>
  <c r="A255" i="8"/>
  <c r="A256" i="8"/>
  <c r="A257" i="8"/>
  <c r="A258" i="8"/>
  <c r="A259" i="8"/>
  <c r="A260" i="8"/>
  <c r="A261" i="8"/>
  <c r="A262" i="8"/>
  <c r="A263" i="8"/>
  <c r="A264" i="8"/>
  <c r="A265" i="8"/>
  <c r="A266" i="8"/>
  <c r="A267" i="8"/>
  <c r="A268" i="8"/>
  <c r="A269" i="8"/>
  <c r="A270" i="8"/>
  <c r="A271" i="8"/>
  <c r="A272" i="8"/>
  <c r="A273" i="8"/>
  <c r="A274" i="8"/>
  <c r="A275" i="8"/>
  <c r="A276" i="8"/>
  <c r="A277" i="8"/>
  <c r="A278" i="8"/>
  <c r="A279" i="8"/>
  <c r="A280" i="8"/>
  <c r="A281" i="8"/>
  <c r="A282" i="8"/>
  <c r="A283" i="8"/>
  <c r="A284" i="8"/>
  <c r="A285" i="8"/>
  <c r="A286" i="8"/>
  <c r="A287" i="8"/>
  <c r="A288" i="8"/>
  <c r="A289" i="8"/>
  <c r="A290" i="8"/>
  <c r="A291" i="8"/>
  <c r="A292" i="8"/>
  <c r="A293" i="8"/>
  <c r="A294" i="8"/>
  <c r="A295" i="8"/>
  <c r="A296" i="8"/>
  <c r="A297" i="8"/>
  <c r="A298" i="8"/>
  <c r="A299" i="8"/>
  <c r="A300" i="8"/>
  <c r="A301" i="8"/>
  <c r="A302" i="8"/>
  <c r="A303" i="8"/>
  <c r="A304" i="8"/>
  <c r="A305" i="8"/>
  <c r="A306" i="8"/>
  <c r="A307" i="8"/>
  <c r="A308" i="8"/>
  <c r="A309" i="8"/>
  <c r="A310" i="8"/>
  <c r="A311" i="8"/>
  <c r="A312" i="8"/>
  <c r="A313" i="8"/>
  <c r="A314" i="8"/>
  <c r="A315" i="8"/>
  <c r="A316" i="8"/>
  <c r="A317" i="8"/>
  <c r="A318" i="8"/>
  <c r="A319" i="8"/>
  <c r="A320" i="8"/>
  <c r="A321" i="8"/>
  <c r="A322" i="8"/>
  <c r="A323" i="8"/>
  <c r="A324" i="8"/>
  <c r="A325" i="8"/>
  <c r="A326" i="8"/>
  <c r="A327" i="8"/>
  <c r="A328" i="8"/>
  <c r="A329" i="8"/>
  <c r="A330" i="8"/>
  <c r="A331" i="8"/>
  <c r="A332" i="8"/>
  <c r="A333" i="8"/>
  <c r="A334" i="8"/>
  <c r="A335" i="8"/>
  <c r="A336" i="8"/>
  <c r="A337" i="8"/>
  <c r="A338" i="8"/>
  <c r="A339" i="8"/>
  <c r="A340" i="8"/>
  <c r="A341" i="8"/>
  <c r="A342" i="8"/>
  <c r="A343" i="8"/>
  <c r="A344" i="8"/>
  <c r="A345" i="8"/>
  <c r="A346" i="8"/>
  <c r="A347" i="8"/>
  <c r="A348" i="8"/>
  <c r="A349" i="8"/>
  <c r="A350" i="8"/>
  <c r="A351" i="8"/>
  <c r="A352" i="8"/>
  <c r="A353" i="8"/>
  <c r="A354" i="8"/>
  <c r="A355" i="8"/>
  <c r="A356" i="8"/>
  <c r="A357" i="8"/>
  <c r="A358" i="8"/>
  <c r="A359" i="8"/>
  <c r="A360" i="8"/>
  <c r="A361" i="8"/>
  <c r="A362" i="8"/>
  <c r="A363" i="8"/>
  <c r="A364" i="8"/>
  <c r="A365" i="8"/>
  <c r="A366" i="8"/>
  <c r="A367" i="8"/>
  <c r="A368" i="8"/>
  <c r="A369" i="8"/>
  <c r="A370" i="8"/>
  <c r="A371" i="8"/>
  <c r="A372" i="8"/>
  <c r="A373" i="8"/>
  <c r="A374" i="8"/>
  <c r="A375" i="8"/>
  <c r="A376" i="8"/>
  <c r="A377" i="8"/>
  <c r="A378" i="8"/>
  <c r="A379" i="8"/>
  <c r="A380" i="8"/>
  <c r="A381" i="8"/>
  <c r="A382" i="8"/>
  <c r="A383" i="8"/>
  <c r="A384" i="8"/>
  <c r="A385" i="8"/>
  <c r="A386" i="8"/>
  <c r="A387" i="8"/>
  <c r="A388" i="8"/>
  <c r="A389" i="8"/>
  <c r="A390" i="8"/>
  <c r="A391" i="8"/>
  <c r="A392" i="8"/>
  <c r="A393" i="8"/>
  <c r="A394" i="8"/>
  <c r="A395" i="8"/>
  <c r="A396" i="8"/>
  <c r="A397" i="8"/>
  <c r="A398" i="8"/>
  <c r="A399" i="8"/>
  <c r="A400" i="8"/>
  <c r="A401" i="8"/>
  <c r="A402" i="8"/>
  <c r="A403" i="8"/>
  <c r="A404" i="8"/>
  <c r="A405" i="8"/>
  <c r="A406" i="8"/>
  <c r="A407" i="8"/>
  <c r="A408" i="8"/>
  <c r="A409" i="8"/>
  <c r="A410" i="8"/>
  <c r="A411" i="8"/>
  <c r="A412" i="8"/>
  <c r="A413" i="8"/>
  <c r="A414" i="8"/>
  <c r="A415" i="8"/>
  <c r="A416" i="8"/>
  <c r="A417" i="8"/>
  <c r="A418" i="8"/>
  <c r="A419" i="8"/>
  <c r="A420" i="8"/>
  <c r="A421" i="8"/>
  <c r="A422" i="8"/>
  <c r="A423" i="8"/>
  <c r="A424" i="8"/>
  <c r="A425" i="8"/>
  <c r="A426" i="8"/>
  <c r="A427" i="8"/>
  <c r="A428" i="8"/>
  <c r="A429" i="8"/>
  <c r="A430" i="8"/>
  <c r="A431" i="8"/>
  <c r="A432" i="8"/>
  <c r="A433" i="8"/>
  <c r="A434" i="8"/>
  <c r="A435" i="8"/>
  <c r="A436" i="8"/>
  <c r="A437" i="8"/>
  <c r="A438" i="8"/>
  <c r="A439" i="8"/>
  <c r="A440" i="8"/>
  <c r="A441" i="8"/>
  <c r="A442" i="8"/>
  <c r="A443" i="8"/>
  <c r="A444" i="8"/>
  <c r="A445" i="8"/>
  <c r="A446" i="8"/>
  <c r="A447" i="8"/>
  <c r="A448" i="8"/>
  <c r="A449" i="8"/>
  <c r="A450" i="8"/>
  <c r="A451" i="8"/>
  <c r="A452" i="8"/>
  <c r="A453" i="8"/>
  <c r="A454" i="8"/>
  <c r="A455" i="8"/>
  <c r="A456" i="8"/>
  <c r="A457" i="8"/>
  <c r="A458" i="8"/>
  <c r="A459" i="8"/>
  <c r="A460" i="8"/>
  <c r="A461" i="8"/>
  <c r="A462" i="8"/>
  <c r="A463" i="8"/>
  <c r="A464" i="8"/>
  <c r="A465" i="8"/>
  <c r="A466" i="8"/>
  <c r="A467" i="8"/>
  <c r="A468" i="8"/>
  <c r="A469" i="8"/>
  <c r="A470" i="8"/>
  <c r="A471" i="8"/>
  <c r="A472" i="8"/>
  <c r="A473" i="8"/>
  <c r="A474" i="8"/>
  <c r="A475" i="8"/>
  <c r="A476" i="8"/>
  <c r="A477" i="8"/>
  <c r="A478" i="8"/>
  <c r="A479" i="8"/>
  <c r="A480" i="8"/>
  <c r="A481" i="8"/>
  <c r="A482" i="8"/>
  <c r="A483" i="8"/>
  <c r="A484" i="8"/>
  <c r="A485" i="8"/>
  <c r="A486" i="8"/>
  <c r="A487" i="8"/>
  <c r="A488" i="8"/>
  <c r="A489" i="8"/>
  <c r="A490" i="8"/>
  <c r="A491" i="8"/>
  <c r="A492" i="8"/>
  <c r="A493" i="8"/>
  <c r="A494" i="8"/>
  <c r="A495" i="8"/>
  <c r="A496" i="8"/>
  <c r="A497" i="8"/>
  <c r="A498" i="8"/>
  <c r="A499" i="8"/>
  <c r="A500" i="8"/>
  <c r="A501" i="8"/>
  <c r="A502" i="8"/>
  <c r="A503" i="8"/>
  <c r="A504" i="8"/>
  <c r="A505" i="8"/>
  <c r="A506" i="8"/>
  <c r="A507" i="8"/>
  <c r="A508" i="8"/>
  <c r="A509" i="8"/>
  <c r="A510" i="8"/>
  <c r="A511" i="8"/>
  <c r="A512" i="8"/>
  <c r="A513" i="8"/>
  <c r="A514" i="8"/>
  <c r="A515" i="8"/>
  <c r="A516" i="8"/>
  <c r="A517" i="8"/>
  <c r="A518" i="8"/>
  <c r="A519" i="8"/>
  <c r="A520" i="8"/>
  <c r="A521" i="8"/>
  <c r="A522" i="8"/>
  <c r="A523" i="8"/>
  <c r="A524" i="8"/>
  <c r="A525" i="8"/>
  <c r="A526" i="8"/>
  <c r="A527" i="8"/>
  <c r="A528" i="8"/>
  <c r="A529" i="8"/>
  <c r="A530" i="8"/>
  <c r="A531" i="8"/>
  <c r="A532" i="8"/>
  <c r="A533" i="8"/>
  <c r="A534" i="8"/>
  <c r="A535" i="8"/>
  <c r="A536" i="8"/>
  <c r="A537" i="8"/>
  <c r="A538" i="8"/>
  <c r="A539" i="8"/>
  <c r="A540" i="8"/>
  <c r="A541" i="8"/>
  <c r="A542" i="8"/>
  <c r="A543" i="8"/>
  <c r="A544" i="8"/>
  <c r="A545" i="8"/>
  <c r="A546" i="8"/>
  <c r="A547" i="8"/>
  <c r="A548" i="8"/>
  <c r="A549" i="8"/>
  <c r="A550" i="8"/>
  <c r="A551" i="8"/>
  <c r="A552" i="8"/>
  <c r="A553" i="8"/>
  <c r="A554" i="8"/>
  <c r="A555" i="8"/>
  <c r="A556" i="8"/>
  <c r="A557" i="8"/>
  <c r="A558" i="8"/>
  <c r="A559" i="8"/>
  <c r="A560" i="8"/>
  <c r="A561" i="8"/>
  <c r="A562" i="8"/>
  <c r="A563" i="8"/>
  <c r="A564" i="8"/>
  <c r="A565" i="8"/>
  <c r="A566" i="8"/>
  <c r="A567" i="8"/>
  <c r="A568" i="8"/>
  <c r="A569" i="8"/>
  <c r="A570" i="8"/>
  <c r="A571" i="8"/>
  <c r="A572" i="8"/>
  <c r="A573" i="8"/>
  <c r="A574" i="8"/>
  <c r="A575" i="8"/>
  <c r="A576" i="8"/>
  <c r="A577" i="8"/>
  <c r="A578" i="8"/>
  <c r="A579" i="8"/>
  <c r="A580" i="8"/>
  <c r="A581" i="8"/>
  <c r="A582" i="8"/>
  <c r="A583" i="8"/>
  <c r="A584" i="8"/>
  <c r="A585" i="8"/>
  <c r="A586" i="8"/>
  <c r="A587" i="8"/>
  <c r="A588" i="8"/>
  <c r="A589" i="8"/>
  <c r="A590" i="8"/>
  <c r="A591" i="8"/>
  <c r="A592" i="8"/>
  <c r="A593" i="8"/>
  <c r="A594" i="8"/>
  <c r="A595" i="8"/>
  <c r="A596" i="8"/>
  <c r="A597" i="8"/>
  <c r="A598" i="8"/>
  <c r="A599" i="8"/>
  <c r="A600" i="8"/>
  <c r="A601" i="8"/>
  <c r="A602" i="8"/>
  <c r="A603" i="8"/>
  <c r="A604" i="8"/>
  <c r="A605" i="8"/>
  <c r="A606" i="8"/>
  <c r="A607" i="8"/>
  <c r="A608" i="8"/>
  <c r="A609" i="8"/>
  <c r="A610" i="8"/>
  <c r="A611" i="8"/>
  <c r="A612" i="8"/>
  <c r="A613" i="8"/>
  <c r="A614" i="8"/>
  <c r="A615" i="8"/>
  <c r="A616" i="8"/>
  <c r="A617" i="8"/>
  <c r="A618" i="8"/>
  <c r="A619" i="8"/>
  <c r="A620" i="8"/>
  <c r="A621" i="8"/>
  <c r="A622" i="8"/>
  <c r="A623" i="8"/>
  <c r="A624" i="8"/>
  <c r="A625" i="8"/>
  <c r="A626" i="8"/>
  <c r="A627" i="8"/>
  <c r="A628" i="8"/>
  <c r="A629" i="8"/>
  <c r="A630" i="8"/>
  <c r="A631" i="8"/>
  <c r="A632" i="8"/>
  <c r="A633" i="8"/>
  <c r="A634" i="8"/>
  <c r="A635" i="8"/>
  <c r="A636" i="8"/>
  <c r="A637" i="8"/>
  <c r="A638" i="8"/>
  <c r="A639" i="8"/>
  <c r="A640" i="8"/>
  <c r="A641" i="8"/>
  <c r="A642" i="8"/>
  <c r="A643" i="8"/>
  <c r="A644" i="8"/>
  <c r="A645" i="8"/>
  <c r="A646" i="8"/>
  <c r="A647" i="8"/>
  <c r="A648" i="8"/>
  <c r="A649" i="8"/>
  <c r="A650" i="8"/>
  <c r="A651" i="8"/>
  <c r="A652" i="8"/>
  <c r="A653" i="8"/>
  <c r="A654" i="8"/>
  <c r="A655" i="8"/>
  <c r="A656" i="8"/>
  <c r="A657" i="8"/>
  <c r="A658" i="8"/>
  <c r="A659" i="8"/>
  <c r="A660" i="8"/>
  <c r="A661" i="8"/>
  <c r="A662" i="8"/>
  <c r="A663" i="8"/>
  <c r="A664" i="8"/>
  <c r="A665" i="8"/>
  <c r="A666" i="8"/>
  <c r="A667" i="8"/>
  <c r="A668" i="8"/>
  <c r="A669" i="8"/>
  <c r="A670" i="8"/>
  <c r="A671" i="8"/>
  <c r="A672" i="8"/>
  <c r="A673" i="8"/>
  <c r="A674" i="8"/>
  <c r="A675" i="8"/>
  <c r="A676" i="8"/>
  <c r="A677" i="8"/>
  <c r="A678" i="8"/>
  <c r="A679" i="8"/>
  <c r="A680" i="8"/>
  <c r="A681" i="8"/>
  <c r="A682" i="8"/>
  <c r="A683" i="8"/>
  <c r="A684" i="8"/>
  <c r="A685" i="8"/>
  <c r="A686" i="8"/>
  <c r="A687" i="8"/>
  <c r="A688" i="8"/>
  <c r="A689" i="8"/>
  <c r="A690" i="8"/>
  <c r="A691" i="8"/>
  <c r="A692" i="8"/>
  <c r="A693" i="8"/>
  <c r="A694" i="8"/>
  <c r="A695" i="8"/>
  <c r="A696" i="8"/>
  <c r="A697" i="8"/>
  <c r="A698" i="8"/>
  <c r="A699" i="8"/>
  <c r="A700" i="8"/>
  <c r="A701" i="8"/>
  <c r="A702" i="8"/>
  <c r="A703" i="8"/>
  <c r="A704" i="8"/>
  <c r="A705" i="8"/>
  <c r="A706" i="8"/>
  <c r="A707" i="8"/>
  <c r="A708" i="8"/>
  <c r="A709" i="8"/>
  <c r="A710" i="8"/>
  <c r="A711" i="8"/>
  <c r="A712" i="8"/>
  <c r="A713" i="8"/>
  <c r="A714" i="8"/>
  <c r="A715" i="8"/>
  <c r="A716" i="8"/>
  <c r="A717" i="8"/>
  <c r="A718" i="8"/>
  <c r="A719" i="8"/>
  <c r="A720" i="8"/>
  <c r="A721" i="8"/>
  <c r="A722" i="8"/>
  <c r="A723" i="8"/>
  <c r="A724" i="8"/>
  <c r="A725" i="8"/>
  <c r="A726" i="8"/>
  <c r="A727" i="8"/>
  <c r="A728" i="8"/>
  <c r="A729" i="8"/>
  <c r="A730" i="8"/>
  <c r="A731" i="8"/>
  <c r="A732" i="8"/>
  <c r="A733" i="8"/>
  <c r="A734" i="8"/>
  <c r="A735" i="8"/>
  <c r="A736" i="8"/>
  <c r="A737" i="8"/>
  <c r="A738" i="8"/>
  <c r="A739" i="8"/>
  <c r="A740" i="8"/>
  <c r="A741" i="8"/>
  <c r="A742" i="8"/>
  <c r="A743" i="8"/>
  <c r="A744" i="8"/>
  <c r="A745" i="8"/>
  <c r="A746" i="8"/>
  <c r="A747" i="8"/>
  <c r="A748" i="8"/>
  <c r="A749" i="8"/>
  <c r="A750" i="8"/>
  <c r="A751" i="8"/>
  <c r="A752" i="8"/>
  <c r="A753" i="8"/>
  <c r="A754" i="8"/>
  <c r="A755" i="8"/>
  <c r="A756" i="8"/>
  <c r="A757" i="8"/>
  <c r="A758" i="8"/>
  <c r="A759" i="8"/>
  <c r="A760" i="8"/>
  <c r="A761" i="8"/>
  <c r="A762" i="8"/>
  <c r="A763" i="8"/>
  <c r="A764" i="8"/>
  <c r="A765" i="8"/>
  <c r="A766" i="8"/>
  <c r="A767" i="8"/>
  <c r="A768" i="8"/>
  <c r="A769" i="8"/>
  <c r="A770" i="8"/>
  <c r="A771" i="8"/>
  <c r="A772" i="8"/>
  <c r="A773" i="8"/>
  <c r="A774" i="8"/>
  <c r="A775" i="8"/>
  <c r="A776" i="8"/>
  <c r="A777" i="8"/>
  <c r="A778" i="8"/>
  <c r="A779" i="8"/>
  <c r="A780" i="8"/>
  <c r="A781" i="8"/>
  <c r="A782" i="8"/>
  <c r="A783" i="8"/>
  <c r="A784" i="8"/>
  <c r="A785" i="8"/>
  <c r="A786" i="8"/>
  <c r="A787" i="8"/>
  <c r="A788" i="8"/>
  <c r="A789" i="8"/>
  <c r="A790" i="8"/>
  <c r="A791" i="8"/>
  <c r="A792" i="8"/>
  <c r="A793" i="8"/>
  <c r="A794" i="8"/>
  <c r="A795" i="8"/>
  <c r="A796" i="8"/>
  <c r="A797" i="8"/>
  <c r="A798" i="8"/>
  <c r="A799" i="8"/>
  <c r="A800" i="8"/>
  <c r="A801" i="8"/>
  <c r="A802" i="8"/>
  <c r="A803" i="8"/>
  <c r="A804" i="8"/>
  <c r="A805" i="8"/>
  <c r="A806" i="8"/>
  <c r="A807" i="8"/>
  <c r="A808" i="8"/>
  <c r="A809" i="8"/>
  <c r="A810" i="8"/>
  <c r="A811" i="8"/>
  <c r="A812" i="8"/>
  <c r="A813" i="8"/>
  <c r="A814" i="8"/>
  <c r="A815" i="8"/>
  <c r="A816" i="8"/>
  <c r="A817" i="8"/>
  <c r="A818" i="8"/>
  <c r="A819" i="8"/>
  <c r="A820" i="8"/>
  <c r="A821" i="8"/>
  <c r="A822" i="8"/>
  <c r="A823" i="8"/>
  <c r="A824" i="8"/>
  <c r="A825" i="8"/>
  <c r="A826" i="8"/>
  <c r="A827" i="8"/>
  <c r="A828" i="8"/>
  <c r="A829" i="8"/>
  <c r="A830" i="8"/>
  <c r="A831" i="8"/>
  <c r="A832" i="8"/>
  <c r="A833" i="8"/>
  <c r="A834" i="8"/>
  <c r="A835" i="8"/>
  <c r="A836" i="8"/>
  <c r="A837" i="8"/>
  <c r="A838" i="8"/>
  <c r="A839" i="8"/>
  <c r="A840" i="8"/>
  <c r="A841" i="8"/>
  <c r="A842" i="8"/>
  <c r="A843" i="8"/>
  <c r="A844" i="8"/>
  <c r="A845" i="8"/>
  <c r="A846" i="8"/>
  <c r="A847" i="8"/>
  <c r="A848" i="8"/>
  <c r="A849" i="8"/>
  <c r="A850" i="8"/>
  <c r="A851" i="8"/>
  <c r="A852" i="8"/>
  <c r="A853" i="8"/>
  <c r="A854" i="8"/>
  <c r="A855" i="8"/>
  <c r="A856" i="8"/>
  <c r="A857" i="8"/>
  <c r="A858" i="8"/>
  <c r="A859" i="8"/>
  <c r="A860" i="8"/>
  <c r="A861" i="8"/>
  <c r="A862" i="8"/>
  <c r="A863" i="8"/>
  <c r="A864" i="8"/>
  <c r="A865" i="8"/>
  <c r="A866" i="8"/>
  <c r="A867" i="8"/>
  <c r="A868" i="8"/>
  <c r="A869" i="8"/>
  <c r="A870" i="8"/>
  <c r="A871" i="8"/>
  <c r="A872" i="8"/>
  <c r="A873" i="8"/>
  <c r="A874" i="8"/>
  <c r="A875" i="8"/>
  <c r="A876" i="8"/>
  <c r="A877" i="8"/>
  <c r="A878" i="8"/>
  <c r="A879" i="8"/>
  <c r="A880" i="8"/>
  <c r="A881" i="8"/>
  <c r="A882" i="8"/>
  <c r="A883" i="8"/>
  <c r="A884" i="8"/>
  <c r="A885" i="8"/>
  <c r="A886" i="8"/>
  <c r="A887" i="8"/>
  <c r="A888" i="8"/>
  <c r="A889" i="8"/>
  <c r="A890" i="8"/>
  <c r="A891" i="8"/>
  <c r="A892" i="8"/>
  <c r="A893" i="8"/>
  <c r="A894" i="8"/>
  <c r="A895" i="8"/>
  <c r="A896" i="8"/>
  <c r="A897" i="8"/>
  <c r="A898" i="8"/>
  <c r="A899" i="8"/>
  <c r="A900" i="8"/>
  <c r="A901" i="8"/>
  <c r="A902" i="8"/>
  <c r="A903" i="8"/>
  <c r="A904" i="8"/>
  <c r="A905" i="8"/>
  <c r="A906" i="8"/>
  <c r="A907" i="8"/>
  <c r="A908" i="8"/>
  <c r="A909" i="8"/>
  <c r="A910" i="8"/>
  <c r="A911" i="8"/>
  <c r="A912" i="8"/>
  <c r="A913" i="8"/>
  <c r="A914" i="8"/>
  <c r="A915" i="8"/>
  <c r="A916" i="8"/>
  <c r="A917" i="8"/>
  <c r="A918" i="8"/>
  <c r="A919" i="8"/>
  <c r="A920" i="8"/>
  <c r="A921" i="8"/>
  <c r="A922" i="8"/>
  <c r="A923" i="8"/>
  <c r="A924" i="8"/>
  <c r="A925" i="8"/>
  <c r="A926" i="8"/>
  <c r="A927" i="8"/>
  <c r="A928" i="8"/>
  <c r="A929" i="8"/>
  <c r="A930" i="8"/>
  <c r="A931" i="8"/>
  <c r="A932" i="8"/>
  <c r="A933" i="8"/>
  <c r="A934" i="8"/>
  <c r="A935" i="8"/>
  <c r="A936" i="8"/>
  <c r="A937" i="8"/>
  <c r="A938" i="8"/>
  <c r="A939" i="8"/>
  <c r="A940" i="8"/>
  <c r="A941" i="8"/>
  <c r="A942" i="8"/>
  <c r="A943" i="8"/>
  <c r="A944" i="8"/>
  <c r="A945" i="8"/>
  <c r="A946" i="8"/>
  <c r="A947" i="8"/>
  <c r="A948" i="8"/>
  <c r="A949" i="8"/>
  <c r="A950" i="8"/>
  <c r="A951" i="8"/>
  <c r="A952" i="8"/>
  <c r="A953" i="8"/>
  <c r="A954" i="8"/>
  <c r="A955" i="8"/>
  <c r="A956" i="8"/>
  <c r="A957" i="8"/>
  <c r="A958" i="8"/>
  <c r="A959" i="8"/>
  <c r="A960" i="8"/>
  <c r="A961" i="8"/>
  <c r="A962" i="8"/>
  <c r="A963" i="8"/>
  <c r="A964" i="8"/>
  <c r="A965" i="8"/>
  <c r="A966" i="8"/>
  <c r="A967" i="8"/>
  <c r="A968" i="8"/>
  <c r="A969" i="8"/>
  <c r="A970" i="8"/>
  <c r="A971" i="8"/>
  <c r="A972" i="8"/>
  <c r="A973" i="8"/>
  <c r="A974" i="8"/>
  <c r="A975" i="8"/>
  <c r="A976" i="8"/>
  <c r="A977" i="8"/>
  <c r="A978" i="8"/>
  <c r="A979" i="8"/>
  <c r="A980" i="8"/>
  <c r="A981" i="8"/>
  <c r="A982" i="8"/>
  <c r="A983" i="8"/>
  <c r="A984" i="8"/>
  <c r="A985" i="8"/>
  <c r="A986" i="8"/>
  <c r="A987" i="8"/>
  <c r="A988" i="8"/>
  <c r="A989" i="8"/>
  <c r="A990" i="8"/>
  <c r="A991" i="8"/>
  <c r="A992" i="8"/>
  <c r="A993" i="8"/>
  <c r="A994" i="8"/>
  <c r="A995" i="8"/>
  <c r="A996" i="8"/>
  <c r="A997" i="8"/>
  <c r="A998" i="8"/>
  <c r="A999" i="8"/>
  <c r="A1000" i="8"/>
  <c r="A1001" i="8"/>
  <c r="A1002" i="8"/>
  <c r="A1003" i="8"/>
  <c r="A1004" i="8"/>
  <c r="A1005" i="8"/>
  <c r="A1006" i="8"/>
  <c r="A1007" i="8"/>
  <c r="A1008" i="8"/>
  <c r="A1009" i="8"/>
  <c r="A1010" i="8"/>
  <c r="A1011" i="8"/>
  <c r="A1012" i="8"/>
  <c r="A1013" i="8"/>
  <c r="A1014" i="8"/>
  <c r="A1015" i="8"/>
  <c r="A1016" i="8"/>
  <c r="A1017" i="8"/>
  <c r="A1018" i="8"/>
  <c r="A1019" i="8"/>
  <c r="A1020" i="8"/>
  <c r="A1021" i="8"/>
  <c r="A1022" i="8"/>
  <c r="A1023" i="8"/>
  <c r="A1024" i="8"/>
  <c r="A1025" i="8"/>
  <c r="A1026" i="8"/>
  <c r="A1027" i="8"/>
  <c r="A1028" i="8"/>
  <c r="A1029" i="8"/>
  <c r="A1030" i="8"/>
  <c r="A1031" i="8"/>
  <c r="A1032" i="8"/>
  <c r="A1033" i="8"/>
  <c r="A1034" i="8"/>
  <c r="A1035" i="8"/>
  <c r="A1036" i="8"/>
  <c r="A1037" i="8"/>
  <c r="A1038" i="8"/>
  <c r="A1039" i="8"/>
  <c r="A1040" i="8"/>
  <c r="A1041" i="8"/>
  <c r="A1042" i="8"/>
  <c r="A1043" i="8"/>
  <c r="A1044" i="8"/>
  <c r="A1045" i="8"/>
  <c r="A1046" i="8"/>
  <c r="A1047" i="8"/>
  <c r="A1048" i="8"/>
  <c r="A1049" i="8"/>
  <c r="A1050" i="8"/>
  <c r="A1051" i="8"/>
  <c r="A1052" i="8"/>
  <c r="A1053" i="8"/>
  <c r="A1054" i="8"/>
  <c r="A1055" i="8"/>
  <c r="A1056" i="8"/>
  <c r="A1057" i="8"/>
  <c r="A1058" i="8"/>
  <c r="A1059" i="8"/>
  <c r="A1060" i="8"/>
  <c r="A1061" i="8"/>
  <c r="A1062" i="8"/>
  <c r="A1063" i="8"/>
  <c r="A1064" i="8"/>
  <c r="A1065" i="8"/>
  <c r="A1066" i="8"/>
  <c r="A1067" i="8"/>
  <c r="A1068" i="8"/>
  <c r="A1069" i="8"/>
  <c r="A1070" i="8"/>
  <c r="A1071" i="8"/>
  <c r="A1072" i="8"/>
  <c r="A1073" i="8"/>
  <c r="A1074" i="8"/>
  <c r="A1075" i="8"/>
  <c r="A1076" i="8"/>
  <c r="A1077" i="8"/>
  <c r="A1078" i="8"/>
  <c r="A1079" i="8"/>
  <c r="A1080" i="8"/>
  <c r="A1081" i="8"/>
  <c r="A1082" i="8"/>
  <c r="A1083" i="8"/>
  <c r="A1084" i="8"/>
  <c r="A1085" i="8"/>
  <c r="A1086" i="8"/>
  <c r="A1087" i="8"/>
  <c r="A1088" i="8"/>
  <c r="A1089" i="8"/>
  <c r="A1090" i="8"/>
  <c r="A1091" i="8"/>
  <c r="A1092" i="8"/>
  <c r="A1093" i="8"/>
  <c r="A1094" i="8"/>
  <c r="A1095" i="8"/>
  <c r="A1096" i="8"/>
  <c r="A1097" i="8"/>
  <c r="A1098" i="8"/>
  <c r="A1099" i="8"/>
  <c r="A1100" i="8"/>
  <c r="A1101" i="8"/>
  <c r="A1102" i="8"/>
  <c r="A1103" i="8"/>
  <c r="A1104" i="8"/>
  <c r="A1105" i="8"/>
  <c r="A1106" i="8"/>
  <c r="A1107" i="8"/>
  <c r="A1108" i="8"/>
  <c r="A1109" i="8"/>
  <c r="A1110" i="8"/>
  <c r="A1111" i="8"/>
  <c r="A1112" i="8"/>
  <c r="A1113" i="8"/>
  <c r="A1114" i="8"/>
  <c r="A1115" i="8"/>
  <c r="A1116" i="8"/>
  <c r="A1117" i="8"/>
  <c r="A1118" i="8"/>
  <c r="A1119" i="8"/>
  <c r="A1120" i="8"/>
  <c r="A1121" i="8"/>
  <c r="A1122" i="8"/>
  <c r="A1123" i="8"/>
  <c r="A1124" i="8"/>
  <c r="A1125" i="8"/>
  <c r="A1126" i="8"/>
  <c r="A1127" i="8"/>
  <c r="A1128" i="8"/>
  <c r="A1129" i="8"/>
  <c r="A1130" i="8"/>
  <c r="A1131" i="8"/>
  <c r="A1132" i="8"/>
  <c r="A1133" i="8"/>
  <c r="A1134" i="8"/>
  <c r="A1135" i="8"/>
  <c r="A1136" i="8"/>
  <c r="A1137" i="8"/>
  <c r="A1138" i="8"/>
  <c r="A1139" i="8"/>
  <c r="A1140" i="8"/>
  <c r="A1141" i="8"/>
  <c r="A1142" i="8"/>
  <c r="A1143" i="8"/>
  <c r="A1144" i="8"/>
  <c r="A1145" i="8"/>
  <c r="A1146" i="8"/>
  <c r="A1147" i="8"/>
  <c r="A1148" i="8"/>
  <c r="A1149" i="8"/>
  <c r="A1150" i="8"/>
  <c r="A1151" i="8"/>
  <c r="A1152" i="8"/>
  <c r="A1153" i="8"/>
  <c r="A1154" i="8"/>
  <c r="A1155" i="8"/>
  <c r="A1156" i="8"/>
  <c r="A1157" i="8"/>
  <c r="A1158" i="8"/>
  <c r="A1159" i="8"/>
  <c r="A1160" i="8"/>
  <c r="A1161" i="8"/>
  <c r="A1162" i="8"/>
  <c r="A1163" i="8"/>
  <c r="A1164" i="8"/>
  <c r="A1165" i="8"/>
  <c r="A1166" i="8"/>
  <c r="A1167" i="8"/>
  <c r="A1168" i="8"/>
  <c r="A1169" i="8"/>
  <c r="A1170" i="8"/>
  <c r="A1171" i="8"/>
  <c r="A1172" i="8"/>
  <c r="A1173" i="8"/>
  <c r="A1174" i="8"/>
  <c r="A1175" i="8"/>
  <c r="A1176" i="8"/>
  <c r="A1177" i="8"/>
  <c r="A1178" i="8"/>
  <c r="A1179" i="8"/>
  <c r="A1180" i="8"/>
  <c r="A1181" i="8"/>
  <c r="A1182" i="8"/>
  <c r="A1183" i="8"/>
  <c r="A1184" i="8"/>
  <c r="A1185" i="8"/>
  <c r="A1186" i="8"/>
  <c r="A1187" i="8"/>
  <c r="A1188" i="8"/>
  <c r="A1189" i="8"/>
  <c r="A1190" i="8"/>
  <c r="A1191" i="8"/>
  <c r="A1192" i="8"/>
  <c r="A1193" i="8"/>
  <c r="A1194" i="8"/>
  <c r="A1195" i="8"/>
  <c r="A1196" i="8"/>
  <c r="A1197" i="8"/>
  <c r="A1198" i="8"/>
  <c r="A1199" i="8"/>
  <c r="A1200" i="8"/>
  <c r="A1201" i="8"/>
  <c r="A1202" i="8"/>
  <c r="A1203" i="8"/>
  <c r="A1204" i="8"/>
  <c r="A1205" i="8"/>
  <c r="A1206" i="8"/>
  <c r="A1207" i="8"/>
  <c r="A1208" i="8"/>
  <c r="A1209" i="8"/>
  <c r="A1210" i="8"/>
  <c r="A1211" i="8"/>
  <c r="A1212" i="8"/>
  <c r="A1213" i="8"/>
  <c r="A1214" i="8"/>
  <c r="A1215" i="8"/>
  <c r="A1216" i="8"/>
  <c r="A1217" i="8"/>
  <c r="A1218" i="8"/>
  <c r="A1219" i="8"/>
  <c r="A1220" i="8"/>
  <c r="A1221" i="8"/>
  <c r="A1222" i="8"/>
  <c r="A1223" i="8"/>
  <c r="A1224" i="8"/>
  <c r="A1225" i="8"/>
  <c r="A1226" i="8"/>
  <c r="A1227" i="8"/>
  <c r="A1228" i="8"/>
  <c r="A1229" i="8"/>
  <c r="A1230" i="8"/>
  <c r="A1231" i="8"/>
  <c r="A1232" i="8"/>
  <c r="A1233" i="8"/>
  <c r="A1234" i="8"/>
  <c r="A1235" i="8"/>
  <c r="A1236" i="8"/>
  <c r="A1237" i="8"/>
  <c r="A1238" i="8"/>
  <c r="A1239" i="8"/>
  <c r="A1240" i="8"/>
  <c r="A1241" i="8"/>
  <c r="A1242" i="8"/>
  <c r="A1243" i="8"/>
  <c r="A1244" i="8"/>
  <c r="A1245" i="8"/>
  <c r="A1246" i="8"/>
  <c r="A1247" i="8"/>
  <c r="A1248" i="8"/>
  <c r="A1249" i="8"/>
  <c r="A1250" i="8"/>
  <c r="A1251" i="8"/>
  <c r="A1252" i="8"/>
  <c r="A1253" i="8"/>
  <c r="A1254" i="8"/>
  <c r="A1255" i="8"/>
  <c r="A1256" i="8"/>
  <c r="A1257" i="8"/>
  <c r="A1258" i="8"/>
  <c r="A1259" i="8"/>
  <c r="A1260" i="8"/>
  <c r="A1261" i="8"/>
  <c r="A1262" i="8"/>
  <c r="A1263" i="8"/>
  <c r="A1264" i="8"/>
  <c r="A1265" i="8"/>
  <c r="A1266" i="8"/>
  <c r="A1267" i="8"/>
  <c r="A1268" i="8"/>
  <c r="A1269" i="8"/>
  <c r="A1270" i="8"/>
  <c r="A1271" i="8"/>
  <c r="A1272" i="8"/>
  <c r="A1273" i="8"/>
  <c r="A1274" i="8"/>
  <c r="A1275" i="8"/>
  <c r="A1276" i="8"/>
  <c r="A1277" i="8"/>
  <c r="A1278" i="8"/>
  <c r="A1279" i="8"/>
  <c r="A1280" i="8"/>
  <c r="A1281" i="8"/>
  <c r="A1282" i="8"/>
  <c r="A1283" i="8"/>
  <c r="A1284" i="8"/>
  <c r="A1285" i="8"/>
  <c r="A1286" i="8"/>
  <c r="A1287" i="8"/>
  <c r="A1288" i="8"/>
  <c r="A1289" i="8"/>
  <c r="A1290" i="8"/>
  <c r="A1291" i="8"/>
  <c r="A1292" i="8"/>
  <c r="A1293" i="8"/>
  <c r="A1294" i="8"/>
  <c r="A1295" i="8"/>
  <c r="A1296" i="8"/>
  <c r="A1297" i="8"/>
  <c r="A1298" i="8"/>
  <c r="A1299" i="8"/>
  <c r="A1300" i="8"/>
  <c r="A1301" i="8"/>
  <c r="A1302" i="8"/>
  <c r="A1303" i="8"/>
  <c r="A1304" i="8"/>
  <c r="A1305" i="8"/>
  <c r="A1306" i="8"/>
  <c r="A1307" i="8"/>
  <c r="A1308" i="8"/>
  <c r="A1309" i="8"/>
  <c r="A1310" i="8"/>
  <c r="A1311" i="8"/>
  <c r="A1312" i="8"/>
  <c r="A1313" i="8"/>
  <c r="A1314" i="8"/>
  <c r="A1315" i="8"/>
  <c r="A1316" i="8"/>
  <c r="A1317" i="8"/>
  <c r="A1318" i="8"/>
  <c r="A1319" i="8"/>
  <c r="A1320" i="8"/>
  <c r="A1321" i="8"/>
  <c r="A1322" i="8"/>
  <c r="A1323" i="8"/>
  <c r="A1324" i="8"/>
  <c r="A1325" i="8"/>
  <c r="A1326" i="8"/>
  <c r="A1327" i="8"/>
  <c r="A1328" i="8"/>
  <c r="A1329" i="8"/>
  <c r="A1330" i="8"/>
  <c r="A1331" i="8"/>
  <c r="A1332" i="8"/>
  <c r="A1333" i="8"/>
  <c r="A1334" i="8"/>
  <c r="A1335" i="8"/>
  <c r="A1336" i="8"/>
  <c r="A1337" i="8"/>
  <c r="A1338" i="8"/>
  <c r="A1339" i="8"/>
  <c r="A1340" i="8"/>
  <c r="A1341" i="8"/>
  <c r="A1342" i="8"/>
  <c r="A1343" i="8"/>
  <c r="A1344" i="8"/>
  <c r="A1345" i="8"/>
  <c r="A1346" i="8"/>
  <c r="A1347" i="8"/>
  <c r="A1348" i="8"/>
  <c r="A1349" i="8"/>
  <c r="A1350" i="8"/>
  <c r="A1351" i="8"/>
  <c r="A1352" i="8"/>
  <c r="A1353" i="8"/>
  <c r="A1354" i="8"/>
  <c r="A1355" i="8"/>
  <c r="A1356" i="8"/>
  <c r="A1357" i="8"/>
  <c r="A1358" i="8"/>
  <c r="A1359" i="8"/>
  <c r="A1360" i="8"/>
  <c r="A1361" i="8"/>
  <c r="A1362" i="8"/>
  <c r="A1363" i="8"/>
  <c r="A1364" i="8"/>
  <c r="A1365" i="8"/>
  <c r="A1366" i="8"/>
  <c r="A1367" i="8"/>
  <c r="A1368" i="8"/>
  <c r="A1369" i="8"/>
  <c r="A1370" i="8"/>
  <c r="A1371" i="8"/>
  <c r="A1372" i="8"/>
  <c r="A1373" i="8"/>
  <c r="A1374" i="8"/>
  <c r="A1375" i="8"/>
  <c r="A1376" i="8"/>
  <c r="A1377" i="8"/>
  <c r="A1378" i="8"/>
  <c r="A1379" i="8"/>
  <c r="A1380" i="8"/>
  <c r="A1381" i="8"/>
  <c r="A1382" i="8"/>
  <c r="A1383" i="8"/>
  <c r="A1384" i="8"/>
  <c r="A1385" i="8"/>
  <c r="A1386" i="8"/>
  <c r="A1387" i="8"/>
  <c r="A1388" i="8"/>
  <c r="A1389" i="8"/>
  <c r="A1390" i="8"/>
  <c r="A1391" i="8"/>
  <c r="A1392" i="8"/>
  <c r="A1393" i="8"/>
  <c r="A1394" i="8"/>
  <c r="A1395" i="8"/>
  <c r="A1396" i="8"/>
  <c r="A1397" i="8"/>
  <c r="A1398" i="8"/>
  <c r="A1399" i="8"/>
  <c r="A1400" i="8"/>
  <c r="A1401" i="8"/>
  <c r="A1402" i="8"/>
  <c r="A1403" i="8"/>
  <c r="A1404" i="8"/>
  <c r="A1405" i="8"/>
  <c r="A1406" i="8"/>
  <c r="A1407" i="8"/>
  <c r="A1408" i="8"/>
  <c r="A1409" i="8"/>
  <c r="A1410" i="8"/>
  <c r="A1411" i="8"/>
  <c r="A1412" i="8"/>
  <c r="A1413" i="8"/>
  <c r="A1414" i="8"/>
  <c r="A1415" i="8"/>
  <c r="A1416" i="8"/>
  <c r="A1417" i="8"/>
  <c r="A1418" i="8"/>
  <c r="A1419" i="8"/>
  <c r="A1420" i="8"/>
  <c r="A1421" i="8"/>
  <c r="A1422" i="8"/>
  <c r="A1423" i="8"/>
  <c r="A1424" i="8"/>
  <c r="A1425" i="8"/>
  <c r="A1426" i="8"/>
  <c r="A1427" i="8"/>
  <c r="A1428" i="8"/>
  <c r="A1429" i="8"/>
  <c r="A1430" i="8"/>
  <c r="A1431" i="8"/>
  <c r="A1432" i="8"/>
  <c r="A1433" i="8"/>
  <c r="A1434" i="8"/>
  <c r="A1435" i="8"/>
  <c r="A1436" i="8"/>
  <c r="A1437" i="8"/>
  <c r="A1438" i="8"/>
  <c r="A1439" i="8"/>
  <c r="A1440" i="8"/>
  <c r="A1441" i="8"/>
  <c r="A1442" i="8"/>
  <c r="A1443" i="8"/>
  <c r="A1444" i="8"/>
  <c r="A1445" i="8"/>
  <c r="A1446" i="8"/>
  <c r="A1447" i="8"/>
  <c r="A1448" i="8"/>
  <c r="A1449" i="8"/>
  <c r="A1450" i="8"/>
  <c r="A1451" i="8"/>
  <c r="A1452" i="8"/>
  <c r="A1453" i="8"/>
  <c r="A1454" i="8"/>
  <c r="A1455" i="8"/>
  <c r="A1456" i="8"/>
  <c r="A1457" i="8"/>
  <c r="A1458" i="8"/>
  <c r="A1459" i="8"/>
  <c r="A1460" i="8"/>
  <c r="A1461" i="8"/>
  <c r="A1462" i="8"/>
  <c r="A1463" i="8"/>
  <c r="A1464" i="8"/>
  <c r="A1465" i="8"/>
  <c r="A1466" i="8"/>
  <c r="A1467" i="8"/>
  <c r="A1468" i="8"/>
  <c r="A1469" i="8"/>
  <c r="A1470" i="8"/>
  <c r="A1471" i="8"/>
  <c r="A1472" i="8"/>
  <c r="A1473" i="8"/>
  <c r="A1474" i="8"/>
  <c r="A1475" i="8"/>
  <c r="A1476" i="8"/>
  <c r="A1477" i="8"/>
  <c r="A1478" i="8"/>
  <c r="A1479" i="8"/>
  <c r="A1480" i="8"/>
  <c r="A1481" i="8"/>
  <c r="A1482" i="8"/>
  <c r="A1483" i="8"/>
  <c r="A1484" i="8"/>
  <c r="A1485" i="8"/>
  <c r="A1486" i="8"/>
  <c r="A1487" i="8"/>
  <c r="A1488" i="8"/>
  <c r="A1489" i="8"/>
  <c r="A1490" i="8"/>
  <c r="A1491" i="8"/>
  <c r="A1492" i="8"/>
  <c r="A1493" i="8"/>
  <c r="A1494" i="8"/>
  <c r="A1495" i="8"/>
  <c r="A1496" i="8"/>
  <c r="A1497" i="8"/>
  <c r="A1498" i="8"/>
  <c r="A1499" i="8"/>
  <c r="A1500" i="8"/>
  <c r="A1501" i="8"/>
  <c r="A1502" i="8"/>
  <c r="A1503" i="8"/>
  <c r="A1504" i="8"/>
  <c r="A1505" i="8"/>
  <c r="A1506" i="8"/>
  <c r="A1507" i="8"/>
  <c r="A1508" i="8"/>
  <c r="A1509" i="8"/>
  <c r="A1510" i="8"/>
  <c r="A1511" i="8"/>
  <c r="A1512" i="8"/>
  <c r="A1513" i="8"/>
  <c r="A1514" i="8"/>
  <c r="A1515" i="8"/>
  <c r="A1516" i="8"/>
  <c r="A1517" i="8"/>
  <c r="A1518" i="8"/>
  <c r="A1519" i="8"/>
  <c r="A1520" i="8"/>
  <c r="A1521" i="8"/>
  <c r="A1522" i="8"/>
  <c r="A1523" i="8"/>
  <c r="A1524" i="8"/>
  <c r="A1525" i="8"/>
  <c r="A1526" i="8"/>
  <c r="A1527" i="8"/>
  <c r="A1528" i="8"/>
  <c r="A1529" i="8"/>
  <c r="A1530" i="8"/>
  <c r="A1531" i="8"/>
  <c r="A1532" i="8"/>
  <c r="A1533" i="8"/>
  <c r="A1534" i="8"/>
  <c r="A1535" i="8"/>
  <c r="A1536" i="8"/>
  <c r="A1537" i="8"/>
  <c r="A1538" i="8"/>
  <c r="A1539" i="8"/>
  <c r="A1540" i="8"/>
  <c r="A1541" i="8"/>
  <c r="A1542" i="8"/>
  <c r="A1543" i="8"/>
  <c r="A1544" i="8"/>
  <c r="A1545" i="8"/>
  <c r="A1546" i="8"/>
  <c r="A1547" i="8"/>
  <c r="A1548" i="8"/>
  <c r="A1549" i="8"/>
  <c r="A1550" i="8"/>
  <c r="A1551" i="8"/>
  <c r="A1552" i="8"/>
  <c r="A1553" i="8"/>
  <c r="A1554" i="8"/>
  <c r="A1555" i="8"/>
  <c r="A1556" i="8"/>
  <c r="A1557" i="8"/>
  <c r="A1558" i="8"/>
  <c r="A1559" i="8"/>
  <c r="A1560" i="8"/>
  <c r="A1561" i="8"/>
  <c r="A1562" i="8"/>
  <c r="A1563" i="8"/>
  <c r="A1564" i="8"/>
  <c r="A1565" i="8"/>
  <c r="A1566" i="8"/>
  <c r="A1567" i="8"/>
  <c r="A1568" i="8"/>
  <c r="A1569" i="8"/>
  <c r="A1570" i="8"/>
  <c r="A1571" i="8"/>
  <c r="A1572" i="8"/>
  <c r="A1573" i="8"/>
  <c r="A1574" i="8"/>
  <c r="A1575" i="8"/>
  <c r="A1576" i="8"/>
  <c r="A1577" i="8"/>
  <c r="A1578" i="8"/>
  <c r="A1579" i="8"/>
  <c r="A1580" i="8"/>
  <c r="A1581" i="8"/>
  <c r="A1582" i="8"/>
  <c r="A1583" i="8"/>
  <c r="A1584" i="8"/>
  <c r="A1585" i="8"/>
  <c r="A1586" i="8"/>
  <c r="A1587" i="8"/>
  <c r="A1588" i="8"/>
  <c r="A1589" i="8"/>
  <c r="A1590" i="8"/>
  <c r="A1591" i="8"/>
  <c r="A1592" i="8"/>
  <c r="A1593" i="8"/>
  <c r="A1594" i="8"/>
  <c r="A1595" i="8"/>
  <c r="A1596" i="8"/>
  <c r="A1597" i="8"/>
  <c r="A1598" i="8"/>
  <c r="A1599" i="8"/>
  <c r="A1600" i="8"/>
  <c r="A1601" i="8"/>
  <c r="A1602" i="8"/>
  <c r="A1603" i="8"/>
  <c r="A1604" i="8"/>
  <c r="A1605" i="8"/>
  <c r="A1606" i="8"/>
  <c r="A1607" i="8"/>
  <c r="A1608" i="8"/>
  <c r="A1609" i="8"/>
  <c r="A1610" i="8"/>
  <c r="A1611" i="8"/>
  <c r="A1612" i="8"/>
  <c r="A1613" i="8"/>
  <c r="A1614" i="8"/>
  <c r="A1615" i="8"/>
  <c r="A1616" i="8"/>
  <c r="A1617" i="8"/>
  <c r="A1618" i="8"/>
  <c r="A1619" i="8"/>
  <c r="A1620" i="8"/>
  <c r="A1621" i="8"/>
  <c r="A1622" i="8"/>
  <c r="A1623" i="8"/>
  <c r="A1624" i="8"/>
  <c r="A1625" i="8"/>
  <c r="A1626" i="8"/>
  <c r="A1627" i="8"/>
  <c r="A1628" i="8"/>
  <c r="A1629" i="8"/>
  <c r="A1630" i="8"/>
  <c r="A1631" i="8"/>
  <c r="A1632" i="8"/>
  <c r="A1633" i="8"/>
  <c r="A1634" i="8"/>
  <c r="A1635" i="8"/>
  <c r="A1636" i="8"/>
  <c r="A1637" i="8"/>
  <c r="A1638" i="8"/>
  <c r="A1639" i="8"/>
  <c r="A1640" i="8"/>
  <c r="A1641" i="8"/>
  <c r="A1642" i="8"/>
  <c r="A1643" i="8"/>
  <c r="A1644" i="8"/>
  <c r="A1645" i="8"/>
  <c r="A1646" i="8"/>
  <c r="A1647" i="8"/>
  <c r="A1648" i="8"/>
  <c r="A1649" i="8"/>
  <c r="A1650" i="8"/>
  <c r="A1651" i="8"/>
  <c r="A1652" i="8"/>
  <c r="A1653" i="8"/>
  <c r="A1654" i="8"/>
  <c r="A1655" i="8"/>
  <c r="A1656" i="8"/>
  <c r="A1657" i="8"/>
  <c r="A1658" i="8"/>
  <c r="A1659" i="8"/>
  <c r="A1660" i="8"/>
  <c r="A1661" i="8"/>
  <c r="A1662" i="8"/>
  <c r="A1663" i="8"/>
  <c r="A1664" i="8"/>
  <c r="A1665" i="8"/>
  <c r="A1666" i="8"/>
  <c r="A1667" i="8"/>
  <c r="A1668" i="8"/>
  <c r="A1669" i="8"/>
  <c r="A1670" i="8"/>
  <c r="A1671" i="8"/>
  <c r="A1672" i="8"/>
  <c r="A1673" i="8"/>
  <c r="A1674" i="8"/>
  <c r="A1675" i="8"/>
  <c r="A1676" i="8"/>
  <c r="A1677" i="8"/>
  <c r="A1678" i="8"/>
  <c r="A1679" i="8"/>
  <c r="A1680" i="8"/>
  <c r="A1681" i="8"/>
  <c r="A1682" i="8"/>
  <c r="A1683" i="8"/>
  <c r="A1684" i="8"/>
  <c r="A1685" i="8"/>
  <c r="A1686" i="8"/>
  <c r="A1687" i="8"/>
  <c r="A1688" i="8"/>
  <c r="A1689" i="8"/>
  <c r="A1690" i="8"/>
  <c r="A1691" i="8"/>
  <c r="A1692" i="8"/>
  <c r="A1693" i="8"/>
  <c r="A1694" i="8"/>
  <c r="A1695" i="8"/>
  <c r="A1696" i="8"/>
  <c r="A1697" i="8"/>
  <c r="A1698" i="8"/>
  <c r="A1699" i="8"/>
  <c r="A1700" i="8"/>
  <c r="A1701" i="8"/>
  <c r="A1702" i="8"/>
  <c r="A1703" i="8"/>
  <c r="A1704" i="8"/>
  <c r="A1705" i="8"/>
  <c r="A1706" i="8"/>
  <c r="A1707" i="8"/>
  <c r="A1708" i="8"/>
  <c r="A1709" i="8"/>
  <c r="A1710" i="8"/>
  <c r="A1711" i="8"/>
  <c r="A1712" i="8"/>
  <c r="A1713" i="8"/>
  <c r="A1714" i="8"/>
  <c r="A1715" i="8"/>
  <c r="A1716" i="8"/>
  <c r="A1717" i="8"/>
  <c r="A1718" i="8"/>
  <c r="A1719" i="8"/>
  <c r="A1720" i="8"/>
  <c r="A1721" i="8"/>
  <c r="A1722" i="8"/>
  <c r="A1723" i="8"/>
  <c r="A1724" i="8"/>
  <c r="A1725" i="8"/>
  <c r="A1726" i="8"/>
  <c r="A1727" i="8"/>
  <c r="A1728" i="8"/>
  <c r="A1729" i="8"/>
  <c r="A1730" i="8"/>
  <c r="A1731" i="8"/>
  <c r="A1732" i="8"/>
  <c r="A1733" i="8"/>
  <c r="A1734" i="8"/>
  <c r="A1735" i="8"/>
  <c r="A1736" i="8"/>
  <c r="A1737" i="8"/>
  <c r="A1738" i="8"/>
  <c r="A1739" i="8"/>
  <c r="A1740" i="8"/>
  <c r="A1741" i="8"/>
  <c r="A1742" i="8"/>
  <c r="A1743" i="8"/>
  <c r="A1744" i="8"/>
  <c r="A1745" i="8"/>
  <c r="A1746" i="8"/>
  <c r="A1747" i="8"/>
  <c r="A1748" i="8"/>
  <c r="A1749" i="8"/>
  <c r="A1750" i="8"/>
  <c r="A1751" i="8"/>
  <c r="A1752" i="8"/>
  <c r="A1753" i="8"/>
  <c r="A1754" i="8"/>
  <c r="A1755" i="8"/>
  <c r="A1756" i="8"/>
  <c r="A1757" i="8"/>
  <c r="A1758" i="8"/>
  <c r="A1759" i="8"/>
  <c r="A1760" i="8"/>
  <c r="A1761" i="8"/>
  <c r="A1762" i="8"/>
  <c r="A1763" i="8"/>
  <c r="A1764" i="8"/>
  <c r="A1765" i="8"/>
  <c r="A1766" i="8"/>
  <c r="A1767" i="8"/>
  <c r="A1768" i="8"/>
  <c r="A1769" i="8"/>
  <c r="A1770" i="8"/>
  <c r="A1771" i="8"/>
  <c r="A1772" i="8"/>
  <c r="A1773" i="8"/>
  <c r="A1774" i="8"/>
  <c r="A1775" i="8"/>
  <c r="A1776" i="8"/>
  <c r="A1777" i="8"/>
  <c r="A1778" i="8"/>
  <c r="A1779" i="8"/>
  <c r="A1780" i="8"/>
  <c r="A1781" i="8"/>
  <c r="A1782" i="8"/>
  <c r="A1783" i="8"/>
  <c r="A1784" i="8"/>
  <c r="A1785" i="8"/>
  <c r="A1786" i="8"/>
  <c r="A1787" i="8"/>
  <c r="A1788" i="8"/>
  <c r="A1789" i="8"/>
  <c r="A1790" i="8"/>
  <c r="A1791" i="8"/>
  <c r="A1792" i="8"/>
  <c r="A1793" i="8"/>
  <c r="A1794" i="8"/>
  <c r="A1795" i="8"/>
  <c r="A1796" i="8"/>
  <c r="A1797" i="8"/>
  <c r="A1798" i="8"/>
  <c r="A1799" i="8"/>
  <c r="A1800" i="8"/>
  <c r="A1801" i="8"/>
  <c r="A1802" i="8"/>
  <c r="A1803" i="8"/>
  <c r="A1804" i="8"/>
  <c r="A1805" i="8"/>
  <c r="A1806" i="8"/>
  <c r="A1807" i="8"/>
  <c r="A1808" i="8"/>
  <c r="A1809" i="8"/>
  <c r="A1810" i="8"/>
  <c r="A1811" i="8"/>
  <c r="A1812" i="8"/>
  <c r="A1813" i="8"/>
  <c r="A1814" i="8"/>
  <c r="A1815" i="8"/>
  <c r="A1816" i="8"/>
  <c r="A1817" i="8"/>
  <c r="A1818" i="8"/>
  <c r="A1819" i="8"/>
  <c r="A1820" i="8"/>
  <c r="A1821" i="8"/>
  <c r="A1822" i="8"/>
  <c r="A1823" i="8"/>
  <c r="A1824" i="8"/>
  <c r="A1825" i="8"/>
  <c r="A1826" i="8"/>
  <c r="A1827" i="8"/>
  <c r="A1828" i="8"/>
  <c r="A1829" i="8"/>
  <c r="A1830" i="8"/>
  <c r="A1831" i="8"/>
  <c r="A1832" i="8"/>
  <c r="A1833" i="8"/>
  <c r="A1834" i="8"/>
  <c r="A1835" i="8"/>
  <c r="A1836" i="8"/>
  <c r="A1837" i="8"/>
  <c r="A1838" i="8"/>
  <c r="A1839" i="8"/>
  <c r="A1840" i="8"/>
  <c r="A1841" i="8"/>
  <c r="A1842" i="8"/>
  <c r="A1843" i="8"/>
  <c r="A1844" i="8"/>
  <c r="A1845" i="8"/>
  <c r="A1846" i="8"/>
  <c r="A1847" i="8"/>
  <c r="A1848" i="8"/>
  <c r="A1849" i="8"/>
  <c r="A1850" i="8"/>
  <c r="A1851" i="8"/>
  <c r="A1852" i="8"/>
  <c r="A1853" i="8"/>
  <c r="A1854" i="8"/>
  <c r="A1855" i="8"/>
  <c r="A1856" i="8"/>
  <c r="A1857" i="8"/>
  <c r="A1858" i="8"/>
  <c r="A1859" i="8"/>
  <c r="A1860" i="8"/>
  <c r="A1861" i="8"/>
  <c r="A1862" i="8"/>
  <c r="A1863" i="8"/>
  <c r="A1864" i="8"/>
  <c r="A1865" i="8"/>
  <c r="A1866" i="8"/>
  <c r="A1867" i="8"/>
  <c r="A1868" i="8"/>
  <c r="A1869" i="8"/>
  <c r="A1870" i="8"/>
  <c r="A1871" i="8"/>
  <c r="A1872" i="8"/>
  <c r="A1873" i="8"/>
  <c r="A1874" i="8"/>
  <c r="A1875" i="8"/>
  <c r="A1876" i="8"/>
  <c r="A1877" i="8"/>
  <c r="A1878" i="8"/>
  <c r="A1879" i="8"/>
  <c r="A1880" i="8"/>
  <c r="A1881" i="8"/>
  <c r="A1882" i="8"/>
  <c r="A1883" i="8"/>
  <c r="A1884" i="8"/>
  <c r="A1885" i="8"/>
  <c r="A1886" i="8"/>
  <c r="A1887" i="8"/>
  <c r="A1888" i="8"/>
  <c r="A1889" i="8"/>
  <c r="A1890" i="8"/>
  <c r="A1891" i="8"/>
  <c r="A1892" i="8"/>
  <c r="A1893" i="8"/>
  <c r="A1894" i="8"/>
  <c r="A1895" i="8"/>
  <c r="A1896" i="8"/>
  <c r="A1897" i="8"/>
  <c r="A1898" i="8"/>
  <c r="A1899" i="8"/>
  <c r="A1900" i="8"/>
  <c r="A1901" i="8"/>
  <c r="A1902" i="8"/>
  <c r="A1903" i="8"/>
  <c r="A1904" i="8"/>
  <c r="A1905" i="8"/>
  <c r="A1906" i="8"/>
  <c r="A1907" i="8"/>
  <c r="A1908" i="8"/>
  <c r="A1909" i="8"/>
  <c r="A1910" i="8"/>
  <c r="A1911" i="8"/>
  <c r="A1912" i="8"/>
  <c r="A1913" i="8"/>
  <c r="A1914" i="8"/>
  <c r="A1915" i="8"/>
  <c r="A1916" i="8"/>
  <c r="A1917" i="8"/>
  <c r="A1918" i="8"/>
  <c r="A1919" i="8"/>
  <c r="A1920" i="8"/>
  <c r="A1921" i="8"/>
  <c r="A1922" i="8"/>
  <c r="A1923" i="8"/>
  <c r="A1924" i="8"/>
  <c r="A1925" i="8"/>
  <c r="A1926" i="8"/>
  <c r="A1927" i="8"/>
  <c r="A1928" i="8"/>
  <c r="A1929" i="8"/>
  <c r="A1930" i="8"/>
  <c r="A1931" i="8"/>
  <c r="A1932" i="8"/>
  <c r="A1933" i="8"/>
  <c r="A1934" i="8"/>
  <c r="A1935" i="8"/>
  <c r="A1936" i="8"/>
  <c r="A1937" i="8"/>
  <c r="A1938" i="8"/>
  <c r="A1939" i="8"/>
  <c r="A1940" i="8"/>
  <c r="A1941" i="8"/>
  <c r="A1942" i="8"/>
  <c r="A1943" i="8"/>
  <c r="A1944" i="8"/>
  <c r="A1945" i="8"/>
  <c r="A1946" i="8"/>
  <c r="A1947" i="8"/>
  <c r="A1948" i="8"/>
  <c r="A1949" i="8"/>
  <c r="A1950" i="8"/>
  <c r="A1951" i="8"/>
  <c r="A1952" i="8"/>
  <c r="A1953" i="8"/>
  <c r="A1954" i="8"/>
  <c r="A1955" i="8"/>
  <c r="A1956" i="8"/>
  <c r="A1957" i="8"/>
  <c r="A1958" i="8"/>
  <c r="A1959" i="8"/>
  <c r="A1960" i="8"/>
  <c r="A1961" i="8"/>
  <c r="A1962" i="8"/>
  <c r="A1963" i="8"/>
  <c r="A1964" i="8"/>
  <c r="A1965" i="8"/>
  <c r="A1966" i="8"/>
  <c r="A1967" i="8"/>
  <c r="A1968" i="8"/>
  <c r="A1969" i="8"/>
  <c r="A1970" i="8"/>
  <c r="A1971" i="8"/>
  <c r="A1972" i="8"/>
  <c r="A1973" i="8"/>
  <c r="A1974" i="8"/>
  <c r="A1975" i="8"/>
  <c r="A1976" i="8"/>
  <c r="A1977" i="8"/>
  <c r="A1978" i="8"/>
  <c r="A1979" i="8"/>
  <c r="A1980" i="8"/>
  <c r="A1981" i="8"/>
  <c r="A1982" i="8"/>
  <c r="A1983" i="8"/>
  <c r="A1984" i="8"/>
  <c r="A1985" i="8"/>
  <c r="A1986" i="8"/>
  <c r="A1987" i="8"/>
  <c r="A1988" i="8"/>
  <c r="A1989" i="8"/>
  <c r="A1990" i="8"/>
  <c r="A1991" i="8"/>
  <c r="A1992" i="8"/>
  <c r="A1993" i="8"/>
  <c r="A1994" i="8"/>
  <c r="A1995" i="8"/>
  <c r="A1996" i="8"/>
  <c r="A1997" i="8"/>
  <c r="A1998" i="8"/>
  <c r="A1999" i="8"/>
  <c r="A2000" i="8"/>
  <c r="A2001" i="8"/>
  <c r="A2002" i="8"/>
  <c r="A2003" i="8"/>
  <c r="A2004" i="8"/>
  <c r="A2005" i="8"/>
  <c r="A2006" i="8"/>
  <c r="A2007" i="8"/>
  <c r="A2008" i="8"/>
  <c r="A2009" i="8"/>
  <c r="A2010" i="8"/>
  <c r="A2011" i="8"/>
  <c r="A2012" i="8"/>
  <c r="A2013" i="8"/>
  <c r="A2014" i="8"/>
  <c r="A2015" i="8"/>
  <c r="A2016" i="8"/>
  <c r="A2017" i="8"/>
  <c r="A2018" i="8"/>
  <c r="A2019" i="8"/>
  <c r="A2020" i="8"/>
  <c r="A2021" i="8"/>
  <c r="A2022" i="8"/>
  <c r="A2023" i="8"/>
  <c r="A2024" i="8"/>
  <c r="A2025" i="8"/>
  <c r="A2026" i="8"/>
  <c r="A2027" i="8"/>
  <c r="A2028" i="8"/>
  <c r="A2029" i="8"/>
  <c r="A2030" i="8"/>
  <c r="A2031" i="8"/>
  <c r="A2032" i="8"/>
  <c r="A2033" i="8"/>
  <c r="A2034" i="8"/>
  <c r="A2035" i="8"/>
  <c r="A2036" i="8"/>
  <c r="A2037" i="8"/>
  <c r="A2038" i="8"/>
  <c r="A2039" i="8"/>
  <c r="A2040" i="8"/>
  <c r="A2041" i="8"/>
  <c r="A2042" i="8"/>
  <c r="A2043" i="8"/>
  <c r="A2044" i="8"/>
  <c r="A2045" i="8"/>
  <c r="A2046" i="8"/>
  <c r="A2047" i="8"/>
  <c r="A2048" i="8"/>
  <c r="A2049" i="8"/>
  <c r="A2050" i="8"/>
  <c r="A2051" i="8"/>
  <c r="A2052" i="8"/>
  <c r="A2053" i="8"/>
  <c r="A2054" i="8"/>
  <c r="A2055" i="8"/>
  <c r="A2056" i="8"/>
  <c r="A2057" i="8"/>
  <c r="A2058" i="8"/>
  <c r="A2059" i="8"/>
  <c r="A2060" i="8"/>
  <c r="A2061" i="8"/>
  <c r="A2062" i="8"/>
  <c r="A2063" i="8"/>
  <c r="A2064" i="8"/>
  <c r="A2065" i="8"/>
  <c r="A2066" i="8"/>
  <c r="A2067" i="8"/>
  <c r="A2068" i="8"/>
  <c r="A2069" i="8"/>
  <c r="A2070" i="8"/>
  <c r="A2071" i="8"/>
  <c r="A2072" i="8"/>
  <c r="A2073" i="8"/>
  <c r="A2074" i="8"/>
  <c r="A2075" i="8"/>
  <c r="A2076" i="8"/>
  <c r="A2077" i="8"/>
  <c r="A2078" i="8"/>
  <c r="A2079" i="8"/>
  <c r="A2080" i="8"/>
  <c r="A2081" i="8"/>
  <c r="A2082" i="8"/>
  <c r="A2083" i="8"/>
  <c r="A2084" i="8"/>
  <c r="A2085" i="8"/>
  <c r="A2086" i="8"/>
  <c r="A2087" i="8"/>
  <c r="A2088" i="8"/>
  <c r="A2089" i="8"/>
  <c r="A2090" i="8"/>
  <c r="A2091" i="8"/>
  <c r="A2092" i="8"/>
  <c r="A2093" i="8"/>
  <c r="A2094" i="8"/>
  <c r="A2095" i="8"/>
  <c r="A2096" i="8"/>
  <c r="A2097" i="8"/>
  <c r="A2098" i="8"/>
  <c r="A2099" i="8"/>
  <c r="A2100" i="8"/>
  <c r="A2101" i="8"/>
  <c r="A2102" i="8"/>
  <c r="A2103" i="8"/>
  <c r="A2104" i="8"/>
  <c r="A2105" i="8"/>
  <c r="A2106" i="8"/>
  <c r="A2107" i="8"/>
  <c r="A2108" i="8"/>
  <c r="A2109" i="8"/>
  <c r="A2110" i="8"/>
  <c r="A2111" i="8"/>
  <c r="A2112" i="8"/>
  <c r="A2113" i="8"/>
  <c r="A2114" i="8"/>
  <c r="A2115" i="8"/>
  <c r="A2116" i="8"/>
  <c r="A2117" i="8"/>
  <c r="A2118" i="8"/>
  <c r="A2119" i="8"/>
  <c r="A2120" i="8"/>
  <c r="A2121" i="8"/>
  <c r="A2122" i="8"/>
  <c r="A2123" i="8"/>
  <c r="A2124" i="8"/>
  <c r="A2125" i="8"/>
  <c r="A2126" i="8"/>
  <c r="A2127" i="8"/>
  <c r="A2128" i="8"/>
  <c r="A2129" i="8"/>
  <c r="A2130" i="8"/>
  <c r="A2131" i="8"/>
  <c r="A2132" i="8"/>
  <c r="A2133" i="8"/>
  <c r="A2134" i="8"/>
  <c r="A2135" i="8"/>
  <c r="A2136" i="8"/>
  <c r="A2137" i="8"/>
  <c r="A2138" i="8"/>
  <c r="A2139" i="8"/>
  <c r="A2140" i="8"/>
  <c r="A2141" i="8"/>
  <c r="A2142" i="8"/>
  <c r="A2143" i="8"/>
  <c r="A2144" i="8"/>
  <c r="A2145" i="8"/>
  <c r="A2146" i="8"/>
  <c r="A2147" i="8"/>
  <c r="A2148" i="8"/>
  <c r="A2149" i="8"/>
  <c r="A2150" i="8"/>
  <c r="A2151" i="8"/>
  <c r="A2152" i="8"/>
  <c r="A2153" i="8"/>
  <c r="A2154" i="8"/>
  <c r="A2155" i="8"/>
  <c r="A2156" i="8"/>
  <c r="A2157" i="8"/>
  <c r="A2158" i="8"/>
  <c r="A2159" i="8"/>
  <c r="A2160" i="8"/>
  <c r="A2161" i="8"/>
  <c r="A2162" i="8"/>
  <c r="A2163" i="8"/>
  <c r="A2164" i="8"/>
  <c r="A2165" i="8"/>
  <c r="A2166" i="8"/>
  <c r="A2167" i="8"/>
  <c r="A2168" i="8"/>
  <c r="A2169" i="8"/>
  <c r="A2170" i="8"/>
  <c r="A2171" i="8"/>
  <c r="A2172" i="8"/>
  <c r="A2173" i="8"/>
  <c r="A2174" i="8"/>
  <c r="A2175" i="8"/>
  <c r="A2176" i="8"/>
  <c r="A2177" i="8"/>
  <c r="A2178" i="8"/>
  <c r="A2179" i="8"/>
  <c r="A2180" i="8"/>
  <c r="A2181" i="8"/>
  <c r="A2182" i="8"/>
  <c r="A2183" i="8"/>
  <c r="A2184" i="8"/>
  <c r="A2185" i="8"/>
  <c r="A2186" i="8"/>
  <c r="A2187" i="8"/>
  <c r="A2188" i="8"/>
  <c r="A2189" i="8"/>
  <c r="A2190" i="8"/>
  <c r="A2191" i="8"/>
  <c r="A2192" i="8"/>
  <c r="A2193" i="8"/>
  <c r="A2194" i="8"/>
  <c r="A2195" i="8"/>
  <c r="A2196" i="8"/>
  <c r="A2197" i="8"/>
  <c r="A2198" i="8"/>
  <c r="A2199" i="8"/>
  <c r="A2200" i="8"/>
  <c r="A2201" i="8"/>
  <c r="A2202" i="8"/>
  <c r="A2203" i="8"/>
  <c r="A2204" i="8"/>
  <c r="A2205" i="8"/>
  <c r="A2206" i="8"/>
  <c r="A2207" i="8"/>
  <c r="A2208" i="8"/>
  <c r="A2209" i="8"/>
  <c r="A2210" i="8"/>
  <c r="A2211" i="8"/>
  <c r="A2212" i="8"/>
  <c r="A2213" i="8"/>
  <c r="A2214" i="8"/>
  <c r="A2215" i="8"/>
  <c r="A2216" i="8"/>
  <c r="A2217" i="8"/>
  <c r="A2218" i="8"/>
  <c r="A2219" i="8"/>
  <c r="A2220" i="8"/>
  <c r="A2221" i="8"/>
  <c r="A2222" i="8"/>
  <c r="A2223" i="8"/>
  <c r="A2224" i="8"/>
  <c r="A2225" i="8"/>
  <c r="A2226" i="8"/>
  <c r="A2227" i="8"/>
  <c r="A2228" i="8"/>
  <c r="A2229" i="8"/>
  <c r="A2230" i="8"/>
  <c r="A2231" i="8"/>
  <c r="A2232" i="8"/>
  <c r="A2233" i="8"/>
  <c r="A2234" i="8"/>
  <c r="A2235" i="8"/>
  <c r="A2236" i="8"/>
  <c r="A2237" i="8"/>
  <c r="A2238" i="8"/>
  <c r="A2239" i="8"/>
  <c r="A2240" i="8"/>
  <c r="A2241" i="8"/>
  <c r="A2242" i="8"/>
  <c r="A2243" i="8"/>
  <c r="A2244" i="8"/>
  <c r="A2245" i="8"/>
  <c r="A2246" i="8"/>
  <c r="A2247" i="8"/>
  <c r="A2248" i="8"/>
  <c r="A2249" i="8"/>
  <c r="A2250" i="8"/>
  <c r="A2251" i="8"/>
  <c r="A2252" i="8"/>
  <c r="A2253" i="8"/>
  <c r="A2254" i="8"/>
  <c r="A2255" i="8"/>
  <c r="A2256" i="8"/>
  <c r="A2257" i="8"/>
  <c r="A2258" i="8"/>
  <c r="A2259" i="8"/>
  <c r="A2260" i="8"/>
  <c r="A2261" i="8"/>
  <c r="A2262" i="8"/>
  <c r="A2263" i="8"/>
  <c r="A2264" i="8"/>
  <c r="A2265" i="8"/>
  <c r="A2266" i="8"/>
  <c r="A2267" i="8"/>
  <c r="A2268" i="8"/>
  <c r="A2269" i="8"/>
  <c r="A2270" i="8"/>
  <c r="A2271" i="8"/>
  <c r="A2272" i="8"/>
  <c r="A2273" i="8"/>
  <c r="A2274" i="8"/>
  <c r="A2275" i="8"/>
  <c r="A2276" i="8"/>
  <c r="A2277" i="8"/>
  <c r="A2278" i="8"/>
  <c r="A2279" i="8"/>
  <c r="A2280" i="8"/>
  <c r="A2281" i="8"/>
  <c r="A2282" i="8"/>
  <c r="A2283" i="8"/>
  <c r="A2284" i="8"/>
  <c r="A2285" i="8"/>
  <c r="A2286" i="8"/>
  <c r="A2287" i="8"/>
  <c r="A2288" i="8"/>
  <c r="A2289" i="8"/>
  <c r="A2290" i="8"/>
  <c r="A2291" i="8"/>
  <c r="A2292" i="8"/>
  <c r="A2293" i="8"/>
  <c r="A2294" i="8"/>
  <c r="A2295" i="8"/>
  <c r="A2296" i="8"/>
  <c r="A2297" i="8"/>
  <c r="A2298" i="8"/>
  <c r="A2299" i="8"/>
  <c r="A2300" i="8"/>
  <c r="A2301" i="8"/>
  <c r="A2302" i="8"/>
  <c r="A2303" i="8"/>
  <c r="A2304" i="8"/>
  <c r="A2305" i="8"/>
  <c r="A2306" i="8"/>
  <c r="A2307" i="8"/>
  <c r="A2308" i="8"/>
  <c r="A2309" i="8"/>
  <c r="A2310" i="8"/>
  <c r="A2311" i="8"/>
  <c r="A2312" i="8"/>
  <c r="A2313" i="8"/>
  <c r="A2314" i="8"/>
  <c r="A2315" i="8"/>
  <c r="A2316" i="8"/>
  <c r="A2317" i="8"/>
  <c r="A2318" i="8"/>
  <c r="A2319" i="8"/>
  <c r="A2320" i="8"/>
  <c r="A2321" i="8"/>
  <c r="A2322" i="8"/>
  <c r="A2323" i="8"/>
  <c r="A2324" i="8"/>
  <c r="A2325" i="8"/>
  <c r="A2326" i="8"/>
  <c r="A2327" i="8"/>
  <c r="A2328" i="8"/>
  <c r="A2329" i="8"/>
  <c r="A2330" i="8"/>
  <c r="A2331" i="8"/>
  <c r="A2332" i="8"/>
  <c r="A2333" i="8"/>
  <c r="A2334" i="8"/>
  <c r="A2335" i="8"/>
  <c r="A2336" i="8"/>
  <c r="A2337" i="8"/>
  <c r="A2338" i="8"/>
  <c r="A2339" i="8"/>
  <c r="A2340" i="8"/>
  <c r="A2341" i="8"/>
  <c r="A2342" i="8"/>
  <c r="A2343" i="8"/>
  <c r="A2344" i="8"/>
  <c r="A2345" i="8"/>
  <c r="A2346" i="8"/>
  <c r="A2347" i="8"/>
  <c r="A2348" i="8"/>
  <c r="A2349" i="8"/>
  <c r="A2350" i="8"/>
  <c r="A2351" i="8"/>
  <c r="A2352" i="8"/>
  <c r="A2353" i="8"/>
  <c r="A2354" i="8"/>
  <c r="A2355" i="8"/>
  <c r="A2356" i="8"/>
  <c r="A2357" i="8"/>
  <c r="A2358" i="8"/>
  <c r="A2359" i="8"/>
  <c r="A2360" i="8"/>
  <c r="A2361" i="8"/>
  <c r="A2362" i="8"/>
  <c r="A2363" i="8"/>
  <c r="A2364" i="8"/>
  <c r="A2365" i="8"/>
  <c r="A2366" i="8"/>
  <c r="A2367" i="8"/>
  <c r="A2368" i="8"/>
  <c r="A2369" i="8"/>
  <c r="A2370" i="8"/>
  <c r="A2371" i="8"/>
  <c r="A2372" i="8"/>
  <c r="A2373" i="8"/>
  <c r="A2374" i="8"/>
  <c r="A2375" i="8"/>
  <c r="A2376" i="8"/>
  <c r="A2377" i="8"/>
  <c r="A2378" i="8"/>
  <c r="A2379" i="8"/>
  <c r="A2380" i="8"/>
  <c r="A2381" i="8"/>
  <c r="A2382" i="8"/>
  <c r="A2383" i="8"/>
  <c r="A2384" i="8"/>
  <c r="A2385" i="8"/>
  <c r="A2386" i="8"/>
  <c r="A2387" i="8"/>
  <c r="A2388" i="8"/>
  <c r="A2389" i="8"/>
  <c r="A2390" i="8"/>
  <c r="A2391" i="8"/>
  <c r="A2392" i="8"/>
  <c r="A2393" i="8"/>
  <c r="A2394" i="8"/>
  <c r="A2395" i="8"/>
  <c r="A2396" i="8"/>
  <c r="A2397" i="8"/>
  <c r="A2398" i="8"/>
  <c r="A2399" i="8"/>
  <c r="A2400" i="8"/>
  <c r="A2401" i="8"/>
  <c r="A2402" i="8"/>
  <c r="A2403" i="8"/>
  <c r="A2404" i="8"/>
  <c r="A2405" i="8"/>
  <c r="A2406" i="8"/>
  <c r="A2407" i="8"/>
  <c r="A2408" i="8"/>
  <c r="A2409" i="8"/>
  <c r="A2410" i="8"/>
  <c r="A2411" i="8"/>
  <c r="A2412" i="8"/>
  <c r="A2413" i="8"/>
  <c r="A2414" i="8"/>
  <c r="A2415" i="8"/>
  <c r="A2416" i="8"/>
  <c r="A2417" i="8"/>
  <c r="A2418" i="8"/>
  <c r="A2419" i="8"/>
  <c r="A2420" i="8"/>
  <c r="A2421" i="8"/>
  <c r="A2422" i="8"/>
  <c r="A2423" i="8"/>
  <c r="A2424" i="8"/>
  <c r="A2425" i="8"/>
  <c r="A2426" i="8"/>
  <c r="A2427" i="8"/>
  <c r="A2428" i="8"/>
  <c r="A2429" i="8"/>
  <c r="A2430" i="8"/>
  <c r="A2431" i="8"/>
  <c r="A2432" i="8"/>
  <c r="A2433" i="8"/>
  <c r="A2434" i="8"/>
  <c r="A2435" i="8"/>
  <c r="A2436" i="8"/>
  <c r="A2437" i="8"/>
  <c r="A2438" i="8"/>
  <c r="A2439" i="8"/>
  <c r="A2440" i="8"/>
  <c r="A2441" i="8"/>
  <c r="A2442" i="8"/>
  <c r="A2443" i="8"/>
  <c r="A2444" i="8"/>
  <c r="A2445" i="8"/>
  <c r="A2446" i="8"/>
  <c r="A2447" i="8"/>
  <c r="A2448" i="8"/>
  <c r="A2449" i="8"/>
  <c r="A2450" i="8"/>
  <c r="A2451" i="8"/>
  <c r="A2452" i="8"/>
  <c r="A2453" i="8"/>
  <c r="A2454" i="8"/>
  <c r="A2455" i="8"/>
  <c r="A2456" i="8"/>
  <c r="A2457" i="8"/>
  <c r="A2458" i="8"/>
  <c r="A2459" i="8"/>
  <c r="A2460" i="8"/>
  <c r="A2461" i="8"/>
  <c r="A2462" i="8"/>
  <c r="A2463" i="8"/>
  <c r="A2464" i="8"/>
  <c r="A2465" i="8"/>
  <c r="A2466" i="8"/>
  <c r="A2467" i="8"/>
  <c r="A2468" i="8"/>
  <c r="A2469" i="8"/>
  <c r="A2470" i="8"/>
  <c r="A2471" i="8"/>
  <c r="A2472" i="8"/>
  <c r="A2473" i="8"/>
  <c r="A2474" i="8"/>
  <c r="A2475" i="8"/>
  <c r="A2476" i="8"/>
  <c r="A2477" i="8"/>
  <c r="A2478" i="8"/>
  <c r="A2479" i="8"/>
  <c r="A2480" i="8"/>
  <c r="A2481" i="8"/>
  <c r="A2482" i="8"/>
  <c r="A2483" i="8"/>
  <c r="A2484" i="8"/>
  <c r="A2485" i="8"/>
  <c r="A2486" i="8"/>
  <c r="A2487" i="8"/>
  <c r="A2488" i="8"/>
  <c r="A2489" i="8"/>
  <c r="A2490" i="8"/>
  <c r="A2491" i="8"/>
  <c r="A2492" i="8"/>
  <c r="A2493" i="8"/>
  <c r="A2494" i="8"/>
  <c r="A2495" i="8"/>
  <c r="A2496" i="8"/>
  <c r="A2497" i="8"/>
  <c r="A2498" i="8"/>
  <c r="A2499" i="8"/>
  <c r="A2500" i="8"/>
  <c r="A2501" i="8"/>
  <c r="A2502" i="8"/>
  <c r="A2503" i="8"/>
  <c r="A2504" i="8"/>
  <c r="A2505" i="8"/>
  <c r="A2506" i="8"/>
  <c r="A2507" i="8"/>
  <c r="A2508" i="8"/>
  <c r="A2509" i="8"/>
  <c r="A2510" i="8"/>
  <c r="A2511" i="8"/>
  <c r="A2512" i="8"/>
  <c r="A2513" i="8"/>
  <c r="A2514" i="8"/>
  <c r="A2515" i="8"/>
  <c r="A2516" i="8"/>
  <c r="A2517" i="8"/>
  <c r="A2518" i="8"/>
  <c r="A2519" i="8"/>
  <c r="A2520" i="8"/>
  <c r="A2521" i="8"/>
  <c r="A2522" i="8"/>
  <c r="A2523" i="8"/>
  <c r="A2524" i="8"/>
  <c r="A2525" i="8"/>
  <c r="A2526" i="8"/>
  <c r="A2527" i="8"/>
  <c r="A2528" i="8"/>
  <c r="A2529" i="8"/>
  <c r="A2530" i="8"/>
  <c r="A2531" i="8"/>
  <c r="A2532" i="8"/>
  <c r="A2533" i="8"/>
  <c r="A2534" i="8"/>
  <c r="A2535" i="8"/>
  <c r="A2536" i="8"/>
  <c r="A2537" i="8"/>
  <c r="A2538" i="8"/>
  <c r="A2539" i="8"/>
  <c r="A2540" i="8"/>
  <c r="A2541" i="8"/>
  <c r="A2542" i="8"/>
  <c r="A2543" i="8"/>
  <c r="A2544" i="8"/>
  <c r="A2545" i="8"/>
  <c r="A2546" i="8"/>
  <c r="A2547" i="8"/>
  <c r="A2548" i="8"/>
  <c r="A2549" i="8"/>
  <c r="A2550" i="8"/>
  <c r="A2551" i="8"/>
  <c r="A2552" i="8"/>
  <c r="A2553" i="8"/>
  <c r="A2554" i="8"/>
  <c r="A2555" i="8"/>
  <c r="A2556" i="8"/>
  <c r="A2557" i="8"/>
  <c r="A2558" i="8"/>
  <c r="A2559" i="8"/>
  <c r="A2560" i="8"/>
  <c r="A2561" i="8"/>
  <c r="A2562" i="8"/>
  <c r="A2563" i="8"/>
  <c r="A2564" i="8"/>
  <c r="A2565" i="8"/>
  <c r="A2566" i="8"/>
  <c r="A2567" i="8"/>
  <c r="A2568" i="8"/>
  <c r="A2569" i="8"/>
  <c r="A2570" i="8"/>
  <c r="A2571" i="8"/>
  <c r="A2572" i="8"/>
  <c r="A2573" i="8"/>
  <c r="A2574" i="8"/>
  <c r="A2575" i="8"/>
  <c r="A2576" i="8"/>
  <c r="A2577" i="8"/>
  <c r="A2578" i="8"/>
  <c r="A2579" i="8"/>
  <c r="A2580" i="8"/>
  <c r="A2581" i="8"/>
  <c r="A2582" i="8"/>
  <c r="A2583" i="8"/>
  <c r="A2584" i="8"/>
  <c r="A2585" i="8"/>
  <c r="A2586" i="8"/>
  <c r="A2587" i="8"/>
  <c r="A2588" i="8"/>
  <c r="A2589" i="8"/>
  <c r="A2590" i="8"/>
  <c r="A2591" i="8"/>
  <c r="A2592" i="8"/>
  <c r="A2593" i="8"/>
  <c r="A2594" i="8"/>
  <c r="A2595" i="8"/>
  <c r="A2596" i="8"/>
  <c r="A2597" i="8"/>
  <c r="A2598" i="8"/>
  <c r="A2599" i="8"/>
  <c r="A2600" i="8"/>
  <c r="A2601" i="8"/>
  <c r="A2602" i="8"/>
  <c r="A2603" i="8"/>
  <c r="A2604" i="8"/>
  <c r="A2605" i="8"/>
  <c r="A2606" i="8"/>
  <c r="A2607" i="8"/>
  <c r="A2608" i="8"/>
  <c r="A2609" i="8"/>
  <c r="A2610" i="8"/>
  <c r="A2611" i="8"/>
  <c r="A2612" i="8"/>
  <c r="A2613" i="8"/>
  <c r="A2614" i="8"/>
  <c r="A2615" i="8"/>
  <c r="A2616" i="8"/>
  <c r="A2617" i="8"/>
  <c r="A2618" i="8"/>
  <c r="A2619" i="8"/>
  <c r="A2620" i="8"/>
  <c r="A2621" i="8"/>
  <c r="A2622" i="8"/>
  <c r="A2623" i="8"/>
  <c r="A2624" i="8"/>
  <c r="A2625" i="8"/>
  <c r="A2626" i="8"/>
  <c r="A2627" i="8"/>
  <c r="A2628" i="8"/>
  <c r="A2629" i="8"/>
  <c r="A2630" i="8"/>
  <c r="A2631" i="8"/>
  <c r="A2632" i="8"/>
  <c r="A2633" i="8"/>
  <c r="A2634" i="8"/>
  <c r="A2635" i="8"/>
  <c r="A2636" i="8"/>
  <c r="A2637" i="8"/>
  <c r="A2638" i="8"/>
  <c r="A2639" i="8"/>
  <c r="A2640" i="8"/>
  <c r="A2641" i="8"/>
  <c r="A2642" i="8"/>
  <c r="A2643" i="8"/>
  <c r="A2644" i="8"/>
  <c r="A2645" i="8"/>
  <c r="A2646" i="8"/>
  <c r="A2647" i="8"/>
  <c r="A2648" i="8"/>
  <c r="A2649" i="8"/>
  <c r="A2650" i="8"/>
  <c r="A2651" i="8"/>
  <c r="A2652" i="8"/>
  <c r="A2653" i="8"/>
  <c r="A2654" i="8"/>
  <c r="A2655" i="8"/>
  <c r="A2656" i="8"/>
  <c r="A2657" i="8"/>
  <c r="A2658" i="8"/>
  <c r="A2659" i="8"/>
  <c r="A2660" i="8"/>
  <c r="A2661" i="8"/>
  <c r="A2662" i="8"/>
  <c r="A2663" i="8"/>
  <c r="A2664" i="8"/>
  <c r="A2665" i="8"/>
  <c r="A2666" i="8"/>
  <c r="A2667" i="8"/>
  <c r="A2668" i="8"/>
  <c r="A2669" i="8"/>
  <c r="A2670" i="8"/>
  <c r="A2671" i="8"/>
  <c r="A2672" i="8"/>
  <c r="A2673" i="8"/>
  <c r="A2674" i="8"/>
  <c r="A2675" i="8"/>
  <c r="A2676" i="8"/>
  <c r="A2677" i="8"/>
  <c r="A2678" i="8"/>
  <c r="A2679" i="8"/>
  <c r="A2680" i="8"/>
  <c r="A2681" i="8"/>
  <c r="A2682" i="8"/>
  <c r="A2683" i="8"/>
  <c r="A2684" i="8"/>
  <c r="A2685" i="8"/>
  <c r="A2686" i="8"/>
  <c r="A2687" i="8"/>
  <c r="A2688" i="8"/>
  <c r="A2689" i="8"/>
  <c r="A2690" i="8"/>
  <c r="A2691" i="8"/>
  <c r="A2692" i="8"/>
  <c r="A2693" i="8"/>
  <c r="A2694" i="8"/>
  <c r="A2695" i="8"/>
  <c r="A2696" i="8"/>
  <c r="A2697" i="8"/>
  <c r="A2698" i="8"/>
  <c r="A2699" i="8"/>
  <c r="A2700" i="8"/>
  <c r="A2701" i="8"/>
  <c r="A2702" i="8"/>
  <c r="A2703" i="8"/>
  <c r="A2704" i="8"/>
  <c r="A2705" i="8"/>
  <c r="A2706" i="8"/>
  <c r="A2707" i="8"/>
  <c r="A2708" i="8"/>
  <c r="A2709" i="8"/>
  <c r="A2710" i="8"/>
  <c r="A2711" i="8"/>
  <c r="A2712" i="8"/>
  <c r="A2713" i="8"/>
  <c r="A2714" i="8"/>
  <c r="A2715" i="8"/>
  <c r="A2716" i="8"/>
  <c r="A2717" i="8"/>
  <c r="A2718" i="8"/>
  <c r="A2719" i="8"/>
  <c r="A2720" i="8"/>
  <c r="A2721" i="8"/>
  <c r="A2722" i="8"/>
  <c r="A2723" i="8"/>
  <c r="A2724" i="8"/>
  <c r="A2725" i="8"/>
  <c r="A2726" i="8"/>
  <c r="A2727" i="8"/>
  <c r="A2728" i="8"/>
  <c r="A2729" i="8"/>
  <c r="A2730" i="8"/>
  <c r="A2731" i="8"/>
  <c r="A2732" i="8"/>
  <c r="A2733" i="8"/>
  <c r="A2734" i="8"/>
  <c r="A2735" i="8"/>
  <c r="A2736" i="8"/>
  <c r="A2737" i="8"/>
  <c r="A2738" i="8"/>
  <c r="A2739" i="8"/>
  <c r="A2740" i="8"/>
  <c r="A2741" i="8"/>
  <c r="A2742" i="8"/>
  <c r="A2743" i="8"/>
  <c r="A2744" i="8"/>
  <c r="A2745" i="8"/>
  <c r="A2746" i="8"/>
  <c r="A2747" i="8"/>
  <c r="A2748" i="8"/>
  <c r="A2749" i="8"/>
  <c r="A2750" i="8"/>
  <c r="A2751" i="8"/>
  <c r="A2752" i="8"/>
  <c r="A2753" i="8"/>
  <c r="A2754" i="8"/>
  <c r="A2755" i="8"/>
  <c r="A2756" i="8"/>
  <c r="A2757" i="8"/>
  <c r="A2758" i="8"/>
  <c r="A2759" i="8"/>
  <c r="A2760" i="8"/>
  <c r="A2761" i="8"/>
  <c r="A2762" i="8"/>
  <c r="A2763" i="8"/>
  <c r="A2764" i="8"/>
  <c r="A2765" i="8"/>
  <c r="A2766" i="8"/>
  <c r="A2767" i="8"/>
  <c r="A2768" i="8"/>
  <c r="A2769" i="8"/>
  <c r="A2770" i="8"/>
  <c r="A2771" i="8"/>
  <c r="A2772" i="8"/>
  <c r="A2773" i="8"/>
  <c r="A2774" i="8"/>
  <c r="A2775" i="8"/>
  <c r="A2776" i="8"/>
  <c r="A2777" i="8"/>
  <c r="A2778" i="8"/>
  <c r="A2779" i="8"/>
  <c r="A2780" i="8"/>
  <c r="A2781" i="8"/>
  <c r="A2782" i="8"/>
  <c r="A2783" i="8"/>
  <c r="A2784" i="8"/>
  <c r="A2785" i="8"/>
  <c r="A2786" i="8"/>
  <c r="A2787" i="8"/>
  <c r="A2788" i="8"/>
  <c r="A2789" i="8"/>
  <c r="A2790" i="8"/>
  <c r="A2791" i="8"/>
  <c r="A2792" i="8"/>
  <c r="A2793" i="8"/>
  <c r="A2794" i="8"/>
  <c r="A2795" i="8"/>
  <c r="A2796" i="8"/>
  <c r="A2797" i="8"/>
  <c r="A2798" i="8"/>
  <c r="A2799" i="8"/>
  <c r="A2800" i="8"/>
  <c r="A2801" i="8"/>
  <c r="A2802" i="8"/>
  <c r="A2803" i="8"/>
  <c r="A2804" i="8"/>
  <c r="A2805" i="8"/>
  <c r="A2806" i="8"/>
  <c r="A2807" i="8"/>
  <c r="A2808" i="8"/>
  <c r="A2809" i="8"/>
  <c r="A2810" i="8"/>
  <c r="A2811" i="8"/>
  <c r="A2812" i="8"/>
  <c r="A2813" i="8"/>
  <c r="A2814" i="8"/>
  <c r="A2815" i="8"/>
  <c r="A2816" i="8"/>
  <c r="A2817" i="8"/>
  <c r="A2818" i="8"/>
  <c r="A2819" i="8"/>
  <c r="A2820" i="8"/>
  <c r="A2821" i="8"/>
  <c r="A2822" i="8"/>
  <c r="A2823" i="8"/>
  <c r="A2824" i="8"/>
  <c r="A2825" i="8"/>
  <c r="A2826" i="8"/>
  <c r="A2827" i="8"/>
  <c r="A2828" i="8"/>
  <c r="A2829" i="8"/>
  <c r="A2830" i="8"/>
  <c r="A2831" i="8"/>
  <c r="A2832" i="8"/>
  <c r="A2833" i="8"/>
  <c r="A2834" i="8"/>
  <c r="A2835" i="8"/>
  <c r="A2836" i="8"/>
  <c r="A2837" i="8"/>
  <c r="A2838" i="8"/>
  <c r="A2839" i="8"/>
  <c r="A2840" i="8"/>
  <c r="A2841" i="8"/>
  <c r="A2842" i="8"/>
  <c r="A2843" i="8"/>
  <c r="A2844" i="8"/>
  <c r="A2845" i="8"/>
  <c r="A2846" i="8"/>
  <c r="A2847" i="8"/>
  <c r="A2848" i="8"/>
  <c r="A2849" i="8"/>
  <c r="A2850" i="8"/>
  <c r="A2851" i="8"/>
  <c r="A2852" i="8"/>
  <c r="A2853" i="8"/>
  <c r="A2854" i="8"/>
  <c r="A2855" i="8"/>
  <c r="A2856" i="8"/>
  <c r="A2857" i="8"/>
  <c r="A2858" i="8"/>
  <c r="A2859" i="8"/>
  <c r="A2860" i="8"/>
  <c r="A2861" i="8"/>
  <c r="A2862" i="8"/>
  <c r="A2863" i="8"/>
  <c r="A2864" i="8"/>
  <c r="A2865" i="8"/>
  <c r="A2866" i="8"/>
  <c r="A2867" i="8"/>
  <c r="A2868" i="8"/>
  <c r="A2869" i="8"/>
  <c r="A2870" i="8"/>
  <c r="A2871" i="8"/>
  <c r="A2872" i="8"/>
  <c r="A2873" i="8"/>
  <c r="A2874" i="8"/>
  <c r="A2875" i="8"/>
  <c r="A2876" i="8"/>
  <c r="A2877" i="8"/>
  <c r="A2878" i="8"/>
  <c r="A2879" i="8"/>
  <c r="A2880" i="8"/>
  <c r="A2881" i="8"/>
  <c r="A2882" i="8"/>
  <c r="A2883" i="8"/>
  <c r="A2884" i="8"/>
  <c r="A2885" i="8"/>
  <c r="A2886" i="8"/>
  <c r="A2887" i="8"/>
  <c r="A2888" i="8"/>
  <c r="A2889" i="8"/>
  <c r="A2890" i="8"/>
  <c r="A2891" i="8"/>
  <c r="A2892" i="8"/>
  <c r="A2893" i="8"/>
  <c r="A2894" i="8"/>
  <c r="A2895" i="8"/>
  <c r="A2896" i="8"/>
  <c r="A2897" i="8"/>
  <c r="A2898" i="8"/>
  <c r="A2899" i="8"/>
  <c r="A2900" i="8"/>
  <c r="A2901" i="8"/>
  <c r="A2902" i="8"/>
  <c r="A2903" i="8"/>
  <c r="A2904" i="8"/>
  <c r="A2905" i="8"/>
  <c r="A2906" i="8"/>
  <c r="A2907" i="8"/>
  <c r="A2908" i="8"/>
  <c r="A2909" i="8"/>
  <c r="A2910" i="8"/>
  <c r="A2911" i="8"/>
  <c r="A2912" i="8"/>
  <c r="A2913" i="8"/>
  <c r="A2914" i="8"/>
  <c r="A2915" i="8"/>
  <c r="A2916" i="8"/>
  <c r="A2917" i="8"/>
  <c r="A2918" i="8"/>
  <c r="A2919" i="8"/>
  <c r="A2920" i="8"/>
  <c r="A2921" i="8"/>
  <c r="A2922" i="8"/>
  <c r="A2923" i="8"/>
  <c r="A2924" i="8"/>
  <c r="A2925" i="8"/>
  <c r="A2926" i="8"/>
  <c r="A2927" i="8"/>
  <c r="A2928" i="8"/>
  <c r="A2929" i="8"/>
  <c r="A2930" i="8"/>
  <c r="A2931" i="8"/>
  <c r="A2932" i="8"/>
  <c r="A2933" i="8"/>
  <c r="A2934" i="8"/>
  <c r="A2935" i="8"/>
  <c r="A2936" i="8"/>
  <c r="A2937" i="8"/>
  <c r="A2938" i="8"/>
  <c r="A2939" i="8"/>
  <c r="A2940" i="8"/>
  <c r="A2941" i="8"/>
  <c r="A2942" i="8"/>
  <c r="A2943" i="8"/>
  <c r="A2944" i="8"/>
  <c r="A2945" i="8"/>
  <c r="A2946" i="8"/>
  <c r="A2947" i="8"/>
  <c r="A2948" i="8"/>
  <c r="A2949" i="8"/>
  <c r="A2950" i="8"/>
  <c r="A2951" i="8"/>
  <c r="A2952" i="8"/>
  <c r="A2953" i="8"/>
  <c r="A2954" i="8"/>
  <c r="A2955" i="8"/>
  <c r="A2956" i="8"/>
  <c r="A2957" i="8"/>
  <c r="A2958" i="8"/>
  <c r="A2959" i="8"/>
  <c r="A2960" i="8"/>
  <c r="A2961" i="8"/>
  <c r="A2962" i="8"/>
  <c r="A2963" i="8"/>
  <c r="A2964" i="8"/>
  <c r="A2965" i="8"/>
  <c r="A2966" i="8"/>
  <c r="A2967" i="8"/>
  <c r="A2968" i="8"/>
  <c r="A2969" i="8"/>
  <c r="A2970" i="8"/>
  <c r="A2971" i="8"/>
  <c r="A2972" i="8"/>
  <c r="A2973" i="8"/>
  <c r="A2974" i="8"/>
  <c r="A2975" i="8"/>
  <c r="A2976" i="8"/>
  <c r="A2977" i="8"/>
  <c r="A2978" i="8"/>
  <c r="A2979" i="8"/>
  <c r="A2980" i="8"/>
  <c r="A2981" i="8"/>
  <c r="A2982" i="8"/>
  <c r="A2983" i="8"/>
  <c r="A2984" i="8"/>
  <c r="A2985" i="8"/>
  <c r="A2986" i="8"/>
  <c r="A2987" i="8"/>
  <c r="A2988" i="8"/>
  <c r="A2989" i="8"/>
  <c r="A2990" i="8"/>
  <c r="A2991" i="8"/>
  <c r="A2992" i="8"/>
  <c r="A2993" i="8"/>
  <c r="A2994" i="8"/>
  <c r="A2995" i="8"/>
  <c r="A2996" i="8"/>
  <c r="A2997" i="8"/>
  <c r="A2998" i="8"/>
  <c r="A2999" i="8"/>
  <c r="A3000" i="8"/>
  <c r="A3001" i="8"/>
  <c r="A3002" i="8"/>
  <c r="A3003" i="8"/>
  <c r="A3004" i="8"/>
  <c r="A3005" i="8"/>
  <c r="A3006" i="8"/>
  <c r="A3007" i="8"/>
  <c r="A3008" i="8"/>
  <c r="A3009" i="8"/>
  <c r="A3010" i="8"/>
  <c r="A3011" i="8"/>
  <c r="A3012" i="8"/>
  <c r="A3013" i="8"/>
  <c r="A3014" i="8"/>
  <c r="A3015" i="8"/>
  <c r="A3016" i="8"/>
  <c r="A3017" i="8"/>
  <c r="A3018" i="8"/>
  <c r="A3019" i="8"/>
  <c r="A3020" i="8"/>
  <c r="A3021" i="8"/>
  <c r="A3022" i="8"/>
  <c r="A3023" i="8"/>
  <c r="A3024" i="8"/>
  <c r="A3025" i="8"/>
  <c r="A3026" i="8"/>
  <c r="A3027" i="8"/>
  <c r="A3028" i="8"/>
  <c r="A3029" i="8"/>
  <c r="A3030" i="8"/>
  <c r="A3031" i="8"/>
  <c r="A3032" i="8"/>
  <c r="A3033" i="8"/>
  <c r="A3034" i="8"/>
  <c r="A3035" i="8"/>
  <c r="A3036" i="8"/>
  <c r="A3037" i="8"/>
  <c r="A3038" i="8"/>
  <c r="A3039" i="8"/>
  <c r="A3040" i="8"/>
  <c r="A3041" i="8"/>
  <c r="A3042" i="8"/>
  <c r="A3043" i="8"/>
  <c r="A3044" i="8"/>
  <c r="A3045" i="8"/>
  <c r="A3046" i="8"/>
  <c r="A3047" i="8"/>
  <c r="A3048" i="8"/>
  <c r="A3049" i="8"/>
  <c r="A3050" i="8"/>
  <c r="A3051" i="8"/>
  <c r="A3052" i="8"/>
  <c r="A3053" i="8"/>
  <c r="A3054" i="8"/>
  <c r="A3055" i="8"/>
  <c r="A3056" i="8"/>
  <c r="A3057" i="8"/>
  <c r="A3058" i="8"/>
  <c r="A3059" i="8"/>
  <c r="A3060" i="8"/>
  <c r="A3061" i="8"/>
  <c r="A3062" i="8"/>
  <c r="A3063" i="8"/>
  <c r="A3064" i="8"/>
  <c r="A3065" i="8"/>
  <c r="A3066" i="8"/>
  <c r="A3067" i="8"/>
  <c r="A3068" i="8"/>
  <c r="A3069" i="8"/>
  <c r="A3070" i="8"/>
  <c r="A3071" i="8"/>
  <c r="A3072" i="8"/>
  <c r="A3073" i="8"/>
  <c r="A3074" i="8"/>
  <c r="A3075" i="8"/>
  <c r="A3076" i="8"/>
  <c r="A3077" i="8"/>
  <c r="A3078" i="8"/>
  <c r="A3079" i="8"/>
  <c r="A3080" i="8"/>
  <c r="A3081" i="8"/>
  <c r="A3082" i="8"/>
  <c r="A3083" i="8"/>
  <c r="A3084" i="8"/>
  <c r="A3085" i="8"/>
  <c r="A3086" i="8"/>
  <c r="A3087" i="8"/>
  <c r="A3088" i="8"/>
  <c r="A3089" i="8"/>
  <c r="A3090" i="8"/>
  <c r="A3091" i="8"/>
  <c r="A3092" i="8"/>
  <c r="A3093" i="8"/>
  <c r="A3094" i="8"/>
  <c r="A3095" i="8"/>
  <c r="A3096" i="8"/>
  <c r="A3097" i="8"/>
  <c r="A3098" i="8"/>
  <c r="A3099" i="8"/>
  <c r="A3100" i="8"/>
  <c r="A3101" i="8"/>
  <c r="A3102" i="8"/>
  <c r="A3103" i="8"/>
  <c r="A3104" i="8"/>
  <c r="A3105" i="8"/>
  <c r="A3106" i="8"/>
  <c r="A3107" i="8"/>
  <c r="A3108" i="8"/>
  <c r="A3109" i="8"/>
  <c r="A3110" i="8"/>
  <c r="A3111" i="8"/>
  <c r="A3112" i="8"/>
  <c r="A3113" i="8"/>
  <c r="A3114" i="8"/>
  <c r="A3115" i="8"/>
  <c r="A3116" i="8"/>
  <c r="A3117" i="8"/>
  <c r="A3118" i="8"/>
  <c r="A3119" i="8"/>
  <c r="A3120" i="8"/>
  <c r="A3121" i="8"/>
  <c r="A3122" i="8"/>
  <c r="A3123" i="8"/>
  <c r="A3124" i="8"/>
  <c r="A3125" i="8"/>
  <c r="A3126" i="8"/>
  <c r="A3127" i="8"/>
  <c r="A3128" i="8"/>
  <c r="A3129" i="8"/>
  <c r="A3130" i="8"/>
  <c r="A3131" i="8"/>
  <c r="A3132" i="8"/>
  <c r="A3133" i="8"/>
  <c r="A3134" i="8"/>
  <c r="A3135" i="8"/>
  <c r="A3136" i="8"/>
  <c r="A3137" i="8"/>
  <c r="A3138" i="8"/>
  <c r="A3139" i="8"/>
  <c r="A3140" i="8"/>
  <c r="A3141" i="8"/>
  <c r="A3142" i="8"/>
  <c r="A3143" i="8"/>
  <c r="A3144" i="8"/>
  <c r="A3145" i="8"/>
  <c r="A3146" i="8"/>
  <c r="A3147" i="8"/>
  <c r="A3148" i="8"/>
  <c r="A3149" i="8"/>
  <c r="A3150" i="8"/>
  <c r="A3151" i="8"/>
  <c r="A3152" i="8"/>
  <c r="A3153" i="8"/>
  <c r="A3154" i="8"/>
  <c r="A3155" i="8"/>
  <c r="A3156" i="8"/>
  <c r="A3157" i="8"/>
  <c r="A3158" i="8"/>
  <c r="A3159" i="8"/>
  <c r="A3160" i="8"/>
  <c r="A3161" i="8"/>
  <c r="A3162" i="8"/>
  <c r="A3163" i="8"/>
  <c r="A3164" i="8"/>
  <c r="A3165" i="8"/>
  <c r="A3166" i="8"/>
  <c r="A3167" i="8"/>
  <c r="A3168" i="8"/>
  <c r="A3169" i="8"/>
  <c r="A3170" i="8"/>
  <c r="A3171" i="8"/>
  <c r="A3172" i="8"/>
  <c r="A3173" i="8"/>
  <c r="A3174" i="8"/>
  <c r="A3175" i="8"/>
  <c r="A3176" i="8"/>
  <c r="A3177" i="8"/>
  <c r="A3178" i="8"/>
  <c r="A3179" i="8"/>
  <c r="A3180" i="8"/>
  <c r="A3181" i="8"/>
  <c r="A3182" i="8"/>
  <c r="A3183" i="8"/>
  <c r="A3184" i="8"/>
  <c r="A3185" i="8"/>
  <c r="A3186" i="8"/>
  <c r="A3187" i="8"/>
  <c r="A3188" i="8"/>
  <c r="A3189" i="8"/>
  <c r="A3190" i="8"/>
  <c r="A3191" i="8"/>
  <c r="A3192" i="8"/>
  <c r="A3193" i="8"/>
  <c r="A3194" i="8"/>
  <c r="A3195" i="8"/>
  <c r="A3196" i="8"/>
  <c r="A3197" i="8"/>
  <c r="A3198" i="8"/>
  <c r="A3199" i="8"/>
  <c r="A3200" i="8"/>
  <c r="A3201" i="8"/>
  <c r="A3202" i="8"/>
  <c r="A3203" i="8"/>
  <c r="A3204" i="8"/>
  <c r="A3205" i="8"/>
  <c r="A3206" i="8"/>
  <c r="A3207" i="8"/>
  <c r="A3208" i="8"/>
  <c r="A3209" i="8"/>
  <c r="A3210" i="8"/>
  <c r="A3211" i="8"/>
  <c r="A3212" i="8"/>
  <c r="A3213" i="8"/>
  <c r="A3214" i="8"/>
  <c r="A3215" i="8"/>
  <c r="A3216" i="8"/>
  <c r="A3217" i="8"/>
  <c r="A3218" i="8"/>
  <c r="A3219" i="8"/>
  <c r="A3220" i="8"/>
  <c r="A3221" i="8"/>
  <c r="A3222" i="8"/>
  <c r="A3223" i="8"/>
  <c r="A3224" i="8"/>
  <c r="A3225" i="8"/>
  <c r="A3226" i="8"/>
  <c r="A3227" i="8"/>
  <c r="A3228" i="8"/>
  <c r="A3229" i="8"/>
  <c r="A3230" i="8"/>
  <c r="A3231" i="8"/>
  <c r="A3232" i="8"/>
  <c r="A3233" i="8"/>
  <c r="A3234" i="8"/>
  <c r="A3235" i="8"/>
  <c r="A3236" i="8"/>
  <c r="A3237" i="8"/>
  <c r="A3238" i="8"/>
  <c r="A3239" i="8"/>
  <c r="A3240" i="8"/>
  <c r="A3241" i="8"/>
  <c r="A3242" i="8"/>
  <c r="A3243" i="8"/>
  <c r="A3244" i="8"/>
  <c r="A3245" i="8"/>
  <c r="A3246" i="8"/>
  <c r="A3247" i="8"/>
  <c r="A3248" i="8"/>
  <c r="A3249" i="8"/>
  <c r="A3250" i="8"/>
  <c r="A3251" i="8"/>
  <c r="A3252" i="8"/>
  <c r="A3253" i="8"/>
  <c r="A3254" i="8"/>
  <c r="A3255" i="8"/>
  <c r="A3256" i="8"/>
  <c r="A3257" i="8"/>
  <c r="A3258" i="8"/>
  <c r="A3259" i="8"/>
  <c r="A3260" i="8"/>
  <c r="A3261" i="8"/>
  <c r="A3262" i="8"/>
  <c r="A3263" i="8"/>
  <c r="A3264" i="8"/>
  <c r="A3265" i="8"/>
  <c r="A3266" i="8"/>
  <c r="A3267" i="8"/>
  <c r="A3268" i="8"/>
  <c r="A3269" i="8"/>
  <c r="A3270" i="8"/>
  <c r="A3271" i="8"/>
  <c r="A3272" i="8"/>
  <c r="A3273" i="8"/>
  <c r="A3274" i="8"/>
  <c r="A3275" i="8"/>
  <c r="A3276" i="8"/>
  <c r="A3277" i="8"/>
  <c r="A3278" i="8"/>
  <c r="A3279" i="8"/>
  <c r="A3280" i="8"/>
  <c r="A3281" i="8"/>
  <c r="A3282" i="8"/>
  <c r="A3283" i="8"/>
  <c r="A3284" i="8"/>
  <c r="A3285" i="8"/>
  <c r="A3286" i="8"/>
  <c r="A3287" i="8"/>
  <c r="A3288" i="8"/>
  <c r="A3289" i="8"/>
  <c r="A3290" i="8"/>
  <c r="A3291" i="8"/>
  <c r="A3292" i="8"/>
  <c r="A3293" i="8"/>
  <c r="A3294" i="8"/>
  <c r="A3295" i="8"/>
  <c r="A3296" i="8"/>
  <c r="A3297" i="8"/>
  <c r="A3298" i="8"/>
  <c r="A3299" i="8"/>
  <c r="A3300" i="8"/>
  <c r="A3301" i="8"/>
  <c r="A3302" i="8"/>
  <c r="A3303" i="8"/>
  <c r="A3304" i="8"/>
  <c r="A3305" i="8"/>
  <c r="A3306" i="8"/>
  <c r="A3307" i="8"/>
  <c r="A3308" i="8"/>
  <c r="A3309" i="8"/>
  <c r="A3310" i="8"/>
  <c r="A3311" i="8"/>
  <c r="A3312" i="8"/>
  <c r="A3313" i="8"/>
  <c r="A3314" i="8"/>
  <c r="A3315" i="8"/>
  <c r="A3316" i="8"/>
  <c r="A3317" i="8"/>
  <c r="A3318" i="8"/>
  <c r="A3319" i="8"/>
  <c r="A3320" i="8"/>
  <c r="A3321" i="8"/>
  <c r="A3322" i="8"/>
  <c r="A3323" i="8"/>
  <c r="A3324" i="8"/>
  <c r="A3325" i="8"/>
  <c r="A3326" i="8"/>
  <c r="A3327" i="8"/>
  <c r="A3328" i="8"/>
  <c r="A3329" i="8"/>
  <c r="A3330" i="8"/>
  <c r="A3331" i="8"/>
  <c r="A3332" i="8"/>
  <c r="A3333" i="8"/>
  <c r="A3334" i="8"/>
  <c r="A3335" i="8"/>
  <c r="A3336" i="8"/>
  <c r="A3337" i="8"/>
  <c r="A3338" i="8"/>
  <c r="A3339" i="8"/>
  <c r="A3340" i="8"/>
  <c r="A3341" i="8"/>
  <c r="A3342" i="8"/>
  <c r="A3343" i="8"/>
  <c r="A3344" i="8"/>
  <c r="A3345" i="8"/>
  <c r="A3346" i="8"/>
  <c r="A3347" i="8"/>
  <c r="A3348" i="8"/>
  <c r="A3349" i="8"/>
  <c r="A3350" i="8"/>
  <c r="A3351" i="8"/>
  <c r="A3352" i="8"/>
  <c r="A3353" i="8"/>
  <c r="A3354" i="8"/>
  <c r="A3355" i="8"/>
  <c r="A3356" i="8"/>
  <c r="A3357" i="8"/>
  <c r="A3358" i="8"/>
  <c r="A3359" i="8"/>
  <c r="A3360" i="8"/>
  <c r="A3361" i="8"/>
  <c r="A3362" i="8"/>
  <c r="A3363" i="8"/>
  <c r="A3364" i="8"/>
  <c r="A3365" i="8"/>
  <c r="A3366" i="8"/>
  <c r="A3367" i="8"/>
  <c r="A3368" i="8"/>
  <c r="A3369" i="8"/>
  <c r="A3370" i="8"/>
  <c r="A3371" i="8"/>
  <c r="A3372" i="8"/>
  <c r="A3373" i="8"/>
  <c r="A3374" i="8"/>
  <c r="A3375" i="8"/>
  <c r="A3376" i="8"/>
  <c r="A3377" i="8"/>
  <c r="A3378" i="8"/>
  <c r="A3379" i="8"/>
  <c r="A3380" i="8"/>
  <c r="A3381" i="8"/>
  <c r="A3382" i="8"/>
  <c r="A3383" i="8"/>
  <c r="A3384" i="8"/>
  <c r="A3385" i="8"/>
  <c r="A3386" i="8"/>
  <c r="A3387" i="8"/>
  <c r="A3388" i="8"/>
  <c r="A3389" i="8"/>
  <c r="A3390" i="8"/>
  <c r="A3391" i="8"/>
  <c r="A3392" i="8"/>
  <c r="A3393" i="8"/>
  <c r="A3394" i="8"/>
  <c r="A3395" i="8"/>
  <c r="A3396" i="8"/>
  <c r="A3397" i="8"/>
  <c r="A3398" i="8"/>
  <c r="A3399" i="8"/>
  <c r="A3400" i="8"/>
  <c r="A3401" i="8"/>
  <c r="A3402" i="8"/>
  <c r="A3403" i="8"/>
  <c r="A3404" i="8"/>
  <c r="A3405" i="8"/>
  <c r="A3406" i="8"/>
  <c r="A3407" i="8"/>
  <c r="A3408" i="8"/>
  <c r="A3409" i="8"/>
  <c r="A3410" i="8"/>
  <c r="A3411" i="8"/>
  <c r="A3412" i="8"/>
  <c r="A3413" i="8"/>
  <c r="A3414" i="8"/>
  <c r="A3415" i="8"/>
  <c r="A3416" i="8"/>
  <c r="A3417" i="8"/>
  <c r="A3418" i="8"/>
  <c r="A3419" i="8"/>
  <c r="A3420" i="8"/>
  <c r="A3421" i="8"/>
  <c r="A3422" i="8"/>
  <c r="A3423" i="8"/>
  <c r="A3424" i="8"/>
  <c r="A3425" i="8"/>
  <c r="A3426" i="8"/>
  <c r="A3427" i="8"/>
  <c r="A3428" i="8"/>
  <c r="A3429" i="8"/>
  <c r="A3430" i="8"/>
  <c r="A3431" i="8"/>
  <c r="A3432" i="8"/>
  <c r="A3433" i="8"/>
  <c r="A3434" i="8"/>
  <c r="A3435" i="8"/>
  <c r="A3436" i="8"/>
  <c r="A3437" i="8"/>
  <c r="A3438" i="8"/>
  <c r="A3439" i="8"/>
  <c r="A3440" i="8"/>
  <c r="A3441" i="8"/>
  <c r="A3442" i="8"/>
  <c r="A3443" i="8"/>
  <c r="A3444" i="8"/>
  <c r="A3445" i="8"/>
  <c r="A3446" i="8"/>
  <c r="A3447" i="8"/>
  <c r="A3448" i="8"/>
  <c r="A3449" i="8"/>
  <c r="A3450" i="8"/>
  <c r="A3451" i="8"/>
  <c r="A3452" i="8"/>
  <c r="A3453" i="8"/>
  <c r="A3454" i="8"/>
  <c r="A3455" i="8"/>
  <c r="A3456" i="8"/>
  <c r="A3457" i="8"/>
  <c r="A3458" i="8"/>
  <c r="A3459" i="8"/>
  <c r="A3460" i="8"/>
  <c r="A3461" i="8"/>
  <c r="A3462" i="8"/>
  <c r="A3463" i="8"/>
  <c r="A3464" i="8"/>
  <c r="A3465" i="8"/>
  <c r="A3466" i="8"/>
  <c r="A3467" i="8"/>
  <c r="A3468" i="8"/>
  <c r="A3469" i="8"/>
  <c r="A3470" i="8"/>
  <c r="A3471" i="8"/>
  <c r="A3472" i="8"/>
  <c r="A3473" i="8"/>
  <c r="A3474" i="8"/>
  <c r="A3475" i="8"/>
  <c r="A3476" i="8"/>
  <c r="A3477" i="8"/>
  <c r="A3478" i="8"/>
  <c r="A3479" i="8"/>
  <c r="A3480" i="8"/>
  <c r="A3481" i="8"/>
  <c r="A3482" i="8"/>
  <c r="A3483" i="8"/>
  <c r="A3484" i="8"/>
  <c r="A3485" i="8"/>
  <c r="A3486" i="8"/>
  <c r="A3487" i="8"/>
  <c r="A3488" i="8"/>
  <c r="A3489" i="8"/>
  <c r="A3490" i="8"/>
  <c r="A3491" i="8"/>
  <c r="A3492" i="8"/>
  <c r="A3493" i="8"/>
  <c r="A3494" i="8"/>
  <c r="A3495" i="8"/>
  <c r="A3496" i="8"/>
  <c r="A3497" i="8"/>
  <c r="A3498" i="8"/>
  <c r="A3499" i="8"/>
  <c r="A3500" i="8"/>
  <c r="A3501" i="8"/>
  <c r="A3502" i="8"/>
  <c r="A3503" i="8"/>
  <c r="A3504" i="8"/>
  <c r="A3505" i="8"/>
  <c r="A3506" i="8"/>
  <c r="A3507" i="8"/>
  <c r="A3508" i="8"/>
  <c r="A3509" i="8"/>
  <c r="A3510" i="8"/>
  <c r="A3511" i="8"/>
  <c r="A3512" i="8"/>
  <c r="A3513" i="8"/>
  <c r="A3514" i="8"/>
  <c r="A3515" i="8"/>
  <c r="A3516" i="8"/>
  <c r="A3517" i="8"/>
  <c r="A3518" i="8"/>
  <c r="A3519" i="8"/>
  <c r="A3520" i="8"/>
  <c r="A3521" i="8"/>
  <c r="A3522" i="8"/>
  <c r="A3523" i="8"/>
  <c r="A3524" i="8"/>
  <c r="A3525" i="8"/>
  <c r="A3526" i="8"/>
  <c r="A3527" i="8"/>
  <c r="A3528" i="8"/>
  <c r="A3529" i="8"/>
  <c r="A3530" i="8"/>
  <c r="A3531" i="8"/>
  <c r="A3532" i="8"/>
  <c r="A3533" i="8"/>
  <c r="A3534" i="8"/>
  <c r="A3535" i="8"/>
  <c r="A3536" i="8"/>
  <c r="A3537" i="8"/>
  <c r="A3538" i="8"/>
  <c r="A3539" i="8"/>
  <c r="A3540" i="8"/>
  <c r="A3541" i="8"/>
  <c r="A3542" i="8"/>
  <c r="A3543" i="8"/>
  <c r="A3544" i="8"/>
  <c r="A3545" i="8"/>
  <c r="A3546" i="8"/>
  <c r="A3547" i="8"/>
  <c r="A3548" i="8"/>
  <c r="A3549" i="8"/>
  <c r="A3550" i="8"/>
  <c r="A3551" i="8"/>
  <c r="A3552" i="8"/>
  <c r="A3553" i="8"/>
  <c r="A3554" i="8"/>
  <c r="A3555" i="8"/>
  <c r="A3556" i="8"/>
  <c r="A3557" i="8"/>
  <c r="A3558" i="8"/>
  <c r="A3559" i="8"/>
  <c r="A3560" i="8"/>
  <c r="A3561" i="8"/>
  <c r="A3562" i="8"/>
  <c r="A3563" i="8"/>
  <c r="A3564" i="8"/>
  <c r="A3565" i="8"/>
  <c r="A3566" i="8"/>
  <c r="A3567" i="8"/>
  <c r="A3568" i="8"/>
  <c r="A3569" i="8"/>
  <c r="A3570" i="8"/>
  <c r="A3571" i="8"/>
  <c r="A3572" i="8"/>
  <c r="A3573" i="8"/>
  <c r="A3574" i="8"/>
  <c r="A3575" i="8"/>
  <c r="A3576" i="8"/>
  <c r="A3577" i="8"/>
  <c r="A3578" i="8"/>
  <c r="A3579" i="8"/>
  <c r="A3580" i="8"/>
  <c r="A3581" i="8"/>
  <c r="A3582" i="8"/>
  <c r="A3583" i="8"/>
  <c r="A3584" i="8"/>
  <c r="A3585" i="8"/>
  <c r="A3586" i="8"/>
  <c r="A3587" i="8"/>
  <c r="A3588" i="8"/>
  <c r="A3589" i="8"/>
  <c r="A3590" i="8"/>
  <c r="A3591" i="8"/>
  <c r="A3592" i="8"/>
  <c r="A3593" i="8"/>
  <c r="A3594" i="8"/>
  <c r="A3595" i="8"/>
  <c r="A3596" i="8"/>
  <c r="A3597" i="8"/>
  <c r="A3598" i="8"/>
  <c r="A3599" i="8"/>
  <c r="A3600" i="8"/>
  <c r="A3601" i="8"/>
  <c r="A3602" i="8"/>
  <c r="A3603" i="8"/>
  <c r="A3604" i="8"/>
  <c r="A3605" i="8"/>
  <c r="A3606" i="8"/>
  <c r="A3607" i="8"/>
  <c r="A3608" i="8"/>
  <c r="A3609" i="8"/>
  <c r="A3610" i="8"/>
  <c r="A3611" i="8"/>
  <c r="A3612" i="8"/>
  <c r="A3613" i="8"/>
  <c r="A3614" i="8"/>
  <c r="A3615" i="8"/>
  <c r="A3616" i="8"/>
  <c r="A3617" i="8"/>
  <c r="A3618" i="8"/>
  <c r="A3619" i="8"/>
  <c r="A3620" i="8"/>
  <c r="A3621" i="8"/>
  <c r="A3622" i="8"/>
  <c r="A3623" i="8"/>
  <c r="A3624" i="8"/>
  <c r="A3625" i="8"/>
  <c r="A3626" i="8"/>
  <c r="A3627" i="8"/>
  <c r="A3628" i="8"/>
  <c r="A3629" i="8"/>
  <c r="A3630" i="8"/>
  <c r="A3631" i="8"/>
  <c r="A3632" i="8"/>
  <c r="A3633" i="8"/>
  <c r="A3634" i="8"/>
  <c r="A3635" i="8"/>
  <c r="A3636" i="8"/>
  <c r="A3637" i="8"/>
  <c r="A3638" i="8"/>
  <c r="A3639" i="8"/>
  <c r="A3640" i="8"/>
  <c r="A3641" i="8"/>
  <c r="A3642" i="8"/>
  <c r="A3643" i="8"/>
  <c r="A3644" i="8"/>
  <c r="A3645" i="8"/>
  <c r="A3646" i="8"/>
  <c r="A3647" i="8"/>
  <c r="A3648" i="8"/>
  <c r="A3649" i="8"/>
  <c r="A3650" i="8"/>
  <c r="A3651" i="8"/>
  <c r="A3652" i="8"/>
  <c r="A3653" i="8"/>
  <c r="A3654" i="8"/>
  <c r="A3655" i="8"/>
  <c r="A3656" i="8"/>
  <c r="A3657" i="8"/>
  <c r="A3658" i="8"/>
  <c r="A3659" i="8"/>
  <c r="A3660" i="8"/>
  <c r="A3661" i="8"/>
  <c r="A3662" i="8"/>
  <c r="A3663" i="8"/>
  <c r="A3664" i="8"/>
  <c r="A3665" i="8"/>
  <c r="A3666" i="8"/>
  <c r="A3667" i="8"/>
  <c r="A3668" i="8"/>
  <c r="A3669" i="8"/>
  <c r="A3670" i="8"/>
  <c r="A3671" i="8"/>
  <c r="A3672" i="8"/>
  <c r="A3673" i="8"/>
  <c r="A3674" i="8"/>
  <c r="A3675" i="8"/>
  <c r="A3676" i="8"/>
  <c r="A3677" i="8"/>
  <c r="A3678" i="8"/>
  <c r="A3679" i="8"/>
  <c r="A3680" i="8"/>
  <c r="A3681" i="8"/>
  <c r="A3682" i="8"/>
  <c r="A3683" i="8"/>
  <c r="A3684" i="8"/>
  <c r="A3685" i="8"/>
  <c r="A3686" i="8"/>
  <c r="A3687" i="8"/>
  <c r="A3688" i="8"/>
  <c r="A3689" i="8"/>
  <c r="A3690" i="8"/>
  <c r="A3691" i="8"/>
  <c r="A3692" i="8"/>
  <c r="A3693" i="8"/>
  <c r="A3694" i="8"/>
  <c r="A3695" i="8"/>
  <c r="A3696" i="8"/>
  <c r="A3697" i="8"/>
  <c r="A3698" i="8"/>
  <c r="A3699" i="8"/>
  <c r="A3700" i="8"/>
  <c r="A3701" i="8"/>
  <c r="A3702" i="8"/>
  <c r="A3703" i="8"/>
  <c r="A3704" i="8"/>
  <c r="A3705" i="8"/>
  <c r="A3706" i="8"/>
  <c r="A3707" i="8"/>
  <c r="A3708" i="8"/>
  <c r="A3709" i="8"/>
  <c r="A3710" i="8"/>
  <c r="A3711" i="8"/>
  <c r="A3712" i="8"/>
  <c r="A3713" i="8"/>
  <c r="A3714" i="8"/>
  <c r="A3715" i="8"/>
  <c r="A3716" i="8"/>
  <c r="A3717" i="8"/>
  <c r="A3718" i="8"/>
  <c r="A3719" i="8"/>
  <c r="A3720" i="8"/>
  <c r="A3721" i="8"/>
  <c r="A3722" i="8"/>
  <c r="A3723" i="8"/>
  <c r="A3724" i="8"/>
  <c r="A3725" i="8"/>
  <c r="A3726" i="8"/>
  <c r="A3727" i="8"/>
  <c r="A3728" i="8"/>
  <c r="A3729" i="8"/>
  <c r="A3730" i="8"/>
  <c r="A3731" i="8"/>
  <c r="A3732" i="8"/>
  <c r="A3733" i="8"/>
  <c r="A3734" i="8"/>
  <c r="A3735" i="8"/>
  <c r="A3736" i="8"/>
  <c r="A3737" i="8"/>
  <c r="A3738" i="8"/>
  <c r="A3739" i="8"/>
  <c r="A3740" i="8"/>
  <c r="A3741" i="8"/>
  <c r="A3742" i="8"/>
  <c r="A3743" i="8"/>
  <c r="A3744" i="8"/>
  <c r="A3745" i="8"/>
  <c r="A3746" i="8"/>
  <c r="A3747" i="8"/>
  <c r="A3748" i="8"/>
  <c r="A3749" i="8"/>
  <c r="A3750" i="8"/>
  <c r="A3751" i="8"/>
  <c r="A3752" i="8"/>
  <c r="A3753" i="8"/>
  <c r="A3754" i="8"/>
  <c r="A3755" i="8"/>
  <c r="A3756" i="8"/>
  <c r="A3757" i="8"/>
  <c r="A3758" i="8"/>
  <c r="A3759" i="8"/>
  <c r="A3760" i="8"/>
  <c r="A3761" i="8"/>
  <c r="A3762" i="8"/>
  <c r="A3763" i="8"/>
  <c r="A3764" i="8"/>
  <c r="A3765" i="8"/>
  <c r="A3766" i="8"/>
  <c r="A3767" i="8"/>
  <c r="A3768" i="8"/>
  <c r="A3769" i="8"/>
  <c r="A3770" i="8"/>
  <c r="A3771" i="8"/>
  <c r="A3772" i="8"/>
  <c r="A3773" i="8"/>
  <c r="A3774" i="8"/>
  <c r="A3775" i="8"/>
  <c r="A3776" i="8"/>
  <c r="A3777" i="8"/>
  <c r="A3778" i="8"/>
  <c r="A3779" i="8"/>
  <c r="A3780" i="8"/>
  <c r="A3781" i="8"/>
  <c r="A3782" i="8"/>
  <c r="A3783" i="8"/>
  <c r="A3784" i="8"/>
  <c r="A3785" i="8"/>
  <c r="A3786" i="8"/>
  <c r="A3787" i="8"/>
  <c r="A3788" i="8"/>
  <c r="A3789" i="8"/>
  <c r="A3790" i="8"/>
  <c r="A3791" i="8"/>
  <c r="A3792" i="8"/>
  <c r="A3793" i="8"/>
  <c r="A3794" i="8"/>
  <c r="A3795" i="8"/>
  <c r="A3796" i="8"/>
  <c r="A3797" i="8"/>
  <c r="A3798" i="8"/>
  <c r="A3799" i="8"/>
  <c r="A3800" i="8"/>
  <c r="A3801" i="8"/>
  <c r="A3802" i="8"/>
  <c r="A3803" i="8"/>
  <c r="A3804" i="8"/>
  <c r="A3805" i="8"/>
  <c r="A3806" i="8"/>
  <c r="A3807" i="8"/>
  <c r="A3808" i="8"/>
  <c r="A3809" i="8"/>
  <c r="A3810" i="8"/>
  <c r="A3811" i="8"/>
  <c r="A3812" i="8"/>
  <c r="A3813" i="8"/>
  <c r="A3814" i="8"/>
  <c r="A3815" i="8"/>
  <c r="A3816" i="8"/>
  <c r="A3817" i="8"/>
  <c r="A3818" i="8"/>
  <c r="A3819" i="8"/>
  <c r="A3820" i="8"/>
  <c r="A3821" i="8"/>
  <c r="A3822" i="8"/>
  <c r="A3823" i="8"/>
  <c r="A3824" i="8"/>
  <c r="A3825" i="8"/>
  <c r="A3826" i="8"/>
  <c r="A3827" i="8"/>
  <c r="A3828" i="8"/>
  <c r="A3829" i="8"/>
  <c r="A3830" i="8"/>
  <c r="A3831" i="8"/>
  <c r="A3832" i="8"/>
  <c r="A3833" i="8"/>
  <c r="A3834" i="8"/>
  <c r="A3835" i="8"/>
  <c r="A3836" i="8"/>
  <c r="A3837" i="8"/>
  <c r="A3838" i="8"/>
  <c r="A3839" i="8"/>
  <c r="A3840" i="8"/>
  <c r="A3841" i="8"/>
  <c r="A3842" i="8"/>
  <c r="A3843" i="8"/>
  <c r="A3844" i="8"/>
  <c r="A3845" i="8"/>
  <c r="A3846" i="8"/>
  <c r="A3847" i="8"/>
  <c r="A3848" i="8"/>
  <c r="A3849" i="8"/>
  <c r="A3850" i="8"/>
  <c r="A3851" i="8"/>
  <c r="A3852" i="8"/>
  <c r="A3853" i="8"/>
  <c r="A3854" i="8"/>
  <c r="A3855" i="8"/>
  <c r="A3856" i="8"/>
  <c r="A3857" i="8"/>
  <c r="A3858" i="8"/>
  <c r="A3859" i="8"/>
  <c r="A3860" i="8"/>
  <c r="A3861" i="8"/>
  <c r="A3862" i="8"/>
  <c r="A3863" i="8"/>
  <c r="A3864" i="8"/>
  <c r="A3865" i="8"/>
  <c r="A3866" i="8"/>
  <c r="A3867" i="8"/>
  <c r="A3868" i="8"/>
  <c r="A3869" i="8"/>
  <c r="A3870" i="8"/>
  <c r="A3871" i="8"/>
  <c r="A3872" i="8"/>
  <c r="A3873" i="8"/>
  <c r="A3874" i="8"/>
  <c r="A3875" i="8"/>
  <c r="A3876" i="8"/>
  <c r="A3877" i="8"/>
  <c r="A3878" i="8"/>
  <c r="A3879" i="8"/>
  <c r="A3880" i="8"/>
  <c r="A3881" i="8"/>
  <c r="A3882" i="8"/>
  <c r="A3883" i="8"/>
  <c r="A3884" i="8"/>
  <c r="A3885" i="8"/>
  <c r="A3886" i="8"/>
  <c r="A3887" i="8"/>
  <c r="A3888" i="8"/>
  <c r="A3889" i="8"/>
  <c r="A3890" i="8"/>
  <c r="A3891" i="8"/>
  <c r="A3892" i="8"/>
  <c r="A3893" i="8"/>
  <c r="A3894" i="8"/>
  <c r="A3895" i="8"/>
  <c r="A3896" i="8"/>
  <c r="A3897" i="8"/>
  <c r="A4028" i="8"/>
  <c r="A4029" i="8"/>
  <c r="A4030" i="8"/>
  <c r="A4031" i="8"/>
  <c r="A4032" i="8"/>
  <c r="A4033" i="8"/>
  <c r="A4034" i="8"/>
  <c r="A4035" i="8"/>
  <c r="A4036" i="8"/>
  <c r="A4037" i="8"/>
  <c r="A4038" i="8"/>
  <c r="A4039" i="8"/>
  <c r="A4040" i="8"/>
  <c r="A4041" i="8"/>
  <c r="A4042" i="8"/>
  <c r="A4043" i="8"/>
  <c r="A4044" i="8"/>
  <c r="A4045" i="8"/>
  <c r="A4046" i="8"/>
  <c r="A4047" i="8"/>
  <c r="A4048" i="8"/>
  <c r="A4049" i="8"/>
  <c r="A4050" i="8"/>
  <c r="A4051" i="8"/>
  <c r="A4052" i="8"/>
  <c r="A4053" i="8"/>
  <c r="A4054" i="8"/>
  <c r="A4055" i="8"/>
  <c r="A4056" i="8"/>
  <c r="A4057" i="8"/>
  <c r="A4058" i="8"/>
  <c r="A4059" i="8"/>
  <c r="A4060" i="8"/>
  <c r="A4061" i="8"/>
  <c r="A4062" i="8"/>
  <c r="A4063" i="8"/>
  <c r="A4064" i="8"/>
  <c r="A4065" i="8"/>
  <c r="A4066" i="8"/>
  <c r="A4067" i="8"/>
  <c r="A4068" i="8"/>
  <c r="A4069" i="8"/>
  <c r="A4070" i="8"/>
  <c r="A4071" i="8"/>
  <c r="A4072" i="8"/>
  <c r="A4073" i="8"/>
  <c r="A4074" i="8"/>
  <c r="A4075" i="8"/>
  <c r="A4076" i="8"/>
  <c r="A4077" i="8"/>
  <c r="A4182" i="8"/>
  <c r="A4183" i="8"/>
  <c r="A4184" i="8"/>
  <c r="A4185" i="8"/>
  <c r="A4186" i="8"/>
  <c r="A4187" i="8"/>
  <c r="A4188" i="8"/>
  <c r="A4189" i="8"/>
  <c r="A4190" i="8"/>
  <c r="A4191" i="8"/>
  <c r="A4192" i="8"/>
  <c r="A4193" i="8"/>
  <c r="A4194" i="8"/>
  <c r="A4195" i="8"/>
  <c r="A4196" i="8"/>
  <c r="A4197" i="8"/>
  <c r="A4198" i="8"/>
  <c r="A4199" i="8"/>
  <c r="A4200" i="8"/>
  <c r="A4201" i="8"/>
  <c r="A4202" i="8"/>
  <c r="A4203" i="8"/>
  <c r="A4204" i="8"/>
  <c r="A4205" i="8"/>
  <c r="A4206" i="8"/>
  <c r="A4207" i="8"/>
  <c r="A4208" i="8"/>
  <c r="A4209" i="8"/>
  <c r="A4210" i="8"/>
  <c r="A4211" i="8"/>
  <c r="A4212" i="8"/>
  <c r="A4213" i="8"/>
  <c r="A4214" i="8"/>
  <c r="A4215" i="8"/>
  <c r="A4216" i="8"/>
  <c r="A4217" i="8"/>
  <c r="A4218" i="8"/>
  <c r="A4219" i="8"/>
  <c r="A4220" i="8"/>
  <c r="A4221" i="8"/>
  <c r="A4222" i="8"/>
  <c r="A4223" i="8"/>
  <c r="A4224" i="8"/>
  <c r="A4225" i="8"/>
  <c r="A4226" i="8"/>
  <c r="A4227" i="8"/>
  <c r="A4228" i="8"/>
  <c r="A4229" i="8"/>
  <c r="A4230" i="8"/>
  <c r="A4231" i="8"/>
  <c r="A4232" i="8"/>
  <c r="A4233" i="8"/>
  <c r="A4234" i="8"/>
  <c r="A4235" i="8"/>
  <c r="A4236" i="8"/>
  <c r="A4237" i="8"/>
  <c r="A4238" i="8"/>
  <c r="A4239" i="8"/>
  <c r="A4240" i="8"/>
  <c r="A4241" i="8"/>
  <c r="A4242" i="8"/>
  <c r="A4243" i="8"/>
  <c r="A4244" i="8"/>
  <c r="A4245" i="8"/>
  <c r="A4246" i="8"/>
  <c r="A4247" i="8"/>
  <c r="A4248" i="8"/>
  <c r="A4249" i="8"/>
  <c r="A4250" i="8"/>
  <c r="A4251" i="8"/>
  <c r="A4252" i="8"/>
  <c r="A4253" i="8"/>
  <c r="A4254" i="8"/>
  <c r="A4255" i="8"/>
  <c r="A4256" i="8"/>
  <c r="A4257" i="8"/>
  <c r="A4258" i="8"/>
  <c r="A4259" i="8"/>
  <c r="A4260" i="8"/>
  <c r="A4261" i="8"/>
  <c r="A4262" i="8"/>
  <c r="A4263" i="8"/>
  <c r="A4264" i="8"/>
  <c r="A4265" i="8"/>
  <c r="A4266" i="8"/>
  <c r="A4267" i="8"/>
  <c r="A4268" i="8"/>
  <c r="A4269" i="8"/>
  <c r="A4270" i="8"/>
  <c r="A4271" i="8"/>
  <c r="A4272" i="8"/>
  <c r="A4273" i="8"/>
  <c r="A4274" i="8"/>
  <c r="A4275" i="8"/>
  <c r="A4276" i="8"/>
  <c r="A4277" i="8"/>
  <c r="A4278" i="8"/>
  <c r="A4279" i="8"/>
  <c r="A4280" i="8"/>
  <c r="A4281" i="8"/>
  <c r="A4282" i="8"/>
  <c r="A4283" i="8"/>
  <c r="A4284" i="8"/>
  <c r="A4285" i="8"/>
  <c r="A4286" i="8"/>
  <c r="A4287" i="8"/>
  <c r="A4288" i="8"/>
  <c r="A4289" i="8"/>
  <c r="A4290" i="8"/>
  <c r="A4291" i="8"/>
  <c r="A4292" i="8"/>
  <c r="A4293" i="8"/>
  <c r="A4294" i="8"/>
  <c r="A4295" i="8"/>
  <c r="A4296" i="8"/>
  <c r="A4297" i="8"/>
  <c r="A4298" i="8"/>
  <c r="A4299" i="8"/>
  <c r="A4300" i="8"/>
  <c r="A4301" i="8"/>
  <c r="A4302" i="8"/>
  <c r="A4303" i="8"/>
  <c r="A4304" i="8"/>
  <c r="A4305" i="8"/>
  <c r="A4306" i="8"/>
  <c r="A4307" i="8"/>
  <c r="A4308" i="8"/>
  <c r="A4309" i="8"/>
  <c r="A4310" i="8"/>
  <c r="A4311" i="8"/>
  <c r="A4312" i="8"/>
  <c r="A4313" i="8"/>
  <c r="A4314" i="8"/>
  <c r="A4315" i="8"/>
  <c r="A4316" i="8"/>
  <c r="A4317" i="8"/>
  <c r="A4318" i="8"/>
  <c r="A4319" i="8"/>
  <c r="A4320" i="8"/>
  <c r="A4321" i="8"/>
  <c r="A4322" i="8"/>
  <c r="A4323" i="8"/>
  <c r="A4324" i="8"/>
  <c r="A4325" i="8"/>
  <c r="A4326" i="8"/>
  <c r="A4327" i="8"/>
  <c r="A4328" i="8"/>
  <c r="A4329" i="8"/>
  <c r="A4330" i="8"/>
  <c r="A4331" i="8"/>
  <c r="A4332" i="8"/>
  <c r="A4333" i="8"/>
  <c r="A4334" i="8"/>
  <c r="A4335" i="8"/>
  <c r="A4336" i="8"/>
  <c r="A4337" i="8"/>
  <c r="A4338" i="8"/>
  <c r="A4339" i="8"/>
  <c r="A4340" i="8"/>
  <c r="A4341" i="8"/>
  <c r="A4342" i="8"/>
  <c r="A4343" i="8"/>
  <c r="A4344" i="8"/>
  <c r="A4345" i="8"/>
  <c r="A4346" i="8"/>
  <c r="A4347" i="8"/>
  <c r="A4348" i="8"/>
  <c r="A4349" i="8"/>
  <c r="A4350" i="8"/>
  <c r="A4351" i="8"/>
  <c r="A4352" i="8"/>
  <c r="A4353" i="8"/>
  <c r="A4354" i="8"/>
  <c r="A4355" i="8"/>
  <c r="A4356" i="8"/>
  <c r="A4357" i="8"/>
  <c r="A4358" i="8"/>
  <c r="A4359" i="8"/>
  <c r="A4360" i="8"/>
  <c r="A4361" i="8"/>
  <c r="A4362" i="8"/>
  <c r="A4363" i="8"/>
  <c r="A4364" i="8"/>
  <c r="A4365" i="8"/>
  <c r="A4366" i="8"/>
  <c r="A4367" i="8"/>
  <c r="A4368" i="8"/>
  <c r="A4369" i="8"/>
  <c r="A4370" i="8"/>
  <c r="A4371" i="8"/>
  <c r="A4372" i="8"/>
  <c r="A4373" i="8"/>
  <c r="A4374" i="8"/>
  <c r="A4375" i="8"/>
  <c r="A4376" i="8"/>
  <c r="A4377" i="8"/>
  <c r="A4378" i="8"/>
  <c r="A4379" i="8"/>
  <c r="A4380" i="8"/>
  <c r="A4381" i="8"/>
  <c r="A4382" i="8"/>
  <c r="A4383" i="8"/>
  <c r="A4384" i="8"/>
  <c r="A4385" i="8"/>
  <c r="A4386" i="8"/>
  <c r="A4387" i="8"/>
  <c r="A4388" i="8"/>
  <c r="A4389" i="8"/>
  <c r="A4390" i="8"/>
  <c r="A4391" i="8"/>
  <c r="A4392" i="8"/>
  <c r="A4393" i="8"/>
  <c r="A4394" i="8"/>
  <c r="A4395" i="8"/>
  <c r="A4396" i="8"/>
  <c r="A4397" i="8"/>
  <c r="A4398" i="8"/>
  <c r="A4399" i="8"/>
  <c r="A4400" i="8"/>
  <c r="A4401" i="8"/>
  <c r="A4402" i="8"/>
  <c r="A4403" i="8"/>
  <c r="A4404" i="8"/>
  <c r="A4405" i="8"/>
  <c r="A4406" i="8"/>
  <c r="A4407" i="8"/>
  <c r="A4408" i="8"/>
  <c r="A4409" i="8"/>
  <c r="A4410" i="8"/>
  <c r="A4411" i="8"/>
  <c r="A4412" i="8"/>
  <c r="A4413" i="8"/>
  <c r="A4414" i="8"/>
  <c r="A4415" i="8"/>
  <c r="A4416" i="8"/>
  <c r="A4417" i="8"/>
  <c r="A4418" i="8"/>
  <c r="A4419" i="8"/>
  <c r="A4420" i="8"/>
  <c r="A4421" i="8"/>
  <c r="A4422" i="8"/>
  <c r="A4423" i="8"/>
  <c r="A4424" i="8"/>
  <c r="A4425" i="8"/>
  <c r="A4426" i="8"/>
  <c r="A4427" i="8"/>
  <c r="A4428" i="8"/>
  <c r="A4429" i="8"/>
  <c r="A4430" i="8"/>
  <c r="A4431" i="8"/>
  <c r="A4432" i="8"/>
  <c r="A4433" i="8"/>
  <c r="A4434" i="8"/>
  <c r="A4435" i="8"/>
  <c r="A4436" i="8"/>
  <c r="A4437" i="8"/>
  <c r="A4438" i="8"/>
  <c r="A4439" i="8"/>
  <c r="A4440" i="8"/>
  <c r="A4441" i="8"/>
  <c r="A4442" i="8"/>
  <c r="A4443" i="8"/>
  <c r="A4444" i="8"/>
  <c r="A4445" i="8"/>
  <c r="A4446" i="8"/>
  <c r="A4447" i="8"/>
  <c r="A4448" i="8"/>
  <c r="A4449" i="8"/>
  <c r="A4450" i="8"/>
  <c r="A4451" i="8"/>
  <c r="A4452" i="8"/>
  <c r="A4453" i="8"/>
  <c r="A4454" i="8"/>
  <c r="A4455" i="8"/>
  <c r="A4456" i="8"/>
  <c r="A4457" i="8"/>
  <c r="A4458" i="8"/>
  <c r="A4459" i="8"/>
  <c r="A4460" i="8"/>
  <c r="A4461" i="8"/>
  <c r="A4462" i="8"/>
  <c r="A4463" i="8"/>
  <c r="A4464" i="8"/>
  <c r="A4465" i="8"/>
  <c r="A4466" i="8"/>
  <c r="A4467" i="8"/>
  <c r="A4468" i="8"/>
  <c r="A4469" i="8"/>
  <c r="A4470" i="8"/>
  <c r="A4471" i="8"/>
  <c r="A4472" i="8"/>
  <c r="A4473" i="8"/>
  <c r="A4474" i="8"/>
  <c r="A4475" i="8"/>
  <c r="A4476" i="8"/>
  <c r="A4477" i="8"/>
  <c r="A4478" i="8"/>
  <c r="A4479" i="8"/>
  <c r="A4480" i="8"/>
  <c r="A4481" i="8"/>
  <c r="A4482" i="8"/>
  <c r="A4483" i="8"/>
  <c r="A4484" i="8"/>
  <c r="A4485" i="8"/>
  <c r="A4486" i="8"/>
  <c r="A4487" i="8"/>
  <c r="A2" i="8"/>
  <c r="H4181" i="8"/>
  <c r="G4181" i="8"/>
  <c r="F4181" i="8"/>
  <c r="E4181" i="8"/>
  <c r="C4181" i="8"/>
  <c r="B4181" i="8"/>
  <c r="A4181" i="8" s="1"/>
  <c r="H4180" i="8"/>
  <c r="G4180" i="8"/>
  <c r="F4180" i="8"/>
  <c r="E4180" i="8"/>
  <c r="C4180" i="8"/>
  <c r="B4180" i="8"/>
  <c r="A4180" i="8" s="1"/>
  <c r="H4179" i="8"/>
  <c r="G4179" i="8"/>
  <c r="F4179" i="8"/>
  <c r="E4179" i="8"/>
  <c r="C4179" i="8"/>
  <c r="B4179" i="8"/>
  <c r="A4179" i="8" s="1"/>
  <c r="H4178" i="8"/>
  <c r="G4178" i="8"/>
  <c r="F4178" i="8"/>
  <c r="E4178" i="8"/>
  <c r="C4178" i="8"/>
  <c r="B4178" i="8"/>
  <c r="A4178" i="8" s="1"/>
  <c r="H4177" i="8"/>
  <c r="G4177" i="8"/>
  <c r="F4177" i="8"/>
  <c r="E4177" i="8"/>
  <c r="C4177" i="8"/>
  <c r="B4177" i="8"/>
  <c r="A4177" i="8" s="1"/>
  <c r="H4176" i="8"/>
  <c r="G4176" i="8"/>
  <c r="F4176" i="8"/>
  <c r="E4176" i="8"/>
  <c r="C4176" i="8"/>
  <c r="B4176" i="8"/>
  <c r="A4176" i="8" s="1"/>
  <c r="H4175" i="8"/>
  <c r="G4175" i="8"/>
  <c r="F4175" i="8"/>
  <c r="E4175" i="8"/>
  <c r="C4175" i="8"/>
  <c r="B4175" i="8"/>
  <c r="A4175" i="8" s="1"/>
  <c r="H4174" i="8"/>
  <c r="G4174" i="8"/>
  <c r="F4174" i="8"/>
  <c r="E4174" i="8"/>
  <c r="C4174" i="8"/>
  <c r="B4174" i="8"/>
  <c r="A4174" i="8" s="1"/>
  <c r="H4173" i="8"/>
  <c r="F4173" i="8"/>
  <c r="E4173" i="8"/>
  <c r="C4173" i="8"/>
  <c r="B4173" i="8"/>
  <c r="A4173" i="8" s="1"/>
  <c r="H4172" i="8"/>
  <c r="G4172" i="8"/>
  <c r="F4172" i="8"/>
  <c r="E4172" i="8"/>
  <c r="C4172" i="8"/>
  <c r="B4172" i="8"/>
  <c r="A4172" i="8" s="1"/>
  <c r="H4171" i="8"/>
  <c r="G4171" i="8"/>
  <c r="F4171" i="8"/>
  <c r="E4171" i="8"/>
  <c r="C4171" i="8"/>
  <c r="B4171" i="8"/>
  <c r="A4171" i="8" s="1"/>
  <c r="H4170" i="8"/>
  <c r="G4170" i="8"/>
  <c r="F4170" i="8"/>
  <c r="E4170" i="8"/>
  <c r="C4170" i="8"/>
  <c r="B4170" i="8"/>
  <c r="A4170" i="8" s="1"/>
  <c r="H4169" i="8"/>
  <c r="G4169" i="8"/>
  <c r="F4169" i="8"/>
  <c r="E4169" i="8"/>
  <c r="C4169" i="8"/>
  <c r="B4169" i="8"/>
  <c r="A4169" i="8" s="1"/>
  <c r="H4168" i="8"/>
  <c r="G4168" i="8"/>
  <c r="F4168" i="8"/>
  <c r="E4168" i="8"/>
  <c r="C4168" i="8"/>
  <c r="B4168" i="8"/>
  <c r="A4168" i="8" s="1"/>
  <c r="H4167" i="8"/>
  <c r="G4167" i="8"/>
  <c r="F4167" i="8"/>
  <c r="E4167" i="8"/>
  <c r="C4167" i="8"/>
  <c r="B4167" i="8"/>
  <c r="A4167" i="8" s="1"/>
  <c r="H4166" i="8"/>
  <c r="G4166" i="8"/>
  <c r="F4166" i="8"/>
  <c r="E4166" i="8"/>
  <c r="C4166" i="8"/>
  <c r="B4166" i="8"/>
  <c r="A4166" i="8" s="1"/>
  <c r="H4165" i="8"/>
  <c r="G4165" i="8"/>
  <c r="F4165" i="8"/>
  <c r="E4165" i="8"/>
  <c r="C4165" i="8"/>
  <c r="B4165" i="8"/>
  <c r="A4165" i="8" s="1"/>
  <c r="H4164" i="8"/>
  <c r="G4164" i="8"/>
  <c r="F4164" i="8"/>
  <c r="E4164" i="8"/>
  <c r="C4164" i="8"/>
  <c r="B4164" i="8"/>
  <c r="A4164" i="8" s="1"/>
  <c r="H4163" i="8"/>
  <c r="G4163" i="8"/>
  <c r="F4163" i="8"/>
  <c r="E4163" i="8"/>
  <c r="C4163" i="8"/>
  <c r="B4163" i="8"/>
  <c r="A4163" i="8" s="1"/>
  <c r="H4162" i="8"/>
  <c r="G4162" i="8"/>
  <c r="F4162" i="8"/>
  <c r="E4162" i="8"/>
  <c r="C4162" i="8"/>
  <c r="B4162" i="8"/>
  <c r="A4162" i="8" s="1"/>
  <c r="H4161" i="8"/>
  <c r="G4161" i="8"/>
  <c r="F4161" i="8"/>
  <c r="E4161" i="8"/>
  <c r="C4161" i="8"/>
  <c r="B4161" i="8"/>
  <c r="A4161" i="8" s="1"/>
  <c r="H4160" i="8"/>
  <c r="G4160" i="8"/>
  <c r="F4160" i="8"/>
  <c r="E4160" i="8"/>
  <c r="C4160" i="8"/>
  <c r="B4160" i="8"/>
  <c r="A4160" i="8" s="1"/>
  <c r="H4159" i="8"/>
  <c r="G4159" i="8"/>
  <c r="F4159" i="8"/>
  <c r="E4159" i="8"/>
  <c r="C4159" i="8"/>
  <c r="B4159" i="8"/>
  <c r="A4159" i="8" s="1"/>
  <c r="H4158" i="8"/>
  <c r="G4158" i="8"/>
  <c r="F4158" i="8"/>
  <c r="E4158" i="8"/>
  <c r="C4158" i="8"/>
  <c r="B4158" i="8"/>
  <c r="A4158" i="8" s="1"/>
  <c r="H4157" i="8"/>
  <c r="G4157" i="8"/>
  <c r="F4157" i="8"/>
  <c r="E4157" i="8"/>
  <c r="C4157" i="8"/>
  <c r="B4157" i="8"/>
  <c r="A4157" i="8" s="1"/>
  <c r="H4156" i="8"/>
  <c r="G4156" i="8"/>
  <c r="F4156" i="8"/>
  <c r="E4156" i="8"/>
  <c r="C4156" i="8"/>
  <c r="B4156" i="8"/>
  <c r="A4156" i="8" s="1"/>
  <c r="H4155" i="8"/>
  <c r="G4155" i="8"/>
  <c r="F4155" i="8"/>
  <c r="E4155" i="8"/>
  <c r="C4155" i="8"/>
  <c r="B4155" i="8"/>
  <c r="A4155" i="8" s="1"/>
  <c r="H4154" i="8"/>
  <c r="G4154" i="8"/>
  <c r="F4154" i="8"/>
  <c r="E4154" i="8"/>
  <c r="C4154" i="8"/>
  <c r="B4154" i="8"/>
  <c r="A4154" i="8" s="1"/>
  <c r="H4153" i="8"/>
  <c r="G4153" i="8"/>
  <c r="F4153" i="8"/>
  <c r="E4153" i="8"/>
  <c r="C4153" i="8"/>
  <c r="B4153" i="8"/>
  <c r="A4153" i="8" s="1"/>
  <c r="H4152" i="8"/>
  <c r="G4152" i="8"/>
  <c r="F4152" i="8"/>
  <c r="E4152" i="8"/>
  <c r="C4152" i="8"/>
  <c r="B4152" i="8"/>
  <c r="A4152" i="8" s="1"/>
  <c r="H4151" i="8"/>
  <c r="G4151" i="8"/>
  <c r="F4151" i="8"/>
  <c r="E4151" i="8"/>
  <c r="C4151" i="8"/>
  <c r="B4151" i="8"/>
  <c r="A4151" i="8" s="1"/>
  <c r="H4150" i="8"/>
  <c r="G4150" i="8"/>
  <c r="F4150" i="8"/>
  <c r="E4150" i="8"/>
  <c r="C4150" i="8"/>
  <c r="B4150" i="8"/>
  <c r="A4150" i="8" s="1"/>
  <c r="H4149" i="8"/>
  <c r="G4149" i="8"/>
  <c r="F4149" i="8"/>
  <c r="E4149" i="8"/>
  <c r="C4149" i="8"/>
  <c r="B4149" i="8"/>
  <c r="A4149" i="8" s="1"/>
  <c r="H4148" i="8"/>
  <c r="G4148" i="8"/>
  <c r="F4148" i="8"/>
  <c r="E4148" i="8"/>
  <c r="C4148" i="8"/>
  <c r="B4148" i="8"/>
  <c r="A4148" i="8" s="1"/>
  <c r="H4147" i="8"/>
  <c r="F4147" i="8"/>
  <c r="E4147" i="8"/>
  <c r="C4147" i="8"/>
  <c r="B4147" i="8"/>
  <c r="A4147" i="8" s="1"/>
  <c r="H4146" i="8"/>
  <c r="G4146" i="8"/>
  <c r="F4146" i="8"/>
  <c r="E4146" i="8"/>
  <c r="C4146" i="8"/>
  <c r="B4146" i="8"/>
  <c r="A4146" i="8" s="1"/>
  <c r="H4145" i="8"/>
  <c r="G4145" i="8"/>
  <c r="F4145" i="8"/>
  <c r="E4145" i="8"/>
  <c r="C4145" i="8"/>
  <c r="B4145" i="8"/>
  <c r="A4145" i="8" s="1"/>
  <c r="H4144" i="8"/>
  <c r="G4144" i="8"/>
  <c r="F4144" i="8"/>
  <c r="E4144" i="8"/>
  <c r="C4144" i="8"/>
  <c r="B4144" i="8"/>
  <c r="A4144" i="8" s="1"/>
  <c r="H4143" i="8"/>
  <c r="G4143" i="8"/>
  <c r="F4143" i="8"/>
  <c r="E4143" i="8"/>
  <c r="C4143" i="8"/>
  <c r="B4143" i="8"/>
  <c r="A4143" i="8" s="1"/>
  <c r="H4142" i="8"/>
  <c r="G4142" i="8"/>
  <c r="F4142" i="8"/>
  <c r="E4142" i="8"/>
  <c r="C4142" i="8"/>
  <c r="B4142" i="8"/>
  <c r="A4142" i="8" s="1"/>
  <c r="H4141" i="8"/>
  <c r="G4141" i="8"/>
  <c r="F4141" i="8"/>
  <c r="E4141" i="8"/>
  <c r="C4141" i="8"/>
  <c r="B4141" i="8"/>
  <c r="A4141" i="8" s="1"/>
  <c r="H4140" i="8"/>
  <c r="G4140" i="8"/>
  <c r="F4140" i="8"/>
  <c r="E4140" i="8"/>
  <c r="C4140" i="8"/>
  <c r="B4140" i="8"/>
  <c r="A4140" i="8" s="1"/>
  <c r="H4139" i="8"/>
  <c r="G4139" i="8"/>
  <c r="F4139" i="8"/>
  <c r="E4139" i="8"/>
  <c r="C4139" i="8"/>
  <c r="B4139" i="8"/>
  <c r="A4139" i="8" s="1"/>
  <c r="H4138" i="8"/>
  <c r="G4138" i="8"/>
  <c r="F4138" i="8"/>
  <c r="E4138" i="8"/>
  <c r="C4138" i="8"/>
  <c r="B4138" i="8"/>
  <c r="A4138" i="8" s="1"/>
  <c r="H4137" i="8"/>
  <c r="G4137" i="8"/>
  <c r="F4137" i="8"/>
  <c r="E4137" i="8"/>
  <c r="C4137" i="8"/>
  <c r="B4137" i="8"/>
  <c r="A4137" i="8" s="1"/>
  <c r="H4136" i="8"/>
  <c r="G4136" i="8"/>
  <c r="F4136" i="8"/>
  <c r="E4136" i="8"/>
  <c r="C4136" i="8"/>
  <c r="B4136" i="8"/>
  <c r="A4136" i="8" s="1"/>
  <c r="H4135" i="8"/>
  <c r="G4135" i="8"/>
  <c r="F4135" i="8"/>
  <c r="E4135" i="8"/>
  <c r="C4135" i="8"/>
  <c r="B4135" i="8"/>
  <c r="A4135" i="8" s="1"/>
  <c r="H4134" i="8"/>
  <c r="G4134" i="8"/>
  <c r="F4134" i="8"/>
  <c r="E4134" i="8"/>
  <c r="C4134" i="8"/>
  <c r="B4134" i="8"/>
  <c r="A4134" i="8" s="1"/>
  <c r="H4133" i="8"/>
  <c r="G4133" i="8"/>
  <c r="F4133" i="8"/>
  <c r="E4133" i="8"/>
  <c r="C4133" i="8"/>
  <c r="B4133" i="8"/>
  <c r="A4133" i="8" s="1"/>
  <c r="H4132" i="8"/>
  <c r="G4132" i="8"/>
  <c r="F4132" i="8"/>
  <c r="E4132" i="8"/>
  <c r="C4132" i="8"/>
  <c r="B4132" i="8"/>
  <c r="A4132" i="8" s="1"/>
  <c r="H4131" i="8"/>
  <c r="G4131" i="8"/>
  <c r="F4131" i="8"/>
  <c r="E4131" i="8"/>
  <c r="C4131" i="8"/>
  <c r="B4131" i="8"/>
  <c r="A4131" i="8" s="1"/>
  <c r="H4130" i="8"/>
  <c r="G4130" i="8"/>
  <c r="F4130" i="8"/>
  <c r="E4130" i="8"/>
  <c r="C4130" i="8"/>
  <c r="B4130" i="8"/>
  <c r="A4130" i="8" s="1"/>
  <c r="H4129" i="8"/>
  <c r="G4129" i="8"/>
  <c r="F4129" i="8"/>
  <c r="E4129" i="8"/>
  <c r="C4129" i="8"/>
  <c r="B4129" i="8"/>
  <c r="A4129" i="8" s="1"/>
  <c r="H4128" i="8"/>
  <c r="G4128" i="8"/>
  <c r="F4128" i="8"/>
  <c r="E4128" i="8"/>
  <c r="C4128" i="8"/>
  <c r="B4128" i="8"/>
  <c r="A4128" i="8" s="1"/>
  <c r="H4127" i="8"/>
  <c r="G4127" i="8"/>
  <c r="F4127" i="8"/>
  <c r="E4127" i="8"/>
  <c r="C4127" i="8"/>
  <c r="B4127" i="8"/>
  <c r="A4127" i="8" s="1"/>
  <c r="H4126" i="8"/>
  <c r="G4126" i="8"/>
  <c r="F4126" i="8"/>
  <c r="E4126" i="8"/>
  <c r="C4126" i="8"/>
  <c r="B4126" i="8"/>
  <c r="A4126" i="8" s="1"/>
  <c r="H4125" i="8"/>
  <c r="G4125" i="8"/>
  <c r="F4125" i="8"/>
  <c r="E4125" i="8"/>
  <c r="C4125" i="8"/>
  <c r="B4125" i="8"/>
  <c r="A4125" i="8" s="1"/>
  <c r="H4124" i="8"/>
  <c r="G4124" i="8"/>
  <c r="F4124" i="8"/>
  <c r="E4124" i="8"/>
  <c r="C4124" i="8"/>
  <c r="B4124" i="8"/>
  <c r="A4124" i="8" s="1"/>
  <c r="H4123" i="8"/>
  <c r="G4123" i="8"/>
  <c r="F4123" i="8"/>
  <c r="E4123" i="8"/>
  <c r="C4123" i="8"/>
  <c r="B4123" i="8"/>
  <c r="A4123" i="8" s="1"/>
  <c r="H4122" i="8"/>
  <c r="G4122" i="8"/>
  <c r="F4122" i="8"/>
  <c r="E4122" i="8"/>
  <c r="C4122" i="8"/>
  <c r="B4122" i="8"/>
  <c r="A4122" i="8" s="1"/>
  <c r="H4121" i="8"/>
  <c r="G4121" i="8"/>
  <c r="F4121" i="8"/>
  <c r="E4121" i="8"/>
  <c r="C4121" i="8"/>
  <c r="B4121" i="8"/>
  <c r="A4121" i="8" s="1"/>
  <c r="H4120" i="8"/>
  <c r="G4120" i="8"/>
  <c r="F4120" i="8"/>
  <c r="E4120" i="8"/>
  <c r="C4120" i="8"/>
  <c r="B4120" i="8"/>
  <c r="A4120" i="8" s="1"/>
  <c r="H4119" i="8"/>
  <c r="G4119" i="8"/>
  <c r="F4119" i="8"/>
  <c r="E4119" i="8"/>
  <c r="C4119" i="8"/>
  <c r="B4119" i="8"/>
  <c r="A4119" i="8" s="1"/>
  <c r="H4118" i="8"/>
  <c r="G4118" i="8"/>
  <c r="F4118" i="8"/>
  <c r="E4118" i="8"/>
  <c r="C4118" i="8"/>
  <c r="B4118" i="8"/>
  <c r="A4118" i="8" s="1"/>
  <c r="H4117" i="8"/>
  <c r="G4117" i="8"/>
  <c r="F4117" i="8"/>
  <c r="E4117" i="8"/>
  <c r="C4117" i="8"/>
  <c r="B4117" i="8"/>
  <c r="A4117" i="8" s="1"/>
  <c r="H4116" i="8"/>
  <c r="G4116" i="8"/>
  <c r="F4116" i="8"/>
  <c r="E4116" i="8"/>
  <c r="C4116" i="8"/>
  <c r="B4116" i="8"/>
  <c r="A4116" i="8" s="1"/>
  <c r="H4115" i="8"/>
  <c r="G4115" i="8"/>
  <c r="F4115" i="8"/>
  <c r="E4115" i="8"/>
  <c r="C4115" i="8"/>
  <c r="B4115" i="8"/>
  <c r="A4115" i="8" s="1"/>
  <c r="H4114" i="8"/>
  <c r="G4114" i="8"/>
  <c r="F4114" i="8"/>
  <c r="E4114" i="8"/>
  <c r="C4114" i="8"/>
  <c r="B4114" i="8"/>
  <c r="A4114" i="8" s="1"/>
  <c r="H4113" i="8"/>
  <c r="G4113" i="8"/>
  <c r="F4113" i="8"/>
  <c r="E4113" i="8"/>
  <c r="C4113" i="8"/>
  <c r="B4113" i="8"/>
  <c r="A4113" i="8" s="1"/>
  <c r="H4112" i="8"/>
  <c r="G4112" i="8"/>
  <c r="F4112" i="8"/>
  <c r="E4112" i="8"/>
  <c r="C4112" i="8"/>
  <c r="B4112" i="8"/>
  <c r="A4112" i="8" s="1"/>
  <c r="H4111" i="8"/>
  <c r="G4111" i="8"/>
  <c r="F4111" i="8"/>
  <c r="E4111" i="8"/>
  <c r="C4111" i="8"/>
  <c r="B4111" i="8"/>
  <c r="A4111" i="8" s="1"/>
  <c r="H4110" i="8"/>
  <c r="G4110" i="8"/>
  <c r="F4110" i="8"/>
  <c r="E4110" i="8"/>
  <c r="C4110" i="8"/>
  <c r="B4110" i="8"/>
  <c r="A4110" i="8" s="1"/>
  <c r="H4109" i="8"/>
  <c r="G4109" i="8"/>
  <c r="F4109" i="8"/>
  <c r="E4109" i="8"/>
  <c r="C4109" i="8"/>
  <c r="B4109" i="8"/>
  <c r="A4109" i="8" s="1"/>
  <c r="H4108" i="8"/>
  <c r="G4108" i="8"/>
  <c r="F4108" i="8"/>
  <c r="E4108" i="8"/>
  <c r="C4108" i="8"/>
  <c r="B4108" i="8"/>
  <c r="A4108" i="8" s="1"/>
  <c r="H4107" i="8"/>
  <c r="G4107" i="8"/>
  <c r="F4107" i="8"/>
  <c r="E4107" i="8"/>
  <c r="C4107" i="8"/>
  <c r="B4107" i="8"/>
  <c r="A4107" i="8" s="1"/>
  <c r="H4106" i="8"/>
  <c r="G4106" i="8"/>
  <c r="F4106" i="8"/>
  <c r="E4106" i="8"/>
  <c r="C4106" i="8"/>
  <c r="B4106" i="8"/>
  <c r="A4106" i="8" s="1"/>
  <c r="H4105" i="8"/>
  <c r="G4105" i="8"/>
  <c r="F4105" i="8"/>
  <c r="E4105" i="8"/>
  <c r="C4105" i="8"/>
  <c r="B4105" i="8"/>
  <c r="A4105" i="8" s="1"/>
  <c r="H4104" i="8"/>
  <c r="G4104" i="8"/>
  <c r="F4104" i="8"/>
  <c r="E4104" i="8"/>
  <c r="C4104" i="8"/>
  <c r="B4104" i="8"/>
  <c r="A4104" i="8" s="1"/>
  <c r="H4103" i="8"/>
  <c r="G4103" i="8"/>
  <c r="F4103" i="8"/>
  <c r="E4103" i="8"/>
  <c r="C4103" i="8"/>
  <c r="B4103" i="8"/>
  <c r="A4103" i="8" s="1"/>
  <c r="H4102" i="8"/>
  <c r="G4102" i="8"/>
  <c r="F4102" i="8"/>
  <c r="E4102" i="8"/>
  <c r="C4102" i="8"/>
  <c r="B4102" i="8"/>
  <c r="A4102" i="8" s="1"/>
  <c r="H4101" i="8"/>
  <c r="G4101" i="8"/>
  <c r="F4101" i="8"/>
  <c r="E4101" i="8"/>
  <c r="C4101" i="8"/>
  <c r="B4101" i="8"/>
  <c r="A4101" i="8" s="1"/>
  <c r="H4100" i="8"/>
  <c r="G4100" i="8"/>
  <c r="F4100" i="8"/>
  <c r="E4100" i="8"/>
  <c r="C4100" i="8"/>
  <c r="B4100" i="8"/>
  <c r="A4100" i="8" s="1"/>
  <c r="H4099" i="8"/>
  <c r="G4099" i="8"/>
  <c r="F4099" i="8"/>
  <c r="E4099" i="8"/>
  <c r="C4099" i="8"/>
  <c r="B4099" i="8"/>
  <c r="A4099" i="8" s="1"/>
  <c r="H4098" i="8"/>
  <c r="G4098" i="8"/>
  <c r="F4098" i="8"/>
  <c r="E4098" i="8"/>
  <c r="C4098" i="8"/>
  <c r="B4098" i="8"/>
  <c r="A4098" i="8" s="1"/>
  <c r="H4097" i="8"/>
  <c r="G4097" i="8"/>
  <c r="F4097" i="8"/>
  <c r="E4097" i="8"/>
  <c r="C4097" i="8"/>
  <c r="B4097" i="8"/>
  <c r="A4097" i="8" s="1"/>
  <c r="H4096" i="8"/>
  <c r="G4096" i="8"/>
  <c r="F4096" i="8"/>
  <c r="E4096" i="8"/>
  <c r="C4096" i="8"/>
  <c r="B4096" i="8"/>
  <c r="A4096" i="8" s="1"/>
  <c r="H4095" i="8"/>
  <c r="G4095" i="8"/>
  <c r="F4095" i="8"/>
  <c r="E4095" i="8"/>
  <c r="C4095" i="8"/>
  <c r="B4095" i="8"/>
  <c r="A4095" i="8" s="1"/>
  <c r="H4094" i="8"/>
  <c r="G4094" i="8"/>
  <c r="F4094" i="8"/>
  <c r="E4094" i="8"/>
  <c r="C4094" i="8"/>
  <c r="B4094" i="8"/>
  <c r="A4094" i="8" s="1"/>
  <c r="H4093" i="8"/>
  <c r="G4093" i="8"/>
  <c r="F4093" i="8"/>
  <c r="E4093" i="8"/>
  <c r="C4093" i="8"/>
  <c r="B4093" i="8"/>
  <c r="A4093" i="8" s="1"/>
  <c r="H4092" i="8"/>
  <c r="G4092" i="8"/>
  <c r="F4092" i="8"/>
  <c r="E4092" i="8"/>
  <c r="C4092" i="8"/>
  <c r="B4092" i="8"/>
  <c r="A4092" i="8" s="1"/>
  <c r="H4091" i="8"/>
  <c r="G4091" i="8"/>
  <c r="F4091" i="8"/>
  <c r="E4091" i="8"/>
  <c r="C4091" i="8"/>
  <c r="B4091" i="8"/>
  <c r="A4091" i="8" s="1"/>
  <c r="H4090" i="8"/>
  <c r="G4090" i="8"/>
  <c r="F4090" i="8"/>
  <c r="E4090" i="8"/>
  <c r="C4090" i="8"/>
  <c r="B4090" i="8"/>
  <c r="A4090" i="8" s="1"/>
  <c r="H4089" i="8"/>
  <c r="G4089" i="8"/>
  <c r="F4089" i="8"/>
  <c r="E4089" i="8"/>
  <c r="C4089" i="8"/>
  <c r="B4089" i="8"/>
  <c r="A4089" i="8" s="1"/>
  <c r="H4088" i="8"/>
  <c r="G4088" i="8"/>
  <c r="F4088" i="8"/>
  <c r="E4088" i="8"/>
  <c r="C4088" i="8"/>
  <c r="B4088" i="8"/>
  <c r="A4088" i="8" s="1"/>
  <c r="H4087" i="8"/>
  <c r="G4087" i="8"/>
  <c r="F4087" i="8"/>
  <c r="E4087" i="8"/>
  <c r="C4087" i="8"/>
  <c r="B4087" i="8"/>
  <c r="A4087" i="8" s="1"/>
  <c r="H4086" i="8"/>
  <c r="G4086" i="8"/>
  <c r="F4086" i="8"/>
  <c r="E4086" i="8"/>
  <c r="C4086" i="8"/>
  <c r="B4086" i="8"/>
  <c r="A4086" i="8" s="1"/>
  <c r="H4085" i="8"/>
  <c r="G4085" i="8"/>
  <c r="F4085" i="8"/>
  <c r="E4085" i="8"/>
  <c r="C4085" i="8"/>
  <c r="B4085" i="8"/>
  <c r="A4085" i="8" s="1"/>
  <c r="H4084" i="8"/>
  <c r="G4084" i="8"/>
  <c r="F4084" i="8"/>
  <c r="E4084" i="8"/>
  <c r="C4084" i="8"/>
  <c r="B4084" i="8"/>
  <c r="A4084" i="8" s="1"/>
  <c r="H4083" i="8"/>
  <c r="G4083" i="8"/>
  <c r="F4083" i="8"/>
  <c r="E4083" i="8"/>
  <c r="C4083" i="8"/>
  <c r="B4083" i="8"/>
  <c r="A4083" i="8" s="1"/>
  <c r="H4082" i="8"/>
  <c r="G4082" i="8"/>
  <c r="F4082" i="8"/>
  <c r="E4082" i="8"/>
  <c r="C4082" i="8"/>
  <c r="B4082" i="8"/>
  <c r="A4082" i="8" s="1"/>
  <c r="H4081" i="8"/>
  <c r="G4081" i="8"/>
  <c r="F4081" i="8"/>
  <c r="E4081" i="8"/>
  <c r="C4081" i="8"/>
  <c r="B4081" i="8"/>
  <c r="A4081" i="8" s="1"/>
  <c r="H4080" i="8"/>
  <c r="G4080" i="8"/>
  <c r="F4080" i="8"/>
  <c r="E4080" i="8"/>
  <c r="C4080" i="8"/>
  <c r="B4080" i="8"/>
  <c r="A4080" i="8" s="1"/>
  <c r="H4079" i="8"/>
  <c r="G4079" i="8"/>
  <c r="F4079" i="8"/>
  <c r="E4079" i="8"/>
  <c r="C4079" i="8"/>
  <c r="B4079" i="8"/>
  <c r="A4079" i="8" s="1"/>
  <c r="H4078" i="8"/>
  <c r="G4078" i="8"/>
  <c r="F4078" i="8"/>
  <c r="E4078" i="8"/>
  <c r="C4078" i="8"/>
  <c r="B4078" i="8"/>
  <c r="A4078" i="8" s="1"/>
  <c r="H4027" i="8"/>
  <c r="G4027" i="8"/>
  <c r="F4027" i="8"/>
  <c r="E4027" i="8"/>
  <c r="C4027" i="8"/>
  <c r="B4027" i="8"/>
  <c r="A4027" i="8" s="1"/>
  <c r="H4026" i="8"/>
  <c r="G4026" i="8"/>
  <c r="F4026" i="8"/>
  <c r="E4026" i="8"/>
  <c r="C4026" i="8"/>
  <c r="B4026" i="8"/>
  <c r="A4026" i="8" s="1"/>
  <c r="H4025" i="8"/>
  <c r="G4025" i="8"/>
  <c r="F4025" i="8"/>
  <c r="E4025" i="8"/>
  <c r="C4025" i="8"/>
  <c r="B4025" i="8"/>
  <c r="A4025" i="8" s="1"/>
  <c r="H4024" i="8"/>
  <c r="G4024" i="8"/>
  <c r="F4024" i="8"/>
  <c r="E4024" i="8"/>
  <c r="C4024" i="8"/>
  <c r="B4024" i="8"/>
  <c r="A4024" i="8" s="1"/>
  <c r="H4023" i="8"/>
  <c r="G4023" i="8"/>
  <c r="F4023" i="8"/>
  <c r="E4023" i="8"/>
  <c r="C4023" i="8"/>
  <c r="B4023" i="8"/>
  <c r="A4023" i="8" s="1"/>
  <c r="H4022" i="8"/>
  <c r="G4022" i="8"/>
  <c r="F4022" i="8"/>
  <c r="E4022" i="8"/>
  <c r="C4022" i="8"/>
  <c r="B4022" i="8"/>
  <c r="A4022" i="8" s="1"/>
  <c r="H4021" i="8"/>
  <c r="G4021" i="8"/>
  <c r="F4021" i="8"/>
  <c r="E4021" i="8"/>
  <c r="C4021" i="8"/>
  <c r="B4021" i="8"/>
  <c r="A4021" i="8" s="1"/>
  <c r="H4020" i="8"/>
  <c r="G4020" i="8"/>
  <c r="F4020" i="8"/>
  <c r="E4020" i="8"/>
  <c r="C4020" i="8"/>
  <c r="B4020" i="8"/>
  <c r="A4020" i="8" s="1"/>
  <c r="H4019" i="8"/>
  <c r="G4019" i="8"/>
  <c r="F4019" i="8"/>
  <c r="E4019" i="8"/>
  <c r="C4019" i="8"/>
  <c r="B4019" i="8"/>
  <c r="A4019" i="8" s="1"/>
  <c r="H4018" i="8"/>
  <c r="G4018" i="8"/>
  <c r="F4018" i="8"/>
  <c r="E4018" i="8"/>
  <c r="C4018" i="8"/>
  <c r="B4018" i="8"/>
  <c r="A4018" i="8" s="1"/>
  <c r="H4017" i="8"/>
  <c r="G4017" i="8"/>
  <c r="F4017" i="8"/>
  <c r="E4017" i="8"/>
  <c r="C4017" i="8"/>
  <c r="B4017" i="8"/>
  <c r="A4017" i="8" s="1"/>
  <c r="H4016" i="8"/>
  <c r="G4016" i="8"/>
  <c r="F4016" i="8"/>
  <c r="E4016" i="8"/>
  <c r="C4016" i="8"/>
  <c r="B4016" i="8"/>
  <c r="A4016" i="8" s="1"/>
  <c r="H4015" i="8"/>
  <c r="G4015" i="8"/>
  <c r="F4015" i="8"/>
  <c r="E4015" i="8"/>
  <c r="C4015" i="8"/>
  <c r="B4015" i="8"/>
  <c r="A4015" i="8" s="1"/>
  <c r="H4014" i="8"/>
  <c r="G4014" i="8"/>
  <c r="F4014" i="8"/>
  <c r="E4014" i="8"/>
  <c r="C4014" i="8"/>
  <c r="B4014" i="8"/>
  <c r="A4014" i="8" s="1"/>
  <c r="H4013" i="8"/>
  <c r="G4013" i="8"/>
  <c r="F4013" i="8"/>
  <c r="E4013" i="8"/>
  <c r="C4013" i="8"/>
  <c r="B4013" i="8"/>
  <c r="A4013" i="8" s="1"/>
  <c r="H4012" i="8"/>
  <c r="G4012" i="8"/>
  <c r="F4012" i="8"/>
  <c r="E4012" i="8"/>
  <c r="C4012" i="8"/>
  <c r="B4012" i="8"/>
  <c r="A4012" i="8" s="1"/>
  <c r="H4011" i="8"/>
  <c r="G4011" i="8"/>
  <c r="F4011" i="8"/>
  <c r="E4011" i="8"/>
  <c r="C4011" i="8"/>
  <c r="B4011" i="8"/>
  <c r="A4011" i="8" s="1"/>
  <c r="H4010" i="8"/>
  <c r="G4010" i="8"/>
  <c r="F4010" i="8"/>
  <c r="E4010" i="8"/>
  <c r="C4010" i="8"/>
  <c r="B4010" i="8"/>
  <c r="A4010" i="8" s="1"/>
  <c r="H4009" i="8"/>
  <c r="G4009" i="8"/>
  <c r="F4009" i="8"/>
  <c r="E4009" i="8"/>
  <c r="C4009" i="8"/>
  <c r="B4009" i="8"/>
  <c r="A4009" i="8" s="1"/>
  <c r="H4008" i="8"/>
  <c r="G4008" i="8"/>
  <c r="F4008" i="8"/>
  <c r="E4008" i="8"/>
  <c r="C4008" i="8"/>
  <c r="B4008" i="8"/>
  <c r="A4008" i="8" s="1"/>
  <c r="H4007" i="8"/>
  <c r="G4007" i="8"/>
  <c r="F4007" i="8"/>
  <c r="E4007" i="8"/>
  <c r="C4007" i="8"/>
  <c r="B4007" i="8"/>
  <c r="A4007" i="8" s="1"/>
  <c r="H4006" i="8"/>
  <c r="G4006" i="8"/>
  <c r="F4006" i="8"/>
  <c r="E4006" i="8"/>
  <c r="C4006" i="8"/>
  <c r="B4006" i="8"/>
  <c r="A4006" i="8" s="1"/>
  <c r="H4005" i="8"/>
  <c r="G4005" i="8"/>
  <c r="F4005" i="8"/>
  <c r="E4005" i="8"/>
  <c r="C4005" i="8"/>
  <c r="B4005" i="8"/>
  <c r="A4005" i="8" s="1"/>
  <c r="H4004" i="8"/>
  <c r="G4004" i="8"/>
  <c r="F4004" i="8"/>
  <c r="E4004" i="8"/>
  <c r="C4004" i="8"/>
  <c r="B4004" i="8"/>
  <c r="A4004" i="8" s="1"/>
  <c r="H4003" i="8"/>
  <c r="G4003" i="8"/>
  <c r="F4003" i="8"/>
  <c r="E4003" i="8"/>
  <c r="C4003" i="8"/>
  <c r="B4003" i="8"/>
  <c r="A4003" i="8" s="1"/>
  <c r="H4002" i="8"/>
  <c r="G4002" i="8"/>
  <c r="F4002" i="8"/>
  <c r="E4002" i="8"/>
  <c r="C4002" i="8"/>
  <c r="B4002" i="8"/>
  <c r="A4002" i="8" s="1"/>
  <c r="H4001" i="8"/>
  <c r="G4001" i="8"/>
  <c r="F4001" i="8"/>
  <c r="E4001" i="8"/>
  <c r="C4001" i="8"/>
  <c r="B4001" i="8"/>
  <c r="A4001" i="8" s="1"/>
  <c r="H4000" i="8"/>
  <c r="G4000" i="8"/>
  <c r="F4000" i="8"/>
  <c r="E4000" i="8"/>
  <c r="C4000" i="8"/>
  <c r="B4000" i="8"/>
  <c r="A4000" i="8" s="1"/>
  <c r="H3999" i="8"/>
  <c r="G3999" i="8"/>
  <c r="F3999" i="8"/>
  <c r="E3999" i="8"/>
  <c r="C3999" i="8"/>
  <c r="B3999" i="8"/>
  <c r="A3999" i="8" s="1"/>
  <c r="H3998" i="8"/>
  <c r="G3998" i="8"/>
  <c r="F3998" i="8"/>
  <c r="E3998" i="8"/>
  <c r="C3998" i="8"/>
  <c r="B3998" i="8"/>
  <c r="A3998" i="8" s="1"/>
  <c r="H3997" i="8"/>
  <c r="G3997" i="8"/>
  <c r="F3997" i="8"/>
  <c r="E3997" i="8"/>
  <c r="C3997" i="8"/>
  <c r="B3997" i="8"/>
  <c r="A3997" i="8" s="1"/>
  <c r="H3996" i="8"/>
  <c r="G3996" i="8"/>
  <c r="F3996" i="8"/>
  <c r="E3996" i="8"/>
  <c r="C3996" i="8"/>
  <c r="B3996" i="8"/>
  <c r="A3996" i="8" s="1"/>
  <c r="H3995" i="8"/>
  <c r="G3995" i="8"/>
  <c r="F3995" i="8"/>
  <c r="E3995" i="8"/>
  <c r="C3995" i="8"/>
  <c r="B3995" i="8"/>
  <c r="A3995" i="8" s="1"/>
  <c r="H3994" i="8"/>
  <c r="G3994" i="8"/>
  <c r="F3994" i="8"/>
  <c r="E3994" i="8"/>
  <c r="C3994" i="8"/>
  <c r="B3994" i="8"/>
  <c r="A3994" i="8" s="1"/>
  <c r="H3993" i="8"/>
  <c r="G3993" i="8"/>
  <c r="F3993" i="8"/>
  <c r="E3993" i="8"/>
  <c r="C3993" i="8"/>
  <c r="B3993" i="8"/>
  <c r="A3993" i="8" s="1"/>
  <c r="H3992" i="8"/>
  <c r="G3992" i="8"/>
  <c r="F3992" i="8"/>
  <c r="E3992" i="8"/>
  <c r="C3992" i="8"/>
  <c r="B3992" i="8"/>
  <c r="A3992" i="8" s="1"/>
  <c r="H3991" i="8"/>
  <c r="G3991" i="8"/>
  <c r="F3991" i="8"/>
  <c r="E3991" i="8"/>
  <c r="C3991" i="8"/>
  <c r="B3991" i="8"/>
  <c r="A3991" i="8" s="1"/>
  <c r="H3990" i="8"/>
  <c r="G3990" i="8"/>
  <c r="F3990" i="8"/>
  <c r="E3990" i="8"/>
  <c r="C3990" i="8"/>
  <c r="B3990" i="8"/>
  <c r="A3990" i="8" s="1"/>
  <c r="H3989" i="8"/>
  <c r="G3989" i="8"/>
  <c r="F3989" i="8"/>
  <c r="E3989" i="8"/>
  <c r="C3989" i="8"/>
  <c r="B3989" i="8"/>
  <c r="A3989" i="8" s="1"/>
  <c r="H3988" i="8"/>
  <c r="G3988" i="8"/>
  <c r="F3988" i="8"/>
  <c r="E3988" i="8"/>
  <c r="C3988" i="8"/>
  <c r="B3988" i="8"/>
  <c r="A3988" i="8" s="1"/>
  <c r="H3987" i="8"/>
  <c r="G3987" i="8"/>
  <c r="F3987" i="8"/>
  <c r="E3987" i="8"/>
  <c r="C3987" i="8"/>
  <c r="B3987" i="8"/>
  <c r="A3987" i="8" s="1"/>
  <c r="H3986" i="8"/>
  <c r="G3986" i="8"/>
  <c r="F3986" i="8"/>
  <c r="E3986" i="8"/>
  <c r="C3986" i="8"/>
  <c r="B3986" i="8"/>
  <c r="A3986" i="8" s="1"/>
  <c r="H3985" i="8"/>
  <c r="G3985" i="8"/>
  <c r="F3985" i="8"/>
  <c r="E3985" i="8"/>
  <c r="C3985" i="8"/>
  <c r="B3985" i="8"/>
  <c r="A3985" i="8" s="1"/>
  <c r="H3984" i="8"/>
  <c r="G3984" i="8"/>
  <c r="F3984" i="8"/>
  <c r="E3984" i="8"/>
  <c r="C3984" i="8"/>
  <c r="B3984" i="8"/>
  <c r="A3984" i="8" s="1"/>
  <c r="H3983" i="8"/>
  <c r="G3983" i="8"/>
  <c r="F3983" i="8"/>
  <c r="E3983" i="8"/>
  <c r="C3983" i="8"/>
  <c r="B3983" i="8"/>
  <c r="A3983" i="8" s="1"/>
  <c r="H3982" i="8"/>
  <c r="G3982" i="8"/>
  <c r="F3982" i="8"/>
  <c r="E3982" i="8"/>
  <c r="C3982" i="8"/>
  <c r="B3982" i="8"/>
  <c r="A3982" i="8" s="1"/>
  <c r="H3981" i="8"/>
  <c r="G3981" i="8"/>
  <c r="F3981" i="8"/>
  <c r="E3981" i="8"/>
  <c r="C3981" i="8"/>
  <c r="B3981" i="8"/>
  <c r="A3981" i="8" s="1"/>
  <c r="H3980" i="8"/>
  <c r="G3980" i="8"/>
  <c r="F3980" i="8"/>
  <c r="E3980" i="8"/>
  <c r="C3980" i="8"/>
  <c r="B3980" i="8"/>
  <c r="A3980" i="8" s="1"/>
  <c r="H3979" i="8"/>
  <c r="G3979" i="8"/>
  <c r="F3979" i="8"/>
  <c r="E3979" i="8"/>
  <c r="C3979" i="8"/>
  <c r="B3979" i="8"/>
  <c r="A3979" i="8" s="1"/>
  <c r="H3978" i="8"/>
  <c r="G3978" i="8"/>
  <c r="F3978" i="8"/>
  <c r="E3978" i="8"/>
  <c r="C3978" i="8"/>
  <c r="B3978" i="8"/>
  <c r="A3978" i="8" s="1"/>
  <c r="H3977" i="8"/>
  <c r="G3977" i="8"/>
  <c r="F3977" i="8"/>
  <c r="E3977" i="8"/>
  <c r="C3977" i="8"/>
  <c r="B3977" i="8"/>
  <c r="A3977" i="8" s="1"/>
  <c r="H3976" i="8"/>
  <c r="G3976" i="8"/>
  <c r="F3976" i="8"/>
  <c r="E3976" i="8"/>
  <c r="C3976" i="8"/>
  <c r="B3976" i="8"/>
  <c r="A3976" i="8" s="1"/>
  <c r="H3975" i="8"/>
  <c r="G3975" i="8"/>
  <c r="F3975" i="8"/>
  <c r="E3975" i="8"/>
  <c r="C3975" i="8"/>
  <c r="B3975" i="8"/>
  <c r="A3975" i="8" s="1"/>
  <c r="H3974" i="8"/>
  <c r="G3974" i="8"/>
  <c r="F3974" i="8"/>
  <c r="E3974" i="8"/>
  <c r="C3974" i="8"/>
  <c r="B3974" i="8"/>
  <c r="A3974" i="8" s="1"/>
  <c r="H3973" i="8"/>
  <c r="G3973" i="8"/>
  <c r="F3973" i="8"/>
  <c r="E3973" i="8"/>
  <c r="C3973" i="8"/>
  <c r="B3973" i="8"/>
  <c r="A3973" i="8" s="1"/>
  <c r="H3972" i="8"/>
  <c r="G3972" i="8"/>
  <c r="F3972" i="8"/>
  <c r="E3972" i="8"/>
  <c r="C3972" i="8"/>
  <c r="B3972" i="8"/>
  <c r="A3972" i="8" s="1"/>
  <c r="H3971" i="8"/>
  <c r="G3971" i="8"/>
  <c r="F3971" i="8"/>
  <c r="E3971" i="8"/>
  <c r="C3971" i="8"/>
  <c r="B3971" i="8"/>
  <c r="A3971" i="8" s="1"/>
  <c r="H3970" i="8"/>
  <c r="G3970" i="8"/>
  <c r="F3970" i="8"/>
  <c r="E3970" i="8"/>
  <c r="C3970" i="8"/>
  <c r="B3970" i="8"/>
  <c r="A3970" i="8" s="1"/>
  <c r="H3969" i="8"/>
  <c r="G3969" i="8"/>
  <c r="F3969" i="8"/>
  <c r="E3969" i="8"/>
  <c r="C3969" i="8"/>
  <c r="B3969" i="8"/>
  <c r="A3969" i="8" s="1"/>
  <c r="H3968" i="8"/>
  <c r="G3968" i="8"/>
  <c r="F3968" i="8"/>
  <c r="E3968" i="8"/>
  <c r="C3968" i="8"/>
  <c r="B3968" i="8"/>
  <c r="A3968" i="8" s="1"/>
  <c r="H3967" i="8"/>
  <c r="G3967" i="8"/>
  <c r="F3967" i="8"/>
  <c r="E3967" i="8"/>
  <c r="C3967" i="8"/>
  <c r="B3967" i="8"/>
  <c r="A3967" i="8" s="1"/>
  <c r="H3966" i="8"/>
  <c r="G3966" i="8"/>
  <c r="F3966" i="8"/>
  <c r="E3966" i="8"/>
  <c r="C3966" i="8"/>
  <c r="B3966" i="8"/>
  <c r="A3966" i="8" s="1"/>
  <c r="H3965" i="8"/>
  <c r="G3965" i="8"/>
  <c r="F3965" i="8"/>
  <c r="E3965" i="8"/>
  <c r="C3965" i="8"/>
  <c r="B3965" i="8"/>
  <c r="A3965" i="8" s="1"/>
  <c r="H3964" i="8"/>
  <c r="G3964" i="8"/>
  <c r="F3964" i="8"/>
  <c r="E3964" i="8"/>
  <c r="C3964" i="8"/>
  <c r="B3964" i="8"/>
  <c r="A3964" i="8" s="1"/>
  <c r="H3963" i="8"/>
  <c r="G3963" i="8"/>
  <c r="F3963" i="8"/>
  <c r="E3963" i="8"/>
  <c r="C3963" i="8"/>
  <c r="B3963" i="8"/>
  <c r="A3963" i="8" s="1"/>
  <c r="H3962" i="8"/>
  <c r="G3962" i="8"/>
  <c r="F3962" i="8"/>
  <c r="E3962" i="8"/>
  <c r="C3962" i="8"/>
  <c r="B3962" i="8"/>
  <c r="A3962" i="8" s="1"/>
  <c r="H3961" i="8"/>
  <c r="G3961" i="8"/>
  <c r="F3961" i="8"/>
  <c r="E3961" i="8"/>
  <c r="C3961" i="8"/>
  <c r="B3961" i="8"/>
  <c r="A3961" i="8" s="1"/>
  <c r="H3960" i="8"/>
  <c r="G3960" i="8"/>
  <c r="F3960" i="8"/>
  <c r="E3960" i="8"/>
  <c r="C3960" i="8"/>
  <c r="B3960" i="8"/>
  <c r="A3960" i="8" s="1"/>
  <c r="H3959" i="8"/>
  <c r="G3959" i="8"/>
  <c r="F3959" i="8"/>
  <c r="E3959" i="8"/>
  <c r="C3959" i="8"/>
  <c r="B3959" i="8"/>
  <c r="A3959" i="8" s="1"/>
  <c r="H3958" i="8"/>
  <c r="G3958" i="8"/>
  <c r="F3958" i="8"/>
  <c r="E3958" i="8"/>
  <c r="C3958" i="8"/>
  <c r="B3958" i="8"/>
  <c r="A3958" i="8" s="1"/>
  <c r="H3957" i="8"/>
  <c r="G3957" i="8"/>
  <c r="F3957" i="8"/>
  <c r="E3957" i="8"/>
  <c r="C3957" i="8"/>
  <c r="B3957" i="8"/>
  <c r="A3957" i="8" s="1"/>
  <c r="H3956" i="8"/>
  <c r="G3956" i="8"/>
  <c r="F3956" i="8"/>
  <c r="E3956" i="8"/>
  <c r="C3956" i="8"/>
  <c r="B3956" i="8"/>
  <c r="A3956" i="8" s="1"/>
  <c r="H3955" i="8"/>
  <c r="G3955" i="8"/>
  <c r="F3955" i="8"/>
  <c r="E3955" i="8"/>
  <c r="C3955" i="8"/>
  <c r="B3955" i="8"/>
  <c r="A3955" i="8" s="1"/>
  <c r="H3954" i="8"/>
  <c r="G3954" i="8"/>
  <c r="F3954" i="8"/>
  <c r="E3954" i="8"/>
  <c r="C3954" i="8"/>
  <c r="B3954" i="8"/>
  <c r="A3954" i="8" s="1"/>
  <c r="H3953" i="8"/>
  <c r="G3953" i="8"/>
  <c r="F3953" i="8"/>
  <c r="E3953" i="8"/>
  <c r="C3953" i="8"/>
  <c r="B3953" i="8"/>
  <c r="A3953" i="8" s="1"/>
  <c r="H3952" i="8"/>
  <c r="G3952" i="8"/>
  <c r="F3952" i="8"/>
  <c r="E3952" i="8"/>
  <c r="C3952" i="8"/>
  <c r="B3952" i="8"/>
  <c r="A3952" i="8" s="1"/>
  <c r="H3951" i="8"/>
  <c r="G3951" i="8"/>
  <c r="F3951" i="8"/>
  <c r="E3951" i="8"/>
  <c r="C3951" i="8"/>
  <c r="B3951" i="8"/>
  <c r="A3951" i="8" s="1"/>
  <c r="H3950" i="8"/>
  <c r="G3950" i="8"/>
  <c r="F3950" i="8"/>
  <c r="E3950" i="8"/>
  <c r="C3950" i="8"/>
  <c r="B3950" i="8"/>
  <c r="A3950" i="8" s="1"/>
  <c r="H3949" i="8"/>
  <c r="G3949" i="8"/>
  <c r="F3949" i="8"/>
  <c r="E3949" i="8"/>
  <c r="C3949" i="8"/>
  <c r="B3949" i="8"/>
  <c r="A3949" i="8" s="1"/>
  <c r="H3948" i="8"/>
  <c r="G3948" i="8"/>
  <c r="F3948" i="8"/>
  <c r="E3948" i="8"/>
  <c r="C3948" i="8"/>
  <c r="B3948" i="8"/>
  <c r="A3948" i="8" s="1"/>
  <c r="H3947" i="8"/>
  <c r="G3947" i="8"/>
  <c r="F3947" i="8"/>
  <c r="E3947" i="8"/>
  <c r="C3947" i="8"/>
  <c r="B3947" i="8"/>
  <c r="A3947" i="8" s="1"/>
  <c r="H3946" i="8"/>
  <c r="G3946" i="8"/>
  <c r="F3946" i="8"/>
  <c r="E3946" i="8"/>
  <c r="C3946" i="8"/>
  <c r="B3946" i="8"/>
  <c r="A3946" i="8" s="1"/>
  <c r="G3945" i="8"/>
  <c r="F3945" i="8"/>
  <c r="E3945" i="8"/>
  <c r="C3945" i="8"/>
  <c r="B3945" i="8"/>
  <c r="A3945" i="8" s="1"/>
  <c r="H3944" i="8"/>
  <c r="G3944" i="8"/>
  <c r="F3944" i="8"/>
  <c r="E3944" i="8"/>
  <c r="C3944" i="8"/>
  <c r="B3944" i="8"/>
  <c r="A3944" i="8" s="1"/>
  <c r="H3943" i="8"/>
  <c r="G3943" i="8"/>
  <c r="F3943" i="8"/>
  <c r="E3943" i="8"/>
  <c r="C3943" i="8"/>
  <c r="B3943" i="8"/>
  <c r="A3943" i="8" s="1"/>
  <c r="H3942" i="8"/>
  <c r="G3942" i="8"/>
  <c r="F3942" i="8"/>
  <c r="E3942" i="8"/>
  <c r="C3942" i="8"/>
  <c r="B3942" i="8"/>
  <c r="A3942" i="8" s="1"/>
  <c r="H3941" i="8"/>
  <c r="G3941" i="8"/>
  <c r="F3941" i="8"/>
  <c r="E3941" i="8"/>
  <c r="C3941" i="8"/>
  <c r="B3941" i="8"/>
  <c r="A3941" i="8" s="1"/>
  <c r="H3940" i="8"/>
  <c r="G3940" i="8"/>
  <c r="F3940" i="8"/>
  <c r="E3940" i="8"/>
  <c r="C3940" i="8"/>
  <c r="B3940" i="8"/>
  <c r="A3940" i="8" s="1"/>
  <c r="H3939" i="8"/>
  <c r="G3939" i="8"/>
  <c r="F3939" i="8"/>
  <c r="E3939" i="8"/>
  <c r="C3939" i="8"/>
  <c r="B3939" i="8"/>
  <c r="A3939" i="8" s="1"/>
  <c r="H3938" i="8"/>
  <c r="G3938" i="8"/>
  <c r="F3938" i="8"/>
  <c r="E3938" i="8"/>
  <c r="C3938" i="8"/>
  <c r="B3938" i="8"/>
  <c r="A3938" i="8" s="1"/>
  <c r="H3937" i="8"/>
  <c r="G3937" i="8"/>
  <c r="F3937" i="8"/>
  <c r="E3937" i="8"/>
  <c r="C3937" i="8"/>
  <c r="B3937" i="8"/>
  <c r="A3937" i="8" s="1"/>
  <c r="H3936" i="8"/>
  <c r="G3936" i="8"/>
  <c r="F3936" i="8"/>
  <c r="E3936" i="8"/>
  <c r="C3936" i="8"/>
  <c r="B3936" i="8"/>
  <c r="A3936" i="8" s="1"/>
  <c r="H3935" i="8"/>
  <c r="G3935" i="8"/>
  <c r="F3935" i="8"/>
  <c r="E3935" i="8"/>
  <c r="C3935" i="8"/>
  <c r="B3935" i="8"/>
  <c r="A3935" i="8" s="1"/>
  <c r="H3934" i="8"/>
  <c r="G3934" i="8"/>
  <c r="F3934" i="8"/>
  <c r="E3934" i="8"/>
  <c r="C3934" i="8"/>
  <c r="B3934" i="8"/>
  <c r="A3934" i="8" s="1"/>
  <c r="H3933" i="8"/>
  <c r="G3933" i="8"/>
  <c r="F3933" i="8"/>
  <c r="E3933" i="8"/>
  <c r="C3933" i="8"/>
  <c r="B3933" i="8"/>
  <c r="A3933" i="8" s="1"/>
  <c r="H3932" i="8"/>
  <c r="G3932" i="8"/>
  <c r="F3932" i="8"/>
  <c r="E3932" i="8"/>
  <c r="C3932" i="8"/>
  <c r="B3932" i="8"/>
  <c r="A3932" i="8" s="1"/>
  <c r="H3931" i="8"/>
  <c r="G3931" i="8"/>
  <c r="F3931" i="8"/>
  <c r="E3931" i="8"/>
  <c r="C3931" i="8"/>
  <c r="B3931" i="8"/>
  <c r="A3931" i="8" s="1"/>
  <c r="I3930" i="8"/>
  <c r="F3930" i="8"/>
  <c r="E3930" i="8"/>
  <c r="C3930" i="8"/>
  <c r="B3930" i="8"/>
  <c r="A3930" i="8" s="1"/>
  <c r="I3929" i="8"/>
  <c r="F3929" i="8"/>
  <c r="E3929" i="8"/>
  <c r="C3929" i="8"/>
  <c r="B3929" i="8"/>
  <c r="A3929" i="8" s="1"/>
  <c r="F3928" i="8"/>
  <c r="E3928" i="8"/>
  <c r="C3928" i="8"/>
  <c r="B3928" i="8"/>
  <c r="A3928" i="8" s="1"/>
  <c r="I3927" i="8"/>
  <c r="F3927" i="8"/>
  <c r="E3927" i="8"/>
  <c r="C3927" i="8"/>
  <c r="B3927" i="8"/>
  <c r="A3927" i="8" s="1"/>
  <c r="F3926" i="8"/>
  <c r="E3926" i="8"/>
  <c r="C3926" i="8"/>
  <c r="B3926" i="8"/>
  <c r="A3926" i="8" s="1"/>
  <c r="H3925" i="8"/>
  <c r="G3925" i="8"/>
  <c r="F3925" i="8"/>
  <c r="E3925" i="8"/>
  <c r="C3925" i="8"/>
  <c r="B3925" i="8"/>
  <c r="A3925" i="8" s="1"/>
  <c r="H3924" i="8"/>
  <c r="G3924" i="8"/>
  <c r="F3924" i="8"/>
  <c r="E3924" i="8"/>
  <c r="C3924" i="8"/>
  <c r="B3924" i="8"/>
  <c r="A3924" i="8" s="1"/>
  <c r="H3923" i="8"/>
  <c r="G3923" i="8"/>
  <c r="F3923" i="8"/>
  <c r="E3923" i="8"/>
  <c r="C3923" i="8"/>
  <c r="B3923" i="8"/>
  <c r="A3923" i="8" s="1"/>
  <c r="H3922" i="8"/>
  <c r="G3922" i="8"/>
  <c r="F3922" i="8"/>
  <c r="E3922" i="8"/>
  <c r="C3922" i="8"/>
  <c r="B3922" i="8"/>
  <c r="A3922" i="8" s="1"/>
  <c r="H3921" i="8"/>
  <c r="G3921" i="8"/>
  <c r="F3921" i="8"/>
  <c r="E3921" i="8"/>
  <c r="C3921" i="8"/>
  <c r="B3921" i="8"/>
  <c r="A3921" i="8" s="1"/>
  <c r="H3920" i="8"/>
  <c r="G3920" i="8"/>
  <c r="F3920" i="8"/>
  <c r="E3920" i="8"/>
  <c r="C3920" i="8"/>
  <c r="B3920" i="8"/>
  <c r="A3920" i="8" s="1"/>
  <c r="H3919" i="8"/>
  <c r="G3919" i="8"/>
  <c r="F3919" i="8"/>
  <c r="E3919" i="8"/>
  <c r="C3919" i="8"/>
  <c r="B3919" i="8"/>
  <c r="A3919" i="8" s="1"/>
  <c r="H3918" i="8"/>
  <c r="G3918" i="8"/>
  <c r="F3918" i="8"/>
  <c r="E3918" i="8"/>
  <c r="C3918" i="8"/>
  <c r="B3918" i="8"/>
  <c r="A3918" i="8" s="1"/>
  <c r="G3917" i="8"/>
  <c r="F3917" i="8"/>
  <c r="E3917" i="8"/>
  <c r="C3917" i="8"/>
  <c r="B3917" i="8"/>
  <c r="A3917" i="8" s="1"/>
  <c r="H3916" i="8"/>
  <c r="G3916" i="8"/>
  <c r="F3916" i="8"/>
  <c r="E3916" i="8"/>
  <c r="C3916" i="8"/>
  <c r="B3916" i="8"/>
  <c r="A3916" i="8" s="1"/>
  <c r="H3915" i="8"/>
  <c r="G3915" i="8"/>
  <c r="F3915" i="8"/>
  <c r="E3915" i="8"/>
  <c r="C3915" i="8"/>
  <c r="B3915" i="8"/>
  <c r="A3915" i="8" s="1"/>
  <c r="H3914" i="8"/>
  <c r="G3914" i="8"/>
  <c r="F3914" i="8"/>
  <c r="E3914" i="8"/>
  <c r="C3914" i="8"/>
  <c r="B3914" i="8"/>
  <c r="A3914" i="8" s="1"/>
  <c r="H3913" i="8"/>
  <c r="G3913" i="8"/>
  <c r="F3913" i="8"/>
  <c r="E3913" i="8"/>
  <c r="C3913" i="8"/>
  <c r="B3913" i="8"/>
  <c r="A3913" i="8" s="1"/>
  <c r="H3912" i="8"/>
  <c r="G3912" i="8"/>
  <c r="F3912" i="8"/>
  <c r="E3912" i="8"/>
  <c r="C3912" i="8"/>
  <c r="B3912" i="8"/>
  <c r="A3912" i="8" s="1"/>
  <c r="H3911" i="8"/>
  <c r="G3911" i="8"/>
  <c r="F3911" i="8"/>
  <c r="E3911" i="8"/>
  <c r="C3911" i="8"/>
  <c r="B3911" i="8"/>
  <c r="A3911" i="8" s="1"/>
  <c r="H3910" i="8"/>
  <c r="G3910" i="8"/>
  <c r="F3910" i="8"/>
  <c r="E3910" i="8"/>
  <c r="C3910" i="8"/>
  <c r="B3910" i="8"/>
  <c r="A3910" i="8" s="1"/>
  <c r="I3909" i="8"/>
  <c r="F3909" i="8"/>
  <c r="E3909" i="8"/>
  <c r="C3909" i="8"/>
  <c r="B3909" i="8"/>
  <c r="A3909" i="8" s="1"/>
  <c r="H3908" i="8"/>
  <c r="G3908" i="8"/>
  <c r="F3908" i="8"/>
  <c r="E3908" i="8"/>
  <c r="C3908" i="8"/>
  <c r="B3908" i="8"/>
  <c r="A3908" i="8" s="1"/>
  <c r="H3907" i="8"/>
  <c r="G3907" i="8"/>
  <c r="F3907" i="8"/>
  <c r="E3907" i="8"/>
  <c r="C3907" i="8"/>
  <c r="B3907" i="8"/>
  <c r="A3907" i="8" s="1"/>
  <c r="H3906" i="8"/>
  <c r="G3906" i="8"/>
  <c r="F3906" i="8"/>
  <c r="E3906" i="8"/>
  <c r="C3906" i="8"/>
  <c r="B3906" i="8"/>
  <c r="A3906" i="8" s="1"/>
  <c r="H3905" i="8"/>
  <c r="G3905" i="8"/>
  <c r="F3905" i="8"/>
  <c r="E3905" i="8"/>
  <c r="C3905" i="8"/>
  <c r="B3905" i="8"/>
  <c r="A3905" i="8" s="1"/>
  <c r="H3904" i="8"/>
  <c r="G3904" i="8"/>
  <c r="F3904" i="8"/>
  <c r="E3904" i="8"/>
  <c r="C3904" i="8"/>
  <c r="B3904" i="8"/>
  <c r="A3904" i="8" s="1"/>
  <c r="H3903" i="8"/>
  <c r="G3903" i="8"/>
  <c r="F3903" i="8"/>
  <c r="E3903" i="8"/>
  <c r="C3903" i="8"/>
  <c r="B3903" i="8"/>
  <c r="A3903" i="8" s="1"/>
  <c r="H3902" i="8"/>
  <c r="G3902" i="8"/>
  <c r="F3902" i="8"/>
  <c r="E3902" i="8"/>
  <c r="C3902" i="8"/>
  <c r="B3902" i="8"/>
  <c r="A3902" i="8" s="1"/>
  <c r="H3901" i="8"/>
  <c r="G3901" i="8"/>
  <c r="F3901" i="8"/>
  <c r="E3901" i="8"/>
  <c r="C3901" i="8"/>
  <c r="B3901" i="8"/>
  <c r="A3901" i="8" s="1"/>
  <c r="H3900" i="8"/>
  <c r="G3900" i="8"/>
  <c r="F3900" i="8"/>
  <c r="E3900" i="8"/>
  <c r="C3900" i="8"/>
  <c r="B3900" i="8"/>
  <c r="A3900" i="8" s="1"/>
  <c r="H3899" i="8"/>
  <c r="G3899" i="8"/>
  <c r="F3899" i="8"/>
  <c r="E3899" i="8"/>
  <c r="C3899" i="8"/>
  <c r="B3899" i="8"/>
  <c r="A3899" i="8" s="1"/>
  <c r="H3898" i="8"/>
  <c r="G3898" i="8"/>
  <c r="F3898" i="8"/>
  <c r="E3898" i="8"/>
  <c r="C3898" i="8"/>
  <c r="B3898" i="8"/>
  <c r="A3898" i="8" s="1"/>
  <c r="M3940" i="1" l="1"/>
  <c r="L3940" i="1"/>
  <c r="G3940" i="1"/>
  <c r="B3940" i="1"/>
  <c r="A3940" i="1"/>
  <c r="M3939" i="1"/>
  <c r="L3939" i="1"/>
  <c r="G3939" i="1"/>
  <c r="B3939" i="1"/>
  <c r="A3939" i="1"/>
  <c r="M3938" i="1"/>
  <c r="L3938" i="1"/>
  <c r="G3938" i="1"/>
  <c r="B3938" i="1"/>
  <c r="A3938" i="1"/>
  <c r="M3937" i="1"/>
  <c r="L3937" i="1"/>
  <c r="G3937" i="1"/>
  <c r="B3937" i="1"/>
  <c r="A3937" i="1"/>
  <c r="M3936" i="1"/>
  <c r="L3936" i="1"/>
  <c r="G3936" i="1"/>
  <c r="B3936" i="1"/>
  <c r="A3936" i="1"/>
  <c r="M3935" i="1"/>
  <c r="L3935" i="1"/>
  <c r="G3935" i="1"/>
  <c r="B3935" i="1"/>
  <c r="A3935" i="1"/>
  <c r="M3934" i="1"/>
  <c r="L3934" i="1"/>
  <c r="G3934" i="1"/>
  <c r="B3934" i="1"/>
  <c r="A3934" i="1"/>
  <c r="M3933" i="1"/>
  <c r="L3933" i="1"/>
  <c r="G3933" i="1"/>
  <c r="B3933" i="1"/>
  <c r="A3933" i="1"/>
  <c r="M3932" i="1"/>
  <c r="L3932" i="1"/>
  <c r="G3932" i="1"/>
  <c r="B3932" i="1"/>
  <c r="A3932" i="1"/>
  <c r="M3931" i="1"/>
  <c r="L3931" i="1"/>
  <c r="G3931" i="1"/>
  <c r="B3931" i="1"/>
  <c r="A3931" i="1"/>
  <c r="M3930" i="1"/>
  <c r="L3930" i="1"/>
  <c r="G3930" i="1"/>
  <c r="B3930" i="1"/>
  <c r="A3930" i="1"/>
  <c r="M3929" i="1"/>
  <c r="L3929" i="1"/>
  <c r="G3929" i="1"/>
  <c r="B3929" i="1"/>
  <c r="A3929" i="1"/>
  <c r="M3928" i="1"/>
  <c r="L3928" i="1"/>
  <c r="G3928" i="1"/>
  <c r="B3928" i="1"/>
  <c r="A3928" i="1"/>
  <c r="M3927" i="1"/>
  <c r="L3927" i="1"/>
  <c r="G3927" i="1"/>
  <c r="B3927" i="1"/>
  <c r="A3927" i="1"/>
  <c r="M3926" i="1"/>
  <c r="L3926" i="1"/>
  <c r="G3926" i="1"/>
  <c r="B3926" i="1"/>
  <c r="A3926" i="1"/>
  <c r="M3925" i="1"/>
  <c r="L3925" i="1"/>
  <c r="G3925" i="1"/>
  <c r="B3925" i="1"/>
  <c r="A3925" i="1"/>
  <c r="M3924" i="1"/>
  <c r="L3924" i="1"/>
  <c r="G3924" i="1"/>
  <c r="B3924" i="1"/>
  <c r="A3924" i="1"/>
  <c r="M3923" i="1"/>
  <c r="L3923" i="1"/>
  <c r="G3923" i="1"/>
  <c r="B3923" i="1"/>
  <c r="A3923" i="1"/>
  <c r="M3922" i="1"/>
  <c r="L3922" i="1"/>
  <c r="G3922" i="1"/>
  <c r="B3922" i="1"/>
  <c r="A3922" i="1"/>
  <c r="M3921" i="1"/>
  <c r="L3921" i="1"/>
  <c r="G3921" i="1"/>
  <c r="B3921" i="1"/>
  <c r="A3921" i="1"/>
  <c r="M3920" i="1"/>
  <c r="L3920" i="1"/>
  <c r="G3920" i="1"/>
  <c r="B3920" i="1"/>
  <c r="A3920" i="1"/>
  <c r="M3919" i="1"/>
  <c r="L3919" i="1"/>
  <c r="G3919" i="1"/>
  <c r="B3919" i="1"/>
  <c r="A3919" i="1"/>
  <c r="M3918" i="1"/>
  <c r="L3918" i="1"/>
  <c r="G3918" i="1"/>
  <c r="B3918" i="1"/>
  <c r="A3918" i="1"/>
  <c r="M3917" i="1"/>
  <c r="L3917" i="1"/>
  <c r="G3917" i="1"/>
  <c r="B3917" i="1"/>
  <c r="A3917" i="1"/>
  <c r="M3916" i="1"/>
  <c r="L3916" i="1"/>
  <c r="G3916" i="1"/>
  <c r="B3916" i="1"/>
  <c r="A3916" i="1"/>
  <c r="M3915" i="1"/>
  <c r="L3915" i="1"/>
  <c r="G3915" i="1"/>
  <c r="B3915" i="1"/>
  <c r="A3915" i="1"/>
  <c r="M3914" i="1"/>
  <c r="L3914" i="1"/>
  <c r="G3914" i="1"/>
  <c r="B3914" i="1"/>
  <c r="A3914" i="1"/>
  <c r="M3913" i="1"/>
  <c r="L3913" i="1"/>
  <c r="G3913" i="1"/>
  <c r="B3913" i="1"/>
  <c r="A3913" i="1"/>
  <c r="M3912" i="1"/>
  <c r="L3912" i="1"/>
  <c r="G3912" i="1"/>
  <c r="B3912" i="1"/>
  <c r="A3912" i="1"/>
  <c r="M3911" i="1"/>
  <c r="L3911" i="1"/>
  <c r="G3911" i="1"/>
  <c r="B3911" i="1"/>
  <c r="A3911" i="1"/>
  <c r="M3910" i="1"/>
  <c r="L3910" i="1"/>
  <c r="G3910" i="1"/>
  <c r="B3910" i="1"/>
  <c r="A3910" i="1"/>
  <c r="M3909" i="1"/>
  <c r="L3909" i="1"/>
  <c r="G3909" i="1"/>
  <c r="B3909" i="1"/>
  <c r="A3909" i="1"/>
  <c r="M3908" i="1"/>
  <c r="L3908" i="1"/>
  <c r="G3908" i="1"/>
  <c r="B3908" i="1"/>
  <c r="A3908" i="1"/>
  <c r="M3907" i="1"/>
  <c r="L3907" i="1"/>
  <c r="G3907" i="1"/>
  <c r="B3907" i="1"/>
  <c r="A3907" i="1"/>
  <c r="M3906" i="1"/>
  <c r="L3906" i="1"/>
  <c r="G3906" i="1"/>
  <c r="B3906" i="1"/>
  <c r="A3906" i="1"/>
  <c r="M3905" i="1"/>
  <c r="L3905" i="1"/>
  <c r="G3905" i="1"/>
  <c r="B3905" i="1"/>
  <c r="A3905" i="1"/>
  <c r="M3904" i="1"/>
  <c r="L3904" i="1"/>
  <c r="G3904" i="1"/>
  <c r="B3904" i="1"/>
  <c r="A3904" i="1"/>
  <c r="M3903" i="1"/>
  <c r="L3903" i="1"/>
  <c r="G3903" i="1"/>
  <c r="B3903" i="1"/>
  <c r="A3903" i="1"/>
  <c r="M3902" i="1"/>
  <c r="L3902" i="1"/>
  <c r="G3902" i="1"/>
  <c r="B3902" i="1"/>
  <c r="A3902" i="1"/>
  <c r="M3901" i="1"/>
  <c r="L3901" i="1"/>
  <c r="G3901" i="1"/>
  <c r="B3901" i="1"/>
  <c r="A3901" i="1"/>
  <c r="M3900" i="1"/>
  <c r="L3900" i="1"/>
  <c r="G3900" i="1"/>
  <c r="B3900" i="1"/>
  <c r="A3900" i="1"/>
  <c r="M3899" i="1"/>
  <c r="L3899" i="1"/>
  <c r="G3899" i="1"/>
  <c r="B3899" i="1"/>
  <c r="A3899" i="1"/>
  <c r="M3898" i="1"/>
  <c r="L3898" i="1"/>
  <c r="G3898" i="1"/>
  <c r="B3898" i="1"/>
  <c r="A3898" i="1"/>
  <c r="M3897" i="1"/>
  <c r="L3897" i="1"/>
  <c r="G3897" i="1"/>
  <c r="B3897" i="1"/>
  <c r="A3897" i="1"/>
  <c r="M3896" i="1"/>
  <c r="L3896" i="1"/>
  <c r="G3896" i="1"/>
  <c r="B3896" i="1"/>
  <c r="A3896" i="1"/>
  <c r="M3895" i="1"/>
  <c r="L3895" i="1"/>
  <c r="G3895" i="1"/>
  <c r="B3895" i="1"/>
  <c r="A3895" i="1"/>
  <c r="M3894" i="1"/>
  <c r="L3894" i="1"/>
  <c r="G3894" i="1"/>
  <c r="B3894" i="1"/>
  <c r="A3894" i="1"/>
  <c r="M3893" i="1"/>
  <c r="L3893" i="1"/>
  <c r="G3893" i="1"/>
  <c r="B3893" i="1"/>
  <c r="A3893" i="1"/>
  <c r="M3892" i="1"/>
  <c r="L3892" i="1"/>
  <c r="G3892" i="1"/>
  <c r="B3892" i="1"/>
  <c r="A3892" i="1"/>
  <c r="M3891" i="1"/>
  <c r="L3891" i="1"/>
  <c r="G3891" i="1"/>
  <c r="B3891" i="1"/>
  <c r="A3891" i="1"/>
  <c r="L3890" i="1"/>
  <c r="G3890" i="1"/>
  <c r="B3890" i="1"/>
  <c r="A3890" i="1"/>
  <c r="M3889" i="1"/>
  <c r="L3889" i="1"/>
  <c r="G3889" i="1"/>
  <c r="B3889" i="1"/>
  <c r="A3889" i="1"/>
  <c r="M3888" i="1"/>
  <c r="L3888" i="1"/>
  <c r="G3888" i="1"/>
  <c r="B3888" i="1"/>
  <c r="A3888" i="1"/>
  <c r="M3887" i="1"/>
  <c r="L3887" i="1"/>
  <c r="G3887" i="1"/>
  <c r="B3887" i="1"/>
  <c r="A3887" i="1"/>
  <c r="M3886" i="1"/>
  <c r="L3886" i="1"/>
  <c r="G3886" i="1"/>
  <c r="B3886" i="1"/>
  <c r="A3886" i="1"/>
  <c r="M3885" i="1"/>
  <c r="L3885" i="1"/>
  <c r="G3885" i="1"/>
  <c r="B3885" i="1"/>
  <c r="A3885" i="1"/>
  <c r="M3884" i="1"/>
  <c r="L3884" i="1"/>
  <c r="G3884" i="1"/>
  <c r="B3884" i="1"/>
  <c r="A3884" i="1"/>
  <c r="M3883" i="1"/>
  <c r="L3883" i="1"/>
  <c r="G3883" i="1"/>
  <c r="B3883" i="1"/>
  <c r="A3883" i="1"/>
  <c r="M3882" i="1"/>
  <c r="L3882" i="1"/>
  <c r="G3882" i="1"/>
  <c r="B3882" i="1"/>
  <c r="A3882" i="1"/>
  <c r="M3881" i="1"/>
  <c r="L3881" i="1"/>
  <c r="G3881" i="1"/>
  <c r="B3881" i="1"/>
  <c r="A3881" i="1"/>
  <c r="M3880" i="1"/>
  <c r="L3880" i="1"/>
  <c r="G3880" i="1"/>
  <c r="B3880" i="1"/>
  <c r="A3880" i="1"/>
  <c r="M3879" i="1"/>
  <c r="L3879" i="1"/>
  <c r="G3879" i="1"/>
  <c r="B3879" i="1"/>
  <c r="A3879" i="1"/>
  <c r="M3878" i="1"/>
  <c r="G3878" i="1"/>
  <c r="B3878" i="1"/>
  <c r="A3878" i="1"/>
  <c r="M3877" i="1"/>
  <c r="L3877" i="1"/>
  <c r="G3877" i="1"/>
  <c r="B3877" i="1"/>
  <c r="A3877" i="1"/>
  <c r="M3876" i="1"/>
  <c r="L3876" i="1"/>
  <c r="G3876" i="1"/>
  <c r="B3876" i="1"/>
  <c r="A3876" i="1"/>
  <c r="M3875" i="1"/>
  <c r="L3875" i="1"/>
  <c r="G3875" i="1"/>
  <c r="B3875" i="1"/>
  <c r="A3875" i="1"/>
  <c r="M3874" i="1"/>
  <c r="L3874" i="1"/>
  <c r="G3874" i="1"/>
  <c r="B3874" i="1"/>
  <c r="A3874" i="1"/>
  <c r="M3873" i="1"/>
  <c r="L3873" i="1"/>
  <c r="G3873" i="1"/>
  <c r="B3873" i="1"/>
  <c r="A3873" i="1"/>
  <c r="M3872" i="1"/>
  <c r="L3872" i="1"/>
  <c r="G3872" i="1"/>
  <c r="B3872" i="1"/>
  <c r="A3872" i="1"/>
  <c r="M3871" i="1"/>
  <c r="L3871" i="1"/>
  <c r="G3871" i="1"/>
  <c r="B3871" i="1"/>
  <c r="A3871" i="1"/>
  <c r="M3870" i="1"/>
  <c r="L3870" i="1"/>
  <c r="G3870" i="1"/>
  <c r="B3870" i="1"/>
  <c r="A3870" i="1"/>
  <c r="M3869" i="1"/>
  <c r="L3869" i="1"/>
  <c r="G3869" i="1"/>
  <c r="B3869" i="1"/>
  <c r="A3869" i="1"/>
  <c r="M3868" i="1"/>
  <c r="L3868" i="1"/>
  <c r="G3868" i="1"/>
  <c r="B3868" i="1"/>
  <c r="A3868" i="1"/>
  <c r="M3867" i="1"/>
  <c r="L3867" i="1"/>
  <c r="G3867" i="1"/>
  <c r="B3867" i="1"/>
  <c r="A3867" i="1"/>
  <c r="N3741" i="1"/>
  <c r="M3741" i="1"/>
  <c r="L3741" i="1"/>
  <c r="B3741" i="1"/>
  <c r="A3741" i="1"/>
  <c r="N3740" i="1"/>
  <c r="M3740" i="1"/>
  <c r="L3740" i="1"/>
  <c r="G3740" i="1"/>
  <c r="B3740" i="1"/>
  <c r="A3740" i="1"/>
  <c r="N3739" i="1"/>
  <c r="M3739" i="1"/>
  <c r="L3739" i="1"/>
  <c r="G3739" i="1"/>
  <c r="B3739" i="1"/>
  <c r="A3739" i="1"/>
  <c r="N3738" i="1"/>
  <c r="M3738" i="1"/>
  <c r="L3738" i="1"/>
  <c r="G3738" i="1"/>
  <c r="B3738" i="1"/>
  <c r="A3738" i="1"/>
  <c r="N3737" i="1"/>
  <c r="M3737" i="1"/>
  <c r="L3737" i="1"/>
  <c r="G3737" i="1"/>
  <c r="B3737" i="1"/>
  <c r="A3737" i="1"/>
  <c r="N3736" i="1"/>
  <c r="M3736" i="1"/>
  <c r="L3736" i="1"/>
  <c r="G3736" i="1"/>
  <c r="B3736" i="1"/>
  <c r="A3736" i="1"/>
  <c r="N3735" i="1"/>
  <c r="M3735" i="1"/>
  <c r="L3735" i="1"/>
  <c r="G3735" i="1"/>
  <c r="B3735" i="1"/>
  <c r="A3735" i="1"/>
  <c r="N3734" i="1"/>
  <c r="M3734" i="1"/>
  <c r="L3734" i="1"/>
  <c r="G3734" i="1"/>
  <c r="B3734" i="1"/>
  <c r="A3734" i="1"/>
  <c r="N3733" i="1"/>
  <c r="M3733" i="1"/>
  <c r="L3733" i="1"/>
  <c r="G3733" i="1"/>
  <c r="B3733" i="1"/>
  <c r="A3733" i="1"/>
  <c r="N3732" i="1"/>
  <c r="M3732" i="1"/>
  <c r="L3732" i="1"/>
  <c r="G3732" i="1"/>
  <c r="B3732" i="1"/>
  <c r="A3732" i="1"/>
  <c r="N3731" i="1"/>
  <c r="M3731" i="1"/>
  <c r="L3731" i="1"/>
  <c r="G3731" i="1"/>
  <c r="B3731" i="1"/>
  <c r="A3731" i="1"/>
  <c r="N3730" i="1"/>
  <c r="M3730" i="1"/>
  <c r="L3730" i="1"/>
  <c r="G3730" i="1"/>
  <c r="B3730" i="1"/>
  <c r="A3730" i="1"/>
  <c r="N3729" i="1"/>
  <c r="M3729" i="1"/>
  <c r="L3729" i="1"/>
  <c r="G3729" i="1"/>
  <c r="B3729" i="1"/>
  <c r="A3729" i="1"/>
  <c r="N3728" i="1"/>
  <c r="M3728" i="1"/>
  <c r="L3728" i="1"/>
  <c r="G3728" i="1"/>
  <c r="B3728" i="1"/>
  <c r="A3728" i="1"/>
  <c r="N3727" i="1"/>
  <c r="M3727" i="1"/>
  <c r="L3727" i="1"/>
  <c r="G3727" i="1"/>
  <c r="B3727" i="1"/>
  <c r="A3727" i="1"/>
  <c r="N3726" i="1"/>
  <c r="M3726" i="1"/>
  <c r="L3726" i="1"/>
  <c r="G3726" i="1"/>
  <c r="B3726" i="1"/>
  <c r="A3726" i="1"/>
  <c r="N3725" i="1"/>
  <c r="L3725" i="1"/>
  <c r="G3725" i="1"/>
  <c r="B3725" i="1"/>
  <c r="A3725" i="1"/>
  <c r="N3724" i="1"/>
  <c r="L3724" i="1"/>
  <c r="G3724" i="1"/>
  <c r="B3724" i="1"/>
  <c r="A3724" i="1"/>
  <c r="N3723" i="1"/>
  <c r="M3723" i="1"/>
  <c r="L3723" i="1"/>
  <c r="G3723" i="1"/>
  <c r="B3723" i="1"/>
  <c r="A3723" i="1"/>
  <c r="N3722" i="1"/>
  <c r="M3722" i="1"/>
  <c r="L3722" i="1"/>
  <c r="G3722" i="1"/>
  <c r="B3722" i="1"/>
  <c r="A3722" i="1"/>
  <c r="N3721" i="1"/>
  <c r="M3721" i="1"/>
  <c r="L3721" i="1"/>
  <c r="G3721" i="1"/>
  <c r="B3721" i="1"/>
  <c r="A3721" i="1"/>
  <c r="N3720" i="1"/>
  <c r="M3720" i="1"/>
  <c r="L3720" i="1"/>
  <c r="G3720" i="1"/>
  <c r="B3720" i="1"/>
  <c r="A3720" i="1"/>
  <c r="N3719" i="1"/>
  <c r="M3719" i="1"/>
  <c r="L3719" i="1"/>
  <c r="G3719" i="1"/>
  <c r="B3719" i="1"/>
  <c r="A3719" i="1"/>
  <c r="N3718" i="1"/>
  <c r="M3718" i="1"/>
  <c r="L3718" i="1"/>
  <c r="G3718" i="1"/>
  <c r="B3718" i="1"/>
  <c r="A3718" i="1"/>
  <c r="N3717" i="1"/>
  <c r="M3717" i="1"/>
  <c r="L3717" i="1"/>
  <c r="G3717" i="1"/>
  <c r="B3717" i="1"/>
  <c r="A3717" i="1"/>
  <c r="N3716" i="1"/>
  <c r="M3716" i="1"/>
  <c r="L3716" i="1"/>
  <c r="G3716" i="1"/>
  <c r="B3716" i="1"/>
  <c r="A3716" i="1"/>
  <c r="N3715" i="1"/>
  <c r="M3715" i="1"/>
  <c r="L3715" i="1"/>
  <c r="G3715" i="1"/>
  <c r="B3715" i="1"/>
  <c r="A3715" i="1"/>
  <c r="N3714" i="1"/>
  <c r="M3714" i="1"/>
  <c r="L3714" i="1"/>
  <c r="G3714" i="1"/>
  <c r="B3714" i="1"/>
  <c r="A3714" i="1"/>
  <c r="N3713" i="1"/>
  <c r="M3713" i="1"/>
  <c r="L3713" i="1"/>
  <c r="G3713" i="1"/>
  <c r="B3713" i="1"/>
  <c r="A3713" i="1"/>
  <c r="N3712" i="1"/>
  <c r="M3712" i="1"/>
  <c r="L3712" i="1"/>
  <c r="G3712" i="1"/>
  <c r="B3712" i="1"/>
  <c r="A3712" i="1"/>
  <c r="N3711" i="1"/>
  <c r="M3711" i="1"/>
  <c r="L3711" i="1"/>
  <c r="G3711" i="1"/>
  <c r="B3711" i="1"/>
  <c r="A3711" i="1"/>
  <c r="N3710" i="1"/>
  <c r="M3710" i="1"/>
  <c r="L3710" i="1"/>
  <c r="G3710" i="1"/>
  <c r="B3710" i="1"/>
  <c r="A3710" i="1"/>
  <c r="N3709" i="1"/>
  <c r="M3709" i="1"/>
  <c r="L3709" i="1"/>
  <c r="G3709" i="1"/>
  <c r="B3709" i="1"/>
  <c r="A3709" i="1"/>
  <c r="N3708" i="1"/>
  <c r="M3708" i="1"/>
  <c r="L3708" i="1"/>
  <c r="G3708" i="1"/>
  <c r="B3708" i="1"/>
  <c r="A3708" i="1"/>
  <c r="N3707" i="1"/>
  <c r="M3707" i="1"/>
  <c r="L3707" i="1"/>
  <c r="G3707" i="1"/>
  <c r="B3707" i="1"/>
  <c r="A3707" i="1"/>
  <c r="N3706" i="1"/>
  <c r="M3706" i="1"/>
  <c r="L3706" i="1"/>
  <c r="G3706" i="1"/>
  <c r="B3706" i="1"/>
  <c r="A3706" i="1"/>
  <c r="N3705" i="1"/>
  <c r="M3705" i="1"/>
  <c r="L3705" i="1"/>
  <c r="G3705" i="1"/>
  <c r="B3705" i="1"/>
  <c r="A3705" i="1"/>
  <c r="N3704" i="1"/>
  <c r="M3704" i="1"/>
  <c r="L3704" i="1"/>
  <c r="G3704" i="1"/>
  <c r="B3704" i="1"/>
  <c r="A3704" i="1"/>
  <c r="N3703" i="1"/>
  <c r="M3703" i="1"/>
  <c r="L3703" i="1"/>
  <c r="G3703" i="1"/>
  <c r="B3703" i="1"/>
  <c r="A3703" i="1"/>
  <c r="N3702" i="1"/>
  <c r="M3702" i="1"/>
  <c r="L3702" i="1"/>
  <c r="G3702" i="1"/>
  <c r="B3702" i="1"/>
  <c r="A3702" i="1"/>
  <c r="N3701" i="1"/>
  <c r="M3701" i="1"/>
  <c r="L3701" i="1"/>
  <c r="G3701" i="1"/>
  <c r="B3701" i="1"/>
  <c r="A3701" i="1"/>
  <c r="N3700" i="1"/>
  <c r="M3700" i="1"/>
  <c r="L3700" i="1"/>
  <c r="G3700" i="1"/>
  <c r="B3700" i="1"/>
  <c r="A3700" i="1"/>
  <c r="N3699" i="1"/>
  <c r="M3699" i="1"/>
  <c r="L3699" i="1"/>
  <c r="G3699" i="1"/>
  <c r="B3699" i="1"/>
  <c r="A3699" i="1"/>
  <c r="N3698" i="1"/>
  <c r="M3698" i="1"/>
  <c r="L3698" i="1"/>
  <c r="G3698" i="1"/>
  <c r="B3698" i="1"/>
  <c r="A3698" i="1"/>
  <c r="N3697" i="1"/>
  <c r="M3697" i="1"/>
  <c r="L3697" i="1"/>
  <c r="G3697" i="1"/>
  <c r="B3697" i="1"/>
  <c r="A3697" i="1"/>
  <c r="N3696" i="1"/>
  <c r="M3696" i="1"/>
  <c r="L3696" i="1"/>
  <c r="G3696" i="1"/>
  <c r="B3696" i="1"/>
  <c r="A3696" i="1"/>
  <c r="N3695" i="1"/>
  <c r="M3695" i="1"/>
  <c r="L3695" i="1"/>
  <c r="G3695" i="1"/>
  <c r="B3695" i="1"/>
  <c r="A3695" i="1"/>
  <c r="N3694" i="1"/>
  <c r="M3694" i="1"/>
  <c r="L3694" i="1"/>
  <c r="G3694" i="1"/>
  <c r="B3694" i="1"/>
  <c r="A3694" i="1"/>
  <c r="N3693" i="1"/>
  <c r="M3693" i="1"/>
  <c r="L3693" i="1"/>
  <c r="G3693" i="1"/>
  <c r="B3693" i="1"/>
  <c r="A3693" i="1"/>
  <c r="N3692" i="1"/>
  <c r="M3692" i="1"/>
  <c r="L3692" i="1"/>
  <c r="G3692" i="1"/>
  <c r="B3692" i="1"/>
  <c r="A3692" i="1"/>
  <c r="N3691" i="1"/>
  <c r="M3691" i="1"/>
  <c r="L3691" i="1"/>
  <c r="G3691" i="1"/>
  <c r="B3691" i="1"/>
  <c r="A3691" i="1"/>
  <c r="N3690" i="1"/>
  <c r="M3690" i="1"/>
  <c r="L3690" i="1"/>
  <c r="G3690" i="1"/>
  <c r="B3690" i="1"/>
  <c r="A3690" i="1"/>
  <c r="N3689" i="1"/>
  <c r="M3689" i="1"/>
  <c r="L3689" i="1"/>
  <c r="G3689" i="1"/>
  <c r="B3689" i="1"/>
  <c r="A3689" i="1"/>
  <c r="N3688" i="1"/>
  <c r="M3688" i="1"/>
  <c r="L3688" i="1"/>
  <c r="G3688" i="1"/>
  <c r="B3688" i="1"/>
  <c r="A3688" i="1"/>
  <c r="N3687" i="1"/>
  <c r="M3687" i="1"/>
  <c r="L3687" i="1"/>
  <c r="G3687" i="1"/>
  <c r="B3687" i="1"/>
  <c r="A3687" i="1"/>
  <c r="N3686" i="1"/>
  <c r="M3686" i="1"/>
  <c r="L3686" i="1"/>
  <c r="G3686" i="1"/>
  <c r="B3686" i="1"/>
  <c r="A3686" i="1"/>
  <c r="N3685" i="1"/>
  <c r="M3685" i="1"/>
  <c r="L3685" i="1"/>
  <c r="G3685" i="1"/>
  <c r="B3685" i="1"/>
  <c r="A3685" i="1"/>
  <c r="N3684" i="1"/>
  <c r="M3684" i="1"/>
  <c r="L3684" i="1"/>
  <c r="G3684" i="1"/>
  <c r="B3684" i="1"/>
  <c r="A3684" i="1"/>
  <c r="N3683" i="1"/>
  <c r="M3683" i="1"/>
  <c r="L3683" i="1"/>
  <c r="G3683" i="1"/>
  <c r="B3683" i="1"/>
  <c r="A3683" i="1"/>
  <c r="N3682" i="1"/>
  <c r="M3682" i="1"/>
  <c r="L3682" i="1"/>
  <c r="G3682" i="1"/>
  <c r="B3682" i="1"/>
  <c r="A3682" i="1"/>
  <c r="N3681" i="1"/>
  <c r="M3681" i="1"/>
  <c r="L3681" i="1"/>
  <c r="G3681" i="1"/>
  <c r="B3681" i="1"/>
  <c r="A3681" i="1"/>
  <c r="N3680" i="1"/>
  <c r="M3680" i="1"/>
  <c r="L3680" i="1"/>
  <c r="G3680" i="1"/>
  <c r="B3680" i="1"/>
  <c r="A3680" i="1"/>
  <c r="N3679" i="1"/>
  <c r="M3679" i="1"/>
  <c r="L3679" i="1"/>
  <c r="G3679" i="1"/>
  <c r="B3679" i="1"/>
  <c r="A3679" i="1"/>
  <c r="N3678" i="1"/>
  <c r="M3678" i="1"/>
  <c r="L3678" i="1"/>
  <c r="G3678" i="1"/>
  <c r="B3678" i="1"/>
  <c r="A3678" i="1"/>
  <c r="N3677" i="1"/>
  <c r="M3677" i="1"/>
  <c r="L3677" i="1"/>
  <c r="G3677" i="1"/>
  <c r="B3677" i="1"/>
  <c r="A3677" i="1"/>
  <c r="N3676" i="1"/>
  <c r="M3676" i="1"/>
  <c r="L3676" i="1"/>
  <c r="G3676" i="1"/>
  <c r="B3676" i="1"/>
  <c r="A3676" i="1"/>
  <c r="N3649" i="1"/>
  <c r="M3649" i="1"/>
  <c r="L3649" i="1"/>
  <c r="N3648" i="1"/>
  <c r="M3648" i="1"/>
  <c r="L3648" i="1"/>
  <c r="N3647" i="1"/>
  <c r="M3647" i="1"/>
  <c r="L3647" i="1"/>
  <c r="N3646" i="1"/>
  <c r="M3646" i="1"/>
  <c r="L3646" i="1"/>
  <c r="N3645" i="1"/>
  <c r="M3645" i="1"/>
  <c r="L3645" i="1"/>
  <c r="N3644" i="1"/>
  <c r="M3644" i="1"/>
  <c r="L3644" i="1"/>
  <c r="N3643" i="1"/>
  <c r="M3643" i="1"/>
  <c r="L3643" i="1"/>
  <c r="N3642" i="1"/>
  <c r="M3642" i="1"/>
  <c r="L3642" i="1"/>
  <c r="N3641" i="1"/>
  <c r="M3641" i="1"/>
  <c r="L3641" i="1"/>
  <c r="N3640" i="1"/>
  <c r="M3640" i="1"/>
  <c r="L3640" i="1"/>
  <c r="N3639" i="1"/>
  <c r="M3639" i="1"/>
  <c r="L3639" i="1"/>
  <c r="N3638" i="1"/>
  <c r="M3638" i="1"/>
  <c r="L3638" i="1"/>
  <c r="N3637" i="1"/>
  <c r="M3637" i="1"/>
  <c r="L3637" i="1"/>
  <c r="N3636" i="1"/>
  <c r="M3636" i="1"/>
  <c r="L3636" i="1"/>
  <c r="N3635" i="1"/>
  <c r="M3635" i="1"/>
  <c r="L3635" i="1"/>
  <c r="N3634" i="1"/>
  <c r="M3634" i="1"/>
  <c r="L3634" i="1"/>
  <c r="N3633" i="1"/>
  <c r="M3633" i="1"/>
  <c r="L3633" i="1"/>
  <c r="N3632" i="1"/>
  <c r="M3632" i="1"/>
  <c r="L3632" i="1"/>
  <c r="N3631" i="1"/>
  <c r="M3631" i="1"/>
  <c r="L3631" i="1"/>
  <c r="N3630" i="1"/>
  <c r="M3630" i="1"/>
  <c r="L3630" i="1"/>
  <c r="N3629" i="1"/>
  <c r="M3629" i="1"/>
  <c r="L3629" i="1"/>
  <c r="N3628" i="1"/>
  <c r="M3628" i="1"/>
  <c r="L3628" i="1"/>
  <c r="N3627" i="1"/>
  <c r="M3627" i="1"/>
  <c r="L3627" i="1"/>
  <c r="N3626" i="1"/>
  <c r="M3626" i="1"/>
  <c r="L3626" i="1"/>
  <c r="N3625" i="1"/>
  <c r="M3625" i="1"/>
  <c r="L3625" i="1"/>
  <c r="N3624" i="1"/>
  <c r="L3624" i="1"/>
  <c r="N3623" i="1"/>
  <c r="M3623" i="1"/>
  <c r="L3623" i="1"/>
  <c r="N3622" i="1"/>
  <c r="M3622" i="1"/>
  <c r="L3622" i="1"/>
  <c r="N3621" i="1"/>
  <c r="M3621" i="1"/>
  <c r="L3621" i="1"/>
  <c r="N3620" i="1"/>
  <c r="M3620" i="1"/>
  <c r="L3620" i="1"/>
  <c r="N3619" i="1"/>
  <c r="M3619" i="1"/>
  <c r="L3619" i="1"/>
  <c r="N3618" i="1"/>
  <c r="M3618" i="1"/>
  <c r="L3618" i="1"/>
  <c r="N3617" i="1"/>
  <c r="M3617" i="1"/>
  <c r="L3617" i="1"/>
  <c r="N3616" i="1"/>
  <c r="M3616" i="1"/>
  <c r="L3616" i="1"/>
  <c r="N3615" i="1"/>
  <c r="M3615" i="1"/>
  <c r="L3615" i="1"/>
  <c r="N3614" i="1"/>
  <c r="M3614" i="1"/>
  <c r="L3614" i="1"/>
  <c r="N3613" i="1"/>
  <c r="M3613" i="1"/>
  <c r="L3613" i="1"/>
  <c r="N3612" i="1"/>
  <c r="M3612" i="1"/>
  <c r="L3612" i="1"/>
  <c r="N3611" i="1"/>
  <c r="M3611" i="1"/>
  <c r="L3611" i="1"/>
  <c r="N3610" i="1"/>
  <c r="M3610" i="1"/>
  <c r="L3610" i="1"/>
  <c r="N3609" i="1"/>
  <c r="M3609" i="1"/>
  <c r="L3609" i="1"/>
  <c r="N3608" i="1"/>
  <c r="M3608" i="1"/>
  <c r="L3608" i="1"/>
  <c r="N3607" i="1"/>
  <c r="M3607" i="1"/>
  <c r="L3607" i="1"/>
  <c r="N3606" i="1"/>
  <c r="M3606" i="1"/>
  <c r="L3606" i="1"/>
  <c r="N3605" i="1"/>
  <c r="M3605" i="1"/>
  <c r="L3605" i="1"/>
  <c r="N3604" i="1"/>
  <c r="M3604" i="1"/>
  <c r="L3604" i="1"/>
  <c r="N3603" i="1"/>
  <c r="M3603" i="1"/>
  <c r="L3603" i="1"/>
  <c r="N3602" i="1"/>
  <c r="M3602" i="1"/>
  <c r="L3602" i="1"/>
  <c r="N3601" i="1"/>
  <c r="M3601" i="1"/>
  <c r="L3601" i="1"/>
  <c r="N3600" i="1"/>
  <c r="M3600" i="1"/>
  <c r="L3600" i="1"/>
  <c r="N3599" i="1"/>
  <c r="M3599" i="1"/>
  <c r="L3599" i="1"/>
  <c r="N3598" i="1"/>
  <c r="M3598" i="1"/>
  <c r="L3598" i="1"/>
  <c r="N3597" i="1"/>
  <c r="M3597" i="1"/>
  <c r="L3597" i="1"/>
  <c r="N3596" i="1"/>
  <c r="M3596" i="1"/>
  <c r="L3596" i="1"/>
  <c r="N3595" i="1"/>
  <c r="M3595" i="1"/>
  <c r="L3595" i="1"/>
  <c r="N3594" i="1"/>
  <c r="M3594" i="1"/>
  <c r="L3594" i="1"/>
  <c r="N3593" i="1"/>
  <c r="M3593" i="1"/>
  <c r="L3593" i="1"/>
  <c r="N3592" i="1"/>
  <c r="M3592" i="1"/>
  <c r="L3592" i="1"/>
  <c r="N3591" i="1"/>
  <c r="M3591" i="1"/>
  <c r="L3591" i="1"/>
  <c r="N3590" i="1"/>
  <c r="M3590" i="1"/>
  <c r="L3590" i="1"/>
  <c r="N3589" i="1"/>
  <c r="M3589" i="1"/>
  <c r="L3589" i="1"/>
  <c r="N3588" i="1"/>
  <c r="M3588" i="1"/>
  <c r="L3588" i="1"/>
  <c r="N3587" i="1"/>
  <c r="M3587" i="1"/>
  <c r="L3587" i="1"/>
  <c r="N3586" i="1"/>
  <c r="M3586" i="1"/>
  <c r="L3586" i="1"/>
  <c r="N3585" i="1"/>
  <c r="M3585" i="1"/>
  <c r="L3585" i="1"/>
  <c r="N3584" i="1"/>
  <c r="M3584" i="1"/>
  <c r="L3584" i="1"/>
  <c r="N3583" i="1"/>
  <c r="M3583" i="1"/>
  <c r="L3583" i="1"/>
  <c r="N3582" i="1"/>
  <c r="M3582" i="1"/>
  <c r="L3582" i="1"/>
  <c r="N3581" i="1"/>
  <c r="M3581" i="1"/>
  <c r="L3581" i="1"/>
  <c r="N3580" i="1"/>
  <c r="M3580" i="1"/>
  <c r="L3580" i="1"/>
  <c r="N3579" i="1"/>
  <c r="M3579" i="1"/>
  <c r="L3579" i="1"/>
  <c r="N3578" i="1"/>
  <c r="M3578" i="1"/>
  <c r="L3578" i="1"/>
  <c r="N3577" i="1"/>
  <c r="M3577" i="1"/>
  <c r="L3577" i="1"/>
  <c r="N3576" i="1"/>
  <c r="M3576" i="1"/>
  <c r="L3576" i="1"/>
  <c r="N3575" i="1"/>
  <c r="M3575" i="1"/>
  <c r="L3575" i="1"/>
  <c r="N3574" i="1"/>
  <c r="M3574" i="1"/>
  <c r="L3574" i="1"/>
  <c r="N3573" i="1"/>
  <c r="M3573" i="1"/>
  <c r="L3573" i="1"/>
  <c r="N3572" i="1"/>
  <c r="M3572" i="1"/>
  <c r="L3572" i="1"/>
  <c r="N3571" i="1"/>
  <c r="M3571" i="1"/>
  <c r="L3571" i="1"/>
  <c r="N3570" i="1"/>
  <c r="M3570" i="1"/>
  <c r="L3570" i="1"/>
  <c r="N3569" i="1"/>
  <c r="M3569" i="1"/>
  <c r="L3569" i="1"/>
  <c r="N3568" i="1"/>
  <c r="M3568" i="1"/>
  <c r="L3568" i="1"/>
  <c r="N3567" i="1"/>
  <c r="M3567" i="1"/>
  <c r="L3567" i="1"/>
  <c r="N3566" i="1"/>
  <c r="M3566" i="1"/>
  <c r="L3566" i="1"/>
  <c r="N3565" i="1"/>
  <c r="M3565" i="1"/>
  <c r="L3565" i="1"/>
  <c r="N3564" i="1"/>
  <c r="M3564" i="1"/>
  <c r="L3564" i="1"/>
  <c r="N3563" i="1"/>
  <c r="M3563" i="1"/>
  <c r="L3563" i="1"/>
  <c r="N3562" i="1"/>
  <c r="M3562" i="1"/>
  <c r="L3562" i="1"/>
  <c r="N3561" i="1"/>
  <c r="M3561" i="1"/>
  <c r="L3561" i="1"/>
  <c r="N3560" i="1"/>
  <c r="M3560" i="1"/>
  <c r="L3560" i="1"/>
  <c r="N3559" i="1"/>
  <c r="M3559" i="1"/>
  <c r="L3559" i="1"/>
  <c r="N3558" i="1"/>
  <c r="M3558" i="1"/>
  <c r="L3558" i="1"/>
  <c r="N3557" i="1"/>
  <c r="M3557" i="1"/>
  <c r="L3557" i="1"/>
  <c r="N3556" i="1"/>
  <c r="M3556" i="1"/>
  <c r="L3556" i="1"/>
  <c r="N3555" i="1"/>
  <c r="M3555" i="1"/>
  <c r="L3555" i="1"/>
  <c r="N3554" i="1"/>
  <c r="M3554" i="1"/>
  <c r="L3554" i="1"/>
  <c r="N3553" i="1"/>
  <c r="M3553" i="1"/>
  <c r="L3553" i="1"/>
  <c r="N3552" i="1"/>
  <c r="M3552" i="1"/>
  <c r="L3552" i="1"/>
  <c r="N3551" i="1"/>
  <c r="M3551" i="1"/>
  <c r="L3551" i="1"/>
  <c r="N3550" i="1"/>
  <c r="M3550" i="1"/>
  <c r="L3550" i="1"/>
  <c r="N3549" i="1"/>
  <c r="M3549" i="1"/>
  <c r="L3549" i="1"/>
  <c r="N3548" i="1"/>
  <c r="M3548" i="1"/>
  <c r="L3548" i="1"/>
  <c r="N3547" i="1"/>
  <c r="M3547" i="1"/>
  <c r="L3547" i="1"/>
  <c r="N3546" i="1"/>
  <c r="M3546" i="1"/>
  <c r="L3546" i="1"/>
  <c r="A3546" i="1"/>
  <c r="B3546" i="1"/>
  <c r="A3547" i="1"/>
  <c r="B3547" i="1"/>
  <c r="A3548" i="1"/>
  <c r="B3548" i="1"/>
  <c r="A3549" i="1"/>
  <c r="B3549" i="1"/>
  <c r="A3550" i="1"/>
  <c r="B3550" i="1"/>
  <c r="A3551" i="1"/>
  <c r="B3551" i="1"/>
  <c r="A3552" i="1"/>
  <c r="B3552" i="1"/>
  <c r="A3553" i="1"/>
  <c r="B3553" i="1"/>
  <c r="A3554" i="1"/>
  <c r="B3554" i="1"/>
  <c r="A3555" i="1"/>
  <c r="B3555" i="1"/>
  <c r="A3556" i="1"/>
  <c r="B3556" i="1"/>
  <c r="A3557" i="1"/>
  <c r="B3557" i="1"/>
  <c r="A3558" i="1"/>
  <c r="B3558" i="1"/>
  <c r="A3559" i="1"/>
  <c r="B3559" i="1"/>
  <c r="A3560" i="1"/>
  <c r="B3560" i="1"/>
  <c r="A3561" i="1"/>
  <c r="B3561" i="1"/>
  <c r="A3562" i="1"/>
  <c r="B3562" i="1"/>
  <c r="A3563" i="1"/>
  <c r="B3563" i="1"/>
  <c r="A3564" i="1"/>
  <c r="B3564" i="1"/>
  <c r="A3565" i="1"/>
  <c r="B3565" i="1"/>
  <c r="A3566" i="1"/>
  <c r="B3566" i="1"/>
  <c r="A3567" i="1"/>
  <c r="B3567" i="1"/>
  <c r="A3568" i="1"/>
  <c r="B3568" i="1"/>
  <c r="A3569" i="1"/>
  <c r="B3569" i="1"/>
  <c r="A3570" i="1"/>
  <c r="B3570" i="1"/>
  <c r="A3571" i="1"/>
  <c r="B3571" i="1"/>
  <c r="A3572" i="1"/>
  <c r="B3572" i="1"/>
  <c r="A3573" i="1"/>
  <c r="B3573" i="1"/>
  <c r="A3574" i="1"/>
  <c r="B3574" i="1"/>
  <c r="A3575" i="1"/>
  <c r="B3575" i="1"/>
  <c r="A3576" i="1"/>
  <c r="B3576" i="1"/>
  <c r="A3577" i="1"/>
  <c r="B3577" i="1"/>
  <c r="A3578" i="1"/>
  <c r="B3578" i="1"/>
  <c r="A3579" i="1"/>
  <c r="B3579" i="1"/>
  <c r="A3580" i="1"/>
  <c r="B3580" i="1"/>
  <c r="A3581" i="1"/>
  <c r="B3581" i="1"/>
  <c r="A3582" i="1"/>
  <c r="B3582" i="1"/>
  <c r="A3583" i="1"/>
  <c r="B3583" i="1"/>
  <c r="A3584" i="1"/>
  <c r="B3584" i="1"/>
  <c r="A3585" i="1"/>
  <c r="B3585" i="1"/>
  <c r="A3586" i="1"/>
  <c r="B3586" i="1"/>
  <c r="A3587" i="1"/>
  <c r="B3587" i="1"/>
  <c r="A3588" i="1"/>
  <c r="B3588" i="1"/>
  <c r="A3589" i="1"/>
  <c r="B3589" i="1"/>
  <c r="A3590" i="1"/>
  <c r="B3590" i="1"/>
  <c r="A3591" i="1"/>
  <c r="B3591" i="1"/>
  <c r="A3592" i="1"/>
  <c r="B3592" i="1"/>
  <c r="A3593" i="1"/>
  <c r="B3593" i="1"/>
  <c r="A3594" i="1"/>
  <c r="B3594" i="1"/>
  <c r="A3595" i="1"/>
  <c r="B3595" i="1"/>
  <c r="A3596" i="1"/>
  <c r="B3596" i="1"/>
  <c r="A3597" i="1"/>
  <c r="B3597" i="1"/>
  <c r="A3598" i="1"/>
  <c r="B3598" i="1"/>
  <c r="A3599" i="1"/>
  <c r="B3599" i="1"/>
  <c r="A3600" i="1"/>
  <c r="B3600" i="1"/>
  <c r="A3601" i="1"/>
  <c r="B3601" i="1"/>
  <c r="A3602" i="1"/>
  <c r="B3602" i="1"/>
  <c r="A3603" i="1"/>
  <c r="B3603" i="1"/>
  <c r="A3604" i="1"/>
  <c r="B3604" i="1"/>
  <c r="A3605" i="1"/>
  <c r="B3605" i="1"/>
  <c r="A3606" i="1"/>
  <c r="B3606" i="1"/>
  <c r="A3607" i="1"/>
  <c r="B3607" i="1"/>
  <c r="A3608" i="1"/>
  <c r="B3608" i="1"/>
  <c r="A3609" i="1"/>
  <c r="B3609" i="1"/>
  <c r="A3610" i="1"/>
  <c r="B3610" i="1"/>
  <c r="A3611" i="1"/>
  <c r="B3611" i="1"/>
  <c r="A3612" i="1"/>
  <c r="B3612" i="1"/>
  <c r="A3613" i="1"/>
  <c r="B3613" i="1"/>
  <c r="A3614" i="1"/>
  <c r="B3614" i="1"/>
  <c r="A3615" i="1"/>
  <c r="B3615" i="1"/>
  <c r="A3616" i="1"/>
  <c r="B3616" i="1"/>
  <c r="A3617" i="1"/>
  <c r="B3617" i="1"/>
  <c r="A3618" i="1"/>
  <c r="B3618" i="1"/>
  <c r="A3619" i="1"/>
  <c r="B3619" i="1"/>
  <c r="A3620" i="1"/>
  <c r="B3620" i="1"/>
  <c r="A3621" i="1"/>
  <c r="B3621" i="1"/>
  <c r="A3622" i="1"/>
  <c r="B3622" i="1"/>
  <c r="A3623" i="1"/>
  <c r="B3623" i="1"/>
  <c r="A3624" i="1"/>
  <c r="B3624" i="1"/>
  <c r="A3625" i="1"/>
  <c r="B3625" i="1"/>
  <c r="A3626" i="1"/>
  <c r="B3626" i="1"/>
  <c r="A3627" i="1"/>
  <c r="B3627" i="1"/>
  <c r="A3628" i="1"/>
  <c r="B3628" i="1"/>
  <c r="A3629" i="1"/>
  <c r="B3629" i="1"/>
  <c r="A3630" i="1"/>
  <c r="B3630" i="1"/>
  <c r="A3631" i="1"/>
  <c r="B3631" i="1"/>
  <c r="A3632" i="1"/>
  <c r="B3632" i="1"/>
  <c r="A3633" i="1"/>
  <c r="B3633" i="1"/>
  <c r="A3634" i="1"/>
  <c r="B3634" i="1"/>
  <c r="A3635" i="1"/>
  <c r="B3635" i="1"/>
  <c r="A3636" i="1"/>
  <c r="B3636" i="1"/>
  <c r="A3637" i="1"/>
  <c r="B3637" i="1"/>
  <c r="A3638" i="1"/>
  <c r="B3638" i="1"/>
  <c r="A3639" i="1"/>
  <c r="B3639" i="1"/>
  <c r="A3640" i="1"/>
  <c r="B3640" i="1"/>
  <c r="A3641" i="1"/>
  <c r="B3641" i="1"/>
  <c r="A3642" i="1"/>
  <c r="B3642" i="1"/>
  <c r="A3643" i="1"/>
  <c r="B3643" i="1"/>
  <c r="A3644" i="1"/>
  <c r="B3644" i="1"/>
  <c r="A3645" i="1"/>
  <c r="B3645" i="1"/>
  <c r="A3646" i="1"/>
  <c r="B3646" i="1"/>
  <c r="A3647" i="1"/>
  <c r="B3647" i="1"/>
  <c r="A3648" i="1"/>
  <c r="B3648" i="1"/>
  <c r="A3649" i="1"/>
  <c r="B3649" i="1"/>
  <c r="B3" i="6" l="1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46" i="6"/>
  <c r="B47" i="6"/>
  <c r="B48" i="6"/>
  <c r="B49" i="6"/>
  <c r="B50" i="6"/>
  <c r="B51" i="6"/>
  <c r="B52" i="6"/>
  <c r="B53" i="6"/>
  <c r="B54" i="6"/>
  <c r="B55" i="6"/>
  <c r="B56" i="6"/>
  <c r="B57" i="6"/>
  <c r="B58" i="6"/>
  <c r="B59" i="6"/>
  <c r="B60" i="6"/>
  <c r="B61" i="6"/>
  <c r="B62" i="6"/>
  <c r="B63" i="6"/>
  <c r="B64" i="6"/>
  <c r="B65" i="6"/>
  <c r="B66" i="6"/>
  <c r="B67" i="6"/>
  <c r="B68" i="6"/>
  <c r="B69" i="6"/>
  <c r="B70" i="6"/>
  <c r="B71" i="6"/>
  <c r="B72" i="6"/>
  <c r="B73" i="6"/>
  <c r="B74" i="6"/>
  <c r="B75" i="6"/>
  <c r="B76" i="6"/>
  <c r="B77" i="6"/>
  <c r="B78" i="6"/>
  <c r="B79" i="6"/>
  <c r="B80" i="6"/>
  <c r="B81" i="6"/>
  <c r="B82" i="6"/>
  <c r="B83" i="6"/>
  <c r="B84" i="6"/>
  <c r="B85" i="6"/>
  <c r="B86" i="6"/>
  <c r="B87" i="6"/>
  <c r="B88" i="6"/>
  <c r="B89" i="6"/>
  <c r="B90" i="6"/>
  <c r="B91" i="6"/>
  <c r="B92" i="6"/>
  <c r="B93" i="6"/>
  <c r="B94" i="6"/>
  <c r="B95" i="6"/>
  <c r="B96" i="6"/>
  <c r="B97" i="6"/>
  <c r="B98" i="6"/>
  <c r="B99" i="6"/>
  <c r="B100" i="6"/>
  <c r="B101" i="6"/>
  <c r="B102" i="6"/>
  <c r="B103" i="6"/>
  <c r="B104" i="6"/>
  <c r="B105" i="6"/>
  <c r="B106" i="6"/>
  <c r="B107" i="6"/>
  <c r="B108" i="6"/>
  <c r="B109" i="6"/>
  <c r="B110" i="6"/>
  <c r="B111" i="6"/>
  <c r="B112" i="6"/>
  <c r="B113" i="6"/>
  <c r="B114" i="6"/>
  <c r="B115" i="6"/>
  <c r="B116" i="6"/>
  <c r="B117" i="6"/>
  <c r="B118" i="6"/>
  <c r="B119" i="6"/>
  <c r="B120" i="6"/>
  <c r="B121" i="6"/>
  <c r="B122" i="6"/>
  <c r="B123" i="6"/>
  <c r="B124" i="6"/>
  <c r="B125" i="6"/>
  <c r="B126" i="6"/>
  <c r="B127" i="6"/>
  <c r="B128" i="6"/>
  <c r="B129" i="6"/>
  <c r="B130" i="6"/>
  <c r="B131" i="6"/>
  <c r="B132" i="6"/>
  <c r="B133" i="6"/>
  <c r="B134" i="6"/>
  <c r="B135" i="6"/>
  <c r="B136" i="6"/>
  <c r="B137" i="6"/>
  <c r="B138" i="6"/>
  <c r="B139" i="6"/>
  <c r="B140" i="6"/>
  <c r="B141" i="6"/>
  <c r="B142" i="6"/>
  <c r="B143" i="6"/>
  <c r="B144" i="6"/>
  <c r="B145" i="6"/>
  <c r="B146" i="6"/>
  <c r="B147" i="6"/>
  <c r="B148" i="6"/>
  <c r="B149" i="6"/>
  <c r="B150" i="6"/>
  <c r="B151" i="6"/>
  <c r="B152" i="6"/>
  <c r="B153" i="6"/>
  <c r="B154" i="6"/>
  <c r="B155" i="6"/>
  <c r="B156" i="6"/>
  <c r="B157" i="6"/>
  <c r="B158" i="6"/>
  <c r="B159" i="6"/>
  <c r="B160" i="6"/>
  <c r="B161" i="6"/>
  <c r="B162" i="6"/>
  <c r="B163" i="6"/>
  <c r="B164" i="6"/>
  <c r="B165" i="6"/>
  <c r="B166" i="6"/>
  <c r="B167" i="6"/>
  <c r="B168" i="6"/>
  <c r="B169" i="6"/>
  <c r="B170" i="6"/>
  <c r="B171" i="6"/>
  <c r="B172" i="6"/>
  <c r="B173" i="6"/>
  <c r="B174" i="6"/>
  <c r="B175" i="6"/>
  <c r="B176" i="6"/>
  <c r="B177" i="6"/>
  <c r="B178" i="6"/>
  <c r="B179" i="6"/>
  <c r="B180" i="6"/>
  <c r="B181" i="6"/>
  <c r="B182" i="6"/>
  <c r="B183" i="6"/>
  <c r="B184" i="6"/>
  <c r="B185" i="6"/>
  <c r="B186" i="6"/>
  <c r="B187" i="6"/>
  <c r="B188" i="6"/>
  <c r="B189" i="6"/>
  <c r="B190" i="6"/>
  <c r="B191" i="6"/>
  <c r="B192" i="6"/>
  <c r="B193" i="6"/>
  <c r="B194" i="6"/>
  <c r="B195" i="6"/>
  <c r="B196" i="6"/>
  <c r="B197" i="6"/>
  <c r="B198" i="6"/>
  <c r="B199" i="6"/>
  <c r="B200" i="6"/>
  <c r="B201" i="6"/>
  <c r="B202" i="6"/>
  <c r="B203" i="6"/>
  <c r="B204" i="6"/>
  <c r="B205" i="6"/>
  <c r="B206" i="6"/>
  <c r="B207" i="6"/>
  <c r="B208" i="6"/>
  <c r="B209" i="6"/>
  <c r="B210" i="6"/>
  <c r="B211" i="6"/>
  <c r="B212" i="6"/>
  <c r="B213" i="6"/>
  <c r="B214" i="6"/>
  <c r="B215" i="6"/>
  <c r="B216" i="6"/>
  <c r="B217" i="6"/>
  <c r="B218" i="6"/>
  <c r="B219" i="6"/>
  <c r="B220" i="6"/>
  <c r="B221" i="6"/>
  <c r="B222" i="6"/>
  <c r="B223" i="6"/>
  <c r="B224" i="6"/>
  <c r="B225" i="6"/>
  <c r="B226" i="6"/>
  <c r="B227" i="6"/>
  <c r="B228" i="6"/>
  <c r="B229" i="6"/>
  <c r="B230" i="6"/>
  <c r="B231" i="6"/>
  <c r="B232" i="6"/>
  <c r="B233" i="6"/>
  <c r="B234" i="6"/>
  <c r="B235" i="6"/>
  <c r="B236" i="6"/>
  <c r="B237" i="6"/>
  <c r="B238" i="6"/>
  <c r="B239" i="6"/>
  <c r="B240" i="6"/>
  <c r="B241" i="6"/>
  <c r="B242" i="6"/>
  <c r="B243" i="6"/>
  <c r="B244" i="6"/>
  <c r="B245" i="6"/>
  <c r="B246" i="6"/>
  <c r="B247" i="6"/>
  <c r="B248" i="6"/>
  <c r="B249" i="6"/>
  <c r="B250" i="6"/>
  <c r="B251" i="6"/>
  <c r="B252" i="6"/>
  <c r="B253" i="6"/>
  <c r="B254" i="6"/>
  <c r="B255" i="6"/>
  <c r="B256" i="6"/>
  <c r="B257" i="6"/>
  <c r="B258" i="6"/>
  <c r="B259" i="6"/>
  <c r="B260" i="6"/>
  <c r="B261" i="6"/>
  <c r="B262" i="6"/>
  <c r="B263" i="6"/>
  <c r="B264" i="6"/>
  <c r="B265" i="6"/>
  <c r="B266" i="6"/>
  <c r="B267" i="6"/>
  <c r="B268" i="6"/>
  <c r="B269" i="6"/>
  <c r="B270" i="6"/>
  <c r="B271" i="6"/>
  <c r="B272" i="6"/>
  <c r="B273" i="6"/>
  <c r="B274" i="6"/>
  <c r="B275" i="6"/>
  <c r="B276" i="6"/>
  <c r="B277" i="6"/>
  <c r="B278" i="6"/>
  <c r="B279" i="6"/>
  <c r="B280" i="6"/>
  <c r="B281" i="6"/>
  <c r="B282" i="6"/>
  <c r="B283" i="6"/>
  <c r="B284" i="6"/>
  <c r="B285" i="6"/>
  <c r="B286" i="6"/>
  <c r="B287" i="6"/>
  <c r="B288" i="6"/>
  <c r="B289" i="6"/>
  <c r="B290" i="6"/>
  <c r="B291" i="6"/>
  <c r="B292" i="6"/>
  <c r="B293" i="6"/>
  <c r="B294" i="6"/>
  <c r="B295" i="6"/>
  <c r="B296" i="6"/>
  <c r="B297" i="6"/>
  <c r="B298" i="6"/>
  <c r="B299" i="6"/>
  <c r="B300" i="6"/>
  <c r="B301" i="6"/>
  <c r="B302" i="6"/>
  <c r="B303" i="6"/>
  <c r="B304" i="6"/>
  <c r="B305" i="6"/>
  <c r="B306" i="6"/>
  <c r="B307" i="6"/>
  <c r="B308" i="6"/>
  <c r="B309" i="6"/>
  <c r="B310" i="6"/>
  <c r="B311" i="6"/>
  <c r="B312" i="6"/>
  <c r="B313" i="6"/>
  <c r="B314" i="6"/>
  <c r="B315" i="6"/>
  <c r="B316" i="6"/>
  <c r="B317" i="6"/>
  <c r="B318" i="6"/>
  <c r="B319" i="6"/>
  <c r="B320" i="6"/>
  <c r="B321" i="6"/>
  <c r="B322" i="6"/>
  <c r="B323" i="6"/>
  <c r="B324" i="6"/>
  <c r="B325" i="6"/>
  <c r="B326" i="6"/>
  <c r="B327" i="6"/>
  <c r="B328" i="6"/>
  <c r="B329" i="6"/>
  <c r="B330" i="6"/>
  <c r="B331" i="6"/>
  <c r="B332" i="6"/>
  <c r="B333" i="6"/>
  <c r="B334" i="6"/>
  <c r="B335" i="6"/>
  <c r="B336" i="6"/>
  <c r="B337" i="6"/>
  <c r="B338" i="6"/>
  <c r="B339" i="6"/>
  <c r="B340" i="6"/>
  <c r="B341" i="6"/>
  <c r="B342" i="6"/>
  <c r="B343" i="6"/>
  <c r="B344" i="6"/>
  <c r="B345" i="6"/>
  <c r="B346" i="6"/>
  <c r="B347" i="6"/>
  <c r="B348" i="6"/>
  <c r="B349" i="6"/>
  <c r="B350" i="6"/>
  <c r="B351" i="6"/>
  <c r="B352" i="6"/>
  <c r="B353" i="6"/>
  <c r="B354" i="6"/>
  <c r="B355" i="6"/>
  <c r="B356" i="6"/>
  <c r="B357" i="6"/>
  <c r="B358" i="6"/>
  <c r="B359" i="6"/>
  <c r="B360" i="6"/>
  <c r="B361" i="6"/>
  <c r="B362" i="6"/>
  <c r="B363" i="6"/>
  <c r="B364" i="6"/>
  <c r="B365" i="6"/>
  <c r="B366" i="6"/>
  <c r="B367" i="6"/>
  <c r="B368" i="6"/>
  <c r="B369" i="6"/>
  <c r="B370" i="6"/>
  <c r="B371" i="6"/>
  <c r="B372" i="6"/>
  <c r="B373" i="6"/>
  <c r="B374" i="6"/>
  <c r="B375" i="6"/>
  <c r="B376" i="6"/>
  <c r="B377" i="6"/>
  <c r="B378" i="6"/>
  <c r="B379" i="6"/>
  <c r="B380" i="6"/>
  <c r="B381" i="6"/>
  <c r="B382" i="6"/>
  <c r="B383" i="6"/>
  <c r="B384" i="6"/>
  <c r="B385" i="6"/>
  <c r="B386" i="6"/>
  <c r="B387" i="6"/>
  <c r="B388" i="6"/>
  <c r="B389" i="6"/>
  <c r="B390" i="6"/>
  <c r="B391" i="6"/>
  <c r="B392" i="6"/>
  <c r="B393" i="6"/>
  <c r="B394" i="6"/>
  <c r="B395" i="6"/>
  <c r="B396" i="6"/>
  <c r="B397" i="6"/>
  <c r="B398" i="6"/>
  <c r="B399" i="6"/>
  <c r="B400" i="6"/>
  <c r="B401" i="6"/>
  <c r="B402" i="6"/>
  <c r="B403" i="6"/>
  <c r="B404" i="6"/>
  <c r="B405" i="6"/>
  <c r="B406" i="6"/>
  <c r="B407" i="6"/>
  <c r="B408" i="6"/>
  <c r="B409" i="6"/>
  <c r="B410" i="6"/>
  <c r="B411" i="6"/>
  <c r="B412" i="6"/>
  <c r="B413" i="6"/>
  <c r="B414" i="6"/>
  <c r="B415" i="6"/>
  <c r="B416" i="6"/>
  <c r="B417" i="6"/>
  <c r="B418" i="6"/>
  <c r="B419" i="6"/>
  <c r="B420" i="6"/>
  <c r="B421" i="6"/>
  <c r="B422" i="6"/>
  <c r="B423" i="6"/>
  <c r="B424" i="6"/>
  <c r="B425" i="6"/>
  <c r="B426" i="6"/>
  <c r="B427" i="6"/>
  <c r="B428" i="6"/>
  <c r="B429" i="6"/>
  <c r="B430" i="6"/>
  <c r="B431" i="6"/>
  <c r="B432" i="6"/>
  <c r="B433" i="6"/>
  <c r="B434" i="6"/>
  <c r="B435" i="6"/>
  <c r="B436" i="6"/>
  <c r="B437" i="6"/>
  <c r="B438" i="6"/>
  <c r="B439" i="6"/>
  <c r="B440" i="6"/>
  <c r="B441" i="6"/>
  <c r="B442" i="6"/>
  <c r="B443" i="6"/>
  <c r="B444" i="6"/>
  <c r="B445" i="6"/>
  <c r="B446" i="6"/>
  <c r="B447" i="6"/>
  <c r="B448" i="6"/>
  <c r="B449" i="6"/>
  <c r="B450" i="6"/>
  <c r="B451" i="6"/>
  <c r="B452" i="6"/>
  <c r="B453" i="6"/>
  <c r="B454" i="6"/>
  <c r="B455" i="6"/>
  <c r="B456" i="6"/>
  <c r="B457" i="6"/>
  <c r="B458" i="6"/>
  <c r="B459" i="6"/>
  <c r="B460" i="6"/>
  <c r="B461" i="6"/>
  <c r="B462" i="6"/>
  <c r="B463" i="6"/>
  <c r="B464" i="6"/>
  <c r="B465" i="6"/>
  <c r="B466" i="6"/>
  <c r="B467" i="6"/>
  <c r="B468" i="6"/>
  <c r="B469" i="6"/>
  <c r="B470" i="6"/>
  <c r="B471" i="6"/>
  <c r="B472" i="6"/>
  <c r="B473" i="6"/>
  <c r="B474" i="6"/>
  <c r="B475" i="6"/>
  <c r="B476" i="6"/>
  <c r="B477" i="6"/>
  <c r="B478" i="6"/>
  <c r="B479" i="6"/>
  <c r="B480" i="6"/>
  <c r="B481" i="6"/>
  <c r="B482" i="6"/>
  <c r="B483" i="6"/>
  <c r="B484" i="6"/>
  <c r="B485" i="6"/>
  <c r="B486" i="6"/>
  <c r="B487" i="6"/>
  <c r="B488" i="6"/>
  <c r="B489" i="6"/>
  <c r="B490" i="6"/>
  <c r="B491" i="6"/>
  <c r="B492" i="6"/>
  <c r="B493" i="6"/>
  <c r="B494" i="6"/>
  <c r="B495" i="6"/>
  <c r="B496" i="6"/>
  <c r="B497" i="6"/>
  <c r="B498" i="6"/>
  <c r="B499" i="6"/>
  <c r="B500" i="6"/>
  <c r="B501" i="6"/>
  <c r="B502" i="6"/>
  <c r="B503" i="6"/>
  <c r="B504" i="6"/>
  <c r="B505" i="6"/>
  <c r="B506" i="6"/>
  <c r="B507" i="6"/>
  <c r="B508" i="6"/>
  <c r="B509" i="6"/>
  <c r="B510" i="6"/>
  <c r="B511" i="6"/>
  <c r="B512" i="6"/>
  <c r="B513" i="6"/>
  <c r="B514" i="6"/>
  <c r="B515" i="6"/>
  <c r="B516" i="6"/>
  <c r="B517" i="6"/>
  <c r="B518" i="6"/>
  <c r="B519" i="6"/>
  <c r="B520" i="6"/>
  <c r="B521" i="6"/>
  <c r="B522" i="6"/>
  <c r="B523" i="6"/>
  <c r="B524" i="6"/>
  <c r="B525" i="6"/>
  <c r="B526" i="6"/>
  <c r="B527" i="6"/>
  <c r="B528" i="6"/>
  <c r="B529" i="6"/>
  <c r="B530" i="6"/>
  <c r="B531" i="6"/>
  <c r="B532" i="6"/>
  <c r="B533" i="6"/>
  <c r="B534" i="6"/>
  <c r="B535" i="6"/>
  <c r="B536" i="6"/>
  <c r="B537" i="6"/>
  <c r="B538" i="6"/>
  <c r="B539" i="6"/>
  <c r="B540" i="6"/>
  <c r="B541" i="6"/>
  <c r="B542" i="6"/>
  <c r="B543" i="6"/>
  <c r="B544" i="6"/>
  <c r="B545" i="6"/>
  <c r="B546" i="6"/>
  <c r="B547" i="6"/>
  <c r="B548" i="6"/>
  <c r="B549" i="6"/>
  <c r="B550" i="6"/>
  <c r="B551" i="6"/>
  <c r="B552" i="6"/>
  <c r="B553" i="6"/>
  <c r="B554" i="6"/>
  <c r="B555" i="6"/>
  <c r="B556" i="6"/>
  <c r="B557" i="6"/>
  <c r="B558" i="6"/>
  <c r="B559" i="6"/>
  <c r="B560" i="6"/>
  <c r="B561" i="6"/>
  <c r="B562" i="6"/>
  <c r="B563" i="6"/>
  <c r="B564" i="6"/>
  <c r="B565" i="6"/>
  <c r="B566" i="6"/>
  <c r="B567" i="6"/>
  <c r="B568" i="6"/>
  <c r="B569" i="6"/>
  <c r="B570" i="6"/>
  <c r="B571" i="6"/>
  <c r="B572" i="6"/>
  <c r="B573" i="6"/>
  <c r="B574" i="6"/>
  <c r="B575" i="6"/>
  <c r="B576" i="6"/>
  <c r="B577" i="6"/>
  <c r="B578" i="6"/>
  <c r="B579" i="6"/>
  <c r="B580" i="6"/>
  <c r="B581" i="6"/>
  <c r="B582" i="6"/>
  <c r="B583" i="6"/>
  <c r="B584" i="6"/>
  <c r="B585" i="6"/>
  <c r="B586" i="6"/>
  <c r="B587" i="6"/>
  <c r="B588" i="6"/>
  <c r="B589" i="6"/>
  <c r="B590" i="6"/>
  <c r="B591" i="6"/>
  <c r="B592" i="6"/>
  <c r="B593" i="6"/>
  <c r="B594" i="6"/>
  <c r="B595" i="6"/>
  <c r="B596" i="6"/>
  <c r="B597" i="6"/>
  <c r="B598" i="6"/>
  <c r="B599" i="6"/>
  <c r="B600" i="6"/>
  <c r="B601" i="6"/>
  <c r="B602" i="6"/>
  <c r="B603" i="6"/>
  <c r="B604" i="6"/>
  <c r="B605" i="6"/>
  <c r="B606" i="6"/>
  <c r="B607" i="6"/>
  <c r="B608" i="6"/>
  <c r="B609" i="6"/>
  <c r="B610" i="6"/>
  <c r="B611" i="6"/>
  <c r="B612" i="6"/>
  <c r="B613" i="6"/>
  <c r="B614" i="6"/>
  <c r="B615" i="6"/>
  <c r="B616" i="6"/>
  <c r="B617" i="6"/>
  <c r="B618" i="6"/>
  <c r="B619" i="6"/>
  <c r="B620" i="6"/>
  <c r="B621" i="6"/>
  <c r="B622" i="6"/>
  <c r="B623" i="6"/>
  <c r="B624" i="6"/>
  <c r="B625" i="6"/>
  <c r="B626" i="6"/>
  <c r="B627" i="6"/>
  <c r="B628" i="6"/>
  <c r="B629" i="6"/>
  <c r="B630" i="6"/>
  <c r="B631" i="6"/>
  <c r="B632" i="6"/>
  <c r="B633" i="6"/>
  <c r="B634" i="6"/>
  <c r="B635" i="6"/>
  <c r="B636" i="6"/>
  <c r="B637" i="6"/>
  <c r="B638" i="6"/>
  <c r="B639" i="6"/>
  <c r="B640" i="6"/>
  <c r="B641" i="6"/>
  <c r="B642" i="6"/>
  <c r="B643" i="6"/>
  <c r="B644" i="6"/>
  <c r="B645" i="6"/>
  <c r="B646" i="6"/>
  <c r="B647" i="6"/>
  <c r="B648" i="6"/>
  <c r="B649" i="6"/>
  <c r="B650" i="6"/>
  <c r="B651" i="6"/>
  <c r="B652" i="6"/>
  <c r="B653" i="6"/>
  <c r="B654" i="6"/>
  <c r="B655" i="6"/>
  <c r="B656" i="6"/>
  <c r="B657" i="6"/>
  <c r="B658" i="6"/>
  <c r="B659" i="6"/>
  <c r="B660" i="6"/>
  <c r="B661" i="6"/>
  <c r="B662" i="6"/>
  <c r="B663" i="6"/>
  <c r="B664" i="6"/>
  <c r="B665" i="6"/>
  <c r="B666" i="6"/>
  <c r="B667" i="6"/>
  <c r="B668" i="6"/>
  <c r="B669" i="6"/>
  <c r="B670" i="6"/>
  <c r="B671" i="6"/>
  <c r="B672" i="6"/>
  <c r="B673" i="6"/>
  <c r="B674" i="6"/>
  <c r="B675" i="6"/>
  <c r="B676" i="6"/>
  <c r="B677" i="6"/>
  <c r="B678" i="6"/>
  <c r="B679" i="6"/>
  <c r="B680" i="6"/>
  <c r="B681" i="6"/>
  <c r="B682" i="6"/>
  <c r="B683" i="6"/>
  <c r="B684" i="6"/>
  <c r="B685" i="6"/>
  <c r="B686" i="6"/>
  <c r="B687" i="6"/>
  <c r="B688" i="6"/>
  <c r="B689" i="6"/>
  <c r="B690" i="6"/>
  <c r="B691" i="6"/>
  <c r="B692" i="6"/>
  <c r="B693" i="6"/>
  <c r="B694" i="6"/>
  <c r="B695" i="6"/>
  <c r="B696" i="6"/>
  <c r="B697" i="6"/>
  <c r="B698" i="6"/>
  <c r="B699" i="6"/>
  <c r="B700" i="6"/>
  <c r="B701" i="6"/>
  <c r="B702" i="6"/>
  <c r="B703" i="6"/>
  <c r="B704" i="6"/>
  <c r="B705" i="6"/>
  <c r="B706" i="6"/>
  <c r="B707" i="6"/>
  <c r="B708" i="6"/>
  <c r="B709" i="6"/>
  <c r="B710" i="6"/>
  <c r="B711" i="6"/>
  <c r="B712" i="6"/>
  <c r="B713" i="6"/>
  <c r="B714" i="6"/>
  <c r="B715" i="6"/>
  <c r="B716" i="6"/>
  <c r="B717" i="6"/>
  <c r="B718" i="6"/>
  <c r="B719" i="6"/>
  <c r="B720" i="6"/>
  <c r="B721" i="6"/>
  <c r="B722" i="6"/>
  <c r="B723" i="6"/>
  <c r="B724" i="6"/>
  <c r="B725" i="6"/>
  <c r="B726" i="6"/>
  <c r="B727" i="6"/>
  <c r="B728" i="6"/>
  <c r="B729" i="6"/>
  <c r="B730" i="6"/>
  <c r="B731" i="6"/>
  <c r="B732" i="6"/>
  <c r="B733" i="6"/>
  <c r="B734" i="6"/>
  <c r="B735" i="6"/>
  <c r="B736" i="6"/>
  <c r="B737" i="6"/>
  <c r="B738" i="6"/>
  <c r="B739" i="6"/>
  <c r="B740" i="6"/>
  <c r="B741" i="6"/>
  <c r="B742" i="6"/>
  <c r="B743" i="6"/>
  <c r="B744" i="6"/>
  <c r="B745" i="6"/>
  <c r="B746" i="6"/>
  <c r="B747" i="6"/>
  <c r="B748" i="6"/>
  <c r="B749" i="6"/>
  <c r="B750" i="6"/>
  <c r="B751" i="6"/>
  <c r="B752" i="6"/>
  <c r="B753" i="6"/>
  <c r="B754" i="6"/>
  <c r="B755" i="6"/>
  <c r="B756" i="6"/>
  <c r="B757" i="6"/>
  <c r="B758" i="6"/>
  <c r="B759" i="6"/>
  <c r="B760" i="6"/>
  <c r="B761" i="6"/>
  <c r="B762" i="6"/>
  <c r="B763" i="6"/>
  <c r="B764" i="6"/>
  <c r="B765" i="6"/>
  <c r="B766" i="6"/>
  <c r="B767" i="6"/>
  <c r="B768" i="6"/>
  <c r="B769" i="6"/>
  <c r="B770" i="6"/>
  <c r="B771" i="6"/>
  <c r="B772" i="6"/>
  <c r="B773" i="6"/>
  <c r="B774" i="6"/>
  <c r="B775" i="6"/>
  <c r="B776" i="6"/>
  <c r="B777" i="6"/>
  <c r="B778" i="6"/>
  <c r="B779" i="6"/>
  <c r="B780" i="6"/>
  <c r="B781" i="6"/>
  <c r="B782" i="6"/>
  <c r="B783" i="6"/>
  <c r="B784" i="6"/>
  <c r="B785" i="6"/>
  <c r="B786" i="6"/>
  <c r="B787" i="6"/>
  <c r="B788" i="6"/>
  <c r="B789" i="6"/>
  <c r="B790" i="6"/>
  <c r="B791" i="6"/>
  <c r="B792" i="6"/>
  <c r="B793" i="6"/>
  <c r="B794" i="6"/>
  <c r="B795" i="6"/>
  <c r="B796" i="6"/>
  <c r="B797" i="6"/>
  <c r="B798" i="6"/>
  <c r="B799" i="6"/>
  <c r="B800" i="6"/>
  <c r="B801" i="6"/>
  <c r="B802" i="6"/>
  <c r="B803" i="6"/>
  <c r="B804" i="6"/>
  <c r="B805" i="6"/>
  <c r="B806" i="6"/>
  <c r="B807" i="6"/>
  <c r="B808" i="6"/>
  <c r="B809" i="6"/>
  <c r="B810" i="6"/>
  <c r="B811" i="6"/>
  <c r="B812" i="6"/>
  <c r="B813" i="6"/>
  <c r="B814" i="6"/>
  <c r="B815" i="6"/>
  <c r="B816" i="6"/>
  <c r="B817" i="6"/>
  <c r="B818" i="6"/>
  <c r="B819" i="6"/>
  <c r="B820" i="6"/>
  <c r="B821" i="6"/>
  <c r="B822" i="6"/>
  <c r="B823" i="6"/>
  <c r="B824" i="6"/>
  <c r="B825" i="6"/>
  <c r="B826" i="6"/>
  <c r="B827" i="6"/>
  <c r="B828" i="6"/>
  <c r="B829" i="6"/>
  <c r="B830" i="6"/>
  <c r="B831" i="6"/>
  <c r="B832" i="6"/>
  <c r="B833" i="6"/>
  <c r="B834" i="6"/>
  <c r="B835" i="6"/>
  <c r="B836" i="6"/>
  <c r="B837" i="6"/>
  <c r="B838" i="6"/>
  <c r="B839" i="6"/>
  <c r="B840" i="6"/>
  <c r="B841" i="6"/>
  <c r="B842" i="6"/>
  <c r="B843" i="6"/>
  <c r="B844" i="6"/>
  <c r="B845" i="6"/>
  <c r="B846" i="6"/>
  <c r="B847" i="6"/>
  <c r="B848" i="6"/>
  <c r="B849" i="6"/>
  <c r="B850" i="6"/>
  <c r="B851" i="6"/>
  <c r="B852" i="6"/>
  <c r="B853" i="6"/>
  <c r="B854" i="6"/>
  <c r="B855" i="6"/>
  <c r="B856" i="6"/>
  <c r="B857" i="6"/>
  <c r="B858" i="6"/>
  <c r="B859" i="6"/>
  <c r="B860" i="6"/>
  <c r="B861" i="6"/>
  <c r="B862" i="6"/>
  <c r="B863" i="6"/>
  <c r="B864" i="6"/>
  <c r="B865" i="6"/>
  <c r="B866" i="6"/>
  <c r="B867" i="6"/>
  <c r="B868" i="6"/>
  <c r="B869" i="6"/>
  <c r="B870" i="6"/>
  <c r="B871" i="6"/>
  <c r="B872" i="6"/>
  <c r="B873" i="6"/>
  <c r="B874" i="6"/>
  <c r="B875" i="6"/>
  <c r="B876" i="6"/>
  <c r="B877" i="6"/>
  <c r="B878" i="6"/>
  <c r="B879" i="6"/>
  <c r="B880" i="6"/>
  <c r="B881" i="6"/>
  <c r="B882" i="6"/>
  <c r="B883" i="6"/>
  <c r="B884" i="6"/>
  <c r="B885" i="6"/>
  <c r="B886" i="6"/>
  <c r="B887" i="6"/>
  <c r="B888" i="6"/>
  <c r="B889" i="6"/>
  <c r="B890" i="6"/>
  <c r="B891" i="6"/>
  <c r="B892" i="6"/>
  <c r="B893" i="6"/>
  <c r="B894" i="6"/>
  <c r="B895" i="6"/>
  <c r="B896" i="6"/>
  <c r="B897" i="6"/>
  <c r="B898" i="6"/>
  <c r="B899" i="6"/>
  <c r="B900" i="6"/>
  <c r="B901" i="6"/>
  <c r="B902" i="6"/>
  <c r="B903" i="6"/>
  <c r="B904" i="6"/>
  <c r="B905" i="6"/>
  <c r="B906" i="6"/>
  <c r="B907" i="6"/>
  <c r="B908" i="6"/>
  <c r="B909" i="6"/>
  <c r="B910" i="6"/>
  <c r="B911" i="6"/>
  <c r="B912" i="6"/>
  <c r="B913" i="6"/>
  <c r="B914" i="6"/>
  <c r="B915" i="6"/>
  <c r="B916" i="6"/>
  <c r="B917" i="6"/>
  <c r="B918" i="6"/>
  <c r="B919" i="6"/>
  <c r="B920" i="6"/>
  <c r="B921" i="6"/>
  <c r="B922" i="6"/>
  <c r="B923" i="6"/>
  <c r="B924" i="6"/>
  <c r="B925" i="6"/>
  <c r="B926" i="6"/>
  <c r="B927" i="6"/>
  <c r="B928" i="6"/>
  <c r="B929" i="6"/>
  <c r="B930" i="6"/>
  <c r="B931" i="6"/>
  <c r="B932" i="6"/>
  <c r="B933" i="6"/>
  <c r="B934" i="6"/>
  <c r="B935" i="6"/>
  <c r="B936" i="6"/>
  <c r="B937" i="6"/>
  <c r="B938" i="6"/>
  <c r="B939" i="6"/>
  <c r="B940" i="6"/>
  <c r="B941" i="6"/>
  <c r="B942" i="6"/>
  <c r="B943" i="6"/>
  <c r="B944" i="6"/>
  <c r="B945" i="6"/>
  <c r="B946" i="6"/>
  <c r="B947" i="6"/>
  <c r="B948" i="6"/>
  <c r="B949" i="6"/>
  <c r="B950" i="6"/>
  <c r="B951" i="6"/>
  <c r="B952" i="6"/>
  <c r="B953" i="6"/>
  <c r="B954" i="6"/>
  <c r="B955" i="6"/>
  <c r="B956" i="6"/>
  <c r="B957" i="6"/>
  <c r="B958" i="6"/>
  <c r="B959" i="6"/>
  <c r="B960" i="6"/>
  <c r="B961" i="6"/>
  <c r="B962" i="6"/>
  <c r="B963" i="6"/>
  <c r="B964" i="6"/>
  <c r="B965" i="6"/>
  <c r="B966" i="6"/>
  <c r="B967" i="6"/>
  <c r="B968" i="6"/>
  <c r="B969" i="6"/>
  <c r="B970" i="6"/>
  <c r="B971" i="6"/>
  <c r="B972" i="6"/>
  <c r="B973" i="6"/>
  <c r="B974" i="6"/>
  <c r="B975" i="6"/>
  <c r="B976" i="6"/>
  <c r="B977" i="6"/>
  <c r="B978" i="6"/>
  <c r="B979" i="6"/>
  <c r="B980" i="6"/>
  <c r="B981" i="6"/>
  <c r="B982" i="6"/>
  <c r="B983" i="6"/>
  <c r="B984" i="6"/>
  <c r="B985" i="6"/>
  <c r="B986" i="6"/>
  <c r="B987" i="6"/>
  <c r="B988" i="6"/>
  <c r="B989" i="6"/>
  <c r="B990" i="6"/>
  <c r="B991" i="6"/>
  <c r="B992" i="6"/>
  <c r="B993" i="6"/>
  <c r="B994" i="6"/>
  <c r="B995" i="6"/>
  <c r="B996" i="6"/>
  <c r="B997" i="6"/>
  <c r="B998" i="6"/>
  <c r="B999" i="6"/>
  <c r="B1000" i="6"/>
  <c r="B1001" i="6"/>
  <c r="B1002" i="6"/>
  <c r="B1003" i="6"/>
  <c r="B1004" i="6"/>
  <c r="B1005" i="6"/>
  <c r="B1006" i="6"/>
  <c r="B1007" i="6"/>
  <c r="B1008" i="6"/>
  <c r="B1009" i="6"/>
  <c r="B1010" i="6"/>
  <c r="B1011" i="6"/>
  <c r="B1012" i="6"/>
  <c r="B1013" i="6"/>
  <c r="B1014" i="6"/>
  <c r="B1015" i="6"/>
  <c r="B1016" i="6"/>
  <c r="B1017" i="6"/>
  <c r="B1018" i="6"/>
  <c r="B1019" i="6"/>
  <c r="B1020" i="6"/>
  <c r="B1021" i="6"/>
  <c r="B1022" i="6"/>
  <c r="B1023" i="6"/>
  <c r="B1024" i="6"/>
  <c r="B1025" i="6"/>
  <c r="B1026" i="6"/>
  <c r="B1027" i="6"/>
  <c r="B1028" i="6"/>
  <c r="B1029" i="6"/>
  <c r="B1030" i="6"/>
  <c r="B1031" i="6"/>
  <c r="B1032" i="6"/>
  <c r="B1033" i="6"/>
  <c r="B1034" i="6"/>
  <c r="B1035" i="6"/>
  <c r="B1036" i="6"/>
  <c r="B1037" i="6"/>
  <c r="B1038" i="6"/>
  <c r="B1039" i="6"/>
  <c r="B1040" i="6"/>
  <c r="B1041" i="6"/>
  <c r="B1042" i="6"/>
  <c r="B1043" i="6"/>
  <c r="B1044" i="6"/>
  <c r="B1045" i="6"/>
  <c r="B1046" i="6"/>
  <c r="B1047" i="6"/>
  <c r="B1048" i="6"/>
  <c r="B1049" i="6"/>
  <c r="B1050" i="6"/>
  <c r="B1051" i="6"/>
  <c r="B1052" i="6"/>
  <c r="B1053" i="6"/>
  <c r="B1054" i="6"/>
  <c r="B1055" i="6"/>
  <c r="B1056" i="6"/>
  <c r="B1057" i="6"/>
  <c r="B1058" i="6"/>
  <c r="B1059" i="6"/>
  <c r="B1060" i="6"/>
  <c r="B1061" i="6"/>
  <c r="B1062" i="6"/>
  <c r="B1063" i="6"/>
  <c r="B1064" i="6"/>
  <c r="B1065" i="6"/>
  <c r="B1066" i="6"/>
  <c r="B1067" i="6"/>
  <c r="B1068" i="6"/>
  <c r="B1069" i="6"/>
  <c r="B1070" i="6"/>
  <c r="B1071" i="6"/>
  <c r="B1072" i="6"/>
  <c r="B1073" i="6"/>
  <c r="B1074" i="6"/>
  <c r="B1075" i="6"/>
  <c r="B1076" i="6"/>
  <c r="B1077" i="6"/>
  <c r="B1078" i="6"/>
  <c r="B1079" i="6"/>
  <c r="B1080" i="6"/>
  <c r="B1081" i="6"/>
  <c r="B1082" i="6"/>
  <c r="B1083" i="6"/>
  <c r="B1084" i="6"/>
  <c r="B1085" i="6"/>
  <c r="B1086" i="6"/>
  <c r="B1087" i="6"/>
  <c r="B1088" i="6"/>
  <c r="B1089" i="6"/>
  <c r="B1090" i="6"/>
  <c r="B1091" i="6"/>
  <c r="B1092" i="6"/>
  <c r="B1093" i="6"/>
  <c r="B1094" i="6"/>
  <c r="B1095" i="6"/>
  <c r="B1096" i="6"/>
  <c r="B1097" i="6"/>
  <c r="B1098" i="6"/>
  <c r="B1099" i="6"/>
  <c r="B1100" i="6"/>
  <c r="B1101" i="6"/>
  <c r="B1102" i="6"/>
  <c r="B1103" i="6"/>
  <c r="B1104" i="6"/>
  <c r="B1105" i="6"/>
  <c r="B1106" i="6"/>
  <c r="B1107" i="6"/>
  <c r="B1108" i="6"/>
  <c r="B1109" i="6"/>
  <c r="B1110" i="6"/>
  <c r="B1111" i="6"/>
  <c r="B1112" i="6"/>
  <c r="B1113" i="6"/>
  <c r="B1114" i="6"/>
  <c r="B1115" i="6"/>
  <c r="B1116" i="6"/>
  <c r="B1117" i="6"/>
  <c r="B1118" i="6"/>
  <c r="B1119" i="6"/>
  <c r="B1120" i="6"/>
  <c r="B1121" i="6"/>
  <c r="B1122" i="6"/>
  <c r="B1123" i="6"/>
  <c r="B1124" i="6"/>
  <c r="B1125" i="6"/>
  <c r="B1126" i="6"/>
  <c r="B1127" i="6"/>
  <c r="B1128" i="6"/>
  <c r="B1129" i="6"/>
  <c r="B1130" i="6"/>
  <c r="B1131" i="6"/>
  <c r="B1132" i="6"/>
  <c r="B1133" i="6"/>
  <c r="B1134" i="6"/>
  <c r="B1135" i="6"/>
  <c r="B1136" i="6"/>
  <c r="B1137" i="6"/>
  <c r="B1138" i="6"/>
  <c r="B1139" i="6"/>
  <c r="B1140" i="6"/>
  <c r="B1141" i="6"/>
  <c r="B1142" i="6"/>
  <c r="B1143" i="6"/>
  <c r="B1144" i="6"/>
  <c r="B1145" i="6"/>
  <c r="B1146" i="6"/>
  <c r="B1147" i="6"/>
  <c r="B1148" i="6"/>
  <c r="B1149" i="6"/>
  <c r="B1150" i="6"/>
  <c r="B1151" i="6"/>
  <c r="B1152" i="6"/>
  <c r="B1153" i="6"/>
  <c r="B1154" i="6"/>
  <c r="B1155" i="6"/>
  <c r="B1156" i="6"/>
  <c r="B1157" i="6"/>
  <c r="B1158" i="6"/>
  <c r="B1159" i="6"/>
  <c r="B1160" i="6"/>
  <c r="B1161" i="6"/>
  <c r="B1162" i="6"/>
  <c r="B1163" i="6"/>
  <c r="B1164" i="6"/>
  <c r="B1165" i="6"/>
  <c r="B1166" i="6"/>
  <c r="B1167" i="6"/>
  <c r="B1168" i="6"/>
  <c r="B1169" i="6"/>
  <c r="B1170" i="6"/>
  <c r="B1171" i="6"/>
  <c r="B1172" i="6"/>
  <c r="B1173" i="6"/>
  <c r="B1174" i="6"/>
  <c r="B1175" i="6"/>
  <c r="B1176" i="6"/>
  <c r="B1177" i="6"/>
  <c r="B1178" i="6"/>
  <c r="B1179" i="6"/>
  <c r="B1180" i="6"/>
  <c r="B1181" i="6"/>
  <c r="B1182" i="6"/>
  <c r="B1183" i="6"/>
  <c r="B1184" i="6"/>
  <c r="B1185" i="6"/>
  <c r="B1186" i="6"/>
  <c r="B1187" i="6"/>
  <c r="B1188" i="6"/>
  <c r="B1189" i="6"/>
  <c r="B1190" i="6"/>
  <c r="B1191" i="6"/>
  <c r="B1192" i="6"/>
  <c r="B1193" i="6"/>
  <c r="B1194" i="6"/>
  <c r="B1195" i="6"/>
  <c r="B1196" i="6"/>
  <c r="B1197" i="6"/>
  <c r="B1198" i="6"/>
  <c r="B1199" i="6"/>
  <c r="B1200" i="6"/>
  <c r="B1201" i="6"/>
  <c r="B1202" i="6"/>
  <c r="B1203" i="6"/>
  <c r="B1204" i="6"/>
  <c r="B1205" i="6"/>
  <c r="B1206" i="6"/>
  <c r="B1207" i="6"/>
  <c r="B1208" i="6"/>
  <c r="B1209" i="6"/>
  <c r="B1210" i="6"/>
  <c r="B1211" i="6"/>
  <c r="B1212" i="6"/>
  <c r="B1213" i="6"/>
  <c r="B1214" i="6"/>
  <c r="B1215" i="6"/>
  <c r="B1216" i="6"/>
  <c r="B1217" i="6"/>
  <c r="B1218" i="6"/>
  <c r="B1219" i="6"/>
  <c r="B1220" i="6"/>
  <c r="B1221" i="6"/>
  <c r="B1222" i="6"/>
  <c r="B1223" i="6"/>
  <c r="B1224" i="6"/>
  <c r="B1225" i="6"/>
  <c r="B1226" i="6"/>
  <c r="B1227" i="6"/>
  <c r="B1228" i="6"/>
  <c r="B1229" i="6"/>
  <c r="B1230" i="6"/>
  <c r="B1231" i="6"/>
  <c r="B1232" i="6"/>
  <c r="B1233" i="6"/>
  <c r="B1234" i="6"/>
  <c r="B1235" i="6"/>
  <c r="B1236" i="6"/>
  <c r="B1237" i="6"/>
  <c r="B1238" i="6"/>
  <c r="B1239" i="6"/>
  <c r="B1240" i="6"/>
  <c r="B1241" i="6"/>
  <c r="B1242" i="6"/>
  <c r="B1243" i="6"/>
  <c r="B1244" i="6"/>
  <c r="B1245" i="6"/>
  <c r="B1246" i="6"/>
  <c r="B1247" i="6"/>
  <c r="B1248" i="6"/>
  <c r="B1249" i="6"/>
  <c r="B1250" i="6"/>
  <c r="B1251" i="6"/>
  <c r="B1252" i="6"/>
  <c r="B1253" i="6"/>
  <c r="B1254" i="6"/>
  <c r="B1255" i="6"/>
  <c r="B1256" i="6"/>
  <c r="B1257" i="6"/>
  <c r="B1258" i="6"/>
  <c r="B1259" i="6"/>
  <c r="B1260" i="6"/>
  <c r="B1261" i="6"/>
  <c r="B1262" i="6"/>
  <c r="B1263" i="6"/>
  <c r="B1264" i="6"/>
  <c r="B1265" i="6"/>
  <c r="B1266" i="6"/>
  <c r="B1267" i="6"/>
  <c r="B1268" i="6"/>
  <c r="B1269" i="6"/>
  <c r="B1270" i="6"/>
  <c r="B1271" i="6"/>
  <c r="B1272" i="6"/>
  <c r="B1273" i="6"/>
  <c r="B1274" i="6"/>
  <c r="B1275" i="6"/>
  <c r="B1276" i="6"/>
  <c r="B1277" i="6"/>
  <c r="B1278" i="6"/>
  <c r="B1279" i="6"/>
  <c r="B1280" i="6"/>
  <c r="B1281" i="6"/>
  <c r="B1282" i="6"/>
  <c r="B1283" i="6"/>
  <c r="B1284" i="6"/>
  <c r="B1285" i="6"/>
  <c r="B1286" i="6"/>
  <c r="B1287" i="6"/>
  <c r="B1288" i="6"/>
  <c r="B1289" i="6"/>
  <c r="B1290" i="6"/>
  <c r="B1291" i="6"/>
  <c r="B1292" i="6"/>
  <c r="B1293" i="6"/>
  <c r="B1294" i="6"/>
  <c r="B1295" i="6"/>
  <c r="B1296" i="6"/>
  <c r="B1297" i="6"/>
  <c r="B1298" i="6"/>
  <c r="B1299" i="6"/>
  <c r="B1300" i="6"/>
  <c r="B1301" i="6"/>
  <c r="B1302" i="6"/>
  <c r="B1303" i="6"/>
  <c r="B1304" i="6"/>
  <c r="B1305" i="6"/>
  <c r="B1306" i="6"/>
  <c r="B1307" i="6"/>
  <c r="B1308" i="6"/>
  <c r="B1309" i="6"/>
  <c r="B1310" i="6"/>
  <c r="B1311" i="6"/>
  <c r="B1312" i="6"/>
  <c r="B1313" i="6"/>
  <c r="B1314" i="6"/>
  <c r="B1315" i="6"/>
  <c r="B1316" i="6"/>
  <c r="B1317" i="6"/>
  <c r="B1318" i="6"/>
  <c r="B1319" i="6"/>
  <c r="B1320" i="6"/>
  <c r="B1321" i="6"/>
  <c r="B1322" i="6"/>
  <c r="B1323" i="6"/>
  <c r="B1324" i="6"/>
  <c r="B1325" i="6"/>
  <c r="B1326" i="6"/>
  <c r="B1327" i="6"/>
  <c r="B1328" i="6"/>
  <c r="B1329" i="6"/>
  <c r="B1330" i="6"/>
  <c r="B1331" i="6"/>
  <c r="B1332" i="6"/>
  <c r="B1333" i="6"/>
  <c r="B1334" i="6"/>
  <c r="B1335" i="6"/>
  <c r="B1336" i="6"/>
  <c r="B1337" i="6"/>
  <c r="B1338" i="6"/>
  <c r="B1339" i="6"/>
  <c r="B1340" i="6"/>
  <c r="B1341" i="6"/>
  <c r="B1342" i="6"/>
  <c r="B1343" i="6"/>
  <c r="B1344" i="6"/>
  <c r="B1345" i="6"/>
  <c r="B1346" i="6"/>
  <c r="B1347" i="6"/>
  <c r="B1348" i="6"/>
  <c r="B1349" i="6"/>
  <c r="B1350" i="6"/>
  <c r="B1351" i="6"/>
  <c r="B1352" i="6"/>
  <c r="B1353" i="6"/>
  <c r="B1354" i="6"/>
  <c r="B1355" i="6"/>
  <c r="B1356" i="6"/>
  <c r="B1357" i="6"/>
  <c r="B1358" i="6"/>
  <c r="B1359" i="6"/>
  <c r="B1360" i="6"/>
  <c r="B1361" i="6"/>
  <c r="B1362" i="6"/>
  <c r="B1363" i="6"/>
  <c r="B1364" i="6"/>
  <c r="B1365" i="6"/>
  <c r="B1366" i="6"/>
  <c r="B1367" i="6"/>
  <c r="B1368" i="6"/>
  <c r="B1369" i="6"/>
  <c r="B1370" i="6"/>
  <c r="B1371" i="6"/>
  <c r="B1372" i="6"/>
  <c r="B1373" i="6"/>
  <c r="B1374" i="6"/>
  <c r="B1375" i="6"/>
  <c r="B1376" i="6"/>
  <c r="B1377" i="6"/>
  <c r="B1378" i="6"/>
  <c r="B1379" i="6"/>
  <c r="B1380" i="6"/>
  <c r="B1381" i="6"/>
  <c r="B1382" i="6"/>
  <c r="B1383" i="6"/>
  <c r="B1384" i="6"/>
  <c r="B1385" i="6"/>
  <c r="B1386" i="6"/>
  <c r="B1387" i="6"/>
  <c r="B1388" i="6"/>
  <c r="B1389" i="6"/>
  <c r="B1390" i="6"/>
  <c r="B1391" i="6"/>
  <c r="B1392" i="6"/>
  <c r="B1393" i="6"/>
  <c r="B1394" i="6"/>
  <c r="B1395" i="6"/>
  <c r="B1396" i="6"/>
  <c r="B1397" i="6"/>
  <c r="B1398" i="6"/>
  <c r="B1399" i="6"/>
  <c r="B1400" i="6"/>
  <c r="B1401" i="6"/>
  <c r="B1402" i="6"/>
  <c r="B1403" i="6"/>
  <c r="B1404" i="6"/>
  <c r="B1405" i="6"/>
  <c r="B1406" i="6"/>
  <c r="B1407" i="6"/>
  <c r="B1408" i="6"/>
  <c r="B1409" i="6"/>
  <c r="B1410" i="6"/>
  <c r="B1411" i="6"/>
  <c r="B1412" i="6"/>
  <c r="B1413" i="6"/>
  <c r="B1414" i="6"/>
  <c r="B1415" i="6"/>
  <c r="B1416" i="6"/>
  <c r="B1417" i="6"/>
  <c r="B1418" i="6"/>
  <c r="B1419" i="6"/>
  <c r="B1420" i="6"/>
  <c r="B1421" i="6"/>
  <c r="B1422" i="6"/>
  <c r="B1423" i="6"/>
  <c r="B1424" i="6"/>
  <c r="B1425" i="6"/>
  <c r="B1426" i="6"/>
  <c r="B1427" i="6"/>
  <c r="B1428" i="6"/>
  <c r="B1429" i="6"/>
  <c r="B1430" i="6"/>
  <c r="B1431" i="6"/>
  <c r="B1432" i="6"/>
  <c r="B1433" i="6"/>
  <c r="B1434" i="6"/>
  <c r="B1435" i="6"/>
  <c r="B1436" i="6"/>
  <c r="B1437" i="6"/>
  <c r="B1438" i="6"/>
  <c r="B1439" i="6"/>
  <c r="B1440" i="6"/>
  <c r="B1441" i="6"/>
  <c r="B1442" i="6"/>
  <c r="B1443" i="6"/>
  <c r="B1444" i="6"/>
  <c r="B1445" i="6"/>
  <c r="B1446" i="6"/>
  <c r="B1447" i="6"/>
  <c r="B1448" i="6"/>
  <c r="B1449" i="6"/>
  <c r="B1450" i="6"/>
  <c r="B1451" i="6"/>
  <c r="B1452" i="6"/>
  <c r="B1453" i="6"/>
  <c r="B1454" i="6"/>
  <c r="B1455" i="6"/>
  <c r="B1456" i="6"/>
  <c r="B1457" i="6"/>
  <c r="B1458" i="6"/>
  <c r="B1459" i="6"/>
  <c r="B1460" i="6"/>
  <c r="B1461" i="6"/>
  <c r="B1462" i="6"/>
  <c r="B1463" i="6"/>
  <c r="B1464" i="6"/>
  <c r="B1465" i="6"/>
  <c r="B1466" i="6"/>
  <c r="B1467" i="6"/>
  <c r="B1468" i="6"/>
  <c r="B1469" i="6"/>
  <c r="B1470" i="6"/>
  <c r="B1471" i="6"/>
  <c r="B1472" i="6"/>
  <c r="B1473" i="6"/>
  <c r="B1474" i="6"/>
  <c r="B1475" i="6"/>
  <c r="B1476" i="6"/>
  <c r="B1477" i="6"/>
  <c r="B1478" i="6"/>
  <c r="B1479" i="6"/>
  <c r="B1480" i="6"/>
  <c r="B1481" i="6"/>
  <c r="B1482" i="6"/>
  <c r="B1483" i="6"/>
  <c r="B1484" i="6"/>
  <c r="B1485" i="6"/>
  <c r="B1486" i="6"/>
  <c r="B1487" i="6"/>
  <c r="B1488" i="6"/>
  <c r="B1489" i="6"/>
  <c r="B1490" i="6"/>
  <c r="B1491" i="6"/>
  <c r="B1492" i="6"/>
  <c r="B1493" i="6"/>
  <c r="B1494" i="6"/>
  <c r="B1495" i="6"/>
  <c r="B1496" i="6"/>
  <c r="B1497" i="6"/>
  <c r="B1498" i="6"/>
  <c r="B1499" i="6"/>
  <c r="B1500" i="6"/>
  <c r="B1501" i="6"/>
  <c r="B1502" i="6"/>
  <c r="B1503" i="6"/>
  <c r="B1504" i="6"/>
  <c r="B1505" i="6"/>
  <c r="B1506" i="6"/>
  <c r="B1507" i="6"/>
  <c r="B1508" i="6"/>
  <c r="B1509" i="6"/>
  <c r="B1510" i="6"/>
  <c r="B1511" i="6"/>
  <c r="B1512" i="6"/>
  <c r="B1513" i="6"/>
  <c r="B1514" i="6"/>
  <c r="B1515" i="6"/>
  <c r="B1516" i="6"/>
  <c r="B1517" i="6"/>
  <c r="B1518" i="6"/>
  <c r="B1519" i="6"/>
  <c r="B1520" i="6"/>
  <c r="B1521" i="6"/>
  <c r="B1522" i="6"/>
  <c r="B1523" i="6"/>
  <c r="B1524" i="6"/>
  <c r="B1525" i="6"/>
  <c r="B1526" i="6"/>
  <c r="B1527" i="6"/>
  <c r="B1528" i="6"/>
  <c r="B1529" i="6"/>
  <c r="B1530" i="6"/>
  <c r="B1531" i="6"/>
  <c r="B1532" i="6"/>
  <c r="B1533" i="6"/>
  <c r="B1534" i="6"/>
  <c r="B1535" i="6"/>
  <c r="B1536" i="6"/>
  <c r="B1537" i="6"/>
  <c r="B1538" i="6"/>
  <c r="B1539" i="6"/>
  <c r="B1540" i="6"/>
  <c r="B1541" i="6"/>
  <c r="B1542" i="6"/>
  <c r="B1543" i="6"/>
  <c r="B1544" i="6"/>
  <c r="B1545" i="6"/>
  <c r="B1546" i="6"/>
  <c r="B1547" i="6"/>
  <c r="B1548" i="6"/>
  <c r="B1549" i="6"/>
  <c r="B1550" i="6"/>
  <c r="B1551" i="6"/>
  <c r="B1552" i="6"/>
  <c r="B1553" i="6"/>
  <c r="B1554" i="6"/>
  <c r="B1555" i="6"/>
  <c r="B1556" i="6"/>
  <c r="B1557" i="6"/>
  <c r="B1558" i="6"/>
  <c r="B1559" i="6"/>
  <c r="B1560" i="6"/>
  <c r="B1561" i="6"/>
  <c r="B1562" i="6"/>
  <c r="B1563" i="6"/>
  <c r="B1564" i="6"/>
  <c r="B1565" i="6"/>
  <c r="B1566" i="6"/>
  <c r="B1567" i="6"/>
  <c r="B1568" i="6"/>
  <c r="B1569" i="6"/>
  <c r="B1570" i="6"/>
  <c r="B1571" i="6"/>
  <c r="B1572" i="6"/>
  <c r="B1573" i="6"/>
  <c r="B1574" i="6"/>
  <c r="B1575" i="6"/>
  <c r="B1576" i="6"/>
  <c r="B1577" i="6"/>
  <c r="B1578" i="6"/>
  <c r="B1579" i="6"/>
  <c r="B1580" i="6"/>
  <c r="B1581" i="6"/>
  <c r="B1582" i="6"/>
  <c r="B1583" i="6"/>
  <c r="B1584" i="6"/>
  <c r="B1585" i="6"/>
  <c r="B1586" i="6"/>
  <c r="B1587" i="6"/>
  <c r="B1588" i="6"/>
  <c r="B1589" i="6"/>
  <c r="B1590" i="6"/>
  <c r="B1591" i="6"/>
  <c r="B1592" i="6"/>
  <c r="B1593" i="6"/>
  <c r="B1594" i="6"/>
  <c r="B1595" i="6"/>
  <c r="B1596" i="6"/>
  <c r="B1597" i="6"/>
  <c r="B1598" i="6"/>
  <c r="B1599" i="6"/>
  <c r="B1600" i="6"/>
  <c r="B1601" i="6"/>
  <c r="B1602" i="6"/>
  <c r="B1603" i="6"/>
  <c r="B1604" i="6"/>
  <c r="B1605" i="6"/>
  <c r="B1606" i="6"/>
  <c r="B1607" i="6"/>
  <c r="B1608" i="6"/>
  <c r="B1609" i="6"/>
  <c r="B1610" i="6"/>
  <c r="B1611" i="6"/>
  <c r="B1612" i="6"/>
  <c r="B1613" i="6"/>
  <c r="B1614" i="6"/>
  <c r="B1615" i="6"/>
  <c r="B1616" i="6"/>
  <c r="B1617" i="6"/>
  <c r="B1618" i="6"/>
  <c r="B1619" i="6"/>
  <c r="B1620" i="6"/>
  <c r="B1621" i="6"/>
  <c r="B1622" i="6"/>
  <c r="B1623" i="6"/>
  <c r="B1624" i="6"/>
  <c r="B1625" i="6"/>
  <c r="B1626" i="6"/>
  <c r="B1627" i="6"/>
  <c r="B1628" i="6"/>
  <c r="B1629" i="6"/>
  <c r="B1630" i="6"/>
  <c r="B1631" i="6"/>
  <c r="B1632" i="6"/>
  <c r="B1633" i="6"/>
  <c r="B1634" i="6"/>
  <c r="B1635" i="6"/>
  <c r="B1636" i="6"/>
  <c r="B1637" i="6"/>
  <c r="B1638" i="6"/>
  <c r="B1639" i="6"/>
  <c r="B1640" i="6"/>
  <c r="B1641" i="6"/>
  <c r="B1642" i="6"/>
  <c r="B1643" i="6"/>
  <c r="B1644" i="6"/>
  <c r="B1645" i="6"/>
  <c r="B1646" i="6"/>
  <c r="B1647" i="6"/>
  <c r="B1648" i="6"/>
  <c r="B1649" i="6"/>
  <c r="B1650" i="6"/>
  <c r="B1651" i="6"/>
  <c r="B1652" i="6"/>
  <c r="B1653" i="6"/>
  <c r="B1654" i="6"/>
  <c r="B1655" i="6"/>
  <c r="B1656" i="6"/>
  <c r="B1657" i="6"/>
  <c r="B1658" i="6"/>
  <c r="B1659" i="6"/>
  <c r="B1660" i="6"/>
  <c r="B1661" i="6"/>
  <c r="B1662" i="6"/>
  <c r="B1663" i="6"/>
  <c r="B1664" i="6"/>
  <c r="B1665" i="6"/>
  <c r="B1666" i="6"/>
  <c r="B1667" i="6"/>
  <c r="B1668" i="6"/>
  <c r="B1669" i="6"/>
  <c r="B1670" i="6"/>
  <c r="B1671" i="6"/>
  <c r="B1672" i="6"/>
  <c r="B1673" i="6"/>
  <c r="B1674" i="6"/>
  <c r="B1675" i="6"/>
  <c r="B1676" i="6"/>
  <c r="B1677" i="6"/>
  <c r="B1678" i="6"/>
  <c r="B1679" i="6"/>
  <c r="B1680" i="6"/>
  <c r="B1681" i="6"/>
  <c r="B1682" i="6"/>
  <c r="B1683" i="6"/>
  <c r="B1684" i="6"/>
  <c r="B1685" i="6"/>
  <c r="B1686" i="6"/>
  <c r="B1687" i="6"/>
  <c r="B1688" i="6"/>
  <c r="B1689" i="6"/>
  <c r="B1690" i="6"/>
  <c r="B1691" i="6"/>
  <c r="B1692" i="6"/>
  <c r="B1693" i="6"/>
  <c r="B1694" i="6"/>
  <c r="B1695" i="6"/>
  <c r="B1696" i="6"/>
  <c r="B1697" i="6"/>
  <c r="B1698" i="6"/>
  <c r="B1699" i="6"/>
  <c r="B1700" i="6"/>
  <c r="B1701" i="6"/>
  <c r="B1702" i="6"/>
  <c r="B1703" i="6"/>
  <c r="B1704" i="6"/>
  <c r="B1705" i="6"/>
  <c r="B1706" i="6"/>
  <c r="B1707" i="6"/>
  <c r="B1708" i="6"/>
  <c r="B1709" i="6"/>
  <c r="B1710" i="6"/>
  <c r="B1711" i="6"/>
  <c r="B1712" i="6"/>
  <c r="B1713" i="6"/>
  <c r="B1714" i="6"/>
  <c r="B1715" i="6"/>
  <c r="B1716" i="6"/>
  <c r="B1717" i="6"/>
  <c r="B1718" i="6"/>
  <c r="B1719" i="6"/>
  <c r="B1720" i="6"/>
  <c r="B1721" i="6"/>
  <c r="B1722" i="6"/>
  <c r="B1723" i="6"/>
  <c r="B1724" i="6"/>
  <c r="B1725" i="6"/>
  <c r="B1726" i="6"/>
  <c r="B1727" i="6"/>
  <c r="B1728" i="6"/>
  <c r="B1729" i="6"/>
  <c r="B1730" i="6"/>
  <c r="B1731" i="6"/>
  <c r="B1732" i="6"/>
  <c r="B1733" i="6"/>
  <c r="B1734" i="6"/>
  <c r="B1735" i="6"/>
  <c r="B1736" i="6"/>
  <c r="B1737" i="6"/>
  <c r="B1738" i="6"/>
  <c r="B1739" i="6"/>
  <c r="B1740" i="6"/>
  <c r="B1741" i="6"/>
  <c r="B1742" i="6"/>
  <c r="B1743" i="6"/>
  <c r="B1744" i="6"/>
  <c r="B1745" i="6"/>
  <c r="B1746" i="6"/>
  <c r="B1747" i="6"/>
  <c r="B1748" i="6"/>
  <c r="B1749" i="6"/>
  <c r="B1750" i="6"/>
  <c r="B1751" i="6"/>
  <c r="B1752" i="6"/>
  <c r="B1753" i="6"/>
  <c r="B1754" i="6"/>
  <c r="B1755" i="6"/>
  <c r="B1756" i="6"/>
  <c r="B1757" i="6"/>
  <c r="B1758" i="6"/>
  <c r="B1759" i="6"/>
  <c r="B1760" i="6"/>
  <c r="B1761" i="6"/>
  <c r="B1762" i="6"/>
  <c r="B1763" i="6"/>
  <c r="B1764" i="6"/>
  <c r="B1765" i="6"/>
  <c r="B1766" i="6"/>
  <c r="B1767" i="6"/>
  <c r="B1768" i="6"/>
  <c r="B1769" i="6"/>
  <c r="B1770" i="6"/>
  <c r="B1771" i="6"/>
  <c r="B1772" i="6"/>
  <c r="B1773" i="6"/>
  <c r="B1774" i="6"/>
  <c r="B1775" i="6"/>
  <c r="B1776" i="6"/>
  <c r="B1777" i="6"/>
  <c r="B1778" i="6"/>
  <c r="B1779" i="6"/>
  <c r="B1780" i="6"/>
  <c r="B1781" i="6"/>
  <c r="B1782" i="6"/>
  <c r="B1783" i="6"/>
  <c r="B1784" i="6"/>
  <c r="B1785" i="6"/>
  <c r="B1786" i="6"/>
  <c r="B1787" i="6"/>
  <c r="B1788" i="6"/>
  <c r="B1789" i="6"/>
  <c r="B1790" i="6"/>
  <c r="B1791" i="6"/>
  <c r="B1792" i="6"/>
  <c r="B1793" i="6"/>
  <c r="B1794" i="6"/>
  <c r="B1795" i="6"/>
  <c r="B1796" i="6"/>
  <c r="B1797" i="6"/>
  <c r="B1798" i="6"/>
  <c r="B1799" i="6"/>
  <c r="B1800" i="6"/>
  <c r="B1801" i="6"/>
  <c r="B1802" i="6"/>
  <c r="B1803" i="6"/>
  <c r="B1804" i="6"/>
  <c r="B1805" i="6"/>
  <c r="B1806" i="6"/>
  <c r="B1807" i="6"/>
  <c r="B1808" i="6"/>
  <c r="B1809" i="6"/>
  <c r="B1810" i="6"/>
  <c r="B1811" i="6"/>
  <c r="B1812" i="6"/>
  <c r="B1813" i="6"/>
  <c r="B1814" i="6"/>
  <c r="B1815" i="6"/>
  <c r="B1816" i="6"/>
  <c r="B1817" i="6"/>
  <c r="B1818" i="6"/>
  <c r="B1819" i="6"/>
  <c r="B1820" i="6"/>
  <c r="B1821" i="6"/>
  <c r="B1822" i="6"/>
  <c r="B1823" i="6"/>
  <c r="B1824" i="6"/>
  <c r="B1825" i="6"/>
  <c r="B1826" i="6"/>
  <c r="B1827" i="6"/>
  <c r="B1828" i="6"/>
  <c r="B1829" i="6"/>
  <c r="B1830" i="6"/>
  <c r="B1831" i="6"/>
  <c r="B1832" i="6"/>
  <c r="B1833" i="6"/>
  <c r="B1834" i="6"/>
  <c r="B1835" i="6"/>
  <c r="B1836" i="6"/>
  <c r="B1837" i="6"/>
  <c r="B1838" i="6"/>
  <c r="B1839" i="6"/>
  <c r="B1840" i="6"/>
  <c r="B1841" i="6"/>
  <c r="B1842" i="6"/>
  <c r="B1843" i="6"/>
  <c r="B1844" i="6"/>
  <c r="B1845" i="6"/>
  <c r="B1846" i="6"/>
  <c r="B1847" i="6"/>
  <c r="B1848" i="6"/>
  <c r="B1849" i="6"/>
  <c r="B1850" i="6"/>
  <c r="B1851" i="6"/>
  <c r="B1852" i="6"/>
  <c r="B1853" i="6"/>
  <c r="B1854" i="6"/>
  <c r="B1855" i="6"/>
  <c r="B1856" i="6"/>
  <c r="B1857" i="6"/>
  <c r="B1858" i="6"/>
  <c r="B1859" i="6"/>
  <c r="B1860" i="6"/>
  <c r="B1861" i="6"/>
  <c r="B1862" i="6"/>
  <c r="B1863" i="6"/>
  <c r="B1864" i="6"/>
  <c r="B1865" i="6"/>
  <c r="B1866" i="6"/>
  <c r="B1867" i="6"/>
  <c r="B1868" i="6"/>
  <c r="B1869" i="6"/>
  <c r="B1870" i="6"/>
  <c r="B1871" i="6"/>
  <c r="B1872" i="6"/>
  <c r="B1873" i="6"/>
  <c r="B1874" i="6"/>
  <c r="B1875" i="6"/>
  <c r="B1876" i="6"/>
  <c r="B1877" i="6"/>
  <c r="B1878" i="6"/>
  <c r="B1879" i="6"/>
  <c r="B1880" i="6"/>
  <c r="B1881" i="6"/>
  <c r="B1882" i="6"/>
  <c r="B1883" i="6"/>
  <c r="B1884" i="6"/>
  <c r="B1885" i="6"/>
  <c r="B1886" i="6"/>
  <c r="B1887" i="6"/>
  <c r="B1888" i="6"/>
  <c r="B1889" i="6"/>
  <c r="B1890" i="6"/>
  <c r="B1891" i="6"/>
  <c r="B1892" i="6"/>
  <c r="B1893" i="6"/>
  <c r="B1894" i="6"/>
  <c r="B1895" i="6"/>
  <c r="B1896" i="6"/>
  <c r="B1897" i="6"/>
  <c r="B1898" i="6"/>
  <c r="B1899" i="6"/>
  <c r="B1900" i="6"/>
  <c r="B1901" i="6"/>
  <c r="B1902" i="6"/>
  <c r="B1903" i="6"/>
  <c r="B1904" i="6"/>
  <c r="B1905" i="6"/>
  <c r="B1906" i="6"/>
  <c r="B1907" i="6"/>
  <c r="B1908" i="6"/>
  <c r="B1909" i="6"/>
  <c r="B1910" i="6"/>
  <c r="B1911" i="6"/>
  <c r="B1912" i="6"/>
  <c r="B1913" i="6"/>
  <c r="B1914" i="6"/>
  <c r="B1915" i="6"/>
  <c r="B1916" i="6"/>
  <c r="B1917" i="6"/>
  <c r="B1918" i="6"/>
  <c r="B1919" i="6"/>
  <c r="B1920" i="6"/>
  <c r="B1921" i="6"/>
  <c r="B1922" i="6"/>
  <c r="B1923" i="6"/>
  <c r="B1924" i="6"/>
  <c r="B1925" i="6"/>
  <c r="B1926" i="6"/>
  <c r="B1927" i="6"/>
  <c r="B1928" i="6"/>
  <c r="B1929" i="6"/>
  <c r="B1930" i="6"/>
  <c r="B1931" i="6"/>
  <c r="B1932" i="6"/>
  <c r="B1933" i="6"/>
  <c r="B1934" i="6"/>
  <c r="B1935" i="6"/>
  <c r="B1936" i="6"/>
  <c r="B1937" i="6"/>
  <c r="B1938" i="6"/>
  <c r="B1939" i="6"/>
  <c r="B1940" i="6"/>
  <c r="B1941" i="6"/>
  <c r="B1942" i="6"/>
  <c r="B1943" i="6"/>
  <c r="B1944" i="6"/>
  <c r="B1945" i="6"/>
  <c r="B1946" i="6"/>
  <c r="B1947" i="6"/>
  <c r="B1948" i="6"/>
  <c r="B1949" i="6"/>
  <c r="B1950" i="6"/>
  <c r="B1951" i="6"/>
  <c r="B1952" i="6"/>
  <c r="B1953" i="6"/>
  <c r="B1954" i="6"/>
  <c r="B1955" i="6"/>
  <c r="B1956" i="6"/>
  <c r="B1957" i="6"/>
  <c r="B1958" i="6"/>
  <c r="B1959" i="6"/>
  <c r="B1960" i="6"/>
  <c r="B1961" i="6"/>
  <c r="B1962" i="6"/>
  <c r="B1963" i="6"/>
  <c r="B1964" i="6"/>
  <c r="B1965" i="6"/>
  <c r="B1966" i="6"/>
  <c r="B1967" i="6"/>
  <c r="B1968" i="6"/>
  <c r="B1969" i="6"/>
  <c r="B1970" i="6"/>
  <c r="B1971" i="6"/>
  <c r="B1972" i="6"/>
  <c r="B1973" i="6"/>
  <c r="B1974" i="6"/>
  <c r="B1975" i="6"/>
  <c r="B1976" i="6"/>
  <c r="B1977" i="6"/>
  <c r="B1978" i="6"/>
  <c r="B1979" i="6"/>
  <c r="B1980" i="6"/>
  <c r="B1981" i="6"/>
  <c r="B1982" i="6"/>
  <c r="B1983" i="6"/>
  <c r="B1984" i="6"/>
  <c r="B1985" i="6"/>
  <c r="B1986" i="6"/>
  <c r="B1987" i="6"/>
  <c r="B1988" i="6"/>
  <c r="B1989" i="6"/>
  <c r="B1990" i="6"/>
  <c r="B1991" i="6"/>
  <c r="B1992" i="6"/>
  <c r="B1993" i="6"/>
  <c r="B1994" i="6"/>
  <c r="B1995" i="6"/>
  <c r="B1996" i="6"/>
  <c r="B1997" i="6"/>
  <c r="B1998" i="6"/>
  <c r="B1999" i="6"/>
  <c r="B2000" i="6"/>
  <c r="B2001" i="6"/>
  <c r="B2002" i="6"/>
  <c r="B2003" i="6"/>
  <c r="B2004" i="6"/>
  <c r="B2005" i="6"/>
  <c r="B2006" i="6"/>
  <c r="B2007" i="6"/>
  <c r="B2008" i="6"/>
  <c r="B2009" i="6"/>
  <c r="B2010" i="6"/>
  <c r="B2011" i="6"/>
  <c r="B2012" i="6"/>
  <c r="B2013" i="6"/>
  <c r="B2014" i="6"/>
  <c r="B2015" i="6"/>
  <c r="B2016" i="6"/>
  <c r="B2017" i="6"/>
  <c r="B2018" i="6"/>
  <c r="B2019" i="6"/>
  <c r="B2020" i="6"/>
  <c r="B2021" i="6"/>
  <c r="B2022" i="6"/>
  <c r="B2023" i="6"/>
  <c r="B2024" i="6"/>
  <c r="B2025" i="6"/>
  <c r="B2026" i="6"/>
  <c r="B2027" i="6"/>
  <c r="B2028" i="6"/>
  <c r="B2029" i="6"/>
  <c r="B2030" i="6"/>
  <c r="B2031" i="6"/>
  <c r="B2032" i="6"/>
  <c r="B2033" i="6"/>
  <c r="B2034" i="6"/>
  <c r="B2035" i="6"/>
  <c r="B2036" i="6"/>
  <c r="B2037" i="6"/>
  <c r="B2038" i="6"/>
  <c r="B2039" i="6"/>
  <c r="B2040" i="6"/>
  <c r="B2041" i="6"/>
  <c r="B2042" i="6"/>
  <c r="B2043" i="6"/>
  <c r="B2044" i="6"/>
  <c r="B2045" i="6"/>
  <c r="B2046" i="6"/>
  <c r="B2047" i="6"/>
  <c r="B2048" i="6"/>
  <c r="B2049" i="6"/>
  <c r="B2050" i="6"/>
  <c r="B2051" i="6"/>
  <c r="B2052" i="6"/>
  <c r="B2053" i="6"/>
  <c r="B2054" i="6"/>
  <c r="B2055" i="6"/>
  <c r="B2056" i="6"/>
  <c r="B2057" i="6"/>
  <c r="B2058" i="6"/>
  <c r="B2059" i="6"/>
  <c r="B2060" i="6"/>
  <c r="B2061" i="6"/>
  <c r="B2062" i="6"/>
  <c r="B2063" i="6"/>
  <c r="B2064" i="6"/>
  <c r="B2065" i="6"/>
  <c r="B2066" i="6"/>
  <c r="B2067" i="6"/>
  <c r="B2068" i="6"/>
  <c r="B2069" i="6"/>
  <c r="B2070" i="6"/>
  <c r="B2071" i="6"/>
  <c r="B2072" i="6"/>
  <c r="B2073" i="6"/>
  <c r="B2074" i="6"/>
  <c r="B2075" i="6"/>
  <c r="B2076" i="6"/>
  <c r="B2077" i="6"/>
  <c r="B2078" i="6"/>
  <c r="B2079" i="6"/>
  <c r="B2080" i="6"/>
  <c r="B2081" i="6"/>
  <c r="B2082" i="6"/>
  <c r="B2083" i="6"/>
  <c r="B2084" i="6"/>
  <c r="B2085" i="6"/>
  <c r="B2086" i="6"/>
  <c r="B2087" i="6"/>
  <c r="B2088" i="6"/>
  <c r="B2089" i="6"/>
  <c r="B2090" i="6"/>
  <c r="B2091" i="6"/>
  <c r="B2092" i="6"/>
  <c r="B2093" i="6"/>
  <c r="B2094" i="6"/>
  <c r="B2095" i="6"/>
  <c r="B2096" i="6"/>
  <c r="B2097" i="6"/>
  <c r="B2098" i="6"/>
  <c r="B2099" i="6"/>
  <c r="B2100" i="6"/>
  <c r="B2101" i="6"/>
  <c r="B2102" i="6"/>
  <c r="B2103" i="6"/>
  <c r="B2104" i="6"/>
  <c r="B2105" i="6"/>
  <c r="B2106" i="6"/>
  <c r="B2107" i="6"/>
  <c r="B2108" i="6"/>
  <c r="B2109" i="6"/>
  <c r="B2110" i="6"/>
  <c r="B2111" i="6"/>
  <c r="B2112" i="6"/>
  <c r="B2113" i="6"/>
  <c r="B2114" i="6"/>
  <c r="B2115" i="6"/>
  <c r="B2116" i="6"/>
  <c r="B2117" i="6"/>
  <c r="B2118" i="6"/>
  <c r="B2119" i="6"/>
  <c r="B2120" i="6"/>
  <c r="B2121" i="6"/>
  <c r="B2122" i="6"/>
  <c r="B2123" i="6"/>
  <c r="B2124" i="6"/>
  <c r="B2125" i="6"/>
  <c r="B2126" i="6"/>
  <c r="B2127" i="6"/>
  <c r="B2128" i="6"/>
  <c r="B2129" i="6"/>
  <c r="B2130" i="6"/>
  <c r="B2131" i="6"/>
  <c r="B2132" i="6"/>
  <c r="B2133" i="6"/>
  <c r="B2134" i="6"/>
  <c r="B2135" i="6"/>
  <c r="B2136" i="6"/>
  <c r="B2137" i="6"/>
  <c r="B2138" i="6"/>
  <c r="B2139" i="6"/>
  <c r="B2140" i="6"/>
  <c r="B2141" i="6"/>
  <c r="B2142" i="6"/>
  <c r="B2143" i="6"/>
  <c r="B2144" i="6"/>
  <c r="B2145" i="6"/>
  <c r="B2146" i="6"/>
  <c r="B2147" i="6"/>
  <c r="B2148" i="6"/>
  <c r="B2149" i="6"/>
  <c r="B2150" i="6"/>
  <c r="B2151" i="6"/>
  <c r="B2152" i="6"/>
  <c r="B2153" i="6"/>
  <c r="B2154" i="6"/>
  <c r="B2155" i="6"/>
  <c r="B2156" i="6"/>
  <c r="B2157" i="6"/>
  <c r="B2158" i="6"/>
  <c r="B2159" i="6"/>
  <c r="B2160" i="6"/>
  <c r="B2161" i="6"/>
  <c r="B2162" i="6"/>
  <c r="B2163" i="6"/>
  <c r="B2164" i="6"/>
  <c r="B2165" i="6"/>
  <c r="B2166" i="6"/>
  <c r="B2167" i="6"/>
  <c r="B2168" i="6"/>
  <c r="B2169" i="6"/>
  <c r="B2170" i="6"/>
  <c r="B2171" i="6"/>
  <c r="B2172" i="6"/>
  <c r="B2173" i="6"/>
  <c r="B2174" i="6"/>
  <c r="B2175" i="6"/>
  <c r="B2176" i="6"/>
  <c r="B2177" i="6"/>
  <c r="B2178" i="6"/>
  <c r="B2179" i="6"/>
  <c r="B2180" i="6"/>
  <c r="B2181" i="6"/>
  <c r="B2182" i="6"/>
  <c r="B2183" i="6"/>
  <c r="B2184" i="6"/>
  <c r="B2185" i="6"/>
  <c r="B2186" i="6"/>
  <c r="B2187" i="6"/>
  <c r="B2188" i="6"/>
  <c r="B2189" i="6"/>
  <c r="B2190" i="6"/>
  <c r="B2191" i="6"/>
  <c r="B2192" i="6"/>
  <c r="B2193" i="6"/>
  <c r="B2194" i="6"/>
  <c r="B2195" i="6"/>
  <c r="B2196" i="6"/>
  <c r="B2197" i="6"/>
  <c r="B2198" i="6"/>
  <c r="B2199" i="6"/>
  <c r="B2200" i="6"/>
  <c r="B2201" i="6"/>
  <c r="B2202" i="6"/>
  <c r="B2203" i="6"/>
  <c r="B2204" i="6"/>
  <c r="B2205" i="6"/>
  <c r="B2206" i="6"/>
  <c r="B2207" i="6"/>
  <c r="B2208" i="6"/>
  <c r="B2209" i="6"/>
  <c r="B2210" i="6"/>
  <c r="B2211" i="6"/>
  <c r="B2212" i="6"/>
  <c r="B2213" i="6"/>
  <c r="B2214" i="6"/>
  <c r="B2215" i="6"/>
  <c r="B2216" i="6"/>
  <c r="B2217" i="6"/>
  <c r="B2218" i="6"/>
  <c r="B2219" i="6"/>
  <c r="B2220" i="6"/>
  <c r="B2221" i="6"/>
  <c r="B2222" i="6"/>
  <c r="B2223" i="6"/>
  <c r="B2224" i="6"/>
  <c r="B2225" i="6"/>
  <c r="B2226" i="6"/>
  <c r="B2227" i="6"/>
  <c r="B2228" i="6"/>
  <c r="B2229" i="6"/>
  <c r="B2230" i="6"/>
  <c r="B2231" i="6"/>
  <c r="B2232" i="6"/>
  <c r="B2233" i="6"/>
  <c r="B2234" i="6"/>
  <c r="B2235" i="6"/>
  <c r="B2236" i="6"/>
  <c r="B2237" i="6"/>
  <c r="B2238" i="6"/>
  <c r="B2239" i="6"/>
  <c r="B2240" i="6"/>
  <c r="B2241" i="6"/>
  <c r="B2242" i="6"/>
  <c r="B2243" i="6"/>
  <c r="B2244" i="6"/>
  <c r="B2245" i="6"/>
  <c r="B2246" i="6"/>
  <c r="B2247" i="6"/>
  <c r="B2248" i="6"/>
  <c r="B2249" i="6"/>
  <c r="B2250" i="6"/>
  <c r="B2251" i="6"/>
  <c r="B2252" i="6"/>
  <c r="B2253" i="6"/>
  <c r="B2254" i="6"/>
  <c r="B2255" i="6"/>
  <c r="B2256" i="6"/>
  <c r="B2257" i="6"/>
  <c r="B2258" i="6"/>
  <c r="B2259" i="6"/>
  <c r="B2260" i="6"/>
  <c r="B2261" i="6"/>
  <c r="B2262" i="6"/>
  <c r="B2263" i="6"/>
  <c r="B2264" i="6"/>
  <c r="B2265" i="6"/>
  <c r="B2266" i="6"/>
  <c r="B2267" i="6"/>
  <c r="B2268" i="6"/>
  <c r="B2269" i="6"/>
  <c r="B2270" i="6"/>
  <c r="B2271" i="6"/>
  <c r="B2272" i="6"/>
  <c r="B2273" i="6"/>
  <c r="B2274" i="6"/>
  <c r="B2275" i="6"/>
  <c r="B2276" i="6"/>
  <c r="B2277" i="6"/>
  <c r="B2278" i="6"/>
  <c r="B2279" i="6"/>
  <c r="B2280" i="6"/>
  <c r="B2281" i="6"/>
  <c r="B2282" i="6"/>
  <c r="B2283" i="6"/>
  <c r="B2284" i="6"/>
  <c r="B2285" i="6"/>
  <c r="B2286" i="6"/>
  <c r="B2287" i="6"/>
  <c r="B2288" i="6"/>
  <c r="B2289" i="6"/>
  <c r="B2290" i="6"/>
  <c r="B2291" i="6"/>
  <c r="B2292" i="6"/>
  <c r="B2293" i="6"/>
  <c r="B2294" i="6"/>
  <c r="B2295" i="6"/>
  <c r="B2296" i="6"/>
  <c r="B2297" i="6"/>
  <c r="B2298" i="6"/>
  <c r="B2299" i="6"/>
  <c r="B2300" i="6"/>
  <c r="B2301" i="6"/>
  <c r="B2302" i="6"/>
  <c r="B2303" i="6"/>
  <c r="B2304" i="6"/>
  <c r="B2305" i="6"/>
  <c r="B2306" i="6"/>
  <c r="B2307" i="6"/>
  <c r="B2308" i="6"/>
  <c r="B2309" i="6"/>
  <c r="B2310" i="6"/>
  <c r="B2311" i="6"/>
  <c r="B2312" i="6"/>
  <c r="B2313" i="6"/>
  <c r="B2314" i="6"/>
  <c r="B2315" i="6"/>
  <c r="B2316" i="6"/>
  <c r="B2317" i="6"/>
  <c r="B2318" i="6"/>
  <c r="B2319" i="6"/>
  <c r="B2320" i="6"/>
  <c r="B2321" i="6"/>
  <c r="B2322" i="6"/>
  <c r="B2323" i="6"/>
  <c r="B2324" i="6"/>
  <c r="B2325" i="6"/>
  <c r="B2326" i="6"/>
  <c r="B2327" i="6"/>
  <c r="B2328" i="6"/>
  <c r="B2329" i="6"/>
  <c r="B2330" i="6"/>
  <c r="B2331" i="6"/>
  <c r="B2332" i="6"/>
  <c r="B2333" i="6"/>
  <c r="B2334" i="6"/>
  <c r="B2335" i="6"/>
  <c r="B2336" i="6"/>
  <c r="B2337" i="6"/>
  <c r="B2338" i="6"/>
  <c r="B2339" i="6"/>
  <c r="B2340" i="6"/>
  <c r="B2341" i="6"/>
  <c r="B2342" i="6"/>
  <c r="B2343" i="6"/>
  <c r="B2344" i="6"/>
  <c r="B2345" i="6"/>
  <c r="B2346" i="6"/>
  <c r="B2347" i="6"/>
  <c r="B2348" i="6"/>
  <c r="B2349" i="6"/>
  <c r="B2350" i="6"/>
  <c r="B2351" i="6"/>
  <c r="B2352" i="6"/>
  <c r="B2353" i="6"/>
  <c r="B2354" i="6"/>
  <c r="B2355" i="6"/>
  <c r="B2356" i="6"/>
  <c r="B2357" i="6"/>
  <c r="B2358" i="6"/>
  <c r="B2359" i="6"/>
  <c r="B2360" i="6"/>
  <c r="B2361" i="6"/>
  <c r="B2362" i="6"/>
  <c r="B2363" i="6"/>
  <c r="B2364" i="6"/>
  <c r="B2365" i="6"/>
  <c r="B2366" i="6"/>
  <c r="B2367" i="6"/>
  <c r="B2368" i="6"/>
  <c r="B2369" i="6"/>
  <c r="B2370" i="6"/>
  <c r="B2371" i="6"/>
  <c r="B2372" i="6"/>
  <c r="B2373" i="6"/>
  <c r="B2374" i="6"/>
  <c r="B2375" i="6"/>
  <c r="B2376" i="6"/>
  <c r="B2377" i="6"/>
  <c r="B2378" i="6"/>
  <c r="B2379" i="6"/>
  <c r="B2380" i="6"/>
  <c r="B2381" i="6"/>
  <c r="B2382" i="6"/>
  <c r="B2383" i="6"/>
  <c r="B2384" i="6"/>
  <c r="B2385" i="6"/>
  <c r="B2386" i="6"/>
  <c r="B2387" i="6"/>
  <c r="B2388" i="6"/>
  <c r="B2389" i="6"/>
  <c r="B2390" i="6"/>
  <c r="B2391" i="6"/>
  <c r="B2392" i="6"/>
  <c r="B2393" i="6"/>
  <c r="B2394" i="6"/>
  <c r="B2395" i="6"/>
  <c r="B2396" i="6"/>
  <c r="B2397" i="6"/>
  <c r="B2398" i="6"/>
  <c r="B2399" i="6"/>
  <c r="B2400" i="6"/>
  <c r="B2401" i="6"/>
  <c r="B2402" i="6"/>
  <c r="B2403" i="6"/>
  <c r="B2404" i="6"/>
  <c r="B2405" i="6"/>
  <c r="B2406" i="6"/>
  <c r="B2407" i="6"/>
  <c r="B2408" i="6"/>
  <c r="B2409" i="6"/>
  <c r="B2410" i="6"/>
  <c r="B2411" i="6"/>
  <c r="B2412" i="6"/>
  <c r="B2413" i="6"/>
  <c r="B2414" i="6"/>
  <c r="B2415" i="6"/>
  <c r="B2416" i="6"/>
  <c r="B2417" i="6"/>
  <c r="B2418" i="6"/>
  <c r="B2419" i="6"/>
  <c r="B2420" i="6"/>
  <c r="B2421" i="6"/>
  <c r="B2422" i="6"/>
  <c r="B2423" i="6"/>
  <c r="B2424" i="6"/>
  <c r="B2425" i="6"/>
  <c r="B2426" i="6"/>
  <c r="B2427" i="6"/>
  <c r="B2428" i="6"/>
  <c r="B2429" i="6"/>
  <c r="B2430" i="6"/>
  <c r="B2431" i="6"/>
  <c r="B2432" i="6"/>
  <c r="B2433" i="6"/>
  <c r="B2434" i="6"/>
  <c r="B2435" i="6"/>
  <c r="B2436" i="6"/>
  <c r="B2437" i="6"/>
  <c r="B2438" i="6"/>
  <c r="B2439" i="6"/>
  <c r="B2440" i="6"/>
  <c r="B2441" i="6"/>
  <c r="B2442" i="6"/>
  <c r="B2443" i="6"/>
  <c r="B2444" i="6"/>
  <c r="B2445" i="6"/>
  <c r="B2446" i="6"/>
  <c r="B2447" i="6"/>
  <c r="B2448" i="6"/>
  <c r="B2449" i="6"/>
  <c r="B2450" i="6"/>
  <c r="B2451" i="6"/>
  <c r="B2452" i="6"/>
  <c r="B2453" i="6"/>
  <c r="B2454" i="6"/>
  <c r="B2455" i="6"/>
  <c r="B2456" i="6"/>
  <c r="B2457" i="6"/>
  <c r="B2458" i="6"/>
  <c r="B2459" i="6"/>
  <c r="B2460" i="6"/>
  <c r="B2461" i="6"/>
  <c r="B2462" i="6"/>
  <c r="B2463" i="6"/>
  <c r="B2464" i="6"/>
  <c r="B2465" i="6"/>
  <c r="B2466" i="6"/>
  <c r="B2467" i="6"/>
  <c r="B2468" i="6"/>
  <c r="B2469" i="6"/>
  <c r="B2470" i="6"/>
  <c r="B2471" i="6"/>
  <c r="B2472" i="6"/>
  <c r="B2473" i="6"/>
  <c r="B2474" i="6"/>
  <c r="B2475" i="6"/>
  <c r="B2476" i="6"/>
  <c r="B2477" i="6"/>
  <c r="B2478" i="6"/>
  <c r="B2479" i="6"/>
  <c r="B2480" i="6"/>
  <c r="B2481" i="6"/>
  <c r="B2482" i="6"/>
  <c r="B2483" i="6"/>
  <c r="B2484" i="6"/>
  <c r="B2485" i="6"/>
  <c r="B2486" i="6"/>
  <c r="B2487" i="6"/>
  <c r="B2488" i="6"/>
  <c r="B2489" i="6"/>
  <c r="B2490" i="6"/>
  <c r="B2491" i="6"/>
  <c r="B2492" i="6"/>
  <c r="B2493" i="6"/>
  <c r="B2494" i="6"/>
  <c r="B2495" i="6"/>
  <c r="B2496" i="6"/>
  <c r="B2497" i="6"/>
  <c r="B2498" i="6"/>
  <c r="B2499" i="6"/>
  <c r="B2500" i="6"/>
  <c r="B2501" i="6"/>
  <c r="B2502" i="6"/>
  <c r="B2503" i="6"/>
  <c r="B2504" i="6"/>
  <c r="B2505" i="6"/>
  <c r="B2506" i="6"/>
  <c r="B2507" i="6"/>
  <c r="B2508" i="6"/>
  <c r="B2509" i="6"/>
  <c r="B2510" i="6"/>
  <c r="B2511" i="6"/>
  <c r="B2512" i="6"/>
  <c r="B2513" i="6"/>
  <c r="B2514" i="6"/>
  <c r="B2515" i="6"/>
  <c r="B2516" i="6"/>
  <c r="B2517" i="6"/>
  <c r="B2518" i="6"/>
  <c r="B2519" i="6"/>
  <c r="B2520" i="6"/>
  <c r="B2521" i="6"/>
  <c r="B2522" i="6"/>
  <c r="B2523" i="6"/>
  <c r="B2524" i="6"/>
  <c r="B2525" i="6"/>
  <c r="B2526" i="6"/>
  <c r="B2527" i="6"/>
  <c r="B2528" i="6"/>
  <c r="B2529" i="6"/>
  <c r="B2530" i="6"/>
  <c r="B2531" i="6"/>
  <c r="B2532" i="6"/>
  <c r="B2533" i="6"/>
  <c r="B2534" i="6"/>
  <c r="B2535" i="6"/>
  <c r="B2536" i="6"/>
  <c r="B2537" i="6"/>
  <c r="B2538" i="6"/>
  <c r="B2539" i="6"/>
  <c r="B2540" i="6"/>
  <c r="B2541" i="6"/>
  <c r="B2542" i="6"/>
  <c r="B2543" i="6"/>
  <c r="B2544" i="6"/>
  <c r="B2545" i="6"/>
  <c r="B2546" i="6"/>
  <c r="B2547" i="6"/>
  <c r="B2548" i="6"/>
  <c r="B2549" i="6"/>
  <c r="B2550" i="6"/>
  <c r="B2551" i="6"/>
  <c r="B2552" i="6"/>
  <c r="B2553" i="6"/>
  <c r="B2554" i="6"/>
  <c r="B2555" i="6"/>
  <c r="B2556" i="6"/>
  <c r="B2557" i="6"/>
  <c r="B2558" i="6"/>
  <c r="B2559" i="6"/>
  <c r="B2560" i="6"/>
  <c r="B2561" i="6"/>
  <c r="B2562" i="6"/>
  <c r="B2563" i="6"/>
  <c r="B2564" i="6"/>
  <c r="B2565" i="6"/>
  <c r="B2566" i="6"/>
  <c r="B2567" i="6"/>
  <c r="B2568" i="6"/>
  <c r="B2569" i="6"/>
  <c r="B2570" i="6"/>
  <c r="B2571" i="6"/>
  <c r="B2572" i="6"/>
  <c r="B2573" i="6"/>
  <c r="B2574" i="6"/>
  <c r="B2575" i="6"/>
  <c r="B2576" i="6"/>
  <c r="B2577" i="6"/>
  <c r="B2578" i="6"/>
  <c r="B2579" i="6"/>
  <c r="B2580" i="6"/>
  <c r="B2581" i="6"/>
  <c r="B2582" i="6"/>
  <c r="B2583" i="6"/>
  <c r="B2584" i="6"/>
  <c r="B2585" i="6"/>
  <c r="B2586" i="6"/>
  <c r="B2587" i="6"/>
  <c r="B2588" i="6"/>
  <c r="B2589" i="6"/>
  <c r="B2590" i="6"/>
  <c r="B2591" i="6"/>
  <c r="B2592" i="6"/>
  <c r="B2593" i="6"/>
  <c r="B2594" i="6"/>
  <c r="B2595" i="6"/>
  <c r="B2596" i="6"/>
  <c r="B2597" i="6"/>
  <c r="B2598" i="6"/>
  <c r="B2599" i="6"/>
  <c r="B2600" i="6"/>
  <c r="B2601" i="6"/>
  <c r="B2602" i="6"/>
  <c r="B2603" i="6"/>
  <c r="B2604" i="6"/>
  <c r="B2605" i="6"/>
  <c r="B2606" i="6"/>
  <c r="B2607" i="6"/>
  <c r="B2608" i="6"/>
  <c r="B2609" i="6"/>
  <c r="B2610" i="6"/>
  <c r="B2611" i="6"/>
  <c r="B2612" i="6"/>
  <c r="B2613" i="6"/>
  <c r="B2614" i="6"/>
  <c r="B2615" i="6"/>
  <c r="B2616" i="6"/>
  <c r="B2617" i="6"/>
  <c r="B2618" i="6"/>
  <c r="B2619" i="6"/>
  <c r="B2620" i="6"/>
  <c r="B2621" i="6"/>
  <c r="B2622" i="6"/>
  <c r="B2623" i="6"/>
  <c r="B2624" i="6"/>
  <c r="B2625" i="6"/>
  <c r="B2626" i="6"/>
  <c r="B2627" i="6"/>
  <c r="B2628" i="6"/>
  <c r="B2629" i="6"/>
  <c r="B2630" i="6"/>
  <c r="B2631" i="6"/>
  <c r="B2632" i="6"/>
  <c r="B2633" i="6"/>
  <c r="B2634" i="6"/>
  <c r="B2635" i="6"/>
  <c r="B2636" i="6"/>
  <c r="B2637" i="6"/>
  <c r="B2638" i="6"/>
  <c r="B2639" i="6"/>
  <c r="B2640" i="6"/>
  <c r="B2641" i="6"/>
  <c r="B2642" i="6"/>
  <c r="B2643" i="6"/>
  <c r="B2644" i="6"/>
  <c r="B2645" i="6"/>
  <c r="B2646" i="6"/>
  <c r="B2647" i="6"/>
  <c r="B2648" i="6"/>
  <c r="B2649" i="6"/>
  <c r="B2650" i="6"/>
  <c r="B2651" i="6"/>
  <c r="B2652" i="6"/>
  <c r="B2653" i="6"/>
  <c r="B2654" i="6"/>
  <c r="B2655" i="6"/>
  <c r="B2656" i="6"/>
  <c r="B2657" i="6"/>
  <c r="B2658" i="6"/>
  <c r="B2659" i="6"/>
  <c r="B2660" i="6"/>
  <c r="B2661" i="6"/>
  <c r="B2662" i="6"/>
  <c r="B2663" i="6"/>
  <c r="B2664" i="6"/>
  <c r="B2665" i="6"/>
  <c r="B2666" i="6"/>
  <c r="B2667" i="6"/>
  <c r="B2668" i="6"/>
  <c r="B2669" i="6"/>
  <c r="B2670" i="6"/>
  <c r="B2671" i="6"/>
  <c r="B2672" i="6"/>
  <c r="B2673" i="6"/>
  <c r="B2674" i="6"/>
  <c r="B2675" i="6"/>
  <c r="B2676" i="6"/>
  <c r="B2677" i="6"/>
  <c r="B2678" i="6"/>
  <c r="B2679" i="6"/>
  <c r="B2680" i="6"/>
  <c r="B2681" i="6"/>
  <c r="B2682" i="6"/>
  <c r="B2683" i="6"/>
  <c r="B2684" i="6"/>
  <c r="B2685" i="6"/>
  <c r="B2686" i="6"/>
  <c r="B2687" i="6"/>
  <c r="B2688" i="6"/>
  <c r="B2689" i="6"/>
  <c r="B2690" i="6"/>
  <c r="B2691" i="6"/>
  <c r="B2692" i="6"/>
  <c r="B2693" i="6"/>
  <c r="B2694" i="6"/>
  <c r="B2695" i="6"/>
  <c r="B2696" i="6"/>
  <c r="B2697" i="6"/>
  <c r="B2698" i="6"/>
  <c r="B2699" i="6"/>
  <c r="B2700" i="6"/>
  <c r="B2701" i="6"/>
  <c r="B2702" i="6"/>
  <c r="B2703" i="6"/>
  <c r="B2704" i="6"/>
  <c r="B2705" i="6"/>
  <c r="B2706" i="6"/>
  <c r="B2707" i="6"/>
  <c r="B2708" i="6"/>
  <c r="B2709" i="6"/>
  <c r="B2710" i="6"/>
  <c r="B2711" i="6"/>
  <c r="B2712" i="6"/>
  <c r="B2713" i="6"/>
  <c r="B2714" i="6"/>
  <c r="B2715" i="6"/>
  <c r="B2716" i="6"/>
  <c r="B2717" i="6"/>
  <c r="B2718" i="6"/>
  <c r="B2719" i="6"/>
  <c r="B2720" i="6"/>
  <c r="B2721" i="6"/>
  <c r="B2722" i="6"/>
  <c r="B2723" i="6"/>
  <c r="B2724" i="6"/>
  <c r="B2725" i="6"/>
  <c r="B2726" i="6"/>
  <c r="B2727" i="6"/>
  <c r="B2728" i="6"/>
  <c r="B2729" i="6"/>
  <c r="B2730" i="6"/>
  <c r="B2731" i="6"/>
  <c r="B2732" i="6"/>
  <c r="B2733" i="6"/>
  <c r="B2734" i="6"/>
  <c r="B2735" i="6"/>
  <c r="B2736" i="6"/>
  <c r="B2737" i="6"/>
  <c r="B2738" i="6"/>
  <c r="B2739" i="6"/>
  <c r="B2740" i="6"/>
  <c r="B2741" i="6"/>
  <c r="B2742" i="6"/>
  <c r="B2743" i="6"/>
  <c r="B2744" i="6"/>
  <c r="B2745" i="6"/>
  <c r="B2746" i="6"/>
  <c r="B2747" i="6"/>
  <c r="B2748" i="6"/>
  <c r="B2749" i="6"/>
  <c r="B2750" i="6"/>
  <c r="B2751" i="6"/>
  <c r="B2752" i="6"/>
  <c r="B2753" i="6"/>
  <c r="B2754" i="6"/>
  <c r="B2755" i="6"/>
  <c r="B2756" i="6"/>
  <c r="B2757" i="6"/>
  <c r="B2758" i="6"/>
  <c r="B2759" i="6"/>
  <c r="B2760" i="6"/>
  <c r="B2761" i="6"/>
  <c r="B2762" i="6"/>
  <c r="B2763" i="6"/>
  <c r="B2764" i="6"/>
  <c r="B2765" i="6"/>
  <c r="B2766" i="6"/>
  <c r="B2767" i="6"/>
  <c r="B2768" i="6"/>
  <c r="B2769" i="6"/>
  <c r="B2770" i="6"/>
  <c r="B2771" i="6"/>
  <c r="B2772" i="6"/>
  <c r="B2773" i="6"/>
  <c r="B2774" i="6"/>
  <c r="B2775" i="6"/>
  <c r="B2776" i="6"/>
  <c r="B2777" i="6"/>
  <c r="B2778" i="6"/>
  <c r="B2779" i="6"/>
  <c r="B2780" i="6"/>
  <c r="B2781" i="6"/>
  <c r="B2782" i="6"/>
  <c r="B2783" i="6"/>
  <c r="B2784" i="6"/>
  <c r="B2785" i="6"/>
  <c r="B2786" i="6"/>
  <c r="B2787" i="6"/>
  <c r="B2788" i="6"/>
  <c r="B2789" i="6"/>
  <c r="B2790" i="6"/>
  <c r="B2791" i="6"/>
  <c r="B2792" i="6"/>
  <c r="B2793" i="6"/>
  <c r="B2794" i="6"/>
  <c r="B2795" i="6"/>
  <c r="B2796" i="6"/>
  <c r="B2797" i="6"/>
  <c r="B2798" i="6"/>
  <c r="B2799" i="6"/>
  <c r="B2800" i="6"/>
  <c r="B2801" i="6"/>
  <c r="B2802" i="6"/>
  <c r="B2803" i="6"/>
  <c r="B2804" i="6"/>
  <c r="B2805" i="6"/>
  <c r="B2806" i="6"/>
  <c r="B2807" i="6"/>
  <c r="B2808" i="6"/>
  <c r="B2809" i="6"/>
  <c r="B2810" i="6"/>
  <c r="B2811" i="6"/>
  <c r="B2812" i="6"/>
  <c r="B2813" i="6"/>
  <c r="B2814" i="6"/>
  <c r="B2815" i="6"/>
  <c r="B2816" i="6"/>
  <c r="B2817" i="6"/>
  <c r="B2818" i="6"/>
  <c r="B2819" i="6"/>
  <c r="B2820" i="6"/>
  <c r="B2821" i="6"/>
  <c r="B2822" i="6"/>
  <c r="B2823" i="6"/>
  <c r="B2824" i="6"/>
  <c r="B2825" i="6"/>
  <c r="B2826" i="6"/>
  <c r="B2827" i="6"/>
  <c r="B2828" i="6"/>
  <c r="B2829" i="6"/>
  <c r="B2830" i="6"/>
  <c r="B2831" i="6"/>
  <c r="B2832" i="6"/>
  <c r="B2833" i="6"/>
  <c r="B2834" i="6"/>
  <c r="B2835" i="6"/>
  <c r="B2836" i="6"/>
  <c r="B2837" i="6"/>
  <c r="B2838" i="6"/>
  <c r="B2839" i="6"/>
  <c r="B2840" i="6"/>
  <c r="B2841" i="6"/>
  <c r="B2842" i="6"/>
  <c r="B2843" i="6"/>
  <c r="B2844" i="6"/>
  <c r="B2845" i="6"/>
  <c r="B2846" i="6"/>
  <c r="B2847" i="6"/>
  <c r="B2848" i="6"/>
  <c r="B2849" i="6"/>
  <c r="B2850" i="6"/>
  <c r="B2851" i="6"/>
  <c r="B2852" i="6"/>
  <c r="B2853" i="6"/>
  <c r="B2854" i="6"/>
  <c r="B2855" i="6"/>
  <c r="B2856" i="6"/>
  <c r="B2857" i="6"/>
  <c r="B2858" i="6"/>
  <c r="B2859" i="6"/>
  <c r="B2860" i="6"/>
  <c r="B2861" i="6"/>
  <c r="B2862" i="6"/>
  <c r="B2863" i="6"/>
  <c r="B2864" i="6"/>
  <c r="B2865" i="6"/>
  <c r="B2866" i="6"/>
  <c r="B2867" i="6"/>
  <c r="B2868" i="6"/>
  <c r="B2869" i="6"/>
  <c r="B2870" i="6"/>
  <c r="B2871" i="6"/>
  <c r="B2872" i="6"/>
  <c r="B2873" i="6"/>
  <c r="B2874" i="6"/>
  <c r="B2875" i="6"/>
  <c r="B2876" i="6"/>
  <c r="B2877" i="6"/>
  <c r="B2878" i="6"/>
  <c r="B2879" i="6"/>
  <c r="B2880" i="6"/>
  <c r="B2881" i="6"/>
  <c r="B2882" i="6"/>
  <c r="B2883" i="6"/>
  <c r="B2884" i="6"/>
  <c r="B2885" i="6"/>
  <c r="B2886" i="6"/>
  <c r="B2887" i="6"/>
  <c r="B2888" i="6"/>
  <c r="B2889" i="6"/>
  <c r="B2890" i="6"/>
  <c r="B2891" i="6"/>
  <c r="B2892" i="6"/>
  <c r="B2893" i="6"/>
  <c r="B2894" i="6"/>
  <c r="B2895" i="6"/>
  <c r="B2896" i="6"/>
  <c r="B2897" i="6"/>
  <c r="B2898" i="6"/>
  <c r="B2899" i="6"/>
  <c r="B2900" i="6"/>
  <c r="B2901" i="6"/>
  <c r="B2902" i="6"/>
  <c r="B2903" i="6"/>
  <c r="B2904" i="6"/>
  <c r="B2905" i="6"/>
  <c r="B2906" i="6"/>
  <c r="B2907" i="6"/>
  <c r="B2908" i="6"/>
  <c r="B2909" i="6"/>
  <c r="B2910" i="6"/>
  <c r="B2911" i="6"/>
  <c r="B2912" i="6"/>
  <c r="B2913" i="6"/>
  <c r="B2914" i="6"/>
  <c r="B2915" i="6"/>
  <c r="B2916" i="6"/>
  <c r="B2917" i="6"/>
  <c r="B2918" i="6"/>
  <c r="B2919" i="6"/>
  <c r="B2920" i="6"/>
  <c r="B2921" i="6"/>
  <c r="B2922" i="6"/>
  <c r="B2923" i="6"/>
  <c r="B2924" i="6"/>
  <c r="B2925" i="6"/>
  <c r="B2926" i="6"/>
  <c r="B2927" i="6"/>
  <c r="B2928" i="6"/>
  <c r="B2929" i="6"/>
  <c r="B2930" i="6"/>
  <c r="B2931" i="6"/>
  <c r="B2932" i="6"/>
  <c r="B2933" i="6"/>
  <c r="B2934" i="6"/>
  <c r="B2935" i="6"/>
  <c r="B2936" i="6"/>
  <c r="B2937" i="6"/>
  <c r="B2938" i="6"/>
  <c r="B2939" i="6"/>
  <c r="B2940" i="6"/>
  <c r="B2941" i="6"/>
  <c r="B2942" i="6"/>
  <c r="B2943" i="6"/>
  <c r="B2944" i="6"/>
  <c r="B2945" i="6"/>
  <c r="B2946" i="6"/>
  <c r="B2947" i="6"/>
  <c r="B2948" i="6"/>
  <c r="B2949" i="6"/>
  <c r="B2950" i="6"/>
  <c r="B2951" i="6"/>
  <c r="B2952" i="6"/>
  <c r="B2953" i="6"/>
  <c r="B2954" i="6"/>
  <c r="B2955" i="6"/>
  <c r="B2956" i="6"/>
  <c r="B2957" i="6"/>
  <c r="B2958" i="6"/>
  <c r="B2959" i="6"/>
  <c r="B2960" i="6"/>
  <c r="B2961" i="6"/>
  <c r="B2962" i="6"/>
  <c r="B2963" i="6"/>
  <c r="B2964" i="6"/>
  <c r="B2965" i="6"/>
  <c r="B2966" i="6"/>
  <c r="B2967" i="6"/>
  <c r="B2968" i="6"/>
  <c r="B2969" i="6"/>
  <c r="B2970" i="6"/>
  <c r="B2971" i="6"/>
  <c r="B2972" i="6"/>
  <c r="B2973" i="6"/>
  <c r="B2974" i="6"/>
  <c r="B2975" i="6"/>
  <c r="B2976" i="6"/>
  <c r="B2977" i="6"/>
  <c r="B2978" i="6"/>
  <c r="B2979" i="6"/>
  <c r="B2980" i="6"/>
  <c r="B2981" i="6"/>
  <c r="B2982" i="6"/>
  <c r="B2983" i="6"/>
  <c r="B2984" i="6"/>
  <c r="B2985" i="6"/>
  <c r="B2986" i="6"/>
  <c r="B2987" i="6"/>
  <c r="B2988" i="6"/>
  <c r="B2989" i="6"/>
  <c r="B2990" i="6"/>
  <c r="B2991" i="6"/>
  <c r="B2992" i="6"/>
  <c r="B2993" i="6"/>
  <c r="B2994" i="6"/>
  <c r="B2995" i="6"/>
  <c r="B2996" i="6"/>
  <c r="B2997" i="6"/>
  <c r="B2998" i="6"/>
  <c r="B2999" i="6"/>
  <c r="B3000" i="6"/>
  <c r="B3001" i="6"/>
  <c r="B3002" i="6"/>
  <c r="B3003" i="6"/>
  <c r="B3004" i="6"/>
  <c r="B3005" i="6"/>
  <c r="B3006" i="6"/>
  <c r="B3007" i="6"/>
  <c r="B3008" i="6"/>
  <c r="B3009" i="6"/>
  <c r="B3010" i="6"/>
  <c r="B3011" i="6"/>
  <c r="B3012" i="6"/>
  <c r="B3013" i="6"/>
  <c r="B3014" i="6"/>
  <c r="B3015" i="6"/>
  <c r="B3016" i="6"/>
  <c r="B3017" i="6"/>
  <c r="B3018" i="6"/>
  <c r="B3019" i="6"/>
  <c r="B3020" i="6"/>
  <c r="B3021" i="6"/>
  <c r="B3022" i="6"/>
  <c r="B3023" i="6"/>
  <c r="B3024" i="6"/>
  <c r="B3025" i="6"/>
  <c r="B3026" i="6"/>
  <c r="B3027" i="6"/>
  <c r="B3028" i="6"/>
  <c r="B3029" i="6"/>
  <c r="B3030" i="6"/>
  <c r="B3031" i="6"/>
  <c r="B3032" i="6"/>
  <c r="B3033" i="6"/>
  <c r="B3034" i="6"/>
  <c r="B3035" i="6"/>
  <c r="B3036" i="6"/>
  <c r="B3037" i="6"/>
  <c r="B3038" i="6"/>
  <c r="B3039" i="6"/>
  <c r="B3040" i="6"/>
  <c r="B3041" i="6"/>
  <c r="B3042" i="6"/>
  <c r="B3043" i="6"/>
  <c r="B3044" i="6"/>
  <c r="B3045" i="6"/>
  <c r="B3046" i="6"/>
  <c r="B3047" i="6"/>
  <c r="B3048" i="6"/>
  <c r="B3049" i="6"/>
  <c r="B3050" i="6"/>
  <c r="B3051" i="6"/>
  <c r="B3052" i="6"/>
  <c r="B3053" i="6"/>
  <c r="B3054" i="6"/>
  <c r="B3055" i="6"/>
  <c r="B3056" i="6"/>
  <c r="B3057" i="6"/>
  <c r="B3058" i="6"/>
  <c r="B3059" i="6"/>
  <c r="B3060" i="6"/>
  <c r="B3061" i="6"/>
  <c r="B3062" i="6"/>
  <c r="B3063" i="6"/>
  <c r="B3064" i="6"/>
  <c r="B3065" i="6"/>
  <c r="B3066" i="6"/>
  <c r="B3067" i="6"/>
  <c r="B3068" i="6"/>
  <c r="B3069" i="6"/>
  <c r="B3070" i="6"/>
  <c r="B3071" i="6"/>
  <c r="B3072" i="6"/>
  <c r="B3073" i="6"/>
  <c r="B3074" i="6"/>
  <c r="B3075" i="6"/>
  <c r="B3076" i="6"/>
  <c r="B3077" i="6"/>
  <c r="B3078" i="6"/>
  <c r="B3079" i="6"/>
  <c r="B3080" i="6"/>
  <c r="B3081" i="6"/>
  <c r="B3082" i="6"/>
  <c r="B3083" i="6"/>
  <c r="B3084" i="6"/>
  <c r="B3085" i="6"/>
  <c r="B3086" i="6"/>
  <c r="B3087" i="6"/>
  <c r="B3088" i="6"/>
  <c r="B3089" i="6"/>
  <c r="B3090" i="6"/>
  <c r="B3091" i="6"/>
  <c r="B3092" i="6"/>
  <c r="B3093" i="6"/>
  <c r="B3094" i="6"/>
  <c r="B3095" i="6"/>
  <c r="B3096" i="6"/>
  <c r="B3097" i="6"/>
  <c r="B3098" i="6"/>
  <c r="B3099" i="6"/>
  <c r="B3100" i="6"/>
  <c r="B3101" i="6"/>
  <c r="B3102" i="6"/>
  <c r="B3103" i="6"/>
  <c r="B3104" i="6"/>
  <c r="B3105" i="6"/>
  <c r="B3106" i="6"/>
  <c r="B3107" i="6"/>
  <c r="B3108" i="6"/>
  <c r="B3109" i="6"/>
  <c r="B3110" i="6"/>
  <c r="B3111" i="6"/>
  <c r="B3112" i="6"/>
  <c r="B3113" i="6"/>
  <c r="B3114" i="6"/>
  <c r="B3115" i="6"/>
  <c r="B3116" i="6"/>
  <c r="B3117" i="6"/>
  <c r="B3118" i="6"/>
  <c r="B3119" i="6"/>
  <c r="B3120" i="6"/>
  <c r="B3121" i="6"/>
  <c r="B3122" i="6"/>
  <c r="B3123" i="6"/>
  <c r="B3124" i="6"/>
  <c r="B3125" i="6"/>
  <c r="B3126" i="6"/>
  <c r="B3127" i="6"/>
  <c r="B3128" i="6"/>
  <c r="B3129" i="6"/>
  <c r="B3130" i="6"/>
  <c r="B3131" i="6"/>
  <c r="B3132" i="6"/>
  <c r="B3133" i="6"/>
  <c r="B3134" i="6"/>
  <c r="B3135" i="6"/>
  <c r="B3136" i="6"/>
  <c r="B3137" i="6"/>
  <c r="B3138" i="6"/>
  <c r="B3139" i="6"/>
  <c r="B3140" i="6"/>
  <c r="B3141" i="6"/>
  <c r="B3142" i="6"/>
  <c r="B3143" i="6"/>
  <c r="B3144" i="6"/>
  <c r="B3145" i="6"/>
  <c r="B3146" i="6"/>
  <c r="B3147" i="6"/>
  <c r="B3148" i="6"/>
  <c r="B3149" i="6"/>
  <c r="B3150" i="6"/>
  <c r="B3151" i="6"/>
  <c r="B3152" i="6"/>
  <c r="B3153" i="6"/>
  <c r="B3154" i="6"/>
  <c r="B3155" i="6"/>
  <c r="B3156" i="6"/>
  <c r="B3157" i="6"/>
  <c r="B3158" i="6"/>
  <c r="B3159" i="6"/>
  <c r="B3160" i="6"/>
  <c r="B3161" i="6"/>
  <c r="B3162" i="6"/>
  <c r="B3163" i="6"/>
  <c r="B3164" i="6"/>
  <c r="B3165" i="6"/>
  <c r="B3166" i="6"/>
  <c r="B3167" i="6"/>
  <c r="B3168" i="6"/>
  <c r="B3169" i="6"/>
  <c r="B3170" i="6"/>
  <c r="B3171" i="6"/>
  <c r="B3172" i="6"/>
  <c r="B3173" i="6"/>
  <c r="B3174" i="6"/>
  <c r="B3175" i="6"/>
  <c r="B3176" i="6"/>
  <c r="B3177" i="6"/>
  <c r="B3178" i="6"/>
  <c r="B3179" i="6"/>
  <c r="B3180" i="6"/>
  <c r="B3181" i="6"/>
  <c r="B3182" i="6"/>
  <c r="B3183" i="6"/>
  <c r="B3184" i="6"/>
  <c r="B3185" i="6"/>
  <c r="B3186" i="6"/>
  <c r="B3187" i="6"/>
  <c r="B3188" i="6"/>
  <c r="B3189" i="6"/>
  <c r="B3190" i="6"/>
  <c r="B3191" i="6"/>
  <c r="B3192" i="6"/>
  <c r="B3193" i="6"/>
  <c r="B3194" i="6"/>
  <c r="B3195" i="6"/>
  <c r="B3196" i="6"/>
  <c r="B3197" i="6"/>
  <c r="B3198" i="6"/>
  <c r="B3199" i="6"/>
  <c r="B3200" i="6"/>
  <c r="B3201" i="6"/>
  <c r="B3202" i="6"/>
  <c r="B3203" i="6"/>
  <c r="B3204" i="6"/>
  <c r="B3205" i="6"/>
  <c r="B3206" i="6"/>
  <c r="B3207" i="6"/>
  <c r="B3208" i="6"/>
  <c r="B3209" i="6"/>
  <c r="B3210" i="6"/>
  <c r="B3211" i="6"/>
  <c r="B3212" i="6"/>
  <c r="B3213" i="6"/>
  <c r="B3214" i="6"/>
  <c r="B3215" i="6"/>
  <c r="B3216" i="6"/>
  <c r="B3217" i="6"/>
  <c r="B3218" i="6"/>
  <c r="B3219" i="6"/>
  <c r="B3220" i="6"/>
  <c r="B3221" i="6"/>
  <c r="B3222" i="6"/>
  <c r="B3223" i="6"/>
  <c r="B3224" i="6"/>
  <c r="B3225" i="6"/>
  <c r="B3226" i="6"/>
  <c r="B3227" i="6"/>
  <c r="B3228" i="6"/>
  <c r="B3229" i="6"/>
  <c r="B3230" i="6"/>
  <c r="B3231" i="6"/>
  <c r="B3232" i="6"/>
  <c r="B3233" i="6"/>
  <c r="B3234" i="6"/>
  <c r="B3235" i="6"/>
  <c r="B3236" i="6"/>
  <c r="B3237" i="6"/>
  <c r="B3238" i="6"/>
  <c r="B3239" i="6"/>
  <c r="B3240" i="6"/>
  <c r="B3241" i="6"/>
  <c r="B3242" i="6"/>
  <c r="B3243" i="6"/>
  <c r="B3244" i="6"/>
  <c r="B3245" i="6"/>
  <c r="B3246" i="6"/>
  <c r="B3247" i="6"/>
  <c r="B3248" i="6"/>
  <c r="B3249" i="6"/>
  <c r="B3250" i="6"/>
  <c r="B3251" i="6"/>
  <c r="B3252" i="6"/>
  <c r="B3253" i="6"/>
  <c r="B3254" i="6"/>
  <c r="B3255" i="6"/>
  <c r="B3256" i="6"/>
  <c r="B3257" i="6"/>
  <c r="B3258" i="6"/>
  <c r="B3259" i="6"/>
  <c r="B3260" i="6"/>
  <c r="B3261" i="6"/>
  <c r="B3262" i="6"/>
  <c r="B3263" i="6"/>
  <c r="B3264" i="6"/>
  <c r="B3265" i="6"/>
  <c r="B3266" i="6"/>
  <c r="B3267" i="6"/>
  <c r="B3268" i="6"/>
  <c r="B3269" i="6"/>
  <c r="B3270" i="6"/>
  <c r="B3271" i="6"/>
  <c r="B3272" i="6"/>
  <c r="B3273" i="6"/>
  <c r="B3274" i="6"/>
  <c r="B3275" i="6"/>
  <c r="B3276" i="6"/>
  <c r="B3277" i="6"/>
  <c r="B3278" i="6"/>
  <c r="B3279" i="6"/>
  <c r="B3280" i="6"/>
  <c r="B3281" i="6"/>
  <c r="B3282" i="6"/>
  <c r="B3283" i="6"/>
  <c r="B3284" i="6"/>
  <c r="B3285" i="6"/>
  <c r="B3286" i="6"/>
  <c r="B3287" i="6"/>
  <c r="B3288" i="6"/>
  <c r="B3289" i="6"/>
  <c r="B3290" i="6"/>
  <c r="B3291" i="6"/>
  <c r="B3292" i="6"/>
  <c r="B3293" i="6"/>
  <c r="B3294" i="6"/>
  <c r="B3295" i="6"/>
  <c r="B3296" i="6"/>
  <c r="B3297" i="6"/>
  <c r="B3298" i="6"/>
  <c r="B3299" i="6"/>
  <c r="B3300" i="6"/>
  <c r="B3301" i="6"/>
  <c r="B3302" i="6"/>
  <c r="B3303" i="6"/>
  <c r="B3304" i="6"/>
  <c r="B3305" i="6"/>
  <c r="B3306" i="6"/>
  <c r="B3307" i="6"/>
  <c r="B3308" i="6"/>
  <c r="B3309" i="6"/>
  <c r="B3310" i="6"/>
  <c r="B3311" i="6"/>
  <c r="B3312" i="6"/>
  <c r="B3313" i="6"/>
  <c r="B3314" i="6"/>
  <c r="B3315" i="6"/>
  <c r="B3316" i="6"/>
  <c r="B3317" i="6"/>
  <c r="B3318" i="6"/>
  <c r="B3319" i="6"/>
  <c r="B3320" i="6"/>
  <c r="B3321" i="6"/>
  <c r="B3322" i="6"/>
  <c r="B3323" i="6"/>
  <c r="B3324" i="6"/>
  <c r="B3325" i="6"/>
  <c r="B3326" i="6"/>
  <c r="B3327" i="6"/>
  <c r="B3328" i="6"/>
  <c r="B3329" i="6"/>
  <c r="B3330" i="6"/>
  <c r="B3331" i="6"/>
  <c r="B3332" i="6"/>
  <c r="B3333" i="6"/>
  <c r="B3334" i="6"/>
  <c r="B3335" i="6"/>
  <c r="B3336" i="6"/>
  <c r="B3337" i="6"/>
  <c r="B3338" i="6"/>
  <c r="B3339" i="6"/>
  <c r="B3340" i="6"/>
  <c r="B3341" i="6"/>
  <c r="B3342" i="6"/>
  <c r="B3343" i="6"/>
  <c r="B3344" i="6"/>
  <c r="B3345" i="6"/>
  <c r="B3346" i="6"/>
  <c r="B3347" i="6"/>
  <c r="B3348" i="6"/>
  <c r="B3349" i="6"/>
  <c r="B3350" i="6"/>
  <c r="B3351" i="6"/>
  <c r="B3352" i="6"/>
  <c r="B3353" i="6"/>
  <c r="B3354" i="6"/>
  <c r="B3355" i="6"/>
  <c r="B3356" i="6"/>
  <c r="B3357" i="6"/>
  <c r="B3358" i="6"/>
  <c r="B3359" i="6"/>
  <c r="B3360" i="6"/>
  <c r="B3361" i="6"/>
  <c r="B3362" i="6"/>
  <c r="B3363" i="6"/>
  <c r="B3364" i="6"/>
  <c r="B3365" i="6"/>
  <c r="B3366" i="6"/>
  <c r="B3367" i="6"/>
  <c r="B3368" i="6"/>
  <c r="B3369" i="6"/>
  <c r="B3370" i="6"/>
  <c r="B3371" i="6"/>
  <c r="B3372" i="6"/>
  <c r="B3373" i="6"/>
  <c r="B3374" i="6"/>
  <c r="B3375" i="6"/>
  <c r="B3376" i="6"/>
  <c r="B3377" i="6"/>
  <c r="B3378" i="6"/>
  <c r="B3379" i="6"/>
  <c r="B3380" i="6"/>
  <c r="B3381" i="6"/>
  <c r="B3382" i="6"/>
  <c r="B3383" i="6"/>
  <c r="B3384" i="6"/>
  <c r="B3385" i="6"/>
  <c r="B3386" i="6"/>
  <c r="B3387" i="6"/>
  <c r="B3388" i="6"/>
  <c r="B3389" i="6"/>
  <c r="B3390" i="6"/>
  <c r="B3391" i="6"/>
  <c r="B3392" i="6"/>
  <c r="B3393" i="6"/>
  <c r="B3394" i="6"/>
  <c r="B3395" i="6"/>
  <c r="B3396" i="6"/>
  <c r="B3397" i="6"/>
  <c r="B3398" i="6"/>
  <c r="B3399" i="6"/>
  <c r="B3400" i="6"/>
  <c r="B3401" i="6"/>
  <c r="B3402" i="6"/>
  <c r="B3403" i="6"/>
  <c r="B3404" i="6"/>
  <c r="B3405" i="6"/>
  <c r="B3406" i="6"/>
  <c r="B3407" i="6"/>
  <c r="B3408" i="6"/>
  <c r="B3409" i="6"/>
  <c r="B3410" i="6"/>
  <c r="B3411" i="6"/>
  <c r="B3412" i="6"/>
  <c r="B3413" i="6"/>
  <c r="B3414" i="6"/>
  <c r="B3415" i="6"/>
  <c r="B3416" i="6"/>
  <c r="B3417" i="6"/>
  <c r="B3418" i="6"/>
  <c r="B3419" i="6"/>
  <c r="B3420" i="6"/>
  <c r="B3421" i="6"/>
  <c r="B3422" i="6"/>
  <c r="B3423" i="6"/>
  <c r="B3424" i="6"/>
  <c r="B3425" i="6"/>
  <c r="B3426" i="6"/>
  <c r="B3427" i="6"/>
  <c r="B3428" i="6"/>
  <c r="B3429" i="6"/>
  <c r="B3430" i="6"/>
  <c r="B3431" i="6"/>
  <c r="B3432" i="6"/>
  <c r="B3433" i="6"/>
  <c r="B3434" i="6"/>
  <c r="B3435" i="6"/>
  <c r="B3436" i="6"/>
  <c r="B3437" i="6"/>
  <c r="B3438" i="6"/>
  <c r="B3439" i="6"/>
  <c r="B3440" i="6"/>
  <c r="B3441" i="6"/>
  <c r="B3442" i="6"/>
  <c r="B3443" i="6"/>
  <c r="B3444" i="6"/>
  <c r="B3445" i="6"/>
  <c r="B3446" i="6"/>
  <c r="B3447" i="6"/>
  <c r="B3448" i="6"/>
  <c r="B3449" i="6"/>
  <c r="B3450" i="6"/>
  <c r="B3451" i="6"/>
  <c r="B3452" i="6"/>
  <c r="B3453" i="6"/>
  <c r="B3454" i="6"/>
  <c r="B3455" i="6"/>
  <c r="B3456" i="6"/>
  <c r="B3457" i="6"/>
  <c r="B3458" i="6"/>
  <c r="B3459" i="6"/>
  <c r="B3460" i="6"/>
  <c r="B3461" i="6"/>
  <c r="B3462" i="6"/>
  <c r="B3463" i="6"/>
  <c r="B3464" i="6"/>
  <c r="B3465" i="6"/>
  <c r="B3466" i="6"/>
  <c r="B3467" i="6"/>
  <c r="B3468" i="6"/>
  <c r="B3469" i="6"/>
  <c r="B3470" i="6"/>
  <c r="B3471" i="6"/>
  <c r="B3472" i="6"/>
  <c r="B3473" i="6"/>
  <c r="B3474" i="6"/>
  <c r="B3475" i="6"/>
  <c r="B3476" i="6"/>
  <c r="B3477" i="6"/>
  <c r="B3478" i="6"/>
  <c r="B3479" i="6"/>
  <c r="B3480" i="6"/>
  <c r="B3481" i="6"/>
  <c r="B3482" i="6"/>
  <c r="B3483" i="6"/>
  <c r="B3484" i="6"/>
  <c r="B3485" i="6"/>
  <c r="B3486" i="6"/>
  <c r="B3487" i="6"/>
  <c r="B3488" i="6"/>
  <c r="B3489" i="6"/>
  <c r="B3490" i="6"/>
  <c r="B3491" i="6"/>
  <c r="B3492" i="6"/>
  <c r="B3493" i="6"/>
  <c r="B3494" i="6"/>
  <c r="B3495" i="6"/>
  <c r="B3496" i="6"/>
  <c r="B3497" i="6"/>
  <c r="B3498" i="6"/>
  <c r="B3499" i="6"/>
  <c r="B3500" i="6"/>
  <c r="B3501" i="6"/>
  <c r="B3502" i="6"/>
  <c r="B3503" i="6"/>
  <c r="B3504" i="6"/>
  <c r="B3505" i="6"/>
  <c r="B3506" i="6"/>
  <c r="B3507" i="6"/>
  <c r="B3508" i="6"/>
  <c r="B3509" i="6"/>
  <c r="B3510" i="6"/>
  <c r="B3511" i="6"/>
  <c r="B3512" i="6"/>
  <c r="B3513" i="6"/>
  <c r="B3514" i="6"/>
  <c r="B3515" i="6"/>
  <c r="B3516" i="6"/>
  <c r="B3517" i="6"/>
  <c r="B3518" i="6"/>
  <c r="B3519" i="6"/>
  <c r="B3520" i="6"/>
  <c r="B3521" i="6"/>
  <c r="B3522" i="6"/>
  <c r="B3523" i="6"/>
  <c r="B3524" i="6"/>
  <c r="B3525" i="6"/>
  <c r="B3526" i="6"/>
  <c r="B3527" i="6"/>
  <c r="B3528" i="6"/>
  <c r="B3529" i="6"/>
  <c r="B3530" i="6"/>
  <c r="B3531" i="6"/>
  <c r="B3532" i="6"/>
  <c r="B3533" i="6"/>
  <c r="B3534" i="6"/>
  <c r="B3535" i="6"/>
  <c r="B3536" i="6"/>
  <c r="B3537" i="6"/>
  <c r="B3538" i="6"/>
  <c r="B3539" i="6"/>
  <c r="B3540" i="6"/>
  <c r="B3541" i="6"/>
  <c r="B3542" i="6"/>
  <c r="B3543" i="6"/>
  <c r="B3544" i="6"/>
  <c r="B3545" i="6"/>
  <c r="B3546" i="6"/>
  <c r="B3547" i="6"/>
  <c r="B3548" i="6"/>
  <c r="B3549" i="6"/>
  <c r="B3550" i="6"/>
  <c r="B3551" i="6"/>
  <c r="B3552" i="6"/>
  <c r="B3553" i="6"/>
  <c r="B3554" i="6"/>
  <c r="B3555" i="6"/>
  <c r="B3556" i="6"/>
  <c r="B3557" i="6"/>
  <c r="B3558" i="6"/>
  <c r="B3559" i="6"/>
  <c r="B3560" i="6"/>
  <c r="B3561" i="6"/>
  <c r="B3562" i="6"/>
  <c r="B3563" i="6"/>
  <c r="B3564" i="6"/>
  <c r="B3565" i="6"/>
  <c r="B3566" i="6"/>
  <c r="B3567" i="6"/>
  <c r="B3568" i="6"/>
  <c r="B3569" i="6"/>
  <c r="B3570" i="6"/>
  <c r="B3571" i="6"/>
  <c r="B3572" i="6"/>
  <c r="B3573" i="6"/>
  <c r="B3574" i="6"/>
  <c r="B3575" i="6"/>
  <c r="B3576" i="6"/>
  <c r="B3577" i="6"/>
  <c r="B3578" i="6"/>
  <c r="B3579" i="6"/>
  <c r="B3580" i="6"/>
  <c r="B3581" i="6"/>
  <c r="B3582" i="6"/>
  <c r="B3583" i="6"/>
  <c r="B3584" i="6"/>
  <c r="B3585" i="6"/>
  <c r="B3586" i="6"/>
  <c r="B3587" i="6"/>
  <c r="B3588" i="6"/>
  <c r="B3589" i="6"/>
  <c r="B3590" i="6"/>
  <c r="B3591" i="6"/>
  <c r="B3592" i="6"/>
  <c r="B3593" i="6"/>
  <c r="B3594" i="6"/>
  <c r="B3595" i="6"/>
  <c r="B3596" i="6"/>
  <c r="B3597" i="6"/>
  <c r="B3598" i="6"/>
  <c r="B3599" i="6"/>
  <c r="B3600" i="6"/>
  <c r="B3601" i="6"/>
  <c r="B3602" i="6"/>
  <c r="B3603" i="6"/>
  <c r="B3604" i="6"/>
  <c r="B3605" i="6"/>
  <c r="B3606" i="6"/>
  <c r="B3607" i="6"/>
  <c r="B3608" i="6"/>
  <c r="B3609" i="6"/>
  <c r="B3610" i="6"/>
  <c r="B3611" i="6"/>
  <c r="B3612" i="6"/>
  <c r="B3613" i="6"/>
  <c r="B3614" i="6"/>
  <c r="B3615" i="6"/>
  <c r="B3616" i="6"/>
  <c r="B3617" i="6"/>
  <c r="B3618" i="6"/>
  <c r="B3619" i="6"/>
  <c r="B3620" i="6"/>
  <c r="B3621" i="6"/>
  <c r="B3622" i="6"/>
  <c r="B3623" i="6"/>
  <c r="B3624" i="6"/>
  <c r="B3625" i="6"/>
  <c r="B3626" i="6"/>
  <c r="B3627" i="6"/>
  <c r="B3628" i="6"/>
  <c r="B3629" i="6"/>
  <c r="B3630" i="6"/>
  <c r="B3631" i="6"/>
  <c r="B3632" i="6"/>
  <c r="B3633" i="6"/>
  <c r="B3634" i="6"/>
  <c r="B3635" i="6"/>
  <c r="B3636" i="6"/>
  <c r="B3637" i="6"/>
  <c r="B3638" i="6"/>
  <c r="B3639" i="6"/>
  <c r="B3640" i="6"/>
  <c r="B3641" i="6"/>
  <c r="B3642" i="6"/>
  <c r="B3643" i="6"/>
  <c r="B3644" i="6"/>
  <c r="B3645" i="6"/>
  <c r="B3646" i="6"/>
  <c r="B3647" i="6"/>
  <c r="B3648" i="6"/>
  <c r="B3649" i="6"/>
  <c r="B3650" i="6"/>
  <c r="B3651" i="6"/>
  <c r="B3652" i="6"/>
  <c r="B3653" i="6"/>
  <c r="B3654" i="6"/>
  <c r="B3655" i="6"/>
  <c r="B3656" i="6"/>
  <c r="B3657" i="6"/>
  <c r="B3658" i="6"/>
  <c r="B3659" i="6"/>
  <c r="B3660" i="6"/>
  <c r="B3661" i="6"/>
  <c r="B3662" i="6"/>
  <c r="B3663" i="6"/>
  <c r="B3664" i="6"/>
  <c r="B3665" i="6"/>
  <c r="B3666" i="6"/>
  <c r="B3667" i="6"/>
  <c r="B3668" i="6"/>
  <c r="B3669" i="6"/>
  <c r="B3670" i="6"/>
  <c r="B3671" i="6"/>
  <c r="B3672" i="6"/>
  <c r="B3673" i="6"/>
  <c r="B3674" i="6"/>
  <c r="B3675" i="6"/>
  <c r="B3676" i="6"/>
  <c r="B3677" i="6"/>
  <c r="B3678" i="6"/>
  <c r="B3679" i="6"/>
  <c r="B3680" i="6"/>
  <c r="B3681" i="6"/>
  <c r="B3682" i="6"/>
  <c r="B3683" i="6"/>
  <c r="B3684" i="6"/>
  <c r="B3685" i="6"/>
  <c r="B3686" i="6"/>
  <c r="B3687" i="6"/>
  <c r="B3688" i="6"/>
  <c r="B3689" i="6"/>
  <c r="B3690" i="6"/>
  <c r="B3691" i="6"/>
  <c r="B3692" i="6"/>
  <c r="B3693" i="6"/>
  <c r="B3694" i="6"/>
  <c r="B3695" i="6"/>
  <c r="B3696" i="6"/>
  <c r="B3697" i="6"/>
  <c r="B3698" i="6"/>
  <c r="B3699" i="6"/>
  <c r="B3700" i="6"/>
  <c r="B3701" i="6"/>
  <c r="B3702" i="6"/>
  <c r="B3703" i="6"/>
  <c r="B3704" i="6"/>
  <c r="B3705" i="6"/>
  <c r="B3706" i="6"/>
  <c r="B3707" i="6"/>
  <c r="B3708" i="6"/>
  <c r="B3709" i="6"/>
  <c r="B3710" i="6"/>
  <c r="B3711" i="6"/>
  <c r="B3712" i="6"/>
  <c r="B3713" i="6"/>
  <c r="B3714" i="6"/>
  <c r="B3715" i="6"/>
  <c r="B3716" i="6"/>
  <c r="B3717" i="6"/>
  <c r="B3718" i="6"/>
  <c r="B3719" i="6"/>
  <c r="B3720" i="6"/>
  <c r="B3721" i="6"/>
  <c r="B3722" i="6"/>
  <c r="B3723" i="6"/>
  <c r="B3724" i="6"/>
  <c r="B3725" i="6"/>
  <c r="B3726" i="6"/>
  <c r="B3727" i="6"/>
  <c r="B3728" i="6"/>
  <c r="B3729" i="6"/>
  <c r="B3730" i="6"/>
  <c r="B3731" i="6"/>
  <c r="B3732" i="6"/>
  <c r="B3733" i="6"/>
  <c r="B3734" i="6"/>
  <c r="B3735" i="6"/>
  <c r="B3736" i="6"/>
  <c r="B3737" i="6"/>
  <c r="B3738" i="6"/>
  <c r="B3739" i="6"/>
  <c r="B3740" i="6"/>
  <c r="B3741" i="6"/>
  <c r="B3742" i="6"/>
  <c r="B3743" i="6"/>
  <c r="B3744" i="6"/>
  <c r="B3745" i="6"/>
  <c r="B3746" i="6"/>
  <c r="B3747" i="6"/>
  <c r="B3748" i="6"/>
  <c r="B3749" i="6"/>
  <c r="B3750" i="6"/>
  <c r="B3751" i="6"/>
  <c r="B3752" i="6"/>
  <c r="B3753" i="6"/>
  <c r="B3754" i="6"/>
  <c r="B3755" i="6"/>
  <c r="B3756" i="6"/>
  <c r="B3757" i="6"/>
  <c r="B3758" i="6"/>
  <c r="B3759" i="6"/>
  <c r="B3760" i="6"/>
  <c r="B3761" i="6"/>
  <c r="B3762" i="6"/>
  <c r="B3763" i="6"/>
  <c r="B3764" i="6"/>
  <c r="B3765" i="6"/>
  <c r="B3766" i="6"/>
  <c r="B3767" i="6"/>
  <c r="B3768" i="6"/>
  <c r="B3769" i="6"/>
  <c r="B3770" i="6"/>
  <c r="B3771" i="6"/>
  <c r="B3772" i="6"/>
  <c r="B3773" i="6"/>
  <c r="B3774" i="6"/>
  <c r="B3775" i="6"/>
  <c r="B3776" i="6"/>
  <c r="B3777" i="6"/>
  <c r="B3778" i="6"/>
  <c r="B3779" i="6"/>
  <c r="B3780" i="6"/>
  <c r="B3781" i="6"/>
  <c r="B3782" i="6"/>
  <c r="B3783" i="6"/>
  <c r="B3784" i="6"/>
  <c r="B3785" i="6"/>
  <c r="B3786" i="6"/>
  <c r="B3787" i="6"/>
  <c r="B3788" i="6"/>
  <c r="B3789" i="6"/>
  <c r="B3790" i="6"/>
  <c r="B3791" i="6"/>
  <c r="B3792" i="6"/>
  <c r="B3793" i="6"/>
  <c r="B3794" i="6"/>
  <c r="B3795" i="6"/>
  <c r="B3796" i="6"/>
  <c r="B3797" i="6"/>
  <c r="B3798" i="6"/>
  <c r="B3799" i="6"/>
  <c r="B3800" i="6"/>
  <c r="B3801" i="6"/>
  <c r="B3802" i="6"/>
  <c r="B3803" i="6"/>
  <c r="B3804" i="6"/>
  <c r="B3805" i="6"/>
  <c r="B3806" i="6"/>
  <c r="B3807" i="6"/>
  <c r="B3808" i="6"/>
  <c r="B3809" i="6"/>
  <c r="B3810" i="6"/>
  <c r="B3811" i="6"/>
  <c r="B3812" i="6"/>
  <c r="B3813" i="6"/>
  <c r="B3814" i="6"/>
  <c r="B3815" i="6"/>
  <c r="B3816" i="6"/>
  <c r="B3817" i="6"/>
  <c r="B3818" i="6"/>
  <c r="B3819" i="6"/>
  <c r="B3820" i="6"/>
  <c r="B3821" i="6"/>
  <c r="B3822" i="6"/>
  <c r="B3823" i="6"/>
  <c r="B3824" i="6"/>
  <c r="B3825" i="6"/>
  <c r="B3826" i="6"/>
  <c r="B3827" i="6"/>
  <c r="B3828" i="6"/>
  <c r="B3829" i="6"/>
  <c r="B3830" i="6"/>
  <c r="B3831" i="6"/>
  <c r="B3832" i="6"/>
  <c r="B3833" i="6"/>
  <c r="B3834" i="6"/>
  <c r="B3835" i="6"/>
  <c r="B3836" i="6"/>
  <c r="B3837" i="6"/>
  <c r="B3838" i="6"/>
  <c r="B3839" i="6"/>
  <c r="B3840" i="6"/>
  <c r="B3841" i="6"/>
  <c r="B3842" i="6"/>
  <c r="B3843" i="6"/>
  <c r="B3844" i="6"/>
  <c r="B3845" i="6"/>
  <c r="B3846" i="6"/>
  <c r="B3847" i="6"/>
  <c r="B3848" i="6"/>
  <c r="B3849" i="6"/>
  <c r="B3850" i="6"/>
  <c r="B3851" i="6"/>
  <c r="B3852" i="6"/>
  <c r="B3853" i="6"/>
  <c r="B3854" i="6"/>
  <c r="B3855" i="6"/>
  <c r="B3856" i="6"/>
  <c r="B3857" i="6"/>
  <c r="B3858" i="6"/>
  <c r="B3859" i="6"/>
  <c r="B3860" i="6"/>
  <c r="B3861" i="6"/>
  <c r="B3862" i="6"/>
  <c r="B3863" i="6"/>
  <c r="B3864" i="6"/>
  <c r="B3865" i="6"/>
  <c r="B3866" i="6"/>
  <c r="B3867" i="6"/>
  <c r="B3868" i="6"/>
  <c r="B3869" i="6"/>
  <c r="B3870" i="6"/>
  <c r="B3871" i="6"/>
  <c r="B3872" i="6"/>
  <c r="B3873" i="6"/>
  <c r="B3874" i="6"/>
  <c r="B3875" i="6"/>
  <c r="B3876" i="6"/>
  <c r="B3877" i="6"/>
  <c r="B3878" i="6"/>
  <c r="B3879" i="6"/>
  <c r="B3880" i="6"/>
  <c r="B3881" i="6"/>
  <c r="B3882" i="6"/>
  <c r="B3883" i="6"/>
  <c r="B3884" i="6"/>
  <c r="B3885" i="6"/>
  <c r="B3886" i="6"/>
  <c r="B3887" i="6"/>
  <c r="B3888" i="6"/>
  <c r="B3889" i="6"/>
  <c r="B3890" i="6"/>
  <c r="B3891" i="6"/>
  <c r="B3892" i="6"/>
  <c r="B3893" i="6"/>
  <c r="B3894" i="6"/>
  <c r="B3895" i="6"/>
  <c r="B3896" i="6"/>
  <c r="B3897" i="6"/>
  <c r="B3898" i="6"/>
  <c r="B3899" i="6"/>
  <c r="B3900" i="6"/>
  <c r="B3901" i="6"/>
  <c r="B3902" i="6"/>
  <c r="B3903" i="6"/>
  <c r="B3904" i="6"/>
  <c r="B3905" i="6"/>
  <c r="B3906" i="6"/>
  <c r="B3907" i="6"/>
  <c r="B3908" i="6"/>
  <c r="B3909" i="6"/>
  <c r="B3910" i="6"/>
  <c r="B3911" i="6"/>
  <c r="B3912" i="6"/>
  <c r="B3913" i="6"/>
  <c r="B3914" i="6"/>
  <c r="B3915" i="6"/>
  <c r="B3916" i="6"/>
  <c r="B3917" i="6"/>
  <c r="B3918" i="6"/>
  <c r="B3919" i="6"/>
  <c r="B3920" i="6"/>
  <c r="B3921" i="6"/>
  <c r="B3922" i="6"/>
  <c r="B3923" i="6"/>
  <c r="B3924" i="6"/>
  <c r="B3925" i="6"/>
  <c r="B3926" i="6"/>
  <c r="B3927" i="6"/>
  <c r="B3928" i="6"/>
  <c r="B3929" i="6"/>
  <c r="B3930" i="6"/>
  <c r="B3931" i="6"/>
  <c r="B3932" i="6"/>
  <c r="B3933" i="6"/>
  <c r="B3934" i="6"/>
  <c r="B3935" i="6"/>
  <c r="B3936" i="6"/>
  <c r="B3937" i="6"/>
  <c r="B3938" i="6"/>
  <c r="B3939" i="6"/>
  <c r="B3940" i="6"/>
  <c r="B3941" i="6"/>
  <c r="B3942" i="6"/>
  <c r="B3943" i="6"/>
  <c r="B3944" i="6"/>
  <c r="B3945" i="6"/>
  <c r="B3946" i="6"/>
  <c r="B3947" i="6"/>
  <c r="B3948" i="6"/>
  <c r="B3949" i="6"/>
  <c r="B3950" i="6"/>
  <c r="B3951" i="6"/>
  <c r="B3952" i="6"/>
  <c r="B3953" i="6"/>
  <c r="B3954" i="6"/>
  <c r="B3955" i="6"/>
  <c r="B3956" i="6"/>
  <c r="B3957" i="6"/>
  <c r="B3958" i="6"/>
  <c r="B3959" i="6"/>
  <c r="B3960" i="6"/>
  <c r="B3961" i="6"/>
  <c r="B3962" i="6"/>
  <c r="B3963" i="6"/>
  <c r="B3964" i="6"/>
  <c r="B3965" i="6"/>
  <c r="B3966" i="6"/>
  <c r="B3967" i="6"/>
  <c r="B3968" i="6"/>
  <c r="B3969" i="6"/>
  <c r="B3970" i="6"/>
  <c r="B3971" i="6"/>
  <c r="B3972" i="6"/>
  <c r="B3973" i="6"/>
  <c r="B3974" i="6"/>
  <c r="B3975" i="6"/>
  <c r="B3976" i="6"/>
  <c r="B3977" i="6"/>
  <c r="B3978" i="6"/>
  <c r="B3979" i="6"/>
  <c r="B3980" i="6"/>
  <c r="B3981" i="6"/>
  <c r="B3982" i="6"/>
  <c r="B3983" i="6"/>
  <c r="B3984" i="6"/>
  <c r="B3985" i="6"/>
  <c r="B3986" i="6"/>
  <c r="B3987" i="6"/>
  <c r="B3988" i="6"/>
  <c r="B3989" i="6"/>
  <c r="B3990" i="6"/>
  <c r="B3991" i="6"/>
  <c r="B3992" i="6"/>
  <c r="B3993" i="6"/>
  <c r="B3994" i="6"/>
  <c r="B3995" i="6"/>
  <c r="B3996" i="6"/>
  <c r="B3997" i="6"/>
  <c r="B3998" i="6"/>
  <c r="B3999" i="6"/>
  <c r="B4000" i="6"/>
  <c r="B4001" i="6"/>
  <c r="B4002" i="6"/>
  <c r="B4003" i="6"/>
  <c r="B4004" i="6"/>
  <c r="B4005" i="6"/>
  <c r="B4006" i="6"/>
  <c r="B4007" i="6"/>
  <c r="B4008" i="6"/>
  <c r="B4009" i="6"/>
  <c r="B4010" i="6"/>
  <c r="B4011" i="6"/>
  <c r="B4012" i="6"/>
  <c r="B4013" i="6"/>
  <c r="B4014" i="6"/>
  <c r="B4015" i="6"/>
  <c r="B4016" i="6"/>
  <c r="B4017" i="6"/>
  <c r="B4018" i="6"/>
  <c r="B4019" i="6"/>
  <c r="B4020" i="6"/>
  <c r="B4021" i="6"/>
  <c r="B4022" i="6"/>
  <c r="B4023" i="6"/>
  <c r="B4024" i="6"/>
  <c r="B4025" i="6"/>
  <c r="B4026" i="6"/>
  <c r="B4027" i="6"/>
  <c r="B4028" i="6"/>
  <c r="B4029" i="6"/>
  <c r="B4030" i="6"/>
  <c r="B4031" i="6"/>
  <c r="B4032" i="6"/>
  <c r="B4033" i="6"/>
  <c r="B4034" i="6"/>
  <c r="B4035" i="6"/>
  <c r="B4036" i="6"/>
  <c r="B4037" i="6"/>
  <c r="B4038" i="6"/>
  <c r="B4039" i="6"/>
  <c r="B4040" i="6"/>
  <c r="B4041" i="6"/>
  <c r="B4042" i="6"/>
  <c r="B4043" i="6"/>
  <c r="B4044" i="6"/>
  <c r="B4045" i="6"/>
  <c r="B4046" i="6"/>
  <c r="B4047" i="6"/>
  <c r="B4048" i="6"/>
  <c r="B4049" i="6"/>
  <c r="B4050" i="6"/>
  <c r="B4051" i="6"/>
  <c r="B4052" i="6"/>
  <c r="B4053" i="6"/>
  <c r="B4054" i="6"/>
  <c r="B4055" i="6"/>
  <c r="B4056" i="6"/>
  <c r="B4057" i="6"/>
  <c r="B4058" i="6"/>
  <c r="B4059" i="6"/>
  <c r="B4060" i="6"/>
  <c r="B4061" i="6"/>
  <c r="B4062" i="6"/>
  <c r="B4063" i="6"/>
  <c r="B4064" i="6"/>
  <c r="B4065" i="6"/>
  <c r="B4066" i="6"/>
  <c r="B4067" i="6"/>
  <c r="B4068" i="6"/>
  <c r="B4069" i="6"/>
  <c r="B4070" i="6"/>
  <c r="B4071" i="6"/>
  <c r="B4072" i="6"/>
  <c r="B4073" i="6"/>
  <c r="B4074" i="6"/>
  <c r="B4075" i="6"/>
  <c r="B4076" i="6"/>
  <c r="B4077" i="6"/>
  <c r="B4078" i="6"/>
  <c r="B4079" i="6"/>
  <c r="B4080" i="6"/>
  <c r="B4081" i="6"/>
  <c r="B4082" i="6"/>
  <c r="B4083" i="6"/>
  <c r="B4084" i="6"/>
  <c r="B4085" i="6"/>
  <c r="B4086" i="6"/>
  <c r="B4087" i="6"/>
  <c r="B4088" i="6"/>
  <c r="B4089" i="6"/>
  <c r="B4090" i="6"/>
  <c r="B4091" i="6"/>
  <c r="B4092" i="6"/>
  <c r="B4093" i="6"/>
  <c r="B4094" i="6"/>
  <c r="B4095" i="6"/>
  <c r="B4096" i="6"/>
  <c r="B4097" i="6"/>
  <c r="B4098" i="6"/>
  <c r="B4099" i="6"/>
  <c r="B4100" i="6"/>
  <c r="B4101" i="6"/>
  <c r="B4102" i="6"/>
  <c r="B4103" i="6"/>
  <c r="B4104" i="6"/>
  <c r="B4105" i="6"/>
  <c r="B4106" i="6"/>
  <c r="B4107" i="6"/>
  <c r="B4108" i="6"/>
  <c r="B4109" i="6"/>
  <c r="B4110" i="6"/>
  <c r="B4111" i="6"/>
  <c r="B4112" i="6"/>
  <c r="B4113" i="6"/>
  <c r="B4114" i="6"/>
  <c r="B4115" i="6"/>
  <c r="B4116" i="6"/>
  <c r="B4117" i="6"/>
  <c r="B4118" i="6"/>
  <c r="B4119" i="6"/>
  <c r="B4120" i="6"/>
  <c r="B4121" i="6"/>
  <c r="B4122" i="6"/>
  <c r="B4123" i="6"/>
  <c r="B4124" i="6"/>
  <c r="B4125" i="6"/>
  <c r="B4126" i="6"/>
  <c r="B4127" i="6"/>
  <c r="B4128" i="6"/>
  <c r="B4129" i="6"/>
  <c r="B4130" i="6"/>
  <c r="B4131" i="6"/>
  <c r="B4132" i="6"/>
  <c r="B4133" i="6"/>
  <c r="B4134" i="6"/>
  <c r="B4135" i="6"/>
  <c r="B4136" i="6"/>
  <c r="B4137" i="6"/>
  <c r="B4138" i="6"/>
  <c r="B4139" i="6"/>
  <c r="B4140" i="6"/>
  <c r="B4141" i="6"/>
  <c r="B4142" i="6"/>
  <c r="B4143" i="6"/>
  <c r="B4144" i="6"/>
  <c r="B4145" i="6"/>
  <c r="B4146" i="6"/>
  <c r="B4147" i="6"/>
  <c r="B4148" i="6"/>
  <c r="B4149" i="6"/>
  <c r="B4150" i="6"/>
  <c r="B4151" i="6"/>
  <c r="B4152" i="6"/>
  <c r="B4153" i="6"/>
  <c r="B4154" i="6"/>
  <c r="B4155" i="6"/>
  <c r="B4156" i="6"/>
  <c r="B4157" i="6"/>
  <c r="B4158" i="6"/>
  <c r="B4159" i="6"/>
  <c r="B4160" i="6"/>
  <c r="B4161" i="6"/>
  <c r="B4162" i="6"/>
  <c r="B4163" i="6"/>
  <c r="B4164" i="6"/>
  <c r="B4165" i="6"/>
  <c r="B4166" i="6"/>
  <c r="B4167" i="6"/>
  <c r="B4168" i="6"/>
  <c r="B4169" i="6"/>
  <c r="B4170" i="6"/>
  <c r="B4171" i="6"/>
  <c r="B4172" i="6"/>
  <c r="B4173" i="6"/>
  <c r="B4174" i="6"/>
  <c r="B4175" i="6"/>
  <c r="B4176" i="6"/>
  <c r="B4177" i="6"/>
  <c r="B4178" i="6"/>
  <c r="B4179" i="6"/>
  <c r="B4180" i="6"/>
  <c r="B4181" i="6"/>
  <c r="B4182" i="6"/>
  <c r="B4183" i="6"/>
  <c r="B4184" i="6"/>
  <c r="B4185" i="6"/>
  <c r="B4186" i="6"/>
  <c r="B4187" i="6"/>
  <c r="B4188" i="6"/>
  <c r="B4189" i="6"/>
  <c r="B4190" i="6"/>
  <c r="B4191" i="6"/>
  <c r="B4192" i="6"/>
  <c r="B4193" i="6"/>
  <c r="B4194" i="6"/>
  <c r="B4195" i="6"/>
  <c r="B4196" i="6"/>
  <c r="B4197" i="6"/>
  <c r="B4198" i="6"/>
  <c r="B4199" i="6"/>
  <c r="B4200" i="6"/>
  <c r="B4201" i="6"/>
  <c r="B4202" i="6"/>
  <c r="B4203" i="6"/>
  <c r="B4204" i="6"/>
  <c r="B4205" i="6"/>
  <c r="B4206" i="6"/>
  <c r="B4207" i="6"/>
  <c r="B4208" i="6"/>
  <c r="B4209" i="6"/>
  <c r="B4210" i="6"/>
  <c r="B4211" i="6"/>
  <c r="B4212" i="6"/>
  <c r="B4213" i="6"/>
  <c r="B4214" i="6"/>
  <c r="B4215" i="6"/>
  <c r="B4216" i="6"/>
  <c r="B4217" i="6"/>
  <c r="B4218" i="6"/>
  <c r="B4219" i="6"/>
  <c r="B4220" i="6"/>
  <c r="B4221" i="6"/>
  <c r="B4222" i="6"/>
  <c r="B4223" i="6"/>
  <c r="B4224" i="6"/>
  <c r="B4225" i="6"/>
  <c r="B4226" i="6"/>
  <c r="B4227" i="6"/>
  <c r="B4228" i="6"/>
  <c r="B4229" i="6"/>
  <c r="B4230" i="6"/>
  <c r="B4231" i="6"/>
  <c r="B4232" i="6"/>
  <c r="B4233" i="6"/>
  <c r="B4234" i="6"/>
  <c r="B4235" i="6"/>
  <c r="B4236" i="6"/>
  <c r="B4237" i="6"/>
  <c r="B4238" i="6"/>
  <c r="B4239" i="6"/>
  <c r="B4240" i="6"/>
  <c r="B4241" i="6"/>
  <c r="B4242" i="6"/>
  <c r="B4243" i="6"/>
  <c r="B4244" i="6"/>
  <c r="B4245" i="6"/>
  <c r="B4246" i="6"/>
  <c r="B4247" i="6"/>
  <c r="B4248" i="6"/>
  <c r="B4249" i="6"/>
  <c r="B4250" i="6"/>
  <c r="B4251" i="6"/>
  <c r="B4252" i="6"/>
  <c r="B4253" i="6"/>
  <c r="B4254" i="6"/>
  <c r="B4255" i="6"/>
  <c r="B4256" i="6"/>
  <c r="B4257" i="6"/>
  <c r="B4258" i="6"/>
  <c r="B4259" i="6"/>
  <c r="B4260" i="6"/>
  <c r="B4261" i="6"/>
  <c r="B4262" i="6"/>
  <c r="B4263" i="6"/>
  <c r="B4264" i="6"/>
  <c r="B4265" i="6"/>
  <c r="B4266" i="6"/>
  <c r="B4267" i="6"/>
  <c r="B4268" i="6"/>
  <c r="B4269" i="6"/>
  <c r="B4270" i="6"/>
  <c r="B4271" i="6"/>
  <c r="B4272" i="6"/>
  <c r="B4273" i="6"/>
  <c r="B4274" i="6"/>
  <c r="B4275" i="6"/>
  <c r="B4276" i="6"/>
  <c r="B4277" i="6"/>
  <c r="B4278" i="6"/>
  <c r="B4279" i="6"/>
  <c r="B4280" i="6"/>
  <c r="B4281" i="6"/>
  <c r="B4282" i="6"/>
  <c r="B4283" i="6"/>
  <c r="B4284" i="6"/>
  <c r="B4285" i="6"/>
  <c r="B4286" i="6"/>
  <c r="B4287" i="6"/>
  <c r="B4288" i="6"/>
  <c r="B4289" i="6"/>
  <c r="B4290" i="6"/>
  <c r="B4291" i="6"/>
  <c r="B4292" i="6"/>
  <c r="B4293" i="6"/>
  <c r="B4294" i="6"/>
  <c r="B4295" i="6"/>
  <c r="B4296" i="6"/>
  <c r="B4297" i="6"/>
  <c r="B4298" i="6"/>
  <c r="B4299" i="6"/>
  <c r="B4300" i="6"/>
  <c r="B4301" i="6"/>
  <c r="B4302" i="6"/>
  <c r="B4303" i="6"/>
  <c r="B4304" i="6"/>
  <c r="B4305" i="6"/>
  <c r="B4306" i="6"/>
  <c r="B4307" i="6"/>
  <c r="B4308" i="6"/>
  <c r="B4309" i="6"/>
  <c r="B4310" i="6"/>
  <c r="B4311" i="6"/>
  <c r="B4312" i="6"/>
  <c r="B4313" i="6"/>
  <c r="B4314" i="6"/>
  <c r="B4315" i="6"/>
  <c r="B4316" i="6"/>
  <c r="B4317" i="6"/>
  <c r="B4318" i="6"/>
  <c r="B4319" i="6"/>
  <c r="B4320" i="6"/>
  <c r="B4321" i="6"/>
  <c r="B4322" i="6"/>
  <c r="B4323" i="6"/>
  <c r="B4324" i="6"/>
  <c r="B4325" i="6"/>
  <c r="B4326" i="6"/>
  <c r="B4327" i="6"/>
  <c r="B4328" i="6"/>
  <c r="B4329" i="6"/>
  <c r="B4330" i="6"/>
  <c r="B4331" i="6"/>
  <c r="B4332" i="6"/>
  <c r="B4333" i="6"/>
  <c r="B4334" i="6"/>
  <c r="B4335" i="6"/>
  <c r="B4336" i="6"/>
  <c r="B4337" i="6"/>
  <c r="B4338" i="6"/>
  <c r="B4339" i="6"/>
  <c r="B4340" i="6"/>
  <c r="B4341" i="6"/>
  <c r="B4342" i="6"/>
  <c r="B4343" i="6"/>
  <c r="B4344" i="6"/>
  <c r="B4345" i="6"/>
  <c r="B4346" i="6"/>
  <c r="B4347" i="6"/>
  <c r="B4348" i="6"/>
  <c r="B4349" i="6"/>
  <c r="B4350" i="6"/>
  <c r="B4351" i="6"/>
  <c r="B4352" i="6"/>
  <c r="B4353" i="6"/>
  <c r="B4354" i="6"/>
  <c r="B4355" i="6"/>
  <c r="B4356" i="6"/>
  <c r="B4357" i="6"/>
  <c r="B4358" i="6"/>
  <c r="B4359" i="6"/>
  <c r="B4360" i="6"/>
  <c r="B4361" i="6"/>
  <c r="B4362" i="6"/>
  <c r="B4363" i="6"/>
  <c r="B4364" i="6"/>
  <c r="B4365" i="6"/>
  <c r="B4366" i="6"/>
  <c r="B4367" i="6"/>
  <c r="B4368" i="6"/>
  <c r="B4369" i="6"/>
  <c r="B4370" i="6"/>
  <c r="B4371" i="6"/>
  <c r="B4372" i="6"/>
  <c r="B4373" i="6"/>
  <c r="B4374" i="6"/>
  <c r="B4375" i="6"/>
  <c r="B4376" i="6"/>
  <c r="B4377" i="6"/>
  <c r="B4378" i="6"/>
  <c r="B4379" i="6"/>
  <c r="B4380" i="6"/>
  <c r="B4381" i="6"/>
  <c r="B4382" i="6"/>
  <c r="B4383" i="6"/>
  <c r="B4384" i="6"/>
  <c r="B4385" i="6"/>
  <c r="B4386" i="6"/>
  <c r="B4387" i="6"/>
  <c r="B4388" i="6"/>
  <c r="B4389" i="6"/>
  <c r="B4390" i="6"/>
  <c r="B4391" i="6"/>
  <c r="B4392" i="6"/>
  <c r="B4393" i="6"/>
  <c r="B4394" i="6"/>
  <c r="B4395" i="6"/>
  <c r="B4396" i="6"/>
  <c r="B4397" i="6"/>
  <c r="B4398" i="6"/>
  <c r="B4399" i="6"/>
  <c r="B4400" i="6"/>
  <c r="B4401" i="6"/>
  <c r="B4402" i="6"/>
  <c r="B4403" i="6"/>
  <c r="B4404" i="6"/>
  <c r="B4405" i="6"/>
  <c r="B4406" i="6"/>
  <c r="B4407" i="6"/>
  <c r="B4408" i="6"/>
  <c r="B4409" i="6"/>
  <c r="B4410" i="6"/>
  <c r="B4411" i="6"/>
  <c r="B4412" i="6"/>
  <c r="B4413" i="6"/>
  <c r="B4414" i="6"/>
  <c r="B4415" i="6"/>
  <c r="B4416" i="6"/>
  <c r="B4417" i="6"/>
  <c r="B4418" i="6"/>
  <c r="B4419" i="6"/>
  <c r="B4420" i="6"/>
  <c r="B4421" i="6"/>
  <c r="B4422" i="6"/>
  <c r="B4423" i="6"/>
  <c r="B4424" i="6"/>
  <c r="B4425" i="6"/>
  <c r="B4426" i="6"/>
  <c r="B4427" i="6"/>
  <c r="B4428" i="6"/>
  <c r="B4429" i="6"/>
  <c r="B4430" i="6"/>
  <c r="B4431" i="6"/>
  <c r="B4432" i="6"/>
  <c r="B4433" i="6"/>
  <c r="B4434" i="6"/>
  <c r="B4435" i="6"/>
  <c r="B4436" i="6"/>
  <c r="B4437" i="6"/>
  <c r="B4438" i="6"/>
  <c r="B4439" i="6"/>
  <c r="B4440" i="6"/>
  <c r="B4441" i="6"/>
  <c r="B4442" i="6"/>
  <c r="B4443" i="6"/>
  <c r="B4444" i="6"/>
  <c r="B4445" i="6"/>
  <c r="B4446" i="6"/>
  <c r="B4447" i="6"/>
  <c r="B4448" i="6"/>
  <c r="B4449" i="6"/>
  <c r="B4450" i="6"/>
  <c r="B4451" i="6"/>
  <c r="B4452" i="6"/>
  <c r="B4453" i="6"/>
  <c r="B4454" i="6"/>
  <c r="B4455" i="6"/>
  <c r="B4456" i="6"/>
  <c r="B4457" i="6"/>
  <c r="B4458" i="6"/>
  <c r="B4459" i="6"/>
  <c r="B4460" i="6"/>
  <c r="B4461" i="6"/>
  <c r="B4462" i="6"/>
  <c r="B4463" i="6"/>
  <c r="B4464" i="6"/>
  <c r="B4465" i="6"/>
  <c r="B4466" i="6"/>
  <c r="B4467" i="6"/>
  <c r="B4468" i="6"/>
  <c r="B4469" i="6"/>
  <c r="B4470" i="6"/>
  <c r="B4471" i="6"/>
  <c r="B4472" i="6"/>
  <c r="B4473" i="6"/>
  <c r="B4474" i="6"/>
  <c r="B4475" i="6"/>
  <c r="B4476" i="6"/>
  <c r="B4477" i="6"/>
  <c r="B4478" i="6"/>
  <c r="B4479" i="6"/>
  <c r="B4480" i="6"/>
  <c r="B4481" i="6"/>
  <c r="B4482" i="6"/>
  <c r="B4483" i="6"/>
  <c r="B4484" i="6"/>
  <c r="B4485" i="6"/>
  <c r="B4486" i="6"/>
  <c r="B4487" i="6"/>
  <c r="B4488" i="6"/>
  <c r="B4489" i="6"/>
  <c r="B4490" i="6"/>
  <c r="B4491" i="6"/>
  <c r="B4492" i="6"/>
  <c r="B4493" i="6"/>
  <c r="B4494" i="6"/>
  <c r="B4495" i="6"/>
  <c r="B4496" i="6"/>
  <c r="B4497" i="6"/>
  <c r="B4498" i="6"/>
  <c r="B4499" i="6"/>
  <c r="B4500" i="6"/>
  <c r="B4501" i="6"/>
  <c r="B4502" i="6"/>
  <c r="B4503" i="6"/>
  <c r="B4504" i="6"/>
  <c r="B4505" i="6"/>
  <c r="B4506" i="6"/>
  <c r="B4507" i="6"/>
  <c r="B4508" i="6"/>
  <c r="B4509" i="6"/>
  <c r="B4510" i="6"/>
  <c r="B4511" i="6"/>
  <c r="B4512" i="6"/>
  <c r="B4513" i="6"/>
  <c r="B4514" i="6"/>
  <c r="B4515" i="6"/>
  <c r="B4516" i="6"/>
  <c r="B4517" i="6"/>
  <c r="B4518" i="6"/>
  <c r="B4519" i="6"/>
  <c r="B4520" i="6"/>
  <c r="B4521" i="6"/>
  <c r="B4522" i="6"/>
  <c r="B4523" i="6"/>
  <c r="B4524" i="6"/>
  <c r="B4525" i="6"/>
  <c r="B4526" i="6"/>
  <c r="B4527" i="6"/>
  <c r="B4528" i="6"/>
  <c r="B4529" i="6"/>
  <c r="B4530" i="6"/>
  <c r="B4531" i="6"/>
  <c r="B4532" i="6"/>
  <c r="B4533" i="6"/>
  <c r="B4534" i="6"/>
  <c r="B4535" i="6"/>
  <c r="B4536" i="6"/>
  <c r="B4537" i="6"/>
  <c r="B4538" i="6"/>
  <c r="B4539" i="6"/>
  <c r="B4540" i="6"/>
  <c r="B4541" i="6"/>
  <c r="B4542" i="6"/>
  <c r="B4543" i="6"/>
  <c r="B4544" i="6"/>
  <c r="B4545" i="6"/>
  <c r="B4546" i="6"/>
  <c r="B4547" i="6"/>
  <c r="B4548" i="6"/>
  <c r="B4549" i="6"/>
  <c r="B4550" i="6"/>
  <c r="B4551" i="6"/>
  <c r="B4552" i="6"/>
  <c r="B4553" i="6"/>
  <c r="B4554" i="6"/>
  <c r="B4555" i="6"/>
  <c r="B4556" i="6"/>
  <c r="B4557" i="6"/>
  <c r="B4558" i="6"/>
  <c r="B4559" i="6"/>
  <c r="B4560" i="6"/>
  <c r="B4561" i="6"/>
  <c r="B4562" i="6"/>
  <c r="B4563" i="6"/>
  <c r="B4564" i="6"/>
  <c r="B4565" i="6"/>
  <c r="B4566" i="6"/>
  <c r="B4567" i="6"/>
  <c r="B4568" i="6"/>
  <c r="B4569" i="6"/>
  <c r="B4570" i="6"/>
  <c r="B4571" i="6"/>
  <c r="B4572" i="6"/>
  <c r="B4573" i="6"/>
  <c r="B4574" i="6"/>
  <c r="B4575" i="6"/>
  <c r="B4576" i="6"/>
  <c r="B4577" i="6"/>
  <c r="B4578" i="6"/>
  <c r="B4579" i="6"/>
  <c r="B4580" i="6"/>
  <c r="B4581" i="6"/>
  <c r="B4582" i="6"/>
  <c r="B4583" i="6"/>
  <c r="B4584" i="6"/>
  <c r="B4585" i="6"/>
  <c r="B4586" i="6"/>
  <c r="B4587" i="6"/>
  <c r="B4588" i="6"/>
  <c r="B4589" i="6"/>
  <c r="B4590" i="6"/>
  <c r="B4591" i="6"/>
  <c r="B4592" i="6"/>
  <c r="B4593" i="6"/>
  <c r="B4594" i="6"/>
  <c r="B4595" i="6"/>
  <c r="B4596" i="6"/>
  <c r="B4597" i="6"/>
  <c r="B4598" i="6"/>
  <c r="B4599" i="6"/>
  <c r="B4600" i="6"/>
  <c r="B4601" i="6"/>
  <c r="B4602" i="6"/>
  <c r="B4603" i="6"/>
  <c r="B4604" i="6"/>
  <c r="B4605" i="6"/>
  <c r="B4606" i="6"/>
  <c r="B4607" i="6"/>
  <c r="B4608" i="6"/>
  <c r="B4609" i="6"/>
  <c r="B4610" i="6"/>
  <c r="B4611" i="6"/>
  <c r="B4612" i="6"/>
  <c r="B4613" i="6"/>
  <c r="B4614" i="6"/>
  <c r="B4615" i="6"/>
  <c r="B4616" i="6"/>
  <c r="B4617" i="6"/>
  <c r="B4618" i="6"/>
  <c r="B4619" i="6"/>
  <c r="B4620" i="6"/>
  <c r="B4621" i="6"/>
  <c r="B4622" i="6"/>
  <c r="B4623" i="6"/>
  <c r="B4624" i="6"/>
  <c r="B4625" i="6"/>
  <c r="B4626" i="6"/>
  <c r="B4627" i="6"/>
  <c r="B4628" i="6"/>
  <c r="B4629" i="6"/>
  <c r="B4630" i="6"/>
  <c r="B4631" i="6"/>
  <c r="B4632" i="6"/>
  <c r="B4633" i="6"/>
  <c r="B4634" i="6"/>
  <c r="B4635" i="6"/>
  <c r="B4636" i="6"/>
  <c r="B4637" i="6"/>
  <c r="B4638" i="6"/>
  <c r="B4639" i="6"/>
  <c r="B4640" i="6"/>
  <c r="B4641" i="6"/>
  <c r="B4642" i="6"/>
  <c r="B4643" i="6"/>
  <c r="B4644" i="6"/>
  <c r="B4645" i="6"/>
  <c r="B4646" i="6"/>
  <c r="B4647" i="6"/>
  <c r="B4648" i="6"/>
  <c r="B4649" i="6"/>
  <c r="B4650" i="6"/>
  <c r="B4651" i="6"/>
  <c r="B4652" i="6"/>
  <c r="B4653" i="6"/>
  <c r="B4654" i="6"/>
  <c r="B4655" i="6"/>
  <c r="B4656" i="6"/>
  <c r="B4657" i="6"/>
  <c r="B4658" i="6"/>
  <c r="B4659" i="6"/>
  <c r="B4660" i="6"/>
  <c r="B4661" i="6"/>
  <c r="B4662" i="6"/>
  <c r="B4663" i="6"/>
  <c r="B4664" i="6"/>
  <c r="B4665" i="6"/>
  <c r="B4666" i="6"/>
  <c r="B4667" i="6"/>
  <c r="B4668" i="6"/>
  <c r="B4669" i="6"/>
  <c r="B4670" i="6"/>
  <c r="B4671" i="6"/>
  <c r="B4672" i="6"/>
  <c r="B4673" i="6"/>
  <c r="B4674" i="6"/>
  <c r="B4675" i="6"/>
  <c r="B4676" i="6"/>
  <c r="B4677" i="6"/>
  <c r="B4678" i="6"/>
  <c r="B4679" i="6"/>
  <c r="B4680" i="6"/>
  <c r="B4681" i="6"/>
  <c r="B4682" i="6"/>
  <c r="B4683" i="6"/>
  <c r="B4684" i="6"/>
  <c r="B4685" i="6"/>
  <c r="B4686" i="6"/>
  <c r="B4687" i="6"/>
  <c r="B4688" i="6"/>
  <c r="B4689" i="6"/>
  <c r="B4690" i="6"/>
  <c r="B4691" i="6"/>
  <c r="B4692" i="6"/>
  <c r="B4693" i="6"/>
  <c r="B4694" i="6"/>
  <c r="B4695" i="6"/>
  <c r="B4696" i="6"/>
  <c r="B4697" i="6"/>
  <c r="B4698" i="6"/>
  <c r="B4699" i="6"/>
  <c r="B4700" i="6"/>
  <c r="B4701" i="6"/>
  <c r="B4702" i="6"/>
  <c r="B4703" i="6"/>
  <c r="B4704" i="6"/>
  <c r="B4705" i="6"/>
  <c r="B4706" i="6"/>
  <c r="B4707" i="6"/>
  <c r="B4708" i="6"/>
  <c r="B4709" i="6"/>
  <c r="B4710" i="6"/>
  <c r="B4711" i="6"/>
  <c r="B4712" i="6"/>
  <c r="B4713" i="6"/>
  <c r="B4714" i="6"/>
  <c r="B4715" i="6"/>
  <c r="B4716" i="6"/>
  <c r="B4717" i="6"/>
  <c r="B4718" i="6"/>
  <c r="B4719" i="6"/>
  <c r="B4720" i="6"/>
  <c r="B4721" i="6"/>
  <c r="B4722" i="6"/>
  <c r="B4723" i="6"/>
  <c r="B4724" i="6"/>
  <c r="B4725" i="6"/>
  <c r="B4726" i="6"/>
  <c r="B4727" i="6"/>
  <c r="B4728" i="6"/>
  <c r="B4729" i="6"/>
  <c r="B4730" i="6"/>
  <c r="B4731" i="6"/>
  <c r="B4732" i="6"/>
  <c r="B4733" i="6"/>
  <c r="B4734" i="6"/>
  <c r="B4735" i="6"/>
  <c r="B4736" i="6"/>
  <c r="B4737" i="6"/>
  <c r="B4738" i="6"/>
  <c r="B4739" i="6"/>
  <c r="B4740" i="6"/>
  <c r="B4741" i="6"/>
  <c r="B4742" i="6"/>
  <c r="B4743" i="6"/>
  <c r="B4744" i="6"/>
  <c r="B4745" i="6"/>
  <c r="B4746" i="6"/>
  <c r="B4747" i="6"/>
  <c r="B4748" i="6"/>
  <c r="B4749" i="6"/>
  <c r="B4750" i="6"/>
  <c r="B4751" i="6"/>
  <c r="B4752" i="6"/>
  <c r="B4753" i="6"/>
  <c r="B4754" i="6"/>
  <c r="B4755" i="6"/>
  <c r="B4756" i="6"/>
  <c r="B4757" i="6"/>
  <c r="B4758" i="6"/>
  <c r="B4759" i="6"/>
  <c r="B4760" i="6"/>
  <c r="B4761" i="6"/>
  <c r="B4762" i="6"/>
  <c r="B4763" i="6"/>
  <c r="B4764" i="6"/>
  <c r="B4765" i="6"/>
  <c r="B4766" i="6"/>
  <c r="B4767" i="6"/>
  <c r="B4768" i="6"/>
  <c r="B4769" i="6"/>
  <c r="B4770" i="6"/>
  <c r="B4771" i="6"/>
  <c r="B4772" i="6"/>
  <c r="B4773" i="6"/>
  <c r="B4774" i="6"/>
  <c r="B4775" i="6"/>
  <c r="B4776" i="6"/>
  <c r="B4777" i="6"/>
  <c r="B4778" i="6"/>
  <c r="B4779" i="6"/>
  <c r="B4780" i="6"/>
  <c r="B4781" i="6"/>
  <c r="B4782" i="6"/>
  <c r="B4783" i="6"/>
  <c r="B4784" i="6"/>
  <c r="B4785" i="6"/>
  <c r="B4786" i="6"/>
  <c r="B4787" i="6"/>
  <c r="B4788" i="6"/>
  <c r="B4789" i="6"/>
  <c r="B4790" i="6"/>
  <c r="B4791" i="6"/>
  <c r="B4792" i="6"/>
  <c r="B4793" i="6"/>
  <c r="B4794" i="6"/>
  <c r="B4795" i="6"/>
  <c r="B4796" i="6"/>
  <c r="B4797" i="6"/>
  <c r="B4798" i="6"/>
  <c r="B4799" i="6"/>
  <c r="B4800" i="6"/>
  <c r="B4801" i="6"/>
  <c r="B4802" i="6"/>
  <c r="B4803" i="6"/>
  <c r="B4804" i="6"/>
  <c r="B4805" i="6"/>
  <c r="B4806" i="6"/>
  <c r="B4807" i="6"/>
  <c r="B4808" i="6"/>
  <c r="B4809" i="6"/>
  <c r="B4810" i="6"/>
  <c r="B4811" i="6"/>
  <c r="B4812" i="6"/>
  <c r="B4813" i="6"/>
  <c r="B4814" i="6"/>
  <c r="B4815" i="6"/>
  <c r="B4816" i="6"/>
  <c r="B4817" i="6"/>
  <c r="B4818" i="6"/>
  <c r="B4819" i="6"/>
  <c r="B4820" i="6"/>
  <c r="B4821" i="6"/>
  <c r="B4822" i="6"/>
  <c r="B4823" i="6"/>
  <c r="B4824" i="6"/>
  <c r="B4825" i="6"/>
  <c r="B4826" i="6"/>
  <c r="B4827" i="6"/>
  <c r="B4828" i="6"/>
  <c r="B4829" i="6"/>
  <c r="B4830" i="6"/>
  <c r="B4831" i="6"/>
  <c r="B4832" i="6"/>
  <c r="B4833" i="6"/>
  <c r="B4834" i="6"/>
  <c r="B4835" i="6"/>
  <c r="B4836" i="6"/>
  <c r="B4837" i="6"/>
  <c r="B4838" i="6"/>
  <c r="B4839" i="6"/>
  <c r="B4840" i="6"/>
  <c r="B4841" i="6"/>
  <c r="B4842" i="6"/>
  <c r="B4843" i="6"/>
  <c r="B4844" i="6"/>
  <c r="B4845" i="6"/>
  <c r="B4846" i="6"/>
  <c r="B4847" i="6"/>
  <c r="B4848" i="6"/>
  <c r="B4849" i="6"/>
  <c r="B4850" i="6"/>
  <c r="B4851" i="6"/>
  <c r="B4852" i="6"/>
  <c r="B4853" i="6"/>
  <c r="B4854" i="6"/>
  <c r="B4855" i="6"/>
  <c r="B4856" i="6"/>
  <c r="B4857" i="6"/>
  <c r="B4858" i="6"/>
  <c r="B4859" i="6"/>
  <c r="B4860" i="6"/>
  <c r="B4861" i="6"/>
  <c r="B4862" i="6"/>
  <c r="B4863" i="6"/>
  <c r="B4864" i="6"/>
  <c r="B4865" i="6"/>
  <c r="B4866" i="6"/>
  <c r="B4867" i="6"/>
  <c r="B4868" i="6"/>
  <c r="B4869" i="6"/>
  <c r="B4870" i="6"/>
  <c r="B4871" i="6"/>
  <c r="B4872" i="6"/>
  <c r="B4873" i="6"/>
  <c r="B4874" i="6"/>
  <c r="B4875" i="6"/>
  <c r="B4876" i="6"/>
  <c r="B4877" i="6"/>
  <c r="B4878" i="6"/>
  <c r="B4879" i="6"/>
  <c r="B4880" i="6"/>
  <c r="B4881" i="6"/>
  <c r="B4882" i="6"/>
  <c r="B4883" i="6"/>
  <c r="B4884" i="6"/>
  <c r="B4885" i="6"/>
  <c r="B4886" i="6"/>
  <c r="B4887" i="6"/>
  <c r="B4888" i="6"/>
  <c r="B4889" i="6"/>
  <c r="B4890" i="6"/>
  <c r="B4891" i="6"/>
  <c r="B4892" i="6"/>
  <c r="B4893" i="6"/>
  <c r="B4894" i="6"/>
  <c r="B4895" i="6"/>
  <c r="B4896" i="6"/>
  <c r="B4897" i="6"/>
  <c r="B4898" i="6"/>
  <c r="B4899" i="6"/>
  <c r="B4900" i="6"/>
  <c r="B4901" i="6"/>
  <c r="B4902" i="6"/>
  <c r="B4903" i="6"/>
  <c r="B4904" i="6"/>
  <c r="B4905" i="6"/>
  <c r="B4906" i="6"/>
  <c r="B4907" i="6"/>
  <c r="B4908" i="6"/>
  <c r="B4909" i="6"/>
  <c r="B4910" i="6"/>
  <c r="B4911" i="6"/>
  <c r="B4912" i="6"/>
  <c r="B4913" i="6"/>
  <c r="B4914" i="6"/>
  <c r="B4915" i="6"/>
  <c r="B4916" i="6"/>
  <c r="B4917" i="6"/>
  <c r="B4918" i="6"/>
  <c r="B4919" i="6"/>
  <c r="B4920" i="6"/>
  <c r="B4921" i="6"/>
  <c r="B4922" i="6"/>
  <c r="B4923" i="6"/>
  <c r="B4924" i="6"/>
  <c r="B4925" i="6"/>
  <c r="B4926" i="6"/>
  <c r="B4927" i="6"/>
  <c r="B4928" i="6"/>
  <c r="B4929" i="6"/>
  <c r="B4930" i="6"/>
  <c r="B4931" i="6"/>
  <c r="B4932" i="6"/>
  <c r="B4933" i="6"/>
  <c r="B4934" i="6"/>
  <c r="B4935" i="6"/>
  <c r="B4936" i="6"/>
  <c r="B4937" i="6"/>
  <c r="B4938" i="6"/>
  <c r="B4939" i="6"/>
  <c r="B4940" i="6"/>
  <c r="B4941" i="6"/>
  <c r="B4942" i="6"/>
  <c r="B4943" i="6"/>
  <c r="B4944" i="6"/>
  <c r="B4945" i="6"/>
  <c r="B4946" i="6"/>
  <c r="B4947" i="6"/>
  <c r="B4948" i="6"/>
  <c r="B4949" i="6"/>
  <c r="B4950" i="6"/>
  <c r="B4951" i="6"/>
  <c r="B4952" i="6"/>
  <c r="B4953" i="6"/>
  <c r="B4954" i="6"/>
  <c r="B4955" i="6"/>
  <c r="B4956" i="6"/>
  <c r="B4957" i="6"/>
  <c r="B4958" i="6"/>
  <c r="B4959" i="6"/>
  <c r="B4960" i="6"/>
  <c r="B4961" i="6"/>
  <c r="B4962" i="6"/>
  <c r="B4963" i="6"/>
  <c r="B4964" i="6"/>
  <c r="B4965" i="6"/>
  <c r="B4966" i="6"/>
  <c r="B4967" i="6"/>
  <c r="B4968" i="6"/>
  <c r="B4969" i="6"/>
  <c r="B4970" i="6"/>
  <c r="B4971" i="6"/>
  <c r="B4972" i="6"/>
  <c r="B4973" i="6"/>
  <c r="B4974" i="6"/>
  <c r="B4975" i="6"/>
  <c r="B4976" i="6"/>
  <c r="B4977" i="6"/>
  <c r="B4978" i="6"/>
  <c r="B4979" i="6"/>
  <c r="B4980" i="6"/>
  <c r="B4981" i="6"/>
  <c r="B4982" i="6"/>
  <c r="B4983" i="6"/>
  <c r="B4984" i="6"/>
  <c r="B4985" i="6"/>
  <c r="B4986" i="6"/>
  <c r="B4987" i="6"/>
  <c r="B4988" i="6"/>
  <c r="B4989" i="6"/>
  <c r="B4990" i="6"/>
  <c r="B4991" i="6"/>
  <c r="B4992" i="6"/>
  <c r="B4993" i="6"/>
  <c r="B4994" i="6"/>
  <c r="B4995" i="6"/>
  <c r="B4996" i="6"/>
  <c r="B4997" i="6"/>
  <c r="B4998" i="6"/>
  <c r="B4999" i="6"/>
  <c r="B5000" i="6"/>
  <c r="B5001" i="6"/>
  <c r="B5002" i="6"/>
  <c r="B5003" i="6"/>
  <c r="B5004" i="6"/>
  <c r="B5005" i="6"/>
  <c r="B5006" i="6"/>
  <c r="B5007" i="6"/>
  <c r="B5008" i="6"/>
  <c r="B5009" i="6"/>
  <c r="B5010" i="6"/>
  <c r="B5011" i="6"/>
  <c r="B5012" i="6"/>
  <c r="B5013" i="6"/>
  <c r="B5014" i="6"/>
  <c r="B5015" i="6"/>
  <c r="B5016" i="6"/>
  <c r="B5017" i="6"/>
  <c r="B5018" i="6"/>
  <c r="B5019" i="6"/>
  <c r="B5020" i="6"/>
  <c r="B5021" i="6"/>
  <c r="B5022" i="6"/>
  <c r="B5023" i="6"/>
  <c r="B5024" i="6"/>
  <c r="B5025" i="6"/>
  <c r="B5026" i="6"/>
  <c r="B5027" i="6"/>
  <c r="B5028" i="6"/>
  <c r="B5029" i="6"/>
  <c r="B5030" i="6"/>
  <c r="B5031" i="6"/>
  <c r="B5032" i="6"/>
  <c r="B5033" i="6"/>
  <c r="B5034" i="6"/>
  <c r="B5035" i="6"/>
  <c r="B5036" i="6"/>
  <c r="B5037" i="6"/>
  <c r="B5038" i="6"/>
  <c r="B5039" i="6"/>
  <c r="B5040" i="6"/>
  <c r="B5041" i="6"/>
  <c r="B5042" i="6"/>
  <c r="B5043" i="6"/>
  <c r="B5044" i="6"/>
  <c r="B5045" i="6"/>
  <c r="B5046" i="6"/>
  <c r="B5047" i="6"/>
  <c r="B5048" i="6"/>
  <c r="B5049" i="6"/>
  <c r="B5050" i="6"/>
  <c r="B5051" i="6"/>
  <c r="B5052" i="6"/>
  <c r="B5053" i="6"/>
  <c r="B5054" i="6"/>
  <c r="B5055" i="6"/>
  <c r="B5056" i="6"/>
  <c r="B5057" i="6"/>
  <c r="B5058" i="6"/>
  <c r="B5059" i="6"/>
  <c r="B5060" i="6"/>
  <c r="B5061" i="6"/>
  <c r="B5062" i="6"/>
  <c r="B5063" i="6"/>
  <c r="B5064" i="6"/>
  <c r="B5065" i="6"/>
  <c r="B5066" i="6"/>
  <c r="B5067" i="6"/>
  <c r="B5068" i="6"/>
  <c r="B5069" i="6"/>
  <c r="B5070" i="6"/>
  <c r="B5071" i="6"/>
  <c r="B5072" i="6"/>
  <c r="B5073" i="6"/>
  <c r="B5074" i="6"/>
  <c r="B5075" i="6"/>
  <c r="B5076" i="6"/>
  <c r="B5077" i="6"/>
  <c r="B5078" i="6"/>
  <c r="B5079" i="6"/>
  <c r="B5080" i="6"/>
  <c r="B5081" i="6"/>
  <c r="B5082" i="6"/>
  <c r="B5083" i="6"/>
  <c r="B5084" i="6"/>
  <c r="B5085" i="6"/>
  <c r="B5086" i="6"/>
  <c r="B5087" i="6"/>
  <c r="B5088" i="6"/>
  <c r="B5089" i="6"/>
  <c r="B5090" i="6"/>
  <c r="B5091" i="6"/>
  <c r="B5092" i="6"/>
  <c r="B5093" i="6"/>
  <c r="B5094" i="6"/>
  <c r="B5095" i="6"/>
  <c r="B5096" i="6"/>
  <c r="B5097" i="6"/>
  <c r="B5098" i="6"/>
  <c r="B5099" i="6"/>
  <c r="B5100" i="6"/>
  <c r="B5101" i="6"/>
  <c r="B5102" i="6"/>
  <c r="B5103" i="6"/>
  <c r="B5104" i="6"/>
  <c r="B5105" i="6"/>
  <c r="B5106" i="6"/>
  <c r="B5107" i="6"/>
  <c r="B5108" i="6"/>
  <c r="B5109" i="6"/>
  <c r="B5110" i="6"/>
  <c r="B5111" i="6"/>
  <c r="B5112" i="6"/>
  <c r="B5113" i="6"/>
  <c r="B5114" i="6"/>
  <c r="B5115" i="6"/>
  <c r="B5116" i="6"/>
  <c r="B5117" i="6"/>
  <c r="B5118" i="6"/>
  <c r="B5119" i="6"/>
  <c r="B5120" i="6"/>
  <c r="B5121" i="6"/>
  <c r="B5122" i="6"/>
  <c r="B5123" i="6"/>
  <c r="B5124" i="6"/>
  <c r="B5125" i="6"/>
  <c r="B5126" i="6"/>
  <c r="B5127" i="6"/>
  <c r="B5128" i="6"/>
  <c r="B5129" i="6"/>
  <c r="B5130" i="6"/>
  <c r="B5131" i="6"/>
  <c r="B5132" i="6"/>
  <c r="B5133" i="6"/>
  <c r="B5134" i="6"/>
  <c r="B5135" i="6"/>
  <c r="B5136" i="6"/>
  <c r="B5137" i="6"/>
  <c r="B5138" i="6"/>
  <c r="B5139" i="6"/>
  <c r="B5140" i="6"/>
  <c r="B5141" i="6"/>
  <c r="B5142" i="6"/>
  <c r="B5143" i="6"/>
  <c r="B5144" i="6"/>
  <c r="B5145" i="6"/>
  <c r="B5146" i="6"/>
  <c r="B5147" i="6"/>
  <c r="B5148" i="6"/>
  <c r="B5149" i="6"/>
  <c r="B5150" i="6"/>
  <c r="B5151" i="6"/>
  <c r="B5152" i="6"/>
  <c r="B5153" i="6"/>
  <c r="B5154" i="6"/>
  <c r="B5155" i="6"/>
  <c r="B5156" i="6"/>
  <c r="B5157" i="6"/>
  <c r="B5158" i="6"/>
  <c r="B5159" i="6"/>
  <c r="B5160" i="6"/>
  <c r="B5161" i="6"/>
  <c r="B5162" i="6"/>
  <c r="B5163" i="6"/>
  <c r="B5164" i="6"/>
  <c r="B5165" i="6"/>
  <c r="B5166" i="6"/>
  <c r="B5167" i="6"/>
  <c r="B5168" i="6"/>
  <c r="B5169" i="6"/>
  <c r="B5170" i="6"/>
  <c r="B5171" i="6"/>
  <c r="B5172" i="6"/>
  <c r="B5173" i="6"/>
  <c r="B5174" i="6"/>
  <c r="B5175" i="6"/>
  <c r="B5176" i="6"/>
  <c r="B5177" i="6"/>
  <c r="B5178" i="6"/>
  <c r="B5179" i="6"/>
  <c r="B5180" i="6"/>
  <c r="B5181" i="6"/>
  <c r="B5182" i="6"/>
  <c r="B5183" i="6"/>
  <c r="B5184" i="6"/>
  <c r="B5185" i="6"/>
  <c r="B5186" i="6"/>
  <c r="B5187" i="6"/>
  <c r="B5188" i="6"/>
  <c r="B5189" i="6"/>
  <c r="B5190" i="6"/>
  <c r="B5191" i="6"/>
  <c r="B5192" i="6"/>
  <c r="B5193" i="6"/>
  <c r="B5194" i="6"/>
  <c r="B5195" i="6"/>
  <c r="B5196" i="6"/>
  <c r="B5197" i="6"/>
  <c r="B5198" i="6"/>
  <c r="B5199" i="6"/>
  <c r="B5200" i="6"/>
  <c r="B5201" i="6"/>
  <c r="B5202" i="6"/>
  <c r="B5203" i="6"/>
  <c r="B5204" i="6"/>
  <c r="B5205" i="6"/>
  <c r="B5206" i="6"/>
  <c r="B5207" i="6"/>
  <c r="B5208" i="6"/>
  <c r="B5209" i="6"/>
  <c r="B5210" i="6"/>
  <c r="B5211" i="6"/>
  <c r="B5212" i="6"/>
  <c r="B5213" i="6"/>
  <c r="B5214" i="6"/>
  <c r="B5215" i="6"/>
  <c r="B5216" i="6"/>
  <c r="B5217" i="6"/>
  <c r="B5218" i="6"/>
  <c r="B5219" i="6"/>
  <c r="B5220" i="6"/>
  <c r="B5221" i="6"/>
  <c r="B5222" i="6"/>
  <c r="B5223" i="6"/>
  <c r="B5224" i="6"/>
  <c r="B5225" i="6"/>
  <c r="B5226" i="6"/>
  <c r="B5227" i="6"/>
  <c r="B5228" i="6"/>
  <c r="B5229" i="6"/>
  <c r="B5230" i="6"/>
  <c r="B5231" i="6"/>
  <c r="B5232" i="6"/>
  <c r="B5233" i="6"/>
  <c r="B5234" i="6"/>
  <c r="B5235" i="6"/>
  <c r="B5236" i="6"/>
  <c r="B5237" i="6"/>
  <c r="B5238" i="6"/>
  <c r="B5239" i="6"/>
  <c r="B5240" i="6"/>
  <c r="B5241" i="6"/>
  <c r="B5242" i="6"/>
  <c r="B5243" i="6"/>
  <c r="B5244" i="6"/>
  <c r="B5245" i="6"/>
  <c r="B5246" i="6"/>
  <c r="B5247" i="6"/>
  <c r="B5248" i="6"/>
  <c r="B5249" i="6"/>
  <c r="B5250" i="6"/>
  <c r="B5251" i="6"/>
  <c r="B5252" i="6"/>
  <c r="B5253" i="6"/>
  <c r="B5254" i="6"/>
  <c r="B5255" i="6"/>
  <c r="B5256" i="6"/>
  <c r="B5257" i="6"/>
  <c r="B5258" i="6"/>
  <c r="B5259" i="6"/>
  <c r="B5260" i="6"/>
  <c r="B5261" i="6"/>
  <c r="B5262" i="6"/>
  <c r="B5263" i="6"/>
  <c r="B5264" i="6"/>
  <c r="B5265" i="6"/>
  <c r="B5266" i="6"/>
  <c r="B5267" i="6"/>
  <c r="B5268" i="6"/>
  <c r="B5269" i="6"/>
  <c r="B5270" i="6"/>
  <c r="B5271" i="6"/>
  <c r="B5272" i="6"/>
  <c r="B5273" i="6"/>
  <c r="B5274" i="6"/>
  <c r="B5275" i="6"/>
  <c r="B5276" i="6"/>
  <c r="B5277" i="6"/>
  <c r="B5278" i="6"/>
  <c r="B5279" i="6"/>
  <c r="B5280" i="6"/>
  <c r="B5281" i="6"/>
  <c r="B5282" i="6"/>
  <c r="B5283" i="6"/>
  <c r="B5284" i="6"/>
  <c r="B5285" i="6"/>
  <c r="B5286" i="6"/>
  <c r="B5287" i="6"/>
  <c r="B5288" i="6"/>
  <c r="B5289" i="6"/>
  <c r="B5290" i="6"/>
  <c r="B5291" i="6"/>
  <c r="B5292" i="6"/>
  <c r="B5293" i="6"/>
  <c r="B5294" i="6"/>
  <c r="B5295" i="6"/>
  <c r="B5296" i="6"/>
  <c r="B5297" i="6"/>
  <c r="B5298" i="6"/>
  <c r="B5299" i="6"/>
  <c r="B5300" i="6"/>
  <c r="B5301" i="6"/>
  <c r="B5302" i="6"/>
  <c r="B5303" i="6"/>
  <c r="B5304" i="6"/>
  <c r="B5305" i="6"/>
  <c r="B5306" i="6"/>
  <c r="B5307" i="6"/>
  <c r="B5308" i="6"/>
  <c r="B5309" i="6"/>
  <c r="B5310" i="6"/>
  <c r="B5311" i="6"/>
  <c r="B5312" i="6"/>
  <c r="B5313" i="6"/>
  <c r="B5314" i="6"/>
  <c r="B5315" i="6"/>
  <c r="B5316" i="6"/>
  <c r="B5317" i="6"/>
  <c r="B5318" i="6"/>
  <c r="B5319" i="6"/>
  <c r="B5320" i="6"/>
  <c r="B5321" i="6"/>
  <c r="B5322" i="6"/>
  <c r="B5323" i="6"/>
  <c r="B5324" i="6"/>
  <c r="B5325" i="6"/>
  <c r="B5326" i="6"/>
  <c r="B5327" i="6"/>
  <c r="B5328" i="6"/>
  <c r="B5329" i="6"/>
  <c r="B5330" i="6"/>
  <c r="B5331" i="6"/>
  <c r="B5332" i="6"/>
  <c r="B5333" i="6"/>
  <c r="B5334" i="6"/>
  <c r="B5335" i="6"/>
  <c r="B5336" i="6"/>
  <c r="B5337" i="6"/>
  <c r="B5338" i="6"/>
  <c r="B5339" i="6"/>
  <c r="B5340" i="6"/>
  <c r="B5341" i="6"/>
  <c r="B5342" i="6"/>
  <c r="B5343" i="6"/>
  <c r="B5344" i="6"/>
  <c r="B5345" i="6"/>
  <c r="B5346" i="6"/>
  <c r="B5347" i="6"/>
  <c r="B5348" i="6"/>
  <c r="B5349" i="6"/>
  <c r="B5350" i="6"/>
  <c r="B5351" i="6"/>
  <c r="B5352" i="6"/>
  <c r="B5353" i="6"/>
  <c r="B5354" i="6"/>
  <c r="B5355" i="6"/>
  <c r="B5356" i="6"/>
  <c r="B5357" i="6"/>
  <c r="B5358" i="6"/>
  <c r="B5359" i="6"/>
  <c r="B5360" i="6"/>
  <c r="B5361" i="6"/>
  <c r="B5362" i="6"/>
  <c r="B5363" i="6"/>
  <c r="B5364" i="6"/>
  <c r="B5365" i="6"/>
  <c r="B5366" i="6"/>
  <c r="B5367" i="6"/>
  <c r="B5368" i="6"/>
  <c r="B5369" i="6"/>
  <c r="B5370" i="6"/>
  <c r="B5371" i="6"/>
  <c r="B5372" i="6"/>
  <c r="B5373" i="6"/>
  <c r="B5374" i="6"/>
  <c r="B5375" i="6"/>
  <c r="B5376" i="6"/>
  <c r="B5377" i="6"/>
  <c r="B5378" i="6"/>
  <c r="B5379" i="6"/>
  <c r="B5380" i="6"/>
  <c r="B5381" i="6"/>
  <c r="B5382" i="6"/>
  <c r="B5383" i="6"/>
  <c r="B5384" i="6"/>
  <c r="B5385" i="6"/>
  <c r="B5386" i="6"/>
  <c r="B5387" i="6"/>
  <c r="B5388" i="6"/>
  <c r="B5389" i="6"/>
  <c r="B5390" i="6"/>
  <c r="B5391" i="6"/>
  <c r="B5392" i="6"/>
  <c r="B5393" i="6"/>
  <c r="B5394" i="6"/>
  <c r="B5395" i="6"/>
  <c r="B5396" i="6"/>
  <c r="B5397" i="6"/>
  <c r="B5398" i="6"/>
  <c r="B5399" i="6"/>
  <c r="B5400" i="6"/>
  <c r="B5401" i="6"/>
  <c r="B5402" i="6"/>
  <c r="B5403" i="6"/>
  <c r="B5404" i="6"/>
  <c r="B5405" i="6"/>
  <c r="B5406" i="6"/>
  <c r="B5407" i="6"/>
  <c r="B5408" i="6"/>
  <c r="B5409" i="6"/>
  <c r="B5410" i="6"/>
  <c r="B5411" i="6"/>
  <c r="B5412" i="6"/>
  <c r="B5413" i="6"/>
  <c r="B5414" i="6"/>
  <c r="B5415" i="6"/>
  <c r="B5416" i="6"/>
  <c r="B5417" i="6"/>
  <c r="B5418" i="6"/>
  <c r="B5419" i="6"/>
  <c r="B5420" i="6"/>
  <c r="B5421" i="6"/>
  <c r="B5422" i="6"/>
  <c r="B5423" i="6"/>
  <c r="B5424" i="6"/>
  <c r="B5425" i="6"/>
  <c r="B5426" i="6"/>
  <c r="B5427" i="6"/>
  <c r="B5428" i="6"/>
  <c r="B5429" i="6"/>
  <c r="B5430" i="6"/>
  <c r="B5431" i="6"/>
  <c r="B5432" i="6"/>
  <c r="B5433" i="6"/>
  <c r="B5434" i="6"/>
  <c r="B5435" i="6"/>
  <c r="B5436" i="6"/>
  <c r="B5437" i="6"/>
  <c r="B5438" i="6"/>
  <c r="B5439" i="6"/>
  <c r="B5440" i="6"/>
  <c r="B5441" i="6"/>
  <c r="B5442" i="6"/>
  <c r="B5443" i="6"/>
  <c r="B5444" i="6"/>
  <c r="B5445" i="6"/>
  <c r="B5446" i="6"/>
  <c r="B5447" i="6"/>
  <c r="B5448" i="6"/>
  <c r="B5449" i="6"/>
  <c r="B5450" i="6"/>
  <c r="B5451" i="6"/>
  <c r="B5452" i="6"/>
  <c r="B5453" i="6"/>
  <c r="B5454" i="6"/>
  <c r="B5455" i="6"/>
  <c r="B5456" i="6"/>
  <c r="B5457" i="6"/>
  <c r="B5458" i="6"/>
  <c r="B5459" i="6"/>
  <c r="B5460" i="6"/>
  <c r="B5461" i="6"/>
  <c r="B5462" i="6"/>
  <c r="B5463" i="6"/>
  <c r="B5464" i="6"/>
  <c r="B5465" i="6"/>
  <c r="B5466" i="6"/>
  <c r="B5467" i="6"/>
  <c r="B5468" i="6"/>
  <c r="B5469" i="6"/>
  <c r="B5470" i="6"/>
  <c r="B5471" i="6"/>
  <c r="B5472" i="6"/>
  <c r="B5473" i="6"/>
  <c r="B5474" i="6"/>
  <c r="B5475" i="6"/>
  <c r="B5476" i="6"/>
  <c r="B5477" i="6"/>
  <c r="B5478" i="6"/>
  <c r="B5479" i="6"/>
  <c r="B5480" i="6"/>
  <c r="B5481" i="6"/>
  <c r="B5482" i="6"/>
  <c r="B5483" i="6"/>
  <c r="B5484" i="6"/>
  <c r="B5485" i="6"/>
  <c r="B5486" i="6"/>
  <c r="B5487" i="6"/>
  <c r="B5488" i="6"/>
  <c r="B5489" i="6"/>
  <c r="B5490" i="6"/>
  <c r="B5491" i="6"/>
  <c r="B5492" i="6"/>
  <c r="B5493" i="6"/>
  <c r="B5494" i="6"/>
  <c r="B5495" i="6"/>
  <c r="B5496" i="6"/>
  <c r="B5497" i="6"/>
  <c r="B5498" i="6"/>
  <c r="B5499" i="6"/>
  <c r="B5500" i="6"/>
  <c r="B5501" i="6"/>
  <c r="B5502" i="6"/>
  <c r="B5503" i="6"/>
  <c r="B5504" i="6"/>
  <c r="B5505" i="6"/>
  <c r="B5506" i="6"/>
  <c r="B5507" i="6"/>
  <c r="B5508" i="6"/>
  <c r="B5509" i="6"/>
  <c r="B5510" i="6"/>
  <c r="B5511" i="6"/>
  <c r="B5512" i="6"/>
  <c r="B5513" i="6"/>
  <c r="B5514" i="6"/>
  <c r="B5515" i="6"/>
  <c r="B5516" i="6"/>
  <c r="B5517" i="6"/>
  <c r="B5518" i="6"/>
  <c r="B5519" i="6"/>
  <c r="B5520" i="6"/>
  <c r="B5521" i="6"/>
  <c r="B5522" i="6"/>
  <c r="B5523" i="6"/>
  <c r="B5524" i="6"/>
  <c r="B5525" i="6"/>
  <c r="B5526" i="6"/>
  <c r="B5527" i="6"/>
  <c r="B5528" i="6"/>
  <c r="B5529" i="6"/>
  <c r="B5530" i="6"/>
  <c r="B5531" i="6"/>
  <c r="B5532" i="6"/>
  <c r="B5533" i="6"/>
  <c r="B5534" i="6"/>
  <c r="B5535" i="6"/>
  <c r="B5536" i="6"/>
  <c r="B5537" i="6"/>
  <c r="B5538" i="6"/>
  <c r="B5539" i="6"/>
  <c r="B5540" i="6"/>
  <c r="B5541" i="6"/>
  <c r="B5542" i="6"/>
  <c r="B5543" i="6"/>
  <c r="B5544" i="6"/>
  <c r="B5545" i="6"/>
  <c r="B5546" i="6"/>
  <c r="B5547" i="6"/>
  <c r="B5548" i="6"/>
  <c r="B5549" i="6"/>
  <c r="B5550" i="6"/>
  <c r="B5551" i="6"/>
  <c r="B5552" i="6"/>
  <c r="B5553" i="6"/>
  <c r="B5554" i="6"/>
  <c r="B5555" i="6"/>
  <c r="B5556" i="6"/>
  <c r="B5557" i="6"/>
  <c r="B5558" i="6"/>
  <c r="B5559" i="6"/>
  <c r="B5560" i="6"/>
  <c r="B5561" i="6"/>
  <c r="B5562" i="6"/>
  <c r="B5563" i="6"/>
  <c r="B5564" i="6"/>
  <c r="B5565" i="6"/>
  <c r="B5566" i="6"/>
  <c r="B5567" i="6"/>
  <c r="B5568" i="6"/>
  <c r="B5569" i="6"/>
  <c r="B5570" i="6"/>
  <c r="B5571" i="6"/>
  <c r="B5572" i="6"/>
  <c r="B5573" i="6"/>
  <c r="B5574" i="6"/>
  <c r="B5575" i="6"/>
  <c r="B5576" i="6"/>
  <c r="B5577" i="6"/>
  <c r="B5578" i="6"/>
  <c r="B5579" i="6"/>
  <c r="B5580" i="6"/>
  <c r="B5581" i="6"/>
  <c r="B5582" i="6"/>
  <c r="B5583" i="6"/>
  <c r="B5584" i="6"/>
  <c r="B5585" i="6"/>
  <c r="B5586" i="6"/>
  <c r="B5587" i="6"/>
  <c r="B5588" i="6"/>
  <c r="B5589" i="6"/>
  <c r="B5590" i="6"/>
  <c r="B5591" i="6"/>
  <c r="B5592" i="6"/>
  <c r="B5593" i="6"/>
  <c r="B5594" i="6"/>
  <c r="B5595" i="6"/>
  <c r="B5596" i="6"/>
  <c r="B5597" i="6"/>
  <c r="B5598" i="6"/>
  <c r="B5599" i="6"/>
  <c r="B5600" i="6"/>
  <c r="B5601" i="6"/>
  <c r="B5602" i="6"/>
  <c r="B5603" i="6"/>
  <c r="B5604" i="6"/>
  <c r="B5605" i="6"/>
  <c r="B5606" i="6"/>
  <c r="B5607" i="6"/>
  <c r="B5608" i="6"/>
  <c r="B5609" i="6"/>
  <c r="B5610" i="6"/>
  <c r="B5611" i="6"/>
  <c r="B5612" i="6"/>
  <c r="B5613" i="6"/>
  <c r="B5614" i="6"/>
  <c r="B5615" i="6"/>
  <c r="B5616" i="6"/>
  <c r="B5617" i="6"/>
  <c r="B5618" i="6"/>
  <c r="B5619" i="6"/>
  <c r="B5620" i="6"/>
  <c r="B5621" i="6"/>
  <c r="B5622" i="6"/>
  <c r="B5623" i="6"/>
  <c r="B5624" i="6"/>
  <c r="B5625" i="6"/>
  <c r="B5626" i="6"/>
  <c r="B2" i="6"/>
  <c r="N3498" i="1"/>
  <c r="M3498" i="1"/>
  <c r="L3498" i="1"/>
  <c r="N3497" i="1"/>
  <c r="M3497" i="1"/>
  <c r="L3497" i="1"/>
  <c r="N3496" i="1"/>
  <c r="M3496" i="1"/>
  <c r="L3496" i="1"/>
  <c r="N3495" i="1"/>
  <c r="M3495" i="1"/>
  <c r="L3495" i="1"/>
  <c r="N3494" i="1"/>
  <c r="M3494" i="1"/>
  <c r="L3494" i="1"/>
  <c r="N3493" i="1"/>
  <c r="M3493" i="1"/>
  <c r="L3493" i="1"/>
  <c r="N3492" i="1"/>
  <c r="M3492" i="1"/>
  <c r="L3492" i="1"/>
  <c r="N3491" i="1"/>
  <c r="M3491" i="1"/>
  <c r="L3491" i="1"/>
  <c r="N3490" i="1"/>
  <c r="M3490" i="1"/>
  <c r="L3490" i="1"/>
  <c r="N3489" i="1"/>
  <c r="M3489" i="1"/>
  <c r="L3489" i="1"/>
  <c r="N3488" i="1"/>
  <c r="M3488" i="1"/>
  <c r="L3488" i="1"/>
  <c r="N3487" i="1"/>
  <c r="M3487" i="1"/>
  <c r="L3487" i="1"/>
  <c r="N3486" i="1"/>
  <c r="M3486" i="1"/>
  <c r="L3486" i="1"/>
  <c r="M3485" i="1"/>
  <c r="L3485" i="1"/>
  <c r="N3484" i="1"/>
  <c r="M3484" i="1"/>
  <c r="L3484" i="1"/>
  <c r="N3483" i="1"/>
  <c r="M3483" i="1"/>
  <c r="L3483" i="1"/>
  <c r="N3482" i="1"/>
  <c r="M3482" i="1"/>
  <c r="L3482" i="1"/>
  <c r="N3481" i="1"/>
  <c r="M3481" i="1"/>
  <c r="L3481" i="1"/>
  <c r="N3480" i="1"/>
  <c r="M3480" i="1"/>
  <c r="L3480" i="1"/>
  <c r="N3479" i="1"/>
  <c r="M3479" i="1"/>
  <c r="L3479" i="1"/>
  <c r="N3478" i="1"/>
  <c r="M3478" i="1"/>
  <c r="L3478" i="1"/>
  <c r="N3477" i="1"/>
  <c r="M3477" i="1"/>
  <c r="L3477" i="1"/>
  <c r="N3476" i="1"/>
  <c r="M3476" i="1"/>
  <c r="L3476" i="1"/>
  <c r="N3475" i="1"/>
  <c r="M3475" i="1"/>
  <c r="L3475" i="1"/>
  <c r="N3474" i="1"/>
  <c r="M3474" i="1"/>
  <c r="L3474" i="1"/>
  <c r="N3473" i="1"/>
  <c r="M3473" i="1"/>
  <c r="L3473" i="1"/>
  <c r="N3472" i="1"/>
  <c r="M3472" i="1"/>
  <c r="L3472" i="1"/>
  <c r="N3471" i="1"/>
  <c r="M3471" i="1"/>
  <c r="L3471" i="1"/>
  <c r="N3470" i="1"/>
  <c r="M3470" i="1"/>
  <c r="L3470" i="1"/>
  <c r="N3469" i="1"/>
  <c r="M3469" i="1"/>
  <c r="L3469" i="1"/>
  <c r="N3468" i="1"/>
  <c r="M3468" i="1"/>
  <c r="L3468" i="1"/>
  <c r="N3467" i="1"/>
  <c r="M3467" i="1"/>
  <c r="L3467" i="1"/>
  <c r="N3466" i="1"/>
  <c r="M3466" i="1"/>
  <c r="L3466" i="1"/>
  <c r="N3465" i="1"/>
  <c r="M3465" i="1"/>
  <c r="L3465" i="1"/>
  <c r="N3464" i="1"/>
  <c r="M3464" i="1"/>
  <c r="L3464" i="1"/>
  <c r="N3463" i="1"/>
  <c r="M3463" i="1"/>
  <c r="L3463" i="1"/>
  <c r="N3462" i="1"/>
  <c r="M3462" i="1"/>
  <c r="L3462" i="1"/>
  <c r="N3461" i="1"/>
  <c r="M3461" i="1"/>
  <c r="L3461" i="1"/>
  <c r="N3460" i="1"/>
  <c r="M3460" i="1"/>
  <c r="L3460" i="1"/>
  <c r="N3459" i="1"/>
  <c r="M3459" i="1"/>
  <c r="L3459" i="1"/>
  <c r="N3458" i="1"/>
  <c r="M3458" i="1"/>
  <c r="L3458" i="1"/>
  <c r="N3457" i="1"/>
  <c r="M3457" i="1"/>
  <c r="L3457" i="1"/>
  <c r="N3456" i="1"/>
  <c r="M3456" i="1"/>
  <c r="L3456" i="1"/>
  <c r="N3455" i="1"/>
  <c r="M3455" i="1"/>
  <c r="L3455" i="1"/>
  <c r="N3454" i="1"/>
  <c r="M3454" i="1"/>
  <c r="L3454" i="1"/>
  <c r="N3453" i="1"/>
  <c r="M3453" i="1"/>
  <c r="L3453" i="1"/>
  <c r="N3452" i="1"/>
  <c r="M3452" i="1"/>
  <c r="L3452" i="1"/>
  <c r="N3451" i="1"/>
  <c r="M3451" i="1"/>
  <c r="L3451" i="1"/>
  <c r="N3450" i="1"/>
  <c r="M3450" i="1"/>
  <c r="L3450" i="1"/>
  <c r="N3449" i="1"/>
  <c r="M3449" i="1"/>
  <c r="L3449" i="1"/>
  <c r="N3448" i="1"/>
  <c r="M3448" i="1"/>
  <c r="L3448" i="1"/>
  <c r="N3447" i="1"/>
  <c r="M3447" i="1"/>
  <c r="L3447" i="1"/>
  <c r="N3446" i="1"/>
  <c r="M3446" i="1"/>
  <c r="L3446" i="1"/>
  <c r="N3445" i="1"/>
  <c r="M3445" i="1"/>
  <c r="L3445" i="1"/>
  <c r="N3444" i="1"/>
  <c r="M3444" i="1"/>
  <c r="L3444" i="1"/>
  <c r="N3443" i="1"/>
  <c r="M3443" i="1"/>
  <c r="L3443" i="1"/>
  <c r="N3442" i="1"/>
  <c r="M3442" i="1"/>
  <c r="L3442" i="1"/>
  <c r="N3441" i="1"/>
  <c r="M3441" i="1"/>
  <c r="L3441" i="1"/>
  <c r="N3440" i="1"/>
  <c r="M3440" i="1"/>
  <c r="L3440" i="1"/>
  <c r="N3439" i="1"/>
  <c r="M3439" i="1"/>
  <c r="L3439" i="1"/>
  <c r="N3438" i="1"/>
  <c r="M3438" i="1"/>
  <c r="L3438" i="1"/>
  <c r="N3437" i="1"/>
  <c r="M3437" i="1"/>
  <c r="L3437" i="1"/>
  <c r="N3436" i="1"/>
  <c r="M3436" i="1"/>
  <c r="L3436" i="1"/>
  <c r="N3435" i="1"/>
  <c r="M3435" i="1"/>
  <c r="L3435" i="1"/>
  <c r="N3434" i="1"/>
  <c r="M3434" i="1"/>
  <c r="L3434" i="1"/>
  <c r="N3433" i="1"/>
  <c r="M3433" i="1"/>
  <c r="L3433" i="1"/>
  <c r="N3432" i="1"/>
  <c r="M3432" i="1"/>
  <c r="L3432" i="1"/>
  <c r="N3431" i="1"/>
  <c r="M3431" i="1"/>
  <c r="L3431" i="1"/>
  <c r="N3430" i="1"/>
  <c r="M3430" i="1"/>
  <c r="L3430" i="1"/>
  <c r="N3429" i="1"/>
  <c r="M3429" i="1"/>
  <c r="L3429" i="1"/>
  <c r="N3428" i="1"/>
  <c r="M3428" i="1"/>
  <c r="L3428" i="1"/>
  <c r="N3427" i="1"/>
  <c r="M3427" i="1"/>
  <c r="L3427" i="1"/>
  <c r="N3426" i="1"/>
  <c r="M3426" i="1"/>
  <c r="L3426" i="1"/>
  <c r="N3425" i="1"/>
  <c r="M3425" i="1"/>
  <c r="L3425" i="1"/>
  <c r="N3424" i="1"/>
  <c r="M3424" i="1"/>
  <c r="L3424" i="1"/>
  <c r="N3423" i="1"/>
  <c r="M3423" i="1"/>
  <c r="L3423" i="1"/>
  <c r="N3422" i="1"/>
  <c r="M3422" i="1"/>
  <c r="L3422" i="1"/>
  <c r="N3421" i="1"/>
  <c r="M3421" i="1"/>
  <c r="L3421" i="1"/>
  <c r="N3420" i="1"/>
  <c r="M3420" i="1"/>
  <c r="L3420" i="1"/>
  <c r="N3419" i="1"/>
  <c r="M3419" i="1"/>
  <c r="L3419" i="1"/>
  <c r="N3418" i="1"/>
  <c r="M3418" i="1"/>
  <c r="L3418" i="1"/>
  <c r="N3417" i="1"/>
  <c r="M3417" i="1"/>
  <c r="L3417" i="1"/>
  <c r="N3416" i="1"/>
  <c r="M3416" i="1"/>
  <c r="L3416" i="1"/>
  <c r="N3415" i="1"/>
  <c r="M3415" i="1"/>
  <c r="L3415" i="1"/>
  <c r="N3414" i="1"/>
  <c r="M3414" i="1"/>
  <c r="L3414" i="1"/>
  <c r="N3413" i="1"/>
  <c r="M3413" i="1"/>
  <c r="L3413" i="1"/>
  <c r="N3412" i="1"/>
  <c r="M3412" i="1"/>
  <c r="L3412" i="1"/>
  <c r="N3411" i="1"/>
  <c r="M3411" i="1"/>
  <c r="L3411" i="1"/>
  <c r="N3410" i="1"/>
  <c r="M3410" i="1"/>
  <c r="L3410" i="1"/>
  <c r="N3409" i="1"/>
  <c r="M3409" i="1"/>
  <c r="L3409" i="1"/>
  <c r="N3408" i="1"/>
  <c r="M3408" i="1"/>
  <c r="L3408" i="1"/>
  <c r="N3407" i="1"/>
  <c r="M3407" i="1"/>
  <c r="L3407" i="1"/>
  <c r="N3406" i="1"/>
  <c r="M3406" i="1"/>
  <c r="L3406" i="1"/>
  <c r="N3405" i="1"/>
  <c r="M3405" i="1"/>
  <c r="L3405" i="1"/>
  <c r="N3404" i="1"/>
  <c r="M3404" i="1"/>
  <c r="L3404" i="1"/>
  <c r="N3403" i="1"/>
  <c r="M3403" i="1"/>
  <c r="L3403" i="1"/>
  <c r="N3402" i="1"/>
  <c r="M3402" i="1"/>
  <c r="L3402" i="1"/>
  <c r="N3401" i="1"/>
  <c r="M3401" i="1"/>
  <c r="L3401" i="1"/>
  <c r="N3400" i="1"/>
  <c r="M3400" i="1"/>
  <c r="L3400" i="1"/>
  <c r="N3399" i="1"/>
  <c r="M3399" i="1"/>
  <c r="L3399" i="1"/>
  <c r="N3398" i="1"/>
  <c r="M3398" i="1"/>
  <c r="L3398" i="1"/>
  <c r="N3397" i="1"/>
  <c r="M3397" i="1"/>
  <c r="L3397" i="1"/>
  <c r="N3396" i="1"/>
  <c r="M3396" i="1"/>
  <c r="L3396" i="1"/>
  <c r="N3395" i="1"/>
  <c r="M3395" i="1"/>
  <c r="L3395" i="1"/>
  <c r="N3394" i="1"/>
  <c r="M3394" i="1"/>
  <c r="L3394" i="1"/>
  <c r="N3393" i="1"/>
  <c r="M3393" i="1"/>
  <c r="L3393" i="1"/>
  <c r="N3392" i="1"/>
  <c r="M3392" i="1"/>
  <c r="L3392" i="1"/>
  <c r="N3391" i="1"/>
  <c r="M3391" i="1"/>
  <c r="L3391" i="1"/>
  <c r="N3390" i="1"/>
  <c r="M3390" i="1"/>
  <c r="L3390" i="1"/>
  <c r="N3389" i="1"/>
  <c r="M3389" i="1"/>
  <c r="L3389" i="1"/>
  <c r="N3388" i="1"/>
  <c r="M3388" i="1"/>
  <c r="L3388" i="1"/>
  <c r="N3387" i="1"/>
  <c r="M3387" i="1"/>
  <c r="L3387" i="1"/>
  <c r="N3386" i="1"/>
  <c r="M3386" i="1"/>
  <c r="L3386" i="1"/>
  <c r="N3385" i="1"/>
  <c r="M3385" i="1"/>
  <c r="L3385" i="1"/>
  <c r="B3498" i="1"/>
  <c r="A3498" i="1"/>
  <c r="B3497" i="1"/>
  <c r="A3497" i="1"/>
  <c r="B3496" i="1"/>
  <c r="A3496" i="1"/>
  <c r="B3495" i="1"/>
  <c r="A3495" i="1"/>
  <c r="B3494" i="1"/>
  <c r="A3494" i="1"/>
  <c r="B3493" i="1"/>
  <c r="A3493" i="1"/>
  <c r="B3492" i="1"/>
  <c r="A3492" i="1"/>
  <c r="B3491" i="1"/>
  <c r="A3491" i="1"/>
  <c r="B3490" i="1"/>
  <c r="A3490" i="1"/>
  <c r="B3489" i="1"/>
  <c r="A3489" i="1"/>
  <c r="B3488" i="1"/>
  <c r="A3488" i="1"/>
  <c r="B3487" i="1"/>
  <c r="A3487" i="1"/>
  <c r="B3486" i="1"/>
  <c r="A3486" i="1"/>
  <c r="B3485" i="1"/>
  <c r="A3485" i="1"/>
  <c r="B3484" i="1"/>
  <c r="A3484" i="1"/>
  <c r="B3483" i="1"/>
  <c r="A3483" i="1"/>
  <c r="B3482" i="1"/>
  <c r="A3482" i="1"/>
  <c r="B3481" i="1"/>
  <c r="A3481" i="1"/>
  <c r="B3480" i="1"/>
  <c r="A3480" i="1"/>
  <c r="B3479" i="1"/>
  <c r="A3479" i="1"/>
  <c r="B3478" i="1"/>
  <c r="A3478" i="1"/>
  <c r="B3477" i="1"/>
  <c r="A3477" i="1"/>
  <c r="B3476" i="1"/>
  <c r="A3476" i="1"/>
  <c r="B3475" i="1"/>
  <c r="A3475" i="1"/>
  <c r="B3474" i="1"/>
  <c r="A3474" i="1"/>
  <c r="B3473" i="1"/>
  <c r="A3473" i="1"/>
  <c r="B3472" i="1"/>
  <c r="A3472" i="1"/>
  <c r="B3471" i="1"/>
  <c r="A3471" i="1"/>
  <c r="B3470" i="1"/>
  <c r="A3470" i="1"/>
  <c r="B3469" i="1"/>
  <c r="A3469" i="1"/>
  <c r="B3468" i="1"/>
  <c r="A3468" i="1"/>
  <c r="B3467" i="1"/>
  <c r="A3467" i="1"/>
  <c r="B3466" i="1"/>
  <c r="A3466" i="1"/>
  <c r="B3465" i="1"/>
  <c r="A3465" i="1"/>
  <c r="B3464" i="1"/>
  <c r="A3464" i="1"/>
  <c r="B3463" i="1"/>
  <c r="A3463" i="1"/>
  <c r="B3462" i="1"/>
  <c r="A3462" i="1"/>
  <c r="B3461" i="1"/>
  <c r="A3461" i="1"/>
  <c r="B3460" i="1"/>
  <c r="A3460" i="1"/>
  <c r="B3459" i="1"/>
  <c r="A3459" i="1"/>
  <c r="B3458" i="1"/>
  <c r="A3458" i="1"/>
  <c r="B3457" i="1"/>
  <c r="A3457" i="1"/>
  <c r="B3456" i="1"/>
  <c r="A3456" i="1"/>
  <c r="B3455" i="1"/>
  <c r="A3455" i="1"/>
  <c r="B3454" i="1"/>
  <c r="A3454" i="1"/>
  <c r="B3453" i="1"/>
  <c r="A3453" i="1"/>
  <c r="B3452" i="1"/>
  <c r="A3452" i="1"/>
  <c r="B3451" i="1"/>
  <c r="A3451" i="1"/>
  <c r="B3450" i="1"/>
  <c r="A3450" i="1"/>
  <c r="B3449" i="1"/>
  <c r="A3449" i="1"/>
  <c r="B3448" i="1"/>
  <c r="A3448" i="1"/>
  <c r="B3447" i="1"/>
  <c r="A3447" i="1"/>
  <c r="B3446" i="1"/>
  <c r="A3446" i="1"/>
  <c r="B3445" i="1"/>
  <c r="A3445" i="1"/>
  <c r="B3444" i="1"/>
  <c r="A3444" i="1"/>
  <c r="B3443" i="1"/>
  <c r="A3443" i="1"/>
  <c r="B3442" i="1"/>
  <c r="A3442" i="1"/>
  <c r="B3441" i="1"/>
  <c r="A3441" i="1"/>
  <c r="B3440" i="1"/>
  <c r="A3440" i="1"/>
  <c r="B3439" i="1"/>
  <c r="A3439" i="1"/>
  <c r="B3438" i="1"/>
  <c r="A3438" i="1"/>
  <c r="B3437" i="1"/>
  <c r="A3437" i="1"/>
  <c r="B3436" i="1"/>
  <c r="A3436" i="1"/>
  <c r="B3435" i="1"/>
  <c r="A3435" i="1"/>
  <c r="B3434" i="1"/>
  <c r="A3434" i="1"/>
  <c r="B3433" i="1"/>
  <c r="A3433" i="1"/>
  <c r="B3432" i="1"/>
  <c r="A3432" i="1"/>
  <c r="B3431" i="1"/>
  <c r="A3431" i="1"/>
  <c r="B3430" i="1"/>
  <c r="A3430" i="1"/>
  <c r="B3429" i="1"/>
  <c r="A3429" i="1"/>
  <c r="B3428" i="1"/>
  <c r="A3428" i="1"/>
  <c r="B3427" i="1"/>
  <c r="A3427" i="1"/>
  <c r="B3426" i="1"/>
  <c r="A3426" i="1"/>
  <c r="B3425" i="1"/>
  <c r="A3425" i="1"/>
  <c r="B3424" i="1"/>
  <c r="A3424" i="1"/>
  <c r="B3423" i="1"/>
  <c r="A3423" i="1"/>
  <c r="B3422" i="1"/>
  <c r="A3422" i="1"/>
  <c r="B3421" i="1"/>
  <c r="A3421" i="1"/>
  <c r="B3420" i="1"/>
  <c r="A3420" i="1"/>
  <c r="B3419" i="1"/>
  <c r="A3419" i="1"/>
  <c r="B3418" i="1"/>
  <c r="A3418" i="1"/>
  <c r="B3417" i="1"/>
  <c r="A3417" i="1"/>
  <c r="B3416" i="1"/>
  <c r="A3416" i="1"/>
  <c r="B3415" i="1"/>
  <c r="A3415" i="1"/>
  <c r="B3414" i="1"/>
  <c r="A3414" i="1"/>
  <c r="B3413" i="1"/>
  <c r="A3413" i="1"/>
  <c r="B3412" i="1"/>
  <c r="A3412" i="1"/>
  <c r="B3411" i="1"/>
  <c r="A3411" i="1"/>
  <c r="B3410" i="1"/>
  <c r="A3410" i="1"/>
  <c r="B3409" i="1"/>
  <c r="A3409" i="1"/>
  <c r="B3408" i="1"/>
  <c r="A3408" i="1"/>
  <c r="B3407" i="1"/>
  <c r="A3407" i="1"/>
  <c r="B3406" i="1"/>
  <c r="A3406" i="1"/>
  <c r="B3405" i="1"/>
  <c r="A3405" i="1"/>
  <c r="B3404" i="1"/>
  <c r="A3404" i="1"/>
  <c r="B3403" i="1"/>
  <c r="A3403" i="1"/>
  <c r="B3402" i="1"/>
  <c r="A3402" i="1"/>
  <c r="B3401" i="1"/>
  <c r="A3401" i="1"/>
  <c r="B3400" i="1"/>
  <c r="A3400" i="1"/>
  <c r="B3399" i="1"/>
  <c r="A3399" i="1"/>
  <c r="B3398" i="1"/>
  <c r="A3398" i="1"/>
  <c r="B3397" i="1"/>
  <c r="A3397" i="1"/>
  <c r="B3396" i="1"/>
  <c r="A3396" i="1"/>
  <c r="B3395" i="1"/>
  <c r="A3395" i="1"/>
  <c r="B3394" i="1"/>
  <c r="A3394" i="1"/>
  <c r="B3393" i="1"/>
  <c r="A3393" i="1"/>
  <c r="B3392" i="1"/>
  <c r="A3392" i="1"/>
  <c r="B3391" i="1"/>
  <c r="A3391" i="1"/>
  <c r="B3390" i="1"/>
  <c r="A3390" i="1"/>
  <c r="B3389" i="1"/>
  <c r="A3389" i="1"/>
  <c r="B3388" i="1"/>
  <c r="A3388" i="1"/>
  <c r="B3387" i="1"/>
  <c r="A3387" i="1"/>
  <c r="B3386" i="1"/>
  <c r="A3386" i="1"/>
  <c r="B3385" i="1"/>
  <c r="A3385" i="1"/>
  <c r="C1203" i="7"/>
  <c r="A1203" i="7"/>
  <c r="C1202" i="7"/>
  <c r="A1202" i="7"/>
  <c r="C1201" i="7"/>
  <c r="A1201" i="7"/>
  <c r="C1200" i="7"/>
  <c r="A1200" i="7"/>
  <c r="C1199" i="7"/>
  <c r="A1199" i="7"/>
  <c r="C1198" i="7"/>
  <c r="A1198" i="7"/>
  <c r="C1197" i="7"/>
  <c r="A1197" i="7"/>
  <c r="C1196" i="7"/>
  <c r="A1196" i="7"/>
  <c r="C1195" i="7"/>
  <c r="A1195" i="7"/>
  <c r="C1194" i="7"/>
  <c r="A1194" i="7"/>
  <c r="C1193" i="7"/>
  <c r="A1193" i="7"/>
  <c r="C1192" i="7"/>
  <c r="A1192" i="7"/>
  <c r="C1191" i="7"/>
  <c r="A1191" i="7"/>
  <c r="C1190" i="7"/>
  <c r="A1190" i="7"/>
  <c r="C1189" i="7"/>
  <c r="A1189" i="7"/>
  <c r="C1188" i="7"/>
  <c r="A1188" i="7"/>
  <c r="C1187" i="7"/>
  <c r="A1187" i="7"/>
  <c r="C1186" i="7"/>
  <c r="A1186" i="7"/>
  <c r="C1185" i="7"/>
  <c r="A1185" i="7"/>
  <c r="C1184" i="7"/>
  <c r="A1184" i="7"/>
  <c r="C1183" i="7"/>
  <c r="A1183" i="7"/>
  <c r="C1182" i="7"/>
  <c r="A1182" i="7"/>
  <c r="C1181" i="7"/>
  <c r="A1181" i="7"/>
  <c r="C1180" i="7"/>
  <c r="A1180" i="7"/>
  <c r="C1179" i="7"/>
  <c r="A1179" i="7"/>
  <c r="C1178" i="7"/>
  <c r="A1178" i="7"/>
  <c r="C1177" i="7"/>
  <c r="A1177" i="7"/>
  <c r="C1176" i="7"/>
  <c r="A1176" i="7"/>
  <c r="C1175" i="7"/>
  <c r="A1175" i="7"/>
  <c r="C1174" i="7"/>
  <c r="A1174" i="7"/>
  <c r="C1173" i="7"/>
  <c r="A1173" i="7"/>
  <c r="C1172" i="7"/>
  <c r="A1172" i="7"/>
  <c r="C1171" i="7"/>
  <c r="A1171" i="7"/>
  <c r="C1170" i="7"/>
  <c r="A1170" i="7"/>
  <c r="C1169" i="7"/>
  <c r="A1169" i="7"/>
  <c r="C1168" i="7"/>
  <c r="A1168" i="7"/>
  <c r="C1167" i="7"/>
  <c r="A1167" i="7"/>
  <c r="C1166" i="7"/>
  <c r="A1166" i="7"/>
  <c r="C1165" i="7"/>
  <c r="A1165" i="7"/>
  <c r="C1164" i="7"/>
  <c r="A1164" i="7"/>
  <c r="C1163" i="7"/>
  <c r="A1163" i="7"/>
  <c r="C1162" i="7"/>
  <c r="A1162" i="7"/>
  <c r="C1161" i="7"/>
  <c r="A1161" i="7"/>
  <c r="C1160" i="7"/>
  <c r="A1160" i="7"/>
  <c r="C1159" i="7"/>
  <c r="A1159" i="7"/>
  <c r="C1158" i="7"/>
  <c r="A1158" i="7"/>
  <c r="C1157" i="7"/>
  <c r="A1157" i="7"/>
  <c r="C1156" i="7"/>
  <c r="A1156" i="7"/>
  <c r="C1155" i="7"/>
  <c r="A1155" i="7"/>
  <c r="C1154" i="7"/>
  <c r="A1154" i="7"/>
  <c r="C1153" i="7"/>
  <c r="A1153" i="7"/>
  <c r="C1152" i="7"/>
  <c r="A1152" i="7"/>
  <c r="C1151" i="7"/>
  <c r="A1151" i="7"/>
  <c r="C1150" i="7"/>
  <c r="A1150" i="7"/>
  <c r="C1149" i="7"/>
  <c r="A1149" i="7"/>
  <c r="C1148" i="7"/>
  <c r="A1148" i="7"/>
  <c r="C1147" i="7"/>
  <c r="A1147" i="7"/>
  <c r="C1146" i="7"/>
  <c r="A1146" i="7"/>
  <c r="C1145" i="7"/>
  <c r="A1145" i="7"/>
  <c r="C1144" i="7"/>
  <c r="A1144" i="7"/>
  <c r="C1143" i="7"/>
  <c r="A1143" i="7"/>
  <c r="C1142" i="7"/>
  <c r="A1142" i="7"/>
  <c r="C1141" i="7"/>
  <c r="A1141" i="7"/>
  <c r="C1140" i="7"/>
  <c r="A1140" i="7"/>
  <c r="C1139" i="7"/>
  <c r="A1139" i="7"/>
  <c r="C1138" i="7"/>
  <c r="A1138" i="7"/>
  <c r="C1137" i="7"/>
  <c r="A1137" i="7"/>
  <c r="C1136" i="7"/>
  <c r="A1136" i="7"/>
  <c r="C1135" i="7"/>
  <c r="A1135" i="7"/>
  <c r="C1134" i="7"/>
  <c r="A1134" i="7"/>
  <c r="C1133" i="7"/>
  <c r="A1133" i="7"/>
  <c r="C1132" i="7"/>
  <c r="A1132" i="7"/>
  <c r="C1131" i="7"/>
  <c r="A1131" i="7"/>
  <c r="C1130" i="7"/>
  <c r="A1130" i="7"/>
  <c r="C1129" i="7"/>
  <c r="A1129" i="7"/>
  <c r="C518" i="7"/>
  <c r="A518" i="7"/>
  <c r="C517" i="7"/>
  <c r="A517" i="7"/>
  <c r="C516" i="7"/>
  <c r="A516" i="7"/>
  <c r="C515" i="7"/>
  <c r="A515" i="7"/>
  <c r="C514" i="7"/>
  <c r="A514" i="7"/>
  <c r="C513" i="7"/>
  <c r="A513" i="7"/>
  <c r="C512" i="7"/>
  <c r="A512" i="7"/>
  <c r="C511" i="7"/>
  <c r="A511" i="7"/>
  <c r="C510" i="7"/>
  <c r="A510" i="7"/>
  <c r="C509" i="7"/>
  <c r="A509" i="7"/>
  <c r="C508" i="7"/>
  <c r="A508" i="7"/>
  <c r="C507" i="7"/>
  <c r="A507" i="7"/>
  <c r="C506" i="7"/>
  <c r="A506" i="7"/>
  <c r="C505" i="7"/>
  <c r="A505" i="7"/>
  <c r="C504" i="7"/>
  <c r="A504" i="7"/>
  <c r="C503" i="7"/>
  <c r="A503" i="7"/>
  <c r="C502" i="7"/>
  <c r="A502" i="7"/>
  <c r="C501" i="7"/>
  <c r="A501" i="7"/>
  <c r="C500" i="7"/>
  <c r="A500" i="7"/>
  <c r="C499" i="7"/>
  <c r="A499" i="7"/>
  <c r="C498" i="7"/>
  <c r="A498" i="7"/>
  <c r="C497" i="7"/>
  <c r="A497" i="7"/>
  <c r="C496" i="7"/>
  <c r="A496" i="7"/>
  <c r="C358" i="7"/>
  <c r="A358" i="7"/>
  <c r="C357" i="7"/>
  <c r="A357" i="7"/>
  <c r="C356" i="7"/>
  <c r="A356" i="7"/>
  <c r="C355" i="7"/>
  <c r="A355" i="7"/>
  <c r="C354" i="7"/>
  <c r="A354" i="7"/>
  <c r="C353" i="7"/>
  <c r="A353" i="7"/>
  <c r="C352" i="7"/>
  <c r="A352" i="7"/>
  <c r="C351" i="7"/>
  <c r="A351" i="7"/>
  <c r="C350" i="7"/>
  <c r="A350" i="7"/>
  <c r="C349" i="7"/>
  <c r="A349" i="7"/>
  <c r="C348" i="7"/>
  <c r="A348" i="7"/>
  <c r="C347" i="7"/>
  <c r="A347" i="7"/>
  <c r="C346" i="7"/>
  <c r="A346" i="7"/>
  <c r="C345" i="7"/>
  <c r="A345" i="7"/>
  <c r="C344" i="7"/>
  <c r="A344" i="7"/>
  <c r="C343" i="7"/>
  <c r="A343" i="7"/>
  <c r="C342" i="7"/>
  <c r="A342" i="7"/>
  <c r="C341" i="7"/>
  <c r="A341" i="7"/>
  <c r="C340" i="7"/>
  <c r="A340" i="7"/>
  <c r="C165" i="7"/>
  <c r="A165" i="7"/>
  <c r="C164" i="7"/>
  <c r="A164" i="7"/>
  <c r="C163" i="7"/>
  <c r="A163" i="7"/>
  <c r="C162" i="7"/>
  <c r="A162" i="7"/>
  <c r="C161" i="7"/>
  <c r="A161" i="7"/>
  <c r="C160" i="7"/>
  <c r="A160" i="7"/>
  <c r="C159" i="7"/>
  <c r="A159" i="7"/>
  <c r="C158" i="7"/>
  <c r="A158" i="7"/>
  <c r="C157" i="7"/>
  <c r="A157" i="7"/>
  <c r="C156" i="7"/>
  <c r="A156" i="7"/>
  <c r="C155" i="7"/>
  <c r="A155" i="7"/>
  <c r="C154" i="7"/>
  <c r="A154" i="7"/>
  <c r="C153" i="7"/>
  <c r="A153" i="7"/>
  <c r="C152" i="7"/>
  <c r="A152" i="7"/>
  <c r="C151" i="7"/>
  <c r="A151" i="7"/>
  <c r="C150" i="7"/>
  <c r="A150" i="7"/>
  <c r="C149" i="7"/>
  <c r="A149" i="7"/>
  <c r="C148" i="7"/>
  <c r="A148" i="7"/>
  <c r="C147" i="7"/>
  <c r="A147" i="7"/>
  <c r="C146" i="7"/>
  <c r="A146" i="7"/>
  <c r="C145" i="7"/>
  <c r="A145" i="7"/>
  <c r="C144" i="7"/>
  <c r="A144" i="7"/>
  <c r="C143" i="7"/>
  <c r="A143" i="7"/>
  <c r="C142" i="7"/>
  <c r="A142" i="7"/>
  <c r="C141" i="7"/>
  <c r="A141" i="7"/>
  <c r="C140" i="7"/>
  <c r="A140" i="7"/>
  <c r="C139" i="7"/>
  <c r="A139" i="7"/>
  <c r="C138" i="7"/>
  <c r="A138" i="7"/>
  <c r="C137" i="7"/>
  <c r="A137" i="7"/>
  <c r="C136" i="7"/>
  <c r="A136" i="7"/>
  <c r="C135" i="7"/>
  <c r="A135" i="7"/>
  <c r="C134" i="7"/>
  <c r="A134" i="7"/>
  <c r="C133" i="7"/>
  <c r="A133" i="7"/>
  <c r="C132" i="7"/>
  <c r="A132" i="7"/>
  <c r="C131" i="7"/>
  <c r="A131" i="7"/>
  <c r="C130" i="7"/>
  <c r="A130" i="7"/>
  <c r="C129" i="7"/>
  <c r="A129" i="7"/>
  <c r="C128" i="7"/>
  <c r="A128" i="7"/>
  <c r="C127" i="7"/>
  <c r="A127" i="7"/>
  <c r="C126" i="7"/>
  <c r="A126" i="7"/>
  <c r="C125" i="7"/>
  <c r="A125" i="7"/>
  <c r="C124" i="7"/>
  <c r="A124" i="7"/>
  <c r="C123" i="7"/>
  <c r="A123" i="7"/>
  <c r="C122" i="7"/>
  <c r="A122" i="7"/>
  <c r="C121" i="7"/>
  <c r="A121" i="7"/>
  <c r="C120" i="7"/>
  <c r="A120" i="7"/>
  <c r="C119" i="7"/>
  <c r="A119" i="7"/>
  <c r="C118" i="7"/>
  <c r="A118" i="7"/>
  <c r="C117" i="7"/>
  <c r="A117" i="7"/>
  <c r="C116" i="7"/>
  <c r="A116" i="7"/>
  <c r="C115" i="7"/>
  <c r="A115" i="7"/>
  <c r="C114" i="7"/>
  <c r="A114" i="7"/>
  <c r="C113" i="7"/>
  <c r="A113" i="7"/>
  <c r="C112" i="7"/>
  <c r="A112" i="7"/>
  <c r="C111" i="7"/>
  <c r="A111" i="7"/>
  <c r="C110" i="7"/>
  <c r="A110" i="7"/>
  <c r="C109" i="7"/>
  <c r="A109" i="7"/>
  <c r="C108" i="7"/>
  <c r="A108" i="7"/>
  <c r="C107" i="7"/>
  <c r="A107" i="7"/>
  <c r="C106" i="7"/>
  <c r="A106" i="7"/>
  <c r="C105" i="7"/>
  <c r="A105" i="7"/>
  <c r="C104" i="7"/>
  <c r="A104" i="7"/>
  <c r="C103" i="7"/>
  <c r="A103" i="7"/>
  <c r="C102" i="7"/>
  <c r="A102" i="7"/>
  <c r="C101" i="7"/>
  <c r="A101" i="7"/>
  <c r="C100" i="7"/>
  <c r="A100" i="7"/>
  <c r="C99" i="7"/>
  <c r="A99" i="7"/>
  <c r="C98" i="7"/>
  <c r="A98" i="7"/>
  <c r="C97" i="7"/>
  <c r="A97" i="7"/>
  <c r="C96" i="7"/>
  <c r="A96" i="7"/>
  <c r="C95" i="7"/>
  <c r="A95" i="7"/>
  <c r="C94" i="7"/>
  <c r="A94" i="7"/>
  <c r="C93" i="7"/>
  <c r="A93" i="7"/>
  <c r="C92" i="7"/>
  <c r="A92" i="7"/>
  <c r="C91" i="7"/>
  <c r="A91" i="7"/>
  <c r="C90" i="7"/>
  <c r="A90" i="7"/>
  <c r="C89" i="7"/>
  <c r="A89" i="7"/>
  <c r="C88" i="7"/>
  <c r="A88" i="7"/>
  <c r="C87" i="7"/>
  <c r="A87" i="7"/>
  <c r="A2254" i="1"/>
  <c r="A2009" i="1"/>
  <c r="N3384" i="1"/>
  <c r="L3384" i="1"/>
  <c r="N3380" i="1"/>
  <c r="L3380" i="1"/>
  <c r="N3379" i="1"/>
  <c r="L3379" i="1"/>
  <c r="N3378" i="1"/>
  <c r="L3378" i="1"/>
  <c r="N3377" i="1"/>
  <c r="L3377" i="1"/>
  <c r="N3376" i="1"/>
  <c r="L3376" i="1"/>
  <c r="N3375" i="1"/>
  <c r="L3375" i="1"/>
  <c r="N3374" i="1"/>
  <c r="L3374" i="1"/>
  <c r="N3373" i="1"/>
  <c r="L3373" i="1"/>
  <c r="N3372" i="1"/>
  <c r="L3372" i="1"/>
  <c r="N3371" i="1"/>
  <c r="L3371" i="1"/>
  <c r="N3370" i="1"/>
  <c r="L3370" i="1"/>
  <c r="N3369" i="1"/>
  <c r="L3369" i="1"/>
  <c r="N3368" i="1"/>
  <c r="L3368" i="1"/>
  <c r="N3367" i="1"/>
  <c r="L3367" i="1"/>
  <c r="N3366" i="1"/>
  <c r="L3366" i="1"/>
  <c r="N3365" i="1"/>
  <c r="L3365" i="1"/>
  <c r="N3364" i="1"/>
  <c r="L3364" i="1"/>
  <c r="N3363" i="1"/>
  <c r="L3363" i="1"/>
  <c r="N3362" i="1"/>
  <c r="L3362" i="1"/>
  <c r="N3361" i="1"/>
  <c r="L3361" i="1"/>
  <c r="N3360" i="1"/>
  <c r="L3360" i="1"/>
  <c r="N3359" i="1"/>
  <c r="L3359" i="1"/>
  <c r="N3358" i="1"/>
  <c r="L3358" i="1"/>
  <c r="N3357" i="1"/>
  <c r="L3357" i="1"/>
  <c r="N3356" i="1"/>
  <c r="L3356" i="1"/>
  <c r="N3355" i="1"/>
  <c r="L3355" i="1"/>
  <c r="N3354" i="1"/>
  <c r="L3354" i="1"/>
  <c r="N3353" i="1"/>
  <c r="L3353" i="1"/>
  <c r="N3352" i="1"/>
  <c r="L3352" i="1"/>
  <c r="N3351" i="1"/>
  <c r="L3351" i="1"/>
  <c r="N3350" i="1"/>
  <c r="L3350" i="1"/>
  <c r="N3349" i="1"/>
  <c r="L3349" i="1"/>
  <c r="N3348" i="1"/>
  <c r="L3348" i="1"/>
  <c r="N3347" i="1"/>
  <c r="L3347" i="1"/>
  <c r="N3346" i="1"/>
  <c r="L3346" i="1"/>
  <c r="N3345" i="1"/>
  <c r="L3345" i="1"/>
  <c r="N3344" i="1"/>
  <c r="L3344" i="1"/>
  <c r="N3343" i="1"/>
  <c r="L3343" i="1"/>
  <c r="N3342" i="1"/>
  <c r="L3342" i="1"/>
  <c r="N3341" i="1"/>
  <c r="L3341" i="1"/>
  <c r="N3340" i="1"/>
  <c r="L3340" i="1"/>
  <c r="N3339" i="1"/>
  <c r="L3339" i="1"/>
  <c r="N3338" i="1"/>
  <c r="L3338" i="1"/>
  <c r="N3337" i="1"/>
  <c r="L3337" i="1"/>
  <c r="N3336" i="1"/>
  <c r="L3336" i="1"/>
  <c r="N3335" i="1"/>
  <c r="L3335" i="1"/>
  <c r="N3334" i="1"/>
  <c r="L3334" i="1"/>
  <c r="N3333" i="1"/>
  <c r="L3333" i="1"/>
  <c r="N3332" i="1"/>
  <c r="L3332" i="1"/>
  <c r="N3331" i="1"/>
  <c r="L3331" i="1"/>
  <c r="N3330" i="1"/>
  <c r="L3330" i="1"/>
  <c r="N3329" i="1"/>
  <c r="L3329" i="1"/>
  <c r="L3328" i="1"/>
  <c r="N3327" i="1"/>
  <c r="L3327" i="1"/>
  <c r="N3326" i="1"/>
  <c r="L3326" i="1"/>
  <c r="N3325" i="1"/>
  <c r="L3325" i="1"/>
  <c r="N3324" i="1"/>
  <c r="L3324" i="1"/>
  <c r="N3323" i="1"/>
  <c r="L3323" i="1"/>
  <c r="N3322" i="1"/>
  <c r="L3322" i="1"/>
  <c r="N3321" i="1"/>
  <c r="L3321" i="1"/>
  <c r="L3320" i="1"/>
  <c r="N3319" i="1"/>
  <c r="L3319" i="1"/>
  <c r="N3318" i="1"/>
  <c r="L3318" i="1"/>
  <c r="N3317" i="1"/>
  <c r="L3317" i="1"/>
  <c r="N3316" i="1"/>
  <c r="L3316" i="1"/>
  <c r="N3315" i="1"/>
  <c r="L3315" i="1"/>
  <c r="N3314" i="1"/>
  <c r="L3314" i="1"/>
  <c r="N3313" i="1"/>
  <c r="L3313" i="1"/>
  <c r="N3312" i="1"/>
  <c r="L3312" i="1"/>
  <c r="N3311" i="1"/>
  <c r="L3311" i="1"/>
  <c r="N3310" i="1"/>
  <c r="L3310" i="1"/>
  <c r="N3309" i="1"/>
  <c r="L3309" i="1"/>
  <c r="N3308" i="1"/>
  <c r="L3308" i="1"/>
  <c r="N3307" i="1"/>
  <c r="L3307" i="1"/>
  <c r="N3306" i="1"/>
  <c r="L3306" i="1"/>
  <c r="N3305" i="1"/>
  <c r="L3305" i="1"/>
  <c r="N3304" i="1"/>
  <c r="L3304" i="1"/>
  <c r="N3303" i="1"/>
  <c r="L3303" i="1"/>
  <c r="N3302" i="1"/>
  <c r="L3302" i="1"/>
  <c r="N3301" i="1"/>
  <c r="L3301" i="1"/>
  <c r="N3300" i="1"/>
  <c r="L3300" i="1"/>
  <c r="N3299" i="1"/>
  <c r="L3299" i="1"/>
  <c r="N3298" i="1"/>
  <c r="L3298" i="1"/>
  <c r="N3297" i="1"/>
  <c r="L3297" i="1"/>
  <c r="N3296" i="1"/>
  <c r="L3296" i="1"/>
  <c r="N3295" i="1"/>
  <c r="L3295" i="1"/>
  <c r="N3294" i="1"/>
  <c r="L3294" i="1"/>
  <c r="N3293" i="1"/>
  <c r="L3293" i="1"/>
  <c r="N3292" i="1"/>
  <c r="L3292" i="1"/>
  <c r="N3291" i="1"/>
  <c r="L3291" i="1"/>
  <c r="N3267" i="1"/>
  <c r="N3266" i="1"/>
  <c r="N3265" i="1"/>
  <c r="N3264" i="1"/>
  <c r="N3263" i="1"/>
  <c r="N3262" i="1"/>
  <c r="N3261" i="1"/>
  <c r="N3260" i="1"/>
  <c r="N3259" i="1"/>
  <c r="N3258" i="1"/>
  <c r="N3257" i="1"/>
  <c r="N3256" i="1"/>
  <c r="N3255" i="1"/>
  <c r="N3254" i="1"/>
  <c r="N3253" i="1"/>
  <c r="N3252" i="1"/>
  <c r="N3251" i="1"/>
  <c r="N3250" i="1"/>
  <c r="N3249" i="1"/>
  <c r="N3248" i="1"/>
  <c r="N3247" i="1"/>
  <c r="N3246" i="1"/>
  <c r="N3245" i="1"/>
  <c r="N3244" i="1"/>
  <c r="N3243" i="1"/>
  <c r="N3242" i="1"/>
  <c r="N3241" i="1"/>
  <c r="N3240" i="1"/>
  <c r="N3239" i="1"/>
  <c r="N3238" i="1"/>
  <c r="N3237" i="1"/>
  <c r="N3236" i="1"/>
  <c r="N3235" i="1"/>
  <c r="N3234" i="1"/>
  <c r="N3233" i="1"/>
  <c r="N3232" i="1"/>
  <c r="N3231" i="1"/>
  <c r="N3230" i="1"/>
  <c r="N3229" i="1"/>
  <c r="N3228" i="1"/>
  <c r="N3227" i="1"/>
  <c r="N3226" i="1"/>
  <c r="N3225" i="1"/>
  <c r="N3224" i="1"/>
  <c r="N3223" i="1"/>
  <c r="N3222" i="1"/>
  <c r="N3221" i="1"/>
  <c r="N3220" i="1"/>
  <c r="N3219" i="1"/>
  <c r="N3218" i="1"/>
  <c r="N3217" i="1"/>
  <c r="N3216" i="1"/>
  <c r="N3215" i="1"/>
  <c r="N3214" i="1"/>
  <c r="N3213" i="1"/>
  <c r="N3212" i="1"/>
  <c r="N3211" i="1"/>
  <c r="N3210" i="1"/>
  <c r="N3209" i="1"/>
  <c r="N3208" i="1"/>
  <c r="N3207" i="1"/>
  <c r="N3206" i="1"/>
  <c r="N3205" i="1"/>
  <c r="N3204" i="1"/>
  <c r="N3203" i="1"/>
  <c r="L3267" i="1"/>
  <c r="L3266" i="1"/>
  <c r="L3265" i="1"/>
  <c r="L3264" i="1"/>
  <c r="L3263" i="1"/>
  <c r="L3262" i="1"/>
  <c r="L3261" i="1"/>
  <c r="L3260" i="1"/>
  <c r="L3259" i="1"/>
  <c r="L3258" i="1"/>
  <c r="L3257" i="1"/>
  <c r="L3256" i="1"/>
  <c r="L3255" i="1"/>
  <c r="L3254" i="1"/>
  <c r="L3253" i="1"/>
  <c r="L3252" i="1"/>
  <c r="L3251" i="1"/>
  <c r="L3250" i="1"/>
  <c r="L3249" i="1"/>
  <c r="L3248" i="1"/>
  <c r="L3247" i="1"/>
  <c r="L3246" i="1"/>
  <c r="L3245" i="1"/>
  <c r="L3244" i="1"/>
  <c r="L3243" i="1"/>
  <c r="L3242" i="1"/>
  <c r="L3241" i="1"/>
  <c r="L3240" i="1"/>
  <c r="L3239" i="1"/>
  <c r="L3238" i="1"/>
  <c r="L3237" i="1"/>
  <c r="L3236" i="1"/>
  <c r="L3235" i="1"/>
  <c r="L3234" i="1"/>
  <c r="L3233" i="1"/>
  <c r="L3232" i="1"/>
  <c r="L3231" i="1"/>
  <c r="L3230" i="1"/>
  <c r="L3229" i="1"/>
  <c r="L3228" i="1"/>
  <c r="L3227" i="1"/>
  <c r="L3226" i="1"/>
  <c r="L3225" i="1"/>
  <c r="L3224" i="1"/>
  <c r="L3223" i="1"/>
  <c r="L3222" i="1"/>
  <c r="L3221" i="1"/>
  <c r="L3220" i="1"/>
  <c r="L3219" i="1"/>
  <c r="L3218" i="1"/>
  <c r="L3217" i="1"/>
  <c r="L3216" i="1"/>
  <c r="L3215" i="1"/>
  <c r="L3214" i="1"/>
  <c r="L3213" i="1"/>
  <c r="L3212" i="1"/>
  <c r="L3211" i="1"/>
  <c r="L3210" i="1"/>
  <c r="L3209" i="1"/>
  <c r="L3208" i="1"/>
  <c r="L3207" i="1"/>
  <c r="L3206" i="1"/>
  <c r="L3205" i="1"/>
  <c r="L3204" i="1"/>
  <c r="L3203" i="1"/>
  <c r="L3" i="3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L51" i="3"/>
  <c r="L52" i="3"/>
  <c r="L53" i="3"/>
  <c r="L54" i="3"/>
  <c r="L55" i="3"/>
  <c r="L56" i="3"/>
  <c r="L57" i="3"/>
  <c r="L58" i="3"/>
  <c r="L59" i="3"/>
  <c r="L60" i="3"/>
  <c r="L61" i="3"/>
  <c r="L62" i="3"/>
  <c r="L63" i="3"/>
  <c r="L64" i="3"/>
  <c r="L65" i="3"/>
  <c r="L66" i="3"/>
  <c r="L67" i="3"/>
  <c r="L68" i="3"/>
  <c r="L69" i="3"/>
  <c r="L70" i="3"/>
  <c r="L71" i="3"/>
  <c r="L72" i="3"/>
  <c r="L73" i="3"/>
  <c r="L74" i="3"/>
  <c r="L75" i="3"/>
  <c r="L76" i="3"/>
  <c r="L77" i="3"/>
  <c r="L78" i="3"/>
  <c r="L79" i="3"/>
  <c r="L80" i="3"/>
  <c r="L81" i="3"/>
  <c r="L82" i="3"/>
  <c r="L83" i="3"/>
  <c r="L84" i="3"/>
  <c r="L85" i="3"/>
  <c r="L86" i="3"/>
  <c r="L87" i="3"/>
  <c r="L88" i="3"/>
  <c r="L89" i="3"/>
  <c r="L90" i="3"/>
  <c r="L91" i="3"/>
  <c r="L92" i="3"/>
  <c r="L93" i="3"/>
  <c r="L94" i="3"/>
  <c r="L95" i="3"/>
  <c r="L96" i="3"/>
  <c r="L97" i="3"/>
  <c r="L98" i="3"/>
  <c r="L99" i="3"/>
  <c r="L100" i="3"/>
  <c r="L101" i="3"/>
  <c r="L102" i="3"/>
  <c r="L103" i="3"/>
  <c r="L104" i="3"/>
  <c r="L105" i="3"/>
  <c r="L106" i="3"/>
  <c r="L107" i="3"/>
  <c r="L108" i="3"/>
  <c r="L109" i="3"/>
  <c r="L110" i="3"/>
  <c r="L111" i="3"/>
  <c r="L112" i="3"/>
  <c r="L113" i="3"/>
  <c r="L114" i="3"/>
  <c r="L115" i="3"/>
  <c r="L116" i="3"/>
  <c r="L117" i="3"/>
  <c r="L118" i="3"/>
  <c r="L119" i="3"/>
  <c r="L120" i="3"/>
  <c r="L121" i="3"/>
  <c r="L122" i="3"/>
  <c r="L123" i="3"/>
  <c r="L124" i="3"/>
  <c r="L125" i="3"/>
  <c r="L126" i="3"/>
  <c r="L127" i="3"/>
  <c r="L128" i="3"/>
  <c r="L129" i="3"/>
  <c r="L130" i="3"/>
  <c r="L131" i="3"/>
  <c r="L132" i="3"/>
  <c r="L133" i="3"/>
  <c r="L134" i="3"/>
  <c r="L135" i="3"/>
  <c r="L136" i="3"/>
  <c r="L137" i="3"/>
  <c r="L138" i="3"/>
  <c r="L139" i="3"/>
  <c r="L140" i="3"/>
  <c r="L141" i="3"/>
  <c r="L142" i="3"/>
  <c r="L143" i="3"/>
  <c r="L144" i="3"/>
  <c r="L145" i="3"/>
  <c r="L146" i="3"/>
  <c r="L147" i="3"/>
  <c r="L148" i="3"/>
  <c r="L149" i="3"/>
  <c r="L150" i="3"/>
  <c r="L151" i="3"/>
  <c r="L152" i="3"/>
  <c r="L153" i="3"/>
  <c r="L154" i="3"/>
  <c r="L155" i="3"/>
  <c r="L156" i="3"/>
  <c r="L157" i="3"/>
  <c r="L158" i="3"/>
  <c r="L159" i="3"/>
  <c r="L160" i="3"/>
  <c r="L161" i="3"/>
  <c r="L162" i="3"/>
  <c r="L163" i="3"/>
  <c r="L164" i="3"/>
  <c r="L165" i="3"/>
  <c r="L166" i="3"/>
  <c r="L167" i="3"/>
  <c r="L168" i="3"/>
  <c r="L169" i="3"/>
  <c r="L170" i="3"/>
  <c r="L171" i="3"/>
  <c r="L172" i="3"/>
  <c r="L173" i="3"/>
  <c r="L174" i="3"/>
  <c r="L175" i="3"/>
  <c r="L176" i="3"/>
  <c r="L177" i="3"/>
  <c r="L178" i="3"/>
  <c r="L179" i="3"/>
  <c r="L180" i="3"/>
  <c r="L181" i="3"/>
  <c r="L182" i="3"/>
  <c r="L183" i="3"/>
  <c r="L184" i="3"/>
  <c r="L185" i="3"/>
  <c r="L186" i="3"/>
  <c r="L187" i="3"/>
  <c r="L188" i="3"/>
  <c r="L189" i="3"/>
  <c r="L190" i="3"/>
  <c r="L191" i="3"/>
  <c r="L192" i="3"/>
  <c r="L193" i="3"/>
  <c r="L194" i="3"/>
  <c r="L195" i="3"/>
  <c r="L196" i="3"/>
  <c r="L197" i="3"/>
  <c r="L198" i="3"/>
  <c r="L199" i="3"/>
  <c r="L200" i="3"/>
  <c r="L201" i="3"/>
  <c r="L202" i="3"/>
  <c r="L203" i="3"/>
  <c r="L204" i="3"/>
  <c r="L205" i="3"/>
  <c r="L206" i="3"/>
  <c r="L207" i="3"/>
  <c r="L208" i="3"/>
  <c r="L209" i="3"/>
  <c r="L210" i="3"/>
  <c r="L211" i="3"/>
  <c r="L212" i="3"/>
  <c r="L213" i="3"/>
  <c r="L214" i="3"/>
  <c r="L215" i="3"/>
  <c r="L216" i="3"/>
  <c r="L217" i="3"/>
  <c r="L218" i="3"/>
  <c r="L219" i="3"/>
  <c r="L220" i="3"/>
  <c r="L221" i="3"/>
  <c r="L222" i="3"/>
  <c r="L223" i="3"/>
  <c r="L224" i="3"/>
  <c r="L225" i="3"/>
  <c r="L226" i="3"/>
  <c r="L227" i="3"/>
  <c r="L228" i="3"/>
  <c r="L229" i="3"/>
  <c r="L230" i="3"/>
  <c r="L231" i="3"/>
  <c r="L232" i="3"/>
  <c r="L233" i="3"/>
  <c r="L234" i="3"/>
  <c r="L235" i="3"/>
  <c r="L236" i="3"/>
  <c r="L237" i="3"/>
  <c r="L238" i="3"/>
  <c r="L239" i="3"/>
  <c r="L240" i="3"/>
  <c r="L241" i="3"/>
  <c r="L242" i="3"/>
  <c r="L243" i="3"/>
  <c r="L244" i="3"/>
  <c r="L245" i="3"/>
  <c r="L246" i="3"/>
  <c r="L247" i="3"/>
  <c r="L248" i="3"/>
  <c r="L249" i="3"/>
  <c r="L250" i="3"/>
  <c r="L251" i="3"/>
  <c r="L252" i="3"/>
  <c r="L253" i="3"/>
  <c r="L254" i="3"/>
  <c r="L255" i="3"/>
  <c r="L256" i="3"/>
  <c r="L257" i="3"/>
  <c r="L258" i="3"/>
  <c r="L259" i="3"/>
  <c r="L260" i="3"/>
  <c r="L261" i="3"/>
  <c r="L262" i="3"/>
  <c r="L263" i="3"/>
  <c r="L264" i="3"/>
  <c r="L265" i="3"/>
  <c r="L266" i="3"/>
  <c r="L267" i="3"/>
  <c r="L268" i="3"/>
  <c r="L269" i="3"/>
  <c r="L270" i="3"/>
  <c r="L271" i="3"/>
  <c r="L272" i="3"/>
  <c r="L273" i="3"/>
  <c r="L274" i="3"/>
  <c r="L275" i="3"/>
  <c r="L276" i="3"/>
  <c r="L277" i="3"/>
  <c r="L278" i="3"/>
  <c r="L279" i="3"/>
  <c r="L280" i="3"/>
  <c r="L281" i="3"/>
  <c r="L282" i="3"/>
  <c r="L283" i="3"/>
  <c r="L284" i="3"/>
  <c r="L285" i="3"/>
  <c r="L286" i="3"/>
  <c r="L287" i="3"/>
  <c r="L288" i="3"/>
  <c r="L289" i="3"/>
  <c r="L290" i="3"/>
  <c r="L291" i="3"/>
  <c r="L292" i="3"/>
  <c r="L293" i="3"/>
  <c r="L294" i="3"/>
  <c r="L295" i="3"/>
  <c r="L296" i="3"/>
  <c r="L297" i="3"/>
  <c r="L298" i="3"/>
  <c r="L299" i="3"/>
  <c r="L300" i="3"/>
  <c r="L301" i="3"/>
  <c r="L302" i="3"/>
  <c r="L303" i="3"/>
  <c r="L304" i="3"/>
  <c r="L305" i="3"/>
  <c r="L306" i="3"/>
  <c r="L307" i="3"/>
  <c r="L308" i="3"/>
  <c r="L309" i="3"/>
  <c r="L310" i="3"/>
  <c r="L311" i="3"/>
  <c r="L312" i="3"/>
  <c r="L313" i="3"/>
  <c r="L314" i="3"/>
  <c r="L315" i="3"/>
  <c r="L316" i="3"/>
  <c r="L317" i="3"/>
  <c r="L318" i="3"/>
  <c r="L319" i="3"/>
  <c r="L320" i="3"/>
  <c r="L321" i="3"/>
  <c r="L322" i="3"/>
  <c r="L323" i="3"/>
  <c r="L324" i="3"/>
  <c r="L325" i="3"/>
  <c r="L326" i="3"/>
  <c r="L327" i="3"/>
  <c r="L328" i="3"/>
  <c r="L329" i="3"/>
  <c r="L330" i="3"/>
  <c r="L331" i="3"/>
  <c r="L332" i="3"/>
  <c r="L333" i="3"/>
  <c r="L334" i="3"/>
  <c r="L335" i="3"/>
  <c r="L336" i="3"/>
  <c r="L337" i="3"/>
  <c r="L338" i="3"/>
  <c r="L339" i="3"/>
  <c r="L340" i="3"/>
  <c r="L341" i="3"/>
  <c r="L342" i="3"/>
  <c r="L343" i="3"/>
  <c r="L344" i="3"/>
  <c r="L345" i="3"/>
  <c r="L346" i="3"/>
  <c r="L347" i="3"/>
  <c r="L348" i="3"/>
  <c r="L349" i="3"/>
  <c r="L350" i="3"/>
  <c r="L351" i="3"/>
  <c r="L352" i="3"/>
  <c r="L353" i="3"/>
  <c r="L354" i="3"/>
  <c r="L355" i="3"/>
  <c r="L356" i="3"/>
  <c r="L357" i="3"/>
  <c r="L358" i="3"/>
  <c r="L359" i="3"/>
  <c r="L360" i="3"/>
  <c r="L361" i="3"/>
  <c r="L362" i="3"/>
  <c r="L363" i="3"/>
  <c r="L364" i="3"/>
  <c r="L365" i="3"/>
  <c r="L366" i="3"/>
  <c r="L367" i="3"/>
  <c r="L368" i="3"/>
  <c r="L369" i="3"/>
  <c r="L370" i="3"/>
  <c r="L371" i="3"/>
  <c r="L372" i="3"/>
  <c r="L373" i="3"/>
  <c r="L374" i="3"/>
  <c r="L375" i="3"/>
  <c r="L376" i="3"/>
  <c r="L377" i="3"/>
  <c r="L378" i="3"/>
  <c r="L379" i="3"/>
  <c r="L380" i="3"/>
  <c r="L381" i="3"/>
  <c r="L382" i="3"/>
  <c r="L383" i="3"/>
  <c r="L384" i="3"/>
  <c r="L385" i="3"/>
  <c r="L386" i="3"/>
  <c r="L387" i="3"/>
  <c r="L388" i="3"/>
  <c r="L389" i="3"/>
  <c r="L390" i="3"/>
  <c r="L391" i="3"/>
  <c r="L392" i="3"/>
  <c r="L393" i="3"/>
  <c r="L394" i="3"/>
  <c r="L395" i="3"/>
  <c r="L396" i="3"/>
  <c r="L397" i="3"/>
  <c r="L398" i="3"/>
  <c r="L399" i="3"/>
  <c r="L400" i="3"/>
  <c r="L401" i="3"/>
  <c r="L402" i="3"/>
  <c r="L403" i="3"/>
  <c r="L404" i="3"/>
  <c r="L405" i="3"/>
  <c r="L406" i="3"/>
  <c r="L407" i="3"/>
  <c r="L408" i="3"/>
  <c r="L409" i="3"/>
  <c r="L410" i="3"/>
  <c r="L411" i="3"/>
  <c r="L412" i="3"/>
  <c r="L413" i="3"/>
  <c r="L414" i="3"/>
  <c r="L415" i="3"/>
  <c r="L416" i="3"/>
  <c r="L417" i="3"/>
  <c r="L418" i="3"/>
  <c r="L419" i="3"/>
  <c r="L420" i="3"/>
  <c r="L421" i="3"/>
  <c r="L422" i="3"/>
  <c r="L423" i="3"/>
  <c r="L424" i="3"/>
  <c r="L425" i="3"/>
  <c r="L426" i="3"/>
  <c r="L427" i="3"/>
  <c r="L428" i="3"/>
  <c r="L429" i="3"/>
  <c r="L430" i="3"/>
  <c r="L431" i="3"/>
  <c r="L432" i="3"/>
  <c r="L433" i="3"/>
  <c r="L434" i="3"/>
  <c r="L435" i="3"/>
  <c r="L436" i="3"/>
  <c r="L437" i="3"/>
  <c r="L438" i="3"/>
  <c r="L439" i="3"/>
  <c r="L440" i="3"/>
  <c r="L441" i="3"/>
  <c r="L442" i="3"/>
  <c r="L443" i="3"/>
  <c r="L444" i="3"/>
  <c r="L445" i="3"/>
  <c r="L446" i="3"/>
  <c r="L447" i="3"/>
  <c r="L448" i="3"/>
  <c r="L449" i="3"/>
  <c r="L450" i="3"/>
  <c r="L451" i="3"/>
  <c r="L452" i="3"/>
  <c r="L453" i="3"/>
  <c r="L454" i="3"/>
  <c r="L455" i="3"/>
  <c r="L456" i="3"/>
  <c r="L457" i="3"/>
  <c r="L458" i="3"/>
  <c r="L459" i="3"/>
  <c r="L460" i="3"/>
  <c r="L461" i="3"/>
  <c r="L462" i="3"/>
  <c r="L463" i="3"/>
  <c r="L464" i="3"/>
  <c r="L465" i="3"/>
  <c r="L466" i="3"/>
  <c r="L467" i="3"/>
  <c r="L468" i="3"/>
  <c r="L469" i="3"/>
  <c r="L470" i="3"/>
  <c r="L471" i="3"/>
  <c r="L472" i="3"/>
  <c r="L473" i="3"/>
  <c r="L474" i="3"/>
  <c r="L475" i="3"/>
  <c r="L476" i="3"/>
  <c r="L477" i="3"/>
  <c r="L478" i="3"/>
  <c r="L479" i="3"/>
  <c r="L480" i="3"/>
  <c r="L481" i="3"/>
  <c r="L482" i="3"/>
  <c r="L483" i="3"/>
  <c r="L484" i="3"/>
  <c r="L485" i="3"/>
  <c r="L486" i="3"/>
  <c r="L487" i="3"/>
  <c r="L488" i="3"/>
  <c r="L489" i="3"/>
  <c r="L490" i="3"/>
  <c r="L491" i="3"/>
  <c r="L492" i="3"/>
  <c r="L493" i="3"/>
  <c r="L494" i="3"/>
  <c r="L495" i="3"/>
  <c r="L496" i="3"/>
  <c r="L497" i="3"/>
  <c r="L498" i="3"/>
  <c r="L499" i="3"/>
  <c r="L500" i="3"/>
  <c r="L501" i="3"/>
  <c r="L502" i="3"/>
  <c r="L503" i="3"/>
  <c r="L504" i="3"/>
  <c r="L505" i="3"/>
  <c r="L506" i="3"/>
  <c r="L507" i="3"/>
  <c r="L508" i="3"/>
  <c r="L509" i="3"/>
  <c r="L510" i="3"/>
  <c r="L511" i="3"/>
  <c r="L512" i="3"/>
  <c r="L513" i="3"/>
  <c r="L514" i="3"/>
  <c r="L515" i="3"/>
  <c r="L516" i="3"/>
  <c r="L517" i="3"/>
  <c r="L518" i="3"/>
  <c r="L519" i="3"/>
  <c r="L520" i="3"/>
  <c r="L521" i="3"/>
  <c r="L522" i="3"/>
  <c r="L523" i="3"/>
  <c r="L524" i="3"/>
  <c r="L525" i="3"/>
  <c r="L526" i="3"/>
  <c r="L527" i="3"/>
  <c r="L528" i="3"/>
  <c r="L529" i="3"/>
  <c r="L530" i="3"/>
  <c r="L531" i="3"/>
  <c r="L532" i="3"/>
  <c r="L533" i="3"/>
  <c r="L534" i="3"/>
  <c r="L535" i="3"/>
  <c r="L536" i="3"/>
  <c r="L537" i="3"/>
  <c r="L538" i="3"/>
  <c r="L539" i="3"/>
  <c r="L540" i="3"/>
  <c r="L541" i="3"/>
  <c r="L542" i="3"/>
  <c r="L543" i="3"/>
  <c r="L544" i="3"/>
  <c r="L545" i="3"/>
  <c r="L546" i="3"/>
  <c r="L547" i="3"/>
  <c r="L548" i="3"/>
  <c r="L549" i="3"/>
  <c r="L550" i="3"/>
  <c r="L551" i="3"/>
  <c r="L552" i="3"/>
  <c r="L553" i="3"/>
  <c r="L554" i="3"/>
  <c r="L555" i="3"/>
  <c r="L556" i="3"/>
  <c r="L557" i="3"/>
  <c r="L558" i="3"/>
  <c r="L559" i="3"/>
  <c r="L560" i="3"/>
  <c r="L561" i="3"/>
  <c r="L562" i="3"/>
  <c r="L563" i="3"/>
  <c r="L564" i="3"/>
  <c r="L565" i="3"/>
  <c r="L566" i="3"/>
  <c r="L567" i="3"/>
  <c r="L568" i="3"/>
  <c r="L569" i="3"/>
  <c r="L570" i="3"/>
  <c r="L571" i="3"/>
  <c r="L572" i="3"/>
  <c r="L573" i="3"/>
  <c r="L574" i="3"/>
  <c r="L575" i="3"/>
  <c r="L576" i="3"/>
  <c r="L577" i="3"/>
  <c r="L578" i="3"/>
  <c r="L579" i="3"/>
  <c r="L580" i="3"/>
  <c r="L581" i="3"/>
  <c r="L582" i="3"/>
  <c r="L583" i="3"/>
  <c r="L584" i="3"/>
  <c r="L585" i="3"/>
  <c r="L586" i="3"/>
  <c r="L587" i="3"/>
  <c r="L588" i="3"/>
  <c r="L589" i="3"/>
  <c r="L590" i="3"/>
  <c r="L591" i="3"/>
  <c r="L592" i="3"/>
  <c r="L593" i="3"/>
  <c r="L594" i="3"/>
  <c r="L595" i="3"/>
  <c r="L596" i="3"/>
  <c r="L597" i="3"/>
  <c r="L598" i="3"/>
  <c r="L599" i="3"/>
  <c r="L600" i="3"/>
  <c r="L601" i="3"/>
  <c r="L602" i="3"/>
  <c r="L603" i="3"/>
  <c r="L604" i="3"/>
  <c r="L605" i="3"/>
  <c r="L606" i="3"/>
  <c r="L607" i="3"/>
  <c r="L608" i="3"/>
  <c r="L609" i="3"/>
  <c r="L610" i="3"/>
  <c r="L611" i="3"/>
  <c r="L612" i="3"/>
  <c r="L613" i="3"/>
  <c r="L614" i="3"/>
  <c r="L615" i="3"/>
  <c r="L616" i="3"/>
  <c r="L617" i="3"/>
  <c r="L618" i="3"/>
  <c r="L619" i="3"/>
  <c r="L620" i="3"/>
  <c r="L621" i="3"/>
  <c r="L622" i="3"/>
  <c r="L623" i="3"/>
  <c r="L624" i="3"/>
  <c r="L625" i="3"/>
  <c r="L626" i="3"/>
  <c r="L627" i="3"/>
  <c r="L628" i="3"/>
  <c r="L629" i="3"/>
  <c r="L630" i="3"/>
  <c r="L631" i="3"/>
  <c r="L632" i="3"/>
  <c r="L633" i="3"/>
  <c r="L634" i="3"/>
  <c r="L635" i="3"/>
  <c r="L636" i="3"/>
  <c r="L637" i="3"/>
  <c r="L638" i="3"/>
  <c r="L639" i="3"/>
  <c r="L640" i="3"/>
  <c r="L641" i="3"/>
  <c r="L642" i="3"/>
  <c r="L643" i="3"/>
  <c r="L644" i="3"/>
  <c r="L645" i="3"/>
  <c r="L646" i="3"/>
  <c r="L647" i="3"/>
  <c r="L648" i="3"/>
  <c r="L649" i="3"/>
  <c r="L650" i="3"/>
  <c r="L651" i="3"/>
  <c r="L652" i="3"/>
  <c r="L653" i="3"/>
  <c r="L654" i="3"/>
  <c r="L655" i="3"/>
  <c r="L656" i="3"/>
  <c r="L657" i="3"/>
  <c r="L658" i="3"/>
  <c r="L659" i="3"/>
  <c r="L660" i="3"/>
  <c r="L661" i="3"/>
  <c r="L662" i="3"/>
  <c r="L663" i="3"/>
  <c r="L664" i="3"/>
  <c r="L665" i="3"/>
  <c r="L666" i="3"/>
  <c r="L667" i="3"/>
  <c r="L668" i="3"/>
  <c r="L669" i="3"/>
  <c r="L670" i="3"/>
  <c r="L671" i="3"/>
  <c r="L672" i="3"/>
  <c r="L673" i="3"/>
  <c r="L674" i="3"/>
  <c r="L675" i="3"/>
  <c r="L676" i="3"/>
  <c r="L677" i="3"/>
  <c r="L678" i="3"/>
  <c r="L679" i="3"/>
  <c r="L680" i="3"/>
  <c r="L681" i="3"/>
  <c r="L682" i="3"/>
  <c r="L683" i="3"/>
  <c r="L684" i="3"/>
  <c r="L685" i="3"/>
  <c r="L686" i="3"/>
  <c r="L687" i="3"/>
  <c r="L688" i="3"/>
  <c r="L689" i="3"/>
  <c r="L690" i="3"/>
  <c r="L691" i="3"/>
  <c r="L692" i="3"/>
  <c r="L693" i="3"/>
  <c r="L694" i="3"/>
  <c r="L695" i="3"/>
  <c r="L696" i="3"/>
  <c r="L697" i="3"/>
  <c r="L698" i="3"/>
  <c r="L699" i="3"/>
  <c r="L700" i="3"/>
  <c r="L701" i="3"/>
  <c r="L702" i="3"/>
  <c r="L703" i="3"/>
  <c r="L704" i="3"/>
  <c r="L705" i="3"/>
  <c r="L706" i="3"/>
  <c r="L707" i="3"/>
  <c r="L708" i="3"/>
  <c r="L709" i="3"/>
  <c r="L710" i="3"/>
  <c r="L711" i="3"/>
  <c r="L712" i="3"/>
  <c r="L713" i="3"/>
  <c r="L714" i="3"/>
  <c r="L715" i="3"/>
  <c r="L716" i="3"/>
  <c r="L717" i="3"/>
  <c r="L718" i="3"/>
  <c r="L719" i="3"/>
  <c r="L720" i="3"/>
  <c r="L721" i="3"/>
  <c r="L722" i="3"/>
  <c r="L723" i="3"/>
  <c r="L724" i="3"/>
  <c r="L725" i="3"/>
  <c r="L726" i="3"/>
  <c r="L727" i="3"/>
  <c r="L728" i="3"/>
  <c r="L729" i="3"/>
  <c r="L730" i="3"/>
  <c r="L731" i="3"/>
  <c r="L732" i="3"/>
  <c r="L733" i="3"/>
  <c r="L734" i="3"/>
  <c r="L735" i="3"/>
  <c r="L736" i="3"/>
  <c r="L737" i="3"/>
  <c r="L738" i="3"/>
  <c r="L739" i="3"/>
  <c r="L740" i="3"/>
  <c r="L741" i="3"/>
  <c r="L742" i="3"/>
  <c r="L743" i="3"/>
  <c r="L744" i="3"/>
  <c r="L745" i="3"/>
  <c r="L746" i="3"/>
  <c r="L747" i="3"/>
  <c r="L748" i="3"/>
  <c r="L749" i="3"/>
  <c r="L750" i="3"/>
  <c r="L751" i="3"/>
  <c r="L752" i="3"/>
  <c r="L753" i="3"/>
  <c r="L754" i="3"/>
  <c r="L755" i="3"/>
  <c r="L756" i="3"/>
  <c r="L757" i="3"/>
  <c r="L758" i="3"/>
  <c r="L759" i="3"/>
  <c r="L760" i="3"/>
  <c r="L761" i="3"/>
  <c r="L762" i="3"/>
  <c r="L763" i="3"/>
  <c r="L764" i="3"/>
  <c r="L765" i="3"/>
  <c r="L766" i="3"/>
  <c r="L767" i="3"/>
  <c r="L768" i="3"/>
  <c r="L769" i="3"/>
  <c r="L770" i="3"/>
  <c r="L771" i="3"/>
  <c r="L772" i="3"/>
  <c r="L773" i="3"/>
  <c r="L774" i="3"/>
  <c r="L775" i="3"/>
  <c r="L776" i="3"/>
  <c r="L777" i="3"/>
  <c r="L778" i="3"/>
  <c r="L779" i="3"/>
  <c r="L780" i="3"/>
  <c r="L781" i="3"/>
  <c r="L782" i="3"/>
  <c r="L783" i="3"/>
  <c r="L784" i="3"/>
  <c r="L785" i="3"/>
  <c r="L786" i="3"/>
  <c r="L787" i="3"/>
  <c r="L788" i="3"/>
  <c r="L789" i="3"/>
  <c r="L790" i="3"/>
  <c r="L791" i="3"/>
  <c r="L792" i="3"/>
  <c r="L793" i="3"/>
  <c r="L794" i="3"/>
  <c r="L795" i="3"/>
  <c r="L796" i="3"/>
  <c r="L797" i="3"/>
  <c r="L798" i="3"/>
  <c r="L799" i="3"/>
  <c r="L800" i="3"/>
  <c r="L801" i="3"/>
  <c r="L802" i="3"/>
  <c r="L803" i="3"/>
  <c r="L804" i="3"/>
  <c r="L805" i="3"/>
  <c r="L806" i="3"/>
  <c r="L807" i="3"/>
  <c r="L808" i="3"/>
  <c r="L809" i="3"/>
  <c r="L810" i="3"/>
  <c r="L811" i="3"/>
  <c r="L812" i="3"/>
  <c r="L813" i="3"/>
  <c r="L814" i="3"/>
  <c r="L815" i="3"/>
  <c r="L816" i="3"/>
  <c r="L817" i="3"/>
  <c r="L818" i="3"/>
  <c r="L819" i="3"/>
  <c r="L820" i="3"/>
  <c r="L821" i="3"/>
  <c r="L822" i="3"/>
  <c r="L823" i="3"/>
  <c r="L824" i="3"/>
  <c r="L825" i="3"/>
  <c r="L826" i="3"/>
  <c r="L827" i="3"/>
  <c r="L828" i="3"/>
  <c r="L829" i="3"/>
  <c r="L830" i="3"/>
  <c r="L831" i="3"/>
  <c r="L832" i="3"/>
  <c r="L833" i="3"/>
  <c r="L834" i="3"/>
  <c r="L835" i="3"/>
  <c r="L836" i="3"/>
  <c r="L837" i="3"/>
  <c r="L838" i="3"/>
  <c r="L839" i="3"/>
  <c r="L840" i="3"/>
  <c r="L841" i="3"/>
  <c r="L842" i="3"/>
  <c r="L843" i="3"/>
  <c r="L844" i="3"/>
  <c r="L845" i="3"/>
  <c r="L846" i="3"/>
  <c r="L847" i="3"/>
  <c r="L848" i="3"/>
  <c r="L849" i="3"/>
  <c r="L850" i="3"/>
  <c r="L851" i="3"/>
  <c r="L852" i="3"/>
  <c r="L853" i="3"/>
  <c r="L854" i="3"/>
  <c r="L855" i="3"/>
  <c r="L856" i="3"/>
  <c r="L857" i="3"/>
  <c r="L858" i="3"/>
  <c r="L859" i="3"/>
  <c r="L860" i="3"/>
  <c r="L861" i="3"/>
  <c r="L862" i="3"/>
  <c r="L863" i="3"/>
  <c r="L864" i="3"/>
  <c r="L865" i="3"/>
  <c r="L866" i="3"/>
  <c r="L867" i="3"/>
  <c r="L868" i="3"/>
  <c r="L869" i="3"/>
  <c r="L870" i="3"/>
  <c r="L871" i="3"/>
  <c r="L872" i="3"/>
  <c r="L873" i="3"/>
  <c r="L874" i="3"/>
  <c r="L875" i="3"/>
  <c r="L876" i="3"/>
  <c r="L877" i="3"/>
  <c r="L878" i="3"/>
  <c r="L879" i="3"/>
  <c r="L880" i="3"/>
  <c r="L881" i="3"/>
  <c r="L882" i="3"/>
  <c r="L883" i="3"/>
  <c r="L884" i="3"/>
  <c r="L885" i="3"/>
  <c r="L886" i="3"/>
  <c r="L887" i="3"/>
  <c r="L888" i="3"/>
  <c r="L889" i="3"/>
  <c r="L890" i="3"/>
  <c r="L891" i="3"/>
  <c r="L892" i="3"/>
  <c r="L893" i="3"/>
  <c r="L894" i="3"/>
  <c r="L895" i="3"/>
  <c r="L896" i="3"/>
  <c r="L897" i="3"/>
  <c r="L898" i="3"/>
  <c r="L899" i="3"/>
  <c r="L900" i="3"/>
  <c r="L901" i="3"/>
  <c r="L902" i="3"/>
  <c r="L903" i="3"/>
  <c r="L904" i="3"/>
  <c r="L905" i="3"/>
  <c r="L906" i="3"/>
  <c r="L907" i="3"/>
  <c r="L908" i="3"/>
  <c r="L909" i="3"/>
  <c r="L910" i="3"/>
  <c r="L911" i="3"/>
  <c r="L912" i="3"/>
  <c r="L913" i="3"/>
  <c r="L914" i="3"/>
  <c r="L915" i="3"/>
  <c r="L916" i="3"/>
  <c r="L917" i="3"/>
  <c r="L918" i="3"/>
  <c r="L919" i="3"/>
  <c r="L920" i="3"/>
  <c r="L921" i="3"/>
  <c r="L922" i="3"/>
  <c r="L923" i="3"/>
  <c r="L924" i="3"/>
  <c r="L925" i="3"/>
  <c r="L926" i="3"/>
  <c r="L927" i="3"/>
  <c r="L928" i="3"/>
  <c r="L929" i="3"/>
  <c r="L930" i="3"/>
  <c r="L931" i="3"/>
  <c r="L932" i="3"/>
  <c r="L933" i="3"/>
  <c r="L934" i="3"/>
  <c r="L935" i="3"/>
  <c r="L936" i="3"/>
  <c r="L937" i="3"/>
  <c r="L938" i="3"/>
  <c r="L939" i="3"/>
  <c r="L940" i="3"/>
  <c r="L941" i="3"/>
  <c r="L942" i="3"/>
  <c r="L943" i="3"/>
  <c r="L944" i="3"/>
  <c r="L945" i="3"/>
  <c r="L946" i="3"/>
  <c r="L947" i="3"/>
  <c r="L948" i="3"/>
  <c r="L949" i="3"/>
  <c r="L950" i="3"/>
  <c r="L951" i="3"/>
  <c r="L952" i="3"/>
  <c r="L953" i="3"/>
  <c r="L954" i="3"/>
  <c r="L955" i="3"/>
  <c r="L956" i="3"/>
  <c r="L957" i="3"/>
  <c r="L958" i="3"/>
  <c r="L959" i="3"/>
  <c r="L960" i="3"/>
  <c r="L961" i="3"/>
  <c r="L962" i="3"/>
  <c r="L963" i="3"/>
  <c r="L964" i="3"/>
  <c r="L965" i="3"/>
  <c r="L966" i="3"/>
  <c r="L967" i="3"/>
  <c r="L968" i="3"/>
  <c r="L969" i="3"/>
  <c r="L970" i="3"/>
  <c r="L971" i="3"/>
  <c r="L972" i="3"/>
  <c r="L973" i="3"/>
  <c r="L974" i="3"/>
  <c r="L975" i="3"/>
  <c r="L976" i="3"/>
  <c r="L977" i="3"/>
  <c r="L978" i="3"/>
  <c r="L979" i="3"/>
  <c r="L980" i="3"/>
  <c r="L981" i="3"/>
  <c r="L982" i="3"/>
  <c r="L983" i="3"/>
  <c r="L984" i="3"/>
  <c r="L985" i="3"/>
  <c r="L986" i="3"/>
  <c r="L987" i="3"/>
  <c r="L988" i="3"/>
  <c r="L989" i="3"/>
  <c r="L990" i="3"/>
  <c r="L991" i="3"/>
  <c r="L992" i="3"/>
  <c r="L993" i="3"/>
  <c r="L994" i="3"/>
  <c r="L995" i="3"/>
  <c r="L996" i="3"/>
  <c r="L997" i="3"/>
  <c r="L998" i="3"/>
  <c r="L999" i="3"/>
  <c r="L1000" i="3"/>
  <c r="L1001" i="3"/>
  <c r="L1002" i="3"/>
  <c r="L1003" i="3"/>
  <c r="L1004" i="3"/>
  <c r="L1005" i="3"/>
  <c r="L1006" i="3"/>
  <c r="L1007" i="3"/>
  <c r="L1008" i="3"/>
  <c r="L1009" i="3"/>
  <c r="L1010" i="3"/>
  <c r="L1011" i="3"/>
  <c r="L1012" i="3"/>
  <c r="L1013" i="3"/>
  <c r="L1014" i="3"/>
  <c r="L1015" i="3"/>
  <c r="L1016" i="3"/>
  <c r="L1017" i="3"/>
  <c r="L1018" i="3"/>
  <c r="L1019" i="3"/>
  <c r="L1020" i="3"/>
  <c r="L1021" i="3"/>
  <c r="L1022" i="3"/>
  <c r="L1023" i="3"/>
  <c r="L1024" i="3"/>
  <c r="L1025" i="3"/>
  <c r="L1026" i="3"/>
  <c r="L1027" i="3"/>
  <c r="L1028" i="3"/>
  <c r="L1029" i="3"/>
  <c r="L1030" i="3"/>
  <c r="L1031" i="3"/>
  <c r="L1032" i="3"/>
  <c r="L1033" i="3"/>
  <c r="L1034" i="3"/>
  <c r="L1035" i="3"/>
  <c r="L1036" i="3"/>
  <c r="L1037" i="3"/>
  <c r="L1038" i="3"/>
  <c r="L1039" i="3"/>
  <c r="L1040" i="3"/>
  <c r="L1041" i="3"/>
  <c r="L1042" i="3"/>
  <c r="L1043" i="3"/>
  <c r="L1044" i="3"/>
  <c r="L1045" i="3"/>
  <c r="L1046" i="3"/>
  <c r="L1047" i="3"/>
  <c r="L1048" i="3"/>
  <c r="L1049" i="3"/>
  <c r="L1050" i="3"/>
  <c r="L1051" i="3"/>
  <c r="L1052" i="3"/>
  <c r="L1053" i="3"/>
  <c r="L1054" i="3"/>
  <c r="L1055" i="3"/>
  <c r="L1056" i="3"/>
  <c r="L1057" i="3"/>
  <c r="L1058" i="3"/>
  <c r="L1059" i="3"/>
  <c r="L1060" i="3"/>
  <c r="L1061" i="3"/>
  <c r="L1062" i="3"/>
  <c r="L1063" i="3"/>
  <c r="L1064" i="3"/>
  <c r="L1065" i="3"/>
  <c r="L1066" i="3"/>
  <c r="L1067" i="3"/>
  <c r="L1068" i="3"/>
  <c r="L1069" i="3"/>
  <c r="L1070" i="3"/>
  <c r="L1071" i="3"/>
  <c r="L1072" i="3"/>
  <c r="L1073" i="3"/>
  <c r="L1074" i="3"/>
  <c r="L1075" i="3"/>
  <c r="L1076" i="3"/>
  <c r="L1077" i="3"/>
  <c r="L1078" i="3"/>
  <c r="L1079" i="3"/>
  <c r="L1080" i="3"/>
  <c r="L1081" i="3"/>
  <c r="L1082" i="3"/>
  <c r="L1083" i="3"/>
  <c r="L1084" i="3"/>
  <c r="L1085" i="3"/>
  <c r="L1086" i="3"/>
  <c r="L1087" i="3"/>
  <c r="L1088" i="3"/>
  <c r="L1089" i="3"/>
  <c r="L1090" i="3"/>
  <c r="L1091" i="3"/>
  <c r="L1092" i="3"/>
  <c r="L1093" i="3"/>
  <c r="L1094" i="3"/>
  <c r="L1095" i="3"/>
  <c r="L1096" i="3"/>
  <c r="L1097" i="3"/>
  <c r="L1098" i="3"/>
  <c r="L1099" i="3"/>
  <c r="L1100" i="3"/>
  <c r="L1101" i="3"/>
  <c r="L1102" i="3"/>
  <c r="L1103" i="3"/>
  <c r="L1104" i="3"/>
  <c r="L1105" i="3"/>
  <c r="L1106" i="3"/>
  <c r="L1107" i="3"/>
  <c r="L1108" i="3"/>
  <c r="L1109" i="3"/>
  <c r="L1110" i="3"/>
  <c r="L1111" i="3"/>
  <c r="L1112" i="3"/>
  <c r="L1113" i="3"/>
  <c r="L1114" i="3"/>
  <c r="L1115" i="3"/>
  <c r="L1116" i="3"/>
  <c r="L1117" i="3"/>
  <c r="L1118" i="3"/>
  <c r="L1119" i="3"/>
  <c r="L1120" i="3"/>
  <c r="L1121" i="3"/>
  <c r="L1122" i="3"/>
  <c r="L1123" i="3"/>
  <c r="L1124" i="3"/>
  <c r="L1125" i="3"/>
  <c r="L1126" i="3"/>
  <c r="L1127" i="3"/>
  <c r="L1128" i="3"/>
  <c r="L1129" i="3"/>
  <c r="L1130" i="3"/>
  <c r="L1131" i="3"/>
  <c r="L1132" i="3"/>
  <c r="L1133" i="3"/>
  <c r="L1134" i="3"/>
  <c r="L1135" i="3"/>
  <c r="L1136" i="3"/>
  <c r="L1137" i="3"/>
  <c r="L1138" i="3"/>
  <c r="L1139" i="3"/>
  <c r="L1140" i="3"/>
  <c r="L1141" i="3"/>
  <c r="L1142" i="3"/>
  <c r="L1143" i="3"/>
  <c r="L1144" i="3"/>
  <c r="L1145" i="3"/>
  <c r="L1146" i="3"/>
  <c r="L1147" i="3"/>
  <c r="L1148" i="3"/>
  <c r="L1149" i="3"/>
  <c r="L1150" i="3"/>
  <c r="L1151" i="3"/>
  <c r="L1152" i="3"/>
  <c r="L1153" i="3"/>
  <c r="L1154" i="3"/>
  <c r="L1155" i="3"/>
  <c r="L1156" i="3"/>
  <c r="L1157" i="3"/>
  <c r="L1158" i="3"/>
  <c r="L1159" i="3"/>
  <c r="L1160" i="3"/>
  <c r="L1161" i="3"/>
  <c r="L1162" i="3"/>
  <c r="L1163" i="3"/>
  <c r="L1164" i="3"/>
  <c r="L1165" i="3"/>
  <c r="L1166" i="3"/>
  <c r="L1167" i="3"/>
  <c r="L1168" i="3"/>
  <c r="L1169" i="3"/>
  <c r="L1170" i="3"/>
  <c r="L1171" i="3"/>
  <c r="L1172" i="3"/>
  <c r="L1173" i="3"/>
  <c r="L1174" i="3"/>
  <c r="L1175" i="3"/>
  <c r="L1176" i="3"/>
  <c r="L1177" i="3"/>
  <c r="L1178" i="3"/>
  <c r="L1179" i="3"/>
  <c r="L1180" i="3"/>
  <c r="L1181" i="3"/>
  <c r="L1182" i="3"/>
  <c r="L1183" i="3"/>
  <c r="L1184" i="3"/>
  <c r="L1185" i="3"/>
  <c r="L1186" i="3"/>
  <c r="L1187" i="3"/>
  <c r="L1188" i="3"/>
  <c r="L1189" i="3"/>
  <c r="L1190" i="3"/>
  <c r="L1191" i="3"/>
  <c r="L1192" i="3"/>
  <c r="L1193" i="3"/>
  <c r="L1194" i="3"/>
  <c r="L1195" i="3"/>
  <c r="L1196" i="3"/>
  <c r="L1197" i="3"/>
  <c r="L1198" i="3"/>
  <c r="L1199" i="3"/>
  <c r="L1200" i="3"/>
  <c r="L1201" i="3"/>
  <c r="L1202" i="3"/>
  <c r="L1203" i="3"/>
  <c r="L1204" i="3"/>
  <c r="L1205" i="3"/>
  <c r="L1206" i="3"/>
  <c r="L1207" i="3"/>
  <c r="L1208" i="3"/>
  <c r="L1209" i="3"/>
  <c r="L1210" i="3"/>
  <c r="L1211" i="3"/>
  <c r="L1212" i="3"/>
  <c r="L1213" i="3"/>
  <c r="L1214" i="3"/>
  <c r="L1215" i="3"/>
  <c r="L1216" i="3"/>
  <c r="L1217" i="3"/>
  <c r="L1218" i="3"/>
  <c r="L1219" i="3"/>
  <c r="L1220" i="3"/>
  <c r="L1221" i="3"/>
  <c r="L1222" i="3"/>
  <c r="L1223" i="3"/>
  <c r="L1224" i="3"/>
  <c r="L1225" i="3"/>
  <c r="L1226" i="3"/>
  <c r="L1227" i="3"/>
  <c r="L1228" i="3"/>
  <c r="L1229" i="3"/>
  <c r="L1230" i="3"/>
  <c r="L1231" i="3"/>
  <c r="L1232" i="3"/>
  <c r="L1233" i="3"/>
  <c r="L1234" i="3"/>
  <c r="L1235" i="3"/>
  <c r="L1236" i="3"/>
  <c r="L1237" i="3"/>
  <c r="L1238" i="3"/>
  <c r="L1239" i="3"/>
  <c r="L1240" i="3"/>
  <c r="L1241" i="3"/>
  <c r="L1242" i="3"/>
  <c r="L1243" i="3"/>
  <c r="L1244" i="3"/>
  <c r="L1245" i="3"/>
  <c r="L1246" i="3"/>
  <c r="L1247" i="3"/>
  <c r="L1248" i="3"/>
  <c r="L1249" i="3"/>
  <c r="L1250" i="3"/>
  <c r="L1251" i="3"/>
  <c r="L1252" i="3"/>
  <c r="L1253" i="3"/>
  <c r="L1254" i="3"/>
  <c r="L1255" i="3"/>
  <c r="L1256" i="3"/>
  <c r="L1257" i="3"/>
  <c r="L1258" i="3"/>
  <c r="L1259" i="3"/>
  <c r="L1260" i="3"/>
  <c r="L1261" i="3"/>
  <c r="L1262" i="3"/>
  <c r="L1263" i="3"/>
  <c r="L1264" i="3"/>
  <c r="L1265" i="3"/>
  <c r="L1266" i="3"/>
  <c r="L1267" i="3"/>
  <c r="L1268" i="3"/>
  <c r="L1269" i="3"/>
  <c r="L1270" i="3"/>
  <c r="L1271" i="3"/>
  <c r="L1272" i="3"/>
  <c r="L1273" i="3"/>
  <c r="L1274" i="3"/>
  <c r="L1275" i="3"/>
  <c r="L1276" i="3"/>
  <c r="L1277" i="3"/>
  <c r="L1278" i="3"/>
  <c r="L1279" i="3"/>
  <c r="L1280" i="3"/>
  <c r="L1281" i="3"/>
  <c r="L1282" i="3"/>
  <c r="L1283" i="3"/>
  <c r="L1284" i="3"/>
  <c r="L1285" i="3"/>
  <c r="L1286" i="3"/>
  <c r="L1287" i="3"/>
  <c r="L1288" i="3"/>
  <c r="L1289" i="3"/>
  <c r="L1290" i="3"/>
  <c r="L1291" i="3"/>
  <c r="L1292" i="3"/>
  <c r="L1293" i="3"/>
  <c r="L1294" i="3"/>
  <c r="L1295" i="3"/>
  <c r="L1296" i="3"/>
  <c r="L1297" i="3"/>
  <c r="L1298" i="3"/>
  <c r="L1299" i="3"/>
  <c r="L1300" i="3"/>
  <c r="L1301" i="3"/>
  <c r="L1302" i="3"/>
  <c r="L1303" i="3"/>
  <c r="L1304" i="3"/>
  <c r="L1305" i="3"/>
  <c r="L1306" i="3"/>
  <c r="L1307" i="3"/>
  <c r="L1308" i="3"/>
  <c r="L1309" i="3"/>
  <c r="L1310" i="3"/>
  <c r="L1311" i="3"/>
  <c r="L1312" i="3"/>
  <c r="L1313" i="3"/>
  <c r="L1314" i="3"/>
  <c r="L1315" i="3"/>
  <c r="L1316" i="3"/>
  <c r="L1317" i="3"/>
  <c r="L1318" i="3"/>
  <c r="L1319" i="3"/>
  <c r="L1320" i="3"/>
  <c r="L1321" i="3"/>
  <c r="L1322" i="3"/>
  <c r="L1323" i="3"/>
  <c r="L1324" i="3"/>
  <c r="L1325" i="3"/>
  <c r="L1326" i="3"/>
  <c r="L1327" i="3"/>
  <c r="L1328" i="3"/>
  <c r="L1329" i="3"/>
  <c r="L1330" i="3"/>
  <c r="L1331" i="3"/>
  <c r="L1332" i="3"/>
  <c r="L1333" i="3"/>
  <c r="L1334" i="3"/>
  <c r="L1335" i="3"/>
  <c r="L1336" i="3"/>
  <c r="L1337" i="3"/>
  <c r="L1338" i="3"/>
  <c r="L1339" i="3"/>
  <c r="L1340" i="3"/>
  <c r="L1341" i="3"/>
  <c r="L1342" i="3"/>
  <c r="L1343" i="3"/>
  <c r="L1344" i="3"/>
  <c r="L1345" i="3"/>
  <c r="L1346" i="3"/>
  <c r="L1347" i="3"/>
  <c r="L1348" i="3"/>
  <c r="L1349" i="3"/>
  <c r="L1350" i="3"/>
  <c r="L1351" i="3"/>
  <c r="L1352" i="3"/>
  <c r="L1353" i="3"/>
  <c r="L1354" i="3"/>
  <c r="L1355" i="3"/>
  <c r="L1356" i="3"/>
  <c r="L1357" i="3"/>
  <c r="L1358" i="3"/>
  <c r="L1359" i="3"/>
  <c r="L1360" i="3"/>
  <c r="L1361" i="3"/>
  <c r="L1362" i="3"/>
  <c r="L1363" i="3"/>
  <c r="L1364" i="3"/>
  <c r="L1365" i="3"/>
  <c r="L1366" i="3"/>
  <c r="L1367" i="3"/>
  <c r="L1368" i="3"/>
  <c r="L1369" i="3"/>
  <c r="L1370" i="3"/>
  <c r="L1371" i="3"/>
  <c r="L1372" i="3"/>
  <c r="L1373" i="3"/>
  <c r="L1374" i="3"/>
  <c r="L1375" i="3"/>
  <c r="L1376" i="3"/>
  <c r="L1377" i="3"/>
  <c r="L1378" i="3"/>
  <c r="L1379" i="3"/>
  <c r="L1380" i="3"/>
  <c r="L1381" i="3"/>
  <c r="L1382" i="3"/>
  <c r="L1383" i="3"/>
  <c r="L1384" i="3"/>
  <c r="L1385" i="3"/>
  <c r="L1386" i="3"/>
  <c r="L1387" i="3"/>
  <c r="L1388" i="3"/>
  <c r="L1389" i="3"/>
  <c r="L1390" i="3"/>
  <c r="L1391" i="3"/>
  <c r="L1392" i="3"/>
  <c r="L1393" i="3"/>
  <c r="L1394" i="3"/>
  <c r="L1395" i="3"/>
  <c r="L1396" i="3"/>
  <c r="L1397" i="3"/>
  <c r="L1398" i="3"/>
  <c r="L1399" i="3"/>
  <c r="L1400" i="3"/>
  <c r="L1401" i="3"/>
  <c r="L1402" i="3"/>
  <c r="L1403" i="3"/>
  <c r="L1404" i="3"/>
  <c r="L1405" i="3"/>
  <c r="L1406" i="3"/>
  <c r="L1407" i="3"/>
  <c r="L1408" i="3"/>
  <c r="L1409" i="3"/>
  <c r="L1410" i="3"/>
  <c r="L1411" i="3"/>
  <c r="L1412" i="3"/>
  <c r="L1413" i="3"/>
  <c r="L1414" i="3"/>
  <c r="L1415" i="3"/>
  <c r="L1416" i="3"/>
  <c r="L1417" i="3"/>
  <c r="L1418" i="3"/>
  <c r="L1419" i="3"/>
  <c r="L1420" i="3"/>
  <c r="L1421" i="3"/>
  <c r="L1422" i="3"/>
  <c r="L1423" i="3"/>
  <c r="L1424" i="3"/>
  <c r="L1425" i="3"/>
  <c r="L1426" i="3"/>
  <c r="L1427" i="3"/>
  <c r="L1428" i="3"/>
  <c r="L1429" i="3"/>
  <c r="L1430" i="3"/>
  <c r="L1431" i="3"/>
  <c r="L1432" i="3"/>
  <c r="L1433" i="3"/>
  <c r="L1434" i="3"/>
  <c r="L1435" i="3"/>
  <c r="L1436" i="3"/>
  <c r="L1437" i="3"/>
  <c r="L1438" i="3"/>
  <c r="L1439" i="3"/>
  <c r="L1440" i="3"/>
  <c r="L1441" i="3"/>
  <c r="L1442" i="3"/>
  <c r="L1443" i="3"/>
  <c r="L1444" i="3"/>
  <c r="L1445" i="3"/>
  <c r="L1446" i="3"/>
  <c r="L1447" i="3"/>
  <c r="L1448" i="3"/>
  <c r="L1449" i="3"/>
  <c r="L1450" i="3"/>
  <c r="L1451" i="3"/>
  <c r="L1452" i="3"/>
  <c r="L1453" i="3"/>
  <c r="L1454" i="3"/>
  <c r="L1455" i="3"/>
  <c r="L1456" i="3"/>
  <c r="L1457" i="3"/>
  <c r="L1458" i="3"/>
  <c r="L1459" i="3"/>
  <c r="L1460" i="3"/>
  <c r="L1461" i="3"/>
  <c r="L1462" i="3"/>
  <c r="L1463" i="3"/>
  <c r="L1464" i="3"/>
  <c r="L1465" i="3"/>
  <c r="L1466" i="3"/>
  <c r="L1467" i="3"/>
  <c r="L1468" i="3"/>
  <c r="L1469" i="3"/>
  <c r="L1470" i="3"/>
  <c r="L1471" i="3"/>
  <c r="L1472" i="3"/>
  <c r="L1473" i="3"/>
  <c r="L1474" i="3"/>
  <c r="L1475" i="3"/>
  <c r="L1476" i="3"/>
  <c r="L1477" i="3"/>
  <c r="L1478" i="3"/>
  <c r="L1479" i="3"/>
  <c r="L1480" i="3"/>
  <c r="L1481" i="3"/>
  <c r="L1482" i="3"/>
  <c r="L1483" i="3"/>
  <c r="L1484" i="3"/>
  <c r="L1485" i="3"/>
  <c r="L1486" i="3"/>
  <c r="L1487" i="3"/>
  <c r="L1488" i="3"/>
  <c r="L1489" i="3"/>
  <c r="L1490" i="3"/>
  <c r="L1491" i="3"/>
  <c r="L1492" i="3"/>
  <c r="L1493" i="3"/>
  <c r="L1494" i="3"/>
  <c r="L1495" i="3"/>
  <c r="L1496" i="3"/>
  <c r="L1497" i="3"/>
  <c r="L1498" i="3"/>
  <c r="L1499" i="3"/>
  <c r="L1500" i="3"/>
  <c r="L1501" i="3"/>
  <c r="L1502" i="3"/>
  <c r="L1503" i="3"/>
  <c r="L1504" i="3"/>
  <c r="L1505" i="3"/>
  <c r="L1506" i="3"/>
  <c r="L1507" i="3"/>
  <c r="L1508" i="3"/>
  <c r="L1509" i="3"/>
  <c r="L1510" i="3"/>
  <c r="L1511" i="3"/>
  <c r="L1512" i="3"/>
  <c r="L1513" i="3"/>
  <c r="L1514" i="3"/>
  <c r="L1515" i="3"/>
  <c r="L1516" i="3"/>
  <c r="L1517" i="3"/>
  <c r="L1518" i="3"/>
  <c r="L1519" i="3"/>
  <c r="L1520" i="3"/>
  <c r="L1521" i="3"/>
  <c r="L1522" i="3"/>
  <c r="L1523" i="3"/>
  <c r="L1524" i="3"/>
  <c r="L1525" i="3"/>
  <c r="L1526" i="3"/>
  <c r="L1527" i="3"/>
  <c r="L1528" i="3"/>
  <c r="L1529" i="3"/>
  <c r="L1530" i="3"/>
  <c r="L1531" i="3"/>
  <c r="L1532" i="3"/>
  <c r="L1533" i="3"/>
  <c r="L1534" i="3"/>
  <c r="L1535" i="3"/>
  <c r="L1536" i="3"/>
  <c r="L1537" i="3"/>
  <c r="L1538" i="3"/>
  <c r="L1539" i="3"/>
  <c r="L1540" i="3"/>
  <c r="L1541" i="3"/>
  <c r="L1542" i="3"/>
  <c r="L1543" i="3"/>
  <c r="L1544" i="3"/>
  <c r="L1545" i="3"/>
  <c r="L1546" i="3"/>
  <c r="L1547" i="3"/>
  <c r="L1548" i="3"/>
  <c r="L1549" i="3"/>
  <c r="L1550" i="3"/>
  <c r="L1551" i="3"/>
  <c r="L1552" i="3"/>
  <c r="L1553" i="3"/>
  <c r="L1554" i="3"/>
  <c r="L1555" i="3"/>
  <c r="L1556" i="3"/>
  <c r="L1557" i="3"/>
  <c r="L1558" i="3"/>
  <c r="L1559" i="3"/>
  <c r="L1560" i="3"/>
  <c r="L1561" i="3"/>
  <c r="L1562" i="3"/>
  <c r="L1563" i="3"/>
  <c r="L1564" i="3"/>
  <c r="L1565" i="3"/>
  <c r="L1566" i="3"/>
  <c r="L1567" i="3"/>
  <c r="L1568" i="3"/>
  <c r="L1569" i="3"/>
  <c r="L1570" i="3"/>
  <c r="L1571" i="3"/>
  <c r="L1572" i="3"/>
  <c r="L1573" i="3"/>
  <c r="L1574" i="3"/>
  <c r="L1575" i="3"/>
  <c r="L1576" i="3"/>
  <c r="L1577" i="3"/>
  <c r="L1578" i="3"/>
  <c r="L1579" i="3"/>
  <c r="L1580" i="3"/>
  <c r="L1581" i="3"/>
  <c r="L1582" i="3"/>
  <c r="L1583" i="3"/>
  <c r="L1584" i="3"/>
  <c r="L1585" i="3"/>
  <c r="L1586" i="3"/>
  <c r="L1587" i="3"/>
  <c r="L1588" i="3"/>
  <c r="L1589" i="3"/>
  <c r="L1590" i="3"/>
  <c r="L1591" i="3"/>
  <c r="L1592" i="3"/>
  <c r="L1593" i="3"/>
  <c r="L1594" i="3"/>
  <c r="L1595" i="3"/>
  <c r="L1596" i="3"/>
  <c r="L1597" i="3"/>
  <c r="L1598" i="3"/>
  <c r="L1599" i="3"/>
  <c r="L1600" i="3"/>
  <c r="L1601" i="3"/>
  <c r="L1602" i="3"/>
  <c r="L1603" i="3"/>
  <c r="L1604" i="3"/>
  <c r="L1605" i="3"/>
  <c r="L1606" i="3"/>
  <c r="L1607" i="3"/>
  <c r="L1608" i="3"/>
  <c r="L1609" i="3"/>
  <c r="L1610" i="3"/>
  <c r="L1611" i="3"/>
  <c r="L1612" i="3"/>
  <c r="L1613" i="3"/>
  <c r="L1614" i="3"/>
  <c r="L1615" i="3"/>
  <c r="L1616" i="3"/>
  <c r="L1617" i="3"/>
  <c r="L1618" i="3"/>
  <c r="L1619" i="3"/>
  <c r="L1620" i="3"/>
  <c r="L1621" i="3"/>
  <c r="L1622" i="3"/>
  <c r="L1623" i="3"/>
  <c r="L1624" i="3"/>
  <c r="L1625" i="3"/>
  <c r="L1626" i="3"/>
  <c r="L1627" i="3"/>
  <c r="L1628" i="3"/>
  <c r="L1629" i="3"/>
  <c r="L1630" i="3"/>
  <c r="L1631" i="3"/>
  <c r="L1632" i="3"/>
  <c r="L1633" i="3"/>
  <c r="L1634" i="3"/>
  <c r="L1635" i="3"/>
  <c r="L1636" i="3"/>
  <c r="L1637" i="3"/>
  <c r="L1638" i="3"/>
  <c r="L1639" i="3"/>
  <c r="L1640" i="3"/>
  <c r="L1641" i="3"/>
  <c r="L1642" i="3"/>
  <c r="L1643" i="3"/>
  <c r="L1644" i="3"/>
  <c r="L1645" i="3"/>
  <c r="L1646" i="3"/>
  <c r="L1647" i="3"/>
  <c r="L1648" i="3"/>
  <c r="L1649" i="3"/>
  <c r="L1650" i="3"/>
  <c r="L1651" i="3"/>
  <c r="L1652" i="3"/>
  <c r="L1653" i="3"/>
  <c r="L1654" i="3"/>
  <c r="L1655" i="3"/>
  <c r="L1656" i="3"/>
  <c r="L1657" i="3"/>
  <c r="L1658" i="3"/>
  <c r="L1659" i="3"/>
  <c r="L1660" i="3"/>
  <c r="L1661" i="3"/>
  <c r="L1662" i="3"/>
  <c r="L1663" i="3"/>
  <c r="L1664" i="3"/>
  <c r="L1665" i="3"/>
  <c r="L1666" i="3"/>
  <c r="L1667" i="3"/>
  <c r="L1668" i="3"/>
  <c r="L1669" i="3"/>
  <c r="L1670" i="3"/>
  <c r="L1671" i="3"/>
  <c r="L1672" i="3"/>
  <c r="L1673" i="3"/>
  <c r="L1674" i="3"/>
  <c r="L1675" i="3"/>
  <c r="L1676" i="3"/>
  <c r="L1677" i="3"/>
  <c r="L1678" i="3"/>
  <c r="L1679" i="3"/>
  <c r="L1680" i="3"/>
  <c r="L1681" i="3"/>
  <c r="L1682" i="3"/>
  <c r="L1683" i="3"/>
  <c r="L1684" i="3"/>
  <c r="L1685" i="3"/>
  <c r="L1686" i="3"/>
  <c r="L1687" i="3"/>
  <c r="L1688" i="3"/>
  <c r="L1689" i="3"/>
  <c r="L1690" i="3"/>
  <c r="L1691" i="3"/>
  <c r="L1692" i="3"/>
  <c r="L1693" i="3"/>
  <c r="L1694" i="3"/>
  <c r="L1695" i="3"/>
  <c r="L1696" i="3"/>
  <c r="L1697" i="3"/>
  <c r="L1698" i="3"/>
  <c r="L1699" i="3"/>
  <c r="L1700" i="3"/>
  <c r="L1701" i="3"/>
  <c r="L1702" i="3"/>
  <c r="L1703" i="3"/>
  <c r="L1704" i="3"/>
  <c r="L1705" i="3"/>
  <c r="L1706" i="3"/>
  <c r="L1707" i="3"/>
  <c r="L1708" i="3"/>
  <c r="L1709" i="3"/>
  <c r="L1710" i="3"/>
  <c r="L1711" i="3"/>
  <c r="L1712" i="3"/>
  <c r="L1713" i="3"/>
  <c r="L1714" i="3"/>
  <c r="L1715" i="3"/>
  <c r="L1716" i="3"/>
  <c r="L1717" i="3"/>
  <c r="L1718" i="3"/>
  <c r="L1719" i="3"/>
  <c r="L1720" i="3"/>
  <c r="L1721" i="3"/>
  <c r="L1722" i="3"/>
  <c r="L1723" i="3"/>
  <c r="L1724" i="3"/>
  <c r="L1725" i="3"/>
  <c r="L1726" i="3"/>
  <c r="L1727" i="3"/>
  <c r="L1728" i="3"/>
  <c r="L1729" i="3"/>
  <c r="L1730" i="3"/>
  <c r="L1731" i="3"/>
  <c r="L1732" i="3"/>
  <c r="L1733" i="3"/>
  <c r="L1734" i="3"/>
  <c r="L1735" i="3"/>
  <c r="L1736" i="3"/>
  <c r="L1737" i="3"/>
  <c r="L1738" i="3"/>
  <c r="L1739" i="3"/>
  <c r="L1740" i="3"/>
  <c r="L1741" i="3"/>
  <c r="L1742" i="3"/>
  <c r="L1743" i="3"/>
  <c r="L1744" i="3"/>
  <c r="L1745" i="3"/>
  <c r="L1746" i="3"/>
  <c r="L1747" i="3"/>
  <c r="L1748" i="3"/>
  <c r="L1749" i="3"/>
  <c r="L1750" i="3"/>
  <c r="L1751" i="3"/>
  <c r="L1752" i="3"/>
  <c r="L1753" i="3"/>
  <c r="L1754" i="3"/>
  <c r="L1755" i="3"/>
  <c r="L1756" i="3"/>
  <c r="L1757" i="3"/>
  <c r="L1758" i="3"/>
  <c r="L1759" i="3"/>
  <c r="L1760" i="3"/>
  <c r="L1761" i="3"/>
  <c r="L1762" i="3"/>
  <c r="L1763" i="3"/>
  <c r="L1764" i="3"/>
  <c r="L1765" i="3"/>
  <c r="L1766" i="3"/>
  <c r="L1767" i="3"/>
  <c r="L1768" i="3"/>
  <c r="L1769" i="3"/>
  <c r="L1770" i="3"/>
  <c r="L1771" i="3"/>
  <c r="L1772" i="3"/>
  <c r="L1773" i="3"/>
  <c r="L1774" i="3"/>
  <c r="L1775" i="3"/>
  <c r="L1776" i="3"/>
  <c r="L1777" i="3"/>
  <c r="L1778" i="3"/>
  <c r="L1779" i="3"/>
  <c r="L1780" i="3"/>
  <c r="L1781" i="3"/>
  <c r="L1782" i="3"/>
  <c r="L1783" i="3"/>
  <c r="L1784" i="3"/>
  <c r="L1785" i="3"/>
  <c r="L1786" i="3"/>
  <c r="L1787" i="3"/>
  <c r="L1788" i="3"/>
  <c r="L1789" i="3"/>
  <c r="L1790" i="3"/>
  <c r="L1791" i="3"/>
  <c r="L1792" i="3"/>
  <c r="L1793" i="3"/>
  <c r="L1794" i="3"/>
  <c r="L1795" i="3"/>
  <c r="L1796" i="3"/>
  <c r="L1797" i="3"/>
  <c r="L1798" i="3"/>
  <c r="L1799" i="3"/>
  <c r="L1800" i="3"/>
  <c r="L1801" i="3"/>
  <c r="L1802" i="3"/>
  <c r="L1803" i="3"/>
  <c r="L1804" i="3"/>
  <c r="L1805" i="3"/>
  <c r="L1806" i="3"/>
  <c r="L1807" i="3"/>
  <c r="L1808" i="3"/>
  <c r="L1809" i="3"/>
  <c r="L1810" i="3"/>
  <c r="L1811" i="3"/>
  <c r="L1812" i="3"/>
  <c r="L1813" i="3"/>
  <c r="L1814" i="3"/>
  <c r="L1815" i="3"/>
  <c r="L1816" i="3"/>
  <c r="L1817" i="3"/>
  <c r="L1818" i="3"/>
  <c r="L1819" i="3"/>
  <c r="L1820" i="3"/>
  <c r="L1821" i="3"/>
  <c r="L1822" i="3"/>
  <c r="L1823" i="3"/>
  <c r="L1824" i="3"/>
  <c r="L1825" i="3"/>
  <c r="L1826" i="3"/>
  <c r="L1827" i="3"/>
  <c r="L1828" i="3"/>
  <c r="L1829" i="3"/>
  <c r="L1830" i="3"/>
  <c r="L1831" i="3"/>
  <c r="L1832" i="3"/>
  <c r="L1833" i="3"/>
  <c r="L1834" i="3"/>
  <c r="L1835" i="3"/>
  <c r="L1836" i="3"/>
  <c r="L1837" i="3"/>
  <c r="L1838" i="3"/>
  <c r="L1839" i="3"/>
  <c r="L1840" i="3"/>
  <c r="L1841" i="3"/>
  <c r="L1842" i="3"/>
  <c r="L1843" i="3"/>
  <c r="L1844" i="3"/>
  <c r="L1845" i="3"/>
  <c r="L1846" i="3"/>
  <c r="L1847" i="3"/>
  <c r="L1848" i="3"/>
  <c r="L1849" i="3"/>
  <c r="L1850" i="3"/>
  <c r="L1851" i="3"/>
  <c r="L1852" i="3"/>
  <c r="L1853" i="3"/>
  <c r="L1854" i="3"/>
  <c r="L1855" i="3"/>
  <c r="L1856" i="3"/>
  <c r="L1857" i="3"/>
  <c r="L1858" i="3"/>
  <c r="L1859" i="3"/>
  <c r="L1860" i="3"/>
  <c r="L1861" i="3"/>
  <c r="L1862" i="3"/>
  <c r="L1863" i="3"/>
  <c r="L1864" i="3"/>
  <c r="L1865" i="3"/>
  <c r="L1866" i="3"/>
  <c r="L1867" i="3"/>
  <c r="L1868" i="3"/>
  <c r="L1869" i="3"/>
  <c r="L1870" i="3"/>
  <c r="L1871" i="3"/>
  <c r="L1872" i="3"/>
  <c r="L1873" i="3"/>
  <c r="L1874" i="3"/>
  <c r="L1875" i="3"/>
  <c r="L1876" i="3"/>
  <c r="L1877" i="3"/>
  <c r="L1878" i="3"/>
  <c r="L1879" i="3"/>
  <c r="L1880" i="3"/>
  <c r="L1881" i="3"/>
  <c r="L1882" i="3"/>
  <c r="L1883" i="3"/>
  <c r="L1884" i="3"/>
  <c r="L1885" i="3"/>
  <c r="L1886" i="3"/>
  <c r="L1887" i="3"/>
  <c r="L1888" i="3"/>
  <c r="L1889" i="3"/>
  <c r="L1890" i="3"/>
  <c r="L1891" i="3"/>
  <c r="L1892" i="3"/>
  <c r="L1893" i="3"/>
  <c r="L1894" i="3"/>
  <c r="L1895" i="3"/>
  <c r="L1896" i="3"/>
  <c r="L1897" i="3"/>
  <c r="L1898" i="3"/>
  <c r="L1899" i="3"/>
  <c r="L1900" i="3"/>
  <c r="L1901" i="3"/>
  <c r="L1902" i="3"/>
  <c r="L1903" i="3"/>
  <c r="L1904" i="3"/>
  <c r="L1905" i="3"/>
  <c r="L1906" i="3"/>
  <c r="L1907" i="3"/>
  <c r="L1908" i="3"/>
  <c r="L1909" i="3"/>
  <c r="L1910" i="3"/>
  <c r="L1911" i="3"/>
  <c r="L1912" i="3"/>
  <c r="L1913" i="3"/>
  <c r="L1914" i="3"/>
  <c r="L1915" i="3"/>
  <c r="L1916" i="3"/>
  <c r="L1917" i="3"/>
  <c r="L1918" i="3"/>
  <c r="L1919" i="3"/>
  <c r="L1920" i="3"/>
  <c r="L1921" i="3"/>
  <c r="L1922" i="3"/>
  <c r="L1923" i="3"/>
  <c r="L1924" i="3"/>
  <c r="L1925" i="3"/>
  <c r="L1926" i="3"/>
  <c r="L1927" i="3"/>
  <c r="L1928" i="3"/>
  <c r="L1929" i="3"/>
  <c r="L1930" i="3"/>
  <c r="L1931" i="3"/>
  <c r="L1932" i="3"/>
  <c r="L1933" i="3"/>
  <c r="L1934" i="3"/>
  <c r="L1935" i="3"/>
  <c r="L1936" i="3"/>
  <c r="L1937" i="3"/>
  <c r="L1938" i="3"/>
  <c r="L1939" i="3"/>
  <c r="L1940" i="3"/>
  <c r="L1941" i="3"/>
  <c r="L1942" i="3"/>
  <c r="L1943" i="3"/>
  <c r="L1944" i="3"/>
  <c r="L1945" i="3"/>
  <c r="L1946" i="3"/>
  <c r="L1947" i="3"/>
  <c r="L1948" i="3"/>
  <c r="L1949" i="3"/>
  <c r="L1950" i="3"/>
  <c r="L1951" i="3"/>
  <c r="L1952" i="3"/>
  <c r="L1953" i="3"/>
  <c r="L1954" i="3"/>
  <c r="L1955" i="3"/>
  <c r="L1956" i="3"/>
  <c r="L1957" i="3"/>
  <c r="L1958" i="3"/>
  <c r="L1959" i="3"/>
  <c r="L1960" i="3"/>
  <c r="L1961" i="3"/>
  <c r="L1962" i="3"/>
  <c r="L1963" i="3"/>
  <c r="L1964" i="3"/>
  <c r="L1965" i="3"/>
  <c r="L1966" i="3"/>
  <c r="L1967" i="3"/>
  <c r="L1968" i="3"/>
  <c r="L1969" i="3"/>
  <c r="L1970" i="3"/>
  <c r="L1971" i="3"/>
  <c r="L1972" i="3"/>
  <c r="L1973" i="3"/>
  <c r="L1974" i="3"/>
  <c r="L1975" i="3"/>
  <c r="L1976" i="3"/>
  <c r="L1977" i="3"/>
  <c r="L1978" i="3"/>
  <c r="L1979" i="3"/>
  <c r="L1980" i="3"/>
  <c r="L1981" i="3"/>
  <c r="L1982" i="3"/>
  <c r="L1983" i="3"/>
  <c r="L1984" i="3"/>
  <c r="L1985" i="3"/>
  <c r="L1986" i="3"/>
  <c r="L1987" i="3"/>
  <c r="L1988" i="3"/>
  <c r="L1989" i="3"/>
  <c r="L1990" i="3"/>
  <c r="L1991" i="3"/>
  <c r="L1992" i="3"/>
  <c r="L1993" i="3"/>
  <c r="L1994" i="3"/>
  <c r="L1995" i="3"/>
  <c r="L1996" i="3"/>
  <c r="L1997" i="3"/>
  <c r="L1998" i="3"/>
  <c r="L1999" i="3"/>
  <c r="L2000" i="3"/>
  <c r="L2001" i="3"/>
  <c r="L2002" i="3"/>
  <c r="L2003" i="3"/>
  <c r="L2004" i="3"/>
  <c r="L2005" i="3"/>
  <c r="L2006" i="3"/>
  <c r="L2007" i="3"/>
  <c r="L2008" i="3"/>
  <c r="L2009" i="3"/>
  <c r="L2010" i="3"/>
  <c r="L2011" i="3"/>
  <c r="L2012" i="3"/>
  <c r="L2013" i="3"/>
  <c r="L2014" i="3"/>
  <c r="L2015" i="3"/>
  <c r="L2016" i="3"/>
  <c r="L2017" i="3"/>
  <c r="L2018" i="3"/>
  <c r="L2019" i="3"/>
  <c r="L2020" i="3"/>
  <c r="L2021" i="3"/>
  <c r="L2022" i="3"/>
  <c r="L2023" i="3"/>
  <c r="L2024" i="3"/>
  <c r="L2025" i="3"/>
  <c r="L2026" i="3"/>
  <c r="L2027" i="3"/>
  <c r="L2028" i="3"/>
  <c r="L2029" i="3"/>
  <c r="L2030" i="3"/>
  <c r="L2031" i="3"/>
  <c r="L2032" i="3"/>
  <c r="L2033" i="3"/>
  <c r="L2034" i="3"/>
  <c r="L2035" i="3"/>
  <c r="L2036" i="3"/>
  <c r="L2037" i="3"/>
  <c r="L2038" i="3"/>
  <c r="L2039" i="3"/>
  <c r="L2040" i="3"/>
  <c r="L2041" i="3"/>
  <c r="L2042" i="3"/>
  <c r="L2043" i="3"/>
  <c r="L2044" i="3"/>
  <c r="L2045" i="3"/>
  <c r="L2046" i="3"/>
  <c r="L2047" i="3"/>
  <c r="L2048" i="3"/>
  <c r="L2049" i="3"/>
  <c r="L2050" i="3"/>
  <c r="L2051" i="3"/>
  <c r="L2052" i="3"/>
  <c r="L2053" i="3"/>
  <c r="L2054" i="3"/>
  <c r="L2055" i="3"/>
  <c r="L2056" i="3"/>
  <c r="L2057" i="3"/>
  <c r="L2058" i="3"/>
  <c r="L2059" i="3"/>
  <c r="L2060" i="3"/>
  <c r="L2061" i="3"/>
  <c r="L2062" i="3"/>
  <c r="L2063" i="3"/>
  <c r="L2064" i="3"/>
  <c r="L2065" i="3"/>
  <c r="L2066" i="3"/>
  <c r="L2067" i="3"/>
  <c r="L2068" i="3"/>
  <c r="L2069" i="3"/>
  <c r="L2070" i="3"/>
  <c r="L2071" i="3"/>
  <c r="L2072" i="3"/>
  <c r="L2073" i="3"/>
  <c r="L2074" i="3"/>
  <c r="L2075" i="3"/>
  <c r="L2076" i="3"/>
  <c r="L2077" i="3"/>
  <c r="L2078" i="3"/>
  <c r="L2079" i="3"/>
  <c r="L2080" i="3"/>
  <c r="L2081" i="3"/>
  <c r="L2082" i="3"/>
  <c r="L2083" i="3"/>
  <c r="L2084" i="3"/>
  <c r="L2085" i="3"/>
  <c r="L2086" i="3"/>
  <c r="L2087" i="3"/>
  <c r="L2088" i="3"/>
  <c r="L2089" i="3"/>
  <c r="L2090" i="3"/>
  <c r="L2091" i="3"/>
  <c r="L2092" i="3"/>
  <c r="L2093" i="3"/>
  <c r="L2094" i="3"/>
  <c r="L2095" i="3"/>
  <c r="L2096" i="3"/>
  <c r="L2097" i="3"/>
  <c r="L2098" i="3"/>
  <c r="L2099" i="3"/>
  <c r="L2100" i="3"/>
  <c r="L2101" i="3"/>
  <c r="L2102" i="3"/>
  <c r="L2103" i="3"/>
  <c r="L2104" i="3"/>
  <c r="L2105" i="3"/>
  <c r="L2106" i="3"/>
  <c r="L2107" i="3"/>
  <c r="L2108" i="3"/>
  <c r="L2109" i="3"/>
  <c r="L2110" i="3"/>
  <c r="L2111" i="3"/>
  <c r="L2112" i="3"/>
  <c r="L2113" i="3"/>
  <c r="L2114" i="3"/>
  <c r="L2115" i="3"/>
  <c r="L2116" i="3"/>
  <c r="L2117" i="3"/>
  <c r="L2118" i="3"/>
  <c r="L2119" i="3"/>
  <c r="L2120" i="3"/>
  <c r="L2121" i="3"/>
  <c r="L2122" i="3"/>
  <c r="L2123" i="3"/>
  <c r="L2124" i="3"/>
  <c r="L2125" i="3"/>
  <c r="L2126" i="3"/>
  <c r="L2127" i="3"/>
  <c r="L2128" i="3"/>
  <c r="L2129" i="3"/>
  <c r="L2130" i="3"/>
  <c r="L2131" i="3"/>
  <c r="L2132" i="3"/>
  <c r="L2133" i="3"/>
  <c r="L2134" i="3"/>
  <c r="L2135" i="3"/>
  <c r="L2136" i="3"/>
  <c r="L2137" i="3"/>
  <c r="L2138" i="3"/>
  <c r="L2139" i="3"/>
  <c r="L2140" i="3"/>
  <c r="L2141" i="3"/>
  <c r="L2142" i="3"/>
  <c r="L2143" i="3"/>
  <c r="L2144" i="3"/>
  <c r="L2145" i="3"/>
  <c r="L2146" i="3"/>
  <c r="L2147" i="3"/>
  <c r="L2148" i="3"/>
  <c r="L2149" i="3"/>
  <c r="L2150" i="3"/>
  <c r="L2151" i="3"/>
  <c r="L2152" i="3"/>
  <c r="L2153" i="3"/>
  <c r="L2154" i="3"/>
  <c r="L2155" i="3"/>
  <c r="L2156" i="3"/>
  <c r="L2157" i="3"/>
  <c r="L2158" i="3"/>
  <c r="L2159" i="3"/>
  <c r="L2160" i="3"/>
  <c r="L2161" i="3"/>
  <c r="L2162" i="3"/>
  <c r="L2163" i="3"/>
  <c r="L2164" i="3"/>
  <c r="L2165" i="3"/>
  <c r="L2166" i="3"/>
  <c r="L2167" i="3"/>
  <c r="L2168" i="3"/>
  <c r="L2169" i="3"/>
  <c r="L2170" i="3"/>
  <c r="L2171" i="3"/>
  <c r="L2172" i="3"/>
  <c r="L2173" i="3"/>
  <c r="L2174" i="3"/>
  <c r="L2175" i="3"/>
  <c r="L2176" i="3"/>
  <c r="L2177" i="3"/>
  <c r="L2178" i="3"/>
  <c r="L2179" i="3"/>
  <c r="L2180" i="3"/>
  <c r="L2181" i="3"/>
  <c r="L2182" i="3"/>
  <c r="L2183" i="3"/>
  <c r="L2184" i="3"/>
  <c r="L2185" i="3"/>
  <c r="L2186" i="3"/>
  <c r="L2187" i="3"/>
  <c r="L2188" i="3"/>
  <c r="L2189" i="3"/>
  <c r="L2190" i="3"/>
  <c r="L2191" i="3"/>
  <c r="L2192" i="3"/>
  <c r="L2193" i="3"/>
  <c r="L2194" i="3"/>
  <c r="L2195" i="3"/>
  <c r="L2196" i="3"/>
  <c r="L2197" i="3"/>
  <c r="L2198" i="3"/>
  <c r="L2199" i="3"/>
  <c r="L2200" i="3"/>
  <c r="L2201" i="3"/>
  <c r="L2202" i="3"/>
  <c r="L2203" i="3"/>
  <c r="L2204" i="3"/>
  <c r="L2205" i="3"/>
  <c r="L2206" i="3"/>
  <c r="L2207" i="3"/>
  <c r="L2208" i="3"/>
  <c r="L2209" i="3"/>
  <c r="L2210" i="3"/>
  <c r="L2211" i="3"/>
  <c r="L2212" i="3"/>
  <c r="L2213" i="3"/>
  <c r="L2214" i="3"/>
  <c r="L2215" i="3"/>
  <c r="L2216" i="3"/>
  <c r="L2217" i="3"/>
  <c r="L2218" i="3"/>
  <c r="L2219" i="3"/>
  <c r="L2220" i="3"/>
  <c r="L2221" i="3"/>
  <c r="L2222" i="3"/>
  <c r="L2223" i="3"/>
  <c r="L2224" i="3"/>
  <c r="L2225" i="3"/>
  <c r="L2226" i="3"/>
  <c r="L2227" i="3"/>
  <c r="L2228" i="3"/>
  <c r="L2229" i="3"/>
  <c r="L2230" i="3"/>
  <c r="L2231" i="3"/>
  <c r="L2232" i="3"/>
  <c r="L2233" i="3"/>
  <c r="L2234" i="3"/>
  <c r="L2235" i="3"/>
  <c r="L2236" i="3"/>
  <c r="L2237" i="3"/>
  <c r="L2238" i="3"/>
  <c r="L2239" i="3"/>
  <c r="L2240" i="3"/>
  <c r="L2241" i="3"/>
  <c r="L2242" i="3"/>
  <c r="L2243" i="3"/>
  <c r="L2244" i="3"/>
  <c r="L2245" i="3"/>
  <c r="L2246" i="3"/>
  <c r="L2247" i="3"/>
  <c r="L2248" i="3"/>
  <c r="L2249" i="3"/>
  <c r="L2250" i="3"/>
  <c r="L2251" i="3"/>
  <c r="L2252" i="3"/>
  <c r="L2253" i="3"/>
  <c r="L2254" i="3"/>
  <c r="L2255" i="3"/>
  <c r="L2256" i="3"/>
  <c r="L2257" i="3"/>
  <c r="L2258" i="3"/>
  <c r="L2259" i="3"/>
  <c r="L2260" i="3"/>
  <c r="L2261" i="3"/>
  <c r="L2262" i="3"/>
  <c r="L2263" i="3"/>
  <c r="L2264" i="3"/>
  <c r="L2265" i="3"/>
  <c r="L2266" i="3"/>
  <c r="L2267" i="3"/>
  <c r="L2268" i="3"/>
  <c r="L2269" i="3"/>
  <c r="L2270" i="3"/>
  <c r="L2271" i="3"/>
  <c r="L2272" i="3"/>
  <c r="L2273" i="3"/>
  <c r="L2274" i="3"/>
  <c r="L2275" i="3"/>
  <c r="L2276" i="3"/>
  <c r="L2277" i="3"/>
  <c r="L2278" i="3"/>
  <c r="L2279" i="3"/>
  <c r="L2280" i="3"/>
  <c r="L2281" i="3"/>
  <c r="L2282" i="3"/>
  <c r="L2283" i="3"/>
  <c r="L2284" i="3"/>
  <c r="L2285" i="3"/>
  <c r="L2286" i="3"/>
  <c r="L2287" i="3"/>
  <c r="L2288" i="3"/>
  <c r="L2289" i="3"/>
  <c r="L2290" i="3"/>
  <c r="L2291" i="3"/>
  <c r="L2292" i="3"/>
  <c r="L2293" i="3"/>
  <c r="L2294" i="3"/>
  <c r="L2295" i="3"/>
  <c r="L2296" i="3"/>
  <c r="L2297" i="3"/>
  <c r="L2298" i="3"/>
  <c r="L2299" i="3"/>
  <c r="L2300" i="3"/>
  <c r="L2301" i="3"/>
  <c r="L2302" i="3"/>
  <c r="L2303" i="3"/>
  <c r="L2304" i="3"/>
  <c r="L2305" i="3"/>
  <c r="L2306" i="3"/>
  <c r="L2307" i="3"/>
  <c r="L2308" i="3"/>
  <c r="L2309" i="3"/>
  <c r="L2310" i="3"/>
  <c r="L2311" i="3"/>
  <c r="L2312" i="3"/>
  <c r="L2313" i="3"/>
  <c r="L2314" i="3"/>
  <c r="L2315" i="3"/>
  <c r="L2316" i="3"/>
  <c r="L2317" i="3"/>
  <c r="L2318" i="3"/>
  <c r="L2319" i="3"/>
  <c r="L2320" i="3"/>
  <c r="L2321" i="3"/>
  <c r="L2322" i="3"/>
  <c r="L2323" i="3"/>
  <c r="L2324" i="3"/>
  <c r="L2325" i="3"/>
  <c r="L2326" i="3"/>
  <c r="L2327" i="3"/>
  <c r="L2328" i="3"/>
  <c r="L2329" i="3"/>
  <c r="L2330" i="3"/>
  <c r="L2331" i="3"/>
  <c r="L2332" i="3"/>
  <c r="L2333" i="3"/>
  <c r="L2334" i="3"/>
  <c r="L2335" i="3"/>
  <c r="L2336" i="3"/>
  <c r="L2337" i="3"/>
  <c r="L2338" i="3"/>
  <c r="L2339" i="3"/>
  <c r="L2340" i="3"/>
  <c r="L2341" i="3"/>
  <c r="L2342" i="3"/>
  <c r="L2343" i="3"/>
  <c r="L2344" i="3"/>
  <c r="L2345" i="3"/>
  <c r="L2346" i="3"/>
  <c r="L2347" i="3"/>
  <c r="L2348" i="3"/>
  <c r="L2349" i="3"/>
  <c r="L2350" i="3"/>
  <c r="L2351" i="3"/>
  <c r="L2352" i="3"/>
  <c r="L2353" i="3"/>
  <c r="L2354" i="3"/>
  <c r="L2355" i="3"/>
  <c r="L2356" i="3"/>
  <c r="L2357" i="3"/>
  <c r="L2358" i="3"/>
  <c r="L2359" i="3"/>
  <c r="L2360" i="3"/>
  <c r="L2361" i="3"/>
  <c r="L2362" i="3"/>
  <c r="L2363" i="3"/>
  <c r="L2364" i="3"/>
  <c r="L2365" i="3"/>
  <c r="L2366" i="3"/>
  <c r="L2367" i="3"/>
  <c r="L2368" i="3"/>
  <c r="L2369" i="3"/>
  <c r="L2370" i="3"/>
  <c r="L2371" i="3"/>
  <c r="L2372" i="3"/>
  <c r="L2373" i="3"/>
  <c r="L2374" i="3"/>
  <c r="L2375" i="3"/>
  <c r="L2376" i="3"/>
  <c r="L2377" i="3"/>
  <c r="L2378" i="3"/>
  <c r="L2379" i="3"/>
  <c r="L2380" i="3"/>
  <c r="L2381" i="3"/>
  <c r="L2382" i="3"/>
  <c r="L2383" i="3"/>
  <c r="L2384" i="3"/>
  <c r="L2385" i="3"/>
  <c r="L2386" i="3"/>
  <c r="L2387" i="3"/>
  <c r="L2388" i="3"/>
  <c r="L2389" i="3"/>
  <c r="L2390" i="3"/>
  <c r="L2391" i="3"/>
  <c r="L2392" i="3"/>
  <c r="L2393" i="3"/>
  <c r="L2394" i="3"/>
  <c r="L2395" i="3"/>
  <c r="L2396" i="3"/>
  <c r="L2397" i="3"/>
  <c r="L2398" i="3"/>
  <c r="L2399" i="3"/>
  <c r="L2400" i="3"/>
  <c r="L2401" i="3"/>
  <c r="L2402" i="3"/>
  <c r="L2403" i="3"/>
  <c r="L2404" i="3"/>
  <c r="L2405" i="3"/>
  <c r="L2406" i="3"/>
  <c r="L2407" i="3"/>
  <c r="L2408" i="3"/>
  <c r="L2409" i="3"/>
  <c r="L2410" i="3"/>
  <c r="L2411" i="3"/>
  <c r="L2412" i="3"/>
  <c r="L2413" i="3"/>
  <c r="L2414" i="3"/>
  <c r="L2415" i="3"/>
  <c r="L2416" i="3"/>
  <c r="L2417" i="3"/>
  <c r="L2418" i="3"/>
  <c r="L2419" i="3"/>
  <c r="L2420" i="3"/>
  <c r="L2421" i="3"/>
  <c r="L2422" i="3"/>
  <c r="L2423" i="3"/>
  <c r="L2424" i="3"/>
  <c r="L2425" i="3"/>
  <c r="L2426" i="3"/>
  <c r="L2427" i="3"/>
  <c r="L2428" i="3"/>
  <c r="L2429" i="3"/>
  <c r="L2430" i="3"/>
  <c r="L2431" i="3"/>
  <c r="L2432" i="3"/>
  <c r="L2433" i="3"/>
  <c r="L2434" i="3"/>
  <c r="L2435" i="3"/>
  <c r="L2436" i="3"/>
  <c r="L2437" i="3"/>
  <c r="L2438" i="3"/>
  <c r="L2439" i="3"/>
  <c r="L2440" i="3"/>
  <c r="L2441" i="3"/>
  <c r="L2442" i="3"/>
  <c r="L2443" i="3"/>
  <c r="L2444" i="3"/>
  <c r="L2445" i="3"/>
  <c r="L2446" i="3"/>
  <c r="L2447" i="3"/>
  <c r="L2448" i="3"/>
  <c r="L2449" i="3"/>
  <c r="L2450" i="3"/>
  <c r="L2451" i="3"/>
  <c r="L2452" i="3"/>
  <c r="L2453" i="3"/>
  <c r="L2454" i="3"/>
  <c r="L2455" i="3"/>
  <c r="L2456" i="3"/>
  <c r="L2457" i="3"/>
  <c r="L2458" i="3"/>
  <c r="L2459" i="3"/>
  <c r="L2460" i="3"/>
  <c r="L2461" i="3"/>
  <c r="L2462" i="3"/>
  <c r="L2463" i="3"/>
  <c r="L2464" i="3"/>
  <c r="L2465" i="3"/>
  <c r="L2466" i="3"/>
  <c r="L2467" i="3"/>
  <c r="L2468" i="3"/>
  <c r="L2469" i="3"/>
  <c r="L2470" i="3"/>
  <c r="L2471" i="3"/>
  <c r="L2472" i="3"/>
  <c r="L2473" i="3"/>
  <c r="L2474" i="3"/>
  <c r="L2475" i="3"/>
  <c r="L2476" i="3"/>
  <c r="L2477" i="3"/>
  <c r="L2478" i="3"/>
  <c r="L2479" i="3"/>
  <c r="L2480" i="3"/>
  <c r="L2481" i="3"/>
  <c r="L2482" i="3"/>
  <c r="L2483" i="3"/>
  <c r="L2484" i="3"/>
  <c r="L2485" i="3"/>
  <c r="L2486" i="3"/>
  <c r="L2487" i="3"/>
  <c r="L2488" i="3"/>
  <c r="L2489" i="3"/>
  <c r="L2490" i="3"/>
  <c r="L2491" i="3"/>
  <c r="L2492" i="3"/>
  <c r="L2493" i="3"/>
  <c r="L2494" i="3"/>
  <c r="L2495" i="3"/>
  <c r="L2496" i="3"/>
  <c r="L2497" i="3"/>
  <c r="L2498" i="3"/>
  <c r="L2499" i="3"/>
  <c r="L2500" i="3"/>
  <c r="L2501" i="3"/>
  <c r="L2502" i="3"/>
  <c r="L2503" i="3"/>
  <c r="L2504" i="3"/>
  <c r="L2505" i="3"/>
  <c r="L2506" i="3"/>
  <c r="L2507" i="3"/>
  <c r="L2508" i="3"/>
  <c r="L2509" i="3"/>
  <c r="L2510" i="3"/>
  <c r="L2511" i="3"/>
  <c r="L2512" i="3"/>
  <c r="L2513" i="3"/>
  <c r="L2514" i="3"/>
  <c r="L2515" i="3"/>
  <c r="L2516" i="3"/>
  <c r="L2517" i="3"/>
  <c r="L2518" i="3"/>
  <c r="L2519" i="3"/>
  <c r="L2520" i="3"/>
  <c r="L2521" i="3"/>
  <c r="L2522" i="3"/>
  <c r="L2523" i="3"/>
  <c r="L2524" i="3"/>
  <c r="L2525" i="3"/>
  <c r="L2526" i="3"/>
  <c r="L2527" i="3"/>
  <c r="L2528" i="3"/>
  <c r="L2529" i="3"/>
  <c r="L2530" i="3"/>
  <c r="L2531" i="3"/>
  <c r="L2532" i="3"/>
  <c r="L2533" i="3"/>
  <c r="L2534" i="3"/>
  <c r="L2535" i="3"/>
  <c r="L2536" i="3"/>
  <c r="L2537" i="3"/>
  <c r="L2538" i="3"/>
  <c r="L2539" i="3"/>
  <c r="L2540" i="3"/>
  <c r="L2541" i="3"/>
  <c r="L2542" i="3"/>
  <c r="L2543" i="3"/>
  <c r="L2544" i="3"/>
  <c r="L2545" i="3"/>
  <c r="L2546" i="3"/>
  <c r="L2547" i="3"/>
  <c r="L2548" i="3"/>
  <c r="L2549" i="3"/>
  <c r="L2550" i="3"/>
  <c r="L2551" i="3"/>
  <c r="L2552" i="3"/>
  <c r="L2553" i="3"/>
  <c r="L2554" i="3"/>
  <c r="L2555" i="3"/>
  <c r="L2556" i="3"/>
  <c r="L2557" i="3"/>
  <c r="L2558" i="3"/>
  <c r="L2559" i="3"/>
  <c r="L2560" i="3"/>
  <c r="L2561" i="3"/>
  <c r="L2562" i="3"/>
  <c r="L2563" i="3"/>
  <c r="L2564" i="3"/>
  <c r="L2565" i="3"/>
  <c r="L2566" i="3"/>
  <c r="L2567" i="3"/>
  <c r="L2568" i="3"/>
  <c r="L2569" i="3"/>
  <c r="L2570" i="3"/>
  <c r="L2571" i="3"/>
  <c r="L2572" i="3"/>
  <c r="L2573" i="3"/>
  <c r="L2574" i="3"/>
  <c r="L2575" i="3"/>
  <c r="L2576" i="3"/>
  <c r="L2577" i="3"/>
  <c r="L2578" i="3"/>
  <c r="L2579" i="3"/>
  <c r="L2580" i="3"/>
  <c r="L2581" i="3"/>
  <c r="L2582" i="3"/>
  <c r="L2583" i="3"/>
  <c r="L2584" i="3"/>
  <c r="L2585" i="3"/>
  <c r="L2586" i="3"/>
  <c r="L2587" i="3"/>
  <c r="L2588" i="3"/>
  <c r="L2589" i="3"/>
  <c r="L2590" i="3"/>
  <c r="L2591" i="3"/>
  <c r="L2592" i="3"/>
  <c r="L2593" i="3"/>
  <c r="L2594" i="3"/>
  <c r="L2595" i="3"/>
  <c r="L2596" i="3"/>
  <c r="L2597" i="3"/>
  <c r="L2598" i="3"/>
  <c r="L2599" i="3"/>
  <c r="L2600" i="3"/>
  <c r="L2601" i="3"/>
  <c r="L2602" i="3"/>
  <c r="L2603" i="3"/>
  <c r="L2604" i="3"/>
  <c r="L2605" i="3"/>
  <c r="L2606" i="3"/>
  <c r="L2607" i="3"/>
  <c r="L2608" i="3"/>
  <c r="L2609" i="3"/>
  <c r="L2610" i="3"/>
  <c r="L2611" i="3"/>
  <c r="L2612" i="3"/>
  <c r="L2613" i="3"/>
  <c r="L2614" i="3"/>
  <c r="L2615" i="3"/>
  <c r="L2616" i="3"/>
  <c r="L2617" i="3"/>
  <c r="L2618" i="3"/>
  <c r="L2619" i="3"/>
  <c r="L2620" i="3"/>
  <c r="L2621" i="3"/>
  <c r="L2622" i="3"/>
  <c r="L2623" i="3"/>
  <c r="L2624" i="3"/>
  <c r="L2625" i="3"/>
  <c r="L2626" i="3"/>
  <c r="L2627" i="3"/>
  <c r="L2628" i="3"/>
  <c r="L2629" i="3"/>
  <c r="L2630" i="3"/>
  <c r="L2631" i="3"/>
  <c r="L2632" i="3"/>
  <c r="L2633" i="3"/>
  <c r="L2634" i="3"/>
  <c r="L2635" i="3"/>
  <c r="L2636" i="3"/>
  <c r="L2637" i="3"/>
  <c r="L2638" i="3"/>
  <c r="L2639" i="3"/>
  <c r="L2640" i="3"/>
  <c r="L2641" i="3"/>
  <c r="L2642" i="3"/>
  <c r="L2643" i="3"/>
  <c r="L2644" i="3"/>
  <c r="L2645" i="3"/>
  <c r="L2646" i="3"/>
  <c r="L2647" i="3"/>
  <c r="L2648" i="3"/>
  <c r="L2649" i="3"/>
  <c r="L2650" i="3"/>
  <c r="L2651" i="3"/>
  <c r="L2652" i="3"/>
  <c r="L2653" i="3"/>
  <c r="L2654" i="3"/>
  <c r="L2655" i="3"/>
  <c r="L2656" i="3"/>
  <c r="L2657" i="3"/>
  <c r="L2658" i="3"/>
  <c r="L2659" i="3"/>
  <c r="L2660" i="3"/>
  <c r="L2661" i="3"/>
  <c r="L2662" i="3"/>
  <c r="L2663" i="3"/>
  <c r="L2664" i="3"/>
  <c r="L2665" i="3"/>
  <c r="L2666" i="3"/>
  <c r="L2667" i="3"/>
  <c r="L2668" i="3"/>
  <c r="L2669" i="3"/>
  <c r="L2670" i="3"/>
  <c r="L2671" i="3"/>
  <c r="L2672" i="3"/>
  <c r="L2673" i="3"/>
  <c r="L2674" i="3"/>
  <c r="L2675" i="3"/>
  <c r="L2676" i="3"/>
  <c r="L2677" i="3"/>
  <c r="L2678" i="3"/>
  <c r="L2679" i="3"/>
  <c r="L2680" i="3"/>
  <c r="L2681" i="3"/>
  <c r="L2682" i="3"/>
  <c r="L2683" i="3"/>
  <c r="L2684" i="3"/>
  <c r="L2685" i="3"/>
  <c r="L2686" i="3"/>
  <c r="L2687" i="3"/>
  <c r="L2688" i="3"/>
  <c r="L2689" i="3"/>
  <c r="L2690" i="3"/>
  <c r="L2691" i="3"/>
  <c r="L2692" i="3"/>
  <c r="L2693" i="3"/>
  <c r="L2694" i="3"/>
  <c r="L2695" i="3"/>
  <c r="L2696" i="3"/>
  <c r="L2697" i="3"/>
  <c r="L2698" i="3"/>
  <c r="L2699" i="3"/>
  <c r="L2700" i="3"/>
  <c r="L2701" i="3"/>
  <c r="L2702" i="3"/>
  <c r="L2703" i="3"/>
  <c r="L2704" i="3"/>
  <c r="L2705" i="3"/>
  <c r="L2706" i="3"/>
  <c r="L2707" i="3"/>
  <c r="L2708" i="3"/>
  <c r="L2709" i="3"/>
  <c r="L2710" i="3"/>
  <c r="L2711" i="3"/>
  <c r="L2712" i="3"/>
  <c r="L2713" i="3"/>
  <c r="L2714" i="3"/>
  <c r="L2715" i="3"/>
  <c r="L2716" i="3"/>
  <c r="L2717" i="3"/>
  <c r="L2718" i="3"/>
  <c r="L2719" i="3"/>
  <c r="L2720" i="3"/>
  <c r="L2721" i="3"/>
  <c r="L2722" i="3"/>
  <c r="L2723" i="3"/>
  <c r="L2724" i="3"/>
  <c r="L2725" i="3"/>
  <c r="L2726" i="3"/>
  <c r="L2727" i="3"/>
  <c r="L2728" i="3"/>
  <c r="L2729" i="3"/>
  <c r="L2730" i="3"/>
  <c r="L2731" i="3"/>
  <c r="L2732" i="3"/>
  <c r="L2733" i="3"/>
  <c r="L2734" i="3"/>
  <c r="L2735" i="3"/>
  <c r="L2736" i="3"/>
  <c r="L2737" i="3"/>
  <c r="L2738" i="3"/>
  <c r="L2739" i="3"/>
  <c r="L2740" i="3"/>
  <c r="L2741" i="3"/>
  <c r="L2742" i="3"/>
  <c r="L2743" i="3"/>
  <c r="L2744" i="3"/>
  <c r="L2745" i="3"/>
  <c r="L2746" i="3"/>
  <c r="L2747" i="3"/>
  <c r="L2748" i="3"/>
  <c r="L2749" i="3"/>
  <c r="L2750" i="3"/>
  <c r="L2751" i="3"/>
  <c r="L2752" i="3"/>
  <c r="L2753" i="3"/>
  <c r="L2754" i="3"/>
  <c r="L2755" i="3"/>
  <c r="L2756" i="3"/>
  <c r="L2757" i="3"/>
  <c r="L2758" i="3"/>
  <c r="L2759" i="3"/>
  <c r="L2760" i="3"/>
  <c r="L2761" i="3"/>
  <c r="L2762" i="3"/>
  <c r="L2763" i="3"/>
  <c r="L2764" i="3"/>
  <c r="L2765" i="3"/>
  <c r="L2766" i="3"/>
  <c r="L2767" i="3"/>
  <c r="L2768" i="3"/>
  <c r="L2769" i="3"/>
  <c r="L2770" i="3"/>
  <c r="L2771" i="3"/>
  <c r="L2772" i="3"/>
  <c r="L2773" i="3"/>
  <c r="L2774" i="3"/>
  <c r="L2775" i="3"/>
  <c r="L2776" i="3"/>
  <c r="L2777" i="3"/>
  <c r="L2778" i="3"/>
  <c r="L2779" i="3"/>
  <c r="L2780" i="3"/>
  <c r="L2781" i="3"/>
  <c r="L2782" i="3"/>
  <c r="L2783" i="3"/>
  <c r="L2784" i="3"/>
  <c r="L2785" i="3"/>
  <c r="L2786" i="3"/>
  <c r="L2787" i="3"/>
  <c r="L2788" i="3"/>
  <c r="L2789" i="3"/>
  <c r="L2790" i="3"/>
  <c r="L2791" i="3"/>
  <c r="L2792" i="3"/>
  <c r="L2793" i="3"/>
  <c r="L2794" i="3"/>
  <c r="L2795" i="3"/>
  <c r="L2796" i="3"/>
  <c r="L2797" i="3"/>
  <c r="L2798" i="3"/>
  <c r="L2799" i="3"/>
  <c r="L2800" i="3"/>
  <c r="L2801" i="3"/>
  <c r="L2802" i="3"/>
  <c r="L2803" i="3"/>
  <c r="L2804" i="3"/>
  <c r="L2805" i="3"/>
  <c r="L2806" i="3"/>
  <c r="L2807" i="3"/>
  <c r="L2808" i="3"/>
  <c r="L2809" i="3"/>
  <c r="L2810" i="3"/>
  <c r="L2811" i="3"/>
  <c r="L2812" i="3"/>
  <c r="L2813" i="3"/>
  <c r="L2814" i="3"/>
  <c r="L2815" i="3"/>
  <c r="L2816" i="3"/>
  <c r="L2817" i="3"/>
  <c r="L2818" i="3"/>
  <c r="L2819" i="3"/>
  <c r="L2820" i="3"/>
  <c r="L2821" i="3"/>
  <c r="L2822" i="3"/>
  <c r="L2823" i="3"/>
  <c r="L2824" i="3"/>
  <c r="L2825" i="3"/>
  <c r="L2826" i="3"/>
  <c r="L2827" i="3"/>
  <c r="L2828" i="3"/>
  <c r="L2829" i="3"/>
  <c r="L2830" i="3"/>
  <c r="L2831" i="3"/>
  <c r="L2832" i="3"/>
  <c r="L2833" i="3"/>
  <c r="L2834" i="3"/>
  <c r="L2835" i="3"/>
  <c r="L2836" i="3"/>
  <c r="L2837" i="3"/>
  <c r="L2838" i="3"/>
  <c r="L2839" i="3"/>
  <c r="L2840" i="3"/>
  <c r="L2841" i="3"/>
  <c r="L2842" i="3"/>
  <c r="L2843" i="3"/>
  <c r="L2844" i="3"/>
  <c r="L2845" i="3"/>
  <c r="L2846" i="3"/>
  <c r="L2847" i="3"/>
  <c r="L2848" i="3"/>
  <c r="L2849" i="3"/>
  <c r="L2850" i="3"/>
  <c r="L2851" i="3"/>
  <c r="L2852" i="3"/>
  <c r="L2853" i="3"/>
  <c r="L2854" i="3"/>
  <c r="L2855" i="3"/>
  <c r="L2856" i="3"/>
  <c r="L2857" i="3"/>
  <c r="L2858" i="3"/>
  <c r="L2859" i="3"/>
  <c r="L2860" i="3"/>
  <c r="L2861" i="3"/>
  <c r="L2862" i="3"/>
  <c r="L2863" i="3"/>
  <c r="L2864" i="3"/>
  <c r="L2865" i="3"/>
  <c r="L2866" i="3"/>
  <c r="L2867" i="3"/>
  <c r="L2868" i="3"/>
  <c r="L2869" i="3"/>
  <c r="L2870" i="3"/>
  <c r="L2871" i="3"/>
  <c r="L2872" i="3"/>
  <c r="L2873" i="3"/>
  <c r="L2874" i="3"/>
  <c r="L2875" i="3"/>
  <c r="L2876" i="3"/>
  <c r="L2877" i="3"/>
  <c r="L2878" i="3"/>
  <c r="L2879" i="3"/>
  <c r="L2880" i="3"/>
  <c r="L2881" i="3"/>
  <c r="L2882" i="3"/>
  <c r="L2883" i="3"/>
  <c r="L2884" i="3"/>
  <c r="L2885" i="3"/>
  <c r="L2886" i="3"/>
  <c r="L2887" i="3"/>
  <c r="L2888" i="3"/>
  <c r="L2889" i="3"/>
  <c r="L2890" i="3"/>
  <c r="L2891" i="3"/>
  <c r="L2892" i="3"/>
  <c r="L2893" i="3"/>
  <c r="L2894" i="3"/>
  <c r="L2895" i="3"/>
  <c r="L2896" i="3"/>
  <c r="L2897" i="3"/>
  <c r="L2898" i="3"/>
  <c r="L2899" i="3"/>
  <c r="L2900" i="3"/>
  <c r="L2901" i="3"/>
  <c r="L2902" i="3"/>
  <c r="L2903" i="3"/>
  <c r="L2904" i="3"/>
  <c r="L2905" i="3"/>
  <c r="L2906" i="3"/>
  <c r="L2907" i="3"/>
  <c r="L2908" i="3"/>
  <c r="L2909" i="3"/>
  <c r="L2910" i="3"/>
  <c r="L2911" i="3"/>
  <c r="L2912" i="3"/>
  <c r="L2913" i="3"/>
  <c r="L2914" i="3"/>
  <c r="L2915" i="3"/>
  <c r="L2916" i="3"/>
  <c r="L2917" i="3"/>
  <c r="L2918" i="3"/>
  <c r="L2919" i="3"/>
  <c r="L2920" i="3"/>
  <c r="L2921" i="3"/>
  <c r="L2922" i="3"/>
  <c r="L2923" i="3"/>
  <c r="L2924" i="3"/>
  <c r="L2925" i="3"/>
  <c r="L2926" i="3"/>
  <c r="L2927" i="3"/>
  <c r="L2928" i="3"/>
  <c r="L2929" i="3"/>
  <c r="L2930" i="3"/>
  <c r="L2931" i="3"/>
  <c r="L2932" i="3"/>
  <c r="L2933" i="3"/>
  <c r="L2934" i="3"/>
  <c r="L2935" i="3"/>
  <c r="L2936" i="3"/>
  <c r="L2937" i="3"/>
  <c r="L2938" i="3"/>
  <c r="L2939" i="3"/>
  <c r="L2940" i="3"/>
  <c r="L2941" i="3"/>
  <c r="L2942" i="3"/>
  <c r="L2943" i="3"/>
  <c r="L2944" i="3"/>
  <c r="L2945" i="3"/>
  <c r="L2946" i="3"/>
  <c r="L2947" i="3"/>
  <c r="L2948" i="3"/>
  <c r="L2949" i="3"/>
  <c r="L2950" i="3"/>
  <c r="L2951" i="3"/>
  <c r="L2952" i="3"/>
  <c r="L2953" i="3"/>
  <c r="L2954" i="3"/>
  <c r="L2955" i="3"/>
  <c r="L2956" i="3"/>
  <c r="L2957" i="3"/>
  <c r="L2958" i="3"/>
  <c r="L2959" i="3"/>
  <c r="L2960" i="3"/>
  <c r="L2961" i="3"/>
  <c r="L2962" i="3"/>
  <c r="L2963" i="3"/>
  <c r="L2964" i="3"/>
  <c r="L2965" i="3"/>
  <c r="L2966" i="3"/>
  <c r="L2967" i="3"/>
  <c r="L2968" i="3"/>
  <c r="L2969" i="3"/>
  <c r="L2970" i="3"/>
  <c r="L2971" i="3"/>
  <c r="L2972" i="3"/>
  <c r="L2973" i="3"/>
  <c r="L2974" i="3"/>
  <c r="L2975" i="3"/>
  <c r="L2976" i="3"/>
  <c r="L2977" i="3"/>
  <c r="L2978" i="3"/>
  <c r="L2979" i="3"/>
  <c r="L2980" i="3"/>
  <c r="L2981" i="3"/>
  <c r="L2982" i="3"/>
  <c r="L2983" i="3"/>
  <c r="L2984" i="3"/>
  <c r="L2985" i="3"/>
  <c r="L2986" i="3"/>
  <c r="L2987" i="3"/>
  <c r="L2988" i="3"/>
  <c r="L2989" i="3"/>
  <c r="L2990" i="3"/>
  <c r="L2991" i="3"/>
  <c r="L2992" i="3"/>
  <c r="L2993" i="3"/>
  <c r="L2994" i="3"/>
  <c r="L2995" i="3"/>
  <c r="L2996" i="3"/>
  <c r="L2997" i="3"/>
  <c r="L2998" i="3"/>
  <c r="L2999" i="3"/>
  <c r="L3000" i="3"/>
  <c r="L3001" i="3"/>
  <c r="L3002" i="3"/>
  <c r="L3003" i="3"/>
  <c r="L3004" i="3"/>
  <c r="L3005" i="3"/>
  <c r="L3006" i="3"/>
  <c r="L3007" i="3"/>
  <c r="L3008" i="3"/>
  <c r="L3009" i="3"/>
  <c r="L3010" i="3"/>
  <c r="L3011" i="3"/>
  <c r="L3012" i="3"/>
  <c r="L3013" i="3"/>
  <c r="L3014" i="3"/>
  <c r="L3015" i="3"/>
  <c r="L3016" i="3"/>
  <c r="L3017" i="3"/>
  <c r="L3018" i="3"/>
  <c r="L3019" i="3"/>
  <c r="L3020" i="3"/>
  <c r="L3021" i="3"/>
  <c r="L3022" i="3"/>
  <c r="L3023" i="3"/>
  <c r="L3024" i="3"/>
  <c r="L3025" i="3"/>
  <c r="L3026" i="3"/>
  <c r="L3027" i="3"/>
  <c r="L3028" i="3"/>
  <c r="L3029" i="3"/>
  <c r="L3030" i="3"/>
  <c r="L3031" i="3"/>
  <c r="L3032" i="3"/>
  <c r="L3033" i="3"/>
  <c r="L3034" i="3"/>
  <c r="L3035" i="3"/>
  <c r="L3036" i="3"/>
  <c r="L3037" i="3"/>
  <c r="L3038" i="3"/>
  <c r="L3039" i="3"/>
  <c r="L3040" i="3"/>
  <c r="L3041" i="3"/>
  <c r="L3042" i="3"/>
  <c r="L3043" i="3"/>
  <c r="L3044" i="3"/>
  <c r="L3045" i="3"/>
  <c r="L3046" i="3"/>
  <c r="L3047" i="3"/>
  <c r="L3048" i="3"/>
  <c r="L3049" i="3"/>
  <c r="L3050" i="3"/>
  <c r="L3051" i="3"/>
  <c r="L3052" i="3"/>
  <c r="L3053" i="3"/>
  <c r="L3054" i="3"/>
  <c r="L3055" i="3"/>
  <c r="L3056" i="3"/>
  <c r="L3057" i="3"/>
  <c r="L3058" i="3"/>
  <c r="L3059" i="3"/>
  <c r="L3060" i="3"/>
  <c r="L3061" i="3"/>
  <c r="L3062" i="3"/>
  <c r="L3063" i="3"/>
  <c r="L3064" i="3"/>
  <c r="L3065" i="3"/>
  <c r="L3066" i="3"/>
  <c r="L3067" i="3"/>
  <c r="L3068" i="3"/>
  <c r="L3069" i="3"/>
  <c r="L3070" i="3"/>
  <c r="L3071" i="3"/>
  <c r="L3072" i="3"/>
  <c r="L3073" i="3"/>
  <c r="L3074" i="3"/>
  <c r="L3075" i="3"/>
  <c r="L3076" i="3"/>
  <c r="L3077" i="3"/>
  <c r="L3078" i="3"/>
  <c r="L3079" i="3"/>
  <c r="L3080" i="3"/>
  <c r="L3081" i="3"/>
  <c r="L3082" i="3"/>
  <c r="L3083" i="3"/>
  <c r="L3084" i="3"/>
  <c r="L3085" i="3"/>
  <c r="L3086" i="3"/>
  <c r="L3087" i="3"/>
  <c r="L3088" i="3"/>
  <c r="L3089" i="3"/>
  <c r="L3090" i="3"/>
  <c r="L3091" i="3"/>
  <c r="L3092" i="3"/>
  <c r="L3093" i="3"/>
  <c r="L3094" i="3"/>
  <c r="L3095" i="3"/>
  <c r="L3096" i="3"/>
  <c r="L3097" i="3"/>
  <c r="L3098" i="3"/>
  <c r="L3099" i="3"/>
  <c r="L3100" i="3"/>
  <c r="L3101" i="3"/>
  <c r="L3102" i="3"/>
  <c r="L3103" i="3"/>
  <c r="L3104" i="3"/>
  <c r="L3105" i="3"/>
  <c r="L3106" i="3"/>
  <c r="L3107" i="3"/>
  <c r="L3108" i="3"/>
  <c r="L3109" i="3"/>
  <c r="L3110" i="3"/>
  <c r="L3111" i="3"/>
  <c r="L3112" i="3"/>
  <c r="L3113" i="3"/>
  <c r="L3114" i="3"/>
  <c r="L3115" i="3"/>
  <c r="L3116" i="3"/>
  <c r="L3117" i="3"/>
  <c r="L3118" i="3"/>
  <c r="L3119" i="3"/>
  <c r="L3120" i="3"/>
  <c r="L3121" i="3"/>
  <c r="L3122" i="3"/>
  <c r="L3123" i="3"/>
  <c r="L3124" i="3"/>
  <c r="L3125" i="3"/>
  <c r="L3126" i="3"/>
  <c r="L3127" i="3"/>
  <c r="L3128" i="3"/>
  <c r="L3129" i="3"/>
  <c r="L3130" i="3"/>
  <c r="L3131" i="3"/>
  <c r="L3132" i="3"/>
  <c r="L3133" i="3"/>
  <c r="L3134" i="3"/>
  <c r="L3135" i="3"/>
  <c r="L3136" i="3"/>
  <c r="L3137" i="3"/>
  <c r="L3138" i="3"/>
  <c r="L3139" i="3"/>
  <c r="L3140" i="3"/>
  <c r="L3141" i="3"/>
  <c r="L3142" i="3"/>
  <c r="L3143" i="3"/>
  <c r="L3144" i="3"/>
  <c r="L3145" i="3"/>
  <c r="L3146" i="3"/>
  <c r="L3147" i="3"/>
  <c r="L3148" i="3"/>
  <c r="L3149" i="3"/>
  <c r="L3150" i="3"/>
  <c r="L3151" i="3"/>
  <c r="L3152" i="3"/>
  <c r="L3153" i="3"/>
  <c r="L3154" i="3"/>
  <c r="L3155" i="3"/>
  <c r="L3156" i="3"/>
  <c r="L3157" i="3"/>
  <c r="L3158" i="3"/>
  <c r="L3159" i="3"/>
  <c r="L3160" i="3"/>
  <c r="L3161" i="3"/>
  <c r="L3162" i="3"/>
  <c r="L3163" i="3"/>
  <c r="L3164" i="3"/>
  <c r="L3165" i="3"/>
  <c r="L3166" i="3"/>
  <c r="L3167" i="3"/>
  <c r="L3168" i="3"/>
  <c r="L3169" i="3"/>
  <c r="L3170" i="3"/>
  <c r="L3171" i="3"/>
  <c r="L3172" i="3"/>
  <c r="L3173" i="3"/>
  <c r="L3174" i="3"/>
  <c r="L3175" i="3"/>
  <c r="L3176" i="3"/>
  <c r="L3177" i="3"/>
  <c r="L3178" i="3"/>
  <c r="L3179" i="3"/>
  <c r="L3180" i="3"/>
  <c r="L3181" i="3"/>
  <c r="L3182" i="3"/>
  <c r="L3183" i="3"/>
  <c r="L3184" i="3"/>
  <c r="L3185" i="3"/>
  <c r="L3186" i="3"/>
  <c r="L3187" i="3"/>
  <c r="L3188" i="3"/>
  <c r="L3189" i="3"/>
  <c r="L3190" i="3"/>
  <c r="L3191" i="3"/>
  <c r="L3192" i="3"/>
  <c r="L3193" i="3"/>
  <c r="L3194" i="3"/>
  <c r="L3195" i="3"/>
  <c r="L3196" i="3"/>
  <c r="L3197" i="3"/>
  <c r="L3198" i="3"/>
  <c r="L3199" i="3"/>
  <c r="L3200" i="3"/>
  <c r="L3201" i="3"/>
  <c r="L3202" i="3"/>
  <c r="L3203" i="3"/>
  <c r="L3204" i="3"/>
  <c r="L3205" i="3"/>
  <c r="L3206" i="3"/>
  <c r="L3207" i="3"/>
  <c r="L3208" i="3"/>
  <c r="L3209" i="3"/>
  <c r="L3210" i="3"/>
  <c r="L3211" i="3"/>
  <c r="L3212" i="3"/>
  <c r="L3213" i="3"/>
  <c r="L3214" i="3"/>
  <c r="L3215" i="3"/>
  <c r="L3216" i="3"/>
  <c r="L3217" i="3"/>
  <c r="L3218" i="3"/>
  <c r="L3219" i="3"/>
  <c r="L3220" i="3"/>
  <c r="L3221" i="3"/>
  <c r="L3222" i="3"/>
  <c r="L3223" i="3"/>
  <c r="L3224" i="3"/>
  <c r="L3225" i="3"/>
  <c r="L3226" i="3"/>
  <c r="L3227" i="3"/>
  <c r="L3228" i="3"/>
  <c r="L3229" i="3"/>
  <c r="L3230" i="3"/>
  <c r="L3231" i="3"/>
  <c r="L3232" i="3"/>
  <c r="L3233" i="3"/>
  <c r="L3234" i="3"/>
  <c r="L3235" i="3"/>
  <c r="L3236" i="3"/>
  <c r="L3237" i="3"/>
  <c r="L3238" i="3"/>
  <c r="L3239" i="3"/>
  <c r="L3240" i="3"/>
  <c r="L3241" i="3"/>
  <c r="L3242" i="3"/>
  <c r="L3243" i="3"/>
  <c r="L3244" i="3"/>
  <c r="L3245" i="3"/>
  <c r="L3246" i="3"/>
  <c r="L3247" i="3"/>
  <c r="L3248" i="3"/>
  <c r="L3249" i="3"/>
  <c r="L3250" i="3"/>
  <c r="L3251" i="3"/>
  <c r="L3252" i="3"/>
  <c r="L3253" i="3"/>
  <c r="L3254" i="3"/>
  <c r="L3255" i="3"/>
  <c r="L3256" i="3"/>
  <c r="L3257" i="3"/>
  <c r="L3258" i="3"/>
  <c r="L3259" i="3"/>
  <c r="L3260" i="3"/>
  <c r="L3261" i="3"/>
  <c r="L3262" i="3"/>
  <c r="L3263" i="3"/>
  <c r="L3264" i="3"/>
  <c r="L3265" i="3"/>
  <c r="L3266" i="3"/>
  <c r="L3267" i="3"/>
  <c r="L3268" i="3"/>
  <c r="L3269" i="3"/>
  <c r="L3270" i="3"/>
  <c r="L3271" i="3"/>
  <c r="L3272" i="3"/>
  <c r="L3273" i="3"/>
  <c r="L3274" i="3"/>
  <c r="L3275" i="3"/>
  <c r="L3276" i="3"/>
  <c r="L3277" i="3"/>
  <c r="L3278" i="3"/>
  <c r="L3279" i="3"/>
  <c r="L3280" i="3"/>
  <c r="L3281" i="3"/>
  <c r="L3282" i="3"/>
  <c r="L3283" i="3"/>
  <c r="L3284" i="3"/>
  <c r="L3285" i="3"/>
  <c r="L3286" i="3"/>
  <c r="L3287" i="3"/>
  <c r="L3288" i="3"/>
  <c r="L3289" i="3"/>
  <c r="L3290" i="3"/>
  <c r="L3291" i="3"/>
  <c r="L3292" i="3"/>
  <c r="L3293" i="3"/>
  <c r="L3294" i="3"/>
  <c r="L3295" i="3"/>
  <c r="L3296" i="3"/>
  <c r="L3297" i="3"/>
  <c r="L3298" i="3"/>
  <c r="L3299" i="3"/>
  <c r="L3300" i="3"/>
  <c r="L3301" i="3"/>
  <c r="L3302" i="3"/>
  <c r="L3303" i="3"/>
  <c r="L3304" i="3"/>
  <c r="L3305" i="3"/>
  <c r="L3306" i="3"/>
  <c r="L3307" i="3"/>
  <c r="L3308" i="3"/>
  <c r="L3309" i="3"/>
  <c r="L3310" i="3"/>
  <c r="L3311" i="3"/>
  <c r="L3312" i="3"/>
  <c r="L3313" i="3"/>
  <c r="L3314" i="3"/>
  <c r="L3315" i="3"/>
  <c r="L3316" i="3"/>
  <c r="L3317" i="3"/>
  <c r="L3318" i="3"/>
  <c r="L3319" i="3"/>
  <c r="L3320" i="3"/>
  <c r="L3321" i="3"/>
  <c r="L3322" i="3"/>
  <c r="L3323" i="3"/>
  <c r="L3324" i="3"/>
  <c r="L3325" i="3"/>
  <c r="L3326" i="3"/>
  <c r="L3327" i="3"/>
  <c r="L3328" i="3"/>
  <c r="L3329" i="3"/>
  <c r="L3330" i="3"/>
  <c r="L3331" i="3"/>
  <c r="L3332" i="3"/>
  <c r="L3333" i="3"/>
  <c r="L3334" i="3"/>
  <c r="L3335" i="3"/>
  <c r="L3336" i="3"/>
  <c r="L3337" i="3"/>
  <c r="L3338" i="3"/>
  <c r="L3339" i="3"/>
  <c r="L3340" i="3"/>
  <c r="L3341" i="3"/>
  <c r="L3342" i="3"/>
  <c r="L3343" i="3"/>
  <c r="L3344" i="3"/>
  <c r="L3345" i="3"/>
  <c r="L3346" i="3"/>
  <c r="L3347" i="3"/>
  <c r="L3348" i="3"/>
  <c r="L3349" i="3"/>
  <c r="L3350" i="3"/>
  <c r="L3351" i="3"/>
  <c r="L3352" i="3"/>
  <c r="L3353" i="3"/>
  <c r="L3354" i="3"/>
  <c r="L3355" i="3"/>
  <c r="L3356" i="3"/>
  <c r="L3357" i="3"/>
  <c r="L3358" i="3"/>
  <c r="L3359" i="3"/>
  <c r="L3360" i="3"/>
  <c r="L3361" i="3"/>
  <c r="L3362" i="3"/>
  <c r="L3363" i="3"/>
  <c r="L3364" i="3"/>
  <c r="L3365" i="3"/>
  <c r="L3366" i="3"/>
  <c r="L3367" i="3"/>
  <c r="L3368" i="3"/>
  <c r="L3369" i="3"/>
  <c r="L3370" i="3"/>
  <c r="L3371" i="3"/>
  <c r="L3372" i="3"/>
  <c r="L3373" i="3"/>
  <c r="L3374" i="3"/>
  <c r="L3375" i="3"/>
  <c r="L3376" i="3"/>
  <c r="L3377" i="3"/>
  <c r="L3378" i="3"/>
  <c r="L3379" i="3"/>
  <c r="L3380" i="3"/>
  <c r="L3381" i="3"/>
  <c r="L3382" i="3"/>
  <c r="L3383" i="3"/>
  <c r="L3384" i="3"/>
  <c r="L3385" i="3"/>
  <c r="L3386" i="3"/>
  <c r="L3387" i="3"/>
  <c r="L3388" i="3"/>
  <c r="L3389" i="3"/>
  <c r="L3390" i="3"/>
  <c r="L3391" i="3"/>
  <c r="L3392" i="3"/>
  <c r="L3393" i="3"/>
  <c r="L3394" i="3"/>
  <c r="L3395" i="3"/>
  <c r="L3396" i="3"/>
  <c r="L3397" i="3"/>
  <c r="L3398" i="3"/>
  <c r="L3399" i="3"/>
  <c r="L3400" i="3"/>
  <c r="L3401" i="3"/>
  <c r="L3402" i="3"/>
  <c r="L3403" i="3"/>
  <c r="L3404" i="3"/>
  <c r="L3405" i="3"/>
  <c r="L3406" i="3"/>
  <c r="L3407" i="3"/>
  <c r="L3408" i="3"/>
  <c r="L3409" i="3"/>
  <c r="L3410" i="3"/>
  <c r="L3411" i="3"/>
  <c r="L3412" i="3"/>
  <c r="L3413" i="3"/>
  <c r="L3414" i="3"/>
  <c r="L3415" i="3"/>
  <c r="L3416" i="3"/>
  <c r="L3417" i="3"/>
  <c r="L3418" i="3"/>
  <c r="L3419" i="3"/>
  <c r="L3420" i="3"/>
  <c r="L3421" i="3"/>
  <c r="L3422" i="3"/>
  <c r="L3423" i="3"/>
  <c r="L3424" i="3"/>
  <c r="L3425" i="3"/>
  <c r="L3426" i="3"/>
  <c r="L3427" i="3"/>
  <c r="L3428" i="3"/>
  <c r="L3429" i="3"/>
  <c r="L3430" i="3"/>
  <c r="L3431" i="3"/>
  <c r="L3432" i="3"/>
  <c r="L3433" i="3"/>
  <c r="L3434" i="3"/>
  <c r="L3435" i="3"/>
  <c r="L3436" i="3"/>
  <c r="L3437" i="3"/>
  <c r="L3438" i="3"/>
  <c r="L3439" i="3"/>
  <c r="L3440" i="3"/>
  <c r="L3441" i="3"/>
  <c r="L3442" i="3"/>
  <c r="L3443" i="3"/>
  <c r="L3444" i="3"/>
  <c r="L3445" i="3"/>
  <c r="L3446" i="3"/>
  <c r="L3447" i="3"/>
  <c r="L3448" i="3"/>
  <c r="L3449" i="3"/>
  <c r="L3450" i="3"/>
  <c r="L3451" i="3"/>
  <c r="L3452" i="3"/>
  <c r="L3453" i="3"/>
  <c r="L3454" i="3"/>
  <c r="L3455" i="3"/>
  <c r="L3456" i="3"/>
  <c r="L3457" i="3"/>
  <c r="L3458" i="3"/>
  <c r="L3459" i="3"/>
  <c r="L3460" i="3"/>
  <c r="L3461" i="3"/>
  <c r="L3462" i="3"/>
  <c r="L3463" i="3"/>
  <c r="L3464" i="3"/>
  <c r="L3465" i="3"/>
  <c r="L3466" i="3"/>
  <c r="L3467" i="3"/>
  <c r="L3468" i="3"/>
  <c r="L3469" i="3"/>
  <c r="L3470" i="3"/>
  <c r="L3471" i="3"/>
  <c r="L3472" i="3"/>
  <c r="L3473" i="3"/>
  <c r="L3474" i="3"/>
  <c r="L3475" i="3"/>
  <c r="L3476" i="3"/>
  <c r="L3477" i="3"/>
  <c r="L3478" i="3"/>
  <c r="L3479" i="3"/>
  <c r="L3480" i="3"/>
  <c r="L3481" i="3"/>
  <c r="L3482" i="3"/>
  <c r="L3483" i="3"/>
  <c r="L3484" i="3"/>
  <c r="L3485" i="3"/>
  <c r="L3486" i="3"/>
  <c r="L3487" i="3"/>
  <c r="L3488" i="3"/>
  <c r="L3489" i="3"/>
  <c r="L3490" i="3"/>
  <c r="L3491" i="3"/>
  <c r="L3492" i="3"/>
  <c r="L3493" i="3"/>
  <c r="L3494" i="3"/>
  <c r="L3495" i="3"/>
  <c r="L3496" i="3"/>
  <c r="L3497" i="3"/>
  <c r="L3498" i="3"/>
  <c r="L3499" i="3"/>
  <c r="L3500" i="3"/>
  <c r="L3501" i="3"/>
  <c r="L3502" i="3"/>
  <c r="L3503" i="3"/>
  <c r="L3504" i="3"/>
  <c r="L3505" i="3"/>
  <c r="L3506" i="3"/>
  <c r="L3507" i="3"/>
  <c r="L3508" i="3"/>
  <c r="L3509" i="3"/>
  <c r="L3510" i="3"/>
  <c r="L3511" i="3"/>
  <c r="L3512" i="3"/>
  <c r="L3513" i="3"/>
  <c r="L3514" i="3"/>
  <c r="L3515" i="3"/>
  <c r="L3516" i="3"/>
  <c r="L3517" i="3"/>
  <c r="L3518" i="3"/>
  <c r="L3519" i="3"/>
  <c r="L3520" i="3"/>
  <c r="L3521" i="3"/>
  <c r="L3522" i="3"/>
  <c r="L3523" i="3"/>
  <c r="L3524" i="3"/>
  <c r="L3525" i="3"/>
  <c r="L3526" i="3"/>
  <c r="L3527" i="3"/>
  <c r="L3528" i="3"/>
  <c r="L3529" i="3"/>
  <c r="L3530" i="3"/>
  <c r="L3531" i="3"/>
  <c r="L3532" i="3"/>
  <c r="L3533" i="3"/>
  <c r="L3534" i="3"/>
  <c r="L3535" i="3"/>
  <c r="L3536" i="3"/>
  <c r="L3537" i="3"/>
  <c r="L3538" i="3"/>
  <c r="L3539" i="3"/>
  <c r="L3540" i="3"/>
  <c r="L3541" i="3"/>
  <c r="L3542" i="3"/>
  <c r="L3543" i="3"/>
  <c r="L3544" i="3"/>
  <c r="L3545" i="3"/>
  <c r="L3546" i="3"/>
  <c r="L3547" i="3"/>
  <c r="L3548" i="3"/>
  <c r="L3549" i="3"/>
  <c r="L3550" i="3"/>
  <c r="L3551" i="3"/>
  <c r="L3552" i="3"/>
  <c r="L3553" i="3"/>
  <c r="L3554" i="3"/>
  <c r="L3555" i="3"/>
  <c r="L3556" i="3"/>
  <c r="L3557" i="3"/>
  <c r="L3558" i="3"/>
  <c r="L3559" i="3"/>
  <c r="L3560" i="3"/>
  <c r="L3561" i="3"/>
  <c r="L3562" i="3"/>
  <c r="L3563" i="3"/>
  <c r="L3564" i="3"/>
  <c r="L3565" i="3"/>
  <c r="L3566" i="3"/>
  <c r="L3567" i="3"/>
  <c r="L3568" i="3"/>
  <c r="L3569" i="3"/>
  <c r="L3570" i="3"/>
  <c r="L3571" i="3"/>
  <c r="L3572" i="3"/>
  <c r="L3573" i="3"/>
  <c r="L3574" i="3"/>
  <c r="L3575" i="3"/>
  <c r="L3576" i="3"/>
  <c r="L3577" i="3"/>
  <c r="L3578" i="3"/>
  <c r="L3579" i="3"/>
  <c r="L3580" i="3"/>
  <c r="L3581" i="3"/>
  <c r="L3582" i="3"/>
  <c r="L3583" i="3"/>
  <c r="L3584" i="3"/>
  <c r="L3585" i="3"/>
  <c r="L3586" i="3"/>
  <c r="L3587" i="3"/>
  <c r="L3588" i="3"/>
  <c r="L3589" i="3"/>
  <c r="L3590" i="3"/>
  <c r="L3591" i="3"/>
  <c r="L3592" i="3"/>
  <c r="L3593" i="3"/>
  <c r="L3594" i="3"/>
  <c r="L3595" i="3"/>
  <c r="L3596" i="3"/>
  <c r="L3597" i="3"/>
  <c r="L3598" i="3"/>
  <c r="L3599" i="3"/>
  <c r="L3600" i="3"/>
  <c r="L3601" i="3"/>
  <c r="L3602" i="3"/>
  <c r="L3603" i="3"/>
  <c r="L3604" i="3"/>
  <c r="L3605" i="3"/>
  <c r="L3606" i="3"/>
  <c r="L3607" i="3"/>
  <c r="L3608" i="3"/>
  <c r="L3609" i="3"/>
  <c r="L3610" i="3"/>
  <c r="L3611" i="3"/>
  <c r="L3612" i="3"/>
  <c r="L3613" i="3"/>
  <c r="L3614" i="3"/>
  <c r="L3615" i="3"/>
  <c r="L3616" i="3"/>
  <c r="L3617" i="3"/>
  <c r="L3618" i="3"/>
  <c r="L3619" i="3"/>
  <c r="L3620" i="3"/>
  <c r="L3621" i="3"/>
  <c r="L3622" i="3"/>
  <c r="L3623" i="3"/>
  <c r="L3624" i="3"/>
  <c r="L3625" i="3"/>
  <c r="L3626" i="3"/>
  <c r="L3627" i="3"/>
  <c r="L3628" i="3"/>
  <c r="L3629" i="3"/>
  <c r="L3630" i="3"/>
  <c r="L3631" i="3"/>
  <c r="L3632" i="3"/>
  <c r="L3633" i="3"/>
  <c r="L3634" i="3"/>
  <c r="L3635" i="3"/>
  <c r="L3636" i="3"/>
  <c r="L3637" i="3"/>
  <c r="L3638" i="3"/>
  <c r="L3639" i="3"/>
  <c r="L3640" i="3"/>
  <c r="L3641" i="3"/>
  <c r="L3642" i="3"/>
  <c r="L3643" i="3"/>
  <c r="L3644" i="3"/>
  <c r="L3645" i="3"/>
  <c r="L3646" i="3"/>
  <c r="L3647" i="3"/>
  <c r="L3648" i="3"/>
  <c r="L3649" i="3"/>
  <c r="L3650" i="3"/>
  <c r="L3651" i="3"/>
  <c r="L3652" i="3"/>
  <c r="L3653" i="3"/>
  <c r="L3654" i="3"/>
  <c r="L3655" i="3"/>
  <c r="L3656" i="3"/>
  <c r="L3657" i="3"/>
  <c r="L3658" i="3"/>
  <c r="L3659" i="3"/>
  <c r="L3660" i="3"/>
  <c r="L3661" i="3"/>
  <c r="L3662" i="3"/>
  <c r="L3663" i="3"/>
  <c r="L3664" i="3"/>
  <c r="L3665" i="3"/>
  <c r="L3666" i="3"/>
  <c r="L3667" i="3"/>
  <c r="L3668" i="3"/>
  <c r="L3669" i="3"/>
  <c r="L3670" i="3"/>
  <c r="L3671" i="3"/>
  <c r="L3672" i="3"/>
  <c r="L3673" i="3"/>
  <c r="L3674" i="3"/>
  <c r="L3675" i="3"/>
  <c r="L3676" i="3"/>
  <c r="L3677" i="3"/>
  <c r="L3678" i="3"/>
  <c r="L3679" i="3"/>
  <c r="L3680" i="3"/>
  <c r="L3681" i="3"/>
  <c r="L3682" i="3"/>
  <c r="L3683" i="3"/>
  <c r="L3684" i="3"/>
  <c r="L3685" i="3"/>
  <c r="L3686" i="3"/>
  <c r="L3687" i="3"/>
  <c r="L3688" i="3"/>
  <c r="L3689" i="3"/>
  <c r="L3690" i="3"/>
  <c r="L3691" i="3"/>
  <c r="L3692" i="3"/>
  <c r="L3693" i="3"/>
  <c r="L3694" i="3"/>
  <c r="L3695" i="3"/>
  <c r="L3696" i="3"/>
  <c r="L3697" i="3"/>
  <c r="L3698" i="3"/>
  <c r="L3699" i="3"/>
  <c r="L3700" i="3"/>
  <c r="L3701" i="3"/>
  <c r="L3702" i="3"/>
  <c r="L3703" i="3"/>
  <c r="L3704" i="3"/>
  <c r="L3705" i="3"/>
  <c r="L3706" i="3"/>
  <c r="L3707" i="3"/>
  <c r="L3708" i="3"/>
  <c r="L3709" i="3"/>
  <c r="L3710" i="3"/>
  <c r="L3711" i="3"/>
  <c r="L3712" i="3"/>
  <c r="L3713" i="3"/>
  <c r="L3714" i="3"/>
  <c r="L3715" i="3"/>
  <c r="L3716" i="3"/>
  <c r="L3717" i="3"/>
  <c r="L3718" i="3"/>
  <c r="L3719" i="3"/>
  <c r="L3720" i="3"/>
  <c r="L3721" i="3"/>
  <c r="L3722" i="3"/>
  <c r="L3723" i="3"/>
  <c r="L3724" i="3"/>
  <c r="L3725" i="3"/>
  <c r="L3726" i="3"/>
  <c r="L3727" i="3"/>
  <c r="L3728" i="3"/>
  <c r="L3729" i="3"/>
  <c r="L3730" i="3"/>
  <c r="L3731" i="3"/>
  <c r="L3732" i="3"/>
  <c r="L3733" i="3"/>
  <c r="L3734" i="3"/>
  <c r="L3735" i="3"/>
  <c r="L3736" i="3"/>
  <c r="L3737" i="3"/>
  <c r="L3738" i="3"/>
  <c r="L3739" i="3"/>
  <c r="L3740" i="3"/>
  <c r="L3741" i="3"/>
  <c r="L3742" i="3"/>
  <c r="L3743" i="3"/>
  <c r="L3744" i="3"/>
  <c r="L3745" i="3"/>
  <c r="L3746" i="3"/>
  <c r="L3747" i="3"/>
  <c r="L3748" i="3"/>
  <c r="L3749" i="3"/>
  <c r="L3750" i="3"/>
  <c r="L3751" i="3"/>
  <c r="L3752" i="3"/>
  <c r="L3753" i="3"/>
  <c r="L3754" i="3"/>
  <c r="L3755" i="3"/>
  <c r="L3756" i="3"/>
  <c r="L3757" i="3"/>
  <c r="L3758" i="3"/>
  <c r="L3759" i="3"/>
  <c r="L3760" i="3"/>
  <c r="L3761" i="3"/>
  <c r="L3762" i="3"/>
  <c r="L3763" i="3"/>
  <c r="L3764" i="3"/>
  <c r="L3765" i="3"/>
  <c r="L3766" i="3"/>
  <c r="L3767" i="3"/>
  <c r="L3768" i="3"/>
  <c r="L3769" i="3"/>
  <c r="L3770" i="3"/>
  <c r="L3771" i="3"/>
  <c r="L3772" i="3"/>
  <c r="L3773" i="3"/>
  <c r="L3774" i="3"/>
  <c r="L3775" i="3"/>
  <c r="L3776" i="3"/>
  <c r="L3777" i="3"/>
  <c r="L3778" i="3"/>
  <c r="L3779" i="3"/>
  <c r="L3780" i="3"/>
  <c r="L3781" i="3"/>
  <c r="L3782" i="3"/>
  <c r="L3783" i="3"/>
  <c r="L3784" i="3"/>
  <c r="L3785" i="3"/>
  <c r="L3786" i="3"/>
  <c r="L3787" i="3"/>
  <c r="L3788" i="3"/>
  <c r="L3789" i="3"/>
  <c r="L3790" i="3"/>
  <c r="L3791" i="3"/>
  <c r="L3792" i="3"/>
  <c r="L3793" i="3"/>
  <c r="L3794" i="3"/>
  <c r="L3795" i="3"/>
  <c r="L3796" i="3"/>
  <c r="L3797" i="3"/>
  <c r="L3798" i="3"/>
  <c r="L3799" i="3"/>
  <c r="L3800" i="3"/>
  <c r="L3801" i="3"/>
  <c r="L3802" i="3"/>
  <c r="L3803" i="3"/>
  <c r="L3804" i="3"/>
  <c r="L3805" i="3"/>
  <c r="L3806" i="3"/>
  <c r="L3807" i="3"/>
  <c r="L3808" i="3"/>
  <c r="L3809" i="3"/>
  <c r="L3810" i="3"/>
  <c r="L3811" i="3"/>
  <c r="L3812" i="3"/>
  <c r="L3813" i="3"/>
  <c r="L3814" i="3"/>
  <c r="L3815" i="3"/>
  <c r="L3816" i="3"/>
  <c r="L3817" i="3"/>
  <c r="L3818" i="3"/>
  <c r="L3819" i="3"/>
  <c r="L3820" i="3"/>
  <c r="L3821" i="3"/>
  <c r="L3822" i="3"/>
  <c r="L3823" i="3"/>
  <c r="L3824" i="3"/>
  <c r="L3825" i="3"/>
  <c r="L3826" i="3"/>
  <c r="L3827" i="3"/>
  <c r="L3828" i="3"/>
  <c r="L3829" i="3"/>
  <c r="L3830" i="3"/>
  <c r="L3831" i="3"/>
  <c r="L3832" i="3"/>
  <c r="L3833" i="3"/>
  <c r="L3834" i="3"/>
  <c r="L3835" i="3"/>
  <c r="L3836" i="3"/>
  <c r="L3837" i="3"/>
  <c r="L3838" i="3"/>
  <c r="L3839" i="3"/>
  <c r="L3840" i="3"/>
  <c r="L3841" i="3"/>
  <c r="L3842" i="3"/>
  <c r="L3843" i="3"/>
  <c r="L3844" i="3"/>
  <c r="L3845" i="3"/>
  <c r="L3846" i="3"/>
  <c r="L3847" i="3"/>
  <c r="L3848" i="3"/>
  <c r="L3849" i="3"/>
  <c r="L3850" i="3"/>
  <c r="L3851" i="3"/>
  <c r="L3852" i="3"/>
  <c r="L3853" i="3"/>
  <c r="L3854" i="3"/>
  <c r="L3855" i="3"/>
  <c r="L3856" i="3"/>
  <c r="L3857" i="3"/>
  <c r="L3858" i="3"/>
  <c r="L3859" i="3"/>
  <c r="L3860" i="3"/>
  <c r="L3861" i="3"/>
  <c r="L3862" i="3"/>
  <c r="L3863" i="3"/>
  <c r="L3864" i="3"/>
  <c r="L3865" i="3"/>
  <c r="L3866" i="3"/>
  <c r="L3867" i="3"/>
  <c r="L3868" i="3"/>
  <c r="L3869" i="3"/>
  <c r="L3870" i="3"/>
  <c r="L3871" i="3"/>
  <c r="L3872" i="3"/>
  <c r="L3873" i="3"/>
  <c r="L3874" i="3"/>
  <c r="L3875" i="3"/>
  <c r="L3876" i="3"/>
  <c r="L3877" i="3"/>
  <c r="L3878" i="3"/>
  <c r="L3879" i="3"/>
  <c r="L3880" i="3"/>
  <c r="L3881" i="3"/>
  <c r="L3882" i="3"/>
  <c r="L3883" i="3"/>
  <c r="L3884" i="3"/>
  <c r="L3885" i="3"/>
  <c r="L3886" i="3"/>
  <c r="L3887" i="3"/>
  <c r="L3888" i="3"/>
  <c r="L3889" i="3"/>
  <c r="L3890" i="3"/>
  <c r="L3891" i="3"/>
  <c r="L3892" i="3"/>
  <c r="L3893" i="3"/>
  <c r="L3894" i="3"/>
  <c r="L3895" i="3"/>
  <c r="L3896" i="3"/>
  <c r="L3897" i="3"/>
  <c r="L3898" i="3"/>
  <c r="L3899" i="3"/>
  <c r="L3900" i="3"/>
  <c r="L3901" i="3"/>
  <c r="L3902" i="3"/>
  <c r="L3903" i="3"/>
  <c r="L3904" i="3"/>
  <c r="L3905" i="3"/>
  <c r="L3906" i="3"/>
  <c r="L3907" i="3"/>
  <c r="L3908" i="3"/>
  <c r="L3909" i="3"/>
  <c r="L3910" i="3"/>
  <c r="L3911" i="3"/>
  <c r="L3912" i="3"/>
  <c r="L3913" i="3"/>
  <c r="L3914" i="3"/>
  <c r="L3915" i="3"/>
  <c r="L3916" i="3"/>
  <c r="L3917" i="3"/>
  <c r="L3918" i="3"/>
  <c r="L3919" i="3"/>
  <c r="L3920" i="3"/>
  <c r="L3921" i="3"/>
  <c r="L3922" i="3"/>
  <c r="L3923" i="3"/>
  <c r="L3924" i="3"/>
  <c r="L3925" i="3"/>
  <c r="L3926" i="3"/>
  <c r="L3927" i="3"/>
  <c r="L3928" i="3"/>
  <c r="L3929" i="3"/>
  <c r="L3930" i="3"/>
  <c r="L3931" i="3"/>
  <c r="L3932" i="3"/>
  <c r="L3933" i="3"/>
  <c r="L3934" i="3"/>
  <c r="L3935" i="3"/>
  <c r="L3936" i="3"/>
  <c r="L3937" i="3"/>
  <c r="L3938" i="3"/>
  <c r="L3939" i="3"/>
  <c r="L3940" i="3"/>
  <c r="L3941" i="3"/>
  <c r="L3942" i="3"/>
  <c r="L3943" i="3"/>
  <c r="L3944" i="3"/>
  <c r="L3945" i="3"/>
  <c r="L3946" i="3"/>
  <c r="L3947" i="3"/>
  <c r="L3948" i="3"/>
  <c r="L3949" i="3"/>
  <c r="L3950" i="3"/>
  <c r="L3951" i="3"/>
  <c r="L3952" i="3"/>
  <c r="L3953" i="3"/>
  <c r="L3954" i="3"/>
  <c r="L3955" i="3"/>
  <c r="L3956" i="3"/>
  <c r="L3957" i="3"/>
  <c r="L3958" i="3"/>
  <c r="L3959" i="3"/>
  <c r="L3960" i="3"/>
  <c r="L3961" i="3"/>
  <c r="L3962" i="3"/>
  <c r="L3963" i="3"/>
  <c r="L3964" i="3"/>
  <c r="L3965" i="3"/>
  <c r="L3966" i="3"/>
  <c r="L3967" i="3"/>
  <c r="L3968" i="3"/>
  <c r="L3969" i="3"/>
  <c r="L3970" i="3"/>
  <c r="L3971" i="3"/>
  <c r="L3972" i="3"/>
  <c r="L3973" i="3"/>
  <c r="L3974" i="3"/>
  <c r="L3975" i="3"/>
  <c r="L3976" i="3"/>
  <c r="L3977" i="3"/>
  <c r="L3978" i="3"/>
  <c r="L3979" i="3"/>
  <c r="L3980" i="3"/>
  <c r="L3981" i="3"/>
  <c r="L3982" i="3"/>
  <c r="L3983" i="3"/>
  <c r="L3984" i="3"/>
  <c r="L3985" i="3"/>
  <c r="L3986" i="3"/>
  <c r="L3987" i="3"/>
  <c r="L3988" i="3"/>
  <c r="L3989" i="3"/>
  <c r="L3990" i="3"/>
  <c r="L3991" i="3"/>
  <c r="L3992" i="3"/>
  <c r="L3993" i="3"/>
  <c r="L3994" i="3"/>
  <c r="L3995" i="3"/>
  <c r="L3996" i="3"/>
  <c r="L3997" i="3"/>
  <c r="L3998" i="3"/>
  <c r="L3999" i="3"/>
  <c r="L4000" i="3"/>
  <c r="L4001" i="3"/>
  <c r="L4002" i="3"/>
  <c r="L4003" i="3"/>
  <c r="L4004" i="3"/>
  <c r="L4005" i="3"/>
  <c r="L4006" i="3"/>
  <c r="L4007" i="3"/>
  <c r="L4008" i="3"/>
  <c r="L4009" i="3"/>
  <c r="L4010" i="3"/>
  <c r="L4011" i="3"/>
  <c r="L4012" i="3"/>
  <c r="L4013" i="3"/>
  <c r="L4014" i="3"/>
  <c r="L4015" i="3"/>
  <c r="L4016" i="3"/>
  <c r="L4017" i="3"/>
  <c r="L4018" i="3"/>
  <c r="L4019" i="3"/>
  <c r="L4020" i="3"/>
  <c r="L4021" i="3"/>
  <c r="L4022" i="3"/>
  <c r="L4023" i="3"/>
  <c r="L4024" i="3"/>
  <c r="L4025" i="3"/>
  <c r="L4026" i="3"/>
  <c r="L4027" i="3"/>
  <c r="L4028" i="3"/>
  <c r="L4029" i="3"/>
  <c r="L4030" i="3"/>
  <c r="L4031" i="3"/>
  <c r="L4032" i="3"/>
  <c r="L4033" i="3"/>
  <c r="L4034" i="3"/>
  <c r="L4035" i="3"/>
  <c r="L4036" i="3"/>
  <c r="L4037" i="3"/>
  <c r="L4038" i="3"/>
  <c r="L4039" i="3"/>
  <c r="L4040" i="3"/>
  <c r="L4041" i="3"/>
  <c r="L4042" i="3"/>
  <c r="L4043" i="3"/>
  <c r="L4044" i="3"/>
  <c r="L4045" i="3"/>
  <c r="L4046" i="3"/>
  <c r="L4047" i="3"/>
  <c r="L4048" i="3"/>
  <c r="L4049" i="3"/>
  <c r="L4050" i="3"/>
  <c r="L4051" i="3"/>
  <c r="L4052" i="3"/>
  <c r="L4053" i="3"/>
  <c r="L4054" i="3"/>
  <c r="L4055" i="3"/>
  <c r="L4056" i="3"/>
  <c r="L4057" i="3"/>
  <c r="L4058" i="3"/>
  <c r="L4059" i="3"/>
  <c r="L4060" i="3"/>
  <c r="L4061" i="3"/>
  <c r="L4062" i="3"/>
  <c r="L4063" i="3"/>
  <c r="L4064" i="3"/>
  <c r="L4065" i="3"/>
  <c r="L4066" i="3"/>
  <c r="L4067" i="3"/>
  <c r="L4068" i="3"/>
  <c r="L4069" i="3"/>
  <c r="L4070" i="3"/>
  <c r="L4071" i="3"/>
  <c r="L4072" i="3"/>
  <c r="L4073" i="3"/>
  <c r="L4074" i="3"/>
  <c r="L4075" i="3"/>
  <c r="L4076" i="3"/>
  <c r="L4077" i="3"/>
  <c r="L4078" i="3"/>
  <c r="L4079" i="3"/>
  <c r="L4080" i="3"/>
  <c r="L4081" i="3"/>
  <c r="L4082" i="3"/>
  <c r="L4083" i="3"/>
  <c r="L4084" i="3"/>
  <c r="L4085" i="3"/>
  <c r="L4086" i="3"/>
  <c r="L4087" i="3"/>
  <c r="L4088" i="3"/>
  <c r="L4089" i="3"/>
  <c r="L4090" i="3"/>
  <c r="L4091" i="3"/>
  <c r="L4092" i="3"/>
  <c r="L4093" i="3"/>
  <c r="L4094" i="3"/>
  <c r="L4095" i="3"/>
  <c r="L4096" i="3"/>
  <c r="L4097" i="3"/>
  <c r="L4098" i="3"/>
  <c r="L4099" i="3"/>
  <c r="L4100" i="3"/>
  <c r="L4101" i="3"/>
  <c r="L4102" i="3"/>
  <c r="L4103" i="3"/>
  <c r="L4104" i="3"/>
  <c r="L4105" i="3"/>
  <c r="L4106" i="3"/>
  <c r="L4107" i="3"/>
  <c r="L4108" i="3"/>
  <c r="L4109" i="3"/>
  <c r="L4110" i="3"/>
  <c r="L4111" i="3"/>
  <c r="L4112" i="3"/>
  <c r="L4113" i="3"/>
  <c r="L4114" i="3"/>
  <c r="L4115" i="3"/>
  <c r="L4116" i="3"/>
  <c r="L4117" i="3"/>
  <c r="L4118" i="3"/>
  <c r="L4119" i="3"/>
  <c r="L4120" i="3"/>
  <c r="L4121" i="3"/>
  <c r="L4122" i="3"/>
  <c r="L4123" i="3"/>
  <c r="L4124" i="3"/>
  <c r="L4125" i="3"/>
  <c r="L4126" i="3"/>
  <c r="L4127" i="3"/>
  <c r="L4128" i="3"/>
  <c r="L4129" i="3"/>
  <c r="L4130" i="3"/>
  <c r="L4131" i="3"/>
  <c r="L4132" i="3"/>
  <c r="L4133" i="3"/>
  <c r="L4134" i="3"/>
  <c r="L4135" i="3"/>
  <c r="L4136" i="3"/>
  <c r="L4137" i="3"/>
  <c r="L4138" i="3"/>
  <c r="L4139" i="3"/>
  <c r="L4140" i="3"/>
  <c r="L4141" i="3"/>
  <c r="L4142" i="3"/>
  <c r="L4143" i="3"/>
  <c r="L4144" i="3"/>
  <c r="L4145" i="3"/>
  <c r="L4146" i="3"/>
  <c r="L4147" i="3"/>
  <c r="L4148" i="3"/>
  <c r="L4149" i="3"/>
  <c r="L4150" i="3"/>
  <c r="L4151" i="3"/>
  <c r="L4152" i="3"/>
  <c r="L4153" i="3"/>
  <c r="L4154" i="3"/>
  <c r="L4155" i="3"/>
  <c r="L4156" i="3"/>
  <c r="L4157" i="3"/>
  <c r="L4158" i="3"/>
  <c r="L4159" i="3"/>
  <c r="L4160" i="3"/>
  <c r="L4161" i="3"/>
  <c r="L4162" i="3"/>
  <c r="L4163" i="3"/>
  <c r="L4164" i="3"/>
  <c r="L4165" i="3"/>
  <c r="L4166" i="3"/>
  <c r="L4167" i="3"/>
  <c r="L4168" i="3"/>
  <c r="L4169" i="3"/>
  <c r="L4170" i="3"/>
  <c r="L4171" i="3"/>
  <c r="L4172" i="3"/>
  <c r="L4173" i="3"/>
  <c r="L4174" i="3"/>
  <c r="L4175" i="3"/>
  <c r="L4176" i="3"/>
  <c r="L4177" i="3"/>
  <c r="L4178" i="3"/>
  <c r="L4179" i="3"/>
  <c r="L4180" i="3"/>
  <c r="L4181" i="3"/>
  <c r="L4182" i="3"/>
  <c r="L4183" i="3"/>
  <c r="L4184" i="3"/>
  <c r="L4185" i="3"/>
  <c r="L4186" i="3"/>
  <c r="L4187" i="3"/>
  <c r="L4188" i="3"/>
  <c r="L4189" i="3"/>
  <c r="L4190" i="3"/>
  <c r="L4191" i="3"/>
  <c r="L4192" i="3"/>
  <c r="L4193" i="3"/>
  <c r="L4194" i="3"/>
  <c r="L4195" i="3"/>
  <c r="L4196" i="3"/>
  <c r="L4197" i="3"/>
  <c r="L4198" i="3"/>
  <c r="L4199" i="3"/>
  <c r="L4200" i="3"/>
  <c r="L4201" i="3"/>
  <c r="L4202" i="3"/>
  <c r="L4203" i="3"/>
  <c r="L4204" i="3"/>
  <c r="L4205" i="3"/>
  <c r="L4206" i="3"/>
  <c r="L4207" i="3"/>
  <c r="L4208" i="3"/>
  <c r="L4209" i="3"/>
  <c r="L4210" i="3"/>
  <c r="L4211" i="3"/>
  <c r="L4212" i="3"/>
  <c r="L4213" i="3"/>
  <c r="L4214" i="3"/>
  <c r="L4215" i="3"/>
  <c r="L4216" i="3"/>
  <c r="L4217" i="3"/>
  <c r="L4218" i="3"/>
  <c r="L4219" i="3"/>
  <c r="L4220" i="3"/>
  <c r="L4221" i="3"/>
  <c r="L4222" i="3"/>
  <c r="L4223" i="3"/>
  <c r="L4224" i="3"/>
  <c r="L4225" i="3"/>
  <c r="L4226" i="3"/>
  <c r="L4227" i="3"/>
  <c r="L4228" i="3"/>
  <c r="L4229" i="3"/>
  <c r="L4230" i="3"/>
  <c r="L4231" i="3"/>
  <c r="L4232" i="3"/>
  <c r="L4233" i="3"/>
  <c r="L4234" i="3"/>
  <c r="L4235" i="3"/>
  <c r="L4236" i="3"/>
  <c r="L4237" i="3"/>
  <c r="L4238" i="3"/>
  <c r="L4239" i="3"/>
  <c r="L4240" i="3"/>
  <c r="L4241" i="3"/>
  <c r="L4242" i="3"/>
  <c r="L4243" i="3"/>
  <c r="L4244" i="3"/>
  <c r="L4245" i="3"/>
  <c r="L4246" i="3"/>
  <c r="L4247" i="3"/>
  <c r="L4248" i="3"/>
  <c r="L4249" i="3"/>
  <c r="L4250" i="3"/>
  <c r="L4251" i="3"/>
  <c r="L4252" i="3"/>
  <c r="L4253" i="3"/>
  <c r="L4254" i="3"/>
  <c r="L4255" i="3"/>
  <c r="L4256" i="3"/>
  <c r="L4257" i="3"/>
  <c r="L4258" i="3"/>
  <c r="L4259" i="3"/>
  <c r="L4260" i="3"/>
  <c r="L4261" i="3"/>
  <c r="L4262" i="3"/>
  <c r="L4263" i="3"/>
  <c r="L4264" i="3"/>
  <c r="L4265" i="3"/>
  <c r="L4266" i="3"/>
  <c r="L4267" i="3"/>
  <c r="L4268" i="3"/>
  <c r="L4269" i="3"/>
  <c r="L4270" i="3"/>
  <c r="L4271" i="3"/>
  <c r="L4272" i="3"/>
  <c r="L4273" i="3"/>
  <c r="L4274" i="3"/>
  <c r="L4275" i="3"/>
  <c r="L4276" i="3"/>
  <c r="L4277" i="3"/>
  <c r="L4278" i="3"/>
  <c r="L4279" i="3"/>
  <c r="L4280" i="3"/>
  <c r="L4281" i="3"/>
  <c r="L4282" i="3"/>
  <c r="L4283" i="3"/>
  <c r="L4284" i="3"/>
  <c r="L4285" i="3"/>
  <c r="L4286" i="3"/>
  <c r="L4287" i="3"/>
  <c r="L4288" i="3"/>
  <c r="L4289" i="3"/>
  <c r="L4290" i="3"/>
  <c r="L4291" i="3"/>
  <c r="L4292" i="3"/>
  <c r="L4293" i="3"/>
  <c r="L4294" i="3"/>
  <c r="L4295" i="3"/>
  <c r="L4296" i="3"/>
  <c r="L4297" i="3"/>
  <c r="L4298" i="3"/>
  <c r="L4299" i="3"/>
  <c r="L4300" i="3"/>
  <c r="L4301" i="3"/>
  <c r="L4302" i="3"/>
  <c r="L4303" i="3"/>
  <c r="L4304" i="3"/>
  <c r="L4305" i="3"/>
  <c r="L4306" i="3"/>
  <c r="L4307" i="3"/>
  <c r="L4308" i="3"/>
  <c r="L4309" i="3"/>
  <c r="L4310" i="3"/>
  <c r="L4311" i="3"/>
  <c r="L4312" i="3"/>
  <c r="L4313" i="3"/>
  <c r="L4314" i="3"/>
  <c r="L4315" i="3"/>
  <c r="L4316" i="3"/>
  <c r="L4317" i="3"/>
  <c r="L4318" i="3"/>
  <c r="L4319" i="3"/>
  <c r="L4320" i="3"/>
  <c r="L4321" i="3"/>
  <c r="L4322" i="3"/>
  <c r="L4323" i="3"/>
  <c r="L4324" i="3"/>
  <c r="L4325" i="3"/>
  <c r="L4326" i="3"/>
  <c r="L4327" i="3"/>
  <c r="L4328" i="3"/>
  <c r="L4329" i="3"/>
  <c r="L4330" i="3"/>
  <c r="L4331" i="3"/>
  <c r="L4332" i="3"/>
  <c r="L4333" i="3"/>
  <c r="L4334" i="3"/>
  <c r="L4335" i="3"/>
  <c r="L4336" i="3"/>
  <c r="L4337" i="3"/>
  <c r="L4338" i="3"/>
  <c r="L4339" i="3"/>
  <c r="L4340" i="3"/>
  <c r="L4341" i="3"/>
  <c r="L4342" i="3"/>
  <c r="L4343" i="3"/>
  <c r="L4344" i="3"/>
  <c r="L4345" i="3"/>
  <c r="L4346" i="3"/>
  <c r="L4347" i="3"/>
  <c r="L4348" i="3"/>
  <c r="L4349" i="3"/>
  <c r="L4350" i="3"/>
  <c r="L4351" i="3"/>
  <c r="L4352" i="3"/>
  <c r="L4353" i="3"/>
  <c r="L4354" i="3"/>
  <c r="L4355" i="3"/>
  <c r="L4356" i="3"/>
  <c r="L4357" i="3"/>
  <c r="L4358" i="3"/>
  <c r="L4359" i="3"/>
  <c r="L4360" i="3"/>
  <c r="L4361" i="3"/>
  <c r="L4362" i="3"/>
  <c r="L4363" i="3"/>
  <c r="L4364" i="3"/>
  <c r="L4365" i="3"/>
  <c r="L4366" i="3"/>
  <c r="L4367" i="3"/>
  <c r="L4368" i="3"/>
  <c r="L4369" i="3"/>
  <c r="L4370" i="3"/>
  <c r="L4371" i="3"/>
  <c r="L4372" i="3"/>
  <c r="L4373" i="3"/>
  <c r="L4374" i="3"/>
  <c r="L4375" i="3"/>
  <c r="L4376" i="3"/>
  <c r="L4377" i="3"/>
  <c r="L4378" i="3"/>
  <c r="L4379" i="3"/>
  <c r="L4380" i="3"/>
  <c r="L4381" i="3"/>
  <c r="L4382" i="3"/>
  <c r="L4383" i="3"/>
  <c r="L4384" i="3"/>
  <c r="L4385" i="3"/>
  <c r="L4386" i="3"/>
  <c r="L4387" i="3"/>
  <c r="L4388" i="3"/>
  <c r="L4389" i="3"/>
  <c r="L4390" i="3"/>
  <c r="L4391" i="3"/>
  <c r="L4392" i="3"/>
  <c r="L4393" i="3"/>
  <c r="L4394" i="3"/>
  <c r="L4395" i="3"/>
  <c r="L4396" i="3"/>
  <c r="L4397" i="3"/>
  <c r="L4398" i="3"/>
  <c r="L4399" i="3"/>
  <c r="L4400" i="3"/>
  <c r="L4401" i="3"/>
  <c r="L4402" i="3"/>
  <c r="L4403" i="3"/>
  <c r="L4404" i="3"/>
  <c r="L4405" i="3"/>
  <c r="L4406" i="3"/>
  <c r="L4407" i="3"/>
  <c r="L4408" i="3"/>
  <c r="L4409" i="3"/>
  <c r="L4410" i="3"/>
  <c r="L4411" i="3"/>
  <c r="L4412" i="3"/>
  <c r="L4413" i="3"/>
  <c r="L4414" i="3"/>
  <c r="L4415" i="3"/>
  <c r="L4416" i="3"/>
  <c r="L4417" i="3"/>
  <c r="L4418" i="3"/>
  <c r="L4419" i="3"/>
  <c r="L4420" i="3"/>
  <c r="L4421" i="3"/>
  <c r="L4422" i="3"/>
  <c r="L4423" i="3"/>
  <c r="L4424" i="3"/>
  <c r="L4425" i="3"/>
  <c r="L4426" i="3"/>
  <c r="L4427" i="3"/>
  <c r="L4428" i="3"/>
  <c r="L4429" i="3"/>
  <c r="L4430" i="3"/>
  <c r="L4431" i="3"/>
  <c r="L4432" i="3"/>
  <c r="L4433" i="3"/>
  <c r="L4434" i="3"/>
  <c r="L4435" i="3"/>
  <c r="L4436" i="3"/>
  <c r="L4437" i="3"/>
  <c r="L4438" i="3"/>
  <c r="L4439" i="3"/>
  <c r="L4440" i="3"/>
  <c r="L4441" i="3"/>
  <c r="L4442" i="3"/>
  <c r="L4443" i="3"/>
  <c r="L4444" i="3"/>
  <c r="L4445" i="3"/>
  <c r="L4446" i="3"/>
  <c r="L4447" i="3"/>
  <c r="L4448" i="3"/>
  <c r="L4449" i="3"/>
  <c r="L4450" i="3"/>
  <c r="L4451" i="3"/>
  <c r="L4452" i="3"/>
  <c r="L4453" i="3"/>
  <c r="L4454" i="3"/>
  <c r="L4455" i="3"/>
  <c r="L4456" i="3"/>
  <c r="L4457" i="3"/>
  <c r="L4458" i="3"/>
  <c r="L4459" i="3"/>
  <c r="L4460" i="3"/>
  <c r="L4461" i="3"/>
  <c r="L4462" i="3"/>
  <c r="L4463" i="3"/>
  <c r="L4464" i="3"/>
  <c r="L4465" i="3"/>
  <c r="L4466" i="3"/>
  <c r="L4467" i="3"/>
  <c r="L4468" i="3"/>
  <c r="L4469" i="3"/>
  <c r="L4470" i="3"/>
  <c r="L4471" i="3"/>
  <c r="L4472" i="3"/>
  <c r="L4473" i="3"/>
  <c r="L4474" i="3"/>
  <c r="L4475" i="3"/>
  <c r="L4476" i="3"/>
  <c r="L4477" i="3"/>
  <c r="L4478" i="3"/>
  <c r="L4479" i="3"/>
  <c r="L4480" i="3"/>
  <c r="L4481" i="3"/>
  <c r="L4482" i="3"/>
  <c r="L4483" i="3"/>
  <c r="L4484" i="3"/>
  <c r="L4485" i="3"/>
  <c r="L4486" i="3"/>
  <c r="L4487" i="3"/>
  <c r="L4488" i="3"/>
  <c r="L4489" i="3"/>
  <c r="L4490" i="3"/>
  <c r="L4491" i="3"/>
  <c r="L4492" i="3"/>
  <c r="L4493" i="3"/>
  <c r="L4494" i="3"/>
  <c r="L4495" i="3"/>
  <c r="L4496" i="3"/>
  <c r="L4497" i="3"/>
  <c r="L4498" i="3"/>
  <c r="L4499" i="3"/>
  <c r="L4500" i="3"/>
  <c r="L4501" i="3"/>
  <c r="L4502" i="3"/>
  <c r="L4503" i="3"/>
  <c r="L4504" i="3"/>
  <c r="L4505" i="3"/>
  <c r="L4506" i="3"/>
  <c r="L4507" i="3"/>
  <c r="L4508" i="3"/>
  <c r="L4509" i="3"/>
  <c r="L4510" i="3"/>
  <c r="L4511" i="3"/>
  <c r="L4512" i="3"/>
  <c r="L4513" i="3"/>
  <c r="L4514" i="3"/>
  <c r="L4515" i="3"/>
  <c r="L4516" i="3"/>
  <c r="L4517" i="3"/>
  <c r="L4518" i="3"/>
  <c r="L4519" i="3"/>
  <c r="L4520" i="3"/>
  <c r="L4521" i="3"/>
  <c r="L4522" i="3"/>
  <c r="L4523" i="3"/>
  <c r="L4524" i="3"/>
  <c r="L4525" i="3"/>
  <c r="L4526" i="3"/>
  <c r="L4527" i="3"/>
  <c r="L4528" i="3"/>
  <c r="L4529" i="3"/>
  <c r="L4530" i="3"/>
  <c r="L4531" i="3"/>
  <c r="L4532" i="3"/>
  <c r="L4533" i="3"/>
  <c r="L4534" i="3"/>
  <c r="L4535" i="3"/>
  <c r="L4536" i="3"/>
  <c r="L4537" i="3"/>
  <c r="L4538" i="3"/>
  <c r="L4539" i="3"/>
  <c r="L4540" i="3"/>
  <c r="L4541" i="3"/>
  <c r="L4542" i="3"/>
  <c r="L4543" i="3"/>
  <c r="L4544" i="3"/>
  <c r="L4545" i="3"/>
  <c r="L4546" i="3"/>
  <c r="L4547" i="3"/>
  <c r="L4548" i="3"/>
  <c r="L4549" i="3"/>
  <c r="L4550" i="3"/>
  <c r="L4551" i="3"/>
  <c r="L4552" i="3"/>
  <c r="L4553" i="3"/>
  <c r="L4554" i="3"/>
  <c r="L4555" i="3"/>
  <c r="L4556" i="3"/>
  <c r="L4557" i="3"/>
  <c r="L4558" i="3"/>
  <c r="L4559" i="3"/>
  <c r="L4560" i="3"/>
  <c r="L4561" i="3"/>
  <c r="L4562" i="3"/>
  <c r="L4563" i="3"/>
  <c r="L4564" i="3"/>
  <c r="L4565" i="3"/>
  <c r="L4566" i="3"/>
  <c r="L4567" i="3"/>
  <c r="L4568" i="3"/>
  <c r="L4569" i="3"/>
  <c r="L4570" i="3"/>
  <c r="L4571" i="3"/>
  <c r="L4572" i="3"/>
  <c r="L4573" i="3"/>
  <c r="L4574" i="3"/>
  <c r="L4575" i="3"/>
  <c r="L4576" i="3"/>
  <c r="L4577" i="3"/>
  <c r="L4578" i="3"/>
  <c r="L4579" i="3"/>
  <c r="L4580" i="3"/>
  <c r="L4581" i="3"/>
  <c r="L4582" i="3"/>
  <c r="L4583" i="3"/>
  <c r="L4584" i="3"/>
  <c r="L4585" i="3"/>
  <c r="L4586" i="3"/>
  <c r="L4587" i="3"/>
  <c r="L4588" i="3"/>
  <c r="L4589" i="3"/>
  <c r="L4590" i="3"/>
  <c r="L4591" i="3"/>
  <c r="L4592" i="3"/>
  <c r="L4593" i="3"/>
  <c r="L4594" i="3"/>
  <c r="L4595" i="3"/>
  <c r="L4596" i="3"/>
  <c r="L4597" i="3"/>
  <c r="L4598" i="3"/>
  <c r="L4599" i="3"/>
  <c r="L4600" i="3"/>
  <c r="L4601" i="3"/>
  <c r="L4602" i="3"/>
  <c r="L4603" i="3"/>
  <c r="L4604" i="3"/>
  <c r="L4605" i="3"/>
  <c r="L4606" i="3"/>
  <c r="L4607" i="3"/>
  <c r="L4608" i="3"/>
  <c r="L4609" i="3"/>
  <c r="L4610" i="3"/>
  <c r="L4611" i="3"/>
  <c r="L4612" i="3"/>
  <c r="L4613" i="3"/>
  <c r="L4614" i="3"/>
  <c r="L4615" i="3"/>
  <c r="L4616" i="3"/>
  <c r="L4617" i="3"/>
  <c r="L4618" i="3"/>
  <c r="L4619" i="3"/>
  <c r="L4620" i="3"/>
  <c r="L4621" i="3"/>
  <c r="L4622" i="3"/>
  <c r="L4623" i="3"/>
  <c r="L4624" i="3"/>
  <c r="L4625" i="3"/>
  <c r="L4626" i="3"/>
  <c r="L4627" i="3"/>
  <c r="L4628" i="3"/>
  <c r="L4629" i="3"/>
  <c r="L4630" i="3"/>
  <c r="L4631" i="3"/>
  <c r="L4632" i="3"/>
  <c r="L4633" i="3"/>
  <c r="L4634" i="3"/>
  <c r="L4635" i="3"/>
  <c r="L4636" i="3"/>
  <c r="L4637" i="3"/>
  <c r="L4638" i="3"/>
  <c r="L4639" i="3"/>
  <c r="L4640" i="3"/>
  <c r="L4641" i="3"/>
  <c r="L4642" i="3"/>
  <c r="L4643" i="3"/>
  <c r="L4644" i="3"/>
  <c r="L4645" i="3"/>
  <c r="L4646" i="3"/>
  <c r="L4647" i="3"/>
  <c r="L4648" i="3"/>
  <c r="L4649" i="3"/>
  <c r="L4650" i="3"/>
  <c r="L4651" i="3"/>
  <c r="L4652" i="3"/>
  <c r="L4653" i="3"/>
  <c r="L4654" i="3"/>
  <c r="L4655" i="3"/>
  <c r="L4656" i="3"/>
  <c r="L4657" i="3"/>
  <c r="L4658" i="3"/>
  <c r="L4659" i="3"/>
  <c r="L4660" i="3"/>
  <c r="L4661" i="3"/>
  <c r="L4662" i="3"/>
  <c r="L4663" i="3"/>
  <c r="L4664" i="3"/>
  <c r="L4665" i="3"/>
  <c r="L4666" i="3"/>
  <c r="L4667" i="3"/>
  <c r="L4668" i="3"/>
  <c r="L4669" i="3"/>
  <c r="L4670" i="3"/>
  <c r="L4671" i="3"/>
  <c r="L4672" i="3"/>
  <c r="L4673" i="3"/>
  <c r="L4674" i="3"/>
  <c r="L4675" i="3"/>
  <c r="L4676" i="3"/>
  <c r="L4677" i="3"/>
  <c r="L4678" i="3"/>
  <c r="L4679" i="3"/>
  <c r="L4680" i="3"/>
  <c r="L4681" i="3"/>
  <c r="L4682" i="3"/>
  <c r="L4683" i="3"/>
  <c r="L4684" i="3"/>
  <c r="L4685" i="3"/>
  <c r="L4686" i="3"/>
  <c r="L4687" i="3"/>
  <c r="L4688" i="3"/>
  <c r="L4689" i="3"/>
  <c r="L4690" i="3"/>
  <c r="L4691" i="3"/>
  <c r="L4692" i="3"/>
  <c r="L4693" i="3"/>
  <c r="L4694" i="3"/>
  <c r="L4695" i="3"/>
  <c r="L4696" i="3"/>
  <c r="L4697" i="3"/>
  <c r="L4698" i="3"/>
  <c r="L4699" i="3"/>
  <c r="L4700" i="3"/>
  <c r="L4701" i="3"/>
  <c r="L4702" i="3"/>
  <c r="L4703" i="3"/>
  <c r="L4704" i="3"/>
  <c r="L4705" i="3"/>
  <c r="L4706" i="3"/>
  <c r="L4707" i="3"/>
  <c r="L4708" i="3"/>
  <c r="L4709" i="3"/>
  <c r="L4710" i="3"/>
  <c r="L4711" i="3"/>
  <c r="L4712" i="3"/>
  <c r="L4713" i="3"/>
  <c r="L4714" i="3"/>
  <c r="L4715" i="3"/>
  <c r="L4716" i="3"/>
  <c r="L4717" i="3"/>
  <c r="L4718" i="3"/>
  <c r="L4719" i="3"/>
  <c r="L4720" i="3"/>
  <c r="L4721" i="3"/>
  <c r="L4722" i="3"/>
  <c r="L4723" i="3"/>
  <c r="L4724" i="3"/>
  <c r="L4725" i="3"/>
  <c r="L4726" i="3"/>
  <c r="L4727" i="3"/>
  <c r="L4728" i="3"/>
  <c r="L4729" i="3"/>
  <c r="L4730" i="3"/>
  <c r="L4731" i="3"/>
  <c r="L4732" i="3"/>
  <c r="L4733" i="3"/>
  <c r="L4734" i="3"/>
  <c r="L4735" i="3"/>
  <c r="L4736" i="3"/>
  <c r="L4737" i="3"/>
  <c r="L4738" i="3"/>
  <c r="L4739" i="3"/>
  <c r="L4740" i="3"/>
  <c r="L4741" i="3"/>
  <c r="L4742" i="3"/>
  <c r="L4743" i="3"/>
  <c r="L4744" i="3"/>
  <c r="L4745" i="3"/>
  <c r="L4746" i="3"/>
  <c r="L4747" i="3"/>
  <c r="L4748" i="3"/>
  <c r="L4749" i="3"/>
  <c r="L4750" i="3"/>
  <c r="L4751" i="3"/>
  <c r="L4752" i="3"/>
  <c r="L4753" i="3"/>
  <c r="L4754" i="3"/>
  <c r="L4755" i="3"/>
  <c r="L4756" i="3"/>
  <c r="L4757" i="3"/>
  <c r="L4758" i="3"/>
  <c r="L4759" i="3"/>
  <c r="L4760" i="3"/>
  <c r="L4761" i="3"/>
  <c r="L4762" i="3"/>
  <c r="L4763" i="3"/>
  <c r="L4764" i="3"/>
  <c r="L4765" i="3"/>
  <c r="L4766" i="3"/>
  <c r="L4767" i="3"/>
  <c r="L4768" i="3"/>
  <c r="L4769" i="3"/>
  <c r="L4770" i="3"/>
  <c r="L4771" i="3"/>
  <c r="L4772" i="3"/>
  <c r="L4773" i="3"/>
  <c r="L4774" i="3"/>
  <c r="L4775" i="3"/>
  <c r="L4776" i="3"/>
  <c r="L4777" i="3"/>
  <c r="L4778" i="3"/>
  <c r="L4779" i="3"/>
  <c r="L4780" i="3"/>
  <c r="L4781" i="3"/>
  <c r="L4782" i="3"/>
  <c r="L4783" i="3"/>
  <c r="L4784" i="3"/>
  <c r="L4785" i="3"/>
  <c r="L4786" i="3"/>
  <c r="L4787" i="3"/>
  <c r="L4788" i="3"/>
  <c r="L4789" i="3"/>
  <c r="L4790" i="3"/>
  <c r="L4791" i="3"/>
  <c r="L4792" i="3"/>
  <c r="L4793" i="3"/>
  <c r="L4794" i="3"/>
  <c r="L4795" i="3"/>
  <c r="L4796" i="3"/>
  <c r="L4797" i="3"/>
  <c r="L4798" i="3"/>
  <c r="L4799" i="3"/>
  <c r="L4800" i="3"/>
  <c r="L4801" i="3"/>
  <c r="L4802" i="3"/>
  <c r="L4803" i="3"/>
  <c r="L4804" i="3"/>
  <c r="L4805" i="3"/>
  <c r="L4806" i="3"/>
  <c r="L4807" i="3"/>
  <c r="L4808" i="3"/>
  <c r="L4809" i="3"/>
  <c r="L4810" i="3"/>
  <c r="L4811" i="3"/>
  <c r="L4812" i="3"/>
  <c r="L4813" i="3"/>
  <c r="L4814" i="3"/>
  <c r="L4815" i="3"/>
  <c r="L4816" i="3"/>
  <c r="L4817" i="3"/>
  <c r="L4818" i="3"/>
  <c r="L4819" i="3"/>
  <c r="L4820" i="3"/>
  <c r="L4821" i="3"/>
  <c r="L4822" i="3"/>
  <c r="L4823" i="3"/>
  <c r="L4824" i="3"/>
  <c r="L4825" i="3"/>
  <c r="L4826" i="3"/>
  <c r="L4827" i="3"/>
  <c r="L4828" i="3"/>
  <c r="L4829" i="3"/>
  <c r="L4830" i="3"/>
  <c r="L4831" i="3"/>
  <c r="L4832" i="3"/>
  <c r="L4833" i="3"/>
  <c r="L4834" i="3"/>
  <c r="L4835" i="3"/>
  <c r="L4836" i="3"/>
  <c r="L4837" i="3"/>
  <c r="L4838" i="3"/>
  <c r="L4839" i="3"/>
  <c r="L4840" i="3"/>
  <c r="L4841" i="3"/>
  <c r="L4842" i="3"/>
  <c r="L4843" i="3"/>
  <c r="L4844" i="3"/>
  <c r="L4845" i="3"/>
  <c r="L4846" i="3"/>
  <c r="L4847" i="3"/>
  <c r="L4848" i="3"/>
  <c r="L4849" i="3"/>
  <c r="L4850" i="3"/>
  <c r="L4851" i="3"/>
  <c r="L4852" i="3"/>
  <c r="L4853" i="3"/>
  <c r="L4854" i="3"/>
  <c r="L4855" i="3"/>
  <c r="L4856" i="3"/>
  <c r="L4857" i="3"/>
  <c r="L4858" i="3"/>
  <c r="L4859" i="3"/>
  <c r="L4860" i="3"/>
  <c r="L4861" i="3"/>
  <c r="L4862" i="3"/>
  <c r="L4863" i="3"/>
  <c r="L4864" i="3"/>
  <c r="L4865" i="3"/>
  <c r="L4866" i="3"/>
  <c r="L4867" i="3"/>
  <c r="L4868" i="3"/>
  <c r="L4869" i="3"/>
  <c r="L4870" i="3"/>
  <c r="L4871" i="3"/>
  <c r="L4872" i="3"/>
  <c r="L4873" i="3"/>
  <c r="L4874" i="3"/>
  <c r="L4875" i="3"/>
  <c r="L4876" i="3"/>
  <c r="L4877" i="3"/>
  <c r="L4878" i="3"/>
  <c r="L4879" i="3"/>
  <c r="L4880" i="3"/>
  <c r="L4881" i="3"/>
  <c r="L4882" i="3"/>
  <c r="L4883" i="3"/>
  <c r="L4884" i="3"/>
  <c r="L4885" i="3"/>
  <c r="L4886" i="3"/>
  <c r="L4887" i="3"/>
  <c r="L4888" i="3"/>
  <c r="L4889" i="3"/>
  <c r="L4890" i="3"/>
  <c r="L4891" i="3"/>
  <c r="L4892" i="3"/>
  <c r="L4893" i="3"/>
  <c r="L4894" i="3"/>
  <c r="L4895" i="3"/>
  <c r="L4896" i="3"/>
  <c r="L4897" i="3"/>
  <c r="L4898" i="3"/>
  <c r="L4899" i="3"/>
  <c r="L4900" i="3"/>
  <c r="L4901" i="3"/>
  <c r="L4902" i="3"/>
  <c r="L4903" i="3"/>
  <c r="L4904" i="3"/>
  <c r="L4905" i="3"/>
  <c r="L4906" i="3"/>
  <c r="L4907" i="3"/>
  <c r="L4908" i="3"/>
  <c r="L4909" i="3"/>
  <c r="L4910" i="3"/>
  <c r="L4911" i="3"/>
  <c r="L4912" i="3"/>
  <c r="L4913" i="3"/>
  <c r="L4914" i="3"/>
  <c r="L4915" i="3"/>
  <c r="L4916" i="3"/>
  <c r="L4917" i="3"/>
  <c r="L4918" i="3"/>
  <c r="L4919" i="3"/>
  <c r="L4920" i="3"/>
  <c r="L4921" i="3"/>
  <c r="L4922" i="3"/>
  <c r="L4923" i="3"/>
  <c r="L4924" i="3"/>
  <c r="L4925" i="3"/>
  <c r="L4926" i="3"/>
  <c r="L4927" i="3"/>
  <c r="L4928" i="3"/>
  <c r="L4929" i="3"/>
  <c r="L4930" i="3"/>
  <c r="L4931" i="3"/>
  <c r="L4932" i="3"/>
  <c r="L4933" i="3"/>
  <c r="L4934" i="3"/>
  <c r="L4935" i="3"/>
  <c r="L4936" i="3"/>
  <c r="L4937" i="3"/>
  <c r="L4938" i="3"/>
  <c r="L4939" i="3"/>
  <c r="L4940" i="3"/>
  <c r="L4941" i="3"/>
  <c r="L4942" i="3"/>
  <c r="L4943" i="3"/>
  <c r="L4944" i="3"/>
  <c r="L4945" i="3"/>
  <c r="L4946" i="3"/>
  <c r="L4947" i="3"/>
  <c r="L4948" i="3"/>
  <c r="L4949" i="3"/>
  <c r="L4950" i="3"/>
  <c r="L4951" i="3"/>
  <c r="L4952" i="3"/>
  <c r="L4953" i="3"/>
  <c r="L4954" i="3"/>
  <c r="L4955" i="3"/>
  <c r="L4956" i="3"/>
  <c r="L4957" i="3"/>
  <c r="L4958" i="3"/>
  <c r="L4959" i="3"/>
  <c r="L4960" i="3"/>
  <c r="L4961" i="3"/>
  <c r="L4962" i="3"/>
  <c r="L4963" i="3"/>
  <c r="L4964" i="3"/>
  <c r="L4965" i="3"/>
  <c r="L4966" i="3"/>
  <c r="L4967" i="3"/>
  <c r="L4968" i="3"/>
  <c r="L4969" i="3"/>
  <c r="L4970" i="3"/>
  <c r="L4971" i="3"/>
  <c r="L4972" i="3"/>
  <c r="L4973" i="3"/>
  <c r="L4974" i="3"/>
  <c r="L4975" i="3"/>
  <c r="L4976" i="3"/>
  <c r="L4977" i="3"/>
  <c r="L4978" i="3"/>
  <c r="L4979" i="3"/>
  <c r="L4980" i="3"/>
  <c r="L4981" i="3"/>
  <c r="L4982" i="3"/>
  <c r="L4983" i="3"/>
  <c r="L4984" i="3"/>
  <c r="L4985" i="3"/>
  <c r="L4986" i="3"/>
  <c r="L4987" i="3"/>
  <c r="L4988" i="3"/>
  <c r="L4989" i="3"/>
  <c r="L4990" i="3"/>
  <c r="L4991" i="3"/>
  <c r="L4992" i="3"/>
  <c r="L4993" i="3"/>
  <c r="L4994" i="3"/>
  <c r="L4995" i="3"/>
  <c r="L4996" i="3"/>
  <c r="L4997" i="3"/>
  <c r="L4998" i="3"/>
  <c r="L4999" i="3"/>
  <c r="L5000" i="3"/>
  <c r="L5001" i="3"/>
  <c r="L5002" i="3"/>
  <c r="L5003" i="3"/>
  <c r="L5004" i="3"/>
  <c r="L5005" i="3"/>
  <c r="L5006" i="3"/>
  <c r="L5007" i="3"/>
  <c r="L5008" i="3"/>
  <c r="L5009" i="3"/>
  <c r="L5010" i="3"/>
  <c r="L5011" i="3"/>
  <c r="L5012" i="3"/>
  <c r="L5013" i="3"/>
  <c r="L5014" i="3"/>
  <c r="L5015" i="3"/>
  <c r="L5016" i="3"/>
  <c r="L5017" i="3"/>
  <c r="L5018" i="3"/>
  <c r="L5019" i="3"/>
  <c r="L5020" i="3"/>
  <c r="L5021" i="3"/>
  <c r="L5022" i="3"/>
  <c r="L5023" i="3"/>
  <c r="L5024" i="3"/>
  <c r="L5025" i="3"/>
  <c r="L5026" i="3"/>
  <c r="L5027" i="3"/>
  <c r="L5028" i="3"/>
  <c r="L5029" i="3"/>
  <c r="L5030" i="3"/>
  <c r="L5031" i="3"/>
  <c r="L5032" i="3"/>
  <c r="L5033" i="3"/>
  <c r="L5034" i="3"/>
  <c r="L5035" i="3"/>
  <c r="L5036" i="3"/>
  <c r="L5037" i="3"/>
  <c r="L5038" i="3"/>
  <c r="L5039" i="3"/>
  <c r="L5040" i="3"/>
  <c r="L5041" i="3"/>
  <c r="L5042" i="3"/>
  <c r="L5043" i="3"/>
  <c r="L5044" i="3"/>
  <c r="L5045" i="3"/>
  <c r="L5046" i="3"/>
  <c r="L5047" i="3"/>
  <c r="L5048" i="3"/>
  <c r="L5049" i="3"/>
  <c r="L5050" i="3"/>
  <c r="L5051" i="3"/>
  <c r="L5052" i="3"/>
  <c r="L5053" i="3"/>
  <c r="L5054" i="3"/>
  <c r="L5055" i="3"/>
  <c r="L5056" i="3"/>
  <c r="L5057" i="3"/>
  <c r="L5058" i="3"/>
  <c r="L5059" i="3"/>
  <c r="L5060" i="3"/>
  <c r="L5061" i="3"/>
  <c r="L5062" i="3"/>
  <c r="L5063" i="3"/>
  <c r="L5064" i="3"/>
  <c r="L5065" i="3"/>
  <c r="L5066" i="3"/>
  <c r="L5067" i="3"/>
  <c r="L5068" i="3"/>
  <c r="L5069" i="3"/>
  <c r="L5070" i="3"/>
  <c r="L5071" i="3"/>
  <c r="L5072" i="3"/>
  <c r="L5073" i="3"/>
  <c r="L5074" i="3"/>
  <c r="L5075" i="3"/>
  <c r="L5076" i="3"/>
  <c r="L5077" i="3"/>
  <c r="L5078" i="3"/>
  <c r="L5079" i="3"/>
  <c r="L5080" i="3"/>
  <c r="L5081" i="3"/>
  <c r="L5082" i="3"/>
  <c r="L5083" i="3"/>
  <c r="L5084" i="3"/>
  <c r="L5085" i="3"/>
  <c r="L5086" i="3"/>
  <c r="L5087" i="3"/>
  <c r="L5088" i="3"/>
  <c r="L5089" i="3"/>
  <c r="L5090" i="3"/>
  <c r="L5091" i="3"/>
  <c r="L5092" i="3"/>
  <c r="L5093" i="3"/>
  <c r="L5094" i="3"/>
  <c r="L5095" i="3"/>
  <c r="L5096" i="3"/>
  <c r="L5097" i="3"/>
  <c r="L5098" i="3"/>
  <c r="L5099" i="3"/>
  <c r="L5100" i="3"/>
  <c r="L5101" i="3"/>
  <c r="L5102" i="3"/>
  <c r="L5103" i="3"/>
  <c r="L5104" i="3"/>
  <c r="L5105" i="3"/>
  <c r="L5106" i="3"/>
  <c r="L5107" i="3"/>
  <c r="L5108" i="3"/>
  <c r="L5109" i="3"/>
  <c r="L5110" i="3"/>
  <c r="L5111" i="3"/>
  <c r="L5112" i="3"/>
  <c r="L5113" i="3"/>
  <c r="L5114" i="3"/>
  <c r="L5115" i="3"/>
  <c r="L5116" i="3"/>
  <c r="L5117" i="3"/>
  <c r="L5118" i="3"/>
  <c r="L5119" i="3"/>
  <c r="L5120" i="3"/>
  <c r="L5121" i="3"/>
  <c r="L5122" i="3"/>
  <c r="L5123" i="3"/>
  <c r="L5124" i="3"/>
  <c r="L5125" i="3"/>
  <c r="L5126" i="3"/>
  <c r="L5127" i="3"/>
  <c r="L5128" i="3"/>
  <c r="L5129" i="3"/>
  <c r="L5130" i="3"/>
  <c r="L5131" i="3"/>
  <c r="L5132" i="3"/>
  <c r="L5133" i="3"/>
  <c r="L5134" i="3"/>
  <c r="L5135" i="3"/>
  <c r="L5136" i="3"/>
  <c r="L5137" i="3"/>
  <c r="L5138" i="3"/>
  <c r="L5139" i="3"/>
  <c r="L5140" i="3"/>
  <c r="L5141" i="3"/>
  <c r="L5142" i="3"/>
  <c r="L5143" i="3"/>
  <c r="L5144" i="3"/>
  <c r="L5145" i="3"/>
  <c r="L5146" i="3"/>
  <c r="L5147" i="3"/>
  <c r="L5148" i="3"/>
  <c r="L5149" i="3"/>
  <c r="L5150" i="3"/>
  <c r="L5151" i="3"/>
  <c r="L5152" i="3"/>
  <c r="L5153" i="3"/>
  <c r="L5154" i="3"/>
  <c r="L5155" i="3"/>
  <c r="L5156" i="3"/>
  <c r="L5157" i="3"/>
  <c r="L5158" i="3"/>
  <c r="L5159" i="3"/>
  <c r="L5160" i="3"/>
  <c r="L5161" i="3"/>
  <c r="L5162" i="3"/>
  <c r="L5163" i="3"/>
  <c r="L5164" i="3"/>
  <c r="L5165" i="3"/>
  <c r="L5166" i="3"/>
  <c r="L5167" i="3"/>
  <c r="L5168" i="3"/>
  <c r="L5169" i="3"/>
  <c r="L5170" i="3"/>
  <c r="L5171" i="3"/>
  <c r="L5172" i="3"/>
  <c r="L5173" i="3"/>
  <c r="L5174" i="3"/>
  <c r="L5175" i="3"/>
  <c r="L5176" i="3"/>
  <c r="L5177" i="3"/>
  <c r="L5178" i="3"/>
  <c r="L5179" i="3"/>
  <c r="L5180" i="3"/>
  <c r="L5181" i="3"/>
  <c r="L5182" i="3"/>
  <c r="L5183" i="3"/>
  <c r="L5184" i="3"/>
  <c r="L5185" i="3"/>
  <c r="L5186" i="3"/>
  <c r="L5187" i="3"/>
  <c r="L5188" i="3"/>
  <c r="L5189" i="3"/>
  <c r="L5190" i="3"/>
  <c r="L5191" i="3"/>
  <c r="L5192" i="3"/>
  <c r="L5193" i="3"/>
  <c r="L5194" i="3"/>
  <c r="L5195" i="3"/>
  <c r="L5196" i="3"/>
  <c r="L5197" i="3"/>
  <c r="L5198" i="3"/>
  <c r="L5199" i="3"/>
  <c r="L5200" i="3"/>
  <c r="L5201" i="3"/>
  <c r="L5202" i="3"/>
  <c r="L5203" i="3"/>
  <c r="L5204" i="3"/>
  <c r="L5205" i="3"/>
  <c r="L5206" i="3"/>
  <c r="L5207" i="3"/>
  <c r="L5208" i="3"/>
  <c r="L5209" i="3"/>
  <c r="L5210" i="3"/>
  <c r="L5211" i="3"/>
  <c r="L5212" i="3"/>
  <c r="L5213" i="3"/>
  <c r="L5214" i="3"/>
  <c r="L5215" i="3"/>
  <c r="L5216" i="3"/>
  <c r="L5217" i="3"/>
  <c r="L5218" i="3"/>
  <c r="L5219" i="3"/>
  <c r="L5220" i="3"/>
  <c r="L5221" i="3"/>
  <c r="L5222" i="3"/>
  <c r="L5223" i="3"/>
  <c r="L5224" i="3"/>
  <c r="L5225" i="3"/>
  <c r="L5226" i="3"/>
  <c r="L5227" i="3"/>
  <c r="L5228" i="3"/>
  <c r="L5229" i="3"/>
  <c r="L5230" i="3"/>
  <c r="L5231" i="3"/>
  <c r="L5232" i="3"/>
  <c r="L5233" i="3"/>
  <c r="L5234" i="3"/>
  <c r="L5235" i="3"/>
  <c r="L5236" i="3"/>
  <c r="L5237" i="3"/>
  <c r="L5238" i="3"/>
  <c r="L5239" i="3"/>
  <c r="L5240" i="3"/>
  <c r="L5241" i="3"/>
  <c r="L5242" i="3"/>
  <c r="L5243" i="3"/>
  <c r="L5244" i="3"/>
  <c r="L5245" i="3"/>
  <c r="L5246" i="3"/>
  <c r="L5247" i="3"/>
  <c r="L5248" i="3"/>
  <c r="L5249" i="3"/>
  <c r="L5250" i="3"/>
  <c r="L5251" i="3"/>
  <c r="L5252" i="3"/>
  <c r="L5253" i="3"/>
  <c r="L5254" i="3"/>
  <c r="L5255" i="3"/>
  <c r="L5256" i="3"/>
  <c r="L5257" i="3"/>
  <c r="L5258" i="3"/>
  <c r="L5259" i="3"/>
  <c r="L5260" i="3"/>
  <c r="L5261" i="3"/>
  <c r="L5262" i="3"/>
  <c r="L5263" i="3"/>
  <c r="L5264" i="3"/>
  <c r="L5265" i="3"/>
  <c r="L5266" i="3"/>
  <c r="L5267" i="3"/>
  <c r="L5268" i="3"/>
  <c r="L5269" i="3"/>
  <c r="L5270" i="3"/>
  <c r="L5271" i="3"/>
  <c r="L5272" i="3"/>
  <c r="L5273" i="3"/>
  <c r="L5274" i="3"/>
  <c r="L5275" i="3"/>
  <c r="L5276" i="3"/>
  <c r="L5277" i="3"/>
  <c r="L5278" i="3"/>
  <c r="L5279" i="3"/>
  <c r="L5280" i="3"/>
  <c r="L5281" i="3"/>
  <c r="L5282" i="3"/>
  <c r="L5283" i="3"/>
  <c r="L5284" i="3"/>
  <c r="L5285" i="3"/>
  <c r="L5286" i="3"/>
  <c r="L5287" i="3"/>
  <c r="L5288" i="3"/>
  <c r="L5289" i="3"/>
  <c r="L5290" i="3"/>
  <c r="L5291" i="3"/>
  <c r="L5292" i="3"/>
  <c r="L5293" i="3"/>
  <c r="L5294" i="3"/>
  <c r="L5295" i="3"/>
  <c r="L5296" i="3"/>
  <c r="L5297" i="3"/>
  <c r="L5298" i="3"/>
  <c r="L5299" i="3"/>
  <c r="L5300" i="3"/>
  <c r="L5301" i="3"/>
  <c r="L5302" i="3"/>
  <c r="L5303" i="3"/>
  <c r="L5304" i="3"/>
  <c r="L5305" i="3"/>
  <c r="L5306" i="3"/>
  <c r="L5307" i="3"/>
  <c r="L5308" i="3"/>
  <c r="L5309" i="3"/>
  <c r="L5310" i="3"/>
  <c r="L5311" i="3"/>
  <c r="L5312" i="3"/>
  <c r="L5313" i="3"/>
  <c r="L5314" i="3"/>
  <c r="L5315" i="3"/>
  <c r="L5316" i="3"/>
  <c r="L5317" i="3"/>
  <c r="L5318" i="3"/>
  <c r="L5319" i="3"/>
  <c r="L5320" i="3"/>
  <c r="L5321" i="3"/>
  <c r="L5322" i="3"/>
  <c r="L5323" i="3"/>
  <c r="L5324" i="3"/>
  <c r="L5325" i="3"/>
  <c r="L5326" i="3"/>
  <c r="L5327" i="3"/>
  <c r="L5328" i="3"/>
  <c r="L5329" i="3"/>
  <c r="L5330" i="3"/>
  <c r="L5331" i="3"/>
  <c r="L5332" i="3"/>
  <c r="L5333" i="3"/>
  <c r="L5334" i="3"/>
  <c r="L5335" i="3"/>
  <c r="L5336" i="3"/>
  <c r="L5337" i="3"/>
  <c r="L5338" i="3"/>
  <c r="L5339" i="3"/>
  <c r="L5340" i="3"/>
  <c r="L5341" i="3"/>
  <c r="L5342" i="3"/>
  <c r="L5343" i="3"/>
  <c r="L5344" i="3"/>
  <c r="L5345" i="3"/>
  <c r="L5346" i="3"/>
  <c r="L5347" i="3"/>
  <c r="L5348" i="3"/>
  <c r="L5349" i="3"/>
  <c r="L5350" i="3"/>
  <c r="L5351" i="3"/>
  <c r="L5352" i="3"/>
  <c r="L5353" i="3"/>
  <c r="L5354" i="3"/>
  <c r="L5355" i="3"/>
  <c r="L5356" i="3"/>
  <c r="L5357" i="3"/>
  <c r="L5358" i="3"/>
  <c r="L5359" i="3"/>
  <c r="L5360" i="3"/>
  <c r="L5361" i="3"/>
  <c r="L5362" i="3"/>
  <c r="L5363" i="3"/>
  <c r="L5364" i="3"/>
  <c r="L5365" i="3"/>
  <c r="L5366" i="3"/>
  <c r="L5367" i="3"/>
  <c r="L5368" i="3"/>
  <c r="L5369" i="3"/>
  <c r="L5370" i="3"/>
  <c r="L5371" i="3"/>
  <c r="L5372" i="3"/>
  <c r="L5373" i="3"/>
  <c r="L5374" i="3"/>
  <c r="L5375" i="3"/>
  <c r="L5376" i="3"/>
  <c r="L5377" i="3"/>
  <c r="L5378" i="3"/>
  <c r="L5379" i="3"/>
  <c r="L5380" i="3"/>
  <c r="L5381" i="3"/>
  <c r="L5382" i="3"/>
  <c r="L5383" i="3"/>
  <c r="L5384" i="3"/>
  <c r="L5385" i="3"/>
  <c r="L5386" i="3"/>
  <c r="L5387" i="3"/>
  <c r="L5388" i="3"/>
  <c r="L5389" i="3"/>
  <c r="L5390" i="3"/>
  <c r="L5391" i="3"/>
  <c r="L5392" i="3"/>
  <c r="L5393" i="3"/>
  <c r="L5394" i="3"/>
  <c r="L5395" i="3"/>
  <c r="L5396" i="3"/>
  <c r="L5397" i="3"/>
  <c r="L5398" i="3"/>
  <c r="L5399" i="3"/>
  <c r="L5400" i="3"/>
  <c r="L5401" i="3"/>
  <c r="L5402" i="3"/>
  <c r="L5403" i="3"/>
  <c r="L5404" i="3"/>
  <c r="L5405" i="3"/>
  <c r="L5406" i="3"/>
  <c r="L5407" i="3"/>
  <c r="L5408" i="3"/>
  <c r="L5409" i="3"/>
  <c r="L5410" i="3"/>
  <c r="L5411" i="3"/>
  <c r="L5412" i="3"/>
  <c r="L5413" i="3"/>
  <c r="L5414" i="3"/>
  <c r="L5415" i="3"/>
  <c r="L5416" i="3"/>
  <c r="L5417" i="3"/>
  <c r="L5418" i="3"/>
  <c r="L5419" i="3"/>
  <c r="L5420" i="3"/>
  <c r="L5421" i="3"/>
  <c r="L5422" i="3"/>
  <c r="L5423" i="3"/>
  <c r="L5424" i="3"/>
  <c r="L5425" i="3"/>
  <c r="L5426" i="3"/>
  <c r="L5427" i="3"/>
  <c r="L5428" i="3"/>
  <c r="L5429" i="3"/>
  <c r="L5430" i="3"/>
  <c r="L5431" i="3"/>
  <c r="L5432" i="3"/>
  <c r="L5433" i="3"/>
  <c r="L5434" i="3"/>
  <c r="L5435" i="3"/>
  <c r="L5436" i="3"/>
  <c r="L5437" i="3"/>
  <c r="L5438" i="3"/>
  <c r="L5439" i="3"/>
  <c r="L5440" i="3"/>
  <c r="L5441" i="3"/>
  <c r="L5442" i="3"/>
  <c r="L5443" i="3"/>
  <c r="L5444" i="3"/>
  <c r="L5445" i="3"/>
  <c r="L5446" i="3"/>
  <c r="L5447" i="3"/>
  <c r="L5448" i="3"/>
  <c r="L5449" i="3"/>
  <c r="L5450" i="3"/>
  <c r="L5451" i="3"/>
  <c r="L5452" i="3"/>
  <c r="L5453" i="3"/>
  <c r="L5454" i="3"/>
  <c r="L5455" i="3"/>
  <c r="L5456" i="3"/>
  <c r="L5457" i="3"/>
  <c r="L5458" i="3"/>
  <c r="L5459" i="3"/>
  <c r="L5460" i="3"/>
  <c r="L5461" i="3"/>
  <c r="L5462" i="3"/>
  <c r="L5463" i="3"/>
  <c r="L5464" i="3"/>
  <c r="L2" i="3"/>
  <c r="A2262" i="1" l="1"/>
  <c r="A2253" i="1"/>
  <c r="A2013" i="1"/>
  <c r="B3116" i="1" l="1"/>
  <c r="A3116" i="1"/>
  <c r="B3115" i="1"/>
  <c r="A3115" i="1"/>
  <c r="B3114" i="1"/>
  <c r="A3114" i="1"/>
  <c r="B3113" i="1"/>
  <c r="A3113" i="1"/>
  <c r="B3112" i="1"/>
  <c r="A3112" i="1"/>
  <c r="B3111" i="1"/>
  <c r="A3111" i="1"/>
  <c r="B3110" i="1"/>
  <c r="A3110" i="1"/>
  <c r="B3109" i="1"/>
  <c r="A3109" i="1"/>
  <c r="B3108" i="1"/>
  <c r="A3108" i="1"/>
  <c r="B3107" i="1"/>
  <c r="A3107" i="1"/>
  <c r="B3106" i="1"/>
  <c r="A3106" i="1"/>
  <c r="B3105" i="1"/>
  <c r="A3105" i="1"/>
  <c r="B3104" i="1"/>
  <c r="A3104" i="1"/>
  <c r="B3103" i="1"/>
  <c r="A3103" i="1"/>
  <c r="B3102" i="1"/>
  <c r="A3102" i="1"/>
  <c r="B3101" i="1"/>
  <c r="A3101" i="1"/>
  <c r="B3100" i="1"/>
  <c r="A3100" i="1"/>
  <c r="B3099" i="1"/>
  <c r="A3099" i="1"/>
  <c r="B3098" i="1"/>
  <c r="A3098" i="1"/>
  <c r="B3097" i="1"/>
  <c r="A3097" i="1"/>
  <c r="B3096" i="1"/>
  <c r="A3096" i="1"/>
  <c r="B3095" i="1"/>
  <c r="A3095" i="1"/>
  <c r="B3094" i="1"/>
  <c r="A3094" i="1"/>
  <c r="B3093" i="1"/>
  <c r="A3093" i="1"/>
  <c r="B3092" i="1"/>
  <c r="A3092" i="1"/>
  <c r="B3091" i="1"/>
  <c r="A3091" i="1"/>
  <c r="B3090" i="1"/>
  <c r="A3090" i="1"/>
  <c r="B3089" i="1" l="1"/>
  <c r="A3089" i="1"/>
  <c r="B3088" i="1"/>
  <c r="A3088" i="1"/>
  <c r="B3087" i="1"/>
  <c r="A3087" i="1"/>
  <c r="B3086" i="1"/>
  <c r="A3086" i="1"/>
  <c r="B3085" i="1"/>
  <c r="A3085" i="1"/>
  <c r="B3084" i="1"/>
  <c r="A3084" i="1"/>
  <c r="B3083" i="1"/>
  <c r="A3083" i="1"/>
  <c r="B3082" i="1"/>
  <c r="A3082" i="1"/>
  <c r="B3081" i="1"/>
  <c r="A3081" i="1"/>
  <c r="B3080" i="1"/>
  <c r="A3080" i="1"/>
  <c r="B3079" i="1"/>
  <c r="A3079" i="1"/>
  <c r="B3078" i="1"/>
  <c r="A3078" i="1"/>
  <c r="B3077" i="1"/>
  <c r="A3077" i="1"/>
  <c r="B3076" i="1"/>
  <c r="A3076" i="1"/>
  <c r="B3075" i="1"/>
  <c r="A3075" i="1"/>
  <c r="B3074" i="1"/>
  <c r="A3074" i="1"/>
  <c r="B3073" i="1"/>
  <c r="A3073" i="1"/>
  <c r="B3072" i="1"/>
  <c r="A3072" i="1"/>
  <c r="B3071" i="1"/>
  <c r="A3071" i="1"/>
  <c r="B3070" i="1"/>
  <c r="A3070" i="1"/>
  <c r="B3069" i="1"/>
  <c r="A3069" i="1"/>
  <c r="B3068" i="1"/>
  <c r="A3068" i="1"/>
  <c r="B3067" i="1"/>
  <c r="A3067" i="1"/>
  <c r="B3066" i="1"/>
  <c r="A3066" i="1"/>
  <c r="B3065" i="1"/>
  <c r="A3065" i="1"/>
  <c r="B3064" i="1"/>
  <c r="A3064" i="1"/>
  <c r="B3063" i="1"/>
  <c r="A3063" i="1"/>
  <c r="B3062" i="1"/>
  <c r="A3062" i="1"/>
  <c r="B3061" i="1"/>
  <c r="A3061" i="1"/>
  <c r="B3060" i="1"/>
  <c r="A3060" i="1"/>
  <c r="B3059" i="1"/>
  <c r="A3059" i="1"/>
  <c r="B3058" i="1"/>
  <c r="A3058" i="1"/>
  <c r="B3057" i="1"/>
  <c r="A3057" i="1"/>
  <c r="B3056" i="1"/>
  <c r="A3056" i="1"/>
  <c r="B3055" i="1"/>
  <c r="A3055" i="1"/>
  <c r="B3054" i="1"/>
  <c r="A3054" i="1"/>
  <c r="B3053" i="1"/>
  <c r="A3053" i="1"/>
  <c r="B3052" i="1"/>
  <c r="A3052" i="1"/>
  <c r="B3051" i="1"/>
  <c r="A3051" i="1"/>
  <c r="B3050" i="1"/>
  <c r="A3050" i="1"/>
  <c r="B3049" i="1"/>
  <c r="A3049" i="1"/>
  <c r="B3048" i="1"/>
  <c r="A3048" i="1"/>
  <c r="B3047" i="1"/>
  <c r="A3047" i="1"/>
  <c r="B3046" i="1"/>
  <c r="A3046" i="1"/>
  <c r="B3045" i="1"/>
  <c r="A3045" i="1"/>
  <c r="B3044" i="1"/>
  <c r="A3044" i="1"/>
  <c r="B3043" i="1"/>
  <c r="A3043" i="1"/>
  <c r="B3042" i="1"/>
  <c r="A3042" i="1"/>
  <c r="A572" i="1" l="1"/>
  <c r="B2431" i="1" l="1"/>
  <c r="B2430" i="1"/>
  <c r="B2429" i="1"/>
  <c r="B2428" i="1"/>
  <c r="B2427" i="1"/>
  <c r="B2426" i="1"/>
  <c r="B2425" i="1"/>
  <c r="B2424" i="1"/>
  <c r="B2423" i="1"/>
  <c r="B2422" i="1"/>
  <c r="B2421" i="1"/>
  <c r="A2431" i="1"/>
  <c r="A2430" i="1"/>
  <c r="A2429" i="1"/>
  <c r="A2428" i="1"/>
  <c r="A2427" i="1"/>
  <c r="A2426" i="1"/>
  <c r="A2425" i="1"/>
  <c r="A2424" i="1"/>
  <c r="A2423" i="1"/>
  <c r="A2422" i="1"/>
  <c r="A2421" i="1"/>
  <c r="B2420" i="1" l="1"/>
  <c r="B2419" i="1"/>
  <c r="B2418" i="1"/>
  <c r="B2417" i="1"/>
  <c r="B2416" i="1"/>
  <c r="B2415" i="1"/>
  <c r="B2414" i="1"/>
  <c r="B2413" i="1"/>
  <c r="B2412" i="1"/>
  <c r="B2411" i="1"/>
  <c r="B2410" i="1"/>
  <c r="B2409" i="1"/>
  <c r="A2420" i="1"/>
  <c r="A2419" i="1"/>
  <c r="A2418" i="1"/>
  <c r="A2417" i="1"/>
  <c r="A2416" i="1"/>
  <c r="A2415" i="1"/>
  <c r="A2414" i="1"/>
  <c r="A2413" i="1"/>
  <c r="A2412" i="1"/>
  <c r="A2411" i="1"/>
  <c r="A2410" i="1"/>
  <c r="A2409" i="1"/>
  <c r="B2271" i="1"/>
  <c r="B2270" i="1"/>
  <c r="B2269" i="1"/>
  <c r="B2268" i="1"/>
  <c r="B2267" i="1"/>
  <c r="B2266" i="1"/>
  <c r="B2265" i="1"/>
  <c r="B2264" i="1"/>
  <c r="B2263" i="1"/>
  <c r="B2262" i="1"/>
  <c r="B2261" i="1"/>
  <c r="B2260" i="1"/>
  <c r="B2259" i="1"/>
  <c r="B2258" i="1"/>
  <c r="B2257" i="1"/>
  <c r="B2256" i="1"/>
  <c r="B2255" i="1"/>
  <c r="B2254" i="1"/>
  <c r="B2253" i="1"/>
  <c r="A2271" i="1"/>
  <c r="A2270" i="1"/>
  <c r="A2269" i="1"/>
  <c r="A2268" i="1"/>
  <c r="A2267" i="1"/>
  <c r="A2266" i="1"/>
  <c r="A2265" i="1"/>
  <c r="A2264" i="1"/>
  <c r="A2263" i="1"/>
  <c r="A2261" i="1"/>
  <c r="A2260" i="1"/>
  <c r="A2259" i="1"/>
  <c r="A2258" i="1"/>
  <c r="A2257" i="1"/>
  <c r="A2256" i="1"/>
  <c r="A2255" i="1"/>
  <c r="B2078" i="1"/>
  <c r="B2077" i="1"/>
  <c r="B2076" i="1"/>
  <c r="B2075" i="1"/>
  <c r="B2074" i="1"/>
  <c r="B2073" i="1"/>
  <c r="B2072" i="1"/>
  <c r="B2071" i="1"/>
  <c r="B2070" i="1"/>
  <c r="B2069" i="1"/>
  <c r="B2068" i="1"/>
  <c r="B2067" i="1"/>
  <c r="B2066" i="1"/>
  <c r="B2065" i="1"/>
  <c r="B2064" i="1"/>
  <c r="B2063" i="1"/>
  <c r="B2062" i="1"/>
  <c r="B2061" i="1"/>
  <c r="B2060" i="1"/>
  <c r="B2059" i="1"/>
  <c r="B2058" i="1"/>
  <c r="B2057" i="1"/>
  <c r="B2056" i="1"/>
  <c r="B2055" i="1"/>
  <c r="B2054" i="1"/>
  <c r="B2053" i="1"/>
  <c r="B2052" i="1"/>
  <c r="B2051" i="1"/>
  <c r="B2050" i="1"/>
  <c r="B2049" i="1"/>
  <c r="B2048" i="1"/>
  <c r="B2047" i="1"/>
  <c r="B2046" i="1"/>
  <c r="B2045" i="1"/>
  <c r="B2044" i="1"/>
  <c r="B2043" i="1"/>
  <c r="B2042" i="1"/>
  <c r="B2041" i="1"/>
  <c r="B2040" i="1"/>
  <c r="B2039" i="1"/>
  <c r="B2038" i="1"/>
  <c r="B2037" i="1"/>
  <c r="B2036" i="1"/>
  <c r="B2035" i="1"/>
  <c r="B2034" i="1"/>
  <c r="B2033" i="1"/>
  <c r="B2032" i="1"/>
  <c r="B2031" i="1"/>
  <c r="B2030" i="1"/>
  <c r="B2029" i="1"/>
  <c r="B2028" i="1"/>
  <c r="B2027" i="1"/>
  <c r="B2026" i="1"/>
  <c r="B2025" i="1"/>
  <c r="B2024" i="1"/>
  <c r="B2023" i="1"/>
  <c r="B2022" i="1"/>
  <c r="B2021" i="1"/>
  <c r="B2020" i="1"/>
  <c r="B2019" i="1"/>
  <c r="B2018" i="1"/>
  <c r="B2017" i="1"/>
  <c r="B2016" i="1"/>
  <c r="B2015" i="1"/>
  <c r="B2014" i="1"/>
  <c r="B2013" i="1"/>
  <c r="B2012" i="1"/>
  <c r="B2011" i="1"/>
  <c r="B2010" i="1"/>
  <c r="B2009" i="1"/>
  <c r="B2008" i="1"/>
  <c r="B2007" i="1"/>
  <c r="B2006" i="1"/>
  <c r="B2005" i="1"/>
  <c r="B2004" i="1"/>
  <c r="B2003" i="1"/>
  <c r="B2002" i="1"/>
  <c r="B2001" i="1"/>
  <c r="B2000" i="1"/>
  <c r="A2078" i="1"/>
  <c r="A2077" i="1"/>
  <c r="A2076" i="1"/>
  <c r="A2075" i="1"/>
  <c r="A2074" i="1"/>
  <c r="A2073" i="1"/>
  <c r="A2072" i="1"/>
  <c r="A2071" i="1"/>
  <c r="A2070" i="1"/>
  <c r="A2069" i="1"/>
  <c r="A2068" i="1"/>
  <c r="A2067" i="1"/>
  <c r="A2066" i="1"/>
  <c r="A2065" i="1"/>
  <c r="A2064" i="1"/>
  <c r="A2063" i="1"/>
  <c r="A2062" i="1"/>
  <c r="A2061" i="1"/>
  <c r="A2060" i="1"/>
  <c r="A2059" i="1"/>
  <c r="A2058" i="1"/>
  <c r="A2057" i="1"/>
  <c r="A2056" i="1"/>
  <c r="A2055" i="1"/>
  <c r="A2054" i="1"/>
  <c r="A2053" i="1"/>
  <c r="A2052" i="1"/>
  <c r="A2051" i="1"/>
  <c r="A2050" i="1"/>
  <c r="A2049" i="1"/>
  <c r="A2048" i="1"/>
  <c r="A2047" i="1"/>
  <c r="A2046" i="1"/>
  <c r="A2045" i="1"/>
  <c r="A2044" i="1"/>
  <c r="A2043" i="1"/>
  <c r="A2042" i="1"/>
  <c r="A2041" i="1"/>
  <c r="A2040" i="1"/>
  <c r="A2039" i="1"/>
  <c r="A2038" i="1"/>
  <c r="A2037" i="1"/>
  <c r="A2036" i="1"/>
  <c r="A2035" i="1"/>
  <c r="A2034" i="1"/>
  <c r="A2033" i="1"/>
  <c r="A2032" i="1"/>
  <c r="A2031" i="1"/>
  <c r="A2030" i="1"/>
  <c r="A2029" i="1"/>
  <c r="A2028" i="1"/>
  <c r="A2027" i="1"/>
  <c r="A2026" i="1"/>
  <c r="A2025" i="1"/>
  <c r="A2024" i="1"/>
  <c r="A2023" i="1"/>
  <c r="A2022" i="1"/>
  <c r="A2021" i="1"/>
  <c r="A2020" i="1"/>
  <c r="A2019" i="1"/>
  <c r="A2018" i="1"/>
  <c r="A2017" i="1"/>
  <c r="A2016" i="1"/>
  <c r="A2015" i="1"/>
  <c r="A2014" i="1"/>
  <c r="A2012" i="1"/>
  <c r="A2011" i="1"/>
  <c r="A2010" i="1"/>
  <c r="A2008" i="1"/>
  <c r="A2007" i="1"/>
  <c r="A2006" i="1"/>
  <c r="A2005" i="1"/>
  <c r="A2004" i="1"/>
  <c r="A2003" i="1"/>
  <c r="A2002" i="1"/>
  <c r="A2001" i="1"/>
  <c r="A2000" i="1"/>
  <c r="B788" i="1" l="1"/>
  <c r="B787" i="1"/>
  <c r="B786" i="1"/>
  <c r="B785" i="1"/>
  <c r="B784" i="1"/>
  <c r="B783" i="1"/>
  <c r="B782" i="1"/>
  <c r="B781" i="1"/>
  <c r="B780" i="1"/>
  <c r="B779" i="1"/>
  <c r="B778" i="1"/>
  <c r="B777" i="1"/>
  <c r="B776" i="1"/>
  <c r="B775" i="1"/>
  <c r="B774" i="1"/>
  <c r="B773" i="1"/>
  <c r="B772" i="1"/>
  <c r="B771" i="1"/>
  <c r="B770" i="1"/>
  <c r="B769" i="1"/>
  <c r="B768" i="1"/>
  <c r="B767" i="1"/>
  <c r="B766" i="1"/>
  <c r="B765" i="1"/>
  <c r="B764" i="1"/>
  <c r="B763" i="1"/>
  <c r="B762" i="1"/>
  <c r="B761" i="1"/>
  <c r="B760" i="1"/>
  <c r="B759" i="1"/>
  <c r="B758" i="1"/>
  <c r="B757" i="1"/>
  <c r="B756" i="1"/>
  <c r="B755" i="1"/>
  <c r="B754" i="1"/>
  <c r="B753" i="1"/>
  <c r="B752" i="1"/>
  <c r="B751" i="1"/>
  <c r="B750" i="1"/>
  <c r="B749" i="1"/>
  <c r="B748" i="1"/>
  <c r="B747" i="1"/>
  <c r="B746" i="1"/>
  <c r="B745" i="1"/>
  <c r="B744" i="1"/>
  <c r="B743" i="1"/>
  <c r="B742" i="1"/>
  <c r="B741" i="1"/>
  <c r="B740" i="1"/>
  <c r="B739" i="1"/>
  <c r="B738" i="1"/>
  <c r="B737" i="1"/>
  <c r="B736" i="1"/>
  <c r="B735" i="1"/>
  <c r="B734" i="1"/>
  <c r="B733" i="1"/>
  <c r="B732" i="1"/>
  <c r="B731" i="1"/>
  <c r="B730" i="1"/>
  <c r="B729" i="1"/>
  <c r="B728" i="1"/>
  <c r="B727" i="1"/>
  <c r="B726" i="1"/>
  <c r="B725" i="1"/>
  <c r="B724" i="1"/>
  <c r="B723" i="1"/>
  <c r="B722" i="1"/>
  <c r="B721" i="1"/>
  <c r="B720" i="1"/>
  <c r="B719" i="1"/>
  <c r="B718" i="1"/>
  <c r="B717" i="1"/>
  <c r="D611" i="1" l="1"/>
  <c r="D610" i="1"/>
  <c r="D609" i="1"/>
  <c r="D608" i="1"/>
  <c r="D607" i="1"/>
  <c r="D599" i="1"/>
  <c r="D598" i="1"/>
  <c r="D597" i="1"/>
  <c r="D596" i="1"/>
  <c r="D595" i="1"/>
  <c r="D594" i="1"/>
  <c r="D593" i="1"/>
  <c r="D592" i="1"/>
  <c r="D591" i="1"/>
  <c r="D590" i="1"/>
  <c r="D589" i="1"/>
  <c r="D588" i="1"/>
  <c r="D587" i="1"/>
  <c r="D586" i="1"/>
  <c r="D585" i="1"/>
  <c r="D584" i="1"/>
  <c r="D583" i="1"/>
  <c r="D582" i="1"/>
  <c r="D581" i="1"/>
  <c r="D580" i="1"/>
  <c r="D579" i="1"/>
  <c r="D578" i="1"/>
  <c r="D577" i="1"/>
  <c r="D576" i="1"/>
  <c r="D575" i="1"/>
  <c r="D574" i="1"/>
  <c r="B611" i="1"/>
  <c r="B610" i="1"/>
  <c r="B609" i="1"/>
  <c r="B608" i="1"/>
  <c r="B607" i="1"/>
  <c r="B599" i="1"/>
  <c r="B598" i="1"/>
  <c r="B597" i="1"/>
  <c r="B596" i="1"/>
  <c r="B595" i="1"/>
  <c r="B594" i="1"/>
  <c r="B593" i="1"/>
  <c r="B592" i="1"/>
  <c r="B591" i="1"/>
  <c r="B590" i="1"/>
  <c r="B589" i="1"/>
  <c r="B588" i="1"/>
  <c r="B587" i="1"/>
  <c r="B586" i="1"/>
  <c r="B585" i="1"/>
  <c r="B584" i="1"/>
  <c r="B583" i="1"/>
  <c r="B582" i="1"/>
  <c r="B581" i="1"/>
  <c r="B580" i="1"/>
  <c r="B579" i="1"/>
  <c r="B578" i="1"/>
  <c r="B577" i="1"/>
  <c r="B576" i="1"/>
  <c r="B575" i="1"/>
  <c r="B574" i="1"/>
  <c r="A611" i="1"/>
  <c r="A610" i="1"/>
  <c r="A609" i="1"/>
  <c r="A608" i="1"/>
  <c r="A607" i="1"/>
  <c r="A599" i="1"/>
  <c r="A598" i="1"/>
  <c r="A597" i="1"/>
  <c r="A596" i="1"/>
  <c r="A595" i="1"/>
  <c r="A594" i="1"/>
  <c r="A593" i="1"/>
  <c r="A592" i="1"/>
  <c r="A591" i="1"/>
  <c r="A590" i="1"/>
  <c r="A589" i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E573" i="1"/>
  <c r="E2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D572" i="1"/>
  <c r="E572" i="1" s="1"/>
  <c r="B572" i="1"/>
</calcChain>
</file>

<file path=xl/comments1.xml><?xml version="1.0" encoding="utf-8"?>
<comments xmlns="http://schemas.openxmlformats.org/spreadsheetml/2006/main">
  <authors>
    <author>rahman soheyli</author>
  </authors>
  <commentList>
    <comment ref="C906" authorId="0" shapeId="0">
      <text>
        <r>
          <rPr>
            <b/>
            <sz val="9"/>
            <color indexed="81"/>
            <rFont val="Tahoma"/>
            <family val="2"/>
          </rPr>
          <t>rahman soheyli:</t>
        </r>
        <r>
          <rPr>
            <sz val="9"/>
            <color indexed="81"/>
            <rFont val="Tahoma"/>
            <family val="2"/>
          </rPr>
          <t xml:space="preserve">
951500374</t>
        </r>
      </text>
    </comment>
  </commentList>
</comments>
</file>

<file path=xl/comments2.xml><?xml version="1.0" encoding="utf-8"?>
<comments xmlns="http://schemas.openxmlformats.org/spreadsheetml/2006/main">
  <authors>
    <author>norouzinejad</author>
    <author>rahman soheyli</author>
  </authors>
  <commentList>
    <comment ref="A2721" authorId="0" shapeId="0">
      <text>
        <r>
          <rPr>
            <b/>
            <sz val="9"/>
            <color indexed="81"/>
            <rFont val="Tahoma"/>
            <family val="2"/>
          </rPr>
          <t>norouzinejad</t>
        </r>
      </text>
    </comment>
    <comment ref="A10374" authorId="1" shapeId="0">
      <text>
        <r>
          <rPr>
            <b/>
            <sz val="9"/>
            <color indexed="81"/>
            <rFont val="Tahoma"/>
            <family val="2"/>
          </rPr>
          <t>rahman soheyli:</t>
        </r>
        <r>
          <rPr>
            <sz val="9"/>
            <color indexed="81"/>
            <rFont val="Tahoma"/>
            <family val="2"/>
          </rPr>
          <t xml:space="preserve">
951500374</t>
        </r>
      </text>
    </comment>
    <comment ref="A10809" authorId="1" shapeId="0">
      <text>
        <r>
          <rPr>
            <b/>
            <sz val="9"/>
            <color indexed="81"/>
            <rFont val="Tahoma"/>
            <family val="2"/>
          </rPr>
          <t>rahman soheyli:</t>
        </r>
        <r>
          <rPr>
            <sz val="9"/>
            <color indexed="81"/>
            <rFont val="Tahoma"/>
            <family val="2"/>
          </rPr>
          <t xml:space="preserve">
951500374</t>
        </r>
      </text>
    </comment>
  </commentList>
</comments>
</file>

<file path=xl/sharedStrings.xml><?xml version="1.0" encoding="utf-8"?>
<sst xmlns="http://schemas.openxmlformats.org/spreadsheetml/2006/main" count="147148" uniqueCount="14453">
  <si>
    <t>شماره پروانه</t>
  </si>
  <si>
    <t>تاریخ پروانه</t>
  </si>
  <si>
    <t>شماره حواله</t>
  </si>
  <si>
    <t>تاریخ حواله</t>
  </si>
  <si>
    <t>سال حواله</t>
  </si>
  <si>
    <t>مقدار</t>
  </si>
  <si>
    <t>91-50256</t>
  </si>
  <si>
    <t>91-50257</t>
  </si>
  <si>
    <t>91-50258</t>
  </si>
  <si>
    <t>91-50259</t>
  </si>
  <si>
    <t>91-50260</t>
  </si>
  <si>
    <t>91-50261</t>
  </si>
  <si>
    <t>91-50262</t>
  </si>
  <si>
    <t>91-50263</t>
  </si>
  <si>
    <t>91-50264</t>
  </si>
  <si>
    <t>91-50265</t>
  </si>
  <si>
    <t>91-50417</t>
  </si>
  <si>
    <t>91-50390</t>
  </si>
  <si>
    <t>91-50490</t>
  </si>
  <si>
    <t>92-50219</t>
  </si>
  <si>
    <t>92-50031</t>
  </si>
  <si>
    <t>92-50284</t>
  </si>
  <si>
    <t>91-50245</t>
  </si>
  <si>
    <t>91-50342</t>
  </si>
  <si>
    <t>92-50028</t>
  </si>
  <si>
    <t>92-50065</t>
  </si>
  <si>
    <t>91-50283</t>
  </si>
  <si>
    <t>91-50373</t>
  </si>
  <si>
    <t>91-50206</t>
  </si>
  <si>
    <t>91-50492</t>
  </si>
  <si>
    <t>91-50439</t>
  </si>
  <si>
    <t>92-50003</t>
  </si>
  <si>
    <t>92-50018</t>
  </si>
  <si>
    <t>92-50030</t>
  </si>
  <si>
    <t>92-50021</t>
  </si>
  <si>
    <t>92-50014</t>
  </si>
  <si>
    <t>92-50011</t>
  </si>
  <si>
    <t>92-50063</t>
  </si>
  <si>
    <t>92-50073</t>
  </si>
  <si>
    <t>92-50085</t>
  </si>
  <si>
    <t>92-50084</t>
  </si>
  <si>
    <t>92-50100</t>
  </si>
  <si>
    <t>92-50094</t>
  </si>
  <si>
    <t>92-50047</t>
  </si>
  <si>
    <t>92-50149</t>
  </si>
  <si>
    <t>92-50145</t>
  </si>
  <si>
    <t>92-50227</t>
  </si>
  <si>
    <t>92-50207</t>
  </si>
  <si>
    <t>92-50026</t>
  </si>
  <si>
    <t>92-50056</t>
  </si>
  <si>
    <t>92-50169</t>
  </si>
  <si>
    <t>92-50040</t>
  </si>
  <si>
    <t>92-50199</t>
  </si>
  <si>
    <t>92-50172</t>
  </si>
  <si>
    <t>92-50105</t>
  </si>
  <si>
    <t>92-50235</t>
  </si>
  <si>
    <t>92-50236</t>
  </si>
  <si>
    <t>92-50283</t>
  </si>
  <si>
    <t>92-50252</t>
  </si>
  <si>
    <t>92-50263</t>
  </si>
  <si>
    <t>92-50106</t>
  </si>
  <si>
    <t>92-50271</t>
  </si>
  <si>
    <t>92-50176</t>
  </si>
  <si>
    <t>92-50118</t>
  </si>
  <si>
    <t>92-50333</t>
  </si>
  <si>
    <t>92-50144</t>
  </si>
  <si>
    <t>92-50129</t>
  </si>
  <si>
    <t>92-50163</t>
  </si>
  <si>
    <t>91-50050</t>
  </si>
  <si>
    <t>91-50238</t>
  </si>
  <si>
    <t>91-50316</t>
  </si>
  <si>
    <t>91-50090</t>
  </si>
  <si>
    <t>91-50246</t>
  </si>
  <si>
    <t>91-50340</t>
  </si>
  <si>
    <t>91-50396</t>
  </si>
  <si>
    <t>91-50324</t>
  </si>
  <si>
    <t>91-50315</t>
  </si>
  <si>
    <t>91-50343</t>
  </si>
  <si>
    <t>91-50345</t>
  </si>
  <si>
    <t>91-50355</t>
  </si>
  <si>
    <t>91-50387</t>
  </si>
  <si>
    <t>91-50386</t>
  </si>
  <si>
    <t>91-50358</t>
  </si>
  <si>
    <t>91-50284</t>
  </si>
  <si>
    <t>91-50415</t>
  </si>
  <si>
    <t>91-50361</t>
  </si>
  <si>
    <t>91-50514</t>
  </si>
  <si>
    <t>91-50513</t>
  </si>
  <si>
    <t>91-50411</t>
  </si>
  <si>
    <t>91-50412</t>
  </si>
  <si>
    <t>91-50497</t>
  </si>
  <si>
    <t>91-50416</t>
  </si>
  <si>
    <t>91-50494</t>
  </si>
  <si>
    <t>91-50461</t>
  </si>
  <si>
    <t>91-50362</t>
  </si>
  <si>
    <t>91-50375</t>
  </si>
  <si>
    <t>91-50409</t>
  </si>
  <si>
    <t>91-50443</t>
  </si>
  <si>
    <t>91-50383</t>
  </si>
  <si>
    <t>92-50009</t>
  </si>
  <si>
    <t>92-50007</t>
  </si>
  <si>
    <t>91-50487</t>
  </si>
  <si>
    <t>91-50437</t>
  </si>
  <si>
    <t>92-50008</t>
  </si>
  <si>
    <t>92-50061</t>
  </si>
  <si>
    <t>92-50029</t>
  </si>
  <si>
    <t>91-50517</t>
  </si>
  <si>
    <t>91-50488</t>
  </si>
  <si>
    <t>92-50005</t>
  </si>
  <si>
    <t>92-50108</t>
  </si>
  <si>
    <t>92-50086</t>
  </si>
  <si>
    <t>91-50473</t>
  </si>
  <si>
    <t>92-50075</t>
  </si>
  <si>
    <t>92-50045</t>
  </si>
  <si>
    <t>92-50077</t>
  </si>
  <si>
    <t>92-50095</t>
  </si>
  <si>
    <t>92-50059</t>
  </si>
  <si>
    <t>92-50189</t>
  </si>
  <si>
    <t>92-50240</t>
  </si>
  <si>
    <t>92-50147</t>
  </si>
  <si>
    <t>92-50228</t>
  </si>
  <si>
    <t>91-50511</t>
  </si>
  <si>
    <t>91-50414</t>
  </si>
  <si>
    <t>91-50334</t>
  </si>
  <si>
    <t>92-50025</t>
  </si>
  <si>
    <t>92-50037</t>
  </si>
  <si>
    <t>92-50046</t>
  </si>
  <si>
    <t>92-50039</t>
  </si>
  <si>
    <t>92-50038</t>
  </si>
  <si>
    <t>92-50071</t>
  </si>
  <si>
    <t>92-50072</t>
  </si>
  <si>
    <t>92-50074</t>
  </si>
  <si>
    <t>92-50043</t>
  </si>
  <si>
    <t>92-50050</t>
  </si>
  <si>
    <t>92-50052</t>
  </si>
  <si>
    <t>92-50133</t>
  </si>
  <si>
    <t>92-50140</t>
  </si>
  <si>
    <t>92-50134</t>
  </si>
  <si>
    <t>92-50151</t>
  </si>
  <si>
    <t>92-50115</t>
  </si>
  <si>
    <t>92-50155</t>
  </si>
  <si>
    <t>92-50182</t>
  </si>
  <si>
    <t>92-50174</t>
  </si>
  <si>
    <t>92-50148</t>
  </si>
  <si>
    <t>92-50177</t>
  </si>
  <si>
    <t>92-50119</t>
  </si>
  <si>
    <t>92-50098</t>
  </si>
  <si>
    <t>92-50194</t>
  </si>
  <si>
    <t>92-50196</t>
  </si>
  <si>
    <t>92-50195</t>
  </si>
  <si>
    <t>92-50197</t>
  </si>
  <si>
    <t>92-50198</t>
  </si>
  <si>
    <t>92-50187</t>
  </si>
  <si>
    <t>92-50113</t>
  </si>
  <si>
    <t>92-50173</t>
  </si>
  <si>
    <t>92-50166</t>
  </si>
  <si>
    <t>92-50083</t>
  </si>
  <si>
    <t>92-50126</t>
  </si>
  <si>
    <t>92-50130</t>
  </si>
  <si>
    <t>92-50217</t>
  </si>
  <si>
    <t>92-50239</t>
  </si>
  <si>
    <t>92-50222</t>
  </si>
  <si>
    <t>92-50224</t>
  </si>
  <si>
    <t>92-50250</t>
  </si>
  <si>
    <t>92-50185</t>
  </si>
  <si>
    <t>92-50211</t>
  </si>
  <si>
    <t>92-50325</t>
  </si>
  <si>
    <t>92-50295</t>
  </si>
  <si>
    <t>92-50248</t>
  </si>
  <si>
    <t>92-50287</t>
  </si>
  <si>
    <t>92-50245</t>
  </si>
  <si>
    <t>92-50303</t>
  </si>
  <si>
    <t>92-50178</t>
  </si>
  <si>
    <t>92-50293</t>
  </si>
  <si>
    <t>92-50244</t>
  </si>
  <si>
    <t>92-50242</t>
  </si>
  <si>
    <t>92-50159</t>
  </si>
  <si>
    <t>92-50327</t>
  </si>
  <si>
    <t>92-50309</t>
  </si>
  <si>
    <t>92-50302</t>
  </si>
  <si>
    <t>92-50183</t>
  </si>
  <si>
    <t>92-50276</t>
  </si>
  <si>
    <t>92-50307</t>
  </si>
  <si>
    <t>92-50267</t>
  </si>
  <si>
    <t>92-50209</t>
  </si>
  <si>
    <t>92-50256</t>
  </si>
  <si>
    <t>92-50253</t>
  </si>
  <si>
    <t>92-50266</t>
  </si>
  <si>
    <t>92-50288</t>
  </si>
  <si>
    <t>92-50281</t>
  </si>
  <si>
    <t>92-50294</t>
  </si>
  <si>
    <t>92-50286</t>
  </si>
  <si>
    <t>92-50274</t>
  </si>
  <si>
    <t>92-50298</t>
  </si>
  <si>
    <t>92-50334</t>
  </si>
  <si>
    <t>92-50170</t>
  </si>
  <si>
    <t>92-50156</t>
  </si>
  <si>
    <t>92-50136</t>
  </si>
  <si>
    <t>92-50112</t>
  </si>
  <si>
    <t>92-50091</t>
  </si>
  <si>
    <t>92-50132</t>
  </si>
  <si>
    <t>92-50127</t>
  </si>
  <si>
    <t>92-50167</t>
  </si>
  <si>
    <t>91-50205</t>
  </si>
  <si>
    <t>91-50204</t>
  </si>
  <si>
    <t>91-50303</t>
  </si>
  <si>
    <t>91-50319</t>
  </si>
  <si>
    <t>91-50335</t>
  </si>
  <si>
    <t>91-50326</t>
  </si>
  <si>
    <t>91-50325</t>
  </si>
  <si>
    <t>91-50327</t>
  </si>
  <si>
    <t>91-50336</t>
  </si>
  <si>
    <t>91-50333</t>
  </si>
  <si>
    <t>91-50318</t>
  </si>
  <si>
    <t>91-50445</t>
  </si>
  <si>
    <t>91-50341</t>
  </si>
  <si>
    <t>91-50354</t>
  </si>
  <si>
    <t>91-50364</t>
  </si>
  <si>
    <t>91-50384</t>
  </si>
  <si>
    <t>91-50372</t>
  </si>
  <si>
    <t>91-50359</t>
  </si>
  <si>
    <t>91-50360</t>
  </si>
  <si>
    <t>91-50435</t>
  </si>
  <si>
    <t>91-50399</t>
  </si>
  <si>
    <t>91-50385</t>
  </si>
  <si>
    <t>91-50489</t>
  </si>
  <si>
    <t>91-50515</t>
  </si>
  <si>
    <t>92-50004</t>
  </si>
  <si>
    <t>91-50481</t>
  </si>
  <si>
    <t>91-50498</t>
  </si>
  <si>
    <t>91-50499</t>
  </si>
  <si>
    <t>91-50501</t>
  </si>
  <si>
    <t>91-50495</t>
  </si>
  <si>
    <t>91-50496</t>
  </si>
  <si>
    <t>91-50484</t>
  </si>
  <si>
    <t>91-50485</t>
  </si>
  <si>
    <t>91-50462</t>
  </si>
  <si>
    <t>91-50483</t>
  </si>
  <si>
    <t>91-50376</t>
  </si>
  <si>
    <t>91-50438</t>
  </si>
  <si>
    <t>91-50440</t>
  </si>
  <si>
    <t>91-50441</t>
  </si>
  <si>
    <t>91-50442</t>
  </si>
  <si>
    <t>91-50444</t>
  </si>
  <si>
    <t>91-50446</t>
  </si>
  <si>
    <t>91-50436</t>
  </si>
  <si>
    <t>91-50457</t>
  </si>
  <si>
    <t>91-50447</t>
  </si>
  <si>
    <t>91-50455</t>
  </si>
  <si>
    <t>91-50456</t>
  </si>
  <si>
    <t>91-50397</t>
  </si>
  <si>
    <t>91-50458</t>
  </si>
  <si>
    <t>91-50459</t>
  </si>
  <si>
    <t>91-50460</t>
  </si>
  <si>
    <t>92-50044</t>
  </si>
  <si>
    <t>92-50041</t>
  </si>
  <si>
    <t>92-50002</t>
  </si>
  <si>
    <t>92-50010</t>
  </si>
  <si>
    <t>92-50016</t>
  </si>
  <si>
    <t>91-50516</t>
  </si>
  <si>
    <t>92-50079</t>
  </si>
  <si>
    <t>92-50067</t>
  </si>
  <si>
    <t>92-50096</t>
  </si>
  <si>
    <t>92-50054</t>
  </si>
  <si>
    <t>92-50076</t>
  </si>
  <si>
    <t>92-50022</t>
  </si>
  <si>
    <t>92-50060</t>
  </si>
  <si>
    <t>92-50006</t>
  </si>
  <si>
    <t>92-50117</t>
  </si>
  <si>
    <t>92-50082</t>
  </si>
  <si>
    <t>92-50097</t>
  </si>
  <si>
    <t>92-50081</t>
  </si>
  <si>
    <t>92-50104</t>
  </si>
  <si>
    <t>92-50114</t>
  </si>
  <si>
    <t>92-50078</t>
  </si>
  <si>
    <t>92-50093</t>
  </si>
  <si>
    <t>92-50090</t>
  </si>
  <si>
    <t>92-50089</t>
  </si>
  <si>
    <t>92-50110</t>
  </si>
  <si>
    <t>92-50135</t>
  </si>
  <si>
    <t>92-50154</t>
  </si>
  <si>
    <t>92-50153</t>
  </si>
  <si>
    <t>92-50143</t>
  </si>
  <si>
    <t>92-50055</t>
  </si>
  <si>
    <t>92-50125</t>
  </si>
  <si>
    <t>92-50232</t>
  </si>
  <si>
    <t>92-50230</t>
  </si>
  <si>
    <t>92-50193</t>
  </si>
  <si>
    <t>92-50103</t>
  </si>
  <si>
    <t>92-50226</t>
  </si>
  <si>
    <t>92-50190</t>
  </si>
  <si>
    <t>92-50157</t>
  </si>
  <si>
    <t>92-50223</t>
  </si>
  <si>
    <t>92-50131</t>
  </si>
  <si>
    <t>92-50191</t>
  </si>
  <si>
    <t>92-50181</t>
  </si>
  <si>
    <t>92-50214</t>
  </si>
  <si>
    <t>92-50213</t>
  </si>
  <si>
    <t>92-50215</t>
  </si>
  <si>
    <t>92-50180</t>
  </si>
  <si>
    <t>92-50171</t>
  </si>
  <si>
    <t>92-50200</t>
  </si>
  <si>
    <t>92-50164</t>
  </si>
  <si>
    <t>92-50168</t>
  </si>
  <si>
    <t>92-50212</t>
  </si>
  <si>
    <t>92-50204</t>
  </si>
  <si>
    <t>92-50208</t>
  </si>
  <si>
    <t>92-50188</t>
  </si>
  <si>
    <t>92-50137</t>
  </si>
  <si>
    <t>92-50272</t>
  </si>
  <si>
    <t>92-50249</t>
  </si>
  <si>
    <t>92-50243</t>
  </si>
  <si>
    <t>92-50265</t>
  </si>
  <si>
    <t>92-50258</t>
  </si>
  <si>
    <t>92-50257</t>
  </si>
  <si>
    <t>92-50234</t>
  </si>
  <si>
    <t>92-50259</t>
  </si>
  <si>
    <t>92-50233</t>
  </si>
  <si>
    <t>92-50251</t>
  </si>
  <si>
    <t>92-50270</t>
  </si>
  <si>
    <t>92-50237</t>
  </si>
  <si>
    <t>92-50158</t>
  </si>
  <si>
    <t>92-50260</t>
  </si>
  <si>
    <t>92-50255</t>
  </si>
  <si>
    <t>92-50238</t>
  </si>
  <si>
    <t>92-50229</t>
  </si>
  <si>
    <t>92-50324</t>
  </si>
  <si>
    <t>92-50306</t>
  </si>
  <si>
    <t>92-50320</t>
  </si>
  <si>
    <t>92-50299</t>
  </si>
  <si>
    <t>92-50313</t>
  </si>
  <si>
    <t>92-50312</t>
  </si>
  <si>
    <t>92-50289</t>
  </si>
  <si>
    <t>92-50304</t>
  </si>
  <si>
    <t>92-50264</t>
  </si>
  <si>
    <t>92-50124</t>
  </si>
  <si>
    <t>92-50216</t>
  </si>
  <si>
    <t>92-50279</t>
  </si>
  <si>
    <t>92-50305</t>
  </si>
  <si>
    <t>92-50269</t>
  </si>
  <si>
    <t>92-50261</t>
  </si>
  <si>
    <t>92-50315</t>
  </si>
  <si>
    <t>92-50285</t>
  </si>
  <si>
    <t>92-50165</t>
  </si>
  <si>
    <t>91-50302</t>
  </si>
  <si>
    <t>91-50389</t>
  </si>
  <si>
    <t>91-50474</t>
  </si>
  <si>
    <t>91-50377</t>
  </si>
  <si>
    <t>91-50378</t>
  </si>
  <si>
    <t>91-50434</t>
  </si>
  <si>
    <t>91-50374</t>
  </si>
  <si>
    <t>91-50512</t>
  </si>
  <si>
    <t>91-50500</t>
  </si>
  <si>
    <t>91-50502</t>
  </si>
  <si>
    <t>91-50464</t>
  </si>
  <si>
    <t>91-50480</t>
  </si>
  <si>
    <t>91-50478</t>
  </si>
  <si>
    <t>91-50479</t>
  </si>
  <si>
    <t>91-50410</t>
  </si>
  <si>
    <t>91-50482</t>
  </si>
  <si>
    <t>91-50476</t>
  </si>
  <si>
    <t>91-50477</t>
  </si>
  <si>
    <t>92-50027</t>
  </si>
  <si>
    <t>92-50001</t>
  </si>
  <si>
    <t>92-50012</t>
  </si>
  <si>
    <t>92-50017</t>
  </si>
  <si>
    <t>92-50015</t>
  </si>
  <si>
    <t>92-50013</t>
  </si>
  <si>
    <t>92-50066</t>
  </si>
  <si>
    <t>92-50062</t>
  </si>
  <si>
    <t>91-50448</t>
  </si>
  <si>
    <t>92-50087</t>
  </si>
  <si>
    <t>92-50101</t>
  </si>
  <si>
    <t>92-50152</t>
  </si>
  <si>
    <t>92-50139</t>
  </si>
  <si>
    <t>92-50123</t>
  </si>
  <si>
    <t>92-50111</t>
  </si>
  <si>
    <t>92-50128</t>
  </si>
  <si>
    <t>92-50102</t>
  </si>
  <si>
    <t>91-50475</t>
  </si>
  <si>
    <t>92-50186</t>
  </si>
  <si>
    <t>92-50142</t>
  </si>
  <si>
    <t>92-50262</t>
  </si>
  <si>
    <t>92-50241</t>
  </si>
  <si>
    <t>92-50254</t>
  </si>
  <si>
    <t>92-50292</t>
  </si>
  <si>
    <t>92-50221</t>
  </si>
  <si>
    <t>92-50335</t>
  </si>
  <si>
    <t>92-50301</t>
  </si>
  <si>
    <t>92-50316</t>
  </si>
  <si>
    <t>92-50332</t>
  </si>
  <si>
    <t>87-50145</t>
  </si>
  <si>
    <t>87-50215</t>
  </si>
  <si>
    <t>88-50352</t>
  </si>
  <si>
    <t>89-50529</t>
  </si>
  <si>
    <t>89-50521</t>
  </si>
  <si>
    <t>90-50061</t>
  </si>
  <si>
    <t>88-50179</t>
  </si>
  <si>
    <t>87-50173</t>
  </si>
  <si>
    <t>88-50333</t>
  </si>
  <si>
    <t>88-50292</t>
  </si>
  <si>
    <t>89-50402</t>
  </si>
  <si>
    <t>89-50939</t>
  </si>
  <si>
    <t>89-51064</t>
  </si>
  <si>
    <t>89-50995</t>
  </si>
  <si>
    <t>89-51313</t>
  </si>
  <si>
    <t>89-50789</t>
  </si>
  <si>
    <t>90-50037</t>
  </si>
  <si>
    <t>90-50057</t>
  </si>
  <si>
    <t>89-51470</t>
  </si>
  <si>
    <t>89-51513</t>
  </si>
  <si>
    <t>89-51378</t>
  </si>
  <si>
    <t>90-50083</t>
  </si>
  <si>
    <t>90-50753</t>
  </si>
  <si>
    <t>90-50566</t>
  </si>
  <si>
    <t>90-50912</t>
  </si>
  <si>
    <t>90-50567</t>
  </si>
  <si>
    <t>90-50972</t>
  </si>
  <si>
    <t>90-51012</t>
  </si>
  <si>
    <t>90-51015</t>
  </si>
  <si>
    <t>90-50927</t>
  </si>
  <si>
    <t>88-50080</t>
  </si>
  <si>
    <t>87-50387</t>
  </si>
  <si>
    <t>88-50190</t>
  </si>
  <si>
    <t>88-50159</t>
  </si>
  <si>
    <t>88-50451</t>
  </si>
  <si>
    <t>88-50551</t>
  </si>
  <si>
    <t>88-50565</t>
  </si>
  <si>
    <t>88-50612</t>
  </si>
  <si>
    <t>88-50608</t>
  </si>
  <si>
    <t>88-50614</t>
  </si>
  <si>
    <t>88-50607</t>
  </si>
  <si>
    <t>88-50566</t>
  </si>
  <si>
    <t>88-50726</t>
  </si>
  <si>
    <t>89-50291</t>
  </si>
  <si>
    <t>89-50349</t>
  </si>
  <si>
    <t>89-50607</t>
  </si>
  <si>
    <t>89-50473</t>
  </si>
  <si>
    <t>89-50606</t>
  </si>
  <si>
    <t>89-50350</t>
  </si>
  <si>
    <t>89-50500</t>
  </si>
  <si>
    <t>89-50791</t>
  </si>
  <si>
    <t>89-50564</t>
  </si>
  <si>
    <t>89-50637</t>
  </si>
  <si>
    <t>89-50870</t>
  </si>
  <si>
    <t>89-50871</t>
  </si>
  <si>
    <t>89-50788</t>
  </si>
  <si>
    <t>89-51065</t>
  </si>
  <si>
    <t>89-51284</t>
  </si>
  <si>
    <t>89-51362</t>
  </si>
  <si>
    <t>89-51342</t>
  </si>
  <si>
    <t>89-51283</t>
  </si>
  <si>
    <t>89-51294</t>
  </si>
  <si>
    <t>89-51312</t>
  </si>
  <si>
    <t>89-51361</t>
  </si>
  <si>
    <t>89-51365</t>
  </si>
  <si>
    <t>89-51341</t>
  </si>
  <si>
    <t>89-50348</t>
  </si>
  <si>
    <t>89-51316</t>
  </si>
  <si>
    <t>89-50937</t>
  </si>
  <si>
    <t>89-51375</t>
  </si>
  <si>
    <t>89-51397</t>
  </si>
  <si>
    <t>89-51476</t>
  </si>
  <si>
    <t>89-51409</t>
  </si>
  <si>
    <t>89-51477</t>
  </si>
  <si>
    <t>90-50055</t>
  </si>
  <si>
    <t>89-51512</t>
  </si>
  <si>
    <t>90-50089</t>
  </si>
  <si>
    <t>90-50082</t>
  </si>
  <si>
    <t>90-50203</t>
  </si>
  <si>
    <t>89-51426</t>
  </si>
  <si>
    <t>90-50056</t>
  </si>
  <si>
    <t>90-50182</t>
  </si>
  <si>
    <t>90-50788</t>
  </si>
  <si>
    <t>90-50565</t>
  </si>
  <si>
    <t>90-50222</t>
  </si>
  <si>
    <t>90-50255</t>
  </si>
  <si>
    <t>90-50278</t>
  </si>
  <si>
    <t>90-50570</t>
  </si>
  <si>
    <t>90-50405</t>
  </si>
  <si>
    <t>90-50647</t>
  </si>
  <si>
    <t>90-50759</t>
  </si>
  <si>
    <t>90-50712</t>
  </si>
  <si>
    <t>90-50521</t>
  </si>
  <si>
    <t>90-50520</t>
  </si>
  <si>
    <t>90-50830</t>
  </si>
  <si>
    <t>90-50789</t>
  </si>
  <si>
    <t>90-50957</t>
  </si>
  <si>
    <t>90-50913</t>
  </si>
  <si>
    <t>90-51045</t>
  </si>
  <si>
    <t>90-51113</t>
  </si>
  <si>
    <t>90-51135</t>
  </si>
  <si>
    <t>90-51142</t>
  </si>
  <si>
    <t>90-51126</t>
  </si>
  <si>
    <t>90-50955</t>
  </si>
  <si>
    <t>90-50914</t>
  </si>
  <si>
    <t>90-51147</t>
  </si>
  <si>
    <t>90-51173</t>
  </si>
  <si>
    <t>90-51146</t>
  </si>
  <si>
    <t>90-50947</t>
  </si>
  <si>
    <t>88-50533</t>
  </si>
  <si>
    <t>88-50515</t>
  </si>
  <si>
    <t>88-50581</t>
  </si>
  <si>
    <t>89-50707</t>
  </si>
  <si>
    <t>89-50685</t>
  </si>
  <si>
    <t>89-50420</t>
  </si>
  <si>
    <t>89-50528</t>
  </si>
  <si>
    <t>89-50771</t>
  </si>
  <si>
    <t>89-50886</t>
  </si>
  <si>
    <t>89-50887</t>
  </si>
  <si>
    <t>89-50561</t>
  </si>
  <si>
    <t>89-51377</t>
  </si>
  <si>
    <t>89-51427</t>
  </si>
  <si>
    <t>90-50088</t>
  </si>
  <si>
    <t>90-51016</t>
  </si>
  <si>
    <t>92-50296</t>
  </si>
  <si>
    <t>92-50225</t>
  </si>
  <si>
    <t>92-50353</t>
  </si>
  <si>
    <t>92-50383</t>
  </si>
  <si>
    <t>92-50357</t>
  </si>
  <si>
    <t>92-50474</t>
  </si>
  <si>
    <t>92-50406</t>
  </si>
  <si>
    <t>92-50465</t>
  </si>
  <si>
    <t>92-50341</t>
  </si>
  <si>
    <t>92-50432</t>
  </si>
  <si>
    <t>92-50398</t>
  </si>
  <si>
    <t>92-50427</t>
  </si>
  <si>
    <t>92-50438</t>
  </si>
  <si>
    <t>92-50431</t>
  </si>
  <si>
    <t>92-50461</t>
  </si>
  <si>
    <t>92-50480</t>
  </si>
  <si>
    <t>92-50506</t>
  </si>
  <si>
    <t>92-50403</t>
  </si>
  <si>
    <t>92-50590</t>
  </si>
  <si>
    <t>92-50356</t>
  </si>
  <si>
    <t>92-50273</t>
  </si>
  <si>
    <t>92-50355</t>
  </si>
  <si>
    <t>92-50363</t>
  </si>
  <si>
    <t>92-50375</t>
  </si>
  <si>
    <t>92-50354</t>
  </si>
  <si>
    <t>92-50387</t>
  </si>
  <si>
    <t>92-50385</t>
  </si>
  <si>
    <t>92-50380</t>
  </si>
  <si>
    <t>92-50352</t>
  </si>
  <si>
    <t>92-50317</t>
  </si>
  <si>
    <t>92-50328</t>
  </si>
  <si>
    <t>92-50358</t>
  </si>
  <si>
    <t>92-50338</t>
  </si>
  <si>
    <t>92-50319</t>
  </si>
  <si>
    <t>92-50347</t>
  </si>
  <si>
    <t>92-50349</t>
  </si>
  <si>
    <t>92-50348</t>
  </si>
  <si>
    <t>92-50308</t>
  </si>
  <si>
    <t>92-50361</t>
  </si>
  <si>
    <t>92-50339</t>
  </si>
  <si>
    <t>92-50364</t>
  </si>
  <si>
    <t>92-50374</t>
  </si>
  <si>
    <t>92-50053</t>
  </si>
  <si>
    <t>92-50343</t>
  </si>
  <si>
    <t>92-50282</t>
  </si>
  <si>
    <t>92-50416</t>
  </si>
  <si>
    <t>92-50395</t>
  </si>
  <si>
    <t>92-50421</t>
  </si>
  <si>
    <t>92-50475</t>
  </si>
  <si>
    <t>92-50423</t>
  </si>
  <si>
    <t>92-50344</t>
  </si>
  <si>
    <t>92-50439</t>
  </si>
  <si>
    <t>92-50425</t>
  </si>
  <si>
    <t>92-50487</t>
  </si>
  <si>
    <t>92-50409</t>
  </si>
  <si>
    <t>92-50436</t>
  </si>
  <si>
    <t>92-50410</t>
  </si>
  <si>
    <t>92-50447</t>
  </si>
  <si>
    <t>92-50146</t>
  </si>
  <si>
    <t>92-50367</t>
  </si>
  <si>
    <t>92-50394</t>
  </si>
  <si>
    <t>92-50444</t>
  </si>
  <si>
    <t>92-50422</t>
  </si>
  <si>
    <t>92-50466</t>
  </si>
  <si>
    <t>92-50462</t>
  </si>
  <si>
    <t>92-50467</t>
  </si>
  <si>
    <t>92-50476</t>
  </si>
  <si>
    <t>92-50430</t>
  </si>
  <si>
    <t>92-50369</t>
  </si>
  <si>
    <t>92-50482</t>
  </si>
  <si>
    <t>92-50507</t>
  </si>
  <si>
    <t>92-50452</t>
  </si>
  <si>
    <t>92-50508</t>
  </si>
  <si>
    <t>92-50490</t>
  </si>
  <si>
    <t>92-50516</t>
  </si>
  <si>
    <t>92-50504</t>
  </si>
  <si>
    <t>91-50491</t>
  </si>
  <si>
    <t>92-50277</t>
  </si>
  <si>
    <t>92-50346</t>
  </si>
  <si>
    <t>92-50342</t>
  </si>
  <si>
    <t>92-50337</t>
  </si>
  <si>
    <t>92-50326</t>
  </si>
  <si>
    <t>92-50381</t>
  </si>
  <si>
    <t>92-50420</t>
  </si>
  <si>
    <t>92-50310</t>
  </si>
  <si>
    <t>92-50359</t>
  </si>
  <si>
    <t>92-50378</t>
  </si>
  <si>
    <t>92-50388</t>
  </si>
  <si>
    <t>92-50393</t>
  </si>
  <si>
    <t>92-50371</t>
  </si>
  <si>
    <t>92-50370</t>
  </si>
  <si>
    <t>92-50377</t>
  </si>
  <si>
    <t>92-50376</t>
  </si>
  <si>
    <t>92-50372</t>
  </si>
  <si>
    <t>92-50379</t>
  </si>
  <si>
    <t>92-50365</t>
  </si>
  <si>
    <t>92-50314</t>
  </si>
  <si>
    <t>92-50366</t>
  </si>
  <si>
    <t>92-50396</t>
  </si>
  <si>
    <t>92-50453</t>
  </si>
  <si>
    <t>92-50513</t>
  </si>
  <si>
    <t>92-50418</t>
  </si>
  <si>
    <t>92-50450</t>
  </si>
  <si>
    <t>92-50426</t>
  </si>
  <si>
    <t>92-50455</t>
  </si>
  <si>
    <t>92-50417</t>
  </si>
  <si>
    <t>92-50389</t>
  </si>
  <si>
    <t>92-50408</t>
  </si>
  <si>
    <t>92-50407</t>
  </si>
  <si>
    <t>92-50434</t>
  </si>
  <si>
    <t>92-50400</t>
  </si>
  <si>
    <t>92-50386</t>
  </si>
  <si>
    <t>92-50402</t>
  </si>
  <si>
    <t>92-50399</t>
  </si>
  <si>
    <t>92-50391</t>
  </si>
  <si>
    <t>92-50384</t>
  </si>
  <si>
    <t>92-50414</t>
  </si>
  <si>
    <t>92-50469</t>
  </si>
  <si>
    <t>92-50481</t>
  </si>
  <si>
    <t>92-50445</t>
  </si>
  <si>
    <t>92-50497</t>
  </si>
  <si>
    <t>92-50470</t>
  </si>
  <si>
    <t>92-50413</t>
  </si>
  <si>
    <t>92-50485</t>
  </si>
  <si>
    <t>92-50468</t>
  </si>
  <si>
    <t>92-50472</t>
  </si>
  <si>
    <t>92-50449</t>
  </si>
  <si>
    <t>92-50489</t>
  </si>
  <si>
    <t>92-50478</t>
  </si>
  <si>
    <t>92-50456</t>
  </si>
  <si>
    <t>92-50463</t>
  </si>
  <si>
    <t>92-50401</t>
  </si>
  <si>
    <t>92-50473</t>
  </si>
  <si>
    <t>92-50511</t>
  </si>
  <si>
    <t>92-50429</t>
  </si>
  <si>
    <t>92-50523</t>
  </si>
  <si>
    <t>92-50521</t>
  </si>
  <si>
    <t>92-50517</t>
  </si>
  <si>
    <t>92-50484</t>
  </si>
  <si>
    <t>92-50428</t>
  </si>
  <si>
    <t>92-50486</t>
  </si>
  <si>
    <t>92-50501</t>
  </si>
  <si>
    <t>92-50500</t>
  </si>
  <si>
    <t>92-50519</t>
  </si>
  <si>
    <t>92-50515</t>
  </si>
  <si>
    <t>92-50464</t>
  </si>
  <si>
    <t>92-50411</t>
  </si>
  <si>
    <t>92-50496</t>
  </si>
  <si>
    <t>92-50502</t>
  </si>
  <si>
    <t>92-50529</t>
  </si>
  <si>
    <t>92-50536</t>
  </si>
  <si>
    <t>92-50535</t>
  </si>
  <si>
    <t>92-50527</t>
  </si>
  <si>
    <t>92-50525</t>
  </si>
  <si>
    <t>92-50448</t>
  </si>
  <si>
    <t>92-50524</t>
  </si>
  <si>
    <t>92-50575</t>
  </si>
  <si>
    <t>92-50537</t>
  </si>
  <si>
    <t>92-50494</t>
  </si>
  <si>
    <t>92-50599</t>
  </si>
  <si>
    <t>92-50532</t>
  </si>
  <si>
    <t>92-50424</t>
  </si>
  <si>
    <t>92-50446</t>
  </si>
  <si>
    <t>92-50437</t>
  </si>
  <si>
    <t>92-50483</t>
  </si>
  <si>
    <t>92-50491</t>
  </si>
  <si>
    <t>92-50451</t>
  </si>
  <si>
    <t>92-50479</t>
  </si>
  <si>
    <t>92-50433</t>
  </si>
  <si>
    <t>92-50498</t>
  </si>
  <si>
    <t>92-50460</t>
  </si>
  <si>
    <t>92-50457</t>
  </si>
  <si>
    <t>92-50505</t>
  </si>
  <si>
    <t>92-50514</t>
  </si>
  <si>
    <t>92-50509</t>
  </si>
  <si>
    <t>92-50544</t>
  </si>
  <si>
    <t>92-50528</t>
  </si>
  <si>
    <t>92-50499</t>
  </si>
  <si>
    <t>92-50526</t>
  </si>
  <si>
    <t>91-50463</t>
  </si>
  <si>
    <t>92-50300</t>
  </si>
  <si>
    <t>92-50350</t>
  </si>
  <si>
    <t>92-50336</t>
  </si>
  <si>
    <t>92-50397</t>
  </si>
  <si>
    <t>92-50362</t>
  </si>
  <si>
    <t>92-50351</t>
  </si>
  <si>
    <t>92-50368</t>
  </si>
  <si>
    <t>92-50404</t>
  </si>
  <si>
    <t>92-50419</t>
  </si>
  <si>
    <t>92-50331</t>
  </si>
  <si>
    <t>92-50443</t>
  </si>
  <si>
    <t>92-50454</t>
  </si>
  <si>
    <t>92-50593</t>
  </si>
  <si>
    <t>92-50623</t>
  </si>
  <si>
    <t>92-50600</t>
  </si>
  <si>
    <t>92-50602</t>
  </si>
  <si>
    <t>92-50636</t>
  </si>
  <si>
    <t>92-50649</t>
  </si>
  <si>
    <t>92-50596</t>
  </si>
  <si>
    <t>92-50625</t>
  </si>
  <si>
    <t>92-50580</t>
  </si>
  <si>
    <t>92-50579</t>
  </si>
  <si>
    <t>92-50545</t>
  </si>
  <si>
    <t>92-50618</t>
  </si>
  <si>
    <t>92-50624</t>
  </si>
  <si>
    <t>92-50635</t>
  </si>
  <si>
    <t>92-50651</t>
  </si>
  <si>
    <t>92-50645</t>
  </si>
  <si>
    <t>92-50656</t>
  </si>
  <si>
    <t>92-50644</t>
  </si>
  <si>
    <t>92-50631</t>
  </si>
  <si>
    <t>92-50666</t>
  </si>
  <si>
    <t>92-50650</t>
  </si>
  <si>
    <t>92-50620</t>
  </si>
  <si>
    <t>92-50586</t>
  </si>
  <si>
    <t>92-50647</t>
  </si>
  <si>
    <t>92-50634</t>
  </si>
  <si>
    <t>92-50638</t>
  </si>
  <si>
    <t>92-50632</t>
  </si>
  <si>
    <t>92-50663</t>
  </si>
  <si>
    <t>92-50574</t>
  </si>
  <si>
    <t>92-50626</t>
  </si>
  <si>
    <t>92-50598</t>
  </si>
  <si>
    <t>92-50601</t>
  </si>
  <si>
    <t>92-50667</t>
  </si>
  <si>
    <t>92-50668</t>
  </si>
  <si>
    <t>92-50679</t>
  </si>
  <si>
    <t>92-50662</t>
  </si>
  <si>
    <t>92-50629</t>
  </si>
  <si>
    <t>92-50565</t>
  </si>
  <si>
    <t>92-50673</t>
  </si>
  <si>
    <t>92-50681</t>
  </si>
  <si>
    <t>92-50522</t>
  </si>
  <si>
    <t>92-50547</t>
  </si>
  <si>
    <t>92-50539</t>
  </si>
  <si>
    <t>92-50530</t>
  </si>
  <si>
    <t>92-50493</t>
  </si>
  <si>
    <t>92-50550</t>
  </si>
  <si>
    <t>92-50533</t>
  </si>
  <si>
    <t>92-50518</t>
  </si>
  <si>
    <t>92-50534</t>
  </si>
  <si>
    <t>92-50552</t>
  </si>
  <si>
    <t>92-50553</t>
  </si>
  <si>
    <t>92-50538</t>
  </si>
  <si>
    <t>92-50555</t>
  </si>
  <si>
    <t>92-50551</t>
  </si>
  <si>
    <t>92-50540</t>
  </si>
  <si>
    <t>92-50543</t>
  </si>
  <si>
    <t>92-50541</t>
  </si>
  <si>
    <t>92-50542</t>
  </si>
  <si>
    <t>92-50559</t>
  </si>
  <si>
    <t>92-50557</t>
  </si>
  <si>
    <t>92-50572</t>
  </si>
  <si>
    <t>92-50577</t>
  </si>
  <si>
    <t>92-50558</t>
  </si>
  <si>
    <t>92-50592</t>
  </si>
  <si>
    <t>92-50588</t>
  </si>
  <si>
    <t>92-50591</t>
  </si>
  <si>
    <t>92-50573</t>
  </si>
  <si>
    <t>92-50583</t>
  </si>
  <si>
    <t>92-50603</t>
  </si>
  <si>
    <t>92-50581</t>
  </si>
  <si>
    <t>92-50699</t>
  </si>
  <si>
    <t>92-50692</t>
  </si>
  <si>
    <t>92-50680</t>
  </si>
  <si>
    <t>92-50670</t>
  </si>
  <si>
    <t>92-50642</t>
  </si>
  <si>
    <t>92-50697</t>
  </si>
  <si>
    <t>92-50698</t>
  </si>
  <si>
    <t>92-50682</t>
  </si>
  <si>
    <t>92-50687</t>
  </si>
  <si>
    <t>92-50669</t>
  </si>
  <si>
    <t>92-50690</t>
  </si>
  <si>
    <t>92-50686</t>
  </si>
  <si>
    <t>92-50655</t>
  </si>
  <si>
    <t>92-50653</t>
  </si>
  <si>
    <t>92-50693</t>
  </si>
  <si>
    <t>92-50665</t>
  </si>
  <si>
    <t>92-50192</t>
  </si>
  <si>
    <t>92-50671</t>
  </si>
  <si>
    <t>92-50672</t>
  </si>
  <si>
    <t>92-50660</t>
  </si>
  <si>
    <t>92-50701</t>
  </si>
  <si>
    <t>92-50706</t>
  </si>
  <si>
    <t>92-50716</t>
  </si>
  <si>
    <t>92-50723</t>
  </si>
  <si>
    <t>92-50720</t>
  </si>
  <si>
    <t>92-50724</t>
  </si>
  <si>
    <t>92-50796</t>
  </si>
  <si>
    <t>92-50780</t>
  </si>
  <si>
    <t>92-50710</t>
  </si>
  <si>
    <t>92-50779</t>
  </si>
  <si>
    <t>92-50703</t>
  </si>
  <si>
    <t>92-50705</t>
  </si>
  <si>
    <t>92-50782</t>
  </si>
  <si>
    <t>92-50753</t>
  </si>
  <si>
    <t>92-50759</t>
  </si>
  <si>
    <t>92-50748</t>
  </si>
  <si>
    <t>92-50755</t>
  </si>
  <si>
    <t>92-50652</t>
  </si>
  <si>
    <t>92-50715</t>
  </si>
  <si>
    <t>92-50751</t>
  </si>
  <si>
    <t>92-50775</t>
  </si>
  <si>
    <t>92-50709</t>
  </si>
  <si>
    <t>92-50778</t>
  </si>
  <si>
    <t>92-50754</t>
  </si>
  <si>
    <t>92-50694</t>
  </si>
  <si>
    <t>92-50771</t>
  </si>
  <si>
    <t>92-50689</t>
  </si>
  <si>
    <t>92-50722</t>
  </si>
  <si>
    <t>92-50758</t>
  </si>
  <si>
    <t>92-50597</t>
  </si>
  <si>
    <t>92-50637</t>
  </si>
  <si>
    <t>92-50633</t>
  </si>
  <si>
    <t>92-50594</t>
  </si>
  <si>
    <t>92-50567</t>
  </si>
  <si>
    <t>92-50717</t>
  </si>
  <si>
    <t>92-50700</t>
  </si>
  <si>
    <t>92-50704</t>
  </si>
  <si>
    <t>92-50743</t>
  </si>
  <si>
    <t>92-50641</t>
  </si>
  <si>
    <t>92-50772</t>
  </si>
  <si>
    <t>92-50797</t>
  </si>
  <si>
    <t>92-50767</t>
  </si>
  <si>
    <t>92-50734</t>
  </si>
  <si>
    <t>93-50072</t>
  </si>
  <si>
    <t>93-50068</t>
  </si>
  <si>
    <t>93-50051</t>
  </si>
  <si>
    <t>93-50079</t>
  </si>
  <si>
    <t>93-50014</t>
  </si>
  <si>
    <t>93-50018</t>
  </si>
  <si>
    <t>92-50718</t>
  </si>
  <si>
    <t>92-50477</t>
  </si>
  <si>
    <t>92-50503</t>
  </si>
  <si>
    <t>92-50440</t>
  </si>
  <si>
    <t>92-50510</t>
  </si>
  <si>
    <t>92-50617</t>
  </si>
  <si>
    <t>92-50695</t>
  </si>
  <si>
    <t>92-50435</t>
  </si>
  <si>
    <t>92-50744</t>
  </si>
  <si>
    <t>92-50578</t>
  </si>
  <si>
    <t>92-50702</t>
  </si>
  <si>
    <t>92-50727</t>
  </si>
  <si>
    <t>92-50802</t>
  </si>
  <si>
    <t>93-932500004</t>
  </si>
  <si>
    <t>93-50106</t>
  </si>
  <si>
    <t>93-931500039</t>
  </si>
  <si>
    <t>93-50005</t>
  </si>
  <si>
    <t>92-50584</t>
  </si>
  <si>
    <t>92-50570</t>
  </si>
  <si>
    <t>92-50373</t>
  </si>
  <si>
    <t>92-50627</t>
  </si>
  <si>
    <t>92-50752</t>
  </si>
  <si>
    <t>92-50595</t>
  </si>
  <si>
    <t>92-50562</t>
  </si>
  <si>
    <t>92-50549</t>
  </si>
  <si>
    <t>92-50548</t>
  </si>
  <si>
    <t>92-50556</t>
  </si>
  <si>
    <t>92-50630</t>
  </si>
  <si>
    <t>92-50520</t>
  </si>
  <si>
    <t>92-50587</t>
  </si>
  <si>
    <t>92-50707</t>
  </si>
  <si>
    <t>92-50685</t>
  </si>
  <si>
    <t>92-50546</t>
  </si>
  <si>
    <t>92-50628</t>
  </si>
  <si>
    <t>92-50585</t>
  </si>
  <si>
    <t>92-50640</t>
  </si>
  <si>
    <t>92-50639</t>
  </si>
  <si>
    <t>93-50038</t>
  </si>
  <si>
    <t>93-50044</t>
  </si>
  <si>
    <t>93-50034</t>
  </si>
  <si>
    <t>93-50020</t>
  </si>
  <si>
    <t>92-50799</t>
  </si>
  <si>
    <t>93-50010</t>
  </si>
  <si>
    <t>92-50728</t>
  </si>
  <si>
    <t>93-50021</t>
  </si>
  <si>
    <t>93-931500003</t>
  </si>
  <si>
    <t>93-50105</t>
  </si>
  <si>
    <t>93-932500001</t>
  </si>
  <si>
    <t>93-931500002</t>
  </si>
  <si>
    <t>93-931500050</t>
  </si>
  <si>
    <t>93-50024</t>
  </si>
  <si>
    <t>92-50764</t>
  </si>
  <si>
    <t>93-50004</t>
  </si>
  <si>
    <t>92-50805</t>
  </si>
  <si>
    <t>92-50813</t>
  </si>
  <si>
    <t>92-50741</t>
  </si>
  <si>
    <t>93-50008</t>
  </si>
  <si>
    <t>93-50042</t>
  </si>
  <si>
    <t>93-50096</t>
  </si>
  <si>
    <t>93-50097</t>
  </si>
  <si>
    <t>93-50050</t>
  </si>
  <si>
    <t>93-50030</t>
  </si>
  <si>
    <t>93-50088</t>
  </si>
  <si>
    <t>93-50017</t>
  </si>
  <si>
    <t>93-50031</t>
  </si>
  <si>
    <t>93-50022</t>
  </si>
  <si>
    <t>93-50065</t>
  </si>
  <si>
    <t>93-50055</t>
  </si>
  <si>
    <t>93-50006</t>
  </si>
  <si>
    <t>93-50058</t>
  </si>
  <si>
    <t>93-50057</t>
  </si>
  <si>
    <t>92-50708</t>
  </si>
  <si>
    <t>92-50787</t>
  </si>
  <si>
    <t>92-50773</t>
  </si>
  <si>
    <t>93-50039</t>
  </si>
  <si>
    <t>92-50806</t>
  </si>
  <si>
    <t>92-50762</t>
  </si>
  <si>
    <t>93-50016</t>
  </si>
  <si>
    <t>92-50807</t>
  </si>
  <si>
    <t>92-50729</t>
  </si>
  <si>
    <t>92-50576</t>
  </si>
  <si>
    <t>92-50749</t>
  </si>
  <si>
    <t>92-50788</t>
  </si>
  <si>
    <t>92-50761</t>
  </si>
  <si>
    <t>92-50774</t>
  </si>
  <si>
    <t>92-50795</t>
  </si>
  <si>
    <t>92-50785</t>
  </si>
  <si>
    <t>92-50750</t>
  </si>
  <si>
    <t>92-50742</t>
  </si>
  <si>
    <t>92-50740</t>
  </si>
  <si>
    <t>92-50757</t>
  </si>
  <si>
    <t>93-931500111</t>
  </si>
  <si>
    <t>93-931500119</t>
  </si>
  <si>
    <t>93-931500065</t>
  </si>
  <si>
    <t>92-50766</t>
  </si>
  <si>
    <t>92-50760</t>
  </si>
  <si>
    <t>92-50733</t>
  </si>
  <si>
    <t>92-50811</t>
  </si>
  <si>
    <t>93-931500117</t>
  </si>
  <si>
    <t>93-931500098</t>
  </si>
  <si>
    <t>93-931500049</t>
  </si>
  <si>
    <t>93-931500095</t>
  </si>
  <si>
    <t>93-931500082</t>
  </si>
  <si>
    <t>93-50002</t>
  </si>
  <si>
    <t>93-931500087</t>
  </si>
  <si>
    <t>93-931500077</t>
  </si>
  <si>
    <t>93-931500022</t>
  </si>
  <si>
    <t>93-931500054</t>
  </si>
  <si>
    <t>93-50063</t>
  </si>
  <si>
    <t>93-931500104</t>
  </si>
  <si>
    <t>93-931500042</t>
  </si>
  <si>
    <t>93-931500129</t>
  </si>
  <si>
    <t>93-931500093</t>
  </si>
  <si>
    <t>93-931500153</t>
  </si>
  <si>
    <t>93-931500005</t>
  </si>
  <si>
    <t>93-931500013</t>
  </si>
  <si>
    <t>93-931500100</t>
  </si>
  <si>
    <t>93-50098</t>
  </si>
  <si>
    <t>93-931500044</t>
  </si>
  <si>
    <t>93-50054</t>
  </si>
  <si>
    <t>93-50033</t>
  </si>
  <si>
    <t>93-931500178</t>
  </si>
  <si>
    <t>93-931500125</t>
  </si>
  <si>
    <t>93-931500001</t>
  </si>
  <si>
    <t>93-931500092</t>
  </si>
  <si>
    <t>93-931500078</t>
  </si>
  <si>
    <t>93-50091</t>
  </si>
  <si>
    <t>93-50023</t>
  </si>
  <si>
    <t>93-931500014</t>
  </si>
  <si>
    <t>93-931500028</t>
  </si>
  <si>
    <t>93-932500011</t>
  </si>
  <si>
    <t>92-50275</t>
  </si>
  <si>
    <t>92-50297</t>
  </si>
  <si>
    <t>92-50329</t>
  </si>
  <si>
    <t>92-50278</t>
  </si>
  <si>
    <t>92-50360</t>
  </si>
  <si>
    <t>92-50318</t>
  </si>
  <si>
    <t>92-50330</t>
  </si>
  <si>
    <t>92-50798</t>
  </si>
  <si>
    <t>93-50036</t>
  </si>
  <si>
    <t>92-50747</t>
  </si>
  <si>
    <t>92-50793</t>
  </si>
  <si>
    <t>92-50801</t>
  </si>
  <si>
    <t>93-50009</t>
  </si>
  <si>
    <t>92-50800</t>
  </si>
  <si>
    <t>93-50052</t>
  </si>
  <si>
    <t>93-50046</t>
  </si>
  <si>
    <t>93-50076</t>
  </si>
  <si>
    <t>93-931500097</t>
  </si>
  <si>
    <t>93-931500085</t>
  </si>
  <si>
    <t>93-931500084</t>
  </si>
  <si>
    <t>93-50053</t>
  </si>
  <si>
    <t>93-931500051</t>
  </si>
  <si>
    <t>93-50094</t>
  </si>
  <si>
    <t>93-50095</t>
  </si>
  <si>
    <t>93-931500091</t>
  </si>
  <si>
    <t>93-931500017</t>
  </si>
  <si>
    <t>93-931500060</t>
  </si>
  <si>
    <t>93-931500062</t>
  </si>
  <si>
    <t>93-50087</t>
  </si>
  <si>
    <t>93-50090</t>
  </si>
  <si>
    <t>93-50089</t>
  </si>
  <si>
    <t>93-931500053</t>
  </si>
  <si>
    <t>93-931500059</t>
  </si>
  <si>
    <t>93-931500015</t>
  </si>
  <si>
    <t>93-931500043</t>
  </si>
  <si>
    <t>93-50019</t>
  </si>
  <si>
    <t>93-932500002</t>
  </si>
  <si>
    <t>93-931500109</t>
  </si>
  <si>
    <t>93-50047</t>
  </si>
  <si>
    <t>93-50061</t>
  </si>
  <si>
    <t>93-50067</t>
  </si>
  <si>
    <t>93-50066</t>
  </si>
  <si>
    <t>93-50032</t>
  </si>
  <si>
    <t>93-50075</t>
  </si>
  <si>
    <t>93-931500080</t>
  </si>
  <si>
    <t>93-932500010</t>
  </si>
  <si>
    <t>93-50043</t>
  </si>
  <si>
    <t>93-50062</t>
  </si>
  <si>
    <t>93-50101</t>
  </si>
  <si>
    <t>93-50035</t>
  </si>
  <si>
    <t>93-50059</t>
  </si>
  <si>
    <t>93-50060</t>
  </si>
  <si>
    <t>93-50037</t>
  </si>
  <si>
    <t>93-50099</t>
  </si>
  <si>
    <t>92-50415</t>
  </si>
  <si>
    <t>93-931500099</t>
  </si>
  <si>
    <t>93-931500048</t>
  </si>
  <si>
    <t>93-931500106</t>
  </si>
  <si>
    <t>93-931500121</t>
  </si>
  <si>
    <t>93-931500133</t>
  </si>
  <si>
    <t>93-931500132</t>
  </si>
  <si>
    <t>93-931500067</t>
  </si>
  <si>
    <t>93-50049</t>
  </si>
  <si>
    <t>93-931500107</t>
  </si>
  <si>
    <t>93-931500083</t>
  </si>
  <si>
    <t>93-931500115</t>
  </si>
  <si>
    <t>93-931500155</t>
  </si>
  <si>
    <t>93-932500012</t>
  </si>
  <si>
    <t>93-931500033</t>
  </si>
  <si>
    <t>93-931500021</t>
  </si>
  <si>
    <t>93-931500157</t>
  </si>
  <si>
    <t>93-931500020</t>
  </si>
  <si>
    <t>93-931500116</t>
  </si>
  <si>
    <t>93-50082</t>
  </si>
  <si>
    <t>93-931500057</t>
  </si>
  <si>
    <t>93-931500171</t>
  </si>
  <si>
    <t>93-931500165</t>
  </si>
  <si>
    <t>93-931500146</t>
  </si>
  <si>
    <t>93-931500177</t>
  </si>
  <si>
    <t>93-931500207</t>
  </si>
  <si>
    <t>93-931500230</t>
  </si>
  <si>
    <t>93-931500253</t>
  </si>
  <si>
    <t>93-931500170</t>
  </si>
  <si>
    <t>93-931500074</t>
  </si>
  <si>
    <t>93-931500037</t>
  </si>
  <si>
    <t>93-931500113</t>
  </si>
  <si>
    <t>92-50732</t>
  </si>
  <si>
    <t>92-50138</t>
  </si>
  <si>
    <t>93-50108</t>
  </si>
  <si>
    <t>93-50107</t>
  </si>
  <si>
    <t>93-50064</t>
  </si>
  <si>
    <t>93-50074</t>
  </si>
  <si>
    <t>93-931500056</t>
  </si>
  <si>
    <t>93-931500036</t>
  </si>
  <si>
    <t>93-931500035</t>
  </si>
  <si>
    <t>93-931500204</t>
  </si>
  <si>
    <t>92-50803</t>
  </si>
  <si>
    <t>93-933500001</t>
  </si>
  <si>
    <t>92-50648</t>
  </si>
  <si>
    <t>92-50763</t>
  </si>
  <si>
    <t>92-50231</t>
  </si>
  <si>
    <t>93-931500314</t>
  </si>
  <si>
    <t>93-931500339</t>
  </si>
  <si>
    <t>93-931500324</t>
  </si>
  <si>
    <t>93-931500340</t>
  </si>
  <si>
    <t>93-931500270</t>
  </si>
  <si>
    <t>93-931500141</t>
  </si>
  <si>
    <t>93-931500142</t>
  </si>
  <si>
    <t>93-931500016</t>
  </si>
  <si>
    <t>93-931500217</t>
  </si>
  <si>
    <t>93-931500315</t>
  </si>
  <si>
    <t>93-931500200</t>
  </si>
  <si>
    <t>93-931500110</t>
  </si>
  <si>
    <t>93-931500114</t>
  </si>
  <si>
    <t>93-931500291</t>
  </si>
  <si>
    <t>93-931500303</t>
  </si>
  <si>
    <t>93-931500320</t>
  </si>
  <si>
    <t>93-931500348</t>
  </si>
  <si>
    <t>93-931500235</t>
  </si>
  <si>
    <t>93-931500224</t>
  </si>
  <si>
    <t>93-931500244</t>
  </si>
  <si>
    <t>93-931500245</t>
  </si>
  <si>
    <t>93-931500273</t>
  </si>
  <si>
    <t>93-50102</t>
  </si>
  <si>
    <t>93-931500192</t>
  </si>
  <si>
    <t>93-50025</t>
  </si>
  <si>
    <t>93-931500205</t>
  </si>
  <si>
    <t>93-932500031</t>
  </si>
  <si>
    <t>93-931500236</t>
  </si>
  <si>
    <t>93-931500212</t>
  </si>
  <si>
    <t>93-931500182</t>
  </si>
  <si>
    <t>93-932500026</t>
  </si>
  <si>
    <t>93-931500329</t>
  </si>
  <si>
    <t>93-931500376</t>
  </si>
  <si>
    <t>93-931500198</t>
  </si>
  <si>
    <t>93-931500351</t>
  </si>
  <si>
    <t>93-931500379</t>
  </si>
  <si>
    <t>93-931500389</t>
  </si>
  <si>
    <t>93-931500364</t>
  </si>
  <si>
    <t>93-931500402</t>
  </si>
  <si>
    <t>93-931500145</t>
  </si>
  <si>
    <t>93-931500209</t>
  </si>
  <si>
    <t>93-931500341</t>
  </si>
  <si>
    <t>93-931500322</t>
  </si>
  <si>
    <t>93-931500199</t>
  </si>
  <si>
    <t>93-931500194</t>
  </si>
  <si>
    <t>93-931500193</t>
  </si>
  <si>
    <t>93-931500382</t>
  </si>
  <si>
    <t>93-931500285</t>
  </si>
  <si>
    <t>93-931500298</t>
  </si>
  <si>
    <t>93-931500251</t>
  </si>
  <si>
    <t>93-931500344</t>
  </si>
  <si>
    <t>93-931500362</t>
  </si>
  <si>
    <t>93-931500267</t>
  </si>
  <si>
    <t>93-931500213</t>
  </si>
  <si>
    <t>93-931500090</t>
  </si>
  <si>
    <t>93-931500338</t>
  </si>
  <si>
    <t>93-931500325</t>
  </si>
  <si>
    <t>93-931500299</t>
  </si>
  <si>
    <t>93-932500028</t>
  </si>
  <si>
    <t>93-932500029</t>
  </si>
  <si>
    <t>93-931500176</t>
  </si>
  <si>
    <t>93-931500008</t>
  </si>
  <si>
    <t>93-931500088</t>
  </si>
  <si>
    <t>93-931500149</t>
  </si>
  <si>
    <t>93-931500150</t>
  </si>
  <si>
    <t>93-931500096</t>
  </si>
  <si>
    <t>93-931500075</t>
  </si>
  <si>
    <t>93-931500158</t>
  </si>
  <si>
    <t>93-931500152</t>
  </si>
  <si>
    <t>93-931500161</t>
  </si>
  <si>
    <t>93-931500172</t>
  </si>
  <si>
    <t>93-931500010</t>
  </si>
  <si>
    <t>93-931500072</t>
  </si>
  <si>
    <t>93-931500004</t>
  </si>
  <si>
    <t>92-50721</t>
  </si>
  <si>
    <t>93-931500055</t>
  </si>
  <si>
    <t>93-931500143</t>
  </si>
  <si>
    <t>93-931500009</t>
  </si>
  <si>
    <t>93-931500232</t>
  </si>
  <si>
    <t>93-932500016</t>
  </si>
  <si>
    <t>93-932500006</t>
  </si>
  <si>
    <t>93-933500002</t>
  </si>
  <si>
    <t>93-931500190</t>
  </si>
  <si>
    <t>93-931500189</t>
  </si>
  <si>
    <t>93-931500218</t>
  </si>
  <si>
    <t>93-931500229</t>
  </si>
  <si>
    <t>93-932500021</t>
  </si>
  <si>
    <t>93-931500215</t>
  </si>
  <si>
    <t>93-932500013</t>
  </si>
  <si>
    <t>93-931500211</t>
  </si>
  <si>
    <t>93-931500197</t>
  </si>
  <si>
    <t>93-931500031</t>
  </si>
  <si>
    <t>93-931500201</t>
  </si>
  <si>
    <t>93-931500007</t>
  </si>
  <si>
    <t>93-931500231</t>
  </si>
  <si>
    <t>93-932500024</t>
  </si>
  <si>
    <t>93-931500159</t>
  </si>
  <si>
    <t>93-931500216</t>
  </si>
  <si>
    <t>93-931500173</t>
  </si>
  <si>
    <t>93-931500258</t>
  </si>
  <si>
    <t>93-932500018</t>
  </si>
  <si>
    <t>93-932500008</t>
  </si>
  <si>
    <t>93-931500260</t>
  </si>
  <si>
    <t>93-931500195</t>
  </si>
  <si>
    <t>93-931500274</t>
  </si>
  <si>
    <t>93-931500202</t>
  </si>
  <si>
    <t>93-931500103</t>
  </si>
  <si>
    <t>92-50150</t>
  </si>
  <si>
    <t>92-50210</t>
  </si>
  <si>
    <t>92-50218</t>
  </si>
  <si>
    <t>92-50291</t>
  </si>
  <si>
    <t>92-50311</t>
  </si>
  <si>
    <t>92-50340</t>
  </si>
  <si>
    <t>92-50345</t>
  </si>
  <si>
    <t>92-50441</t>
  </si>
  <si>
    <t>92-50442</t>
  </si>
  <si>
    <t>92-50471</t>
  </si>
  <si>
    <t>92-50495</t>
  </si>
  <si>
    <t>92-50561</t>
  </si>
  <si>
    <t>92-50568</t>
  </si>
  <si>
    <t>92-50571</t>
  </si>
  <si>
    <t>92-50643</t>
  </si>
  <si>
    <t>92-50691</t>
  </si>
  <si>
    <t>92-50738</t>
  </si>
  <si>
    <t>92-50756</t>
  </si>
  <si>
    <t>92-50786</t>
  </si>
  <si>
    <t>92-50804</t>
  </si>
  <si>
    <t>93-932500007</t>
  </si>
  <si>
    <t>93-50086</t>
  </si>
  <si>
    <t>93-931500252</t>
  </si>
  <si>
    <t>93-931500162</t>
  </si>
  <si>
    <t>93-931500101</t>
  </si>
  <si>
    <t>93-931500144</t>
  </si>
  <si>
    <t>93-931500038</t>
  </si>
  <si>
    <t>93-931500089</t>
  </si>
  <si>
    <t>93-50001</t>
  </si>
  <si>
    <t>93-50026</t>
  </si>
  <si>
    <t>93-931500061</t>
  </si>
  <si>
    <t>93-50083</t>
  </si>
  <si>
    <t>93-50007</t>
  </si>
  <si>
    <t>93-50080</t>
  </si>
  <si>
    <t>93-50015</t>
  </si>
  <si>
    <t>93-50027</t>
  </si>
  <si>
    <t>93-931500214</t>
  </si>
  <si>
    <t>93-931500094</t>
  </si>
  <si>
    <t>93-931500262</t>
  </si>
  <si>
    <t>93-931500181</t>
  </si>
  <si>
    <t>93-931500180</t>
  </si>
  <si>
    <t>93-931500112</t>
  </si>
  <si>
    <t>93-931500154</t>
  </si>
  <si>
    <t>93-50084</t>
  </si>
  <si>
    <t>93-931500275</t>
  </si>
  <si>
    <t>93-50029</t>
  </si>
  <si>
    <t>93-931500187</t>
  </si>
  <si>
    <t>93-931500018</t>
  </si>
  <si>
    <t>93-50040</t>
  </si>
  <si>
    <t>93-50028</t>
  </si>
  <si>
    <t>93-931500019</t>
  </si>
  <si>
    <t>93-931500081</t>
  </si>
  <si>
    <t>93-932500003</t>
  </si>
  <si>
    <t>93-50056</t>
  </si>
  <si>
    <t>93-50081</t>
  </si>
  <si>
    <t>93-931500034</t>
  </si>
  <si>
    <t>93-931500032</t>
  </si>
  <si>
    <t>93-931500064</t>
  </si>
  <si>
    <t>93-931500140</t>
  </si>
  <si>
    <t>93-931500139</t>
  </si>
  <si>
    <t>93-931500210</t>
  </si>
  <si>
    <t>93-931500040</t>
  </si>
  <si>
    <t>93-931500138</t>
  </si>
  <si>
    <t>93-931500137</t>
  </si>
  <si>
    <t>93-931500029</t>
  </si>
  <si>
    <t>93-931500030</t>
  </si>
  <si>
    <t>93-931500086</t>
  </si>
  <si>
    <t>93-50077</t>
  </si>
  <si>
    <t>93-50048</t>
  </si>
  <si>
    <t>93-50104</t>
  </si>
  <si>
    <t>93-931500128</t>
  </si>
  <si>
    <t>93-931500127</t>
  </si>
  <si>
    <t>93-931500268</t>
  </si>
  <si>
    <t>92-50390</t>
  </si>
  <si>
    <t>93-931500304</t>
  </si>
  <si>
    <t>93-931500248</t>
  </si>
  <si>
    <t>93-931500300</t>
  </si>
  <si>
    <t>93-931500264</t>
  </si>
  <si>
    <t>93-931500266</t>
  </si>
  <si>
    <t>93-931500263</t>
  </si>
  <si>
    <t>93-931500330</t>
  </si>
  <si>
    <t>93-931500327</t>
  </si>
  <si>
    <t>93-931500295</t>
  </si>
  <si>
    <t>93-931500358</t>
  </si>
  <si>
    <t>93-931500350</t>
  </si>
  <si>
    <t>93-931500282</t>
  </si>
  <si>
    <t>93-931500347</t>
  </si>
  <si>
    <t>93-931500375</t>
  </si>
  <si>
    <t>93-931500361</t>
  </si>
  <si>
    <t>93-931500373</t>
  </si>
  <si>
    <t>93-932500030</t>
  </si>
  <si>
    <t>93-931500401</t>
  </si>
  <si>
    <t>93-931500377</t>
  </si>
  <si>
    <t>93-931500367</t>
  </si>
  <si>
    <t>93-931500206</t>
  </si>
  <si>
    <t>93-931500196</t>
  </si>
  <si>
    <t>93-931500280</t>
  </si>
  <si>
    <t>93-931500281</t>
  </si>
  <si>
    <t>93-931500124</t>
  </si>
  <si>
    <t>93-931500333</t>
  </si>
  <si>
    <t>93-931500381</t>
  </si>
  <si>
    <t>93-931500413</t>
  </si>
  <si>
    <t>93-931500412</t>
  </si>
  <si>
    <t>93-931500191</t>
  </si>
  <si>
    <t>93-931500023</t>
  </si>
  <si>
    <t>93-931500345</t>
  </si>
  <si>
    <t>93-931500279</t>
  </si>
  <si>
    <t>93-931500287</t>
  </si>
  <si>
    <t>93-931500286</t>
  </si>
  <si>
    <t>93-931500357</t>
  </si>
  <si>
    <t>93-931500390</t>
  </si>
  <si>
    <t>93-931500328</t>
  </si>
  <si>
    <t>93-932500015</t>
  </si>
  <si>
    <t>93-931500272</t>
  </si>
  <si>
    <t>92-50268</t>
  </si>
  <si>
    <t>92-50290</t>
  </si>
  <si>
    <t>92-50392</t>
  </si>
  <si>
    <t>92-50654</t>
  </si>
  <si>
    <t>93-931500276</t>
  </si>
  <si>
    <t>93-931500407</t>
  </si>
  <si>
    <t>93-931500408</t>
  </si>
  <si>
    <t>93-931500436</t>
  </si>
  <si>
    <t>93-931500437</t>
  </si>
  <si>
    <t>93-931500494</t>
  </si>
  <si>
    <t>93-931500495</t>
  </si>
  <si>
    <t>93-931500528</t>
  </si>
  <si>
    <t>93-931500549</t>
  </si>
  <si>
    <t>93-931500428</t>
  </si>
  <si>
    <t>93-931500404</t>
  </si>
  <si>
    <t>93-931500293</t>
  </si>
  <si>
    <t>93-931500123</t>
  </si>
  <si>
    <t>93-931500163</t>
  </si>
  <si>
    <t>93-931500336</t>
  </si>
  <si>
    <t>93-931500335</t>
  </si>
  <si>
    <t>93-931500368</t>
  </si>
  <si>
    <t>93-931500151</t>
  </si>
  <si>
    <t>93-931500326</t>
  </si>
  <si>
    <t>93-931500175</t>
  </si>
  <si>
    <t>93-931500283</t>
  </si>
  <si>
    <t>93-931500420</t>
  </si>
  <si>
    <t>93-931500255</t>
  </si>
  <si>
    <t>93-931500164</t>
  </si>
  <si>
    <t>93-931500425</t>
  </si>
  <si>
    <t>93-931500414</t>
  </si>
  <si>
    <t>93-931500179</t>
  </si>
  <si>
    <t>93-931500415</t>
  </si>
  <si>
    <t>93-931500424</t>
  </si>
  <si>
    <t>93-931500240</t>
  </si>
  <si>
    <t>93-931500418</t>
  </si>
  <si>
    <t>93-931500290</t>
  </si>
  <si>
    <t>93-931500411</t>
  </si>
  <si>
    <t>93-931500313</t>
  </si>
  <si>
    <t>93-931500435</t>
  </si>
  <si>
    <t>93-931500342</t>
  </si>
  <si>
    <t>93-931500417</t>
  </si>
  <si>
    <t>93-931500421</t>
  </si>
  <si>
    <t>93-931500433</t>
  </si>
  <si>
    <t>93-931500434</t>
  </si>
  <si>
    <t>93-931500334</t>
  </si>
  <si>
    <t>93-931500451</t>
  </si>
  <si>
    <t>93-931500337</t>
  </si>
  <si>
    <t>93-931500294</t>
  </si>
  <si>
    <t>93-931500416</t>
  </si>
  <si>
    <t>93-931500397</t>
  </si>
  <si>
    <t>93-931500387</t>
  </si>
  <si>
    <t>93-931500343</t>
  </si>
  <si>
    <t>92-50512</t>
  </si>
  <si>
    <t>93-931500445</t>
  </si>
  <si>
    <t>93-932500043</t>
  </si>
  <si>
    <t>93-932500047</t>
  </si>
  <si>
    <t>93-932500041</t>
  </si>
  <si>
    <t>93-932500045</t>
  </si>
  <si>
    <t>93-931500485</t>
  </si>
  <si>
    <t>93-931500482</t>
  </si>
  <si>
    <t>93-931500363</t>
  </si>
  <si>
    <t>93-931500446</t>
  </si>
  <si>
    <t>93-931500450</t>
  </si>
  <si>
    <t>93-931500492</t>
  </si>
  <si>
    <t>93-931500372</t>
  </si>
  <si>
    <t>93-931500365</t>
  </si>
  <si>
    <t>93-931500493</t>
  </si>
  <si>
    <t>93-932500046</t>
  </si>
  <si>
    <t>93-931500455</t>
  </si>
  <si>
    <t>93-931500498</t>
  </si>
  <si>
    <t>93-931500539</t>
  </si>
  <si>
    <t>93-932500051</t>
  </si>
  <si>
    <t>93-931500476</t>
  </si>
  <si>
    <t>93-931500504</t>
  </si>
  <si>
    <t>93-931500422</t>
  </si>
  <si>
    <t>93-931500487</t>
  </si>
  <si>
    <t>93-931500391</t>
  </si>
  <si>
    <t>93-931500442</t>
  </si>
  <si>
    <t>93-931500474</t>
  </si>
  <si>
    <t>93-931500509</t>
  </si>
  <si>
    <t>93-932500049</t>
  </si>
  <si>
    <t>93-931500506</t>
  </si>
  <si>
    <t>93-931500507</t>
  </si>
  <si>
    <t>93-931500458</t>
  </si>
  <si>
    <t>93-931500354</t>
  </si>
  <si>
    <t>93-931500386</t>
  </si>
  <si>
    <t>93-931500419</t>
  </si>
  <si>
    <t>93-931500516</t>
  </si>
  <si>
    <t>93-932500014</t>
  </si>
  <si>
    <t>93-932500022</t>
  </si>
  <si>
    <t>93-932500020</t>
  </si>
  <si>
    <t>93-931500431</t>
  </si>
  <si>
    <t>91-50192</t>
  </si>
  <si>
    <t>92-50560</t>
  </si>
  <si>
    <t>93-931500308</t>
  </si>
  <si>
    <t>93-931500461</t>
  </si>
  <si>
    <t>93-931500331</t>
  </si>
  <si>
    <t>93-931500292</t>
  </si>
  <si>
    <t>93-931500278</t>
  </si>
  <si>
    <t>93-931500356</t>
  </si>
  <si>
    <t>93-931500456</t>
  </si>
  <si>
    <t>93-931500463</t>
  </si>
  <si>
    <t>93-931500393</t>
  </si>
  <si>
    <t>93-931500443</t>
  </si>
  <si>
    <t>93-931500522</t>
  </si>
  <si>
    <t>93-931500562</t>
  </si>
  <si>
    <t>93-931500475</t>
  </si>
  <si>
    <t>93-931500524</t>
  </si>
  <si>
    <t>93-931500388</t>
  </si>
  <si>
    <t>93-931500430</t>
  </si>
  <si>
    <t>93-931500439</t>
  </si>
  <si>
    <t>93-931500597</t>
  </si>
  <si>
    <t>93-931500552</t>
  </si>
  <si>
    <t>93-931500574</t>
  </si>
  <si>
    <t>93-931500564</t>
  </si>
  <si>
    <t>93-931500540</t>
  </si>
  <si>
    <t>93-931500488</t>
  </si>
  <si>
    <t>93-931500489</t>
  </si>
  <si>
    <t>93-931500297</t>
  </si>
  <si>
    <t>93-931500508</t>
  </si>
  <si>
    <t>93-931500513</t>
  </si>
  <si>
    <t>93-931500595</t>
  </si>
  <si>
    <t>93-934200003</t>
  </si>
  <si>
    <t>93-934200004</t>
  </si>
  <si>
    <t>93-931500399</t>
  </si>
  <si>
    <t>93-931500438</t>
  </si>
  <si>
    <t>93-931500392</t>
  </si>
  <si>
    <t>93-931500355</t>
  </si>
  <si>
    <t>93-931500490</t>
  </si>
  <si>
    <t>93-931500523</t>
  </si>
  <si>
    <t>93-931500520</t>
  </si>
  <si>
    <t>93-931500546</t>
  </si>
  <si>
    <t>92-50683</t>
  </si>
  <si>
    <t>92-50781</t>
  </si>
  <si>
    <t>92-50719</t>
  </si>
  <si>
    <t>92-50812</t>
  </si>
  <si>
    <t>92-50661</t>
  </si>
  <si>
    <t>92-50794</t>
  </si>
  <si>
    <t>92-50808</t>
  </si>
  <si>
    <t>92-50790</t>
  </si>
  <si>
    <t>92-50678</t>
  </si>
  <si>
    <t>92-50684</t>
  </si>
  <si>
    <t>92-50696</t>
  </si>
  <si>
    <t>92-50492</t>
  </si>
  <si>
    <t>93-931500063</t>
  </si>
  <si>
    <t>93-932500009</t>
  </si>
  <si>
    <t>92-50582</t>
  </si>
  <si>
    <t>93-931500069</t>
  </si>
  <si>
    <t>93-931500068</t>
  </si>
  <si>
    <t>92-50589</t>
  </si>
  <si>
    <t>93-931500312</t>
  </si>
  <si>
    <t>93-931500400</t>
  </si>
  <si>
    <t>93-931500346</t>
  </si>
  <si>
    <t>93-931500261</t>
  </si>
  <si>
    <t>93-931500296</t>
  </si>
  <si>
    <t>93-931500317</t>
  </si>
  <si>
    <t>93-931500239</t>
  </si>
  <si>
    <t>93-931500241</t>
  </si>
  <si>
    <t>93-932500042</t>
  </si>
  <si>
    <t>93-931500409</t>
  </si>
  <si>
    <t>93-931500394</t>
  </si>
  <si>
    <t>93-931500447</t>
  </si>
  <si>
    <t>93-931500460</t>
  </si>
  <si>
    <t>93-931500462</t>
  </si>
  <si>
    <t>93-931500369</t>
  </si>
  <si>
    <t>93-931500371</t>
  </si>
  <si>
    <t>93-931500429</t>
  </si>
  <si>
    <t>93-931500457</t>
  </si>
  <si>
    <t>93-931500459</t>
  </si>
  <si>
    <t>93-931500472</t>
  </si>
  <si>
    <t>93-931500118</t>
  </si>
  <si>
    <t>93-931500310</t>
  </si>
  <si>
    <t>93-931500306</t>
  </si>
  <si>
    <t>93-931500444</t>
  </si>
  <si>
    <t>93-931500250</t>
  </si>
  <si>
    <t>93-931500398</t>
  </si>
  <si>
    <t>93-931500453</t>
  </si>
  <si>
    <t>93-931500454</t>
  </si>
  <si>
    <t>93-931500423</t>
  </si>
  <si>
    <t>93-931500499</t>
  </si>
  <si>
    <t>93-931500531</t>
  </si>
  <si>
    <t>93-931500587</t>
  </si>
  <si>
    <t>93-931500578</t>
  </si>
  <si>
    <t>93-931500380</t>
  </si>
  <si>
    <t>93-931500583</t>
  </si>
  <si>
    <t>93-931500449</t>
  </si>
  <si>
    <t>93-931500586</t>
  </si>
  <si>
    <t>93-931500534</t>
  </si>
  <si>
    <t>93-931500537</t>
  </si>
  <si>
    <t>93-931500600</t>
  </si>
  <si>
    <t>93-932500052</t>
  </si>
  <si>
    <t>93-931500598</t>
  </si>
  <si>
    <t>93-931500432</t>
  </si>
  <si>
    <t>93-931500589</t>
  </si>
  <si>
    <t>93-931500559</t>
  </si>
  <si>
    <t>93-931500360</t>
  </si>
  <si>
    <t>93-931500102</t>
  </si>
  <si>
    <t>93-931500396</t>
  </si>
  <si>
    <t>93-931500601</t>
  </si>
  <si>
    <t>93-931500582</t>
  </si>
  <si>
    <t>93-931500581</t>
  </si>
  <si>
    <t>93-931500576</t>
  </si>
  <si>
    <t>93-932500058</t>
  </si>
  <si>
    <t>93-931500626</t>
  </si>
  <si>
    <t>93-932500059</t>
  </si>
  <si>
    <t>93-931500554</t>
  </si>
  <si>
    <t>93-931500526</t>
  </si>
  <si>
    <t>93-931500532</t>
  </si>
  <si>
    <t>93-931500570</t>
  </si>
  <si>
    <t>93-931500611</t>
  </si>
  <si>
    <t>93-931500620</t>
  </si>
  <si>
    <t>93-931500631</t>
  </si>
  <si>
    <t>93-931500517</t>
  </si>
  <si>
    <t>93-931500525</t>
  </si>
  <si>
    <t>93-931500638</t>
  </si>
  <si>
    <t>93-931500596</t>
  </si>
  <si>
    <t>93-931500502</t>
  </si>
  <si>
    <t>93-931500521</t>
  </si>
  <si>
    <t>93-931500580</t>
  </si>
  <si>
    <t>93-931500579</t>
  </si>
  <si>
    <t>93-931500666</t>
  </si>
  <si>
    <t>93-931500659</t>
  </si>
  <si>
    <t>93-931500627</t>
  </si>
  <si>
    <t>93-931500558</t>
  </si>
  <si>
    <t>93-931500634</t>
  </si>
  <si>
    <t>93-932500050</t>
  </si>
  <si>
    <t>93-931500577</t>
  </si>
  <si>
    <t>93-931500602</t>
  </si>
  <si>
    <t>93-931500636</t>
  </si>
  <si>
    <t>93-931500632</t>
  </si>
  <si>
    <t>93-931500633</t>
  </si>
  <si>
    <t>93-931500650</t>
  </si>
  <si>
    <t>93-931500621</t>
  </si>
  <si>
    <t>93-931500366</t>
  </si>
  <si>
    <t>93-931500359</t>
  </si>
  <si>
    <t>93-931500370</t>
  </si>
  <si>
    <t>93-931500623</t>
  </si>
  <si>
    <t>93-931500606</t>
  </si>
  <si>
    <t>93-931500609</t>
  </si>
  <si>
    <t>93-931500551</t>
  </si>
  <si>
    <t>93-931500518</t>
  </si>
  <si>
    <t>93-931500569</t>
  </si>
  <si>
    <t>93-931500630</t>
  </si>
  <si>
    <t>93-931500541</t>
  </si>
  <si>
    <t>93-931500585</t>
  </si>
  <si>
    <t>93-931500644</t>
  </si>
  <si>
    <t>93-931500618</t>
  </si>
  <si>
    <t>93-931500604</t>
  </si>
  <si>
    <t>93-931500584</t>
  </si>
  <si>
    <t>93-931500542</t>
  </si>
  <si>
    <t>93-931500544</t>
  </si>
  <si>
    <t>93-931500530</t>
  </si>
  <si>
    <t>93-933500004</t>
  </si>
  <si>
    <t>93-931500440</t>
  </si>
  <si>
    <t>93-931500271</t>
  </si>
  <si>
    <t>93-931500664</t>
  </si>
  <si>
    <t>93-931500603</t>
  </si>
  <si>
    <t>93-931500640</t>
  </si>
  <si>
    <t>93-931500483</t>
  </si>
  <si>
    <t>93-931500616</t>
  </si>
  <si>
    <t>93-931500649</t>
  </si>
  <si>
    <t>93-931500622</t>
  </si>
  <si>
    <t>93-932500025</t>
  </si>
  <si>
    <t>93-932500023</t>
  </si>
  <si>
    <t>93-931500619</t>
  </si>
  <si>
    <t>93-931500657</t>
  </si>
  <si>
    <t>93-931500254</t>
  </si>
  <si>
    <t>93-931500265</t>
  </si>
  <si>
    <t>93-931500641</t>
  </si>
  <si>
    <t>93-931500642</t>
  </si>
  <si>
    <t>93-931500703</t>
  </si>
  <si>
    <t>93-931500708</t>
  </si>
  <si>
    <t>93-931500715</t>
  </si>
  <si>
    <t>93-931500599</t>
  </si>
  <si>
    <t>93-931500690</t>
  </si>
  <si>
    <t>93-931500384</t>
  </si>
  <si>
    <t>93-931500593</t>
  </si>
  <si>
    <t>93-931500605</t>
  </si>
  <si>
    <t>93-931500610</t>
  </si>
  <si>
    <t>93-931500378</t>
  </si>
  <si>
    <t>93-931500573</t>
  </si>
  <si>
    <t>93-931500667</t>
  </si>
  <si>
    <t>93-931500555</t>
  </si>
  <si>
    <t>93-931500556</t>
  </si>
  <si>
    <t>93-931500671</t>
  </si>
  <si>
    <t>93-931500679</t>
  </si>
  <si>
    <t>93-931500673</t>
  </si>
  <si>
    <t>93-931500395</t>
  </si>
  <si>
    <t>93-931500696</t>
  </si>
  <si>
    <t>93-931500665</t>
  </si>
  <si>
    <t>93-931500553</t>
  </si>
  <si>
    <t>93-931500452</t>
  </si>
  <si>
    <t>93-931500629</t>
  </si>
  <si>
    <t>93-931500588</t>
  </si>
  <si>
    <t>93-931500635</t>
  </si>
  <si>
    <t>93-932500060</t>
  </si>
  <si>
    <t>93-931500646</t>
  </si>
  <si>
    <t>93-931500699</t>
  </si>
  <si>
    <t>93-931500670</t>
  </si>
  <si>
    <t>93-932500019</t>
  </si>
  <si>
    <t>93-934200007</t>
  </si>
  <si>
    <t>93-934200016</t>
  </si>
  <si>
    <t>93-934200010</t>
  </si>
  <si>
    <t>93-934200013</t>
  </si>
  <si>
    <t>93-934200017</t>
  </si>
  <si>
    <t>93-934200014</t>
  </si>
  <si>
    <t>93-934200012</t>
  </si>
  <si>
    <t>93-50003</t>
  </si>
  <si>
    <t>93-50085</t>
  </si>
  <si>
    <t>93-50092</t>
  </si>
  <si>
    <t>93-931500625</t>
  </si>
  <si>
    <t>93-931500677</t>
  </si>
  <si>
    <t>93-931500637</t>
  </si>
  <si>
    <t>93-931500661</t>
  </si>
  <si>
    <t>93-931500403</t>
  </si>
  <si>
    <t>93-931500406</t>
  </si>
  <si>
    <t>93-931500426</t>
  </si>
  <si>
    <t>93-931500441</t>
  </si>
  <si>
    <t>93-931500448</t>
  </si>
  <si>
    <t>93-931500468</t>
  </si>
  <si>
    <t>93-931500512</t>
  </si>
  <si>
    <t>93-931500519</t>
  </si>
  <si>
    <t>93-931500533</t>
  </si>
  <si>
    <t>93-931500543</t>
  </si>
  <si>
    <t>93-931500545</t>
  </si>
  <si>
    <t>93-931500548</t>
  </si>
  <si>
    <t>93-931500550</t>
  </si>
  <si>
    <t>93-931500575</t>
  </si>
  <si>
    <t>93-931500590</t>
  </si>
  <si>
    <t>93-931500591</t>
  </si>
  <si>
    <t>93-931500592</t>
  </si>
  <si>
    <t>93-931500594</t>
  </si>
  <si>
    <t>93-931500561</t>
  </si>
  <si>
    <t>93-931500571</t>
  </si>
  <si>
    <t>93-931500608</t>
  </si>
  <si>
    <t>93-931500614</t>
  </si>
  <si>
    <t>93-931500615</t>
  </si>
  <si>
    <t>93-931500624</t>
  </si>
  <si>
    <t>93-931500617</t>
  </si>
  <si>
    <t>93-931500639</t>
  </si>
  <si>
    <t>93-931500648</t>
  </si>
  <si>
    <t>93-931500652</t>
  </si>
  <si>
    <t>93-931500653</t>
  </si>
  <si>
    <t>93-931500656</t>
  </si>
  <si>
    <t>93-931500658</t>
  </si>
  <si>
    <t>93-931500660</t>
  </si>
  <si>
    <t>93-931500668</t>
  </si>
  <si>
    <t>93-931500669</t>
  </si>
  <si>
    <t>93-931500675</t>
  </si>
  <si>
    <t>93-931500676</t>
  </si>
  <si>
    <t>93-931500678</t>
  </si>
  <si>
    <t>93-931500680</t>
  </si>
  <si>
    <t>93-931500681</t>
  </si>
  <si>
    <t>93-931500686</t>
  </si>
  <si>
    <t>93-931500701</t>
  </si>
  <si>
    <t>93-931500704</t>
  </si>
  <si>
    <t>93-931500705</t>
  </si>
  <si>
    <t>93-931500706</t>
  </si>
  <si>
    <t>93-931500709</t>
  </si>
  <si>
    <t>93-931500714</t>
  </si>
  <si>
    <t>93-931500720</t>
  </si>
  <si>
    <t>93-931500724</t>
  </si>
  <si>
    <t>93-931500731</t>
  </si>
  <si>
    <t>93-931500733</t>
  </si>
  <si>
    <t>93-931500734</t>
  </si>
  <si>
    <t>93-931500737</t>
  </si>
  <si>
    <t>93-931500738</t>
  </si>
  <si>
    <t>93-931500739</t>
  </si>
  <si>
    <t>93-931500740</t>
  </si>
  <si>
    <t>93-931500742</t>
  </si>
  <si>
    <t>93-931500743</t>
  </si>
  <si>
    <t>93-931500744</t>
  </si>
  <si>
    <t>93-931500754</t>
  </si>
  <si>
    <t>93-931500752</t>
  </si>
  <si>
    <t>93-931500756</t>
  </si>
  <si>
    <t>93-931500758</t>
  </si>
  <si>
    <t>93-931500762</t>
  </si>
  <si>
    <t>93-931500763</t>
  </si>
  <si>
    <t>93-931500764</t>
  </si>
  <si>
    <t>93-931500767</t>
  </si>
  <si>
    <t>93-931500770</t>
  </si>
  <si>
    <t>93-931500771</t>
  </si>
  <si>
    <t>93-931500773</t>
  </si>
  <si>
    <t>93-931500776</t>
  </si>
  <si>
    <t>93-931500779</t>
  </si>
  <si>
    <t>93-931500780</t>
  </si>
  <si>
    <t>93-931500783</t>
  </si>
  <si>
    <t>93-931500786</t>
  </si>
  <si>
    <t>93-931500789</t>
  </si>
  <si>
    <t>93-931500716</t>
  </si>
  <si>
    <t>93-931500717</t>
  </si>
  <si>
    <t>93-931500791</t>
  </si>
  <si>
    <t>93-931500797</t>
  </si>
  <si>
    <t>93-931500803</t>
  </si>
  <si>
    <t>93-931500805</t>
  </si>
  <si>
    <t>93-931500815</t>
  </si>
  <si>
    <t>93-931500816</t>
  </si>
  <si>
    <t>93-931500817</t>
  </si>
  <si>
    <t>93-931500818</t>
  </si>
  <si>
    <t>93-931500823</t>
  </si>
  <si>
    <t>93-931500824</t>
  </si>
  <si>
    <t>93-931500825</t>
  </si>
  <si>
    <t>93-931500806</t>
  </si>
  <si>
    <t>93-931500808</t>
  </si>
  <si>
    <t>93-931500809</t>
  </si>
  <si>
    <t>93-931500811</t>
  </si>
  <si>
    <t>93-931500827</t>
  </si>
  <si>
    <t>93-931500833</t>
  </si>
  <si>
    <t>93-931500834</t>
  </si>
  <si>
    <t>93-931500835</t>
  </si>
  <si>
    <t>93-931500839</t>
  </si>
  <si>
    <t>93-931500841</t>
  </si>
  <si>
    <t>93-931500845</t>
  </si>
  <si>
    <t>93-931500848</t>
  </si>
  <si>
    <t>93-931500846</t>
  </si>
  <si>
    <t>93-931500849</t>
  </si>
  <si>
    <t>93-931500850</t>
  </si>
  <si>
    <t>93-931500851</t>
  </si>
  <si>
    <t>93-931500847</t>
  </si>
  <si>
    <t>93-931500855</t>
  </si>
  <si>
    <t>93-931500854</t>
  </si>
  <si>
    <t>93-931500861</t>
  </si>
  <si>
    <t>93-931500863</t>
  </si>
  <si>
    <t>93-931500864</t>
  </si>
  <si>
    <t>93-931500865</t>
  </si>
  <si>
    <t>93-931500427</t>
  </si>
  <si>
    <t>93-931500203</t>
  </si>
  <si>
    <t>93-931500772</t>
  </si>
  <si>
    <t>93-931500757</t>
  </si>
  <si>
    <t>93-931500745</t>
  </si>
  <si>
    <t>93-931500748</t>
  </si>
  <si>
    <t>93-931500749</t>
  </si>
  <si>
    <t>93-931500753</t>
  </si>
  <si>
    <t>93-931500741</t>
  </si>
  <si>
    <t>93-931500700</t>
  </si>
  <si>
    <t>93-931500688</t>
  </si>
  <si>
    <t>93-931500693</t>
  </si>
  <si>
    <t>93-931500694</t>
  </si>
  <si>
    <t>93-931500685</t>
  </si>
  <si>
    <t>93-931500662</t>
  </si>
  <si>
    <t>93-931500663</t>
  </si>
  <si>
    <t>93-931500607</t>
  </si>
  <si>
    <t>93-931500572</t>
  </si>
  <si>
    <t>93-931500563</t>
  </si>
  <si>
    <t>93-931500527</t>
  </si>
  <si>
    <t>93-931500484</t>
  </si>
  <si>
    <t>93-931500862</t>
  </si>
  <si>
    <t>93-931500853</t>
  </si>
  <si>
    <t>93-931500843</t>
  </si>
  <si>
    <t>93-931500812</t>
  </si>
  <si>
    <t>93-931500826</t>
  </si>
  <si>
    <t>93-931500796</t>
  </si>
  <si>
    <t>93-931500719</t>
  </si>
  <si>
    <t>93-931500790</t>
  </si>
  <si>
    <t>93-932500069</t>
  </si>
  <si>
    <t>93-933500006</t>
  </si>
  <si>
    <t>93-932500068</t>
  </si>
  <si>
    <t>93-931500727</t>
  </si>
  <si>
    <t>93-931500769</t>
  </si>
  <si>
    <t>93-931500774</t>
  </si>
  <si>
    <t>93-932500061</t>
  </si>
  <si>
    <t>93-932500062</t>
  </si>
  <si>
    <t>93-931500628</t>
  </si>
  <si>
    <t>93-931500672</t>
  </si>
  <si>
    <t>93-931500691</t>
  </si>
  <si>
    <t>93-931500535</t>
  </si>
  <si>
    <t>93-931500651</t>
  </si>
  <si>
    <t>93-931500711</t>
  </si>
  <si>
    <t>93-931500722</t>
  </si>
  <si>
    <t>93-931500750</t>
  </si>
  <si>
    <t>93-931500751</t>
  </si>
  <si>
    <t>93-931500729</t>
  </si>
  <si>
    <t>93-931500710</t>
  </si>
  <si>
    <t>93-931500761</t>
  </si>
  <si>
    <t>93-931500730</t>
  </si>
  <si>
    <t>93-931500349</t>
  </si>
  <si>
    <t>93-931500284</t>
  </si>
  <si>
    <t>93-931500713</t>
  </si>
  <si>
    <t>93-931500683</t>
  </si>
  <si>
    <t>93-931500702</t>
  </si>
  <si>
    <t>93-931500787</t>
  </si>
  <si>
    <t>93-931500798</t>
  </si>
  <si>
    <t>93-931500782</t>
  </si>
  <si>
    <t>93-931500765</t>
  </si>
  <si>
    <t>93-931500768</t>
  </si>
  <si>
    <t>93-931500655</t>
  </si>
  <si>
    <t>93-931500695</t>
  </si>
  <si>
    <t>93-931500612</t>
  </si>
  <si>
    <t>93-931500643</t>
  </si>
  <si>
    <t>93-931500726</t>
  </si>
  <si>
    <t>93-931500692</t>
  </si>
  <si>
    <t>93-931500746</t>
  </si>
  <si>
    <t>93-931500674</t>
  </si>
  <si>
    <t>93-931500682</t>
  </si>
  <si>
    <t>93-931500687</t>
  </si>
  <si>
    <t>93-934200021</t>
  </si>
  <si>
    <t>93-934200034</t>
  </si>
  <si>
    <t>93-934200027</t>
  </si>
  <si>
    <t>93-934200032</t>
  </si>
  <si>
    <t>93-931500301</t>
  </si>
  <si>
    <t>93-932500027</t>
  </si>
  <si>
    <t>93-931500277</t>
  </si>
  <si>
    <t>93-931500071</t>
  </si>
  <si>
    <t>93-931500318</t>
  </si>
  <si>
    <t>93-934200019</t>
  </si>
  <si>
    <t>93-931500879</t>
  </si>
  <si>
    <t>93-931500828</t>
  </si>
  <si>
    <t>93-931500785</t>
  </si>
  <si>
    <t>93-931500858</t>
  </si>
  <si>
    <t>93-931500840</t>
  </si>
  <si>
    <t>93-931500766</t>
  </si>
  <si>
    <t>93-931500873</t>
  </si>
  <si>
    <t>93-931500881</t>
  </si>
  <si>
    <t>93-931500888</t>
  </si>
  <si>
    <t>93-931500832</t>
  </si>
  <si>
    <t>93-931500799</t>
  </si>
  <si>
    <t>93-931500800</t>
  </si>
  <si>
    <t>93-931500874</t>
  </si>
  <si>
    <t>93-934200042</t>
  </si>
  <si>
    <t>93-934200020</t>
  </si>
  <si>
    <t>93-931500872</t>
  </si>
  <si>
    <t>93-932500073</t>
  </si>
  <si>
    <t>93-931500829</t>
  </si>
  <si>
    <t>93-931500697</t>
  </si>
  <si>
    <t>93-931500725</t>
  </si>
  <si>
    <t>93-931500732</t>
  </si>
  <si>
    <t>93-931500698</t>
  </si>
  <si>
    <t>93-931500689</t>
  </si>
  <si>
    <t>93-931500712</t>
  </si>
  <si>
    <t>93-931500723</t>
  </si>
  <si>
    <t>93-931500613</t>
  </si>
  <si>
    <t>93-931500775</t>
  </si>
  <si>
    <t>93-931500830</t>
  </si>
  <si>
    <t>93-931500898</t>
  </si>
  <si>
    <t>93-931500893</t>
  </si>
  <si>
    <t>93-931500882</t>
  </si>
  <si>
    <t>93-931500892</t>
  </si>
  <si>
    <t>93-931500860</t>
  </si>
  <si>
    <t>93-931500859</t>
  </si>
  <si>
    <t>93-931500889</t>
  </si>
  <si>
    <t>93-931500856</t>
  </si>
  <si>
    <t>93-931500814</t>
  </si>
  <si>
    <t>93-931500852</t>
  </si>
  <si>
    <t>93-931500795</t>
  </si>
  <si>
    <t>93-931500945</t>
  </si>
  <si>
    <t>93-931500684</t>
  </si>
  <si>
    <t>93-931500871</t>
  </si>
  <si>
    <t>93-931500353</t>
  </si>
  <si>
    <t>93-931500228</t>
  </si>
  <si>
    <t>93-932500083</t>
  </si>
  <si>
    <t>93-931500755</t>
  </si>
  <si>
    <t>93-931500781</t>
  </si>
  <si>
    <t>93-931500804</t>
  </si>
  <si>
    <t>93-931500802</t>
  </si>
  <si>
    <t>93-931500844</t>
  </si>
  <si>
    <t>93-932500078</t>
  </si>
  <si>
    <t>93-931500870</t>
  </si>
  <si>
    <t>93-931500923</t>
  </si>
  <si>
    <t>93-931500869</t>
  </si>
  <si>
    <t>93-931500801</t>
  </si>
  <si>
    <t>93-932500080</t>
  </si>
  <si>
    <t>93-931500908</t>
  </si>
  <si>
    <t>93-931500876</t>
  </si>
  <si>
    <t>93-931500886</t>
  </si>
  <si>
    <t>93-931500910</t>
  </si>
  <si>
    <t>93-931500944</t>
  </si>
  <si>
    <t>93-931500899</t>
  </si>
  <si>
    <t>93-932500070</t>
  </si>
  <si>
    <t>93-931500813</t>
  </si>
  <si>
    <t>93-931500747</t>
  </si>
  <si>
    <t>93-932500081</t>
  </si>
  <si>
    <t>93-931500707</t>
  </si>
  <si>
    <t>93-934200026</t>
  </si>
  <si>
    <t>93-934200047</t>
  </si>
  <si>
    <t>93-934200045</t>
  </si>
  <si>
    <t>93-934200046</t>
  </si>
  <si>
    <t>93-934200037</t>
  </si>
  <si>
    <t>93-934200036</t>
  </si>
  <si>
    <t>93-934200041</t>
  </si>
  <si>
    <t>93-931500510</t>
  </si>
  <si>
    <t>93-931500536</t>
  </si>
  <si>
    <t>93-931500728</t>
  </si>
  <si>
    <t>93-931500654</t>
  </si>
  <si>
    <t>93-931500793</t>
  </si>
  <si>
    <t>93-931500784</t>
  </si>
  <si>
    <t>93-931500831</t>
  </si>
  <si>
    <t>93-50100</t>
  </si>
  <si>
    <t>93-931500052</t>
  </si>
  <si>
    <t>93-931500076</t>
  </si>
  <si>
    <t>93-931500186</t>
  </si>
  <si>
    <t>93-931500225</t>
  </si>
  <si>
    <t>93-931500226</t>
  </si>
  <si>
    <t>93-931500237</t>
  </si>
  <si>
    <t>93-931500227</t>
  </si>
  <si>
    <t>93-931500243</t>
  </si>
  <si>
    <t>93-931500246</t>
  </si>
  <si>
    <t>93-931500247</t>
  </si>
  <si>
    <t>93-931500249</t>
  </si>
  <si>
    <t>93-931500319</t>
  </si>
  <si>
    <t>93-931500321</t>
  </si>
  <si>
    <t>93-934200002</t>
  </si>
  <si>
    <t>94-941500102</t>
  </si>
  <si>
    <t>94-941500177</t>
  </si>
  <si>
    <t>94-941500021</t>
  </si>
  <si>
    <t>94-941500125</t>
  </si>
  <si>
    <t>94-941500027</t>
  </si>
  <si>
    <t>94-941500006</t>
  </si>
  <si>
    <t>94-941500015</t>
  </si>
  <si>
    <t>94-941500009</t>
  </si>
  <si>
    <t>94-941500017</t>
  </si>
  <si>
    <t>94-941500084</t>
  </si>
  <si>
    <t>94-941500083</t>
  </si>
  <si>
    <t>94-941500089</t>
  </si>
  <si>
    <t>94-941500196</t>
  </si>
  <si>
    <t>94-941500243</t>
  </si>
  <si>
    <t>94-941500140</t>
  </si>
  <si>
    <t>93-931500914</t>
  </si>
  <si>
    <t>93-931501045</t>
  </si>
  <si>
    <t>94-941500141</t>
  </si>
  <si>
    <t>94-941500045</t>
  </si>
  <si>
    <t>94-941500104</t>
  </si>
  <si>
    <t>93-931500878</t>
  </si>
  <si>
    <t>93-931500991</t>
  </si>
  <si>
    <t>93-931500352</t>
  </si>
  <si>
    <t>94-941500007</t>
  </si>
  <si>
    <t>94-941500012</t>
  </si>
  <si>
    <t>94-941500257</t>
  </si>
  <si>
    <t>93-934200052</t>
  </si>
  <si>
    <t>93-931500915</t>
  </si>
  <si>
    <t>93-934200054</t>
  </si>
  <si>
    <t>93-934200055</t>
  </si>
  <si>
    <t>93-931501023</t>
  </si>
  <si>
    <t>93-931500992</t>
  </si>
  <si>
    <t>93-931500994</t>
  </si>
  <si>
    <t>93-931501028</t>
  </si>
  <si>
    <t>93-931501048</t>
  </si>
  <si>
    <t>94-941500035</t>
  </si>
  <si>
    <t>94-941500014</t>
  </si>
  <si>
    <t>94-941500026</t>
  </si>
  <si>
    <t>93-931500957</t>
  </si>
  <si>
    <t>93-931500984</t>
  </si>
  <si>
    <t>93-931501034</t>
  </si>
  <si>
    <t>93-931501039</t>
  </si>
  <si>
    <t>94-941500018</t>
  </si>
  <si>
    <t>93-931500718</t>
  </si>
  <si>
    <t>93-931500721</t>
  </si>
  <si>
    <t>93-931500885</t>
  </si>
  <si>
    <t>93-931500952</t>
  </si>
  <si>
    <t>93-931500950</t>
  </si>
  <si>
    <t>93-931500967</t>
  </si>
  <si>
    <t>93-931500857</t>
  </si>
  <si>
    <t>93-931500866</t>
  </si>
  <si>
    <t>93-931500895</t>
  </si>
  <si>
    <t>93-931500946</t>
  </si>
  <si>
    <t>93-931500965</t>
  </si>
  <si>
    <t>93-932500085</t>
  </si>
  <si>
    <t>93-931500939</t>
  </si>
  <si>
    <t>93-931500966</t>
  </si>
  <si>
    <t>93-931500916</t>
  </si>
  <si>
    <t>93-932500005</t>
  </si>
  <si>
    <t>93-931500332</t>
  </si>
  <si>
    <t>93-931500942</t>
  </si>
  <si>
    <t>93-933500003</t>
  </si>
  <si>
    <t>93-931500962</t>
  </si>
  <si>
    <t>93-931500903</t>
  </si>
  <si>
    <t>93-931500988</t>
  </si>
  <si>
    <t>93-931500995</t>
  </si>
  <si>
    <t>93-931500927</t>
  </si>
  <si>
    <t>93-931500976</t>
  </si>
  <si>
    <t>93-931500978</t>
  </si>
  <si>
    <t>93-931500990</t>
  </si>
  <si>
    <t>93-931500934</t>
  </si>
  <si>
    <t>93-931500920</t>
  </si>
  <si>
    <t>93-931500964</t>
  </si>
  <si>
    <t>93-931500960</t>
  </si>
  <si>
    <t>93-931500958</t>
  </si>
  <si>
    <t>93-931500953</t>
  </si>
  <si>
    <t>93-931500963</t>
  </si>
  <si>
    <t>93-931500996</t>
  </si>
  <si>
    <t>93-931500956</t>
  </si>
  <si>
    <t>93-931501049</t>
  </si>
  <si>
    <t>93-931501033</t>
  </si>
  <si>
    <t>93-931500951</t>
  </si>
  <si>
    <t>93-931501009</t>
  </si>
  <si>
    <t>93-931501042</t>
  </si>
  <si>
    <t>93-931501003</t>
  </si>
  <si>
    <t>93-931501012</t>
  </si>
  <si>
    <t>93-931500980</t>
  </si>
  <si>
    <t>93-931500999</t>
  </si>
  <si>
    <t>93-931501017</t>
  </si>
  <si>
    <t>93-931501002</t>
  </si>
  <si>
    <t>93-931501011</t>
  </si>
  <si>
    <t>94-941500002</t>
  </si>
  <si>
    <t>94-941500022</t>
  </si>
  <si>
    <t>93-931500940</t>
  </si>
  <si>
    <t>94-941500001</t>
  </si>
  <si>
    <t>94-941500004</t>
  </si>
  <si>
    <t>94-941500023</t>
  </si>
  <si>
    <t>94-941500011</t>
  </si>
  <si>
    <t>93-931501026</t>
  </si>
  <si>
    <t>94-941500042</t>
  </si>
  <si>
    <t>93-931501019</t>
  </si>
  <si>
    <t>93-931500961</t>
  </si>
  <si>
    <t>93-931501052</t>
  </si>
  <si>
    <t>94-941500047</t>
  </si>
  <si>
    <t>93-931500997</t>
  </si>
  <si>
    <t>93-931500912</t>
  </si>
  <si>
    <t>93-931500913</t>
  </si>
  <si>
    <t>93-931500902</t>
  </si>
  <si>
    <t>93-931500883</t>
  </si>
  <si>
    <t>93-931500987</t>
  </si>
  <si>
    <t>93-931500924</t>
  </si>
  <si>
    <t>93-931500954</t>
  </si>
  <si>
    <t>93-931500974</t>
  </si>
  <si>
    <t>94-941500046</t>
  </si>
  <si>
    <t>94-941500070</t>
  </si>
  <si>
    <t>94-941500069</t>
  </si>
  <si>
    <t>93-931501041</t>
  </si>
  <si>
    <t>94-941500093</t>
  </si>
  <si>
    <t>93-931501004</t>
  </si>
  <si>
    <t>94-944100004</t>
  </si>
  <si>
    <t>94-944100005</t>
  </si>
  <si>
    <t>94-942500007</t>
  </si>
  <si>
    <t>93-931501013</t>
  </si>
  <si>
    <t>93-931501020</t>
  </si>
  <si>
    <t>94-942500009</t>
  </si>
  <si>
    <t>94-941500108</t>
  </si>
  <si>
    <t>94-941500033</t>
  </si>
  <si>
    <t>94-941500049</t>
  </si>
  <si>
    <t>94-941500106</t>
  </si>
  <si>
    <t>94-941500062</t>
  </si>
  <si>
    <t>93-931501010</t>
  </si>
  <si>
    <t>93-931501022</t>
  </si>
  <si>
    <t>93-931501025</t>
  </si>
  <si>
    <t>94-941500097</t>
  </si>
  <si>
    <t>94-941500081</t>
  </si>
  <si>
    <t>93-931500993</t>
  </si>
  <si>
    <t>94-941500105</t>
  </si>
  <si>
    <t>94-941500073</t>
  </si>
  <si>
    <t>94-941500109</t>
  </si>
  <si>
    <t>94-942500006</t>
  </si>
  <si>
    <t>94-942500005</t>
  </si>
  <si>
    <t>94-941500107</t>
  </si>
  <si>
    <t>94-941500043</t>
  </si>
  <si>
    <t>94-941500034</t>
  </si>
  <si>
    <t>94-941500032</t>
  </si>
  <si>
    <t>94-941500078</t>
  </si>
  <si>
    <t>94-941500086</t>
  </si>
  <si>
    <t>94-941500110</t>
  </si>
  <si>
    <t>94-942500004</t>
  </si>
  <si>
    <t>94-941500061</t>
  </si>
  <si>
    <t>93-931500911</t>
  </si>
  <si>
    <t>93-931500985</t>
  </si>
  <si>
    <t>94-944100006</t>
  </si>
  <si>
    <t>94-944100007</t>
  </si>
  <si>
    <t>93-931501051</t>
  </si>
  <si>
    <t>94-941500010</t>
  </si>
  <si>
    <t>93-931501050</t>
  </si>
  <si>
    <t>93-931501032</t>
  </si>
  <si>
    <t>93-931500935</t>
  </si>
  <si>
    <t>93-931500921</t>
  </si>
  <si>
    <t>93-931500838</t>
  </si>
  <si>
    <t>93-931500941</t>
  </si>
  <si>
    <t>93-931500972</t>
  </si>
  <si>
    <t>93-931500930</t>
  </si>
  <si>
    <t>93-931500977</t>
  </si>
  <si>
    <t>93-931500970</t>
  </si>
  <si>
    <t>93-931501001</t>
  </si>
  <si>
    <t>93-931501046</t>
  </si>
  <si>
    <t>93-931500969</t>
  </si>
  <si>
    <t>93-931501035</t>
  </si>
  <si>
    <t>93-931500894</t>
  </si>
  <si>
    <t>93-931501036</t>
  </si>
  <si>
    <t>93-931501029</t>
  </si>
  <si>
    <t>93-931501040</t>
  </si>
  <si>
    <t>93-931500971</t>
  </si>
  <si>
    <t>93-931501047</t>
  </si>
  <si>
    <t>94-941500157</t>
  </si>
  <si>
    <t>94-942500013</t>
  </si>
  <si>
    <t>94-941500067</t>
  </si>
  <si>
    <t>94-942500016</t>
  </si>
  <si>
    <t>94-942500010</t>
  </si>
  <si>
    <t>94-941500137</t>
  </si>
  <si>
    <t>94-941500088</t>
  </si>
  <si>
    <t>94-942500011</t>
  </si>
  <si>
    <t>93-931500943</t>
  </si>
  <si>
    <t>93-931500875</t>
  </si>
  <si>
    <t>94-941500068</t>
  </si>
  <si>
    <t>93-931500968</t>
  </si>
  <si>
    <t>93-931501015</t>
  </si>
  <si>
    <t>94-941500025</t>
  </si>
  <si>
    <t>93-931500989</t>
  </si>
  <si>
    <t>93-931500975</t>
  </si>
  <si>
    <t>93-931501008</t>
  </si>
  <si>
    <t>93-931501007</t>
  </si>
  <si>
    <t>93-931500884</t>
  </si>
  <si>
    <t>93-931500981</t>
  </si>
  <si>
    <t>93-931500983</t>
  </si>
  <si>
    <t>93-931500955</t>
  </si>
  <si>
    <t>93-931501000</t>
  </si>
  <si>
    <t>93-931500998</t>
  </si>
  <si>
    <t>93-931500919</t>
  </si>
  <si>
    <t>93-931500928</t>
  </si>
  <si>
    <t>93-931500982</t>
  </si>
  <si>
    <t>93-931500901</t>
  </si>
  <si>
    <t>93-931500880</t>
  </si>
  <si>
    <t>93-931500904</t>
  </si>
  <si>
    <t>93-931500929</t>
  </si>
  <si>
    <t>93-931501018</t>
  </si>
  <si>
    <t>94-941500183</t>
  </si>
  <si>
    <t>94-941500184</t>
  </si>
  <si>
    <t>94-941500132</t>
  </si>
  <si>
    <t>94-941500150</t>
  </si>
  <si>
    <t>94-941500179</t>
  </si>
  <si>
    <t>94-942500012</t>
  </si>
  <si>
    <t>93-931501014</t>
  </si>
  <si>
    <t>94-941500048</t>
  </si>
  <si>
    <t>93-931501043</t>
  </si>
  <si>
    <t>93-931501044</t>
  </si>
  <si>
    <t>94-941500095</t>
  </si>
  <si>
    <t>94-941500163</t>
  </si>
  <si>
    <t>94-941500036</t>
  </si>
  <si>
    <t>94-941500176</t>
  </si>
  <si>
    <t>94-941500056</t>
  </si>
  <si>
    <t>94-941500114</t>
  </si>
  <si>
    <t>93-931501021</t>
  </si>
  <si>
    <t>94-941500091</t>
  </si>
  <si>
    <t>94-941500055</t>
  </si>
  <si>
    <t>94-941500024</t>
  </si>
  <si>
    <t>94-941500185</t>
  </si>
  <si>
    <t>94-942500014</t>
  </si>
  <si>
    <t>94-941500164</t>
  </si>
  <si>
    <t>94-941500156</t>
  </si>
  <si>
    <t>94-941500071</t>
  </si>
  <si>
    <t>94-941500016</t>
  </si>
  <si>
    <t>93-931500792</t>
  </si>
  <si>
    <t>93-931500938</t>
  </si>
  <si>
    <t>93-931500900</t>
  </si>
  <si>
    <t>93-931500926</t>
  </si>
  <si>
    <t>93-931500922</t>
  </si>
  <si>
    <t>93-931500917</t>
  </si>
  <si>
    <t>93-931500788</t>
  </si>
  <si>
    <t>94-941500139</t>
  </si>
  <si>
    <t>94-941500149</t>
  </si>
  <si>
    <t>94-941500057</t>
  </si>
  <si>
    <t>94-941500082</t>
  </si>
  <si>
    <t>94-941500167</t>
  </si>
  <si>
    <t>94-941500103</t>
  </si>
  <si>
    <t>94-941500168</t>
  </si>
  <si>
    <t>94-941500311</t>
  </si>
  <si>
    <t>94-941500283</t>
  </si>
  <si>
    <t>94-941500310</t>
  </si>
  <si>
    <t>94-941500315</t>
  </si>
  <si>
    <t>94-941500317</t>
  </si>
  <si>
    <t>94-941500302</t>
  </si>
  <si>
    <t>94-941500076</t>
  </si>
  <si>
    <t>94-941500155</t>
  </si>
  <si>
    <t>94-941500202</t>
  </si>
  <si>
    <t>94-941500182</t>
  </si>
  <si>
    <t>94-941500194</t>
  </si>
  <si>
    <t>94-941500136</t>
  </si>
  <si>
    <t>94-941500122</t>
  </si>
  <si>
    <t>94-942500017</t>
  </si>
  <si>
    <t>94-941500130</t>
  </si>
  <si>
    <t>94-941500037</t>
  </si>
  <si>
    <t>94-941500166</t>
  </si>
  <si>
    <t>94-941500123</t>
  </si>
  <si>
    <t>94-941500195</t>
  </si>
  <si>
    <t>94-942500021</t>
  </si>
  <si>
    <t>94-941500219</t>
  </si>
  <si>
    <t>94-941500277</t>
  </si>
  <si>
    <t>94-941500245</t>
  </si>
  <si>
    <t>94-941500186</t>
  </si>
  <si>
    <t>94-945100005</t>
  </si>
  <si>
    <t>94-941500205</t>
  </si>
  <si>
    <t>94-941500181</t>
  </si>
  <si>
    <t>94-941500173</t>
  </si>
  <si>
    <t>94-941500318</t>
  </si>
  <si>
    <t>93-934200011</t>
  </si>
  <si>
    <t>94-941500133</t>
  </si>
  <si>
    <t>94-941500330</t>
  </si>
  <si>
    <t>94-941500134</t>
  </si>
  <si>
    <t>94-941500334</t>
  </si>
  <si>
    <t>94-941500332</t>
  </si>
  <si>
    <t>94-941500329</t>
  </si>
  <si>
    <t>94-942500024</t>
  </si>
  <si>
    <t>94-945100003</t>
  </si>
  <si>
    <t>94-945100001</t>
  </si>
  <si>
    <t>94-942500027</t>
  </si>
  <si>
    <t>94-942500025</t>
  </si>
  <si>
    <t>94-945100004</t>
  </si>
  <si>
    <t>94-941500336</t>
  </si>
  <si>
    <t>94-942500023</t>
  </si>
  <si>
    <t>94-941500324</t>
  </si>
  <si>
    <t>93-931500810</t>
  </si>
  <si>
    <t>93-931500907</t>
  </si>
  <si>
    <t>93-932500082</t>
  </si>
  <si>
    <t>93-932500087</t>
  </si>
  <si>
    <t>93-931500877</t>
  </si>
  <si>
    <t>93-932500086</t>
  </si>
  <si>
    <t>93-931500867</t>
  </si>
  <si>
    <t>93-931500887</t>
  </si>
  <si>
    <t>93-931500906</t>
  </si>
  <si>
    <t>93-931500905</t>
  </si>
  <si>
    <t>93-931501031</t>
  </si>
  <si>
    <t>93-931500842</t>
  </si>
  <si>
    <t>93-931500736</t>
  </si>
  <si>
    <t>93-931500819</t>
  </si>
  <si>
    <t>93-931500837</t>
  </si>
  <si>
    <t>93-931500647</t>
  </si>
  <si>
    <t>93-931500645</t>
  </si>
  <si>
    <t>93-931500760</t>
  </si>
  <si>
    <t>93-931500759</t>
  </si>
  <si>
    <t>93-931500735</t>
  </si>
  <si>
    <t>93-931500778</t>
  </si>
  <si>
    <t>93-931500130</t>
  </si>
  <si>
    <t>93-931500156</t>
  </si>
  <si>
    <t>92-50488</t>
  </si>
  <si>
    <t>92-50531</t>
  </si>
  <si>
    <t>93-932500048</t>
  </si>
  <si>
    <t>93-931500515</t>
  </si>
  <si>
    <t>93-931500511</t>
  </si>
  <si>
    <t>93-931500514</t>
  </si>
  <si>
    <t>93-931500932</t>
  </si>
  <si>
    <t>93-931500949</t>
  </si>
  <si>
    <t>93-931501027</t>
  </si>
  <si>
    <t>93-931501037</t>
  </si>
  <si>
    <t>93-931501038</t>
  </si>
  <si>
    <t>94-941500188</t>
  </si>
  <si>
    <t>94-941500259</t>
  </si>
  <si>
    <t>94-941500180</t>
  </si>
  <si>
    <t>92-50554</t>
  </si>
  <si>
    <t>93-931500027</t>
  </si>
  <si>
    <t>93-931500011</t>
  </si>
  <si>
    <t>94-941500124</t>
  </si>
  <si>
    <t>94-941500190</t>
  </si>
  <si>
    <t>94-941500087</t>
  </si>
  <si>
    <t>94-941500229</t>
  </si>
  <si>
    <t>94-941500312</t>
  </si>
  <si>
    <t>94-941500303</t>
  </si>
  <si>
    <t>94-941500138</t>
  </si>
  <si>
    <t>94-941500320</t>
  </si>
  <si>
    <t>94-941500020</t>
  </si>
  <si>
    <t>94-941500019</t>
  </si>
  <si>
    <t>94-941500217</t>
  </si>
  <si>
    <t>94-941500210</t>
  </si>
  <si>
    <t>94-942500022</t>
  </si>
  <si>
    <t>94-944100008</t>
  </si>
  <si>
    <t>94-944100010</t>
  </si>
  <si>
    <t>94-944100009</t>
  </si>
  <si>
    <t>94-941500165</t>
  </si>
  <si>
    <t>94-941500171</t>
  </si>
  <si>
    <t>94-941500169</t>
  </si>
  <si>
    <t>94-941500220</t>
  </si>
  <si>
    <t>94-941500323</t>
  </si>
  <si>
    <t>94-941500230</t>
  </si>
  <si>
    <t>93-931500777</t>
  </si>
  <si>
    <t>94-941500128</t>
  </si>
  <si>
    <t>94-941500209</t>
  </si>
  <si>
    <t>94-942500028</t>
  </si>
  <si>
    <t>94-941500215</t>
  </si>
  <si>
    <t>94-941500246</t>
  </si>
  <si>
    <t>94-941500187</t>
  </si>
  <si>
    <t>94-941500282</t>
  </si>
  <si>
    <t>94-941500328</t>
  </si>
  <si>
    <t>94-941500072</t>
  </si>
  <si>
    <t>94-941500313</t>
  </si>
  <si>
    <t>94-941500161</t>
  </si>
  <si>
    <t>94-941500203</t>
  </si>
  <si>
    <t>94-941500162</t>
  </si>
  <si>
    <t>94-941500197</t>
  </si>
  <si>
    <t>93-931500933</t>
  </si>
  <si>
    <t>94-941500316</t>
  </si>
  <si>
    <t>94-941500337</t>
  </si>
  <si>
    <t>94-941500096</t>
  </si>
  <si>
    <t>94-941500340</t>
  </si>
  <si>
    <t>94-941500244</t>
  </si>
  <si>
    <t>94-941500357</t>
  </si>
  <si>
    <t>94-941500319</t>
  </si>
  <si>
    <t>94-941500346</t>
  </si>
  <si>
    <t>94-941500338</t>
  </si>
  <si>
    <t>94-941500341</t>
  </si>
  <si>
    <t>94-941500339</t>
  </si>
  <si>
    <t>94-942500034</t>
  </si>
  <si>
    <t>94-941500366</t>
  </si>
  <si>
    <t>94-941500119</t>
  </si>
  <si>
    <t>94-942500033</t>
  </si>
  <si>
    <t>94-941500363</t>
  </si>
  <si>
    <t>94-941500356</t>
  </si>
  <si>
    <t>94-942500040</t>
  </si>
  <si>
    <t>94-941500347</t>
  </si>
  <si>
    <t>94-942500038</t>
  </si>
  <si>
    <t>94-941500342</t>
  </si>
  <si>
    <t>94-942500030</t>
  </si>
  <si>
    <t>94-942500036</t>
  </si>
  <si>
    <t>94-942500039</t>
  </si>
  <si>
    <t>94-941500355</t>
  </si>
  <si>
    <t>94-941500348</t>
  </si>
  <si>
    <t>94-942500031</t>
  </si>
  <si>
    <t>94-941500350</t>
  </si>
  <si>
    <t>94-942500035</t>
  </si>
  <si>
    <t>94-941500361</t>
  </si>
  <si>
    <t>94-941500094</t>
  </si>
  <si>
    <t>94-941500358</t>
  </si>
  <si>
    <t>94-941500258</t>
  </si>
  <si>
    <t>94-941500343</t>
  </si>
  <si>
    <t>94-941500354</t>
  </si>
  <si>
    <t>94-941500351</t>
  </si>
  <si>
    <t>94-941500352</t>
  </si>
  <si>
    <t>94-941500345</t>
  </si>
  <si>
    <t>94-941500060</t>
  </si>
  <si>
    <t>94-941500204</t>
  </si>
  <si>
    <t>94-941500228</t>
  </si>
  <si>
    <t>93-931500931</t>
  </si>
  <si>
    <t>94-941500360</t>
  </si>
  <si>
    <t>94-942500032</t>
  </si>
  <si>
    <t>94-941500359</t>
  </si>
  <si>
    <t>94-941500344</t>
  </si>
  <si>
    <t>94-941500353</t>
  </si>
  <si>
    <t>94-941500120</t>
  </si>
  <si>
    <t>94-941500362</t>
  </si>
  <si>
    <t>94-941500370</t>
  </si>
  <si>
    <t>93-931500973</t>
  </si>
  <si>
    <t>94-941500376</t>
  </si>
  <si>
    <t>94-941500381</t>
  </si>
  <si>
    <t>93-931500948</t>
  </si>
  <si>
    <t>94-941500374</t>
  </si>
  <si>
    <t>94-941500382</t>
  </si>
  <si>
    <t>94-942500042</t>
  </si>
  <si>
    <t>94-942500043</t>
  </si>
  <si>
    <t>94-941500390</t>
  </si>
  <si>
    <t>94-941500389</t>
  </si>
  <si>
    <t>94-942500037</t>
  </si>
  <si>
    <t>94-941500242</t>
  </si>
  <si>
    <t>94-941500126</t>
  </si>
  <si>
    <t>94-941500367</t>
  </si>
  <si>
    <t>94-941500384</t>
  </si>
  <si>
    <t>94-941500377</t>
  </si>
  <si>
    <t>94-941500398</t>
  </si>
  <si>
    <t>94-941500326</t>
  </si>
  <si>
    <t>94-942500041</t>
  </si>
  <si>
    <t>shania</t>
  </si>
  <si>
    <t>u thamardi</t>
  </si>
  <si>
    <t>zahir</t>
  </si>
  <si>
    <t>94-941500368</t>
  </si>
  <si>
    <t>93-931500410</t>
  </si>
  <si>
    <t>94-942500051</t>
  </si>
  <si>
    <t>94-941500394</t>
  </si>
  <si>
    <t>94-941500364</t>
  </si>
  <si>
    <t>94-941500314</t>
  </si>
  <si>
    <t>94-941500401</t>
  </si>
  <si>
    <t>94-941500391</t>
  </si>
  <si>
    <t>94-941500373</t>
  </si>
  <si>
    <t>93-931500891</t>
  </si>
  <si>
    <t>94-941500365</t>
  </si>
  <si>
    <t>94-942500052</t>
  </si>
  <si>
    <t>94-941500399</t>
  </si>
  <si>
    <t>94-941500383</t>
  </si>
  <si>
    <t>94-941500372</t>
  </si>
  <si>
    <t>94-941500392</t>
  </si>
  <si>
    <t>94-941500397</t>
  </si>
  <si>
    <t>93-932500035</t>
  </si>
  <si>
    <t>93-934200005</t>
  </si>
  <si>
    <t>world</t>
  </si>
  <si>
    <t>92-50735</t>
  </si>
  <si>
    <t>92-50784</t>
  </si>
  <si>
    <t>92-50736</t>
  </si>
  <si>
    <t>92-50737</t>
  </si>
  <si>
    <t>92-50768</t>
  </si>
  <si>
    <t>pts</t>
  </si>
  <si>
    <t>petrohub</t>
  </si>
  <si>
    <t>94-941500404</t>
  </si>
  <si>
    <t>94-941500406</t>
  </si>
  <si>
    <t>94-941500412</t>
  </si>
  <si>
    <t>94-941500044</t>
  </si>
  <si>
    <t>94-941500400</t>
  </si>
  <si>
    <t>94-941500371</t>
  </si>
  <si>
    <t>94-941500380</t>
  </si>
  <si>
    <t>94-941500378</t>
  </si>
  <si>
    <t>94-941500393</t>
  </si>
  <si>
    <t>94-941500388</t>
  </si>
  <si>
    <t>94-941500409</t>
  </si>
  <si>
    <t>94-941500408</t>
  </si>
  <si>
    <t>94-941500008</t>
  </si>
  <si>
    <t>94-941500405</t>
  </si>
  <si>
    <t>94-941500129</t>
  </si>
  <si>
    <t>94-941500379</t>
  </si>
  <si>
    <t>94-941500492</t>
  </si>
  <si>
    <t>94-941500533</t>
  </si>
  <si>
    <t>94-941500486</t>
  </si>
  <si>
    <t>94-941500509</t>
  </si>
  <si>
    <t>94-941500490</t>
  </si>
  <si>
    <t>94-941500500</t>
  </si>
  <si>
    <t>94-941500491</t>
  </si>
  <si>
    <t>93-934200040</t>
  </si>
  <si>
    <t>commers</t>
  </si>
  <si>
    <t>89-50551</t>
  </si>
  <si>
    <t>90-50102</t>
  </si>
  <si>
    <t>90-50568</t>
  </si>
  <si>
    <t>90-50624</t>
  </si>
  <si>
    <t>90-50625</t>
  </si>
  <si>
    <t>90-50713</t>
  </si>
  <si>
    <t>90-50829</t>
  </si>
  <si>
    <t>90-50843</t>
  </si>
  <si>
    <t>90-50845</t>
  </si>
  <si>
    <t>90-50867</t>
  </si>
  <si>
    <t>90-50868</t>
  </si>
  <si>
    <t>90-50956</t>
  </si>
  <si>
    <t>90-50973</t>
  </si>
  <si>
    <t>90-51017</t>
  </si>
  <si>
    <t>90-51037</t>
  </si>
  <si>
    <t>90-51426</t>
  </si>
  <si>
    <t>90-51427</t>
  </si>
  <si>
    <t>90-51472</t>
  </si>
  <si>
    <t>91-50312</t>
  </si>
  <si>
    <t>91-51016</t>
  </si>
  <si>
    <t>91-51037</t>
  </si>
  <si>
    <t>91-51341</t>
  </si>
  <si>
    <t>91-51342</t>
  </si>
  <si>
    <t>golden way</t>
  </si>
  <si>
    <t>84-6</t>
  </si>
  <si>
    <t>84-5</t>
  </si>
  <si>
    <t>84-24</t>
  </si>
  <si>
    <t>84-30</t>
  </si>
  <si>
    <t>84-91</t>
  </si>
  <si>
    <t>84-95</t>
  </si>
  <si>
    <t>84-96</t>
  </si>
  <si>
    <t>84-113</t>
  </si>
  <si>
    <t>84-161</t>
  </si>
  <si>
    <t>84-174</t>
  </si>
  <si>
    <t>84-185</t>
  </si>
  <si>
    <t>88-50739</t>
  </si>
  <si>
    <t>89-20074</t>
  </si>
  <si>
    <t>89-20079</t>
  </si>
  <si>
    <t>89-20083</t>
  </si>
  <si>
    <t>89-20084</t>
  </si>
  <si>
    <t>89-20087</t>
  </si>
  <si>
    <t>90-20012</t>
  </si>
  <si>
    <t>90-20013</t>
  </si>
  <si>
    <t>فراشیمی روز</t>
  </si>
  <si>
    <t>94-942500068</t>
  </si>
  <si>
    <t>94-942500065</t>
  </si>
  <si>
    <t>94-941500555</t>
  </si>
  <si>
    <t>94-941500522</t>
  </si>
  <si>
    <t>94-941500521</t>
  </si>
  <si>
    <t>94-942500061</t>
  </si>
  <si>
    <t>94-941500524</t>
  </si>
  <si>
    <t>94-942500059</t>
  </si>
  <si>
    <t>94-942500060</t>
  </si>
  <si>
    <t>94-941500480</t>
  </si>
  <si>
    <t>حسن کمانی</t>
  </si>
  <si>
    <t>94-942500073</t>
  </si>
  <si>
    <t>obaid</t>
  </si>
  <si>
    <t>90-51013</t>
  </si>
  <si>
    <t>92-50765</t>
  </si>
  <si>
    <t>93-931500012</t>
  </si>
  <si>
    <t>93-931500070</t>
  </si>
  <si>
    <t>gas co</t>
  </si>
  <si>
    <t>تاریخ خروج</t>
  </si>
  <si>
    <t>نامشخص</t>
  </si>
  <si>
    <t>shining gulf</t>
  </si>
  <si>
    <t>94-941500369</t>
  </si>
  <si>
    <t>94-941500387</t>
  </si>
  <si>
    <t>94-941500386</t>
  </si>
  <si>
    <t>94-941500113</t>
  </si>
  <si>
    <t>94-941500127</t>
  </si>
  <si>
    <t>94-941500402</t>
  </si>
  <si>
    <t>94-941500496</t>
  </si>
  <si>
    <t>94-941500495</t>
  </si>
  <si>
    <t>94-941500505</t>
  </si>
  <si>
    <t>94-941500506</t>
  </si>
  <si>
    <t>94-941500385</t>
  </si>
  <si>
    <t>94-941500395</t>
  </si>
  <si>
    <t>94-941500499</t>
  </si>
  <si>
    <t>94-942500067</t>
  </si>
  <si>
    <t>94-942500070</t>
  </si>
  <si>
    <t>94-941500484</t>
  </si>
  <si>
    <t>94-941500485</t>
  </si>
  <si>
    <t>94-941500483</t>
  </si>
  <si>
    <t>94-941500482</t>
  </si>
  <si>
    <t>94-941500529</t>
  </si>
  <si>
    <t>94-941500528</t>
  </si>
  <si>
    <t>94-941500481</t>
  </si>
  <si>
    <t>94-941500530</t>
  </si>
  <si>
    <t>94-944200077</t>
  </si>
  <si>
    <t>94-944200078</t>
  </si>
  <si>
    <t>94-944200081</t>
  </si>
  <si>
    <t>94-944200089</t>
  </si>
  <si>
    <t>94-944200088</t>
  </si>
  <si>
    <t>94-944200090</t>
  </si>
  <si>
    <t>94-944200091</t>
  </si>
  <si>
    <t>94-941500013</t>
  </si>
  <si>
    <t>94-941500569</t>
  </si>
  <si>
    <t>94-941500571</t>
  </si>
  <si>
    <t>94-941500579</t>
  </si>
  <si>
    <t>94-941500580</t>
  </si>
  <si>
    <t>94-941500544</t>
  </si>
  <si>
    <t>94-941500554</t>
  </si>
  <si>
    <t>94-941500497</t>
  </si>
  <si>
    <t>94-942500089</t>
  </si>
  <si>
    <t>94-941500650</t>
  </si>
  <si>
    <t>94-941500624</t>
  </si>
  <si>
    <t>94-941500598</t>
  </si>
  <si>
    <t>94-941500606</t>
  </si>
  <si>
    <t>94-941500622</t>
  </si>
  <si>
    <t>94-941500607</t>
  </si>
  <si>
    <t>94-941500611</t>
  </si>
  <si>
    <t>94-941500637</t>
  </si>
  <si>
    <t>94-941500609</t>
  </si>
  <si>
    <t>94-941500629</t>
  </si>
  <si>
    <t>94-941500604</t>
  </si>
  <si>
    <t>94-941500610</t>
  </si>
  <si>
    <t>94-941500636</t>
  </si>
  <si>
    <t>94-941500628</t>
  </si>
  <si>
    <t>94-941500599</t>
  </si>
  <si>
    <t>94-941500612</t>
  </si>
  <si>
    <t>94-941500630</t>
  </si>
  <si>
    <t>94-941500635</t>
  </si>
  <si>
    <t>94-941500620</t>
  </si>
  <si>
    <t>94-941500671</t>
  </si>
  <si>
    <t>94-941500676</t>
  </si>
  <si>
    <t>94-941500666</t>
  </si>
  <si>
    <t>94-941500672</t>
  </si>
  <si>
    <t>94-941500675</t>
  </si>
  <si>
    <t>94-941500673</t>
  </si>
  <si>
    <t>94-941500680</t>
  </si>
  <si>
    <t>94-941500665</t>
  </si>
  <si>
    <t>94-941500662</t>
  </si>
  <si>
    <t>94-941500658</t>
  </si>
  <si>
    <t>94-941500651</t>
  </si>
  <si>
    <t>94-941500652</t>
  </si>
  <si>
    <t>94-941500657</t>
  </si>
  <si>
    <t>94-941500646</t>
  </si>
  <si>
    <t>94-941500645</t>
  </si>
  <si>
    <t>94-941500653</t>
  </si>
  <si>
    <t>94-941500655</t>
  </si>
  <si>
    <t>94-941500656</t>
  </si>
  <si>
    <t>94-941500643</t>
  </si>
  <si>
    <t>94-941500642</t>
  </si>
  <si>
    <t>94-941500654</t>
  </si>
  <si>
    <t>94-941500647</t>
  </si>
  <si>
    <t>94-941500601</t>
  </si>
  <si>
    <t>94-941500600</t>
  </si>
  <si>
    <t>94-941500605</t>
  </si>
  <si>
    <t>94-941500621</t>
  </si>
  <si>
    <t>94/12/18</t>
  </si>
  <si>
    <t>94-941500695</t>
  </si>
  <si>
    <t>94-941500697</t>
  </si>
  <si>
    <t>94-941500710</t>
  </si>
  <si>
    <t>94-941500689</t>
  </si>
  <si>
    <t>94-941500778</t>
  </si>
  <si>
    <t>94-941500753</t>
  </si>
  <si>
    <t>94-941500698</t>
  </si>
  <si>
    <t>94-941500758</t>
  </si>
  <si>
    <t>94-941500644</t>
  </si>
  <si>
    <t>94-941500757</t>
  </si>
  <si>
    <t>94-941500754</t>
  </si>
  <si>
    <t>94-941500678</t>
  </si>
  <si>
    <t>94-941500696</t>
  </si>
  <si>
    <t>94-941500663</t>
  </si>
  <si>
    <t>94-941500664</t>
  </si>
  <si>
    <t>94-941500704</t>
  </si>
  <si>
    <t>94-941500688</t>
  </si>
  <si>
    <t>94-941500727</t>
  </si>
  <si>
    <t>94-941500781</t>
  </si>
  <si>
    <t>94-941500674</t>
  </si>
  <si>
    <t>94-941500679</t>
  </si>
  <si>
    <t>94-941500691</t>
  </si>
  <si>
    <t>94-941500660</t>
  </si>
  <si>
    <t>94-941500694</t>
  </si>
  <si>
    <t>94-941500681</t>
  </si>
  <si>
    <t>94-941500772</t>
  </si>
  <si>
    <t>94-941500759</t>
  </si>
  <si>
    <t>94-941500703</t>
  </si>
  <si>
    <t>94-941500780</t>
  </si>
  <si>
    <t>94-941500407</t>
  </si>
  <si>
    <t>94-941500740</t>
  </si>
  <si>
    <t>94-941500706</t>
  </si>
  <si>
    <t>94-941500619</t>
  </si>
  <si>
    <t>94-941500632</t>
  </si>
  <si>
    <t>94-941500722</t>
  </si>
  <si>
    <t>94-941500699</t>
  </si>
  <si>
    <t>94-941500701</t>
  </si>
  <si>
    <t>94-941500661</t>
  </si>
  <si>
    <t>94-941500690</t>
  </si>
  <si>
    <t>94-942500091</t>
  </si>
  <si>
    <t>94-942500100</t>
  </si>
  <si>
    <t>94-941500608</t>
  </si>
  <si>
    <t>94-941500721</t>
  </si>
  <si>
    <t>94-941500649</t>
  </si>
  <si>
    <t>94-941500641</t>
  </si>
  <si>
    <t>94-941500640</t>
  </si>
  <si>
    <t>94-941500677</t>
  </si>
  <si>
    <t>50100-7166451</t>
  </si>
  <si>
    <t>50100-7163092</t>
  </si>
  <si>
    <t>50100-7160987</t>
  </si>
  <si>
    <t>50100-7150210</t>
  </si>
  <si>
    <t>50100-7129007</t>
  </si>
  <si>
    <t>50100-7133359</t>
  </si>
  <si>
    <t>50100-7156388</t>
  </si>
  <si>
    <t>50100-7166844</t>
  </si>
  <si>
    <t>50100-7164770</t>
  </si>
  <si>
    <t>50100-7114515</t>
  </si>
  <si>
    <t>50100-7129133</t>
  </si>
  <si>
    <t>50100-7138613</t>
  </si>
  <si>
    <t>50100-7151303</t>
  </si>
  <si>
    <t>50100-7162812</t>
  </si>
  <si>
    <t>50100-7163156</t>
  </si>
  <si>
    <t>50100-7166155</t>
  </si>
  <si>
    <t>95/01/10</t>
  </si>
  <si>
    <t>95/01/22</t>
  </si>
  <si>
    <t>95/01/14</t>
  </si>
  <si>
    <t>95/01/17</t>
  </si>
  <si>
    <t>95/01/24</t>
  </si>
  <si>
    <t>95/01/08</t>
  </si>
  <si>
    <t>95/01/16</t>
  </si>
  <si>
    <t>95/01/09</t>
  </si>
  <si>
    <t>95/01/15</t>
  </si>
  <si>
    <t>95/01/18</t>
  </si>
  <si>
    <t>95/01/23</t>
  </si>
  <si>
    <t>95/01/21</t>
  </si>
  <si>
    <t>94-941500498</t>
  </si>
  <si>
    <t>94-941500633</t>
  </si>
  <si>
    <t>94-941500631</t>
  </si>
  <si>
    <t>94-941500602</t>
  </si>
  <si>
    <t>94-941500793</t>
  </si>
  <si>
    <t>94-941500791</t>
  </si>
  <si>
    <t>94-941500816</t>
  </si>
  <si>
    <t>94-941500784</t>
  </si>
  <si>
    <t>94-941500746</t>
  </si>
  <si>
    <t>94-941500795</t>
  </si>
  <si>
    <t>94-941500790</t>
  </si>
  <si>
    <t>94-941500745</t>
  </si>
  <si>
    <t>94-941500751</t>
  </si>
  <si>
    <t>94-941500788</t>
  </si>
  <si>
    <t>94-941500700</t>
  </si>
  <si>
    <t>94-941500830</t>
  </si>
  <si>
    <t>94-941500739</t>
  </si>
  <si>
    <t>94-941500752</t>
  </si>
  <si>
    <t>94-941500792</t>
  </si>
  <si>
    <t>94-941500798</t>
  </si>
  <si>
    <t>94-941500815</t>
  </si>
  <si>
    <t>94-941500817</t>
  </si>
  <si>
    <t>95-951500017</t>
  </si>
  <si>
    <t>95-952500001</t>
  </si>
  <si>
    <t>94-941500843</t>
  </si>
  <si>
    <t>94-941500702</t>
  </si>
  <si>
    <t>95-951500009</t>
  </si>
  <si>
    <t>95-951500004</t>
  </si>
  <si>
    <t>95-951500002</t>
  </si>
  <si>
    <t>95-951500001</t>
  </si>
  <si>
    <t>95-951500014</t>
  </si>
  <si>
    <t>95-951500021</t>
  </si>
  <si>
    <t>94-941500804</t>
  </si>
  <si>
    <t>94-941500836</t>
  </si>
  <si>
    <t>94-941500823</t>
  </si>
  <si>
    <t>94-941500741</t>
  </si>
  <si>
    <t>95-954100001</t>
  </si>
  <si>
    <t>94-941500851</t>
  </si>
  <si>
    <t>94-941500840</t>
  </si>
  <si>
    <t>94-941500846</t>
  </si>
  <si>
    <t>95-951500015</t>
  </si>
  <si>
    <t>95-951500003</t>
  </si>
  <si>
    <t>95-951500007</t>
  </si>
  <si>
    <t>94-941500821</t>
  </si>
  <si>
    <t>richmond mercantile</t>
  </si>
  <si>
    <t>87-20050</t>
  </si>
  <si>
    <t>87-20060</t>
  </si>
  <si>
    <t>87-20125</t>
  </si>
  <si>
    <t>87-20183</t>
  </si>
  <si>
    <t>تسویه نشده</t>
  </si>
  <si>
    <t>تسویه شده</t>
  </si>
  <si>
    <t>تسویه جاری</t>
  </si>
  <si>
    <t>92-50032</t>
  </si>
  <si>
    <t>92-50042</t>
  </si>
  <si>
    <t>92-50092</t>
  </si>
  <si>
    <t>92-50120</t>
  </si>
  <si>
    <t>92-50280</t>
  </si>
  <si>
    <t>92-50405</t>
  </si>
  <si>
    <t>93-934100018</t>
  </si>
  <si>
    <t>JANSON</t>
  </si>
  <si>
    <t>93-931500120</t>
  </si>
  <si>
    <t>janson1</t>
  </si>
  <si>
    <t>beijin</t>
  </si>
  <si>
    <t>15100-257778</t>
  </si>
  <si>
    <t>15100-258741</t>
  </si>
  <si>
    <t>15100-254644</t>
  </si>
  <si>
    <t>15100-255677</t>
  </si>
  <si>
    <t>15100-256577</t>
  </si>
  <si>
    <t>15100-255068</t>
  </si>
  <si>
    <t>15100-257156</t>
  </si>
  <si>
    <t>50100-7177988</t>
  </si>
  <si>
    <t>50100-7207919</t>
  </si>
  <si>
    <t>50100-7203544</t>
  </si>
  <si>
    <t>50100-7193021</t>
  </si>
  <si>
    <t>50100-7177375</t>
  </si>
  <si>
    <t>50100-7207661</t>
  </si>
  <si>
    <t>50100-7206536</t>
  </si>
  <si>
    <t>50100-7206267</t>
  </si>
  <si>
    <t>50100-7199149</t>
  </si>
  <si>
    <t>50100-7198334</t>
  </si>
  <si>
    <t>50100-7203514</t>
  </si>
  <si>
    <t>50100-7216906</t>
  </si>
  <si>
    <t>50100-7180409</t>
  </si>
  <si>
    <t>50100-7206735</t>
  </si>
  <si>
    <t>50100-7180604</t>
  </si>
  <si>
    <t>50100-7174908</t>
  </si>
  <si>
    <t>50100-7167912</t>
  </si>
  <si>
    <t>50100-7207313</t>
  </si>
  <si>
    <t>50100-7200455</t>
  </si>
  <si>
    <t>50100-7207118</t>
  </si>
  <si>
    <t>50100-7217222</t>
  </si>
  <si>
    <t>50100-7207784</t>
  </si>
  <si>
    <t>50100-7188133</t>
  </si>
  <si>
    <t>50100-7206436</t>
  </si>
  <si>
    <t>50100-7217006</t>
  </si>
  <si>
    <t>50100-7178666</t>
  </si>
  <si>
    <t>50100-7187739</t>
  </si>
  <si>
    <t>50100-7207577</t>
  </si>
  <si>
    <t>50100-7207430</t>
  </si>
  <si>
    <t>50100-7216643</t>
  </si>
  <si>
    <t>50100-7176974</t>
  </si>
  <si>
    <t>50100-7198818</t>
  </si>
  <si>
    <t>50100-7199815</t>
  </si>
  <si>
    <t>50100-7183827</t>
  </si>
  <si>
    <t>50100-7188433</t>
  </si>
  <si>
    <t>50100-7209733</t>
  </si>
  <si>
    <t>50100-7209598</t>
  </si>
  <si>
    <t>50100-7187649</t>
  </si>
  <si>
    <t>50100-7173454</t>
  </si>
  <si>
    <t>50100-7174774</t>
  </si>
  <si>
    <t>50100-7180676</t>
  </si>
  <si>
    <t>50100-7216035</t>
  </si>
  <si>
    <t>50100-7207199</t>
  </si>
  <si>
    <t>50100-7206869</t>
  </si>
  <si>
    <t>50100-7186151</t>
  </si>
  <si>
    <t>50100-7207037</t>
  </si>
  <si>
    <t>50100-7207460</t>
  </si>
  <si>
    <t>50100-7210890</t>
  </si>
  <si>
    <t>50100-7180478</t>
  </si>
  <si>
    <t>50100-7206934</t>
  </si>
  <si>
    <t>50100-7207535</t>
  </si>
  <si>
    <t>50100-7216486</t>
  </si>
  <si>
    <t>50100-7215732</t>
  </si>
  <si>
    <t>50100-7179241</t>
  </si>
  <si>
    <t>50100-7200051</t>
  </si>
  <si>
    <t>50100-7210592</t>
  </si>
  <si>
    <t>50100-7191379</t>
  </si>
  <si>
    <t>50100-7167864</t>
  </si>
  <si>
    <t>50100-7199475</t>
  </si>
  <si>
    <t>95/01/28</t>
  </si>
  <si>
    <t>95/01/26</t>
  </si>
  <si>
    <t>95/01/29</t>
  </si>
  <si>
    <t>95/01/30</t>
  </si>
  <si>
    <t>95/01/31</t>
  </si>
  <si>
    <t>95/01/25</t>
  </si>
  <si>
    <t>95/02/04</t>
  </si>
  <si>
    <t>95/02/01</t>
  </si>
  <si>
    <t>95/02/06</t>
  </si>
  <si>
    <t>95/02/05</t>
  </si>
  <si>
    <t>94-941500813</t>
  </si>
  <si>
    <t>94-941500773</t>
  </si>
  <si>
    <t>94-941500783</t>
  </si>
  <si>
    <t>94-941500725</t>
  </si>
  <si>
    <t>94-941500713</t>
  </si>
  <si>
    <t>94-941500832</t>
  </si>
  <si>
    <t>94-941500717</t>
  </si>
  <si>
    <t>95-951500038</t>
  </si>
  <si>
    <t>94-941500716</t>
  </si>
  <si>
    <t>94-941500714</t>
  </si>
  <si>
    <t>95-951500012</t>
  </si>
  <si>
    <t>94-941500729</t>
  </si>
  <si>
    <t>94-941500712</t>
  </si>
  <si>
    <t>94-941500834</t>
  </si>
  <si>
    <t>95-951500013</t>
  </si>
  <si>
    <t>94-941500845</t>
  </si>
  <si>
    <t>94-941500810</t>
  </si>
  <si>
    <t>94-941500829</t>
  </si>
  <si>
    <t>94-941500838</t>
  </si>
  <si>
    <t>95-951500025</t>
  </si>
  <si>
    <t>95-951500057</t>
  </si>
  <si>
    <t>94-941500848</t>
  </si>
  <si>
    <t>95-951500056</t>
  </si>
  <si>
    <t>95-951500033</t>
  </si>
  <si>
    <t>95-951500086</t>
  </si>
  <si>
    <t>95-951500023</t>
  </si>
  <si>
    <t>95-951500030</t>
  </si>
  <si>
    <t>95-951500005</t>
  </si>
  <si>
    <t>95-951500006</t>
  </si>
  <si>
    <t>95-951500043</t>
  </si>
  <si>
    <t>95-951500019</t>
  </si>
  <si>
    <t>95-951500024</t>
  </si>
  <si>
    <t>95-951500045</t>
  </si>
  <si>
    <t>95-951500028</t>
  </si>
  <si>
    <t>95-951500085</t>
  </si>
  <si>
    <t>95-951500008</t>
  </si>
  <si>
    <t>95-951500075</t>
  </si>
  <si>
    <t>95-951500059</t>
  </si>
  <si>
    <t>95-951500060</t>
  </si>
  <si>
    <t>95-951500042</t>
  </si>
  <si>
    <t>95-951500020</t>
  </si>
  <si>
    <t>95-951500087</t>
  </si>
  <si>
    <t>95-951500022</t>
  </si>
  <si>
    <t>95-951500027</t>
  </si>
  <si>
    <t>95-951500041</t>
  </si>
  <si>
    <t>95-952500002</t>
  </si>
  <si>
    <t>94-941500805</t>
  </si>
  <si>
    <t>95-951500066</t>
  </si>
  <si>
    <t>95-951500067</t>
  </si>
  <si>
    <t>95-951500034</t>
  </si>
  <si>
    <t>95-951500018</t>
  </si>
  <si>
    <t>95-951500070</t>
  </si>
  <si>
    <t>95-951500036</t>
  </si>
  <si>
    <t>95-951500040</t>
  </si>
  <si>
    <t>95-951500100</t>
  </si>
  <si>
    <t>95-951500026</t>
  </si>
  <si>
    <t>95-954100003</t>
  </si>
  <si>
    <t>apa</t>
  </si>
  <si>
    <t>15100-268142</t>
  </si>
  <si>
    <t>15100-269647</t>
  </si>
  <si>
    <t>15100-263128</t>
  </si>
  <si>
    <t>15100-261536</t>
  </si>
  <si>
    <t>15100-263167</t>
  </si>
  <si>
    <t>15100-270879</t>
  </si>
  <si>
    <t>15100-270400</t>
  </si>
  <si>
    <t>15100-261973</t>
  </si>
  <si>
    <t>15100-262524</t>
  </si>
  <si>
    <t>15100-263633</t>
  </si>
  <si>
    <t>15100-266128</t>
  </si>
  <si>
    <t>15100-270327</t>
  </si>
  <si>
    <t>15100-268094</t>
  </si>
  <si>
    <t>15100-271389</t>
  </si>
  <si>
    <t>15100-272582</t>
  </si>
  <si>
    <t>15100-260392</t>
  </si>
  <si>
    <t>15100-268088</t>
  </si>
  <si>
    <t>15100-271515</t>
  </si>
  <si>
    <t>15100-270750</t>
  </si>
  <si>
    <t>15100-261563</t>
  </si>
  <si>
    <t>15100-272621</t>
  </si>
  <si>
    <t>15100-267596</t>
  </si>
  <si>
    <t>15100-260877</t>
  </si>
  <si>
    <t>15100-269203</t>
  </si>
  <si>
    <t>15100-269764</t>
  </si>
  <si>
    <t>15100-271419</t>
  </si>
  <si>
    <t>15100-263615</t>
  </si>
  <si>
    <t>15100-272672</t>
  </si>
  <si>
    <t>15100-265533</t>
  </si>
  <si>
    <t>15100-266068</t>
  </si>
  <si>
    <t>15100-264476</t>
  </si>
  <si>
    <t>15100-259780</t>
  </si>
  <si>
    <t>15100-264833</t>
  </si>
  <si>
    <t>15100-263140</t>
  </si>
  <si>
    <t>95/02/21</t>
  </si>
  <si>
    <t>95/02/25</t>
  </si>
  <si>
    <t>95/02/26</t>
  </si>
  <si>
    <t>95/02/09</t>
  </si>
  <si>
    <t>95/02/22</t>
  </si>
  <si>
    <t>95/02/19</t>
  </si>
  <si>
    <t>95/02/27</t>
  </si>
  <si>
    <t>95/02/29</t>
  </si>
  <si>
    <t>95/02/23</t>
  </si>
  <si>
    <t>95/02/20</t>
  </si>
  <si>
    <t>95/02/07</t>
  </si>
  <si>
    <t>95/02/08</t>
  </si>
  <si>
    <t>95/02/11</t>
  </si>
  <si>
    <t>95/02/18</t>
  </si>
  <si>
    <t>95/02/28</t>
  </si>
  <si>
    <t>95/02/30</t>
  </si>
  <si>
    <t>95/02/15</t>
  </si>
  <si>
    <t>95/02/13</t>
  </si>
  <si>
    <t>95/02/14</t>
  </si>
  <si>
    <t>95/02/12</t>
  </si>
  <si>
    <t>94-941500718</t>
  </si>
  <si>
    <t>95-951500133</t>
  </si>
  <si>
    <t>94-941500715</t>
  </si>
  <si>
    <t>94-941500808</t>
  </si>
  <si>
    <t>94-941500849</t>
  </si>
  <si>
    <t>94-941500835</t>
  </si>
  <si>
    <t>94-941500705</t>
  </si>
  <si>
    <t>94-941500774</t>
  </si>
  <si>
    <t>94-941500785</t>
  </si>
  <si>
    <t>95-951500099</t>
  </si>
  <si>
    <t>95-951500098</t>
  </si>
  <si>
    <t>94-941500819</t>
  </si>
  <si>
    <t>94-941500844</t>
  </si>
  <si>
    <t>94-941500818</t>
  </si>
  <si>
    <t>94-941500771</t>
  </si>
  <si>
    <t>95-951500103</t>
  </si>
  <si>
    <t>94-941500806</t>
  </si>
  <si>
    <t>94-941500799</t>
  </si>
  <si>
    <t>95-951500050</t>
  </si>
  <si>
    <t>95-951500163</t>
  </si>
  <si>
    <t>94-941500730</t>
  </si>
  <si>
    <t>94-941500820</t>
  </si>
  <si>
    <t>94-941500809</t>
  </si>
  <si>
    <t>94-941500807</t>
  </si>
  <si>
    <t>95-951500120</t>
  </si>
  <si>
    <t>91-50449</t>
  </si>
  <si>
    <t>91-50503</t>
  </si>
  <si>
    <t>pars arab</t>
  </si>
  <si>
    <t>15100-277132</t>
  </si>
  <si>
    <t>15100-273250</t>
  </si>
  <si>
    <t>15100-273163</t>
  </si>
  <si>
    <t>15100-279022</t>
  </si>
  <si>
    <t>15100-275496</t>
  </si>
  <si>
    <t>15100-274325</t>
  </si>
  <si>
    <t>15100-278501</t>
  </si>
  <si>
    <t>15100-273757</t>
  </si>
  <si>
    <t>15100-274361</t>
  </si>
  <si>
    <t>15100-274944</t>
  </si>
  <si>
    <t>15100-275927</t>
  </si>
  <si>
    <t>15100-275502</t>
  </si>
  <si>
    <t>15100-273271</t>
  </si>
  <si>
    <t>15100-275916</t>
  </si>
  <si>
    <t>15100-275508</t>
  </si>
  <si>
    <t>15100-275969</t>
  </si>
  <si>
    <t>15100-274932</t>
  </si>
  <si>
    <t>50100-7382663</t>
  </si>
  <si>
    <t>50100-7333773</t>
  </si>
  <si>
    <t>50100-7238351</t>
  </si>
  <si>
    <t>50100-7325374</t>
  </si>
  <si>
    <t>50100-7272571</t>
  </si>
  <si>
    <t>50100-7333942</t>
  </si>
  <si>
    <t>50100-7310706</t>
  </si>
  <si>
    <t>50100-7365299</t>
  </si>
  <si>
    <t>50100-7279370</t>
  </si>
  <si>
    <t>50100-7346574</t>
  </si>
  <si>
    <t>50100-7351661</t>
  </si>
  <si>
    <t>50100-7312945</t>
  </si>
  <si>
    <t>50100-7299447</t>
  </si>
  <si>
    <t>50100-7233110</t>
  </si>
  <si>
    <t>50100-7237755</t>
  </si>
  <si>
    <t>50100-7260217</t>
  </si>
  <si>
    <t>50100-7228032</t>
  </si>
  <si>
    <t>50100-7342860</t>
  </si>
  <si>
    <t>50100-7338415</t>
  </si>
  <si>
    <t>50100-7303503</t>
  </si>
  <si>
    <t>50100-7373569</t>
  </si>
  <si>
    <t>50100-7349014</t>
  </si>
  <si>
    <t>50100-7299831</t>
  </si>
  <si>
    <t>50100-7359712</t>
  </si>
  <si>
    <t>50100-7373627</t>
  </si>
  <si>
    <t>50100-7291280</t>
  </si>
  <si>
    <t>50100-7313534</t>
  </si>
  <si>
    <t>50100-7325251</t>
  </si>
  <si>
    <t>50100-7310323</t>
  </si>
  <si>
    <t>50100-7356242</t>
  </si>
  <si>
    <t>50100-7365745</t>
  </si>
  <si>
    <t>50100-7325473</t>
  </si>
  <si>
    <t>50100-7251013</t>
  </si>
  <si>
    <t>50100-7257511</t>
  </si>
  <si>
    <t>50100-7339462</t>
  </si>
  <si>
    <t>50100-7291394</t>
  </si>
  <si>
    <t>50100-7338681</t>
  </si>
  <si>
    <t>50100-7244280</t>
  </si>
  <si>
    <t>50100-7356284</t>
  </si>
  <si>
    <t>50100-7340327</t>
  </si>
  <si>
    <t>50100-7253057</t>
  </si>
  <si>
    <t>50100-7256832</t>
  </si>
  <si>
    <t>50100-7256980</t>
  </si>
  <si>
    <t>50100-7228337</t>
  </si>
  <si>
    <t>50100-7237091</t>
  </si>
  <si>
    <t>50100-7345346</t>
  </si>
  <si>
    <t>50100-7229179</t>
  </si>
  <si>
    <t>50100-7275499</t>
  </si>
  <si>
    <t>50100-7223376</t>
  </si>
  <si>
    <t>50100-7373993</t>
  </si>
  <si>
    <t>50100-7222131</t>
  </si>
  <si>
    <t>50100-7252029</t>
  </si>
  <si>
    <t>50100-7271937</t>
  </si>
  <si>
    <t>50100-7356173</t>
  </si>
  <si>
    <t>50100-7378948</t>
  </si>
  <si>
    <t>50100-7243926</t>
  </si>
  <si>
    <t>50100-7238036</t>
  </si>
  <si>
    <t>50100-7327610</t>
  </si>
  <si>
    <t>50100-7238999</t>
  </si>
  <si>
    <t>50100-7262577</t>
  </si>
  <si>
    <t>50100-7230315</t>
  </si>
  <si>
    <t>50100-7346430</t>
  </si>
  <si>
    <t>50100-7279977</t>
  </si>
  <si>
    <t>50100-7275675</t>
  </si>
  <si>
    <t>50100-7278367</t>
  </si>
  <si>
    <t>50100-7234433</t>
  </si>
  <si>
    <t>50100-7293524</t>
  </si>
  <si>
    <t>50100-7313122</t>
  </si>
  <si>
    <t>50100-7278247</t>
  </si>
  <si>
    <t>50100-7373499</t>
  </si>
  <si>
    <t>50100-7283655</t>
  </si>
  <si>
    <t>50100-7325170</t>
  </si>
  <si>
    <t>50100-7272050</t>
  </si>
  <si>
    <t>50100-7295595</t>
  </si>
  <si>
    <t>50100-7257091</t>
  </si>
  <si>
    <t>50100-7311042</t>
  </si>
  <si>
    <t>50100-7272165</t>
  </si>
  <si>
    <t>50100-7345727</t>
  </si>
  <si>
    <t>50100-7222984</t>
  </si>
  <si>
    <t>50100-7230203</t>
  </si>
  <si>
    <t>50100-7266842</t>
  </si>
  <si>
    <t>50100-7277876</t>
  </si>
  <si>
    <t>50100-7310014</t>
  </si>
  <si>
    <t>50100-7273209</t>
  </si>
  <si>
    <t>50100-7229570</t>
  </si>
  <si>
    <t>50100-7285454</t>
  </si>
  <si>
    <t>50100-7325524</t>
  </si>
  <si>
    <t>50100-7272237</t>
  </si>
  <si>
    <t>50100-7295389</t>
  </si>
  <si>
    <t>50100-7350331</t>
  </si>
  <si>
    <t>50100-7346358</t>
  </si>
  <si>
    <t>50100-7243686</t>
  </si>
  <si>
    <t>50100-7221623</t>
  </si>
  <si>
    <t>50100-7253414</t>
  </si>
  <si>
    <t>50100-7267147</t>
  </si>
  <si>
    <t>50100-7238762</t>
  </si>
  <si>
    <t>50100-7312018</t>
  </si>
  <si>
    <t>50100-7260610</t>
  </si>
  <si>
    <t>50100-7302166</t>
  </si>
  <si>
    <t>50100-7289038</t>
  </si>
  <si>
    <t>50100-7267284</t>
  </si>
  <si>
    <t>50100-7222380</t>
  </si>
  <si>
    <t>50100-7268494</t>
  </si>
  <si>
    <t>50100-7246709</t>
  </si>
  <si>
    <t>50100-7247492</t>
  </si>
  <si>
    <t>50100-7278570</t>
  </si>
  <si>
    <t>50100-7237255</t>
  </si>
  <si>
    <t>50100-7321836</t>
  </si>
  <si>
    <t>50100-7252474</t>
  </si>
  <si>
    <t>50100-7328138</t>
  </si>
  <si>
    <t>50100-7279839</t>
  </si>
  <si>
    <t>50100-7258500</t>
  </si>
  <si>
    <t>50100-7230538</t>
  </si>
  <si>
    <t>50100-7245529</t>
  </si>
  <si>
    <t>50100-7384584</t>
  </si>
  <si>
    <t>50100-7343383</t>
  </si>
  <si>
    <t>50100-7230452</t>
  </si>
  <si>
    <t>50100-7228834</t>
  </si>
  <si>
    <t>50100-7295888</t>
  </si>
  <si>
    <t>50100-7258050</t>
  </si>
  <si>
    <t>50100-7260429</t>
  </si>
  <si>
    <t>50100-7237397</t>
  </si>
  <si>
    <t>50100-7366910</t>
  </si>
  <si>
    <t>50100-7367179</t>
  </si>
  <si>
    <t>95/03/01</t>
  </si>
  <si>
    <t>95/03/10</t>
  </si>
  <si>
    <t>95/03/16</t>
  </si>
  <si>
    <t>95/03/09</t>
  </si>
  <si>
    <t>95/03/06</t>
  </si>
  <si>
    <t>95/03/13</t>
  </si>
  <si>
    <t>95/03/04</t>
  </si>
  <si>
    <t>95/03/03</t>
  </si>
  <si>
    <t>95/03/05</t>
  </si>
  <si>
    <t>95/03/08</t>
  </si>
  <si>
    <t>95/03/12</t>
  </si>
  <si>
    <t>95/03/11</t>
  </si>
  <si>
    <t>95-951500162</t>
  </si>
  <si>
    <t>95-951500044</t>
  </si>
  <si>
    <t>94-941500728</t>
  </si>
  <si>
    <t>94-941500828</t>
  </si>
  <si>
    <t>94-941500811</t>
  </si>
  <si>
    <t>94-941500827</t>
  </si>
  <si>
    <t>94-941500775</t>
  </si>
  <si>
    <t>94-941500782</t>
  </si>
  <si>
    <t>95-951500049</t>
  </si>
  <si>
    <t>95-952500010</t>
  </si>
  <si>
    <t>94-941500842</t>
  </si>
  <si>
    <t>95-951500107</t>
  </si>
  <si>
    <t>95-951500046</t>
  </si>
  <si>
    <t>95-951500073</t>
  </si>
  <si>
    <t>95-951500051</t>
  </si>
  <si>
    <t>95-951500072</t>
  </si>
  <si>
    <t>95-951500123</t>
  </si>
  <si>
    <t>95-951500029</t>
  </si>
  <si>
    <t>95-951500048</t>
  </si>
  <si>
    <t>95-951500129</t>
  </si>
  <si>
    <t>95-951500081</t>
  </si>
  <si>
    <t>94-941500824</t>
  </si>
  <si>
    <t>95-951500130</t>
  </si>
  <si>
    <t>95-951500011</t>
  </si>
  <si>
    <t>95-951500068</t>
  </si>
  <si>
    <t>95-952500011</t>
  </si>
  <si>
    <t>95-951500083</t>
  </si>
  <si>
    <t>95-951500158</t>
  </si>
  <si>
    <t>95-951500035</t>
  </si>
  <si>
    <t>95-951500142</t>
  </si>
  <si>
    <t>95-951500115</t>
  </si>
  <si>
    <t>95-951500031</t>
  </si>
  <si>
    <t>95-951500114</t>
  </si>
  <si>
    <t>95-951500071</t>
  </si>
  <si>
    <t>95-951500069</t>
  </si>
  <si>
    <t>95-951500117</t>
  </si>
  <si>
    <t>95-952500009</t>
  </si>
  <si>
    <t>95-952500007</t>
  </si>
  <si>
    <t>95-951500088</t>
  </si>
  <si>
    <t>95-951500089</t>
  </si>
  <si>
    <t>95-951500055</t>
  </si>
  <si>
    <t>95-952500003</t>
  </si>
  <si>
    <t>95-951500102</t>
  </si>
  <si>
    <t>95-951500148</t>
  </si>
  <si>
    <t>95-951500156</t>
  </si>
  <si>
    <t>94-941500797</t>
  </si>
  <si>
    <t>95-951500063</t>
  </si>
  <si>
    <t>95-951500112</t>
  </si>
  <si>
    <t>95-951500113</t>
  </si>
  <si>
    <t>95-951500061</t>
  </si>
  <si>
    <t>95-951500157</t>
  </si>
  <si>
    <t>95-951500078</t>
  </si>
  <si>
    <t>95-951500076</t>
  </si>
  <si>
    <t>95-951500108</t>
  </si>
  <si>
    <t>95-951500153</t>
  </si>
  <si>
    <t>94-942500103</t>
  </si>
  <si>
    <t>95-951500074</t>
  </si>
  <si>
    <t>95-951500110</t>
  </si>
  <si>
    <t>95-952500012</t>
  </si>
  <si>
    <t>95-951500161</t>
  </si>
  <si>
    <t>95-951500039</t>
  </si>
  <si>
    <t>95-951500093</t>
  </si>
  <si>
    <t>95-951500097</t>
  </si>
  <si>
    <t>95-951500128</t>
  </si>
  <si>
    <t>95-951500079</t>
  </si>
  <si>
    <t>95-952500004</t>
  </si>
  <si>
    <t>95-951500047</t>
  </si>
  <si>
    <t>95-951500155</t>
  </si>
  <si>
    <t>94-941500796</t>
  </si>
  <si>
    <t>95-951500167</t>
  </si>
  <si>
    <t>95-951500016</t>
  </si>
  <si>
    <t>95-951500091</t>
  </si>
  <si>
    <t>95-951500094</t>
  </si>
  <si>
    <t>95-951500092</t>
  </si>
  <si>
    <t>95-954100005</t>
  </si>
  <si>
    <t>95-951500109</t>
  </si>
  <si>
    <t>95-951500077</t>
  </si>
  <si>
    <t>95-952500006</t>
  </si>
  <si>
    <t>95-951500105</t>
  </si>
  <si>
    <t>95-951500106</t>
  </si>
  <si>
    <t>95-954100006</t>
  </si>
  <si>
    <t>95-951500101</t>
  </si>
  <si>
    <t>95-951500122</t>
  </si>
  <si>
    <t>95-951500124</t>
  </si>
  <si>
    <t>94-941500847</t>
  </si>
  <si>
    <t>95-951500080</t>
  </si>
  <si>
    <t>95-951500082</t>
  </si>
  <si>
    <t>95-951500095</t>
  </si>
  <si>
    <t>95-952500008</t>
  </si>
  <si>
    <t>95-952500013</t>
  </si>
  <si>
    <t>95-954100004</t>
  </si>
  <si>
    <t>95-951500084</t>
  </si>
  <si>
    <t>50100-7385292</t>
  </si>
  <si>
    <t>50100-7444224</t>
  </si>
  <si>
    <t>50100-7418937</t>
  </si>
  <si>
    <t>50100-7452415</t>
  </si>
  <si>
    <t>50100-7435540</t>
  </si>
  <si>
    <t>50100-7397195</t>
  </si>
  <si>
    <t>50100-7435679</t>
  </si>
  <si>
    <t>50100-7441161</t>
  </si>
  <si>
    <t>50100-7439786</t>
  </si>
  <si>
    <t>50100-7405885</t>
  </si>
  <si>
    <t>50100-7439557</t>
  </si>
  <si>
    <t>50100-7399535</t>
  </si>
  <si>
    <t>50100-7430419</t>
  </si>
  <si>
    <t>50100-7392686</t>
  </si>
  <si>
    <t>50100-7398031</t>
  </si>
  <si>
    <t>50100-7446466</t>
  </si>
  <si>
    <t>50100-7430938</t>
  </si>
  <si>
    <t>50100-7440481</t>
  </si>
  <si>
    <t>50100-7385364</t>
  </si>
  <si>
    <t>50100-7421147</t>
  </si>
  <si>
    <t>95/03/27</t>
  </si>
  <si>
    <t>95/03/22</t>
  </si>
  <si>
    <t>95/03/30</t>
  </si>
  <si>
    <t>95/03/25</t>
  </si>
  <si>
    <t>95/03/17</t>
  </si>
  <si>
    <t>95/03/26</t>
  </si>
  <si>
    <t>95/03/18</t>
  </si>
  <si>
    <t>95/03/24</t>
  </si>
  <si>
    <t>95/03/29</t>
  </si>
  <si>
    <t>95-954100008</t>
  </si>
  <si>
    <t>95-951500139</t>
  </si>
  <si>
    <t>95-951500136</t>
  </si>
  <si>
    <t>95-951500134</t>
  </si>
  <si>
    <t>95-951500194</t>
  </si>
  <si>
    <t>95-951500135</t>
  </si>
  <si>
    <t>95-951500195</t>
  </si>
  <si>
    <t>95-951500131</t>
  </si>
  <si>
    <t>95-951500052</t>
  </si>
  <si>
    <t>95-951500053</t>
  </si>
  <si>
    <t>95-952500014</t>
  </si>
  <si>
    <t>95-951500185</t>
  </si>
  <si>
    <t>95-951500193</t>
  </si>
  <si>
    <t>95-951500141</t>
  </si>
  <si>
    <t>95-951500090</t>
  </si>
  <si>
    <t>95-951500196</t>
  </si>
  <si>
    <t>95-951500187</t>
  </si>
  <si>
    <t>95-954100007</t>
  </si>
  <si>
    <t>95-951500132</t>
  </si>
  <si>
    <t>95-954100009</t>
  </si>
  <si>
    <t>15100-285410</t>
  </si>
  <si>
    <t>15100-281329</t>
  </si>
  <si>
    <t>15100-286604</t>
  </si>
  <si>
    <t>15100-281287</t>
  </si>
  <si>
    <t>15100-283729</t>
  </si>
  <si>
    <t>15100-283024</t>
  </si>
  <si>
    <t>15100-285419</t>
  </si>
  <si>
    <t>15100-286596</t>
  </si>
  <si>
    <t>15100-281896</t>
  </si>
  <si>
    <t>15100-280678</t>
  </si>
  <si>
    <t>15100-286001</t>
  </si>
  <si>
    <t>15100-281941</t>
  </si>
  <si>
    <t>15100-281929</t>
  </si>
  <si>
    <t>15100-284907</t>
  </si>
  <si>
    <t>95/03/20</t>
  </si>
  <si>
    <t>95/03/31</t>
  </si>
  <si>
    <t>95/03/19</t>
  </si>
  <si>
    <t>95-951500032</t>
  </si>
  <si>
    <t>94-941500812</t>
  </si>
  <si>
    <t>جمشید خلیلی</t>
  </si>
  <si>
    <t>90-50085</t>
  </si>
  <si>
    <t>90-50522</t>
  </si>
  <si>
    <t>90-50539</t>
  </si>
  <si>
    <t>90-50792</t>
  </si>
  <si>
    <t>90-50875</t>
  </si>
  <si>
    <t>90-50948</t>
  </si>
  <si>
    <t>grand</t>
  </si>
  <si>
    <t>92-50458</t>
  </si>
  <si>
    <t>92-50459</t>
  </si>
  <si>
    <t>sigma</t>
  </si>
  <si>
    <t>92-50739</t>
  </si>
  <si>
    <t>tirajeh</t>
  </si>
  <si>
    <t>petrochemical</t>
  </si>
  <si>
    <t>50100-7496894</t>
  </si>
  <si>
    <t>50100-7477939</t>
  </si>
  <si>
    <t>50100-7492106</t>
  </si>
  <si>
    <t>50100-7456935</t>
  </si>
  <si>
    <t>50100-7479285</t>
  </si>
  <si>
    <t>50100-7497498</t>
  </si>
  <si>
    <t>50100-7457297</t>
  </si>
  <si>
    <t>50100-7476655</t>
  </si>
  <si>
    <t>50100-7473462</t>
  </si>
  <si>
    <t>50100-7471714</t>
  </si>
  <si>
    <t>50100-7490299</t>
  </si>
  <si>
    <t>50100-7483268</t>
  </si>
  <si>
    <t>50100-7478113</t>
  </si>
  <si>
    <t>50100-7489947</t>
  </si>
  <si>
    <t>50100-7476184</t>
  </si>
  <si>
    <t>95/04/13</t>
  </si>
  <si>
    <t>95/04/08</t>
  </si>
  <si>
    <t>95/04/12</t>
  </si>
  <si>
    <t>95/04/14</t>
  </si>
  <si>
    <t>95/04/06</t>
  </si>
  <si>
    <t>95/04/05</t>
  </si>
  <si>
    <t>95/04/09</t>
  </si>
  <si>
    <t>95-952500016</t>
  </si>
  <si>
    <t>95-952500017</t>
  </si>
  <si>
    <t>95-952500018</t>
  </si>
  <si>
    <t>95-954100010</t>
  </si>
  <si>
    <t>95-951500166</t>
  </si>
  <si>
    <t>95-951500138</t>
  </si>
  <si>
    <t>95-951500197</t>
  </si>
  <si>
    <t>95-951500149</t>
  </si>
  <si>
    <t>95-951500147</t>
  </si>
  <si>
    <t>95-951500121</t>
  </si>
  <si>
    <t>95-951500116</t>
  </si>
  <si>
    <t>95-951500054</t>
  </si>
  <si>
    <t>95/04/02</t>
  </si>
  <si>
    <t>15100-293615</t>
  </si>
  <si>
    <t>15100-295415</t>
  </si>
  <si>
    <t>15100-295429</t>
  </si>
  <si>
    <t>15100-292166</t>
  </si>
  <si>
    <t>15100-294905</t>
  </si>
  <si>
    <t>15100-287511</t>
  </si>
  <si>
    <t>15100-295946</t>
  </si>
  <si>
    <t>15100-294436</t>
  </si>
  <si>
    <t>15100-294028</t>
  </si>
  <si>
    <t>15100-292423</t>
  </si>
  <si>
    <t>15100-287176</t>
  </si>
  <si>
    <t>15100-295418</t>
  </si>
  <si>
    <t>95/04/22</t>
  </si>
  <si>
    <t>95/04/01</t>
  </si>
  <si>
    <t>95/04/27</t>
  </si>
  <si>
    <t>95/04/20</t>
  </si>
  <si>
    <t>95/04/15</t>
  </si>
  <si>
    <t>95/04/23</t>
  </si>
  <si>
    <t>95/04/26</t>
  </si>
  <si>
    <t>95/04/28</t>
  </si>
  <si>
    <t>95/04/24</t>
  </si>
  <si>
    <t>95/04/19</t>
  </si>
  <si>
    <t>95-951500010</t>
  </si>
  <si>
    <t>94-941500850</t>
  </si>
  <si>
    <t>94-941500831</t>
  </si>
  <si>
    <t>95-951500201</t>
  </si>
  <si>
    <t>94-942500045</t>
  </si>
  <si>
    <t>94-942500048</t>
  </si>
  <si>
    <t>94-942500047</t>
  </si>
  <si>
    <t>94-942500046</t>
  </si>
  <si>
    <t>94-942500049</t>
  </si>
  <si>
    <t>kinetik</t>
  </si>
  <si>
    <t>50100-7573417</t>
  </si>
  <si>
    <t>50100-7603657</t>
  </si>
  <si>
    <t>50100-7567481</t>
  </si>
  <si>
    <t>50100-7538917</t>
  </si>
  <si>
    <t>50100-7512192</t>
  </si>
  <si>
    <t>50100-7586904</t>
  </si>
  <si>
    <t>50100-7571297</t>
  </si>
  <si>
    <t>50100-7566375</t>
  </si>
  <si>
    <t>50100-7523040</t>
  </si>
  <si>
    <t>50100-7542089</t>
  </si>
  <si>
    <t>50100-7604312</t>
  </si>
  <si>
    <t>50100-7580651</t>
  </si>
  <si>
    <t>50100-7539147</t>
  </si>
  <si>
    <t>50100-7567004</t>
  </si>
  <si>
    <t>50100-7513155</t>
  </si>
  <si>
    <t>50100-7583948</t>
  </si>
  <si>
    <t>50100-7526844</t>
  </si>
  <si>
    <t>50100-7589081</t>
  </si>
  <si>
    <t>50100-7520607</t>
  </si>
  <si>
    <t>50100-7527038</t>
  </si>
  <si>
    <t>50100-7530679</t>
  </si>
  <si>
    <t>50100-7509620</t>
  </si>
  <si>
    <t>50100-7554944</t>
  </si>
  <si>
    <t>50100-7583909</t>
  </si>
  <si>
    <t>50100-7595362</t>
  </si>
  <si>
    <t>50100-7509319</t>
  </si>
  <si>
    <t>50100-7508990</t>
  </si>
  <si>
    <t>95/05/02</t>
  </si>
  <si>
    <t>95/05/04</t>
  </si>
  <si>
    <t>95/05/13</t>
  </si>
  <si>
    <t>95/05/03</t>
  </si>
  <si>
    <t>95/05/10</t>
  </si>
  <si>
    <t>95/05/14</t>
  </si>
  <si>
    <t>95/05/06</t>
  </si>
  <si>
    <t>95/04/30</t>
  </si>
  <si>
    <t>95/05/12</t>
  </si>
  <si>
    <t>95-951500177</t>
  </si>
  <si>
    <t>95-951500202</t>
  </si>
  <si>
    <t>95-952500021</t>
  </si>
  <si>
    <t>95-951500172</t>
  </si>
  <si>
    <t>95-951500119</t>
  </si>
  <si>
    <t>95-951500173</t>
  </si>
  <si>
    <t>95-951500111</t>
  </si>
  <si>
    <t>95-952500019</t>
  </si>
  <si>
    <t>95-951500183</t>
  </si>
  <si>
    <t>95-951500186</t>
  </si>
  <si>
    <t>95-951500189</t>
  </si>
  <si>
    <t>95-951500176</t>
  </si>
  <si>
    <t>95-951500175</t>
  </si>
  <si>
    <t>95-951500178</t>
  </si>
  <si>
    <t>95-951500064</t>
  </si>
  <si>
    <t>95-951500179</t>
  </si>
  <si>
    <t>95-951500174</t>
  </si>
  <si>
    <t>95-951500118</t>
  </si>
  <si>
    <t>95-951500154</t>
  </si>
  <si>
    <t>95-951500160</t>
  </si>
  <si>
    <t>95-951500182</t>
  </si>
  <si>
    <t>95-951500127</t>
  </si>
  <si>
    <t>95-954100012</t>
  </si>
  <si>
    <t>95-951500140</t>
  </si>
  <si>
    <t>95-951500146</t>
  </si>
  <si>
    <t>95-951500181</t>
  </si>
  <si>
    <t>95-951500188</t>
  </si>
  <si>
    <t>95-954100011</t>
  </si>
  <si>
    <t>15100-301737</t>
  </si>
  <si>
    <t>15100-300293</t>
  </si>
  <si>
    <t>15100-303544</t>
  </si>
  <si>
    <t>15100-301303</t>
  </si>
  <si>
    <t>15100-299649</t>
  </si>
  <si>
    <t>15100-301749</t>
  </si>
  <si>
    <t>15100-298237</t>
  </si>
  <si>
    <t>15100-304618</t>
  </si>
  <si>
    <t>15100-299142</t>
  </si>
  <si>
    <t>15100-304044</t>
  </si>
  <si>
    <t>15100-301324</t>
  </si>
  <si>
    <t>15100-300283</t>
  </si>
  <si>
    <t>15100-302395</t>
  </si>
  <si>
    <t>15100-302824</t>
  </si>
  <si>
    <t>15100-305923</t>
  </si>
  <si>
    <t>15100-306881</t>
  </si>
  <si>
    <t>95/05/07</t>
  </si>
  <si>
    <t>95/05/16</t>
  </si>
  <si>
    <t>95/05/11</t>
  </si>
  <si>
    <t>95/05/18</t>
  </si>
  <si>
    <t>95/05/05</t>
  </si>
  <si>
    <t>95/05/17</t>
  </si>
  <si>
    <t>95/05/20</t>
  </si>
  <si>
    <t>95/05/23</t>
  </si>
  <si>
    <t>95-951500126</t>
  </si>
  <si>
    <t>95-951500058</t>
  </si>
  <si>
    <t>94-941500841</t>
  </si>
  <si>
    <t>95-951500180</t>
  </si>
  <si>
    <t>95-951500204</t>
  </si>
  <si>
    <t>95-959000001</t>
  </si>
  <si>
    <t>95-959000002</t>
  </si>
  <si>
    <t>95-954100002</t>
  </si>
  <si>
    <t>petrohub2</t>
  </si>
  <si>
    <t>50100-7654659</t>
  </si>
  <si>
    <t>50100-7650120</t>
  </si>
  <si>
    <t>50100-7660700</t>
  </si>
  <si>
    <t>50100-7637884</t>
  </si>
  <si>
    <t>50100-7640182</t>
  </si>
  <si>
    <t>50100-7650246</t>
  </si>
  <si>
    <t>50100-7651941</t>
  </si>
  <si>
    <t>95/05/27</t>
  </si>
  <si>
    <t>95/05/25</t>
  </si>
  <si>
    <t>95/05/26</t>
  </si>
  <si>
    <t>95/05/30</t>
  </si>
  <si>
    <t>95-951500137</t>
  </si>
  <si>
    <t>95-951500190</t>
  </si>
  <si>
    <t>95-951500191</t>
  </si>
  <si>
    <t>95-952500022</t>
  </si>
  <si>
    <t>95-951500192</t>
  </si>
  <si>
    <t>95-952500023</t>
  </si>
  <si>
    <t>95-951500207</t>
  </si>
  <si>
    <t>94-941500837</t>
  </si>
  <si>
    <t>95-951500203</t>
  </si>
  <si>
    <t>95-951500096</t>
  </si>
  <si>
    <t>94-941500839</t>
  </si>
  <si>
    <t>95-951500208</t>
  </si>
  <si>
    <t>95-951500143</t>
  </si>
  <si>
    <t>95-954200002</t>
  </si>
  <si>
    <t>95-954200001</t>
  </si>
  <si>
    <t>95-954200003</t>
  </si>
  <si>
    <t>95-951500209</t>
  </si>
  <si>
    <t>95-954100013</t>
  </si>
  <si>
    <t>95-951500145</t>
  </si>
  <si>
    <t>95</t>
  </si>
  <si>
    <t>95/06/09</t>
  </si>
  <si>
    <t>15100-317483</t>
  </si>
  <si>
    <t>15100-313729</t>
  </si>
  <si>
    <t>15100-312956</t>
  </si>
  <si>
    <t>15100-310900</t>
  </si>
  <si>
    <t>15100-314900</t>
  </si>
  <si>
    <t>15100-317677</t>
  </si>
  <si>
    <t>15100-315369</t>
  </si>
  <si>
    <t>50100-7685456</t>
  </si>
  <si>
    <t>50100-7717602</t>
  </si>
  <si>
    <t>50100-7708506</t>
  </si>
  <si>
    <t>50100-7692334</t>
  </si>
  <si>
    <t>50100-7714121</t>
  </si>
  <si>
    <t>50100-7719281</t>
  </si>
  <si>
    <t>50100-7713830</t>
  </si>
  <si>
    <t>50100-7696797</t>
  </si>
  <si>
    <t>50100-7723486</t>
  </si>
  <si>
    <t>50100-7677001</t>
  </si>
  <si>
    <t>50100-7685603</t>
  </si>
  <si>
    <t>50100-7685904</t>
  </si>
  <si>
    <t>50100-7691273</t>
  </si>
  <si>
    <t>50100-7706963</t>
  </si>
  <si>
    <t>50100-7700452</t>
  </si>
  <si>
    <t>50100-7715809</t>
  </si>
  <si>
    <t>50100-7690723</t>
  </si>
  <si>
    <t>50100-7709714</t>
  </si>
  <si>
    <t>50100-7719266</t>
  </si>
  <si>
    <t>50100-7749264</t>
  </si>
  <si>
    <t>50100-7755970</t>
  </si>
  <si>
    <t>95/06/16</t>
  </si>
  <si>
    <t>95/06/08</t>
  </si>
  <si>
    <t>95/06/06</t>
  </si>
  <si>
    <t>95/06/01</t>
  </si>
  <si>
    <t>95/06/10</t>
  </si>
  <si>
    <t>95/06/17</t>
  </si>
  <si>
    <t>95/06/11</t>
  </si>
  <si>
    <t>95/06/07</t>
  </si>
  <si>
    <t>95/06/13</t>
  </si>
  <si>
    <t>95/06/14</t>
  </si>
  <si>
    <t>95/06/15</t>
  </si>
  <si>
    <t>95/06/02</t>
  </si>
  <si>
    <t>95/06/04</t>
  </si>
  <si>
    <t>95/06/21</t>
  </si>
  <si>
    <t>95/06/23</t>
  </si>
  <si>
    <t>95-952500032</t>
  </si>
  <si>
    <t>95-951500104</t>
  </si>
  <si>
    <t>95-951500065</t>
  </si>
  <si>
    <t>95-954200008</t>
  </si>
  <si>
    <t>95-951500164</t>
  </si>
  <si>
    <t>95-951500171</t>
  </si>
  <si>
    <t>95-951500184</t>
  </si>
  <si>
    <t>95-951500152</t>
  </si>
  <si>
    <t>95-951500170</t>
  </si>
  <si>
    <t>95-951500168</t>
  </si>
  <si>
    <t>95-954200004</t>
  </si>
  <si>
    <t>95-951500198</t>
  </si>
  <si>
    <t>95-951500206</t>
  </si>
  <si>
    <t>95-954200005</t>
  </si>
  <si>
    <t>95-954200006</t>
  </si>
  <si>
    <t>95-954200007</t>
  </si>
  <si>
    <t>95-951500169</t>
  </si>
  <si>
    <t>95-951500205</t>
  </si>
  <si>
    <t>95-951500150</t>
  </si>
  <si>
    <t>sebco</t>
  </si>
  <si>
    <t>daxon</t>
  </si>
  <si>
    <t>50100-7753992</t>
  </si>
  <si>
    <t>50100-7754156</t>
  </si>
  <si>
    <t>50100-7746074</t>
  </si>
  <si>
    <t>50100-7764580</t>
  </si>
  <si>
    <t>50100-7774952</t>
  </si>
  <si>
    <t>50100-7737221</t>
  </si>
  <si>
    <t>50100-7766215</t>
  </si>
  <si>
    <t>50100-7752204</t>
  </si>
  <si>
    <t>50100-7760208</t>
  </si>
  <si>
    <t>50100-7763935</t>
  </si>
  <si>
    <t>50100-7736093</t>
  </si>
  <si>
    <t>50100-7762645</t>
  </si>
  <si>
    <t>50100-7769992</t>
  </si>
  <si>
    <t>50100-7770127</t>
  </si>
  <si>
    <t>50100-7762432</t>
  </si>
  <si>
    <t>50100-7744174</t>
  </si>
  <si>
    <t>50100-7777375</t>
  </si>
  <si>
    <t>50100-7737997</t>
  </si>
  <si>
    <t>95/06/25</t>
  </si>
  <si>
    <t>95/06/29</t>
  </si>
  <si>
    <t>95/06/27</t>
  </si>
  <si>
    <t>95/06/24</t>
  </si>
  <si>
    <t>95/06/28</t>
  </si>
  <si>
    <t>95/06/20</t>
  </si>
  <si>
    <t>95-954200011</t>
  </si>
  <si>
    <t>95-954200014</t>
  </si>
  <si>
    <t>95-952500024</t>
  </si>
  <si>
    <t>95-951500037</t>
  </si>
  <si>
    <t>95-954200016</t>
  </si>
  <si>
    <t>95-954200009</t>
  </si>
  <si>
    <t>95-951500144</t>
  </si>
  <si>
    <t>95-954200013</t>
  </si>
  <si>
    <t>95-954200012</t>
  </si>
  <si>
    <t>95-951500062</t>
  </si>
  <si>
    <t>95-952500033</t>
  </si>
  <si>
    <t>95-954200017</t>
  </si>
  <si>
    <t>95-951500218</t>
  </si>
  <si>
    <t>95-951500165</t>
  </si>
  <si>
    <t>95-951500151</t>
  </si>
  <si>
    <t>95-951500221</t>
  </si>
  <si>
    <t>95-954200010</t>
  </si>
  <si>
    <t>95-954100014</t>
  </si>
  <si>
    <t>95/07/03</t>
  </si>
  <si>
    <t>95/07/04</t>
  </si>
  <si>
    <t>15100-320376</t>
  </si>
  <si>
    <t>50100-7790190</t>
  </si>
  <si>
    <t>50100-7784705</t>
  </si>
  <si>
    <t>50100-7807878</t>
  </si>
  <si>
    <t>50100-7803651</t>
  </si>
  <si>
    <t>50100-7807700</t>
  </si>
  <si>
    <t>50100-7804007</t>
  </si>
  <si>
    <t>50100-7784632</t>
  </si>
  <si>
    <t>50100-7805985</t>
  </si>
  <si>
    <t>50100-7800824</t>
  </si>
  <si>
    <t>50100-7791872</t>
  </si>
  <si>
    <t>50100-7783344</t>
  </si>
  <si>
    <t>50100-7780910</t>
  </si>
  <si>
    <t>50100-7781013</t>
  </si>
  <si>
    <t>50100-7794985</t>
  </si>
  <si>
    <t>50100-7787099</t>
  </si>
  <si>
    <t>50100-7795366</t>
  </si>
  <si>
    <t>15100-322361</t>
  </si>
  <si>
    <t>15100-323465</t>
  </si>
  <si>
    <t>15100-324205</t>
  </si>
  <si>
    <t>15100-324911</t>
  </si>
  <si>
    <t>15100-325317</t>
  </si>
  <si>
    <t>15100-324076</t>
  </si>
  <si>
    <t>15100-322538</t>
  </si>
  <si>
    <t>95/07/01</t>
  </si>
  <si>
    <t>95/07/07</t>
  </si>
  <si>
    <t>95/07/06</t>
  </si>
  <si>
    <t>95/07/05</t>
  </si>
  <si>
    <t>95/06/31</t>
  </si>
  <si>
    <t>95/07/08</t>
  </si>
  <si>
    <t>95-951500200</t>
  </si>
  <si>
    <t>95-951500211</t>
  </si>
  <si>
    <t>95-954200023</t>
  </si>
  <si>
    <t>95-951500210</t>
  </si>
  <si>
    <t>95-951500232</t>
  </si>
  <si>
    <t>95-951500219</t>
  </si>
  <si>
    <t>95-954200020</t>
  </si>
  <si>
    <t>95-951500215</t>
  </si>
  <si>
    <t>95-951500231</t>
  </si>
  <si>
    <t>95-951500212</t>
  </si>
  <si>
    <t>95-954200021</t>
  </si>
  <si>
    <t>95-954200018</t>
  </si>
  <si>
    <t>95-951500230</t>
  </si>
  <si>
    <t>95-954200015</t>
  </si>
  <si>
    <t>95-954200022</t>
  </si>
  <si>
    <t>95-954200019</t>
  </si>
  <si>
    <t>95/05/31</t>
  </si>
  <si>
    <t>95/07/10</t>
  </si>
  <si>
    <t>95/06/03</t>
  </si>
  <si>
    <t>93-931500311</t>
  </si>
  <si>
    <t>93-931500323</t>
  </si>
  <si>
    <t>93-931500374</t>
  </si>
  <si>
    <t>primee</t>
  </si>
  <si>
    <t>50100-7813591</t>
  </si>
  <si>
    <t>50100-7828547</t>
  </si>
  <si>
    <t>50100-7788700</t>
  </si>
  <si>
    <t>50100-7813576</t>
  </si>
  <si>
    <t>50100-7823342</t>
  </si>
  <si>
    <t>50100-7798911</t>
  </si>
  <si>
    <t>50100-7824602</t>
  </si>
  <si>
    <t>50100-7833983</t>
  </si>
  <si>
    <t>50100-7821338</t>
  </si>
  <si>
    <t>15100-333045</t>
  </si>
  <si>
    <t>15100-326624</t>
  </si>
  <si>
    <t>15100-325791</t>
  </si>
  <si>
    <t>15100-332094</t>
  </si>
  <si>
    <t>15100-332085</t>
  </si>
  <si>
    <t>15100-326654</t>
  </si>
  <si>
    <t>15100-330065</t>
  </si>
  <si>
    <t>15100-332578</t>
  </si>
  <si>
    <t>15100-328476</t>
  </si>
  <si>
    <t>15100-328419</t>
  </si>
  <si>
    <t>15100-331633</t>
  </si>
  <si>
    <t>15100-326786</t>
  </si>
  <si>
    <t>15100-331959</t>
  </si>
  <si>
    <t>15100-330803</t>
  </si>
  <si>
    <t>15100-328413</t>
  </si>
  <si>
    <t>15100-331672</t>
  </si>
  <si>
    <t>15100-326158</t>
  </si>
  <si>
    <t>15100-328899</t>
  </si>
  <si>
    <t>15100-329633</t>
  </si>
  <si>
    <t>15100-325863</t>
  </si>
  <si>
    <t>15100-331663</t>
  </si>
  <si>
    <t>15100-330863</t>
  </si>
  <si>
    <t>15100-329576</t>
  </si>
  <si>
    <t>15100-333094</t>
  </si>
  <si>
    <t>15100-331690</t>
  </si>
  <si>
    <t>15100-332500</t>
  </si>
  <si>
    <t>15100-332124</t>
  </si>
  <si>
    <t>15100-330809</t>
  </si>
  <si>
    <t>15100-333079</t>
  </si>
  <si>
    <t>15100-333109</t>
  </si>
  <si>
    <t>15100-327884</t>
  </si>
  <si>
    <t>15100-329300</t>
  </si>
  <si>
    <t>15100-328389</t>
  </si>
  <si>
    <t>15100-331108</t>
  </si>
  <si>
    <t>15100-330083</t>
  </si>
  <si>
    <t>15100-330018</t>
  </si>
  <si>
    <t>15100-326170</t>
  </si>
  <si>
    <t>15100-330456</t>
  </si>
  <si>
    <t>15100-332491</t>
  </si>
  <si>
    <t>15100-331038</t>
  </si>
  <si>
    <t>15100-327390</t>
  </si>
  <si>
    <t>15100-327902</t>
  </si>
  <si>
    <t>95-954200031</t>
  </si>
  <si>
    <t>95-954200033</t>
  </si>
  <si>
    <t>95-954200025</t>
  </si>
  <si>
    <t>95-954200029</t>
  </si>
  <si>
    <t>95-954200024</t>
  </si>
  <si>
    <t>95-951500213</t>
  </si>
  <si>
    <t>95-951500241</t>
  </si>
  <si>
    <t>95-954200026</t>
  </si>
  <si>
    <t>95-954200032</t>
  </si>
  <si>
    <t>95-952500034</t>
  </si>
  <si>
    <t>95-951500237</t>
  </si>
  <si>
    <t>95-951500258</t>
  </si>
  <si>
    <t>95-951500277</t>
  </si>
  <si>
    <t>95-951500254</t>
  </si>
  <si>
    <t>95-951500243</t>
  </si>
  <si>
    <t>95-951500287</t>
  </si>
  <si>
    <t>95-951500238</t>
  </si>
  <si>
    <t>95-951500264</t>
  </si>
  <si>
    <t>95-951500260</t>
  </si>
  <si>
    <t>95-951500125</t>
  </si>
  <si>
    <t>95-951500270</t>
  </si>
  <si>
    <t>95-951500235</t>
  </si>
  <si>
    <t>95-951500285</t>
  </si>
  <si>
    <t>95-951500279</t>
  </si>
  <si>
    <t>95-951500249</t>
  </si>
  <si>
    <t>95-951500274</t>
  </si>
  <si>
    <t>95-951500250</t>
  </si>
  <si>
    <t>95/07/24</t>
  </si>
  <si>
    <t>95/07/25</t>
  </si>
  <si>
    <t>95/07/12</t>
  </si>
  <si>
    <t>95/07/18</t>
  </si>
  <si>
    <t>95/07/17</t>
  </si>
  <si>
    <t>95/07/15</t>
  </si>
  <si>
    <t>95/07/14</t>
  </si>
  <si>
    <t>95/07/19</t>
  </si>
  <si>
    <t>95/07/13</t>
  </si>
  <si>
    <t>95/07/11</t>
  </si>
  <si>
    <t>95/08/08</t>
  </si>
  <si>
    <t>kestroo</t>
  </si>
  <si>
    <t>95-951500240</t>
  </si>
  <si>
    <t>95-951500248</t>
  </si>
  <si>
    <t>95-951500255</t>
  </si>
  <si>
    <t>95-951500256</t>
  </si>
  <si>
    <t>95-951500257</t>
  </si>
  <si>
    <t>black gold</t>
  </si>
  <si>
    <t>50100-7868626</t>
  </si>
  <si>
    <t>50100-7843341</t>
  </si>
  <si>
    <t>50100-7883571</t>
  </si>
  <si>
    <t>50100-7848564</t>
  </si>
  <si>
    <t>50100-7850688</t>
  </si>
  <si>
    <t>50100-7872384</t>
  </si>
  <si>
    <t>50100-7842712</t>
  </si>
  <si>
    <t>50100-7869257</t>
  </si>
  <si>
    <t>50100-7843250</t>
  </si>
  <si>
    <t>50100-7851713</t>
  </si>
  <si>
    <t>50100-7869866</t>
  </si>
  <si>
    <t>50100-7868876</t>
  </si>
  <si>
    <t>50100-7863567</t>
  </si>
  <si>
    <t>50100-7842611</t>
  </si>
  <si>
    <t>50100-7851854</t>
  </si>
  <si>
    <t>50100-7881157</t>
  </si>
  <si>
    <t>50100-7863785</t>
  </si>
  <si>
    <t>50100-7891474</t>
  </si>
  <si>
    <t>50100-7902689</t>
  </si>
  <si>
    <t>50100-7920012</t>
  </si>
  <si>
    <t>50100-7903048</t>
  </si>
  <si>
    <t>50100-7902912</t>
  </si>
  <si>
    <t>50100-7902999</t>
  </si>
  <si>
    <t>50100-7923603</t>
  </si>
  <si>
    <t>50100-7919584</t>
  </si>
  <si>
    <t>50100-7928636</t>
  </si>
  <si>
    <t>50100-7919785</t>
  </si>
  <si>
    <t>50100-7919965</t>
  </si>
  <si>
    <t>50100-7886293</t>
  </si>
  <si>
    <t>50100-7928099</t>
  </si>
  <si>
    <t>50100-7903082</t>
  </si>
  <si>
    <t>50100-7903014</t>
  </si>
  <si>
    <t>50100-7907863</t>
  </si>
  <si>
    <t>50100-7928831</t>
  </si>
  <si>
    <t>50100-7929261</t>
  </si>
  <si>
    <t>95/07/26</t>
  </si>
  <si>
    <t>95/07/29</t>
  </si>
  <si>
    <t>95/07/27</t>
  </si>
  <si>
    <t>95/08/02</t>
  </si>
  <si>
    <t>95/08/04</t>
  </si>
  <si>
    <t>95/08/09</t>
  </si>
  <si>
    <t>95/08/10</t>
  </si>
  <si>
    <t>95/08/11</t>
  </si>
  <si>
    <t>95/08/01</t>
  </si>
  <si>
    <t>95/08/05</t>
  </si>
  <si>
    <t>95-954200036</t>
  </si>
  <si>
    <t>95-951500236</t>
  </si>
  <si>
    <t>95-951500233</t>
  </si>
  <si>
    <t>95-954200037</t>
  </si>
  <si>
    <t>95-951500234</t>
  </si>
  <si>
    <t>95-954200030</t>
  </si>
  <si>
    <t>95-951500259</t>
  </si>
  <si>
    <t>95-954200038</t>
  </si>
  <si>
    <t>95-954200028</t>
  </si>
  <si>
    <t>95-954200034</t>
  </si>
  <si>
    <t>95-951500222</t>
  </si>
  <si>
    <t>95-951500220</t>
  </si>
  <si>
    <t>95-954100015</t>
  </si>
  <si>
    <t>95-951500262</t>
  </si>
  <si>
    <t>95-954200027</t>
  </si>
  <si>
    <t>95-951500223</t>
  </si>
  <si>
    <t>95-951500253</t>
  </si>
  <si>
    <t>95-951500271</t>
  </si>
  <si>
    <t>95-952500028</t>
  </si>
  <si>
    <t>95-951500227</t>
  </si>
  <si>
    <t>95-954200035</t>
  </si>
  <si>
    <t>95-951500289</t>
  </si>
  <si>
    <t>95-951500304</t>
  </si>
  <si>
    <t>95-951500303</t>
  </si>
  <si>
    <t>95-951500239</t>
  </si>
  <si>
    <t>95-951500225</t>
  </si>
  <si>
    <t>95-952500027</t>
  </si>
  <si>
    <t>95-951500216</t>
  </si>
  <si>
    <t>95-951500286</t>
  </si>
  <si>
    <t>95-951500217</t>
  </si>
  <si>
    <t>95-951500265</t>
  </si>
  <si>
    <t>95-951500281</t>
  </si>
  <si>
    <t>95-951500263</t>
  </si>
  <si>
    <t>95-951500290</t>
  </si>
  <si>
    <t>95-951500305</t>
  </si>
  <si>
    <t>95-951500275</t>
  </si>
  <si>
    <t>95-951500261</t>
  </si>
  <si>
    <t>95-951500280</t>
  </si>
  <si>
    <t>95-954200039</t>
  </si>
  <si>
    <t>95-954100016</t>
  </si>
  <si>
    <t>95-951500199</t>
  </si>
  <si>
    <t>95-951500214</t>
  </si>
  <si>
    <t>95-952500030</t>
  </si>
  <si>
    <t>95/08/06</t>
  </si>
  <si>
    <t>95/08/24</t>
  </si>
  <si>
    <t>15100-334154</t>
  </si>
  <si>
    <t>15100-335206</t>
  </si>
  <si>
    <t>15100-333484</t>
  </si>
  <si>
    <t>15100-343172</t>
  </si>
  <si>
    <t>15100-343536</t>
  </si>
  <si>
    <t>15100-342644</t>
  </si>
  <si>
    <t>15100-341767</t>
  </si>
  <si>
    <t>15100-345237</t>
  </si>
  <si>
    <t>15100-342056</t>
  </si>
  <si>
    <t>15100-344888</t>
  </si>
  <si>
    <t>15100-343518</t>
  </si>
  <si>
    <t>15100-343524</t>
  </si>
  <si>
    <t>15100-342293</t>
  </si>
  <si>
    <t>15100-343921</t>
  </si>
  <si>
    <t>15100-345243</t>
  </si>
  <si>
    <t>15100-333454</t>
  </si>
  <si>
    <t>15100-343969</t>
  </si>
  <si>
    <t>15100-336293</t>
  </si>
  <si>
    <t>15100-340513</t>
  </si>
  <si>
    <t>15100-335616</t>
  </si>
  <si>
    <t>15100-340842</t>
  </si>
  <si>
    <t>15100-333665</t>
  </si>
  <si>
    <t>15100-344876</t>
  </si>
  <si>
    <t>15100-344420</t>
  </si>
  <si>
    <t>15100-338620</t>
  </si>
  <si>
    <t>15100-338978</t>
  </si>
  <si>
    <t>15100-341734</t>
  </si>
  <si>
    <t>15100-342665</t>
  </si>
  <si>
    <t>15100-343175</t>
  </si>
  <si>
    <t>15100-344462</t>
  </si>
  <si>
    <t>15100-341139</t>
  </si>
  <si>
    <t>15100-333530</t>
  </si>
  <si>
    <t>15100-341274</t>
  </si>
  <si>
    <t>15100-333566</t>
  </si>
  <si>
    <t>15100-338326</t>
  </si>
  <si>
    <t>15100-338381</t>
  </si>
  <si>
    <t>15100-339474</t>
  </si>
  <si>
    <t>15100-334512</t>
  </si>
  <si>
    <t>15100-337378</t>
  </si>
  <si>
    <t>15100-340380</t>
  </si>
  <si>
    <t>15100-337948</t>
  </si>
  <si>
    <t>15100-339966</t>
  </si>
  <si>
    <t>15100-340920</t>
  </si>
  <si>
    <t>15100-336905</t>
  </si>
  <si>
    <t>15100-339495</t>
  </si>
  <si>
    <t>15100-339972</t>
  </si>
  <si>
    <t>15100-337776</t>
  </si>
  <si>
    <t>15100-336317</t>
  </si>
  <si>
    <t>15100-340833</t>
  </si>
  <si>
    <t>15100-336272</t>
  </si>
  <si>
    <t>15100-340908</t>
  </si>
  <si>
    <t>95/08/23</t>
  </si>
  <si>
    <t>95/08/22</t>
  </si>
  <si>
    <t>95/08/19</t>
  </si>
  <si>
    <t>95/08/29</t>
  </si>
  <si>
    <t>95/08/20</t>
  </si>
  <si>
    <t>95/08/27</t>
  </si>
  <si>
    <t>95/08/25</t>
  </si>
  <si>
    <t>95/08/16</t>
  </si>
  <si>
    <t>95/08/17</t>
  </si>
  <si>
    <t>95/08/26</t>
  </si>
  <si>
    <t>95/08/12</t>
  </si>
  <si>
    <t>95/08/18</t>
  </si>
  <si>
    <t>95/08/13</t>
  </si>
  <si>
    <t>95/08/03</t>
  </si>
  <si>
    <t>95/08/15</t>
  </si>
  <si>
    <t>95-951500269</t>
  </si>
  <si>
    <t>95-952500037</t>
  </si>
  <si>
    <t>95-951500363</t>
  </si>
  <si>
    <t>95-951500357</t>
  </si>
  <si>
    <t>95-951500372</t>
  </si>
  <si>
    <t>95-951500284</t>
  </si>
  <si>
    <t>95-951500355</t>
  </si>
  <si>
    <t>95-951500375</t>
  </si>
  <si>
    <t>95-951500323</t>
  </si>
  <si>
    <t>95-951500288</t>
  </si>
  <si>
    <t>95-951500336</t>
  </si>
  <si>
    <t>95-951500347</t>
  </si>
  <si>
    <t>95-951500360</t>
  </si>
  <si>
    <t>95-951500320</t>
  </si>
  <si>
    <t>95-951500356</t>
  </si>
  <si>
    <t>95-951500278</t>
  </si>
  <si>
    <t>95-951500351</t>
  </si>
  <si>
    <t>95-951500326</t>
  </si>
  <si>
    <t>95-951500276</t>
  </si>
  <si>
    <t>95/09/07</t>
  </si>
  <si>
    <t>50100-7969432</t>
  </si>
  <si>
    <t>50100-7971158</t>
  </si>
  <si>
    <t>50100-7987061</t>
  </si>
  <si>
    <t>50100-7975889</t>
  </si>
  <si>
    <t>50100-7976737</t>
  </si>
  <si>
    <t>50100-7942583</t>
  </si>
  <si>
    <t>50100-7943725</t>
  </si>
  <si>
    <t>50100-7987085</t>
  </si>
  <si>
    <t>50100-7970206</t>
  </si>
  <si>
    <t>50100-7987100</t>
  </si>
  <si>
    <t>50100-7993218</t>
  </si>
  <si>
    <t>50100-7993357</t>
  </si>
  <si>
    <t>50100-7993558</t>
  </si>
  <si>
    <t>50100-7956616</t>
  </si>
  <si>
    <t>50100-7943331</t>
  </si>
  <si>
    <t>50100-7943080</t>
  </si>
  <si>
    <t>50100-7971991</t>
  </si>
  <si>
    <t>50100-7990831</t>
  </si>
  <si>
    <t>50100-7943242</t>
  </si>
  <si>
    <t>95-951500228</t>
  </si>
  <si>
    <t>95-951500229</t>
  </si>
  <si>
    <t>95-951500244</t>
  </si>
  <si>
    <t>95-951500242</t>
  </si>
  <si>
    <t>95-951500251</t>
  </si>
  <si>
    <t>95-951500315</t>
  </si>
  <si>
    <t>95-951500343</t>
  </si>
  <si>
    <t>95-951500273</t>
  </si>
  <si>
    <t>95-951500272</t>
  </si>
  <si>
    <t>95-951500245</t>
  </si>
  <si>
    <t>95-951500252</t>
  </si>
  <si>
    <t>95-951500346</t>
  </si>
  <si>
    <t>95-951500324</t>
  </si>
  <si>
    <t>95-951500299</t>
  </si>
  <si>
    <t>95-951500354</t>
  </si>
  <si>
    <t>95-951500318</t>
  </si>
  <si>
    <t>95-951500267</t>
  </si>
  <si>
    <t>95-951500283</t>
  </si>
  <si>
    <t>95-951500226</t>
  </si>
  <si>
    <t>95-951500224</t>
  </si>
  <si>
    <t>95-954200040</t>
  </si>
  <si>
    <t>95-954200042</t>
  </si>
  <si>
    <t>95-951500246</t>
  </si>
  <si>
    <t>95-951500247</t>
  </si>
  <si>
    <t>95-954100017</t>
  </si>
  <si>
    <t>95-954200041</t>
  </si>
  <si>
    <t>95/09/09</t>
  </si>
  <si>
    <t>50100-8013135</t>
  </si>
  <si>
    <t>95/09/04</t>
  </si>
  <si>
    <t>95-952500035</t>
  </si>
  <si>
    <t>95-951500308</t>
  </si>
  <si>
    <t>sebco95</t>
  </si>
  <si>
    <t>shining 303</t>
  </si>
  <si>
    <t>gentakin</t>
  </si>
  <si>
    <t>m/s khan Group</t>
  </si>
  <si>
    <t>frontier haulage</t>
  </si>
  <si>
    <t>50100-8039552</t>
  </si>
  <si>
    <t>50100-8040000</t>
  </si>
  <si>
    <t>50100-8040477</t>
  </si>
  <si>
    <t>50100-8049110</t>
  </si>
  <si>
    <t>50100-8022957</t>
  </si>
  <si>
    <t>50100-8054044</t>
  </si>
  <si>
    <t>50100-8019092</t>
  </si>
  <si>
    <t>50100-8018151</t>
  </si>
  <si>
    <t>50100-8018575</t>
  </si>
  <si>
    <t>50100-8019806</t>
  </si>
  <si>
    <t>50100-8028437</t>
  </si>
  <si>
    <t>50100-8008436</t>
  </si>
  <si>
    <t>50100-8046269</t>
  </si>
  <si>
    <t>50100-8026613</t>
  </si>
  <si>
    <t>50100-8029125</t>
  </si>
  <si>
    <t>50100-8029524</t>
  </si>
  <si>
    <t>50100-8029422</t>
  </si>
  <si>
    <t>50100-8046504</t>
  </si>
  <si>
    <t>50100-8053050</t>
  </si>
  <si>
    <t>50100-8014642</t>
  </si>
  <si>
    <t>50100-8053589</t>
  </si>
  <si>
    <t>50100-8049235</t>
  </si>
  <si>
    <t>95/09/13</t>
  </si>
  <si>
    <t>95/09/14</t>
  </si>
  <si>
    <t>95/09/15</t>
  </si>
  <si>
    <t>95/09/06</t>
  </si>
  <si>
    <t>95/09/03</t>
  </si>
  <si>
    <t>95/09/16</t>
  </si>
  <si>
    <t>95-952500047</t>
  </si>
  <si>
    <t>95-952500046</t>
  </si>
  <si>
    <t>95-952500048</t>
  </si>
  <si>
    <t>95-954100018</t>
  </si>
  <si>
    <t>95-952500045</t>
  </si>
  <si>
    <t>95-951500365</t>
  </si>
  <si>
    <t>95-951500296</t>
  </si>
  <si>
    <t>95-951500352</t>
  </si>
  <si>
    <t>95-951500302</t>
  </si>
  <si>
    <t>95-951500282</t>
  </si>
  <si>
    <t>95-951500361</t>
  </si>
  <si>
    <t>95-951500292</t>
  </si>
  <si>
    <t>95-951500348</t>
  </si>
  <si>
    <t>95-951500298</t>
  </si>
  <si>
    <t>95-951500294</t>
  </si>
  <si>
    <t>95-951500291</t>
  </si>
  <si>
    <t>95-951500293</t>
  </si>
  <si>
    <t>95-951500309</t>
  </si>
  <si>
    <t>95-951500297</t>
  </si>
  <si>
    <t>95-951500300</t>
  </si>
  <si>
    <t>95-951500384</t>
  </si>
  <si>
    <t>95-951500390</t>
  </si>
  <si>
    <t>95-951500306</t>
  </si>
  <si>
    <t>95-951500369</t>
  </si>
  <si>
    <t>95-951500371</t>
  </si>
  <si>
    <t>95-952500051</t>
  </si>
  <si>
    <t>95/09/01</t>
  </si>
  <si>
    <t>95/09/11</t>
  </si>
  <si>
    <t>95/07/28</t>
  </si>
  <si>
    <t>95/10/01</t>
  </si>
  <si>
    <t>daxon7986</t>
  </si>
  <si>
    <t>black gold-95-10</t>
  </si>
  <si>
    <t>midwest</t>
  </si>
  <si>
    <t>sebco9510</t>
  </si>
  <si>
    <t>heart-9510</t>
  </si>
  <si>
    <t>92-50109</t>
  </si>
  <si>
    <t>nasatel95</t>
  </si>
  <si>
    <t>shining 5845</t>
  </si>
  <si>
    <t>95-951500387</t>
  </si>
  <si>
    <t>95-951500396</t>
  </si>
  <si>
    <t>95-951500420</t>
  </si>
  <si>
    <t>95-951500432</t>
  </si>
  <si>
    <t>95-951500455</t>
  </si>
  <si>
    <t>95-951500453</t>
  </si>
  <si>
    <t>50100-8133139</t>
  </si>
  <si>
    <t>50100-8118606</t>
  </si>
  <si>
    <t>50100-8128575</t>
  </si>
  <si>
    <t>50100-8130760</t>
  </si>
  <si>
    <t>50100-8153599</t>
  </si>
  <si>
    <t>50100-8141316</t>
  </si>
  <si>
    <t>50100-8164088</t>
  </si>
  <si>
    <t>50100-8126929</t>
  </si>
  <si>
    <t>50100-8164670</t>
  </si>
  <si>
    <t>50100-8130967</t>
  </si>
  <si>
    <t>50100-8130928</t>
  </si>
  <si>
    <t>50100-8145745</t>
  </si>
  <si>
    <t>50100-8138695</t>
  </si>
  <si>
    <t>50100-8152067</t>
  </si>
  <si>
    <t>50100-8140022</t>
  </si>
  <si>
    <t>50100-8154860</t>
  </si>
  <si>
    <t>50100-8127817</t>
  </si>
  <si>
    <t>50100-8163774</t>
  </si>
  <si>
    <t>50100-8171252</t>
  </si>
  <si>
    <t>50100-8173614</t>
  </si>
  <si>
    <t>50100-8146872</t>
  </si>
  <si>
    <t>50100-8167864</t>
  </si>
  <si>
    <t>50100-8150900</t>
  </si>
  <si>
    <t>50100-8152249</t>
  </si>
  <si>
    <t>50100-8131811</t>
  </si>
  <si>
    <t>50100-8118845</t>
  </si>
  <si>
    <t>50100-8125210</t>
  </si>
  <si>
    <t>50100-8128097</t>
  </si>
  <si>
    <t>50100-8146950</t>
  </si>
  <si>
    <t>50100-8171196</t>
  </si>
  <si>
    <t>50100-8118283</t>
  </si>
  <si>
    <t>50100-8136514</t>
  </si>
  <si>
    <t>50100-8158338</t>
  </si>
  <si>
    <t>50100-8176651</t>
  </si>
  <si>
    <t>50100-8132822</t>
  </si>
  <si>
    <t>50100-8154504</t>
  </si>
  <si>
    <t>50100-8119252</t>
  </si>
  <si>
    <t>50100-8168073</t>
  </si>
  <si>
    <t>50100-8117682</t>
  </si>
  <si>
    <t>50100-8134738</t>
  </si>
  <si>
    <t>50100-8136310</t>
  </si>
  <si>
    <t>50100-8136428</t>
  </si>
  <si>
    <t>50100-8161540</t>
  </si>
  <si>
    <t>50100-8116090</t>
  </si>
  <si>
    <t>50100-8084938</t>
  </si>
  <si>
    <t>50100-8109119</t>
  </si>
  <si>
    <t>50100-8101269</t>
  </si>
  <si>
    <t>50100-8101500</t>
  </si>
  <si>
    <t>50100-8096953</t>
  </si>
  <si>
    <t>50100-8088445</t>
  </si>
  <si>
    <t>50100-8109074</t>
  </si>
  <si>
    <t>50100-8081902</t>
  </si>
  <si>
    <t>50100-8086017</t>
  </si>
  <si>
    <t>50100-8109191</t>
  </si>
  <si>
    <t>50100-8109221</t>
  </si>
  <si>
    <t>50100-8086340</t>
  </si>
  <si>
    <t>50100-8107909</t>
  </si>
  <si>
    <t>50100-8085741</t>
  </si>
  <si>
    <t>50100-8098987</t>
  </si>
  <si>
    <t>50100-8066443</t>
  </si>
  <si>
    <t>50100-8107708</t>
  </si>
  <si>
    <t>50100-8079296</t>
  </si>
  <si>
    <t>50100-8105229</t>
  </si>
  <si>
    <t>50100-8086615</t>
  </si>
  <si>
    <t>50100-8077642</t>
  </si>
  <si>
    <t>50100-8088324</t>
  </si>
  <si>
    <t>50100-8091024</t>
  </si>
  <si>
    <t>50100-8096899</t>
  </si>
  <si>
    <t>50100-8096848</t>
  </si>
  <si>
    <t>50100-8073935</t>
  </si>
  <si>
    <t>50100-8079672</t>
  </si>
  <si>
    <t>50100-8106424</t>
  </si>
  <si>
    <t>50100-8056456</t>
  </si>
  <si>
    <t>50100-8077172</t>
  </si>
  <si>
    <t>50100-8063222</t>
  </si>
  <si>
    <t>50100-8109335</t>
  </si>
  <si>
    <t>50100-8088061</t>
  </si>
  <si>
    <t>50100-8088183</t>
  </si>
  <si>
    <t>50100-8100839</t>
  </si>
  <si>
    <t>50100-8109155</t>
  </si>
  <si>
    <t>50100-8098520</t>
  </si>
  <si>
    <t>50100-8087663</t>
  </si>
  <si>
    <t>50100-8096947</t>
  </si>
  <si>
    <t>50100-8098693</t>
  </si>
  <si>
    <t>50100-8084974</t>
  </si>
  <si>
    <t>50100-8085600</t>
  </si>
  <si>
    <t>50100-8105723</t>
  </si>
  <si>
    <t>50100-8107171</t>
  </si>
  <si>
    <t>50100-8091410</t>
  </si>
  <si>
    <t>50100-8086852</t>
  </si>
  <si>
    <t>50100-8096950</t>
  </si>
  <si>
    <t>50100-8096926</t>
  </si>
  <si>
    <t>50100-8108814</t>
  </si>
  <si>
    <t>50100-8110571</t>
  </si>
  <si>
    <t>50100-8082894</t>
  </si>
  <si>
    <t>50100-8059854</t>
  </si>
  <si>
    <t>50100-8088458</t>
  </si>
  <si>
    <t>50100-8109266</t>
  </si>
  <si>
    <t>50100-8087022</t>
  </si>
  <si>
    <t>50100-8073505</t>
  </si>
  <si>
    <t>50100-8064458</t>
  </si>
  <si>
    <t>50100-8092523</t>
  </si>
  <si>
    <t>50100-8067580</t>
  </si>
  <si>
    <t>50100-8092929</t>
  </si>
  <si>
    <t>15100-351031</t>
  </si>
  <si>
    <t>15100-345948</t>
  </si>
  <si>
    <t>15100-345761</t>
  </si>
  <si>
    <t>15100-352950</t>
  </si>
  <si>
    <t>15100-349471</t>
  </si>
  <si>
    <t>15100-352225</t>
  </si>
  <si>
    <t>15100-357834</t>
  </si>
  <si>
    <t>15100-350440</t>
  </si>
  <si>
    <t>15100-357173</t>
  </si>
  <si>
    <t>15100-347769</t>
  </si>
  <si>
    <t>15100-354255</t>
  </si>
  <si>
    <t>15100-357158</t>
  </si>
  <si>
    <t>15100-356623</t>
  </si>
  <si>
    <t>15100-350497</t>
  </si>
  <si>
    <t>15100-350619</t>
  </si>
  <si>
    <t>15100-356582</t>
  </si>
  <si>
    <t>15100-351604</t>
  </si>
  <si>
    <t>15100-351592</t>
  </si>
  <si>
    <t>15100-355288</t>
  </si>
  <si>
    <t>15100-346014</t>
  </si>
  <si>
    <t>15100-357170</t>
  </si>
  <si>
    <t>15100-349994</t>
  </si>
  <si>
    <t>15100-346517</t>
  </si>
  <si>
    <t>15100-354751</t>
  </si>
  <si>
    <t>15100-352234</t>
  </si>
  <si>
    <t>15100-350473</t>
  </si>
  <si>
    <t>15100-347248</t>
  </si>
  <si>
    <t>15100-349545</t>
  </si>
  <si>
    <t>15100-352231</t>
  </si>
  <si>
    <t>15100-353516</t>
  </si>
  <si>
    <t>15100-354225</t>
  </si>
  <si>
    <t>15100-356594</t>
  </si>
  <si>
    <t>15100-356591</t>
  </si>
  <si>
    <t>15100-348436</t>
  </si>
  <si>
    <t>15100-353510</t>
  </si>
  <si>
    <t>15100-348331</t>
  </si>
  <si>
    <t>15100-351016</t>
  </si>
  <si>
    <t>15100-353543</t>
  </si>
  <si>
    <t>15100-353546</t>
  </si>
  <si>
    <t>15100-348283</t>
  </si>
  <si>
    <t>15100-357125</t>
  </si>
  <si>
    <t>15100-357792</t>
  </si>
  <si>
    <t>15100-356609</t>
  </si>
  <si>
    <t>15100-358411</t>
  </si>
  <si>
    <t>15100-351025</t>
  </si>
  <si>
    <t>15100-349015</t>
  </si>
  <si>
    <t>15100-351007</t>
  </si>
  <si>
    <t>15100-357846</t>
  </si>
  <si>
    <t>15100-354676</t>
  </si>
  <si>
    <t>15100-347251</t>
  </si>
  <si>
    <t>15100-355276</t>
  </si>
  <si>
    <t>15100-350018</t>
  </si>
  <si>
    <t>15100-349486</t>
  </si>
  <si>
    <t>15100-352986</t>
  </si>
  <si>
    <t>15100-357134</t>
  </si>
  <si>
    <t>15100-346743</t>
  </si>
  <si>
    <t>15100-357864</t>
  </si>
  <si>
    <t>15100-353004</t>
  </si>
  <si>
    <t>15100-353555</t>
  </si>
  <si>
    <t>15100-352258</t>
  </si>
  <si>
    <t>15100-354240</t>
  </si>
  <si>
    <t>15100-354736</t>
  </si>
  <si>
    <t>15100-347182</t>
  </si>
  <si>
    <t>15100-347730</t>
  </si>
  <si>
    <t>15100-349557</t>
  </si>
  <si>
    <t>15100-358390</t>
  </si>
  <si>
    <t>15100-348904</t>
  </si>
  <si>
    <t>15100-358363</t>
  </si>
  <si>
    <t>15100-357164</t>
  </si>
  <si>
    <t>15100-355768</t>
  </si>
  <si>
    <t>15100-348955</t>
  </si>
  <si>
    <t>15100-350485</t>
  </si>
  <si>
    <t>15100-351534</t>
  </si>
  <si>
    <t>15100-346128</t>
  </si>
  <si>
    <t>15100-347191</t>
  </si>
  <si>
    <t>15100-352959</t>
  </si>
  <si>
    <t>15100-354201</t>
  </si>
  <si>
    <t>15100-354730</t>
  </si>
  <si>
    <t>15100-358405</t>
  </si>
  <si>
    <t>95/10/05</t>
  </si>
  <si>
    <t>95/10/04</t>
  </si>
  <si>
    <t>95/10/09</t>
  </si>
  <si>
    <t>95/10/07</t>
  </si>
  <si>
    <t>95/10/12</t>
  </si>
  <si>
    <t>95/10/06</t>
  </si>
  <si>
    <t>95/10/08</t>
  </si>
  <si>
    <t>95/10/14</t>
  </si>
  <si>
    <t>95/10/13</t>
  </si>
  <si>
    <t>95/10/11</t>
  </si>
  <si>
    <t>95/10/15</t>
  </si>
  <si>
    <t>95/09/22</t>
  </si>
  <si>
    <t>95/09/29</t>
  </si>
  <si>
    <t>95/09/28</t>
  </si>
  <si>
    <t>95/09/25</t>
  </si>
  <si>
    <t>95/09/23</t>
  </si>
  <si>
    <t>95/09/18</t>
  </si>
  <si>
    <t>95/09/21</t>
  </si>
  <si>
    <t>95/09/24</t>
  </si>
  <si>
    <t>95/09/17</t>
  </si>
  <si>
    <t>95/09/30</t>
  </si>
  <si>
    <t>95/09/20</t>
  </si>
  <si>
    <t>95/09/02</t>
  </si>
  <si>
    <t>95-951500473</t>
  </si>
  <si>
    <t>95-952500064</t>
  </si>
  <si>
    <t>95-951500464</t>
  </si>
  <si>
    <t>95-951500466</t>
  </si>
  <si>
    <t>95-951500461</t>
  </si>
  <si>
    <t>95-951500499</t>
  </si>
  <si>
    <t>95-951500539</t>
  </si>
  <si>
    <t>95-951500415</t>
  </si>
  <si>
    <t>95-952500070</t>
  </si>
  <si>
    <t>95-951500413</t>
  </si>
  <si>
    <t>95-952500050</t>
  </si>
  <si>
    <t>95-952500068</t>
  </si>
  <si>
    <t>95-952500069</t>
  </si>
  <si>
    <t>95-951500462</t>
  </si>
  <si>
    <t>95-951500488</t>
  </si>
  <si>
    <t>95-951500394</t>
  </si>
  <si>
    <t>95-952500067</t>
  </si>
  <si>
    <t>95-951500452</t>
  </si>
  <si>
    <t>95-951500454</t>
  </si>
  <si>
    <t>95-951500445</t>
  </si>
  <si>
    <t>95-951500500</t>
  </si>
  <si>
    <t>95-951500463</t>
  </si>
  <si>
    <t>95-951500423</t>
  </si>
  <si>
    <t>95-951500506</t>
  </si>
  <si>
    <t>95-951500528</t>
  </si>
  <si>
    <t>95-951500327</t>
  </si>
  <si>
    <t>95-951500529</t>
  </si>
  <si>
    <t>95-951500328</t>
  </si>
  <si>
    <t>95-951500325</t>
  </si>
  <si>
    <t>95-951500330</t>
  </si>
  <si>
    <t>95-952500057</t>
  </si>
  <si>
    <t>95-951500416</t>
  </si>
  <si>
    <t>95-952500058</t>
  </si>
  <si>
    <t>95-951500465</t>
  </si>
  <si>
    <t>95-951500446</t>
  </si>
  <si>
    <t>95-951500471</t>
  </si>
  <si>
    <t>95-951500512</t>
  </si>
  <si>
    <t>95-951500498</t>
  </si>
  <si>
    <t>95-951500266</t>
  </si>
  <si>
    <t>95-951500490</t>
  </si>
  <si>
    <t>95-951500493</t>
  </si>
  <si>
    <t>95-954100021</t>
  </si>
  <si>
    <t>95-952500066</t>
  </si>
  <si>
    <t>95-951500447</t>
  </si>
  <si>
    <t>95-954200045</t>
  </si>
  <si>
    <t>95-954200044</t>
  </si>
  <si>
    <t>95-952500065</t>
  </si>
  <si>
    <t>95-951500319</t>
  </si>
  <si>
    <t>95-951500460</t>
  </si>
  <si>
    <t>95-951500443</t>
  </si>
  <si>
    <t>95-951500444</t>
  </si>
  <si>
    <t>95-951500456</t>
  </si>
  <si>
    <t>95-951500442</t>
  </si>
  <si>
    <t>95-951500459</t>
  </si>
  <si>
    <t>95-951500434</t>
  </si>
  <si>
    <t>95-951500435</t>
  </si>
  <si>
    <t>95-952500060</t>
  </si>
  <si>
    <t>95-952500054</t>
  </si>
  <si>
    <t>95-951500395</t>
  </si>
  <si>
    <t>95-951500448</t>
  </si>
  <si>
    <t>95-951500407</t>
  </si>
  <si>
    <t>95-954100019</t>
  </si>
  <si>
    <t>95-951500441</t>
  </si>
  <si>
    <t>95-951500383</t>
  </si>
  <si>
    <t>95-951500393</t>
  </si>
  <si>
    <t>95-951500377</t>
  </si>
  <si>
    <t>95-951500316</t>
  </si>
  <si>
    <t>95-952500031</t>
  </si>
  <si>
    <t>95-951500367</t>
  </si>
  <si>
    <t>95-951500321</t>
  </si>
  <si>
    <t>95-951500378</t>
  </si>
  <si>
    <t>95-951500424</t>
  </si>
  <si>
    <t>95-951500487</t>
  </si>
  <si>
    <t>95-954200043</t>
  </si>
  <si>
    <t>95-951500322</t>
  </si>
  <si>
    <t>95-952500053</t>
  </si>
  <si>
    <t>95-952500052</t>
  </si>
  <si>
    <t>95-951500404</t>
  </si>
  <si>
    <t>95-951500417</t>
  </si>
  <si>
    <t>95-951500388</t>
  </si>
  <si>
    <t>95-951500385</t>
  </si>
  <si>
    <t>95-951500399</t>
  </si>
  <si>
    <t>95-951500425</t>
  </si>
  <si>
    <t>95-951500489</t>
  </si>
  <si>
    <t>95-951500502</t>
  </si>
  <si>
    <t>95-951500389</t>
  </si>
  <si>
    <t>95-951500391</t>
  </si>
  <si>
    <t>95-951500433</t>
  </si>
  <si>
    <t>95-951500467</t>
  </si>
  <si>
    <t>95-951500409</t>
  </si>
  <si>
    <t>95-952500062</t>
  </si>
  <si>
    <t>95-951500421</t>
  </si>
  <si>
    <t>95-951500426</t>
  </si>
  <si>
    <t>95-951500400</t>
  </si>
  <si>
    <t>95-951500368</t>
  </si>
  <si>
    <t>95-951500482</t>
  </si>
  <si>
    <t>95-951500406</t>
  </si>
  <si>
    <t>95-951500403</t>
  </si>
  <si>
    <t>95-951500295</t>
  </si>
  <si>
    <t>95-951500405</t>
  </si>
  <si>
    <t>95-951500402</t>
  </si>
  <si>
    <t>95-951500382</t>
  </si>
  <si>
    <t>95-951500386</t>
  </si>
  <si>
    <t>95-951500392</t>
  </si>
  <si>
    <t>95-951500374</t>
  </si>
  <si>
    <t>95-951500408</t>
  </si>
  <si>
    <t>95-951500401</t>
  </si>
  <si>
    <t>95-951500344</t>
  </si>
  <si>
    <t>95-951500419</t>
  </si>
  <si>
    <t>95-951500438</t>
  </si>
  <si>
    <t>95-951500513</t>
  </si>
  <si>
    <t>95-951500381</t>
  </si>
  <si>
    <t>95-951500341</t>
  </si>
  <si>
    <t>95-951500307</t>
  </si>
  <si>
    <t>95-951500492</t>
  </si>
  <si>
    <t>95-951500440</t>
  </si>
  <si>
    <t>95-951500412</t>
  </si>
  <si>
    <t>95-951500398</t>
  </si>
  <si>
    <t>95-951500358</t>
  </si>
  <si>
    <t>95/10/26</t>
  </si>
  <si>
    <t>95-952500025</t>
  </si>
  <si>
    <t>sebco951026</t>
  </si>
  <si>
    <t>15100-359949</t>
  </si>
  <si>
    <t>15100-359937</t>
  </si>
  <si>
    <t>15100-359916</t>
  </si>
  <si>
    <t>15100-361237</t>
  </si>
  <si>
    <t>15100-360704</t>
  </si>
  <si>
    <t>15100-359030</t>
  </si>
  <si>
    <t>15100-359018</t>
  </si>
  <si>
    <t>15100-359483</t>
  </si>
  <si>
    <t>15100-361165</t>
  </si>
  <si>
    <t>15100-365549</t>
  </si>
  <si>
    <t>15100-360695</t>
  </si>
  <si>
    <t>15100-361244</t>
  </si>
  <si>
    <t>15100-359513</t>
  </si>
  <si>
    <t>15100-359456</t>
  </si>
  <si>
    <t>15100-363456</t>
  </si>
  <si>
    <t>15100-362976</t>
  </si>
  <si>
    <t>15100-362179</t>
  </si>
  <si>
    <t>15100-361808</t>
  </si>
  <si>
    <t>15100-362341</t>
  </si>
  <si>
    <t>15100-362955</t>
  </si>
  <si>
    <t>15100-362964</t>
  </si>
  <si>
    <t>15100-362338</t>
  </si>
  <si>
    <t>15100-365326</t>
  </si>
  <si>
    <t>15100-364365</t>
  </si>
  <si>
    <t>15100-361874</t>
  </si>
  <si>
    <t>15100-365444</t>
  </si>
  <si>
    <t>15100-363381</t>
  </si>
  <si>
    <t>15100-364812</t>
  </si>
  <si>
    <t>15100-364359</t>
  </si>
  <si>
    <t>15100-361763</t>
  </si>
  <si>
    <t>15100-363827</t>
  </si>
  <si>
    <t>15100-365871</t>
  </si>
  <si>
    <t>95/10/02</t>
  </si>
  <si>
    <t>95/10/16</t>
  </si>
  <si>
    <t>95-951500484</t>
  </si>
  <si>
    <t>95-951500477</t>
  </si>
  <si>
    <t>95-951500520</t>
  </si>
  <si>
    <t>95-951500523</t>
  </si>
  <si>
    <t>95-951500540</t>
  </si>
  <si>
    <t>95-951500486</t>
  </si>
  <si>
    <t>95-951500496</t>
  </si>
  <si>
    <t>95-951500509</t>
  </si>
  <si>
    <t>95-951500541</t>
  </si>
  <si>
    <t>95-951500542</t>
  </si>
  <si>
    <t>95-951500543</t>
  </si>
  <si>
    <t>95-951500519</t>
  </si>
  <si>
    <t>95-951500470</t>
  </si>
  <si>
    <t>95-951500457</t>
  </si>
  <si>
    <t>95-951500397</t>
  </si>
  <si>
    <t>95-951500469</t>
  </si>
  <si>
    <t>95-951500547</t>
  </si>
  <si>
    <t>black gold951028</t>
  </si>
  <si>
    <t>15100-369282</t>
  </si>
  <si>
    <t>15100-369773</t>
  </si>
  <si>
    <t>15100-368398</t>
  </si>
  <si>
    <t>15100-367455</t>
  </si>
  <si>
    <t>15100-368440</t>
  </si>
  <si>
    <t>15100-368362</t>
  </si>
  <si>
    <t>15100-368907</t>
  </si>
  <si>
    <t>15100-368919</t>
  </si>
  <si>
    <t>15100-368895</t>
  </si>
  <si>
    <t>15100-368841</t>
  </si>
  <si>
    <t>15100-359010</t>
  </si>
  <si>
    <t>15100-367042</t>
  </si>
  <si>
    <t>15100-370619</t>
  </si>
  <si>
    <t>15100-369291</t>
  </si>
  <si>
    <t>15100-370674</t>
  </si>
  <si>
    <t>15100-367889</t>
  </si>
  <si>
    <t>15100-366432</t>
  </si>
  <si>
    <t>15100-369300</t>
  </si>
  <si>
    <t>15100-367320</t>
  </si>
  <si>
    <t>15100-367362</t>
  </si>
  <si>
    <t>15100-370182</t>
  </si>
  <si>
    <t>15100-367258</t>
  </si>
  <si>
    <t>15100-369813</t>
  </si>
  <si>
    <t>15100-365883</t>
  </si>
  <si>
    <t>15100-366250</t>
  </si>
  <si>
    <t>15100-369840</t>
  </si>
  <si>
    <t>15100-367839</t>
  </si>
  <si>
    <t>15100-367827</t>
  </si>
  <si>
    <t>15100-366304</t>
  </si>
  <si>
    <t>15100-366973</t>
  </si>
  <si>
    <t>15100-370113</t>
  </si>
  <si>
    <t>15100-366338</t>
  </si>
  <si>
    <t>15100-368392</t>
  </si>
  <si>
    <t>15100-368335</t>
  </si>
  <si>
    <t>15100-367252</t>
  </si>
  <si>
    <t>15100-370559</t>
  </si>
  <si>
    <t>50100-8220231</t>
  </si>
  <si>
    <t>50100-8106029</t>
  </si>
  <si>
    <t>50100-8217041</t>
  </si>
  <si>
    <t>50100-8231194</t>
  </si>
  <si>
    <t>50100-8231523</t>
  </si>
  <si>
    <t>50100-8235398</t>
  </si>
  <si>
    <t>50100-8208767</t>
  </si>
  <si>
    <t>50100-8225724</t>
  </si>
  <si>
    <t>50100-8224419</t>
  </si>
  <si>
    <t>50100-8189609</t>
  </si>
  <si>
    <t>50100-8190345</t>
  </si>
  <si>
    <t>50100-8225533</t>
  </si>
  <si>
    <t>50100-8223707</t>
  </si>
  <si>
    <t>50100-8231160</t>
  </si>
  <si>
    <t>50100-8204308</t>
  </si>
  <si>
    <t>50100-8208217</t>
  </si>
  <si>
    <t>50100-8185269</t>
  </si>
  <si>
    <t>50100-8197698</t>
  </si>
  <si>
    <t>50100-8190505</t>
  </si>
  <si>
    <t>50100-8197572</t>
  </si>
  <si>
    <t>50100-8210136</t>
  </si>
  <si>
    <t>50100-8209085</t>
  </si>
  <si>
    <t>50100-8217344</t>
  </si>
  <si>
    <t>50100-8217114</t>
  </si>
  <si>
    <t>50100-8187158</t>
  </si>
  <si>
    <t>50100-8231066</t>
  </si>
  <si>
    <t>50100-8206838</t>
  </si>
  <si>
    <t>50100-8217185</t>
  </si>
  <si>
    <t>50100-8187096</t>
  </si>
  <si>
    <t>50100-8225847</t>
  </si>
  <si>
    <t>50100-8203814</t>
  </si>
  <si>
    <t>50100-8225156</t>
  </si>
  <si>
    <t>50100-8204640</t>
  </si>
  <si>
    <t>50100-8224171</t>
  </si>
  <si>
    <t>50100-8216937</t>
  </si>
  <si>
    <t>50100-8197433</t>
  </si>
  <si>
    <t>50100-8231109</t>
  </si>
  <si>
    <t>50100-8180818</t>
  </si>
  <si>
    <t>95/10/27</t>
  </si>
  <si>
    <t>95/10/23</t>
  </si>
  <si>
    <t>95/10/20</t>
  </si>
  <si>
    <t>95/10/22</t>
  </si>
  <si>
    <t>95/10/25</t>
  </si>
  <si>
    <t>95/10/19</t>
  </si>
  <si>
    <t>95/10/29</t>
  </si>
  <si>
    <t>95/10/18</t>
  </si>
  <si>
    <t>95/10/28</t>
  </si>
  <si>
    <t>95/11/22</t>
  </si>
  <si>
    <t>95/10/30</t>
  </si>
  <si>
    <t>95-952500076</t>
  </si>
  <si>
    <t>95-951500562</t>
  </si>
  <si>
    <t>95-951500439</t>
  </si>
  <si>
    <t>95-951500507</t>
  </si>
  <si>
    <t>95-951500476</t>
  </si>
  <si>
    <t>95-951500549</t>
  </si>
  <si>
    <t>95-951500545</t>
  </si>
  <si>
    <t>95-951500514</t>
  </si>
  <si>
    <t>95-951500544</t>
  </si>
  <si>
    <t>95-951500268</t>
  </si>
  <si>
    <t>95-954100025</t>
  </si>
  <si>
    <t>95-951500495</t>
  </si>
  <si>
    <t>95-951500311</t>
  </si>
  <si>
    <t>95-951500522</t>
  </si>
  <si>
    <t>95-951500479</t>
  </si>
  <si>
    <t>95-954100026</t>
  </si>
  <si>
    <t>95-951500337</t>
  </si>
  <si>
    <t>95-951500349</t>
  </si>
  <si>
    <t>95-951500340</t>
  </si>
  <si>
    <t>95-952500055</t>
  </si>
  <si>
    <t>95-951500422</t>
  </si>
  <si>
    <t>95-951500335</t>
  </si>
  <si>
    <t>95-951500342</t>
  </si>
  <si>
    <t>95-951500338</t>
  </si>
  <si>
    <t>95-951500350</t>
  </si>
  <si>
    <t>95-954100023</t>
  </si>
  <si>
    <t>95-951500548</t>
  </si>
  <si>
    <t>95-952500071</t>
  </si>
  <si>
    <t>95-951500310</t>
  </si>
  <si>
    <t>95-951500474</t>
  </si>
  <si>
    <t>95-952500026</t>
  </si>
  <si>
    <t>95-951500497</t>
  </si>
  <si>
    <t>95-951500353</t>
  </si>
  <si>
    <t>95-954100024</t>
  </si>
  <si>
    <t>95-951500331</t>
  </si>
  <si>
    <t>95-951500317</t>
  </si>
  <si>
    <t>95-951500483</t>
  </si>
  <si>
    <t>95-951500364</t>
  </si>
  <si>
    <t>95-951500530</t>
  </si>
  <si>
    <t>95-952500039</t>
  </si>
  <si>
    <t>95-952500038</t>
  </si>
  <si>
    <t>95-951500333</t>
  </si>
  <si>
    <t>95-952500040</t>
  </si>
  <si>
    <t>95-951500558</t>
  </si>
  <si>
    <t>95-951500505</t>
  </si>
  <si>
    <t>95-952500074</t>
  </si>
  <si>
    <t>95-951500334</t>
  </si>
  <si>
    <t>95-951500521</t>
  </si>
  <si>
    <t>95-951500458</t>
  </si>
  <si>
    <t>95-952500079</t>
  </si>
  <si>
    <t>95-951500329</t>
  </si>
  <si>
    <t>95-951500332</t>
  </si>
  <si>
    <t>95-954100022</t>
  </si>
  <si>
    <t>95/11/10</t>
  </si>
  <si>
    <t>asphaltic7376</t>
  </si>
  <si>
    <t>95-951500510</t>
  </si>
  <si>
    <t>95-951500526</t>
  </si>
  <si>
    <t>95-951500537</t>
  </si>
  <si>
    <t>95-951500511</t>
  </si>
  <si>
    <t>95-951500536</t>
  </si>
  <si>
    <t>95-951500516</t>
  </si>
  <si>
    <t>95-951500525</t>
  </si>
  <si>
    <t>95-951500524</t>
  </si>
  <si>
    <t>Ivera</t>
  </si>
  <si>
    <t>95-951500550</t>
  </si>
  <si>
    <t>95-951500561</t>
  </si>
  <si>
    <t>black gold-1</t>
  </si>
  <si>
    <t>95/11/12</t>
  </si>
  <si>
    <t>95/11/13</t>
  </si>
  <si>
    <t>95/11/14</t>
  </si>
  <si>
    <t>95/11/24</t>
  </si>
  <si>
    <t>95/11/26</t>
  </si>
  <si>
    <t>نام مشتری</t>
  </si>
  <si>
    <t>15100-371389</t>
  </si>
  <si>
    <t>15100-372120</t>
  </si>
  <si>
    <t>15100-374607</t>
  </si>
  <si>
    <t>15100-371395</t>
  </si>
  <si>
    <t>15100-373013</t>
  </si>
  <si>
    <t>15100-373508</t>
  </si>
  <si>
    <t>50100-8264295</t>
  </si>
  <si>
    <t>50100-8281167</t>
  </si>
  <si>
    <t>50100-8248474</t>
  </si>
  <si>
    <t>50100-8245548</t>
  </si>
  <si>
    <t>50100-8243844</t>
  </si>
  <si>
    <t>50100-8237743</t>
  </si>
  <si>
    <t>50100-8297406</t>
  </si>
  <si>
    <t>50100-8248281</t>
  </si>
  <si>
    <t>50100-8273159</t>
  </si>
  <si>
    <t>50100-8252699</t>
  </si>
  <si>
    <t>50100-8297223</t>
  </si>
  <si>
    <t>50100-8270763</t>
  </si>
  <si>
    <t>50100-8247817</t>
  </si>
  <si>
    <t>50100-8249548</t>
  </si>
  <si>
    <t>50100-8273759</t>
  </si>
  <si>
    <t>50100-8253497</t>
  </si>
  <si>
    <t>50100-8248058</t>
  </si>
  <si>
    <t>50100-8298334</t>
  </si>
  <si>
    <t>50100-8249294</t>
  </si>
  <si>
    <t>50100-8278345</t>
  </si>
  <si>
    <t>50100-8297074</t>
  </si>
  <si>
    <t>50100-8248593</t>
  </si>
  <si>
    <t>50100-8249220</t>
  </si>
  <si>
    <t>50100-8278079</t>
  </si>
  <si>
    <t>50100-8278212</t>
  </si>
  <si>
    <t>50100-8248791</t>
  </si>
  <si>
    <t>50100-8240028</t>
  </si>
  <si>
    <t>50100-8262804</t>
  </si>
  <si>
    <t>50100-8253691</t>
  </si>
  <si>
    <t>50100-8277828</t>
  </si>
  <si>
    <t>50100-8245117</t>
  </si>
  <si>
    <t>50100-8292764</t>
  </si>
  <si>
    <t>50100-8278143</t>
  </si>
  <si>
    <t>50100-8278553</t>
  </si>
  <si>
    <t>50100-8254866</t>
  </si>
  <si>
    <t>50100-8244503</t>
  </si>
  <si>
    <t>50100-8244832</t>
  </si>
  <si>
    <t>50100-8293232</t>
  </si>
  <si>
    <t>50100-8252987</t>
  </si>
  <si>
    <t>50100-8297588</t>
  </si>
  <si>
    <t>50100-8263360</t>
  </si>
  <si>
    <t>50100-8278399</t>
  </si>
  <si>
    <t>50100-8334772</t>
  </si>
  <si>
    <t>95/11/02</t>
  </si>
  <si>
    <t>95/11/04</t>
  </si>
  <si>
    <t>95/11/11</t>
  </si>
  <si>
    <t>95/11/06</t>
  </si>
  <si>
    <t>95/11/07</t>
  </si>
  <si>
    <t>95/11/03</t>
  </si>
  <si>
    <t>95/11/05</t>
  </si>
  <si>
    <t>95/11/09</t>
  </si>
  <si>
    <t>95-951500552</t>
  </si>
  <si>
    <t>95-951500557</t>
  </si>
  <si>
    <t>95-951500563</t>
  </si>
  <si>
    <t>95-951500380</t>
  </si>
  <si>
    <t>95-951500555</t>
  </si>
  <si>
    <t>95-952500077</t>
  </si>
  <si>
    <t>95-951500366</t>
  </si>
  <si>
    <t>95-952500078</t>
  </si>
  <si>
    <t>95-951500414</t>
  </si>
  <si>
    <t>95-952500041</t>
  </si>
  <si>
    <t>95-951500428</t>
  </si>
  <si>
    <t>95-951500437</t>
  </si>
  <si>
    <t>95-951500339</t>
  </si>
  <si>
    <t>95-951500554</t>
  </si>
  <si>
    <t>95-951500359</t>
  </si>
  <si>
    <t>95-951500501</t>
  </si>
  <si>
    <t>95-951500370</t>
  </si>
  <si>
    <t>95-952500063</t>
  </si>
  <si>
    <t>95-952500061</t>
  </si>
  <si>
    <t>95-954100027</t>
  </si>
  <si>
    <t>95-952500056</t>
  </si>
  <si>
    <t>95-952500049</t>
  </si>
  <si>
    <t>95-951500559</t>
  </si>
  <si>
    <t>95-951500515</t>
  </si>
  <si>
    <t>95-951500560</t>
  </si>
  <si>
    <t>95-951500491</t>
  </si>
  <si>
    <t>95-952500043</t>
  </si>
  <si>
    <t>95-951500531</t>
  </si>
  <si>
    <t>95-952500080</t>
  </si>
  <si>
    <t>95-951500551</t>
  </si>
  <si>
    <t>95-951500556</t>
  </si>
  <si>
    <t>95-952500042</t>
  </si>
  <si>
    <t>95-951500430</t>
  </si>
  <si>
    <t>95-951500535</t>
  </si>
  <si>
    <t>95-951500431</t>
  </si>
  <si>
    <t>95-952500044</t>
  </si>
  <si>
    <t>95-952500081</t>
  </si>
  <si>
    <t>AL Taiera</t>
  </si>
  <si>
    <t>real bitumen oil</t>
  </si>
  <si>
    <t>45110-70621</t>
  </si>
  <si>
    <t>45110-69774</t>
  </si>
  <si>
    <t>50100-8317381</t>
  </si>
  <si>
    <t>50100-8341361</t>
  </si>
  <si>
    <t>50100-8300637</t>
  </si>
  <si>
    <t>50100-8298423</t>
  </si>
  <si>
    <t>50100-8341582</t>
  </si>
  <si>
    <t>50100-8333097</t>
  </si>
  <si>
    <t>50100-8316441</t>
  </si>
  <si>
    <t>50100-8301241</t>
  </si>
  <si>
    <t>50100-8303481</t>
  </si>
  <si>
    <t>50100-8322347</t>
  </si>
  <si>
    <t>50100-8341837</t>
  </si>
  <si>
    <t>50100-8338503</t>
  </si>
  <si>
    <t>50100-8309952</t>
  </si>
  <si>
    <t>50100-8350615</t>
  </si>
  <si>
    <t>50100-8333590</t>
  </si>
  <si>
    <t>50100-8312045</t>
  </si>
  <si>
    <t>50100-8332995</t>
  </si>
  <si>
    <t>50100-8341226</t>
  </si>
  <si>
    <t>50100-8360279</t>
  </si>
  <si>
    <t>50100-8315904</t>
  </si>
  <si>
    <t>50100-8318780</t>
  </si>
  <si>
    <t>15100-380580</t>
  </si>
  <si>
    <t>15100-381818</t>
  </si>
  <si>
    <t>15100-381429</t>
  </si>
  <si>
    <t>15100-381390</t>
  </si>
  <si>
    <t>15100-377930</t>
  </si>
  <si>
    <t>15100-380111</t>
  </si>
  <si>
    <t>15100-376906</t>
  </si>
  <si>
    <t>15100-376212</t>
  </si>
  <si>
    <t>15100-377447</t>
  </si>
  <si>
    <t>15100-376876</t>
  </si>
  <si>
    <t>15100-376568</t>
  </si>
  <si>
    <t>15100-377453</t>
  </si>
  <si>
    <t>15100-377948</t>
  </si>
  <si>
    <t>15100-378480</t>
  </si>
  <si>
    <t>15100-378519</t>
  </si>
  <si>
    <t>15100-381423</t>
  </si>
  <si>
    <t>15100-376976</t>
  </si>
  <si>
    <t>95/04/17</t>
  </si>
  <si>
    <t>95/11/19</t>
  </si>
  <si>
    <t>95/11/25</t>
  </si>
  <si>
    <t>95/11/16</t>
  </si>
  <si>
    <t>95/11/20</t>
  </si>
  <si>
    <t>95/11/18</t>
  </si>
  <si>
    <t>95/11/27</t>
  </si>
  <si>
    <t>95/11/30</t>
  </si>
  <si>
    <t>95/11/28</t>
  </si>
  <si>
    <t>95/11/17</t>
  </si>
  <si>
    <t>95/11/21</t>
  </si>
  <si>
    <t>95-959000006</t>
  </si>
  <si>
    <t>95-959000005</t>
  </si>
  <si>
    <t>95-959000004</t>
  </si>
  <si>
    <t>95-959000003</t>
  </si>
  <si>
    <t>95-951500312</t>
  </si>
  <si>
    <t>95-951500427</t>
  </si>
  <si>
    <t>95-951500503</t>
  </si>
  <si>
    <t>95-951500313</t>
  </si>
  <si>
    <t>95-951500314</t>
  </si>
  <si>
    <t>95-951500411</t>
  </si>
  <si>
    <t>95-951500485</t>
  </si>
  <si>
    <t>95-951500418</t>
  </si>
  <si>
    <t>95-951500379</t>
  </si>
  <si>
    <t>95-951500504</t>
  </si>
  <si>
    <t>95-951500345</t>
  </si>
  <si>
    <t>95-951500429</t>
  </si>
  <si>
    <t>95-951500362</t>
  </si>
  <si>
    <t>95-951500376</t>
  </si>
  <si>
    <t>95-951500436</t>
  </si>
  <si>
    <t>95-951500468</t>
  </si>
  <si>
    <t>95-951500472</t>
  </si>
  <si>
    <t>95-951500480</t>
  </si>
  <si>
    <t>95-954100029</t>
  </si>
  <si>
    <t>95-951500450</t>
  </si>
  <si>
    <t>95-951500478</t>
  </si>
  <si>
    <t>95-952500084</t>
  </si>
  <si>
    <t>95-952500086</t>
  </si>
  <si>
    <t>95-951500534</t>
  </si>
  <si>
    <t>95-952500088</t>
  </si>
  <si>
    <t>95-954100033</t>
  </si>
  <si>
    <t>95-954100032</t>
  </si>
  <si>
    <t>95-954100031</t>
  </si>
  <si>
    <t>95-951500574</t>
  </si>
  <si>
    <t>95-951500573</t>
  </si>
  <si>
    <t>95-951500570</t>
  </si>
  <si>
    <t>95-951500572</t>
  </si>
  <si>
    <t>95-951500569</t>
  </si>
  <si>
    <t>95-951500565</t>
  </si>
  <si>
    <t>95-951500553</t>
  </si>
  <si>
    <t>95/12/01</t>
  </si>
  <si>
    <t>95/12/04</t>
  </si>
  <si>
    <t>50100-8366725</t>
  </si>
  <si>
    <t>50100-8369185</t>
  </si>
  <si>
    <t>50100-8360477</t>
  </si>
  <si>
    <t>50100-8364064</t>
  </si>
  <si>
    <t>50100-8374652</t>
  </si>
  <si>
    <t>50100-8368952</t>
  </si>
  <si>
    <t>50100-8374009</t>
  </si>
  <si>
    <t>50100-8375828</t>
  </si>
  <si>
    <t>50100-8363844</t>
  </si>
  <si>
    <t>50100-8373866</t>
  </si>
  <si>
    <t>50100-8374223</t>
  </si>
  <si>
    <t>95/12/02</t>
  </si>
  <si>
    <t>95/12/03</t>
  </si>
  <si>
    <t>95-951500533</t>
  </si>
  <si>
    <t>95-952500072</t>
  </si>
  <si>
    <t>95-954100028</t>
  </si>
  <si>
    <t>95-952500059</t>
  </si>
  <si>
    <t>95-951500449</t>
  </si>
  <si>
    <t>95-952500091</t>
  </si>
  <si>
    <t>95-952500089</t>
  </si>
  <si>
    <t>95-951500538</t>
  </si>
  <si>
    <t>نورزایی</t>
  </si>
  <si>
    <t>45110-70624</t>
  </si>
  <si>
    <t>95/12/16</t>
  </si>
  <si>
    <t>infinity</t>
  </si>
  <si>
    <t>paart</t>
  </si>
  <si>
    <t>95-952500094</t>
  </si>
  <si>
    <t>95-952500095</t>
  </si>
  <si>
    <t>95-952500096</t>
  </si>
  <si>
    <t>95-952500097</t>
  </si>
  <si>
    <t>elixir</t>
  </si>
  <si>
    <t>95-952500101</t>
  </si>
  <si>
    <t>aseela</t>
  </si>
  <si>
    <t>15100-388151</t>
  </si>
  <si>
    <t>15100-384796</t>
  </si>
  <si>
    <t>15100-387648</t>
  </si>
  <si>
    <t>15100-383431</t>
  </si>
  <si>
    <t>15100-382976</t>
  </si>
  <si>
    <t>15100-385745</t>
  </si>
  <si>
    <t>15100-387579</t>
  </si>
  <si>
    <t>15100-387624</t>
  </si>
  <si>
    <t>15100-383864</t>
  </si>
  <si>
    <t>15100-382982</t>
  </si>
  <si>
    <t>15100-384742</t>
  </si>
  <si>
    <t>15100-385169</t>
  </si>
  <si>
    <t>15100-388096</t>
  </si>
  <si>
    <t>15100-388136</t>
  </si>
  <si>
    <t>15100-386276</t>
  </si>
  <si>
    <t>15100-386778</t>
  </si>
  <si>
    <t>15100-384335</t>
  </si>
  <si>
    <t>50100-8420099</t>
  </si>
  <si>
    <t>50100-8420108</t>
  </si>
  <si>
    <t>50100-8397965</t>
  </si>
  <si>
    <t>50100-8420282</t>
  </si>
  <si>
    <t>50100-8383249</t>
  </si>
  <si>
    <t>50100-8398202</t>
  </si>
  <si>
    <t>50100-8392367</t>
  </si>
  <si>
    <t>50100-8410113</t>
  </si>
  <si>
    <t>50100-8410950</t>
  </si>
  <si>
    <t>50100-8420219</t>
  </si>
  <si>
    <t>50100-8420153</t>
  </si>
  <si>
    <t>50100-8377817</t>
  </si>
  <si>
    <t>50100-8387892</t>
  </si>
  <si>
    <t>50100-8404904</t>
  </si>
  <si>
    <t>50100-8388036</t>
  </si>
  <si>
    <t>50100-8413859</t>
  </si>
  <si>
    <t>50100-8414474</t>
  </si>
  <si>
    <t>50100-8383404</t>
  </si>
  <si>
    <t>50100-8420261</t>
  </si>
  <si>
    <t>50100-8420165</t>
  </si>
  <si>
    <t>50100-8404501</t>
  </si>
  <si>
    <t>50100-8413862</t>
  </si>
  <si>
    <t>50100-8420087</t>
  </si>
  <si>
    <t>50100-8264696</t>
  </si>
  <si>
    <t>50100-8373699</t>
  </si>
  <si>
    <t>50100-8405742</t>
  </si>
  <si>
    <t>50100-8414723</t>
  </si>
  <si>
    <t>50100-8414786</t>
  </si>
  <si>
    <t>50100-8411238</t>
  </si>
  <si>
    <t>50100-8398331</t>
  </si>
  <si>
    <t>50100-8405412</t>
  </si>
  <si>
    <t>50100-8414660</t>
  </si>
  <si>
    <t>50100-8420186</t>
  </si>
  <si>
    <t>50100-8402469</t>
  </si>
  <si>
    <t>50100-8409969</t>
  </si>
  <si>
    <t>50100-8392174</t>
  </si>
  <si>
    <t>50100-8414937</t>
  </si>
  <si>
    <t>50100-8414902</t>
  </si>
  <si>
    <t>50100-8414564</t>
  </si>
  <si>
    <t>50100-8398536</t>
  </si>
  <si>
    <t>50100-8433178</t>
  </si>
  <si>
    <t>50100-8435812</t>
  </si>
  <si>
    <t>50100-8464643</t>
  </si>
  <si>
    <t>50100-8426230</t>
  </si>
  <si>
    <t>50100-8435431</t>
  </si>
  <si>
    <t>50100-8435995</t>
  </si>
  <si>
    <t>50100-8457144</t>
  </si>
  <si>
    <t>50100-8456471</t>
  </si>
  <si>
    <t>50100-8457225</t>
  </si>
  <si>
    <t>50100-8455111</t>
  </si>
  <si>
    <t>50100-8428069</t>
  </si>
  <si>
    <t>50100-8454548</t>
  </si>
  <si>
    <t>50100-8474280</t>
  </si>
  <si>
    <t>50100-8435653</t>
  </si>
  <si>
    <t>50100-8458416</t>
  </si>
  <si>
    <t>50100-8448389</t>
  </si>
  <si>
    <t>50100-8435317</t>
  </si>
  <si>
    <t>50100-8426324</t>
  </si>
  <si>
    <t>50100-8435875</t>
  </si>
  <si>
    <t>50100-8435941</t>
  </si>
  <si>
    <t>50100-8470393</t>
  </si>
  <si>
    <t>50100-8433068</t>
  </si>
  <si>
    <t>50100-8448832</t>
  </si>
  <si>
    <t>50100-8474154</t>
  </si>
  <si>
    <t>50100-8431517</t>
  </si>
  <si>
    <t>50100-8431419</t>
  </si>
  <si>
    <t>50100-8435761</t>
  </si>
  <si>
    <t>50100-8433304</t>
  </si>
  <si>
    <t>50100-8433877</t>
  </si>
  <si>
    <t>50100-8449896</t>
  </si>
  <si>
    <t>50100-8463669</t>
  </si>
  <si>
    <t>15100-395773</t>
  </si>
  <si>
    <t>15100-395030</t>
  </si>
  <si>
    <t>15100-395742</t>
  </si>
  <si>
    <t>15100-388947</t>
  </si>
  <si>
    <t>15100-395706</t>
  </si>
  <si>
    <t>15100-393502</t>
  </si>
  <si>
    <t>15100-395709</t>
  </si>
  <si>
    <t>15100-391686</t>
  </si>
  <si>
    <t>15100-391022</t>
  </si>
  <si>
    <t>15100-391723</t>
  </si>
  <si>
    <t>15100-392547</t>
  </si>
  <si>
    <t>15100-390995</t>
  </si>
  <si>
    <t>15100-390343</t>
  </si>
  <si>
    <t>15100-393472</t>
  </si>
  <si>
    <t>15100-394229</t>
  </si>
  <si>
    <t>15100-393433</t>
  </si>
  <si>
    <t>50100-8499469</t>
  </si>
  <si>
    <t>50100-8489612</t>
  </si>
  <si>
    <t>50100-8490044</t>
  </si>
  <si>
    <t>50100-8501342</t>
  </si>
  <si>
    <t>50100-8491399</t>
  </si>
  <si>
    <t>50100-8486277</t>
  </si>
  <si>
    <t>15100-397380</t>
  </si>
  <si>
    <t>15100-396610</t>
  </si>
  <si>
    <t>15100-397515</t>
  </si>
  <si>
    <t>15100-398199</t>
  </si>
  <si>
    <t>15100-396906</t>
  </si>
  <si>
    <t>15100-397823</t>
  </si>
  <si>
    <t>15100-396903</t>
  </si>
  <si>
    <t>15100-397732</t>
  </si>
  <si>
    <t>15100-396466</t>
  </si>
  <si>
    <t>15100-398229</t>
  </si>
  <si>
    <t>15100-396700</t>
  </si>
  <si>
    <t>15100-397850</t>
  </si>
  <si>
    <t>15100-398244</t>
  </si>
  <si>
    <t>95/12/15</t>
  </si>
  <si>
    <t>95/12/07</t>
  </si>
  <si>
    <t>95/12/14</t>
  </si>
  <si>
    <t>95/12/09</t>
  </si>
  <si>
    <t>95/12/08</t>
  </si>
  <si>
    <t>95/12/10</t>
  </si>
  <si>
    <t>95/12/11</t>
  </si>
  <si>
    <t>95/12/05</t>
  </si>
  <si>
    <t>95/12/17</t>
  </si>
  <si>
    <t>95/12/24</t>
  </si>
  <si>
    <t>95/12/23</t>
  </si>
  <si>
    <t>95/12/22</t>
  </si>
  <si>
    <t>95/12/26</t>
  </si>
  <si>
    <t>95/12/21</t>
  </si>
  <si>
    <t>95/12/25</t>
  </si>
  <si>
    <t>95/12/19</t>
  </si>
  <si>
    <t>95/12/18</t>
  </si>
  <si>
    <t>96/01/15</t>
  </si>
  <si>
    <t>96/01/09</t>
  </si>
  <si>
    <t>96/01/08</t>
  </si>
  <si>
    <t>96/01/06</t>
  </si>
  <si>
    <t>96/01/10</t>
  </si>
  <si>
    <t>96/01/07</t>
  </si>
  <si>
    <t>96/01/14</t>
  </si>
  <si>
    <t>96/01/05</t>
  </si>
  <si>
    <t>95-951500587</t>
  </si>
  <si>
    <t>95-951500577</t>
  </si>
  <si>
    <t>95-951500578</t>
  </si>
  <si>
    <t>95-951500582</t>
  </si>
  <si>
    <t>95-951500579</t>
  </si>
  <si>
    <t>95-951500583</t>
  </si>
  <si>
    <t>95-951500575</t>
  </si>
  <si>
    <t>95-951500518</t>
  </si>
  <si>
    <t>95-954200047</t>
  </si>
  <si>
    <t>95-952500090</t>
  </si>
  <si>
    <t>95-951500532</t>
  </si>
  <si>
    <t>95-951500508</t>
  </si>
  <si>
    <t>95-952500099</t>
  </si>
  <si>
    <t>95-952500082</t>
  </si>
  <si>
    <t>95-951500481</t>
  </si>
  <si>
    <t>95-952500087</t>
  </si>
  <si>
    <t>95-954100036</t>
  </si>
  <si>
    <t>95-951500527</t>
  </si>
  <si>
    <t>95-954100035</t>
  </si>
  <si>
    <t>95-951500586</t>
  </si>
  <si>
    <t>95-951500588</t>
  </si>
  <si>
    <t>95-951500584</t>
  </si>
  <si>
    <t>95-952500083</t>
  </si>
  <si>
    <t>95-952500098</t>
  </si>
  <si>
    <t>95-951500564</t>
  </si>
  <si>
    <t>95-954100034</t>
  </si>
  <si>
    <t>95-951500568</t>
  </si>
  <si>
    <t>95-952500093</t>
  </si>
  <si>
    <t>95-952500092</t>
  </si>
  <si>
    <t>95-951500546</t>
  </si>
  <si>
    <t>95-951500576</t>
  </si>
  <si>
    <t>95-951500494</t>
  </si>
  <si>
    <t>95-954200046</t>
  </si>
  <si>
    <t>95-952500085</t>
  </si>
  <si>
    <t>95-952500073</t>
  </si>
  <si>
    <t>95-952500075</t>
  </si>
  <si>
    <t>95-954100041</t>
  </si>
  <si>
    <t>95-954100040</t>
  </si>
  <si>
    <t>95-951500373</t>
  </si>
  <si>
    <t>95-954100038</t>
  </si>
  <si>
    <t>95-954100039</t>
  </si>
  <si>
    <t>95-954100037</t>
  </si>
  <si>
    <t>95-951500567</t>
  </si>
  <si>
    <t>95-951500590</t>
  </si>
  <si>
    <t>95-951500580</t>
  </si>
  <si>
    <t>95-951500566</t>
  </si>
  <si>
    <t>95-951500410</t>
  </si>
  <si>
    <t>95-952500104</t>
  </si>
  <si>
    <t>95-951500571</t>
  </si>
  <si>
    <t>95-951500591</t>
  </si>
  <si>
    <t>95-951500595</t>
  </si>
  <si>
    <t>95-951500581</t>
  </si>
  <si>
    <t>95-952500103</t>
  </si>
  <si>
    <t>95-952500100</t>
  </si>
  <si>
    <t>95-954100044</t>
  </si>
  <si>
    <t>95-951500451</t>
  </si>
  <si>
    <t>95-952500102</t>
  </si>
  <si>
    <t>95-951500585</t>
  </si>
  <si>
    <t>95-954100043</t>
  </si>
  <si>
    <t>95-954100042</t>
  </si>
  <si>
    <t>95-951500598</t>
  </si>
  <si>
    <t>95-952500105</t>
  </si>
  <si>
    <t>95-951500597</t>
  </si>
  <si>
    <t>95-951500603</t>
  </si>
  <si>
    <t>95-951500589</t>
  </si>
  <si>
    <t>95-951500599</t>
  </si>
  <si>
    <t>95-951500517</t>
  </si>
  <si>
    <t>95-951500596</t>
  </si>
  <si>
    <t>95-951500594</t>
  </si>
  <si>
    <t>96-961500001</t>
  </si>
  <si>
    <t>96-961500004</t>
  </si>
  <si>
    <t>96-964100001</t>
  </si>
  <si>
    <t>95-951500592</t>
  </si>
  <si>
    <t>96-964100002</t>
  </si>
  <si>
    <t>95-951500593</t>
  </si>
  <si>
    <t>96-961500002</t>
  </si>
  <si>
    <t>95-951500609</t>
  </si>
  <si>
    <t>95-951500606</t>
  </si>
  <si>
    <t>95-951500604</t>
  </si>
  <si>
    <t>95-951500602</t>
  </si>
  <si>
    <t>96-961500003</t>
  </si>
  <si>
    <t>95-951500605</t>
  </si>
  <si>
    <t>96</t>
  </si>
  <si>
    <t>96/01/28</t>
  </si>
  <si>
    <t>HBH</t>
  </si>
  <si>
    <t>bitubize</t>
  </si>
  <si>
    <t>daxon96</t>
  </si>
  <si>
    <t>50100-8560842</t>
  </si>
  <si>
    <t>50100-8506023</t>
  </si>
  <si>
    <t>50100-8555578</t>
  </si>
  <si>
    <t>50100-8521543</t>
  </si>
  <si>
    <t>50100-8537296</t>
  </si>
  <si>
    <t>50100-8557324</t>
  </si>
  <si>
    <t>50100-8529844</t>
  </si>
  <si>
    <t>50100-8505960</t>
  </si>
  <si>
    <t>50100-8551286</t>
  </si>
  <si>
    <t>50100-8551181</t>
  </si>
  <si>
    <t>50100-8562637</t>
  </si>
  <si>
    <t>50100-8545654</t>
  </si>
  <si>
    <t>50100-8521645</t>
  </si>
  <si>
    <t>50100-8548534</t>
  </si>
  <si>
    <t>50100-8547550</t>
  </si>
  <si>
    <t>50100-8531415</t>
  </si>
  <si>
    <t>50100-8545917</t>
  </si>
  <si>
    <t>50100-8537074</t>
  </si>
  <si>
    <t>50100-8555851</t>
  </si>
  <si>
    <t>50100-8530045</t>
  </si>
  <si>
    <t>50100-8538079</t>
  </si>
  <si>
    <t>50100-8556117</t>
  </si>
  <si>
    <t>50100-8532652</t>
  </si>
  <si>
    <t>50100-8547695</t>
  </si>
  <si>
    <t>50100-8557417</t>
  </si>
  <si>
    <t>50100-8557447</t>
  </si>
  <si>
    <t>50100-8520226</t>
  </si>
  <si>
    <t>50100-8540936</t>
  </si>
  <si>
    <t>50100-8548031</t>
  </si>
  <si>
    <t>50100-8554590</t>
  </si>
  <si>
    <t>50100-8506228</t>
  </si>
  <si>
    <t>96/01/29</t>
  </si>
  <si>
    <t>96/01/16</t>
  </si>
  <si>
    <t>96/01/20</t>
  </si>
  <si>
    <t>96/01/24</t>
  </si>
  <si>
    <t>96/01/23</t>
  </si>
  <si>
    <t>96/01/27</t>
  </si>
  <si>
    <t>96/01/25</t>
  </si>
  <si>
    <t>96/01/26</t>
  </si>
  <si>
    <t>96-961500020</t>
  </si>
  <si>
    <t>96-961500051</t>
  </si>
  <si>
    <t>96-962500015</t>
  </si>
  <si>
    <t>96-961500005</t>
  </si>
  <si>
    <t>96-961500015</t>
  </si>
  <si>
    <t>96-961500043</t>
  </si>
  <si>
    <t>95-951500600</t>
  </si>
  <si>
    <t>96-962500001</t>
  </si>
  <si>
    <t>96-964100008</t>
  </si>
  <si>
    <t>96-964100003</t>
  </si>
  <si>
    <t>96-962500002</t>
  </si>
  <si>
    <t>96-962500006</t>
  </si>
  <si>
    <t>96-962500007</t>
  </si>
  <si>
    <t>96-962500003</t>
  </si>
  <si>
    <t>96-964100013</t>
  </si>
  <si>
    <t>96-964100007</t>
  </si>
  <si>
    <t>96-962500005</t>
  </si>
  <si>
    <t>96-961500030</t>
  </si>
  <si>
    <t>96-961500036</t>
  </si>
  <si>
    <t>96-964100011</t>
  </si>
  <si>
    <t>96-961500039</t>
  </si>
  <si>
    <t>96-961500024</t>
  </si>
  <si>
    <t>96-962500016</t>
  </si>
  <si>
    <t>96-961500008</t>
  </si>
  <si>
    <t>96-961500011</t>
  </si>
  <si>
    <t>96-962500008</t>
  </si>
  <si>
    <t>96-964100006</t>
  </si>
  <si>
    <t>96-962500009</t>
  </si>
  <si>
    <t>96-964100004</t>
  </si>
  <si>
    <t>96-964100005</t>
  </si>
  <si>
    <t>96/01/19</t>
  </si>
  <si>
    <t>96/01/21</t>
  </si>
  <si>
    <t>96/02/06</t>
  </si>
  <si>
    <t>petrohub95-2</t>
  </si>
  <si>
    <t>sebco1908</t>
  </si>
  <si>
    <t>96-964100009</t>
  </si>
  <si>
    <t>96-964100010</t>
  </si>
  <si>
    <t>95-951500608</t>
  </si>
  <si>
    <t>96-961500083</t>
  </si>
  <si>
    <t>96-961500081</t>
  </si>
  <si>
    <t>96-961500063</t>
  </si>
  <si>
    <t>96-961500025</t>
  </si>
  <si>
    <t>96-961500079</t>
  </si>
  <si>
    <t>96-961500028</t>
  </si>
  <si>
    <t>96-961500042</t>
  </si>
  <si>
    <t>96-961500032</t>
  </si>
  <si>
    <t>96-961500018</t>
  </si>
  <si>
    <t>96-961500026</t>
  </si>
  <si>
    <t>96-961500016</t>
  </si>
  <si>
    <t>96-961500064</t>
  </si>
  <si>
    <t>96-961500041</t>
  </si>
  <si>
    <t>96-961500021</t>
  </si>
  <si>
    <t>96-961500065</t>
  </si>
  <si>
    <t>96-961500010</t>
  </si>
  <si>
    <t>96-961500014</t>
  </si>
  <si>
    <t>96-961500031</t>
  </si>
  <si>
    <t>96-961500058</t>
  </si>
  <si>
    <t>96-961500006</t>
  </si>
  <si>
    <t>96-961500049</t>
  </si>
  <si>
    <t>96-961500023</t>
  </si>
  <si>
    <t>96-961500048</t>
  </si>
  <si>
    <t>96-961500017</t>
  </si>
  <si>
    <t>96/02/16</t>
  </si>
  <si>
    <t>m/s khan Group95</t>
  </si>
  <si>
    <t>black gold 9602</t>
  </si>
  <si>
    <t>shining green9602</t>
  </si>
  <si>
    <t>canadian9602</t>
  </si>
  <si>
    <t>sebco960225</t>
  </si>
  <si>
    <t>Areej9602</t>
  </si>
  <si>
    <t>canadian960227</t>
  </si>
  <si>
    <t>midwest960228</t>
  </si>
  <si>
    <t>96-961500062</t>
  </si>
  <si>
    <t>96-961500105</t>
  </si>
  <si>
    <t>infinity9602</t>
  </si>
  <si>
    <t>Armina9602</t>
  </si>
  <si>
    <t>50100-8624148</t>
  </si>
  <si>
    <t>50100-8582427</t>
  </si>
  <si>
    <t>50100-8591792</t>
  </si>
  <si>
    <t>50100-8628101</t>
  </si>
  <si>
    <t>50100-8633754</t>
  </si>
  <si>
    <t>50100-8603595</t>
  </si>
  <si>
    <t>50100-8619694</t>
  </si>
  <si>
    <t>50100-8578135</t>
  </si>
  <si>
    <t>50100-8566740</t>
  </si>
  <si>
    <t>50100-8619529</t>
  </si>
  <si>
    <t>50100-8585372</t>
  </si>
  <si>
    <t>50100-8583095</t>
  </si>
  <si>
    <t>50100-8585640</t>
  </si>
  <si>
    <t>50100-8562970</t>
  </si>
  <si>
    <t>50100-8591762</t>
  </si>
  <si>
    <t>50100-8567310</t>
  </si>
  <si>
    <t>50100-8574446</t>
  </si>
  <si>
    <t>50100-8636134</t>
  </si>
  <si>
    <t>50100-8577187</t>
  </si>
  <si>
    <t>50100-8576788</t>
  </si>
  <si>
    <t>50100-8577395</t>
  </si>
  <si>
    <t>50100-8609178</t>
  </si>
  <si>
    <t>50100-8594939</t>
  </si>
  <si>
    <t>50100-8588638</t>
  </si>
  <si>
    <t>50100-8563722</t>
  </si>
  <si>
    <t>50100-8608852</t>
  </si>
  <si>
    <t>50100-8609534</t>
  </si>
  <si>
    <t>50100-8620950</t>
  </si>
  <si>
    <t>50100-8570910</t>
  </si>
  <si>
    <t>50100-8591831</t>
  </si>
  <si>
    <t>50100-8638437</t>
  </si>
  <si>
    <t>50100-8568272</t>
  </si>
  <si>
    <t>50100-8577658</t>
  </si>
  <si>
    <t>50100-8608133</t>
  </si>
  <si>
    <t>15100-411655</t>
  </si>
  <si>
    <t>15100-412516</t>
  </si>
  <si>
    <t>15100-411055</t>
  </si>
  <si>
    <t>15100-407587</t>
  </si>
  <si>
    <t>15100-411046</t>
  </si>
  <si>
    <t>15100-406911</t>
  </si>
  <si>
    <t>15100-406896</t>
  </si>
  <si>
    <t>15100-407638</t>
  </si>
  <si>
    <t>15100-410265</t>
  </si>
  <si>
    <t>15100-411013</t>
  </si>
  <si>
    <t>15100-407683</t>
  </si>
  <si>
    <t>15100-409693</t>
  </si>
  <si>
    <t>15100-411514</t>
  </si>
  <si>
    <t>15100-409200</t>
  </si>
  <si>
    <t>15100-409687</t>
  </si>
  <si>
    <t>15100-408994</t>
  </si>
  <si>
    <t>15100-412922</t>
  </si>
  <si>
    <t>15100-408242</t>
  </si>
  <si>
    <t>15100-410941</t>
  </si>
  <si>
    <t>15100-406319</t>
  </si>
  <si>
    <t>15100-408284</t>
  </si>
  <si>
    <t>15100-412973</t>
  </si>
  <si>
    <t>15100-409681</t>
  </si>
  <si>
    <t>15100-409084</t>
  </si>
  <si>
    <t>15100-412871</t>
  </si>
  <si>
    <t>15100-409015</t>
  </si>
  <si>
    <t>15100-409697</t>
  </si>
  <si>
    <t>15100-411442</t>
  </si>
  <si>
    <t>15100-412471</t>
  </si>
  <si>
    <t>15100-410283</t>
  </si>
  <si>
    <t>15100-413051</t>
  </si>
  <si>
    <t>15100-411774</t>
  </si>
  <si>
    <t>15100-408251</t>
  </si>
  <si>
    <t>15100-412450</t>
  </si>
  <si>
    <t>15100-406303</t>
  </si>
  <si>
    <t>15100-406291</t>
  </si>
  <si>
    <t>96/02/12</t>
  </si>
  <si>
    <t>96/02/03</t>
  </si>
  <si>
    <t>96/02/04</t>
  </si>
  <si>
    <t>96/02/13</t>
  </si>
  <si>
    <t>96/02/07</t>
  </si>
  <si>
    <t>96/02/11</t>
  </si>
  <si>
    <t>96/02/02</t>
  </si>
  <si>
    <t>96/01/30</t>
  </si>
  <si>
    <t>96/02/14</t>
  </si>
  <si>
    <t>96/02/09</t>
  </si>
  <si>
    <t>96/01/31</t>
  </si>
  <si>
    <t>96/02/10</t>
  </si>
  <si>
    <t>96-961500059</t>
  </si>
  <si>
    <t>96-961500073</t>
  </si>
  <si>
    <t>96-961500078</t>
  </si>
  <si>
    <t>96-961500082</t>
  </si>
  <si>
    <t>96-961500076</t>
  </si>
  <si>
    <t>96-961500086</t>
  </si>
  <si>
    <t>96-961500077</t>
  </si>
  <si>
    <t>96-961500069</t>
  </si>
  <si>
    <t>96-961500075</t>
  </si>
  <si>
    <t>96-962500013</t>
  </si>
  <si>
    <t>96-964200004</t>
  </si>
  <si>
    <t>96-964200002</t>
  </si>
  <si>
    <t>96-964200006</t>
  </si>
  <si>
    <t>96-964100014</t>
  </si>
  <si>
    <t>96-961500055</t>
  </si>
  <si>
    <t>96-961500013</t>
  </si>
  <si>
    <t>96-962500012</t>
  </si>
  <si>
    <t>96-962500010</t>
  </si>
  <si>
    <t>96-961500110</t>
  </si>
  <si>
    <t>96-961500111</t>
  </si>
  <si>
    <t>96-961500044</t>
  </si>
  <si>
    <t>96-961500061</t>
  </si>
  <si>
    <t>96-964100016</t>
  </si>
  <si>
    <t>96-964100015</t>
  </si>
  <si>
    <t>96-964200005</t>
  </si>
  <si>
    <t>96-962500018</t>
  </si>
  <si>
    <t>96-962500019</t>
  </si>
  <si>
    <t>96-964200001</t>
  </si>
  <si>
    <t>96-964200003</t>
  </si>
  <si>
    <t>96-964200007</t>
  </si>
  <si>
    <t>96-961500053</t>
  </si>
  <si>
    <t>96-961500056</t>
  </si>
  <si>
    <t>96-961500060</t>
  </si>
  <si>
    <t>96-961500070</t>
  </si>
  <si>
    <t>96-962500017</t>
  </si>
  <si>
    <t>96-961500108</t>
  </si>
  <si>
    <t>96-961500118</t>
  </si>
  <si>
    <t>96-961500107</t>
  </si>
  <si>
    <t>96-961500103</t>
  </si>
  <si>
    <t>96-961500040</t>
  </si>
  <si>
    <t>96-961500102</t>
  </si>
  <si>
    <t>96-961500106</t>
  </si>
  <si>
    <t>96-961500087</t>
  </si>
  <si>
    <t>96-961500009</t>
  </si>
  <si>
    <t>96-961500050</t>
  </si>
  <si>
    <t>96-961500029</t>
  </si>
  <si>
    <t>96-961500095</t>
  </si>
  <si>
    <t>96-961500066</t>
  </si>
  <si>
    <t>96-961500091</t>
  </si>
  <si>
    <t>96-961500068</t>
  </si>
  <si>
    <t>96-961500019</t>
  </si>
  <si>
    <t>96-961500057</t>
  </si>
  <si>
    <t>96-961500089</t>
  </si>
  <si>
    <t>96-961500052</t>
  </si>
  <si>
    <t>96-961500117</t>
  </si>
  <si>
    <t>96-961500099</t>
  </si>
  <si>
    <t>96-961500109</t>
  </si>
  <si>
    <t>96-961500047</t>
  </si>
  <si>
    <t>96/02/30</t>
  </si>
  <si>
    <t>96/03/02</t>
  </si>
  <si>
    <t>black gold 1401</t>
  </si>
  <si>
    <t>jingping</t>
  </si>
  <si>
    <t>aseela9603</t>
  </si>
  <si>
    <t>89-51311</t>
  </si>
  <si>
    <t>91-20067</t>
  </si>
  <si>
    <t>91-20079</t>
  </si>
  <si>
    <t>تندر تجارت شاهین</t>
  </si>
  <si>
    <t>SEBCO960310</t>
  </si>
  <si>
    <t>96-961500007</t>
  </si>
  <si>
    <t>khan group960311</t>
  </si>
  <si>
    <t>black gold 960318</t>
  </si>
  <si>
    <t>15100-420701</t>
  </si>
  <si>
    <t>15100-413716</t>
  </si>
  <si>
    <t>15100-415044</t>
  </si>
  <si>
    <t>15100-415669</t>
  </si>
  <si>
    <t>15100-417481</t>
  </si>
  <si>
    <t>15100-416921</t>
  </si>
  <si>
    <t>15100-422084</t>
  </si>
  <si>
    <t>15100-416177</t>
  </si>
  <si>
    <t>15100-414291</t>
  </si>
  <si>
    <t>15100-416228</t>
  </si>
  <si>
    <t>15100-418012</t>
  </si>
  <si>
    <t>15100-414400</t>
  </si>
  <si>
    <t>15100-414382</t>
  </si>
  <si>
    <t>15100-418674</t>
  </si>
  <si>
    <t>15100-415581</t>
  </si>
  <si>
    <t>15100-413704</t>
  </si>
  <si>
    <t>15100-415599</t>
  </si>
  <si>
    <t>15100-417520</t>
  </si>
  <si>
    <t>50100-8690665</t>
  </si>
  <si>
    <t>50100-8656987</t>
  </si>
  <si>
    <t>50100-8680250</t>
  </si>
  <si>
    <t>50100-8657205</t>
  </si>
  <si>
    <t>96/02/28</t>
  </si>
  <si>
    <t>96/02/18</t>
  </si>
  <si>
    <t>96/02/19</t>
  </si>
  <si>
    <t>96/02/23</t>
  </si>
  <si>
    <t>96/02/21</t>
  </si>
  <si>
    <t>96/02/31</t>
  </si>
  <si>
    <t>96/02/20</t>
  </si>
  <si>
    <t>96/02/17</t>
  </si>
  <si>
    <t>96/02/24</t>
  </si>
  <si>
    <t>96/02/26</t>
  </si>
  <si>
    <t>96-961500122</t>
  </si>
  <si>
    <t>96-961500104</t>
  </si>
  <si>
    <t>96-961500123</t>
  </si>
  <si>
    <t>96-961500084</t>
  </si>
  <si>
    <t>96-961500038</t>
  </si>
  <si>
    <t>96-961500121</t>
  </si>
  <si>
    <t>96-961500074</t>
  </si>
  <si>
    <t>96-961500094</t>
  </si>
  <si>
    <t>96-961500090</t>
  </si>
  <si>
    <t>96-961500098</t>
  </si>
  <si>
    <t>96-961500097</t>
  </si>
  <si>
    <t>96-962500011</t>
  </si>
  <si>
    <t>96/03/18</t>
  </si>
  <si>
    <t>u tamardi96/03/20</t>
  </si>
  <si>
    <t>95-951500607</t>
  </si>
  <si>
    <t>96-961500092</t>
  </si>
  <si>
    <t>96-961500093</t>
  </si>
  <si>
    <t>96-964100020</t>
  </si>
  <si>
    <t>96-962500023</t>
  </si>
  <si>
    <t>96-962500021</t>
  </si>
  <si>
    <t>96-964100019</t>
  </si>
  <si>
    <t>96-962500020</t>
  </si>
  <si>
    <t>96-964100017</t>
  </si>
  <si>
    <t>96-964100018</t>
  </si>
  <si>
    <t>96/03/10</t>
  </si>
  <si>
    <t>96/03/07</t>
  </si>
  <si>
    <t>96/03/08</t>
  </si>
  <si>
    <t>96/03/01</t>
  </si>
  <si>
    <t>96/03/20</t>
  </si>
  <si>
    <t>infinity96/03/23</t>
  </si>
  <si>
    <t>m/s khan Group960324</t>
  </si>
  <si>
    <t>15100-421250</t>
  </si>
  <si>
    <t>15100-420708</t>
  </si>
  <si>
    <t>15100-422060</t>
  </si>
  <si>
    <t>15100-421406</t>
  </si>
  <si>
    <t>15100-422003</t>
  </si>
  <si>
    <t>15100-420025</t>
  </si>
  <si>
    <t>15100-420674</t>
  </si>
  <si>
    <t>15100-421268</t>
  </si>
  <si>
    <t>15100-414897</t>
  </si>
  <si>
    <t>15100-417499</t>
  </si>
  <si>
    <t>15100-416912</t>
  </si>
  <si>
    <t>15100-418671</t>
  </si>
  <si>
    <t>15100-419086</t>
  </si>
  <si>
    <t>15100-416897</t>
  </si>
  <si>
    <t>15100-418059</t>
  </si>
  <si>
    <t>15100-419119</t>
  </si>
  <si>
    <t>96/02/27</t>
  </si>
  <si>
    <t>96-961500132</t>
  </si>
  <si>
    <t>96-961500134</t>
  </si>
  <si>
    <t>96-961500130</t>
  </si>
  <si>
    <t>96-961500128</t>
  </si>
  <si>
    <t>96-961500124</t>
  </si>
  <si>
    <t>96-961500113</t>
  </si>
  <si>
    <t>96-961500119</t>
  </si>
  <si>
    <t>96-961500127</t>
  </si>
  <si>
    <t>96/03/29</t>
  </si>
  <si>
    <t>15100-429244</t>
  </si>
  <si>
    <t>15100-426525</t>
  </si>
  <si>
    <t>15100-428672</t>
  </si>
  <si>
    <t>15100-429370</t>
  </si>
  <si>
    <t>15100-426534</t>
  </si>
  <si>
    <t>15100-427879</t>
  </si>
  <si>
    <t>15100-425873</t>
  </si>
  <si>
    <t>15100-424519</t>
  </si>
  <si>
    <t>15100-426399</t>
  </si>
  <si>
    <t>15100-427889</t>
  </si>
  <si>
    <t>15100-425195</t>
  </si>
  <si>
    <t>15100-428515</t>
  </si>
  <si>
    <t>15100-425159</t>
  </si>
  <si>
    <t>15100-429253</t>
  </si>
  <si>
    <t>15100-425837</t>
  </si>
  <si>
    <t>15100-428545</t>
  </si>
  <si>
    <t>15100-425843</t>
  </si>
  <si>
    <t>15100-424537</t>
  </si>
  <si>
    <t>15100-424525</t>
  </si>
  <si>
    <t>15100-423942</t>
  </si>
  <si>
    <t>15100-422598</t>
  </si>
  <si>
    <t>15100-426387</t>
  </si>
  <si>
    <t>15100-422556</t>
  </si>
  <si>
    <t>15100-423933</t>
  </si>
  <si>
    <t>15100-426516</t>
  </si>
  <si>
    <t>15100-418782</t>
  </si>
  <si>
    <t>15100-421226</t>
  </si>
  <si>
    <t>15100-420695</t>
  </si>
  <si>
    <t>15100-417508</t>
  </si>
  <si>
    <t>15100-415705</t>
  </si>
  <si>
    <t>15100-414864</t>
  </si>
  <si>
    <t>15100-416258</t>
  </si>
  <si>
    <t>96/03/13</t>
  </si>
  <si>
    <t>96/03/11</t>
  </si>
  <si>
    <t>96/03/04</t>
  </si>
  <si>
    <t>96/03/06</t>
  </si>
  <si>
    <t>96/03/03</t>
  </si>
  <si>
    <t>96-961500142</t>
  </si>
  <si>
    <t>96-961500152</t>
  </si>
  <si>
    <t>96-961500144</t>
  </si>
  <si>
    <t>96-961500131</t>
  </si>
  <si>
    <t>96-961500149</t>
  </si>
  <si>
    <t>96-961500129</t>
  </si>
  <si>
    <t>96-961500137</t>
  </si>
  <si>
    <t>96-961500138</t>
  </si>
  <si>
    <t>96-961500054</t>
  </si>
  <si>
    <t>96-961500067</t>
  </si>
  <si>
    <t>96/03/09</t>
  </si>
  <si>
    <t>96/03/31</t>
  </si>
  <si>
    <t>sebco5038</t>
  </si>
  <si>
    <t>canadian3813</t>
  </si>
  <si>
    <t>sebco55038</t>
  </si>
  <si>
    <t>15100-433594</t>
  </si>
  <si>
    <t>15100-433114</t>
  </si>
  <si>
    <t>15100-435961</t>
  </si>
  <si>
    <t>15100-431818</t>
  </si>
  <si>
    <t>15100-430680</t>
  </si>
  <si>
    <t>15100-433012</t>
  </si>
  <si>
    <t>15100-437163</t>
  </si>
  <si>
    <t>15100-434220</t>
  </si>
  <si>
    <t>15100-435342</t>
  </si>
  <si>
    <t>15100-436021</t>
  </si>
  <si>
    <t>15100-430653</t>
  </si>
  <si>
    <t>15100-437250</t>
  </si>
  <si>
    <t>15100-432401</t>
  </si>
  <si>
    <t>15100-431876</t>
  </si>
  <si>
    <t>15100-431855</t>
  </si>
  <si>
    <t>15100-431203</t>
  </si>
  <si>
    <t>15100-429908</t>
  </si>
  <si>
    <t>15100-430668</t>
  </si>
  <si>
    <t>15100-431072</t>
  </si>
  <si>
    <t>15100-434323</t>
  </si>
  <si>
    <t>15100-437810</t>
  </si>
  <si>
    <t>15100-437113</t>
  </si>
  <si>
    <t>15100-436692</t>
  </si>
  <si>
    <t>15100-436701</t>
  </si>
  <si>
    <t>15100-433579</t>
  </si>
  <si>
    <t>15100-435555</t>
  </si>
  <si>
    <t>15100-432537</t>
  </si>
  <si>
    <t>15100-435436</t>
  </si>
  <si>
    <t>96/03/23</t>
  </si>
  <si>
    <t>96/03/22</t>
  </si>
  <si>
    <t>96/03/28</t>
  </si>
  <si>
    <t>96/03/17</t>
  </si>
  <si>
    <t>96/03/30</t>
  </si>
  <si>
    <t>96/03/24</t>
  </si>
  <si>
    <t>96/03/27</t>
  </si>
  <si>
    <t>96/03/21</t>
  </si>
  <si>
    <t>96/03/16</t>
  </si>
  <si>
    <t>96-961500150</t>
  </si>
  <si>
    <t>96-961500157</t>
  </si>
  <si>
    <t>96-961500046</t>
  </si>
  <si>
    <t>96-961500136</t>
  </si>
  <si>
    <t>96-961500151</t>
  </si>
  <si>
    <t>96-961500161</t>
  </si>
  <si>
    <t>96-961500159</t>
  </si>
  <si>
    <t>96-961500139</t>
  </si>
  <si>
    <t>96-961500114</t>
  </si>
  <si>
    <t>96-961500033</t>
  </si>
  <si>
    <t>96-961500158</t>
  </si>
  <si>
    <t>96-961500155</t>
  </si>
  <si>
    <t>96-961500045</t>
  </si>
  <si>
    <t>96-961500022</t>
  </si>
  <si>
    <t>96-961500147</t>
  </si>
  <si>
    <t>96-961500156</t>
  </si>
  <si>
    <t>96-961500160</t>
  </si>
  <si>
    <t>96-962500024</t>
  </si>
  <si>
    <t>96-961500027</t>
  </si>
  <si>
    <t>96-961500035</t>
  </si>
  <si>
    <t>96-962500027</t>
  </si>
  <si>
    <t>96-961500096</t>
  </si>
  <si>
    <t>96-962500026</t>
  </si>
  <si>
    <t>96-962500022</t>
  </si>
  <si>
    <t>96-964100022</t>
  </si>
  <si>
    <t>96-962500028</t>
  </si>
  <si>
    <t>96/04/21</t>
  </si>
  <si>
    <t>96-964100025</t>
  </si>
  <si>
    <t>96-962500029</t>
  </si>
  <si>
    <t>96-964100024</t>
  </si>
  <si>
    <t>96-964100026</t>
  </si>
  <si>
    <t>96-964100027</t>
  </si>
  <si>
    <t>96-962500025</t>
  </si>
  <si>
    <t>96-961500037</t>
  </si>
  <si>
    <t>96-964100029</t>
  </si>
  <si>
    <t>96-964100028</t>
  </si>
  <si>
    <t>96/04/03</t>
  </si>
  <si>
    <t>96/04/07</t>
  </si>
  <si>
    <t>96/04/14</t>
  </si>
  <si>
    <t>96/04/26</t>
  </si>
  <si>
    <t>daxon 9604</t>
  </si>
  <si>
    <t>black gold 9542</t>
  </si>
  <si>
    <t>khan group9239</t>
  </si>
  <si>
    <t>Assela6319</t>
  </si>
  <si>
    <t>50100-8920469</t>
  </si>
  <si>
    <t>50100-8956594</t>
  </si>
  <si>
    <t>50100-8972875</t>
  </si>
  <si>
    <t>50100-8967076</t>
  </si>
  <si>
    <t>50100-8930288</t>
  </si>
  <si>
    <t>50100-8959772</t>
  </si>
  <si>
    <t>50100-8920783</t>
  </si>
  <si>
    <t>50100-8942231</t>
  </si>
  <si>
    <t>50100-8920623</t>
  </si>
  <si>
    <t>50100-8962321</t>
  </si>
  <si>
    <t>50100-8968245</t>
  </si>
  <si>
    <t>50100-8966874</t>
  </si>
  <si>
    <t>50100-8955854</t>
  </si>
  <si>
    <t>96/04/18</t>
  </si>
  <si>
    <t>96/04/25</t>
  </si>
  <si>
    <t>96/04/28</t>
  </si>
  <si>
    <t>96/04/27</t>
  </si>
  <si>
    <t>96/04/19</t>
  </si>
  <si>
    <t>96/04/22</t>
  </si>
  <si>
    <t>96-964100032</t>
  </si>
  <si>
    <t>96-961500112</t>
  </si>
  <si>
    <t>96-964100037</t>
  </si>
  <si>
    <t>96-964100036</t>
  </si>
  <si>
    <t>96-961500034</t>
  </si>
  <si>
    <t>96-961500080</t>
  </si>
  <si>
    <t>96-964100030</t>
  </si>
  <si>
    <t>96-964100031</t>
  </si>
  <si>
    <t>96-961500116</t>
  </si>
  <si>
    <t>96-964100034</t>
  </si>
  <si>
    <t>96-964100035</t>
  </si>
  <si>
    <t>96-964100033</t>
  </si>
  <si>
    <t>96/05/07</t>
  </si>
  <si>
    <t>oasis5555555555</t>
  </si>
  <si>
    <t>15100-448943</t>
  </si>
  <si>
    <t>15100-449047</t>
  </si>
  <si>
    <t>15100-439992</t>
  </si>
  <si>
    <t>15100-448394</t>
  </si>
  <si>
    <t>15100-438348</t>
  </si>
  <si>
    <t>15100-442623</t>
  </si>
  <si>
    <t>15100-439183</t>
  </si>
  <si>
    <t>15100-441546</t>
  </si>
  <si>
    <t>15100-447922</t>
  </si>
  <si>
    <t>15100-444088</t>
  </si>
  <si>
    <t>15100-443140</t>
  </si>
  <si>
    <t>15100-445239</t>
  </si>
  <si>
    <t>15100-443125</t>
  </si>
  <si>
    <t>15100-443572</t>
  </si>
  <si>
    <t>15100-443143</t>
  </si>
  <si>
    <t>15100-446932</t>
  </si>
  <si>
    <t>15100-444151</t>
  </si>
  <si>
    <t>15100-445281</t>
  </si>
  <si>
    <t>15100-446313</t>
  </si>
  <si>
    <t>15100-441998</t>
  </si>
  <si>
    <t>15100-442596</t>
  </si>
  <si>
    <t>15100-447487</t>
  </si>
  <si>
    <t>15100-444076</t>
  </si>
  <si>
    <t>15100-440091</t>
  </si>
  <si>
    <t>15100-441044</t>
  </si>
  <si>
    <t>15100-444684</t>
  </si>
  <si>
    <t>15100-441053</t>
  </si>
  <si>
    <t>15100-449101</t>
  </si>
  <si>
    <t>15100-446295</t>
  </si>
  <si>
    <t>15100-441513</t>
  </si>
  <si>
    <t>15100-438800</t>
  </si>
  <si>
    <t>15100-440582</t>
  </si>
  <si>
    <t>15100-439201</t>
  </si>
  <si>
    <t>15100-441989</t>
  </si>
  <si>
    <t>15100-444699</t>
  </si>
  <si>
    <t>15100-444730</t>
  </si>
  <si>
    <t>15100-444687</t>
  </si>
  <si>
    <t>15100-445053</t>
  </si>
  <si>
    <t>15100-439608</t>
  </si>
  <si>
    <t>15100-448357</t>
  </si>
  <si>
    <t>15100-446322</t>
  </si>
  <si>
    <t>15100-448420</t>
  </si>
  <si>
    <t>15100-441531</t>
  </si>
  <si>
    <t>15100-443596</t>
  </si>
  <si>
    <t>15100-447484</t>
  </si>
  <si>
    <t>15100-443599</t>
  </si>
  <si>
    <t>15100-445902</t>
  </si>
  <si>
    <t>15100-447910</t>
  </si>
  <si>
    <t>15100-449745</t>
  </si>
  <si>
    <t>15100-440010</t>
  </si>
  <si>
    <t>15100-442614</t>
  </si>
  <si>
    <t>15100-444196</t>
  </si>
  <si>
    <t>15100-438291</t>
  </si>
  <si>
    <t>15100-440597</t>
  </si>
  <si>
    <t>15100-441983</t>
  </si>
  <si>
    <t>15100-438312</t>
  </si>
  <si>
    <t>15100-442025</t>
  </si>
  <si>
    <t>96/04/08</t>
  </si>
  <si>
    <t>96/04/01</t>
  </si>
  <si>
    <t>96/04/04</t>
  </si>
  <si>
    <t>96/04/12</t>
  </si>
  <si>
    <t>96/04/15</t>
  </si>
  <si>
    <t>96/04/20</t>
  </si>
  <si>
    <t>96/04/17</t>
  </si>
  <si>
    <t>96/04/24</t>
  </si>
  <si>
    <t>96/04/13</t>
  </si>
  <si>
    <t>96/04/11</t>
  </si>
  <si>
    <t>96/04/10</t>
  </si>
  <si>
    <t>96/04/31</t>
  </si>
  <si>
    <t>96-961500179</t>
  </si>
  <si>
    <t>96-961500247</t>
  </si>
  <si>
    <t>96-961500192</t>
  </si>
  <si>
    <t>96-961500187</t>
  </si>
  <si>
    <t>96-961500199</t>
  </si>
  <si>
    <t>96-961500188</t>
  </si>
  <si>
    <t>96-961500169</t>
  </si>
  <si>
    <t>96-961500189</t>
  </si>
  <si>
    <t>96-961500012</t>
  </si>
  <si>
    <t>96-961500202</t>
  </si>
  <si>
    <t>96-961500191</t>
  </si>
  <si>
    <t>96-961500209</t>
  </si>
  <si>
    <t>96-961500194</t>
  </si>
  <si>
    <t>96-961500168</t>
  </si>
  <si>
    <t>96-961500175</t>
  </si>
  <si>
    <t>96-961500085</t>
  </si>
  <si>
    <t>96-961500212</t>
  </si>
  <si>
    <t>96-961500167</t>
  </si>
  <si>
    <t>96-961500177</t>
  </si>
  <si>
    <t>96-961500196</t>
  </si>
  <si>
    <t>96-961500195</t>
  </si>
  <si>
    <t>96-961500225</t>
  </si>
  <si>
    <t>96-961500100</t>
  </si>
  <si>
    <t>96-961500186</t>
  </si>
  <si>
    <t>96-961500185</t>
  </si>
  <si>
    <t>96-961500180</t>
  </si>
  <si>
    <t>96-961500178</t>
  </si>
  <si>
    <t>96-961500173</t>
  </si>
  <si>
    <t>96-961500203</t>
  </si>
  <si>
    <t>96-961500198</t>
  </si>
  <si>
    <t>96-961500197</t>
  </si>
  <si>
    <t>96-961500170</t>
  </si>
  <si>
    <t>96-961500215</t>
  </si>
  <si>
    <t>96/05/11</t>
  </si>
  <si>
    <t>true</t>
  </si>
  <si>
    <t>false</t>
  </si>
  <si>
    <t>شماره قرارداد بورسي</t>
  </si>
  <si>
    <t xml:space="preserve">  oasis maritime services l.l.c</t>
  </si>
  <si>
    <t>1394394801001</t>
  </si>
  <si>
    <t>1394390726001</t>
  </si>
  <si>
    <t xml:space="preserve">  SHINING GREEN STAR FZE</t>
  </si>
  <si>
    <t>1394395845001</t>
  </si>
  <si>
    <t xml:space="preserve">  DAXON PETROLEUM</t>
  </si>
  <si>
    <t>1394392647001</t>
  </si>
  <si>
    <t xml:space="preserve">  LLC Sebco Bitumen</t>
  </si>
  <si>
    <t>1395397985001</t>
  </si>
  <si>
    <t>1394395847001</t>
  </si>
  <si>
    <t>1395397986001</t>
  </si>
  <si>
    <t>1395397988001</t>
  </si>
  <si>
    <t xml:space="preserve">  PETRO HUB ENERGY FZE</t>
  </si>
  <si>
    <t>1395397990001</t>
  </si>
  <si>
    <t>1395397987001</t>
  </si>
  <si>
    <t>1395401420001</t>
  </si>
  <si>
    <t xml:space="preserve">  Shanghai kestro Polychem Inc</t>
  </si>
  <si>
    <t>1395399149001</t>
  </si>
  <si>
    <t>1395400303001</t>
  </si>
  <si>
    <t>1395400302002</t>
  </si>
  <si>
    <t xml:space="preserve">  National Union Petrochemical FZE</t>
  </si>
  <si>
    <t>1328/ج/ق/94</t>
  </si>
  <si>
    <t>1395399148001</t>
  </si>
  <si>
    <t>1395418111001</t>
  </si>
  <si>
    <t>1395418115001</t>
  </si>
  <si>
    <t>1395418113001</t>
  </si>
  <si>
    <t>1395421206001</t>
  </si>
  <si>
    <t xml:space="preserve">  Black Gold Traders FZE</t>
  </si>
  <si>
    <t>1395426988001</t>
  </si>
  <si>
    <t xml:space="preserve">  Herat Nut and Bold Ltd</t>
  </si>
  <si>
    <t>1395424250001</t>
  </si>
  <si>
    <t>1395427836001</t>
  </si>
  <si>
    <t xml:space="preserve">  FRONTIER HAULAGE</t>
  </si>
  <si>
    <t>1395421207001</t>
  </si>
  <si>
    <t xml:space="preserve">  Gentakin Trading Ltd</t>
  </si>
  <si>
    <t>1395424251001</t>
  </si>
  <si>
    <t>1395427844001</t>
  </si>
  <si>
    <t>1395426990001</t>
  </si>
  <si>
    <t>1395422325001</t>
  </si>
  <si>
    <t>1395426991001</t>
  </si>
  <si>
    <t>1395426991</t>
  </si>
  <si>
    <t>1395434889001</t>
  </si>
  <si>
    <t>1395426989001</t>
  </si>
  <si>
    <t xml:space="preserve">  M/S J.K. Khan Group</t>
  </si>
  <si>
    <t>1395435639001</t>
  </si>
  <si>
    <t>1395431925001</t>
  </si>
  <si>
    <t>1395434890001</t>
  </si>
  <si>
    <t>1395427837001</t>
  </si>
  <si>
    <t xml:space="preserve">  Canadian White Star Energy Ltd.</t>
  </si>
  <si>
    <t>1395435642001</t>
  </si>
  <si>
    <t>1395436005001</t>
  </si>
  <si>
    <t xml:space="preserve">  Real bitumen oil</t>
  </si>
  <si>
    <t>1395437984001</t>
  </si>
  <si>
    <t>1395435640001</t>
  </si>
  <si>
    <t>1395437985001</t>
  </si>
  <si>
    <t>1395438159001</t>
  </si>
  <si>
    <t>1395431923001</t>
  </si>
  <si>
    <t>1395436479001</t>
  </si>
  <si>
    <t>1395435643001</t>
  </si>
  <si>
    <t xml:space="preserve">  HBH Energy Holding Group Limited</t>
  </si>
  <si>
    <t>1395438608001</t>
  </si>
  <si>
    <t>1395438609001</t>
  </si>
  <si>
    <t>1395437983001</t>
  </si>
  <si>
    <t>1395438610001</t>
  </si>
  <si>
    <t>1395437982001</t>
  </si>
  <si>
    <t>1395441444001</t>
  </si>
  <si>
    <t>1395441443001</t>
  </si>
  <si>
    <t xml:space="preserve">  تجارتي مسعود رشيد نورزايي لميتد</t>
  </si>
  <si>
    <t>13641-10</t>
  </si>
  <si>
    <t>1395441442001</t>
  </si>
  <si>
    <t>1395441469001</t>
  </si>
  <si>
    <t>1395441908001</t>
  </si>
  <si>
    <t>1395437986001</t>
  </si>
  <si>
    <t>1395441451001</t>
  </si>
  <si>
    <t xml:space="preserve">  PAART LTD</t>
  </si>
  <si>
    <t>1395441896001</t>
  </si>
  <si>
    <t>1395445412001</t>
  </si>
  <si>
    <t xml:space="preserve">  Midwest Trade  Internation FZE</t>
  </si>
  <si>
    <t>1395438162001</t>
  </si>
  <si>
    <t xml:space="preserve">  Infinity Import Export PVT LTD</t>
  </si>
  <si>
    <t>1395445414001</t>
  </si>
  <si>
    <t>1395441445001</t>
  </si>
  <si>
    <t>1395438160001</t>
  </si>
  <si>
    <t>1395447370001</t>
  </si>
  <si>
    <t>1395447375001</t>
  </si>
  <si>
    <t>1395447369001</t>
  </si>
  <si>
    <t>1395447373001</t>
  </si>
  <si>
    <t>1395441907001</t>
  </si>
  <si>
    <t>1395441446001</t>
  </si>
  <si>
    <t>1395441447001</t>
  </si>
  <si>
    <t>1395447925001</t>
  </si>
  <si>
    <t>1395441448001</t>
  </si>
  <si>
    <t xml:space="preserve">  Asphaltic Sea Trading</t>
  </si>
  <si>
    <t>1395447376001</t>
  </si>
  <si>
    <t>1395441450001</t>
  </si>
  <si>
    <t xml:space="preserve">  Ivera Holding LTD</t>
  </si>
  <si>
    <t>1395447377001</t>
  </si>
  <si>
    <t>1395447374001</t>
  </si>
  <si>
    <t xml:space="preserve">  BITUBIZ FZE</t>
  </si>
  <si>
    <t>1395449243001</t>
  </si>
  <si>
    <t>1395449234001</t>
  </si>
  <si>
    <t>1395447371001</t>
  </si>
  <si>
    <t>1395447378002</t>
  </si>
  <si>
    <t>1395450760001</t>
  </si>
  <si>
    <t>1395449236001</t>
  </si>
  <si>
    <t>1395447929001</t>
  </si>
  <si>
    <t>1395447928001</t>
  </si>
  <si>
    <t>1395449892001</t>
  </si>
  <si>
    <t>1395447372001</t>
  </si>
  <si>
    <t>1395445413001</t>
  </si>
  <si>
    <t>1395449241001</t>
  </si>
  <si>
    <t>1395451221001</t>
  </si>
  <si>
    <t>1395447378001</t>
  </si>
  <si>
    <t>1395450759001</t>
  </si>
  <si>
    <t>1395449894001</t>
  </si>
  <si>
    <t>1395451402001</t>
  </si>
  <si>
    <t>1395449235001</t>
  </si>
  <si>
    <t>1395449237001</t>
  </si>
  <si>
    <t>1395449895001</t>
  </si>
  <si>
    <t>1395451400001</t>
  </si>
  <si>
    <t>1395451399001</t>
  </si>
  <si>
    <t>1395451403001</t>
  </si>
  <si>
    <t>1395452679001</t>
  </si>
  <si>
    <t>1395452683001</t>
  </si>
  <si>
    <t>1395449238001</t>
  </si>
  <si>
    <t>1395452682001</t>
  </si>
  <si>
    <t xml:space="preserve">  AL Taiera al warqahal Lubricants  TR.LLC</t>
  </si>
  <si>
    <t>1395455033001</t>
  </si>
  <si>
    <t>1395456616001</t>
  </si>
  <si>
    <t>1395455038001</t>
  </si>
  <si>
    <t>1395451406001</t>
  </si>
  <si>
    <t>1395451405</t>
  </si>
  <si>
    <t>1395453120001</t>
  </si>
  <si>
    <t>1395455748001</t>
  </si>
  <si>
    <t>1395447926001</t>
  </si>
  <si>
    <t>1395455037001</t>
  </si>
  <si>
    <t>1395456621001</t>
  </si>
  <si>
    <t xml:space="preserve">  GOLDEN WAY GENERAL TRADING LLC</t>
  </si>
  <si>
    <t>1395453118001</t>
  </si>
  <si>
    <t>1395449896001</t>
  </si>
  <si>
    <t xml:space="preserve">  Aseela General Trading L.L.C</t>
  </si>
  <si>
    <t>1395457971001</t>
  </si>
  <si>
    <t>1395449242001</t>
  </si>
  <si>
    <t>1395455032001</t>
  </si>
  <si>
    <t>1395451401001</t>
  </si>
  <si>
    <t>1395460645001</t>
  </si>
  <si>
    <t>1395460646001</t>
  </si>
  <si>
    <t>1395452681001</t>
  </si>
  <si>
    <t>1395462017001</t>
  </si>
  <si>
    <t>1395451404001</t>
  </si>
  <si>
    <t xml:space="preserve">  Elixir General Trading FZE</t>
  </si>
  <si>
    <t>1395455040001</t>
  </si>
  <si>
    <t>1395457970001</t>
  </si>
  <si>
    <t>1395467471001</t>
  </si>
  <si>
    <t>1395467470001</t>
  </si>
  <si>
    <t>1395449239001</t>
  </si>
  <si>
    <t>1395464364001</t>
  </si>
  <si>
    <t>1395468402001</t>
  </si>
  <si>
    <t>1395468405001</t>
  </si>
  <si>
    <t>629600-پ ن ج</t>
  </si>
  <si>
    <t>1395456617001</t>
  </si>
  <si>
    <t xml:space="preserve">  U Thamardi International company</t>
  </si>
  <si>
    <t>1395469543001</t>
  </si>
  <si>
    <t>1395456618001</t>
  </si>
  <si>
    <t>1396471678001</t>
  </si>
  <si>
    <t>1396471726001</t>
  </si>
  <si>
    <t>1396472335001</t>
  </si>
  <si>
    <t>1396471679001</t>
  </si>
  <si>
    <t>1396472554001</t>
  </si>
  <si>
    <t xml:space="preserve">  Areej For Marketing</t>
  </si>
  <si>
    <t>1396471988001</t>
  </si>
  <si>
    <t>1395455039001</t>
  </si>
  <si>
    <t>1395467469001</t>
  </si>
  <si>
    <t>1395453119001</t>
  </si>
  <si>
    <t>1396471568001</t>
  </si>
  <si>
    <t xml:space="preserve">  AL MASAR PETROLUME L.L.C</t>
  </si>
  <si>
    <t>1396472577001</t>
  </si>
  <si>
    <t>1396471989001</t>
  </si>
  <si>
    <t>1396471677001</t>
  </si>
  <si>
    <t>1396471704001</t>
  </si>
  <si>
    <t>1396472638001</t>
  </si>
  <si>
    <t>1396472779001</t>
  </si>
  <si>
    <t>1396473813001</t>
  </si>
  <si>
    <t>1396474195001</t>
  </si>
  <si>
    <t>1396474213001</t>
  </si>
  <si>
    <t>1395457969001</t>
  </si>
  <si>
    <t xml:space="preserve">  jingping puyang trading f.z.e</t>
  </si>
  <si>
    <t>1396472852001</t>
  </si>
  <si>
    <t>1396472850001</t>
  </si>
  <si>
    <t>1396474002001</t>
  </si>
  <si>
    <t>1396474209001</t>
  </si>
  <si>
    <t>1395456619001</t>
  </si>
  <si>
    <t>1396472849001</t>
  </si>
  <si>
    <t>1396474210001</t>
  </si>
  <si>
    <t>1396471403001</t>
  </si>
  <si>
    <t>1396474047001</t>
  </si>
  <si>
    <t>1396477309001</t>
  </si>
  <si>
    <t>1395469542001</t>
  </si>
  <si>
    <t>1396477466001</t>
  </si>
  <si>
    <t>1396472848001</t>
  </si>
  <si>
    <t>1396477306001</t>
  </si>
  <si>
    <t>1396477308001</t>
  </si>
  <si>
    <t>1396477307001</t>
  </si>
  <si>
    <t>1396481167001</t>
  </si>
  <si>
    <t>1396478011001</t>
  </si>
  <si>
    <t>1396483879001</t>
  </si>
  <si>
    <t>1396483577001</t>
  </si>
  <si>
    <t>1396486320001</t>
  </si>
  <si>
    <t>1396486319001</t>
  </si>
  <si>
    <t>1396491876001</t>
  </si>
  <si>
    <t>1396492054001</t>
  </si>
  <si>
    <t>1396492055001</t>
  </si>
  <si>
    <t>1396491880001</t>
  </si>
  <si>
    <t>1396491871001</t>
  </si>
  <si>
    <t>1396491878001</t>
  </si>
  <si>
    <t>1396491879001</t>
  </si>
  <si>
    <t>1396492151001</t>
  </si>
  <si>
    <t>1396492211001</t>
  </si>
  <si>
    <t>1396492212001</t>
  </si>
  <si>
    <t>1396496668001</t>
  </si>
  <si>
    <t>1396497353001</t>
  </si>
  <si>
    <t>1396498310001</t>
  </si>
  <si>
    <t>1396496232001</t>
  </si>
  <si>
    <t>96/04/29</t>
  </si>
  <si>
    <t>96/05/01</t>
  </si>
  <si>
    <t>1396498948001</t>
  </si>
  <si>
    <t>96/05/02</t>
  </si>
  <si>
    <t>1396497354001</t>
  </si>
  <si>
    <t>96/05/03</t>
  </si>
  <si>
    <t>1396499008001</t>
  </si>
  <si>
    <t>1396491873001</t>
  </si>
  <si>
    <t>96/05/04</t>
  </si>
  <si>
    <t>1396497794001</t>
  </si>
  <si>
    <t>96/05/05</t>
  </si>
  <si>
    <t>1396498074001</t>
  </si>
  <si>
    <t>96/05/08</t>
  </si>
  <si>
    <t>96/05/09</t>
  </si>
  <si>
    <t>1396500350001</t>
  </si>
  <si>
    <t>1396500348001</t>
  </si>
  <si>
    <t>96/05/10</t>
  </si>
  <si>
    <t>1396500347001</t>
  </si>
  <si>
    <t>1396502552001</t>
  </si>
  <si>
    <t>96/05/12</t>
  </si>
  <si>
    <t>1396500344001</t>
  </si>
  <si>
    <t>96/05/14</t>
  </si>
  <si>
    <t>96/05/15</t>
  </si>
  <si>
    <t>96/05/16</t>
  </si>
  <si>
    <t>1396500345001</t>
  </si>
  <si>
    <t>1396500678001</t>
  </si>
  <si>
    <t xml:space="preserve">  LLC Black Gem Business</t>
  </si>
  <si>
    <t>1396500681001</t>
  </si>
  <si>
    <t xml:space="preserve">  ENERGY PLUSE GENERAL TRADING L.L.C</t>
  </si>
  <si>
    <t>1396500397001</t>
  </si>
  <si>
    <t>96/05/17</t>
  </si>
  <si>
    <t>1396472851001</t>
  </si>
  <si>
    <t>کنترل</t>
  </si>
  <si>
    <t>تاریخ دریافت</t>
  </si>
  <si>
    <t>96-961500072</t>
  </si>
  <si>
    <t>96-961500088</t>
  </si>
  <si>
    <t>96-961500101</t>
  </si>
  <si>
    <t>96-961500115</t>
  </si>
  <si>
    <t>96-961500120</t>
  </si>
  <si>
    <t>96-961500125</t>
  </si>
  <si>
    <t>96-961500126</t>
  </si>
  <si>
    <t>96-961500133</t>
  </si>
  <si>
    <t>96-961500135</t>
  </si>
  <si>
    <t>96-961500140</t>
  </si>
  <si>
    <t>96-961500141</t>
  </si>
  <si>
    <t>96-961500143</t>
  </si>
  <si>
    <t>96-961500145</t>
  </si>
  <si>
    <t>96-961500146</t>
  </si>
  <si>
    <t>96-961500148</t>
  </si>
  <si>
    <t>96-961500153</t>
  </si>
  <si>
    <t>96-961500154</t>
  </si>
  <si>
    <t>96-961500162</t>
  </si>
  <si>
    <t>96-961500163</t>
  </si>
  <si>
    <t>96-961500164</t>
  </si>
  <si>
    <t>96-961500165</t>
  </si>
  <si>
    <t>96-961500166</t>
  </si>
  <si>
    <t>96-961500171</t>
  </si>
  <si>
    <t>96-961500172</t>
  </si>
  <si>
    <t>96-961500174</t>
  </si>
  <si>
    <t>96-962500031</t>
  </si>
  <si>
    <t>96-961500176</t>
  </si>
  <si>
    <t>96-961500181</t>
  </si>
  <si>
    <t>96-961500182</t>
  </si>
  <si>
    <t>96-961500183</t>
  </si>
  <si>
    <t>96-961500184</t>
  </si>
  <si>
    <t>96-961500190</t>
  </si>
  <si>
    <t>96-961500193</t>
  </si>
  <si>
    <t>96-961500200</t>
  </si>
  <si>
    <t>96-962500032</t>
  </si>
  <si>
    <t>96-961500201</t>
  </si>
  <si>
    <t>96-961500204</t>
  </si>
  <si>
    <t>96-961500205</t>
  </si>
  <si>
    <t>96-961500206</t>
  </si>
  <si>
    <t>96-961500207</t>
  </si>
  <si>
    <t>96-961500208</t>
  </si>
  <si>
    <t>96-961500210</t>
  </si>
  <si>
    <t>96-961500211</t>
  </si>
  <si>
    <t>96-961500213</t>
  </si>
  <si>
    <t>96-961500214</t>
  </si>
  <si>
    <t>96-961500216</t>
  </si>
  <si>
    <t>96-961500217</t>
  </si>
  <si>
    <t>96-961500218</t>
  </si>
  <si>
    <t>96-961500219</t>
  </si>
  <si>
    <t>96-961500220</t>
  </si>
  <si>
    <t>96-961500221</t>
  </si>
  <si>
    <t>96-961500222</t>
  </si>
  <si>
    <t>96-961500223</t>
  </si>
  <si>
    <t>96-961500224</t>
  </si>
  <si>
    <t>96-962500033</t>
  </si>
  <si>
    <t>96-961500226</t>
  </si>
  <si>
    <t>96-961500227</t>
  </si>
  <si>
    <t>96-961500228</t>
  </si>
  <si>
    <t>96-961500229</t>
  </si>
  <si>
    <t>96-961500230</t>
  </si>
  <si>
    <t>96-961500231</t>
  </si>
  <si>
    <t>96-961500232</t>
  </si>
  <si>
    <t>96-961500233</t>
  </si>
  <si>
    <t>96-961500234</t>
  </si>
  <si>
    <t>96-961500235</t>
  </si>
  <si>
    <t>96-961500236</t>
  </si>
  <si>
    <t>96-961500237</t>
  </si>
  <si>
    <t>96-961500238</t>
  </si>
  <si>
    <t>96-961500239</t>
  </si>
  <si>
    <t>96-961500240</t>
  </si>
  <si>
    <t>96-961500241</t>
  </si>
  <si>
    <t>96-961500242</t>
  </si>
  <si>
    <t>96-961500243</t>
  </si>
  <si>
    <t>96-961500244</t>
  </si>
  <si>
    <t>96-961500245</t>
  </si>
  <si>
    <t>96-961500246</t>
  </si>
  <si>
    <t>96-961500248</t>
  </si>
  <si>
    <t>96-961500249</t>
  </si>
  <si>
    <t>96-961500250</t>
  </si>
  <si>
    <t>96-961500251</t>
  </si>
  <si>
    <t>96-961500252</t>
  </si>
  <si>
    <t>96-961500253</t>
  </si>
  <si>
    <t>96-961500254</t>
  </si>
  <si>
    <t>96-961500255</t>
  </si>
  <si>
    <t>96-961500256</t>
  </si>
  <si>
    <t>96-961500257</t>
  </si>
  <si>
    <t>96-961500258</t>
  </si>
  <si>
    <t>96-962500034</t>
  </si>
  <si>
    <t>96-962500035</t>
  </si>
  <si>
    <t>96-962500036</t>
  </si>
  <si>
    <t>96-961500259</t>
  </si>
  <si>
    <t>96-961500260</t>
  </si>
  <si>
    <t>96-961500261</t>
  </si>
  <si>
    <t>96-961500262</t>
  </si>
  <si>
    <t>96-961500263</t>
  </si>
  <si>
    <t>96-961500264</t>
  </si>
  <si>
    <t>96-961500265</t>
  </si>
  <si>
    <t>96-962500037</t>
  </si>
  <si>
    <t>96-961500266</t>
  </si>
  <si>
    <t>96-961500267</t>
  </si>
  <si>
    <t>96-961500268</t>
  </si>
  <si>
    <t>96-961500269</t>
  </si>
  <si>
    <t>96-961500270</t>
  </si>
  <si>
    <t>96-961500271</t>
  </si>
  <si>
    <t>96-962500038</t>
  </si>
  <si>
    <t>96-962500039</t>
  </si>
  <si>
    <t>96-961500272</t>
  </si>
  <si>
    <t>96-961500273</t>
  </si>
  <si>
    <t>96-961500274</t>
  </si>
  <si>
    <t>96-961500275</t>
  </si>
  <si>
    <t>96-962500040</t>
  </si>
  <si>
    <t>96-962500041</t>
  </si>
  <si>
    <t>96-964100038</t>
  </si>
  <si>
    <t>96-964100039</t>
  </si>
  <si>
    <t>96-961500276</t>
  </si>
  <si>
    <t>96-961500277</t>
  </si>
  <si>
    <t>96-961500278</t>
  </si>
  <si>
    <t>96-961500279</t>
  </si>
  <si>
    <t>96-961500280</t>
  </si>
  <si>
    <t>96-962500042</t>
  </si>
  <si>
    <t>96-962500043</t>
  </si>
  <si>
    <t>96-962500044</t>
  </si>
  <si>
    <t>96-961500281</t>
  </si>
  <si>
    <t>96-961500282</t>
  </si>
  <si>
    <t>96-961500283</t>
  </si>
  <si>
    <t>96-961500284</t>
  </si>
  <si>
    <t>96-961500285</t>
  </si>
  <si>
    <t>96-961500286</t>
  </si>
  <si>
    <t>96-961500287</t>
  </si>
  <si>
    <t>96-961500288</t>
  </si>
  <si>
    <t>96-961500289</t>
  </si>
  <si>
    <t>96-961500290</t>
  </si>
  <si>
    <t>96-962500045</t>
  </si>
  <si>
    <t>96-961500291</t>
  </si>
  <si>
    <t>96-961500292</t>
  </si>
  <si>
    <t>96-961500293</t>
  </si>
  <si>
    <t>96-961500294</t>
  </si>
  <si>
    <t>96-961500295</t>
  </si>
  <si>
    <t>96-962500046</t>
  </si>
  <si>
    <t>96-961500296</t>
  </si>
  <si>
    <t>96-961500297</t>
  </si>
  <si>
    <t>96-961500298</t>
  </si>
  <si>
    <t>96-961500299</t>
  </si>
  <si>
    <t>96-962500047</t>
  </si>
  <si>
    <t>96-962500048</t>
  </si>
  <si>
    <t>96-962500049</t>
  </si>
  <si>
    <t>96-962500050</t>
  </si>
  <si>
    <t>96-962500051</t>
  </si>
  <si>
    <t>96-961500300</t>
  </si>
  <si>
    <t>96-961500301</t>
  </si>
  <si>
    <t>96-961500302</t>
  </si>
  <si>
    <t>96-961500303</t>
  </si>
  <si>
    <t>96-964100040</t>
  </si>
  <si>
    <t>96-961500305</t>
  </si>
  <si>
    <t>96-961500306</t>
  </si>
  <si>
    <t>96-961500308</t>
  </si>
  <si>
    <t>96-961500309</t>
  </si>
  <si>
    <t>96-961500310</t>
  </si>
  <si>
    <t>96-961500311</t>
  </si>
  <si>
    <t>96-961500312</t>
  </si>
  <si>
    <t>96-962500052</t>
  </si>
  <si>
    <t>96-964100041</t>
  </si>
  <si>
    <t>96-964100042</t>
  </si>
  <si>
    <t>96-961500313</t>
  </si>
  <si>
    <t>96-961500314</t>
  </si>
  <si>
    <t>96-961500315</t>
  </si>
  <si>
    <t>96-962500053</t>
  </si>
  <si>
    <t>96-961500316</t>
  </si>
  <si>
    <t>96-961500317</t>
  </si>
  <si>
    <t>96-962500054</t>
  </si>
  <si>
    <t>96-961500318</t>
  </si>
  <si>
    <t>96-961500319</t>
  </si>
  <si>
    <t>96-961500320</t>
  </si>
  <si>
    <t>96-962500055</t>
  </si>
  <si>
    <t>96-962500056</t>
  </si>
  <si>
    <t>96-962500057</t>
  </si>
  <si>
    <t>96-962500058</t>
  </si>
  <si>
    <t>96-962500059</t>
  </si>
  <si>
    <t>96-962500060</t>
  </si>
  <si>
    <t>96-962500061</t>
  </si>
  <si>
    <t>96-964100043</t>
  </si>
  <si>
    <t>96-961500321</t>
  </si>
  <si>
    <t>96-961500322</t>
  </si>
  <si>
    <t>96-961500323</t>
  </si>
  <si>
    <t>96-961500325</t>
  </si>
  <si>
    <t>96-962500063</t>
  </si>
  <si>
    <t>96-962500064</t>
  </si>
  <si>
    <t>مقصد</t>
  </si>
  <si>
    <t xml:space="preserve">گمرک خروجی </t>
  </si>
  <si>
    <t>کد گمرک</t>
  </si>
  <si>
    <t xml:space="preserve"> افغانستان</t>
  </si>
  <si>
    <t xml:space="preserve"> گرجستان</t>
  </si>
  <si>
    <t xml:space="preserve"> ترکمنستان</t>
  </si>
  <si>
    <t>پاکستان</t>
  </si>
  <si>
    <t>گرجستان</t>
  </si>
  <si>
    <t>دوغارون</t>
  </si>
  <si>
    <t>بازرگان</t>
  </si>
  <si>
    <t>لطف آباد</t>
  </si>
  <si>
    <t>میرجاوه</t>
  </si>
  <si>
    <t>بازارچه کوهک</t>
  </si>
  <si>
    <t>پیشین</t>
  </si>
  <si>
    <t>15100-431296</t>
  </si>
  <si>
    <t>15100-432525</t>
  </si>
  <si>
    <t>15100-431290</t>
  </si>
  <si>
    <t>15100-431898</t>
  </si>
  <si>
    <t>15100-434812</t>
  </si>
  <si>
    <t>15100-434824</t>
  </si>
  <si>
    <t>15100-433036</t>
  </si>
  <si>
    <t>15100-429944</t>
  </si>
  <si>
    <t>15100-433099</t>
  </si>
  <si>
    <t>15100-429926</t>
  </si>
  <si>
    <t>15100-433667</t>
  </si>
  <si>
    <t>15100-431986</t>
  </si>
  <si>
    <t>96/03/25</t>
  </si>
  <si>
    <t>96/05/19</t>
  </si>
  <si>
    <t>پيشين</t>
  </si>
  <si>
    <t>پلدشت</t>
  </si>
  <si>
    <t>15100-449023</t>
  </si>
  <si>
    <t>15100-449014</t>
  </si>
  <si>
    <t>15100-446942</t>
  </si>
  <si>
    <t>15100-449679</t>
  </si>
  <si>
    <t>15100-447541</t>
  </si>
  <si>
    <t>15100-445938</t>
  </si>
  <si>
    <t>15100-446922</t>
  </si>
  <si>
    <t>15100-448958</t>
  </si>
  <si>
    <t>15100-449721</t>
  </si>
  <si>
    <t>15100-448426</t>
  </si>
  <si>
    <t>15100-446948</t>
  </si>
  <si>
    <t>15100-446388</t>
  </si>
  <si>
    <t>15100-446407</t>
  </si>
  <si>
    <t>15100-445257</t>
  </si>
  <si>
    <t>15100-441552</t>
  </si>
  <si>
    <t>15100-440486</t>
  </si>
  <si>
    <t>15100-440028</t>
  </si>
  <si>
    <t>15100-447523</t>
  </si>
  <si>
    <t>15100-447937</t>
  </si>
  <si>
    <t>15100-441510</t>
  </si>
  <si>
    <t>15100-447880</t>
  </si>
  <si>
    <t>15100-440073</t>
  </si>
  <si>
    <t>15100-439650</t>
  </si>
  <si>
    <t>15100-438791</t>
  </si>
  <si>
    <t>15100-441110</t>
  </si>
  <si>
    <t>15100-439623</t>
  </si>
  <si>
    <t>50100-9036676</t>
  </si>
  <si>
    <t>50100-8991835</t>
  </si>
  <si>
    <t>50100-9047557</t>
  </si>
  <si>
    <t>50100-8999129</t>
  </si>
  <si>
    <t>50100-9027079</t>
  </si>
  <si>
    <t>50100-8984723</t>
  </si>
  <si>
    <t>50100-9031620</t>
  </si>
  <si>
    <t>50100-9031571</t>
  </si>
  <si>
    <t>50100-9004780</t>
  </si>
  <si>
    <t>50100-8999219</t>
  </si>
  <si>
    <t>50100-8991569</t>
  </si>
  <si>
    <t>50100-9012041</t>
  </si>
  <si>
    <t>50100-9005071</t>
  </si>
  <si>
    <t>50100-8999353</t>
  </si>
  <si>
    <t>50100-9031797</t>
  </si>
  <si>
    <t>50100-9005174</t>
  </si>
  <si>
    <t>50100-9037871</t>
  </si>
  <si>
    <t>50100-9037898</t>
  </si>
  <si>
    <t>50100-9027247</t>
  </si>
  <si>
    <t>50100-9017791</t>
  </si>
  <si>
    <t>50100-9045899</t>
  </si>
  <si>
    <t>50100-9031468</t>
  </si>
  <si>
    <t>15100-413584</t>
  </si>
  <si>
    <t>15100-435379</t>
  </si>
  <si>
    <t>96/05/31</t>
  </si>
  <si>
    <t>m/s khan Group960606</t>
  </si>
  <si>
    <t>sebco-8159</t>
  </si>
  <si>
    <t>sebco-7470</t>
  </si>
  <si>
    <t>15100-449132</t>
  </si>
  <si>
    <t>15100-446346</t>
  </si>
  <si>
    <t>50100-9095554</t>
  </si>
  <si>
    <t>50100-9118321</t>
  </si>
  <si>
    <t>50100-9068240</t>
  </si>
  <si>
    <t>50100-9112757</t>
  </si>
  <si>
    <t>50100-9093728</t>
  </si>
  <si>
    <t>50100-9113227</t>
  </si>
  <si>
    <t>50100-9095617</t>
  </si>
  <si>
    <t>50100-9109237</t>
  </si>
  <si>
    <t>50100-9054894</t>
  </si>
  <si>
    <t>50100-9081774</t>
  </si>
  <si>
    <t>50100-9085023</t>
  </si>
  <si>
    <t>50100-9078714</t>
  </si>
  <si>
    <t>50100-9095815</t>
  </si>
  <si>
    <t>50100-9070737</t>
  </si>
  <si>
    <t>50100-9105318</t>
  </si>
  <si>
    <t>50100-9068631</t>
  </si>
  <si>
    <t>50100-9069363</t>
  </si>
  <si>
    <t>50100-9084489</t>
  </si>
  <si>
    <t>50100-9106997</t>
  </si>
  <si>
    <t>50100-9100973</t>
  </si>
  <si>
    <t>50100-9101621</t>
  </si>
  <si>
    <t>50100-9096007</t>
  </si>
  <si>
    <t>50100-9078596</t>
  </si>
  <si>
    <t>50100-9068816</t>
  </si>
  <si>
    <t>50100-9078634</t>
  </si>
  <si>
    <t>50100-9113030</t>
  </si>
  <si>
    <t>50100-9070635</t>
  </si>
  <si>
    <t>50100-9095884</t>
  </si>
  <si>
    <t>50100-9059937</t>
  </si>
  <si>
    <t>50100-9087081</t>
  </si>
  <si>
    <t>50100-9054776</t>
  </si>
  <si>
    <t>50100-9085256</t>
  </si>
  <si>
    <t>50100-9067973</t>
  </si>
  <si>
    <t>50100-9067762</t>
  </si>
  <si>
    <t>50100-9078563</t>
  </si>
  <si>
    <t>15100-422571</t>
  </si>
  <si>
    <t>15100-425174</t>
  </si>
  <si>
    <t>15100-425828</t>
  </si>
  <si>
    <t>15100-425861</t>
  </si>
  <si>
    <t>15100-427213</t>
  </si>
  <si>
    <t>15100-427219</t>
  </si>
  <si>
    <t>15100-427822</t>
  </si>
  <si>
    <t>15100-429168</t>
  </si>
  <si>
    <t>15100-429183</t>
  </si>
  <si>
    <t>15100-430662</t>
  </si>
  <si>
    <t>15100-449697</t>
  </si>
  <si>
    <t>15100-453839</t>
  </si>
  <si>
    <t>15100-456360</t>
  </si>
  <si>
    <t>15100-455613</t>
  </si>
  <si>
    <t>15100-456929</t>
  </si>
  <si>
    <t>15100-455988</t>
  </si>
  <si>
    <t>15100-455997</t>
  </si>
  <si>
    <t>15100-459289</t>
  </si>
  <si>
    <t>15100-456379</t>
  </si>
  <si>
    <t>15100-457337</t>
  </si>
  <si>
    <t>15100-457388</t>
  </si>
  <si>
    <t>15100-455030</t>
  </si>
  <si>
    <t>15100-462398</t>
  </si>
  <si>
    <t>15100-458760</t>
  </si>
  <si>
    <t>15100-454473</t>
  </si>
  <si>
    <t>15100-458787</t>
  </si>
  <si>
    <t>15100-463013</t>
  </si>
  <si>
    <t>15100-458270</t>
  </si>
  <si>
    <t>15100-457355</t>
  </si>
  <si>
    <t>15100-462304</t>
  </si>
  <si>
    <t>15100-454949</t>
  </si>
  <si>
    <t>15100-457779</t>
  </si>
  <si>
    <t>15100-463646</t>
  </si>
  <si>
    <t>15100-455667</t>
  </si>
  <si>
    <t>15100-454355</t>
  </si>
  <si>
    <t>15100-459864</t>
  </si>
  <si>
    <t>15100-455619</t>
  </si>
  <si>
    <t>15100-454406</t>
  </si>
  <si>
    <t>15100-455012</t>
  </si>
  <si>
    <t>15100-455592</t>
  </si>
  <si>
    <t>15100-457863</t>
  </si>
  <si>
    <t>15100-456857</t>
  </si>
  <si>
    <t>15100-455637</t>
  </si>
  <si>
    <t>15100-461871</t>
  </si>
  <si>
    <t>15100-455634</t>
  </si>
  <si>
    <t>15100-458294</t>
  </si>
  <si>
    <t>15100-455054</t>
  </si>
  <si>
    <t>15100-460314</t>
  </si>
  <si>
    <t>15100-454400</t>
  </si>
  <si>
    <t>15100-453351</t>
  </si>
  <si>
    <t>15100-453327</t>
  </si>
  <si>
    <t>15100-454888</t>
  </si>
  <si>
    <t>15100-451367</t>
  </si>
  <si>
    <t>15100-452033</t>
  </si>
  <si>
    <t>15100-450216</t>
  </si>
  <si>
    <t>15100-452950</t>
  </si>
  <si>
    <t>15100-453312</t>
  </si>
  <si>
    <t>15100-453336</t>
  </si>
  <si>
    <t>15100-450726</t>
  </si>
  <si>
    <t>15100-452417</t>
  </si>
  <si>
    <t>15100-450195</t>
  </si>
  <si>
    <t>15100-452944</t>
  </si>
  <si>
    <t>15100-450234</t>
  </si>
  <si>
    <t>15100-451997</t>
  </si>
  <si>
    <t>15100-452456</t>
  </si>
  <si>
    <t>15100-460829</t>
  </si>
  <si>
    <t>15100-450753</t>
  </si>
  <si>
    <t>15100-451278</t>
  </si>
  <si>
    <t>15100-451391</t>
  </si>
  <si>
    <t>15100-452408</t>
  </si>
  <si>
    <t>15100-453890</t>
  </si>
  <si>
    <t>15100-450738</t>
  </si>
  <si>
    <t>15100-452018</t>
  </si>
  <si>
    <t>15100-456333</t>
  </si>
  <si>
    <t>96/05/24</t>
  </si>
  <si>
    <t>96/05/30</t>
  </si>
  <si>
    <t>96/05/18</t>
  </si>
  <si>
    <t>96/05/29</t>
  </si>
  <si>
    <t>96/05/28</t>
  </si>
  <si>
    <t>96/05/22</t>
  </si>
  <si>
    <t>96/05/21</t>
  </si>
  <si>
    <t>96/05/26</t>
  </si>
  <si>
    <t>96/05/23</t>
  </si>
  <si>
    <t>96/05/25</t>
  </si>
  <si>
    <t>96-961500348</t>
  </si>
  <si>
    <t>96-961500343</t>
  </si>
  <si>
    <t>96-962500068</t>
  </si>
  <si>
    <t>96-962500067</t>
  </si>
  <si>
    <t>96-962500066</t>
  </si>
  <si>
    <t>96-962500069</t>
  </si>
  <si>
    <t>96-962500077</t>
  </si>
  <si>
    <t>96-962500062</t>
  </si>
  <si>
    <t>96-962500071</t>
  </si>
  <si>
    <t>96-964100044</t>
  </si>
  <si>
    <t>96-964100046</t>
  </si>
  <si>
    <t>96-962500075</t>
  </si>
  <si>
    <t>96-962500072</t>
  </si>
  <si>
    <t>96-964100047</t>
  </si>
  <si>
    <t>96-962500070</t>
  </si>
  <si>
    <t>96-964100048</t>
  </si>
  <si>
    <t>96-962500078</t>
  </si>
  <si>
    <t>96-964100045</t>
  </si>
  <si>
    <t>96-962500073</t>
  </si>
  <si>
    <t>96-961500332</t>
  </si>
  <si>
    <t>96-961500340</t>
  </si>
  <si>
    <t>96-961500350</t>
  </si>
  <si>
    <t>96-961500338</t>
  </si>
  <si>
    <t>96/06/16</t>
  </si>
  <si>
    <t>بنگلادش</t>
  </si>
  <si>
    <t>مالزي</t>
  </si>
  <si>
    <t>تايوان</t>
  </si>
  <si>
    <t>کنيا</t>
  </si>
  <si>
    <t>ماداگاسكار</t>
  </si>
  <si>
    <t xml:space="preserve"> امارات متحده عربي</t>
  </si>
  <si>
    <t>هند</t>
  </si>
  <si>
    <t>عمان</t>
  </si>
  <si>
    <t>تفتان (ميرجاوه)</t>
  </si>
  <si>
    <t>بازارچه کوهک سراوان</t>
  </si>
  <si>
    <t>بيله سوار</t>
  </si>
  <si>
    <t>m/s khan Group960621</t>
  </si>
  <si>
    <t>15100-453854</t>
  </si>
  <si>
    <t>15100-456400</t>
  </si>
  <si>
    <t>15100-458745</t>
  </si>
  <si>
    <t>15100-461374</t>
  </si>
  <si>
    <t>15100-458258</t>
  </si>
  <si>
    <t>15100-452384</t>
  </si>
  <si>
    <t>15100-418062</t>
  </si>
  <si>
    <t>15100-436707</t>
  </si>
  <si>
    <t>15100-439189</t>
  </si>
  <si>
    <t>LLC Sebco Bitumen</t>
  </si>
  <si>
    <t>M/S J.K. Khan Group</t>
  </si>
  <si>
    <t>Black Gold Traders FZE</t>
  </si>
  <si>
    <t>Ivera Holding LTD</t>
  </si>
  <si>
    <t>96/06/26</t>
  </si>
  <si>
    <t>elixir1403</t>
  </si>
  <si>
    <t>50100-9187989</t>
  </si>
  <si>
    <t>96/06/15</t>
  </si>
  <si>
    <t>96-964100053</t>
  </si>
  <si>
    <t>50100-9237300</t>
  </si>
  <si>
    <t>96/06/28</t>
  </si>
  <si>
    <t>96-964100054</t>
  </si>
  <si>
    <t>96/06/27</t>
  </si>
  <si>
    <t>50100-9210361</t>
  </si>
  <si>
    <t>96/06/21</t>
  </si>
  <si>
    <t>50100-9198815</t>
  </si>
  <si>
    <t>96/06/19</t>
  </si>
  <si>
    <t>96-961500344</t>
  </si>
  <si>
    <t>50100-9228951</t>
  </si>
  <si>
    <t>96-961500345</t>
  </si>
  <si>
    <t>96-961500334</t>
  </si>
  <si>
    <t>50100-9198999</t>
  </si>
  <si>
    <t>50100-9239784</t>
  </si>
  <si>
    <t>96-961500356</t>
  </si>
  <si>
    <t>50100-9218730</t>
  </si>
  <si>
    <t>96/06/25</t>
  </si>
  <si>
    <t>96-962500097</t>
  </si>
  <si>
    <t>96/06/14</t>
  </si>
  <si>
    <t>96-961500355</t>
  </si>
  <si>
    <t>50100-9205642</t>
  </si>
  <si>
    <t>96/06/20</t>
  </si>
  <si>
    <t>96-962500096</t>
  </si>
  <si>
    <t>96/06/13</t>
  </si>
  <si>
    <t>96-962500088</t>
  </si>
  <si>
    <t>96/06/08</t>
  </si>
  <si>
    <t>96-962500081</t>
  </si>
  <si>
    <t>50100-9205527</t>
  </si>
  <si>
    <t>96-961500358</t>
  </si>
  <si>
    <t>50100-9217141</t>
  </si>
  <si>
    <t>96/06/22</t>
  </si>
  <si>
    <t>96-962500098</t>
  </si>
  <si>
    <t>50100-9219558</t>
  </si>
  <si>
    <t>96-961500353</t>
  </si>
  <si>
    <t>50100-9231655</t>
  </si>
  <si>
    <t>96-961500384</t>
  </si>
  <si>
    <t>96/06/07</t>
  </si>
  <si>
    <t>96-961500403</t>
  </si>
  <si>
    <t>50100-9228814</t>
  </si>
  <si>
    <t>50100-9237234</t>
  </si>
  <si>
    <t>96-964100057</t>
  </si>
  <si>
    <t/>
  </si>
  <si>
    <t>50100-9230362</t>
  </si>
  <si>
    <t>96-961500420</t>
  </si>
  <si>
    <t>50100-9234166</t>
  </si>
  <si>
    <t>50100-9239646</t>
  </si>
  <si>
    <t>50100-9217444</t>
  </si>
  <si>
    <t>96-962500079</t>
  </si>
  <si>
    <t>50100-9237079</t>
  </si>
  <si>
    <t>96-961500408</t>
  </si>
  <si>
    <t>96-962500074</t>
  </si>
  <si>
    <t>96-961500385</t>
  </si>
  <si>
    <t>50100-9231693</t>
  </si>
  <si>
    <t>96-961500390</t>
  </si>
  <si>
    <t>96/06/11</t>
  </si>
  <si>
    <t>96-961500379</t>
  </si>
  <si>
    <t>96/06/04</t>
  </si>
  <si>
    <t>50100-9229242</t>
  </si>
  <si>
    <t>96-962500100</t>
  </si>
  <si>
    <t>50100-9236312</t>
  </si>
  <si>
    <t>96-962500102</t>
  </si>
  <si>
    <t>50100-9205452</t>
  </si>
  <si>
    <t>96-961500361</t>
  </si>
  <si>
    <t>50100-9236822</t>
  </si>
  <si>
    <t>96-962500090</t>
  </si>
  <si>
    <t>96-961500352</t>
  </si>
  <si>
    <t>96-961500401</t>
  </si>
  <si>
    <t>15100-475146</t>
  </si>
  <si>
    <t>15100-473924</t>
  </si>
  <si>
    <t>96-961500412</t>
  </si>
  <si>
    <t>15100-474048</t>
  </si>
  <si>
    <t>15100-472851</t>
  </si>
  <si>
    <t>96/06/23</t>
  </si>
  <si>
    <t>15100-473409</t>
  </si>
  <si>
    <t>15100-469282</t>
  </si>
  <si>
    <t>15100-467811</t>
  </si>
  <si>
    <t>96/06/09</t>
  </si>
  <si>
    <t>15100-470319</t>
  </si>
  <si>
    <t>96-961500342</t>
  </si>
  <si>
    <t>96-961500331</t>
  </si>
  <si>
    <t>15100-468144</t>
  </si>
  <si>
    <t>96-961500328</t>
  </si>
  <si>
    <t>15100-471029</t>
  </si>
  <si>
    <t>96-961500406</t>
  </si>
  <si>
    <t>15100-470572</t>
  </si>
  <si>
    <t>96-961500397</t>
  </si>
  <si>
    <t>15100-465159</t>
  </si>
  <si>
    <t>15100-465917</t>
  </si>
  <si>
    <t>96/06/05</t>
  </si>
  <si>
    <t>15100-468141</t>
  </si>
  <si>
    <t>15100-472233</t>
  </si>
  <si>
    <t>96-961500415</t>
  </si>
  <si>
    <t>15100-465102</t>
  </si>
  <si>
    <t>15100-470542</t>
  </si>
  <si>
    <t>96-961500326</t>
  </si>
  <si>
    <t>15100-469303</t>
  </si>
  <si>
    <t>96-961500336</t>
  </si>
  <si>
    <t>15100-470612</t>
  </si>
  <si>
    <t>15100-469294</t>
  </si>
  <si>
    <t>15100-468788</t>
  </si>
  <si>
    <t>15100-464203</t>
  </si>
  <si>
    <t>96/06/01</t>
  </si>
  <si>
    <t>15100-464812</t>
  </si>
  <si>
    <t>96/06/02</t>
  </si>
  <si>
    <t>15100-468457</t>
  </si>
  <si>
    <t>96/06/12</t>
  </si>
  <si>
    <t>15100-471754</t>
  </si>
  <si>
    <t>15100-469279</t>
  </si>
  <si>
    <t>15100-469865</t>
  </si>
  <si>
    <t>96-961500407</t>
  </si>
  <si>
    <t>15100-471038</t>
  </si>
  <si>
    <t>96-961500396</t>
  </si>
  <si>
    <t>50100-9122283</t>
  </si>
  <si>
    <t>50100-9148172</t>
  </si>
  <si>
    <t>96-961500333</t>
  </si>
  <si>
    <t>50100-9130866</t>
  </si>
  <si>
    <t>50100-9176504</t>
  </si>
  <si>
    <t>96-961500364</t>
  </si>
  <si>
    <t>50100-9146387</t>
  </si>
  <si>
    <t>96-962500065</t>
  </si>
  <si>
    <t>50100-9120333</t>
  </si>
  <si>
    <t>96-964100049</t>
  </si>
  <si>
    <t>96-962500080</t>
  </si>
  <si>
    <t>96-961500337</t>
  </si>
  <si>
    <t>50100-9182227</t>
  </si>
  <si>
    <t>96-964100052</t>
  </si>
  <si>
    <t>50100-9159141</t>
  </si>
  <si>
    <t>96-962500084</t>
  </si>
  <si>
    <t>50100-9176693</t>
  </si>
  <si>
    <t>50100-9162503</t>
  </si>
  <si>
    <t>50100-9148054</t>
  </si>
  <si>
    <t>50100-9140374</t>
  </si>
  <si>
    <t>50100-9181809</t>
  </si>
  <si>
    <t>50100-9180243</t>
  </si>
  <si>
    <t>96-961500354</t>
  </si>
  <si>
    <t>50100-9124928</t>
  </si>
  <si>
    <t>50100-9181938</t>
  </si>
  <si>
    <t>50100-9156276</t>
  </si>
  <si>
    <t>96-964100051</t>
  </si>
  <si>
    <t>50100-9162796</t>
  </si>
  <si>
    <t>50100-9177054</t>
  </si>
  <si>
    <t>96-961500370</t>
  </si>
  <si>
    <t>50100-9130221</t>
  </si>
  <si>
    <t>50100-9124625</t>
  </si>
  <si>
    <t>96-964100050</t>
  </si>
  <si>
    <t>AL MASAR PETROLUME L.L.C</t>
  </si>
  <si>
    <t>SHINING GREEN STAR FZE</t>
  </si>
  <si>
    <t>DAXON PETROLEUM</t>
  </si>
  <si>
    <t>ENERGY PLUSE GENERAL TRADING L.L.C</t>
  </si>
  <si>
    <t>PETRO HUB ENERGY FZE</t>
  </si>
  <si>
    <t>96/07/17</t>
  </si>
  <si>
    <t>93-934200058</t>
  </si>
  <si>
    <t>93-931500959</t>
  </si>
  <si>
    <t>94-942500002</t>
  </si>
  <si>
    <t>94-942500015</t>
  </si>
  <si>
    <t>94-942500020</t>
  </si>
  <si>
    <t>91-50432</t>
  </si>
  <si>
    <t>91-50454</t>
  </si>
  <si>
    <t>91-50391</t>
  </si>
  <si>
    <t>91-50429</t>
  </si>
  <si>
    <t>91-50419</t>
  </si>
  <si>
    <t>91-50393</t>
  </si>
  <si>
    <t>91-50418</t>
  </si>
  <si>
    <t>91-50394</t>
  </si>
  <si>
    <t>91-50450</t>
  </si>
  <si>
    <t>91-50453</t>
  </si>
  <si>
    <t>91-50422</t>
  </si>
  <si>
    <t>91-50392</t>
  </si>
  <si>
    <t>91-50451</t>
  </si>
  <si>
    <t>91-50430</t>
  </si>
  <si>
    <t>91-50431</t>
  </si>
  <si>
    <t>91-50395</t>
  </si>
  <si>
    <t>91-50420</t>
  </si>
  <si>
    <t>91-50421</t>
  </si>
  <si>
    <t>92-50622</t>
  </si>
  <si>
    <t>92-50609</t>
  </si>
  <si>
    <t>92-50612</t>
  </si>
  <si>
    <t>92-50611</t>
  </si>
  <si>
    <t>92-50613</t>
  </si>
  <si>
    <t>92-50646</t>
  </si>
  <si>
    <t>92-50688</t>
  </si>
  <si>
    <t>92-50676</t>
  </si>
  <si>
    <t>92-50659</t>
  </si>
  <si>
    <t>92-50658</t>
  </si>
  <si>
    <t>92-50607</t>
  </si>
  <si>
    <t>92-50608</t>
  </si>
  <si>
    <t>92-50675</t>
  </si>
  <si>
    <t>92-50674</t>
  </si>
  <si>
    <t>92-50677</t>
  </si>
  <si>
    <t>92-50563</t>
  </si>
  <si>
    <t>92-50604</t>
  </si>
  <si>
    <t>92-50606</t>
  </si>
  <si>
    <t>92-50605</t>
  </si>
  <si>
    <t>92-50610</t>
  </si>
  <si>
    <t>92-50711</t>
  </si>
  <si>
    <t>92-50621</t>
  </si>
  <si>
    <t>92-50730</t>
  </si>
  <si>
    <t>92-50746</t>
  </si>
  <si>
    <t>92-50769</t>
  </si>
  <si>
    <t>92-50770</t>
  </si>
  <si>
    <t>92-50745</t>
  </si>
  <si>
    <t>92-50614</t>
  </si>
  <si>
    <t>92-50615</t>
  </si>
  <si>
    <t>92-50564</t>
  </si>
  <si>
    <t>92-50569</t>
  </si>
  <si>
    <t>93-50013</t>
  </si>
  <si>
    <t>92-50809</t>
  </si>
  <si>
    <t>93-50012</t>
  </si>
  <si>
    <t>93-50011</t>
  </si>
  <si>
    <t>92-50789</t>
  </si>
  <si>
    <t>92-50616</t>
  </si>
  <si>
    <t>93-931500024</t>
  </si>
  <si>
    <t>93-931500066</t>
  </si>
  <si>
    <t>93-931500169</t>
  </si>
  <si>
    <t>93-931500166</t>
  </si>
  <si>
    <t>93-931500185</t>
  </si>
  <si>
    <t>93-931500073</t>
  </si>
  <si>
    <t>93-50078</t>
  </si>
  <si>
    <t>92-50810</t>
  </si>
  <si>
    <t>93-931500079</t>
  </si>
  <si>
    <t>93-931500219</t>
  </si>
  <si>
    <t>93-932500017</t>
  </si>
  <si>
    <t>92-50657</t>
  </si>
  <si>
    <t>93-931500234</t>
  </si>
  <si>
    <t>93-931500259</t>
  </si>
  <si>
    <t>93-931500238</t>
  </si>
  <si>
    <t>93-932500032</t>
  </si>
  <si>
    <t>93-932500033</t>
  </si>
  <si>
    <t>93-932500037</t>
  </si>
  <si>
    <t>93-932500034</t>
  </si>
  <si>
    <t>93-931500025</t>
  </si>
  <si>
    <t>93-931500220</t>
  </si>
  <si>
    <t>93-931500208</t>
  </si>
  <si>
    <t>93-931500184</t>
  </si>
  <si>
    <t>93-931500257</t>
  </si>
  <si>
    <t>93-931500256</t>
  </si>
  <si>
    <t>93-931500302</t>
  </si>
  <si>
    <t>93-931500289</t>
  </si>
  <si>
    <t>93-931500305</t>
  </si>
  <si>
    <t>93-931500307</t>
  </si>
  <si>
    <t>93-931500309</t>
  </si>
  <si>
    <t>93-931500385</t>
  </si>
  <si>
    <t>93-931500167</t>
  </si>
  <si>
    <t>93-932500036</t>
  </si>
  <si>
    <t>93-934200001</t>
  </si>
  <si>
    <t>93-931500168</t>
  </si>
  <si>
    <t>93-931500122</t>
  </si>
  <si>
    <t>93-50071</t>
  </si>
  <si>
    <t>93-931500183</t>
  </si>
  <si>
    <t>93-50103</t>
  </si>
  <si>
    <t>93-931500174</t>
  </si>
  <si>
    <t>93-931500223</t>
  </si>
  <si>
    <t>93-931500222</t>
  </si>
  <si>
    <t>93-931500047</t>
  </si>
  <si>
    <t>93-50073</t>
  </si>
  <si>
    <t>93-934200015</t>
  </si>
  <si>
    <t>93-934200024</t>
  </si>
  <si>
    <t>93-934200035</t>
  </si>
  <si>
    <t>93-934200025</t>
  </si>
  <si>
    <t>93-934200030</t>
  </si>
  <si>
    <t>93-934200029</t>
  </si>
  <si>
    <t>93-934200028</t>
  </si>
  <si>
    <t>93-932500079</t>
  </si>
  <si>
    <t>93-932500084</t>
  </si>
  <si>
    <t>93-934200022</t>
  </si>
  <si>
    <t>93-934200018</t>
  </si>
  <si>
    <t>93-934200048</t>
  </si>
  <si>
    <t>93-934200043</t>
  </si>
  <si>
    <t>93-934200044</t>
  </si>
  <si>
    <t>93-934200038</t>
  </si>
  <si>
    <t>93-934200039</t>
  </si>
  <si>
    <t>93-934200060</t>
  </si>
  <si>
    <t>93-934200061</t>
  </si>
  <si>
    <t>93-934200059</t>
  </si>
  <si>
    <t>94-944200011</t>
  </si>
  <si>
    <t>94-944200012</t>
  </si>
  <si>
    <t>93-932500088</t>
  </si>
  <si>
    <t>94-942500001</t>
  </si>
  <si>
    <t>94-942500003</t>
  </si>
  <si>
    <t>94-942500008</t>
  </si>
  <si>
    <t>94-942500019</t>
  </si>
  <si>
    <t>94-944200010</t>
  </si>
  <si>
    <t>93-934200051</t>
  </si>
  <si>
    <t>93-934200050</t>
  </si>
  <si>
    <t>93-934200053</t>
  </si>
  <si>
    <t>94-941500052</t>
  </si>
  <si>
    <t>94-941500029</t>
  </si>
  <si>
    <t>94-941500066</t>
  </si>
  <si>
    <t>94-941500051</t>
  </si>
  <si>
    <t>94-941500079</t>
  </si>
  <si>
    <t>94-941500031</t>
  </si>
  <si>
    <t>94-941500039</t>
  </si>
  <si>
    <t>94-941500041</t>
  </si>
  <si>
    <t>94-941500090</t>
  </si>
  <si>
    <t>94-941500050</t>
  </si>
  <si>
    <t>94-941500100</t>
  </si>
  <si>
    <t>94-941500038</t>
  </si>
  <si>
    <t>94-941500028</t>
  </si>
  <si>
    <t>94-941500063</t>
  </si>
  <si>
    <t>94-941500080</t>
  </si>
  <si>
    <t>94-941500131</t>
  </si>
  <si>
    <t>94-941500142</t>
  </si>
  <si>
    <t>94-941500099</t>
  </si>
  <si>
    <t>94-941500098</t>
  </si>
  <si>
    <t>94-941500040</t>
  </si>
  <si>
    <t>94-941500065</t>
  </si>
  <si>
    <t>94-941500121</t>
  </si>
  <si>
    <t>94-941500112</t>
  </si>
  <si>
    <t>94-941500117</t>
  </si>
  <si>
    <t>94-941500198</t>
  </si>
  <si>
    <t>94-941500101</t>
  </si>
  <si>
    <t>94-941500075</t>
  </si>
  <si>
    <t>94-941500074</t>
  </si>
  <si>
    <t>94-941500115</t>
  </si>
  <si>
    <t>94-941500059</t>
  </si>
  <si>
    <t>94-941500030</t>
  </si>
  <si>
    <t>94-941500111</t>
  </si>
  <si>
    <t>94-941500262</t>
  </si>
  <si>
    <t>94-941500053</t>
  </si>
  <si>
    <t>94-941500144</t>
  </si>
  <si>
    <t>94-941500118</t>
  </si>
  <si>
    <t>94-941500145</t>
  </si>
  <si>
    <t>94-941500159</t>
  </si>
  <si>
    <t>94-941500200</t>
  </si>
  <si>
    <t>94-941500143</t>
  </si>
  <si>
    <t>94-941500158</t>
  </si>
  <si>
    <t>94-941500116</t>
  </si>
  <si>
    <t>94-941500213</t>
  </si>
  <si>
    <t>94-941500054</t>
  </si>
  <si>
    <t>94-941500153</t>
  </si>
  <si>
    <t>94-941500154</t>
  </si>
  <si>
    <t>94-941500212</t>
  </si>
  <si>
    <t>94-941500146</t>
  </si>
  <si>
    <t>94-941500263</t>
  </si>
  <si>
    <t>94-941500221</t>
  </si>
  <si>
    <t>94-941500285</t>
  </si>
  <si>
    <t>94-941500260</t>
  </si>
  <si>
    <t>94-941500064</t>
  </si>
  <si>
    <t>94-941500191</t>
  </si>
  <si>
    <t>94-941500214</t>
  </si>
  <si>
    <t>94-941500222</t>
  </si>
  <si>
    <t>94-941500147</t>
  </si>
  <si>
    <t>94-941500240</t>
  </si>
  <si>
    <t>94-941500085</t>
  </si>
  <si>
    <t>94-941500216</t>
  </si>
  <si>
    <t>94-941500226</t>
  </si>
  <si>
    <t>94-941500233</t>
  </si>
  <si>
    <t>94-941500234</t>
  </si>
  <si>
    <t>94-941500235</t>
  </si>
  <si>
    <t>94-941500287</t>
  </si>
  <si>
    <t>94-941500265</t>
  </si>
  <si>
    <t>94-941500232</t>
  </si>
  <si>
    <t>94-941500189</t>
  </si>
  <si>
    <t>94-941500294</t>
  </si>
  <si>
    <t>94-941500199</t>
  </si>
  <si>
    <t>94-941500261</t>
  </si>
  <si>
    <t>94-941500092</t>
  </si>
  <si>
    <t>94-941500152</t>
  </si>
  <si>
    <t>94-941500231</t>
  </si>
  <si>
    <t>94-941500151</t>
  </si>
  <si>
    <t>94-941500247</t>
  </si>
  <si>
    <t>94-941500269</t>
  </si>
  <si>
    <t>94-941500249</t>
  </si>
  <si>
    <t>94-941500225</t>
  </si>
  <si>
    <t>94-941500218</t>
  </si>
  <si>
    <t>94-941500224</t>
  </si>
  <si>
    <t>94-941500236</t>
  </si>
  <si>
    <t>94-941500237</t>
  </si>
  <si>
    <t>94-941500290</t>
  </si>
  <si>
    <t>94-941500238</t>
  </si>
  <si>
    <t>94-941500241</t>
  </si>
  <si>
    <t>94-941500248</t>
  </si>
  <si>
    <t>94-941500250</t>
  </si>
  <si>
    <t>94-941500275</t>
  </si>
  <si>
    <t>94-941500251</t>
  </si>
  <si>
    <t>94-941500266</t>
  </si>
  <si>
    <t>94-941500252</t>
  </si>
  <si>
    <t>94-941500255</t>
  </si>
  <si>
    <t>94-941500288</t>
  </si>
  <si>
    <t>94-941500253</t>
  </si>
  <si>
    <t>94-941500264</t>
  </si>
  <si>
    <t>94-941500274</t>
  </si>
  <si>
    <t>94-941500267</t>
  </si>
  <si>
    <t>94-941500256</t>
  </si>
  <si>
    <t>94-941500279</t>
  </si>
  <si>
    <t>94-941500160</t>
  </si>
  <si>
    <t>94-941500174</t>
  </si>
  <si>
    <t>94-941500270</t>
  </si>
  <si>
    <t>94-941500271</t>
  </si>
  <si>
    <t>94-941500292</t>
  </si>
  <si>
    <t>94-941500272</t>
  </si>
  <si>
    <t>94-941500300</t>
  </si>
  <si>
    <t>94-941500309</t>
  </si>
  <si>
    <t>94-941500307</t>
  </si>
  <si>
    <t>94-941500308</t>
  </si>
  <si>
    <t>94-941500273</t>
  </si>
  <si>
    <t>94-941500278</t>
  </si>
  <si>
    <t>94-941500304</t>
  </si>
  <si>
    <t>94-941500284</t>
  </si>
  <si>
    <t>94-941500281</t>
  </si>
  <si>
    <t>94-941500286</t>
  </si>
  <si>
    <t>94-941500299</t>
  </si>
  <si>
    <t>94-941500289</t>
  </si>
  <si>
    <t>94-941500192</t>
  </si>
  <si>
    <t>94-941500291</t>
  </si>
  <si>
    <t>94-941500254</t>
  </si>
  <si>
    <t>94-941500276</t>
  </si>
  <si>
    <t>94-941500201</t>
  </si>
  <si>
    <t>94-941500193</t>
  </si>
  <si>
    <t>94-941500305</t>
  </si>
  <si>
    <t>94-941500298</t>
  </si>
  <si>
    <t>94-941500301</t>
  </si>
  <si>
    <t>94-941500175</t>
  </si>
  <si>
    <t>94-941500268</t>
  </si>
  <si>
    <t>94-941500306</t>
  </si>
  <si>
    <t>94-941500349</t>
  </si>
  <si>
    <t>94-941500005</t>
  </si>
  <si>
    <t>92-50791</t>
  </si>
  <si>
    <t>92-50792</t>
  </si>
  <si>
    <t>93-931500188</t>
  </si>
  <si>
    <t>94-944200008</t>
  </si>
  <si>
    <t>94-944200006</t>
  </si>
  <si>
    <t>94-944200005</t>
  </si>
  <si>
    <t>94-944200014</t>
  </si>
  <si>
    <t>94-944200013</t>
  </si>
  <si>
    <t>94-944200007</t>
  </si>
  <si>
    <t>94-944200015</t>
  </si>
  <si>
    <t>94-944200009</t>
  </si>
  <si>
    <t>94-944200017</t>
  </si>
  <si>
    <t>93-931501005</t>
  </si>
  <si>
    <t>94-941500058</t>
  </si>
  <si>
    <t>93-931501024</t>
  </si>
  <si>
    <t>93-931501030</t>
  </si>
  <si>
    <t>94-941500178</t>
  </si>
  <si>
    <t>94-941500206</t>
  </si>
  <si>
    <t>94-944200018</t>
  </si>
  <si>
    <t>94-944200020</t>
  </si>
  <si>
    <t>93-931500918</t>
  </si>
  <si>
    <t>93-934100017</t>
  </si>
  <si>
    <t>93-934100014</t>
  </si>
  <si>
    <t>93-931500947</t>
  </si>
  <si>
    <t>93-934100016</t>
  </si>
  <si>
    <t>94-944200003</t>
  </si>
  <si>
    <t>94-944200004</t>
  </si>
  <si>
    <t>94-944100001</t>
  </si>
  <si>
    <t>94-944100003</t>
  </si>
  <si>
    <t>94-944100002</t>
  </si>
  <si>
    <t>93-934100019</t>
  </si>
  <si>
    <t>94-944200002</t>
  </si>
  <si>
    <t>94-941500223</t>
  </si>
  <si>
    <t>94-941500077</t>
  </si>
  <si>
    <t>93-931501006</t>
  </si>
  <si>
    <t>93-931500979</t>
  </si>
  <si>
    <t>94-944200001</t>
  </si>
  <si>
    <t>94-941500135</t>
  </si>
  <si>
    <t>93-931501016</t>
  </si>
  <si>
    <t>93-931500936</t>
  </si>
  <si>
    <t>93-931500909</t>
  </si>
  <si>
    <t>93-931500896</t>
  </si>
  <si>
    <t>93-932500077</t>
  </si>
  <si>
    <t>93-932500075</t>
  </si>
  <si>
    <t>93-931500986</t>
  </si>
  <si>
    <t>93-931500937</t>
  </si>
  <si>
    <t>94-941500327</t>
  </si>
  <si>
    <t>94-944200022</t>
  </si>
  <si>
    <t>94-941500322</t>
  </si>
  <si>
    <t>94-941500003</t>
  </si>
  <si>
    <t>94-941500211</t>
  </si>
  <si>
    <t>94-941500325</t>
  </si>
  <si>
    <t>94-944200021</t>
  </si>
  <si>
    <t>94-944200028</t>
  </si>
  <si>
    <t>94-941500331</t>
  </si>
  <si>
    <t>94-941500420</t>
  </si>
  <si>
    <t>94-941500439</t>
  </si>
  <si>
    <t>94-941500443</t>
  </si>
  <si>
    <t>94-941500418</t>
  </si>
  <si>
    <t>94-941500442</t>
  </si>
  <si>
    <t>94-941500438</t>
  </si>
  <si>
    <t>94-941500431</t>
  </si>
  <si>
    <t>94-941500423</t>
  </si>
  <si>
    <t>94-941500432</t>
  </si>
  <si>
    <t>94-941500417</t>
  </si>
  <si>
    <t>94-941500426</t>
  </si>
  <si>
    <t>94-941500428</t>
  </si>
  <si>
    <t>94-941500436</t>
  </si>
  <si>
    <t>94-941500437</t>
  </si>
  <si>
    <t>94-941500451</t>
  </si>
  <si>
    <t>94-941500474</t>
  </si>
  <si>
    <t>94-941500450</t>
  </si>
  <si>
    <t>94-941500526</t>
  </si>
  <si>
    <t>94-941500525</t>
  </si>
  <si>
    <t>94-941500502</t>
  </si>
  <si>
    <t>94-941500527</t>
  </si>
  <si>
    <t>94-941500470</t>
  </si>
  <si>
    <t>94-941500464</t>
  </si>
  <si>
    <t>94-941500455</t>
  </si>
  <si>
    <t>94-941500458</t>
  </si>
  <si>
    <t>94-941500427</t>
  </si>
  <si>
    <t>94-941500454</t>
  </si>
  <si>
    <t>94-941500459</t>
  </si>
  <si>
    <t>94-941500476</t>
  </si>
  <si>
    <t>94-941500463</t>
  </si>
  <si>
    <t>94-941500465</t>
  </si>
  <si>
    <t>94-941500487</t>
  </si>
  <si>
    <t>94-941500501</t>
  </si>
  <si>
    <t>94-941500478</t>
  </si>
  <si>
    <t>94-941500488</t>
  </si>
  <si>
    <t>94-941500520</t>
  </si>
  <si>
    <t>94-941500518</t>
  </si>
  <si>
    <t>94-941500519</t>
  </si>
  <si>
    <t>94-941500511</t>
  </si>
  <si>
    <t>94-941500508</t>
  </si>
  <si>
    <t>94-941500516</t>
  </si>
  <si>
    <t>94-941500517</t>
  </si>
  <si>
    <t>94-941500534</t>
  </si>
  <si>
    <t>94-941500536</t>
  </si>
  <si>
    <t>94-941500475</t>
  </si>
  <si>
    <t>94-941500449</t>
  </si>
  <si>
    <t>94-941500479</t>
  </si>
  <si>
    <t>94-941500472</t>
  </si>
  <si>
    <t>94-941500473</t>
  </si>
  <si>
    <t>94-941500503</t>
  </si>
  <si>
    <t>94-941500504</t>
  </si>
  <si>
    <t>94-941500510</t>
  </si>
  <si>
    <t>94-941500515</t>
  </si>
  <si>
    <t>94-941500535</t>
  </si>
  <si>
    <t>94-944200071</t>
  </si>
  <si>
    <t>94-941500537</t>
  </si>
  <si>
    <t>94-941500550</t>
  </si>
  <si>
    <t>94-941500538</t>
  </si>
  <si>
    <t>94-941500625</t>
  </si>
  <si>
    <t>94-941500467</t>
  </si>
  <si>
    <t>94-941500446</t>
  </si>
  <si>
    <t>94-941500615</t>
  </si>
  <si>
    <t>94-941500616</t>
  </si>
  <si>
    <t>94-941500617</t>
  </si>
  <si>
    <t>94-944200072</t>
  </si>
  <si>
    <t>94-944200080</t>
  </si>
  <si>
    <t>94-941500743</t>
  </si>
  <si>
    <t>94-941500736</t>
  </si>
  <si>
    <t>94-941500749</t>
  </si>
  <si>
    <t>94-941500750</t>
  </si>
  <si>
    <t>94-941500626</t>
  </si>
  <si>
    <t>94-941500726</t>
  </si>
  <si>
    <t>94-941500711</t>
  </si>
  <si>
    <t>94-942500095</t>
  </si>
  <si>
    <t>94-941500668</t>
  </si>
  <si>
    <t>94-941500667</t>
  </si>
  <si>
    <t>94-941500614</t>
  </si>
  <si>
    <t>94-941500682</t>
  </si>
  <si>
    <t>94-942500093</t>
  </si>
  <si>
    <t>94-941500708</t>
  </si>
  <si>
    <t>94-941500789</t>
  </si>
  <si>
    <t>94-941500766</t>
  </si>
  <si>
    <t>94-941500822</t>
  </si>
  <si>
    <t>94-941500767</t>
  </si>
  <si>
    <t>94-941500737</t>
  </si>
  <si>
    <t>94-941500733</t>
  </si>
  <si>
    <t>94-941500732</t>
  </si>
  <si>
    <t>94-941500723</t>
  </si>
  <si>
    <t>94-941500738</t>
  </si>
  <si>
    <t>94-941500724</t>
  </si>
  <si>
    <t>94-941500814</t>
  </si>
  <si>
    <t>94-941500731</t>
  </si>
  <si>
    <t>94-941500748</t>
  </si>
  <si>
    <t>94-941500803</t>
  </si>
  <si>
    <t>94-941500802</t>
  </si>
  <si>
    <t>94-941500769</t>
  </si>
  <si>
    <t>94-941500768</t>
  </si>
  <si>
    <t>94-941500744</t>
  </si>
  <si>
    <t>94-941500742</t>
  </si>
  <si>
    <t>94-942500029</t>
  </si>
  <si>
    <t>94-941500335</t>
  </si>
  <si>
    <t>94-942500026</t>
  </si>
  <si>
    <t>94-944200040</t>
  </si>
  <si>
    <t>94-944200039</t>
  </si>
  <si>
    <t>94-944200038</t>
  </si>
  <si>
    <t>94-941500375</t>
  </si>
  <si>
    <t>94-944100016</t>
  </si>
  <si>
    <t>94-944100017</t>
  </si>
  <si>
    <t>94-941500403</t>
  </si>
  <si>
    <t>94-942500050</t>
  </si>
  <si>
    <t>94-941500396</t>
  </si>
  <si>
    <t>94-941500613</t>
  </si>
  <si>
    <t>94-944100013</t>
  </si>
  <si>
    <t>94-944100011</t>
  </si>
  <si>
    <t>94-944100014</t>
  </si>
  <si>
    <t>94-944100012</t>
  </si>
  <si>
    <t>94-944100015</t>
  </si>
  <si>
    <t>94-944100018</t>
  </si>
  <si>
    <t>94-944100019</t>
  </si>
  <si>
    <t>94-941500413</t>
  </si>
  <si>
    <t>94-941500411</t>
  </si>
  <si>
    <t>94-941500421</t>
  </si>
  <si>
    <t>94-944100021</t>
  </si>
  <si>
    <t>94-941500415</t>
  </si>
  <si>
    <t>94-942500055</t>
  </si>
  <si>
    <t>94-944100020</t>
  </si>
  <si>
    <t>94-942500054</t>
  </si>
  <si>
    <t>94-941500425</t>
  </si>
  <si>
    <t>94-941500419</t>
  </si>
  <si>
    <t>94-941500424</t>
  </si>
  <si>
    <t>94-941500430</t>
  </si>
  <si>
    <t>94-944200054</t>
  </si>
  <si>
    <t>94-941500441</t>
  </si>
  <si>
    <t>94-941500452</t>
  </si>
  <si>
    <t>94-941500453</t>
  </si>
  <si>
    <t>94-941500414</t>
  </si>
  <si>
    <t>94-942500053</t>
  </si>
  <si>
    <t>94-941500416</t>
  </si>
  <si>
    <t>94-941500434</t>
  </si>
  <si>
    <t>94-941500457</t>
  </si>
  <si>
    <t>94-941500471</t>
  </si>
  <si>
    <t>94-941500489</t>
  </si>
  <si>
    <t>94-941500493</t>
  </si>
  <si>
    <t>94-942500066</t>
  </si>
  <si>
    <t>94-941500553</t>
  </si>
  <si>
    <t>94-941500573</t>
  </si>
  <si>
    <t>94-941500552</t>
  </si>
  <si>
    <t>94-941500507</t>
  </si>
  <si>
    <t>94-941500433</t>
  </si>
  <si>
    <t>94-941500547</t>
  </si>
  <si>
    <t>94-941500551</t>
  </si>
  <si>
    <t>94-941500560</t>
  </si>
  <si>
    <t>94-941500494</t>
  </si>
  <si>
    <t>94-941500557</t>
  </si>
  <si>
    <t>94-941500570</t>
  </si>
  <si>
    <t>94-941500578</t>
  </si>
  <si>
    <t>94-942500072</t>
  </si>
  <si>
    <t>94-941500581</t>
  </si>
  <si>
    <t>94-942500056</t>
  </si>
  <si>
    <t>94-942500057</t>
  </si>
  <si>
    <t>94-941500444</t>
  </si>
  <si>
    <t>94-941500435</t>
  </si>
  <si>
    <t>94-941500445</t>
  </si>
  <si>
    <t>94-941500447</t>
  </si>
  <si>
    <t>94-941500448</t>
  </si>
  <si>
    <t>94-941500460</t>
  </si>
  <si>
    <t>94-941500461</t>
  </si>
  <si>
    <t>94-941500462</t>
  </si>
  <si>
    <t>94-941500429</t>
  </si>
  <si>
    <t>94-941500468</t>
  </si>
  <si>
    <t>94-941500469</t>
  </si>
  <si>
    <t>94-941500466</t>
  </si>
  <si>
    <t>94-944100022</t>
  </si>
  <si>
    <t>94-944200058</t>
  </si>
  <si>
    <t>94-941500540</t>
  </si>
  <si>
    <t>94-941500539</t>
  </si>
  <si>
    <t>94-941500545</t>
  </si>
  <si>
    <t>94-941500523</t>
  </si>
  <si>
    <t>94-941500514</t>
  </si>
  <si>
    <t>94-941500532</t>
  </si>
  <si>
    <t>94-941500556</t>
  </si>
  <si>
    <t>94-941500564</t>
  </si>
  <si>
    <t>94-941500543</t>
  </si>
  <si>
    <t>94-941500582</t>
  </si>
  <si>
    <t>94-944100024</t>
  </si>
  <si>
    <t>94-941500531</t>
  </si>
  <si>
    <t>94-941500422</t>
  </si>
  <si>
    <t>94-941500477</t>
  </si>
  <si>
    <t>94-941500512</t>
  </si>
  <si>
    <t>94-941500513</t>
  </si>
  <si>
    <t>94-942500064</t>
  </si>
  <si>
    <t>94-941500548</t>
  </si>
  <si>
    <t>94-944200059</t>
  </si>
  <si>
    <t>94-944200060</t>
  </si>
  <si>
    <t>94-944200062</t>
  </si>
  <si>
    <t>94-944200065</t>
  </si>
  <si>
    <t>94-944200070</t>
  </si>
  <si>
    <t>94-944200073</t>
  </si>
  <si>
    <t>94-944200082</t>
  </si>
  <si>
    <t>94-944200087</t>
  </si>
  <si>
    <t>94-944200098</t>
  </si>
  <si>
    <t>94-944100023</t>
  </si>
  <si>
    <t>94-941500440</t>
  </si>
  <si>
    <t>94-941500549</t>
  </si>
  <si>
    <t>94-941500542</t>
  </si>
  <si>
    <t>94-942500069</t>
  </si>
  <si>
    <t>94-942500075</t>
  </si>
  <si>
    <t>94-941500577</t>
  </si>
  <si>
    <t>94-941500574</t>
  </si>
  <si>
    <t>94-942500076</t>
  </si>
  <si>
    <t>94-942500077</t>
  </si>
  <si>
    <t>94-942500078</t>
  </si>
  <si>
    <t>94-942500082</t>
  </si>
  <si>
    <t>94-941500584</t>
  </si>
  <si>
    <t>94-942500079</t>
  </si>
  <si>
    <t>94-942500080</t>
  </si>
  <si>
    <t>94-944200095</t>
  </si>
  <si>
    <t>94-944200094</t>
  </si>
  <si>
    <t>94-941500567</t>
  </si>
  <si>
    <t>94-941500568</t>
  </si>
  <si>
    <t>94-941500575</t>
  </si>
  <si>
    <t>94-941500563</t>
  </si>
  <si>
    <t>94-942500088</t>
  </si>
  <si>
    <t>94-941500585</t>
  </si>
  <si>
    <t>94-942500086</t>
  </si>
  <si>
    <t>94-942500087</t>
  </si>
  <si>
    <t>94-941500591</t>
  </si>
  <si>
    <t>94-941500456</t>
  </si>
  <si>
    <t>94-941500546</t>
  </si>
  <si>
    <t>94-941500562</t>
  </si>
  <si>
    <t>94-942500081</t>
  </si>
  <si>
    <t>94-942500084</t>
  </si>
  <si>
    <t>94-941500596</t>
  </si>
  <si>
    <t>94-941500592</t>
  </si>
  <si>
    <t>94-941500595</t>
  </si>
  <si>
    <t>94-944100026</t>
  </si>
  <si>
    <t>94-944100025</t>
  </si>
  <si>
    <t>94-941500648</t>
  </si>
  <si>
    <t>94-942500097</t>
  </si>
  <si>
    <t>94-941500558</t>
  </si>
  <si>
    <t>94-941500559</t>
  </si>
  <si>
    <t>94-941500566</t>
  </si>
  <si>
    <t>94-941500634</t>
  </si>
  <si>
    <t>94-941500623</t>
  </si>
  <si>
    <t>94-941500659</t>
  </si>
  <si>
    <t>94-941500587</t>
  </si>
  <si>
    <t>94-941500638</t>
  </si>
  <si>
    <t>94-941500597</t>
  </si>
  <si>
    <t>94-941500593</t>
  </si>
  <si>
    <t>94-941500627</t>
  </si>
  <si>
    <t>94-941500618</t>
  </si>
  <si>
    <t>94-942500096</t>
  </si>
  <si>
    <t>94-942500090</t>
  </si>
  <si>
    <t>94-942500085</t>
  </si>
  <si>
    <t>94-941500590</t>
  </si>
  <si>
    <t>94-941500603</t>
  </si>
  <si>
    <t>94-941500588</t>
  </si>
  <si>
    <t>94-941500586</t>
  </si>
  <si>
    <t>94-942500098</t>
  </si>
  <si>
    <t>94-944100029</t>
  </si>
  <si>
    <t>94-944100027</t>
  </si>
  <si>
    <t>94-941500669</t>
  </si>
  <si>
    <t>94-944100028</t>
  </si>
  <si>
    <t>94-941500777</t>
  </si>
  <si>
    <t>94-941500686</t>
  </si>
  <si>
    <t>94-941500685</t>
  </si>
  <si>
    <t>94-941500720</t>
  </si>
  <si>
    <t>94-941500719</t>
  </si>
  <si>
    <t>94-941500707</t>
  </si>
  <si>
    <t>94-941500709</t>
  </si>
  <si>
    <t>94-942500102</t>
  </si>
  <si>
    <t>94-941500692</t>
  </si>
  <si>
    <t>94-942500101</t>
  </si>
  <si>
    <t>94-942500105</t>
  </si>
  <si>
    <t>94-941500687</t>
  </si>
  <si>
    <t>94-941500684</t>
  </si>
  <si>
    <t>94-941500693</t>
  </si>
  <si>
    <t>94-942500092</t>
  </si>
  <si>
    <t>94-941500683</t>
  </si>
  <si>
    <t>94-942500099</t>
  </si>
  <si>
    <t>94-941500541</t>
  </si>
  <si>
    <t>94-942500062</t>
  </si>
  <si>
    <t>94-942500063</t>
  </si>
  <si>
    <t>94-941500670</t>
  </si>
  <si>
    <t>94-941500639</t>
  </si>
  <si>
    <t>94-944100030</t>
  </si>
  <si>
    <t>94-941500787</t>
  </si>
  <si>
    <t>94-942500108</t>
  </si>
  <si>
    <t>94-941500800</t>
  </si>
  <si>
    <t>94-942500109</t>
  </si>
  <si>
    <t>94-941500763</t>
  </si>
  <si>
    <t>94-942500111</t>
  </si>
  <si>
    <t>94-941500779</t>
  </si>
  <si>
    <t>94-941500786</t>
  </si>
  <si>
    <t>94-942500106</t>
  </si>
  <si>
    <t>94-942500104</t>
  </si>
  <si>
    <t>94-941500756</t>
  </si>
  <si>
    <t>94-941500761</t>
  </si>
  <si>
    <t>94-941500825</t>
  </si>
  <si>
    <t>94-941500755</t>
  </si>
  <si>
    <t>94-942500107</t>
  </si>
  <si>
    <t>94-941500770</t>
  </si>
  <si>
    <t>94-941500760</t>
  </si>
  <si>
    <t>94-941500826</t>
  </si>
  <si>
    <t>94-941500764</t>
  </si>
  <si>
    <t>94-941500765</t>
  </si>
  <si>
    <t>94-944100031</t>
  </si>
  <si>
    <t>94-941500762</t>
  </si>
  <si>
    <t>94-941500776</t>
  </si>
  <si>
    <t>94-941500794</t>
  </si>
  <si>
    <t>94-941500589</t>
  </si>
  <si>
    <t>94-942500110</t>
  </si>
  <si>
    <t>94-941500734</t>
  </si>
  <si>
    <t>94-941500565</t>
  </si>
  <si>
    <t>94-941500833</t>
  </si>
  <si>
    <t>94-941500801</t>
  </si>
  <si>
    <t>94-942500112</t>
  </si>
  <si>
    <t>94-942500113</t>
  </si>
  <si>
    <t>94-941500735</t>
  </si>
  <si>
    <t>94-941500747</t>
  </si>
  <si>
    <t>94-941500594</t>
  </si>
  <si>
    <t>94/11/28</t>
  </si>
  <si>
    <t>94/12/17</t>
  </si>
  <si>
    <t>94/12/19</t>
  </si>
  <si>
    <t>94-941500280</t>
  </si>
  <si>
    <t>94-941500227</t>
  </si>
  <si>
    <t>94-941500296</t>
  </si>
  <si>
    <t>94-941500239</t>
  </si>
  <si>
    <t>94-941500295</t>
  </si>
  <si>
    <t>94-941500297</t>
  </si>
  <si>
    <t>94-941500293</t>
  </si>
  <si>
    <t>تسویه</t>
  </si>
  <si>
    <t>1396511640001</t>
  </si>
  <si>
    <t>1396514467</t>
  </si>
  <si>
    <t>1396514733</t>
  </si>
  <si>
    <t>1396513213001</t>
  </si>
  <si>
    <t>1396515743</t>
  </si>
  <si>
    <t>1396511620</t>
  </si>
  <si>
    <t>1396512827001</t>
  </si>
  <si>
    <t>1396514771001</t>
  </si>
  <si>
    <t>1396516997</t>
  </si>
  <si>
    <t>1396507045</t>
  </si>
  <si>
    <t>1396513011001</t>
  </si>
  <si>
    <t>1395466057</t>
  </si>
  <si>
    <t>96-964100058</t>
  </si>
  <si>
    <t>1396513284001</t>
  </si>
  <si>
    <t>1396506170001</t>
  </si>
  <si>
    <t>1395431924001</t>
  </si>
  <si>
    <t>1395460251</t>
  </si>
  <si>
    <t>1396511133</t>
  </si>
  <si>
    <t>1396515919</t>
  </si>
  <si>
    <t>1396516803</t>
  </si>
  <si>
    <t>1394395846001</t>
  </si>
  <si>
    <t>1395431913</t>
  </si>
  <si>
    <t>1395423466</t>
  </si>
  <si>
    <t>1395447677</t>
  </si>
  <si>
    <t>1396515519</t>
  </si>
  <si>
    <t>1396517236</t>
  </si>
  <si>
    <t>1395447619</t>
  </si>
  <si>
    <t>1396506114001</t>
  </si>
  <si>
    <t>1396516801</t>
  </si>
  <si>
    <t>1395433847</t>
  </si>
  <si>
    <t>1396501690</t>
  </si>
  <si>
    <t>1395433634</t>
  </si>
  <si>
    <t>96-964100060</t>
  </si>
  <si>
    <t>1396510928001</t>
  </si>
  <si>
    <t>1396507042001</t>
  </si>
  <si>
    <t>ندارد</t>
  </si>
  <si>
    <t>1396506334</t>
  </si>
  <si>
    <t>1396515918</t>
  </si>
  <si>
    <t>1395447613</t>
  </si>
  <si>
    <t>1395456363</t>
  </si>
  <si>
    <t>1395459319001</t>
  </si>
  <si>
    <t>1395430319</t>
  </si>
  <si>
    <t>1395433834</t>
  </si>
  <si>
    <t>1396517392</t>
  </si>
  <si>
    <t>1396502558</t>
  </si>
  <si>
    <t>1396502538</t>
  </si>
  <si>
    <t>1396502840</t>
  </si>
  <si>
    <t>1396506145</t>
  </si>
  <si>
    <t>1396506626</t>
  </si>
  <si>
    <t>1396517387</t>
  </si>
  <si>
    <t>1395457936</t>
  </si>
  <si>
    <t>1395457935</t>
  </si>
  <si>
    <t>1396517390</t>
  </si>
  <si>
    <t>1395456109</t>
  </si>
  <si>
    <t>1395435603</t>
  </si>
  <si>
    <t>1396517394</t>
  </si>
  <si>
    <t>1396515522</t>
  </si>
  <si>
    <t>1395421523</t>
  </si>
  <si>
    <t>1396504874</t>
  </si>
  <si>
    <t>1396517393</t>
  </si>
  <si>
    <t>1396516999</t>
  </si>
  <si>
    <t>1395399147001</t>
  </si>
  <si>
    <t>1396491874001</t>
  </si>
  <si>
    <t>1395400302001</t>
  </si>
  <si>
    <t>1396506115001</t>
  </si>
  <si>
    <t>1395446289</t>
  </si>
  <si>
    <t>1395433636</t>
  </si>
  <si>
    <t>1396508160</t>
  </si>
  <si>
    <t>1395423492</t>
  </si>
  <si>
    <t>1395435600</t>
  </si>
  <si>
    <t>1396517389</t>
  </si>
  <si>
    <t>1396481168001</t>
  </si>
  <si>
    <t>1396515947</t>
  </si>
  <si>
    <t>1395433633</t>
  </si>
  <si>
    <t>1395433846</t>
  </si>
  <si>
    <t>1395414111</t>
  </si>
  <si>
    <t>1395436742</t>
  </si>
  <si>
    <t>1395451389</t>
  </si>
  <si>
    <t>1396516806</t>
  </si>
  <si>
    <t>1395449861</t>
  </si>
  <si>
    <t>1396514738</t>
  </si>
  <si>
    <t>1395421996</t>
  </si>
  <si>
    <t>1396516181</t>
  </si>
  <si>
    <t>1395412283</t>
  </si>
  <si>
    <t>1396516998</t>
  </si>
  <si>
    <t>1395416200</t>
  </si>
  <si>
    <t>1395451390</t>
  </si>
  <si>
    <t>1395454586</t>
  </si>
  <si>
    <t>1396517391</t>
  </si>
  <si>
    <t>1396511134</t>
  </si>
  <si>
    <t>1395456603</t>
  </si>
  <si>
    <t>1395456364</t>
  </si>
  <si>
    <t>1396474838</t>
  </si>
  <si>
    <t>1395428995</t>
  </si>
  <si>
    <t>1395433639</t>
  </si>
  <si>
    <t>1395419175</t>
  </si>
  <si>
    <t>1395447611</t>
  </si>
  <si>
    <t>1396514775</t>
  </si>
  <si>
    <t>1396517235</t>
  </si>
  <si>
    <t>1396515926</t>
  </si>
  <si>
    <t>1396511591001</t>
  </si>
  <si>
    <t>1396515916</t>
  </si>
  <si>
    <t>1396515917</t>
  </si>
  <si>
    <t>1396508159</t>
  </si>
  <si>
    <t>1396517386</t>
  </si>
  <si>
    <t>1396517237</t>
  </si>
  <si>
    <t>1396504863</t>
  </si>
  <si>
    <t>1395463390001</t>
  </si>
  <si>
    <t>1395423456</t>
  </si>
  <si>
    <t>ش. ك 251</t>
  </si>
  <si>
    <t>1395414103</t>
  </si>
  <si>
    <t>1394391519</t>
  </si>
  <si>
    <t>1396516804</t>
  </si>
  <si>
    <t>1396506152</t>
  </si>
  <si>
    <t>1396512882</t>
  </si>
  <si>
    <t>1395447927001</t>
  </si>
  <si>
    <t>1394394042001</t>
  </si>
  <si>
    <t>1396483576001</t>
  </si>
  <si>
    <t>1396474048001</t>
  </si>
  <si>
    <t>1396479478001</t>
  </si>
  <si>
    <t>1396502696001</t>
  </si>
  <si>
    <t>1394376250001</t>
  </si>
  <si>
    <t>1396502500001</t>
  </si>
  <si>
    <t>1396511593001</t>
  </si>
  <si>
    <t>1395438611001</t>
  </si>
  <si>
    <t>1395463389001</t>
  </si>
  <si>
    <t>1396502986001</t>
  </si>
  <si>
    <t>96-961500449</t>
  </si>
  <si>
    <t>1395467472001</t>
  </si>
  <si>
    <t>96-961500460</t>
  </si>
  <si>
    <t>1396511684001</t>
  </si>
  <si>
    <t>1396508185001</t>
  </si>
  <si>
    <t>1395449245001</t>
  </si>
  <si>
    <t>1396505485001</t>
  </si>
  <si>
    <t>96-961500335</t>
  </si>
  <si>
    <t>96-961500426</t>
  </si>
  <si>
    <t>1395449244001</t>
  </si>
  <si>
    <t>1395444872</t>
  </si>
  <si>
    <t>96-961500436</t>
  </si>
  <si>
    <t>96-961500444</t>
  </si>
  <si>
    <t>1395441457001</t>
  </si>
  <si>
    <t>96-961500434</t>
  </si>
  <si>
    <t>1396516771001</t>
  </si>
  <si>
    <t>96-961500362</t>
  </si>
  <si>
    <t>1396506113001</t>
  </si>
  <si>
    <t>96-961500387</t>
  </si>
  <si>
    <t>96-961500451</t>
  </si>
  <si>
    <t>1396502971001</t>
  </si>
  <si>
    <t>1395438648001</t>
  </si>
  <si>
    <t>1395435657001</t>
  </si>
  <si>
    <t>96-961500428</t>
  </si>
  <si>
    <t>1396510929001</t>
  </si>
  <si>
    <t>1396508184001</t>
  </si>
  <si>
    <t>96-961500399</t>
  </si>
  <si>
    <t>1396500343001</t>
  </si>
  <si>
    <t>96-961500418</t>
  </si>
  <si>
    <t>1395404450</t>
  </si>
  <si>
    <t>1395457937</t>
  </si>
  <si>
    <t>1395470894</t>
  </si>
  <si>
    <t>1396482232</t>
  </si>
  <si>
    <t>1396511595001</t>
  </si>
  <si>
    <t>1395452680001</t>
  </si>
  <si>
    <t>1396513207001</t>
  </si>
  <si>
    <t>1395434881</t>
  </si>
  <si>
    <t>96-961500376</t>
  </si>
  <si>
    <t>1396516972001</t>
  </si>
  <si>
    <t>1395449899001</t>
  </si>
  <si>
    <t>1395427143</t>
  </si>
  <si>
    <t>96-961500433</t>
  </si>
  <si>
    <t>1395447768</t>
  </si>
  <si>
    <t>1395399732</t>
  </si>
  <si>
    <t>1395399110</t>
  </si>
  <si>
    <t>1395403181</t>
  </si>
  <si>
    <t>1395467357</t>
  </si>
  <si>
    <t>1395449859</t>
  </si>
  <si>
    <t>1396492346</t>
  </si>
  <si>
    <t>1395454985</t>
  </si>
  <si>
    <t>1396476390</t>
  </si>
  <si>
    <t>1395468928</t>
  </si>
  <si>
    <t>1395451345</t>
  </si>
  <si>
    <t>1395411354</t>
  </si>
  <si>
    <t>1395470439</t>
  </si>
  <si>
    <t>1396493156</t>
  </si>
  <si>
    <t>1395457278</t>
  </si>
  <si>
    <t>1395433828</t>
  </si>
  <si>
    <t>1396483414</t>
  </si>
  <si>
    <t>1396496975</t>
  </si>
  <si>
    <t>1395412279001</t>
  </si>
  <si>
    <t>1396477305001</t>
  </si>
  <si>
    <t>1395462016001</t>
  </si>
  <si>
    <t>1396511592001</t>
  </si>
  <si>
    <t>1395456217</t>
  </si>
  <si>
    <t>1395401149</t>
  </si>
  <si>
    <t>1395402344001</t>
  </si>
  <si>
    <t>1395435641001</t>
  </si>
  <si>
    <t>1395415790</t>
  </si>
  <si>
    <t>1395399107</t>
  </si>
  <si>
    <t>1395443728</t>
  </si>
  <si>
    <t>1395441027</t>
  </si>
  <si>
    <t>1396478791</t>
  </si>
  <si>
    <t>1395407388</t>
  </si>
  <si>
    <t>1395433829</t>
  </si>
  <si>
    <t>1395454582</t>
  </si>
  <si>
    <t>1396488513</t>
  </si>
  <si>
    <t>1396497275</t>
  </si>
  <si>
    <t>1395456218</t>
  </si>
  <si>
    <t>1395409016</t>
  </si>
  <si>
    <t>1395413314</t>
  </si>
  <si>
    <t>1395450851</t>
  </si>
  <si>
    <t>1395451262</t>
  </si>
  <si>
    <t>1395433645</t>
  </si>
  <si>
    <t>1395464662</t>
  </si>
  <si>
    <t>1395421748</t>
  </si>
  <si>
    <t>1396506144</t>
  </si>
  <si>
    <t>1396509850</t>
  </si>
  <si>
    <t>1395430858</t>
  </si>
  <si>
    <t>1395447617</t>
  </si>
  <si>
    <t>1395468350</t>
  </si>
  <si>
    <t>1395447798</t>
  </si>
  <si>
    <t>1395400042</t>
  </si>
  <si>
    <t>1395426944</t>
  </si>
  <si>
    <t>1395436486</t>
  </si>
  <si>
    <t>1396512368</t>
  </si>
  <si>
    <t>1395441449001</t>
  </si>
  <si>
    <t>1396482236001</t>
  </si>
  <si>
    <t>1395399731</t>
  </si>
  <si>
    <t>1395399105</t>
  </si>
  <si>
    <t>1395469069</t>
  </si>
  <si>
    <t>1396485067</t>
  </si>
  <si>
    <t>1395436737</t>
  </si>
  <si>
    <t>1395462015</t>
  </si>
  <si>
    <t>1395443199</t>
  </si>
  <si>
    <t>1396498686</t>
  </si>
  <si>
    <t>1395467743</t>
  </si>
  <si>
    <t>1396477992</t>
  </si>
  <si>
    <t>1395463365</t>
  </si>
  <si>
    <t>1395466581</t>
  </si>
  <si>
    <t>1395443399</t>
  </si>
  <si>
    <t>1395447817</t>
  </si>
  <si>
    <t>1395406473</t>
  </si>
  <si>
    <t>1395423155</t>
  </si>
  <si>
    <t>1395409015</t>
  </si>
  <si>
    <t>1395399112</t>
  </si>
  <si>
    <t>1395450738</t>
  </si>
  <si>
    <t>1396511594001</t>
  </si>
  <si>
    <t>1396512826001</t>
  </si>
  <si>
    <t>1395464204</t>
  </si>
  <si>
    <t>1395454456</t>
  </si>
  <si>
    <t>1395454526</t>
  </si>
  <si>
    <t>1396474034</t>
  </si>
  <si>
    <t>1396484354</t>
  </si>
  <si>
    <t>1396500984</t>
  </si>
  <si>
    <t>1396502842</t>
  </si>
  <si>
    <t>1395407980</t>
  </si>
  <si>
    <t>1396494669</t>
  </si>
  <si>
    <t>1395401985</t>
  </si>
  <si>
    <t>1395449858</t>
  </si>
  <si>
    <t>1396496982</t>
  </si>
  <si>
    <t>1395460248</t>
  </si>
  <si>
    <t>1396472723</t>
  </si>
  <si>
    <t>1395418112001</t>
  </si>
  <si>
    <t>1395407387</t>
  </si>
  <si>
    <t>1395438129</t>
  </si>
  <si>
    <t>1395406474</t>
  </si>
  <si>
    <t>1395433632</t>
  </si>
  <si>
    <t>1395406644</t>
  </si>
  <si>
    <t>1395421162</t>
  </si>
  <si>
    <t>1395443385</t>
  </si>
  <si>
    <t>1395460249</t>
  </si>
  <si>
    <t>1395467356</t>
  </si>
  <si>
    <t>1396497676</t>
  </si>
  <si>
    <t>1395456107</t>
  </si>
  <si>
    <t>1395460610</t>
  </si>
  <si>
    <t>1395423680</t>
  </si>
  <si>
    <t>1395443706</t>
  </si>
  <si>
    <t>1395436852</t>
  </si>
  <si>
    <t>1396491881001</t>
  </si>
  <si>
    <t>1395409797</t>
  </si>
  <si>
    <t>1395399106</t>
  </si>
  <si>
    <t>1395454986</t>
  </si>
  <si>
    <t>1396488808</t>
  </si>
  <si>
    <t>1395441430</t>
  </si>
  <si>
    <t>1395470885</t>
  </si>
  <si>
    <t>1396500366</t>
  </si>
  <si>
    <t>1395449399</t>
  </si>
  <si>
    <t>1395399927</t>
  </si>
  <si>
    <t>1395449860</t>
  </si>
  <si>
    <t>1396509851</t>
  </si>
  <si>
    <t>1395407679</t>
  </si>
  <si>
    <t>1395400075</t>
  </si>
  <si>
    <t>1395447766</t>
  </si>
  <si>
    <t>1395399730</t>
  </si>
  <si>
    <t>1396491875001</t>
  </si>
  <si>
    <t>1396502501001</t>
  </si>
  <si>
    <t>1395435297</t>
  </si>
  <si>
    <t>1395404429</t>
  </si>
  <si>
    <t>1395408767</t>
  </si>
  <si>
    <t>1395456105</t>
  </si>
  <si>
    <t>1395461197</t>
  </si>
  <si>
    <t>1395428493</t>
  </si>
  <si>
    <t>1395433839</t>
  </si>
  <si>
    <t>1395402317</t>
  </si>
  <si>
    <t>1395464562</t>
  </si>
  <si>
    <t>1396477333</t>
  </si>
  <si>
    <t>1395451048</t>
  </si>
  <si>
    <t>1395421501</t>
  </si>
  <si>
    <t>1396509605</t>
  </si>
  <si>
    <t>1395412854</t>
  </si>
  <si>
    <t>1395470952</t>
  </si>
  <si>
    <t>1395464401</t>
  </si>
  <si>
    <t>1395428834</t>
  </si>
  <si>
    <t>1395406243</t>
  </si>
  <si>
    <t>1395470977</t>
  </si>
  <si>
    <t>1395418071</t>
  </si>
  <si>
    <t>1395401150</t>
  </si>
  <si>
    <t>1395403486</t>
  </si>
  <si>
    <t>1395467546</t>
  </si>
  <si>
    <t>1395465843</t>
  </si>
  <si>
    <t>1395411205</t>
  </si>
  <si>
    <t>1395426720</t>
  </si>
  <si>
    <t>1395427790</t>
  </si>
  <si>
    <t>1395435390</t>
  </si>
  <si>
    <t>1395435602</t>
  </si>
  <si>
    <t>1395464699</t>
  </si>
  <si>
    <t>1395465045</t>
  </si>
  <si>
    <t>1395468778</t>
  </si>
  <si>
    <t>1396488512</t>
  </si>
  <si>
    <t>1395467571</t>
  </si>
  <si>
    <t>1396492345</t>
  </si>
  <si>
    <t>1396506150</t>
  </si>
  <si>
    <t>1396478789</t>
  </si>
  <si>
    <t>1396511685</t>
  </si>
  <si>
    <t>1396509607</t>
  </si>
  <si>
    <t>1395419173</t>
  </si>
  <si>
    <t>1396490217</t>
  </si>
  <si>
    <t>1396504281</t>
  </si>
  <si>
    <t>1395470711</t>
  </si>
  <si>
    <t>1396481180</t>
  </si>
  <si>
    <t>1395446276</t>
  </si>
  <si>
    <t>1396500346001</t>
  </si>
  <si>
    <t>1395456620001</t>
  </si>
  <si>
    <t>1396500396001</t>
  </si>
  <si>
    <t>1395441600</t>
  </si>
  <si>
    <t>1395451679</t>
  </si>
  <si>
    <t>1396474836</t>
  </si>
  <si>
    <t>1395429124</t>
  </si>
  <si>
    <t>1395470078</t>
  </si>
  <si>
    <t>1395401987</t>
  </si>
  <si>
    <t>1395431907</t>
  </si>
  <si>
    <t>1396487417</t>
  </si>
  <si>
    <t>1395401940</t>
  </si>
  <si>
    <t>1395458677</t>
  </si>
  <si>
    <t>1395464660</t>
  </si>
  <si>
    <t>1395454527</t>
  </si>
  <si>
    <t>1395428997</t>
  </si>
  <si>
    <t>1395464670</t>
  </si>
  <si>
    <t>1395449223</t>
  </si>
  <si>
    <t>1395469188</t>
  </si>
  <si>
    <t>1395406247</t>
  </si>
  <si>
    <t>1395438200</t>
  </si>
  <si>
    <t>1396496978</t>
  </si>
  <si>
    <t>1395414283</t>
  </si>
  <si>
    <t>1395417776</t>
  </si>
  <si>
    <t>1396496976</t>
  </si>
  <si>
    <t>1396472562</t>
  </si>
  <si>
    <t>1396481875</t>
  </si>
  <si>
    <t>1396486333</t>
  </si>
  <si>
    <t>1396508163</t>
  </si>
  <si>
    <t>1396508616</t>
  </si>
  <si>
    <t>1396512848</t>
  </si>
  <si>
    <t>1395460247</t>
  </si>
  <si>
    <t>1395441876</t>
  </si>
  <si>
    <t>1395468740001</t>
  </si>
  <si>
    <t>1396474046001</t>
  </si>
  <si>
    <t>1395470437</t>
  </si>
  <si>
    <t>1395470438</t>
  </si>
  <si>
    <t>1395415789</t>
  </si>
  <si>
    <t>1395433649</t>
  </si>
  <si>
    <t>1395419172</t>
  </si>
  <si>
    <t>1395430574</t>
  </si>
  <si>
    <t>1395434112</t>
  </si>
  <si>
    <t>1395449863</t>
  </si>
  <si>
    <t>1395426732</t>
  </si>
  <si>
    <t>1395412593</t>
  </si>
  <si>
    <t>1395464673</t>
  </si>
  <si>
    <t>1395466580</t>
  </si>
  <si>
    <t>1395446087</t>
  </si>
  <si>
    <t>1396484400</t>
  </si>
  <si>
    <t>1395407409</t>
  </si>
  <si>
    <t>1395471084</t>
  </si>
  <si>
    <t>1396500363</t>
  </si>
  <si>
    <t>1395414106</t>
  </si>
  <si>
    <t>1395447614</t>
  </si>
  <si>
    <t>1395406493</t>
  </si>
  <si>
    <t>1395421750</t>
  </si>
  <si>
    <t>1395423748</t>
  </si>
  <si>
    <t>1395433635</t>
  </si>
  <si>
    <t>1395411198</t>
  </si>
  <si>
    <t>1395438161001</t>
  </si>
  <si>
    <t>1395449893001</t>
  </si>
  <si>
    <t>1395459318001</t>
  </si>
  <si>
    <t>1395470871</t>
  </si>
  <si>
    <t>1395433644</t>
  </si>
  <si>
    <t>1395470430</t>
  </si>
  <si>
    <t>1396472559</t>
  </si>
  <si>
    <t>1395461326</t>
  </si>
  <si>
    <t>1395401990</t>
  </si>
  <si>
    <t>1395411229</t>
  </si>
  <si>
    <t>1394389479</t>
  </si>
  <si>
    <t>1394391633</t>
  </si>
  <si>
    <t>1394392492</t>
  </si>
  <si>
    <t>1396480804</t>
  </si>
  <si>
    <t>1396496307</t>
  </si>
  <si>
    <t>1395414667</t>
  </si>
  <si>
    <t>1395418062</t>
  </si>
  <si>
    <t>1395421160</t>
  </si>
  <si>
    <t>1395427009</t>
  </si>
  <si>
    <t>1395426941</t>
  </si>
  <si>
    <t>1396506146</t>
  </si>
  <si>
    <t>1395407686</t>
  </si>
  <si>
    <t>1395441591</t>
  </si>
  <si>
    <t>1396514460</t>
  </si>
  <si>
    <t>1395411202</t>
  </si>
  <si>
    <t>1394389451</t>
  </si>
  <si>
    <t>1395464668</t>
  </si>
  <si>
    <t>1396479488</t>
  </si>
  <si>
    <t>1395418064</t>
  </si>
  <si>
    <t>1395432835</t>
  </si>
  <si>
    <t>1395436740</t>
  </si>
  <si>
    <t>1395470943</t>
  </si>
  <si>
    <t>1396485274</t>
  </si>
  <si>
    <t>1396512365</t>
  </si>
  <si>
    <t>1395421987</t>
  </si>
  <si>
    <t>1396508162</t>
  </si>
  <si>
    <t>1395449221</t>
  </si>
  <si>
    <t>1395433642</t>
  </si>
  <si>
    <t>1396496301</t>
  </si>
  <si>
    <t>1395443198</t>
  </si>
  <si>
    <t>1395433830</t>
  </si>
  <si>
    <t>1395461327</t>
  </si>
  <si>
    <t>1395427142</t>
  </si>
  <si>
    <t>1395456221</t>
  </si>
  <si>
    <t>1396513015</t>
  </si>
  <si>
    <t>1396513016</t>
  </si>
  <si>
    <t>1395415479</t>
  </si>
  <si>
    <t>1395461521</t>
  </si>
  <si>
    <t>1396508319</t>
  </si>
  <si>
    <t>1394390584</t>
  </si>
  <si>
    <t>1395443316</t>
  </si>
  <si>
    <t>1396472725</t>
  </si>
  <si>
    <t>1395431922001</t>
  </si>
  <si>
    <t>1396500365</t>
  </si>
  <si>
    <t>1395400135</t>
  </si>
  <si>
    <t>1395427787</t>
  </si>
  <si>
    <t>1395401965</t>
  </si>
  <si>
    <t>1395411204</t>
  </si>
  <si>
    <t>1395462682</t>
  </si>
  <si>
    <t>1395421148</t>
  </si>
  <si>
    <t>1396514730</t>
  </si>
  <si>
    <t>1395426698</t>
  </si>
  <si>
    <t>1395430317</t>
  </si>
  <si>
    <t>1396508341</t>
  </si>
  <si>
    <t>1395426711</t>
  </si>
  <si>
    <t>1395429125</t>
  </si>
  <si>
    <t>1396496980</t>
  </si>
  <si>
    <t>1396503550</t>
  </si>
  <si>
    <t>1395421997</t>
  </si>
  <si>
    <t>1395468364</t>
  </si>
  <si>
    <t>1395430315</t>
  </si>
  <si>
    <t>1395408513</t>
  </si>
  <si>
    <t>1396477334</t>
  </si>
  <si>
    <t>1395421524</t>
  </si>
  <si>
    <t>1395456604</t>
  </si>
  <si>
    <t>1395408873</t>
  </si>
  <si>
    <t>1396511131</t>
  </si>
  <si>
    <t>1395401946</t>
  </si>
  <si>
    <t>1395457634</t>
  </si>
  <si>
    <t>1395418121</t>
  </si>
  <si>
    <t>1395417778</t>
  </si>
  <si>
    <t>1395461168</t>
  </si>
  <si>
    <t>1395470444</t>
  </si>
  <si>
    <t>1396487040</t>
  </si>
  <si>
    <t>1395421756</t>
  </si>
  <si>
    <t>1395471094</t>
  </si>
  <si>
    <t>1396494230</t>
  </si>
  <si>
    <t>1396515521</t>
  </si>
  <si>
    <t>1396504613</t>
  </si>
  <si>
    <t>1395471092</t>
  </si>
  <si>
    <t>96-962500104</t>
  </si>
  <si>
    <t>1395414108</t>
  </si>
  <si>
    <t>1395427144</t>
  </si>
  <si>
    <t>96-962500099</t>
  </si>
  <si>
    <t>1396500680001</t>
  </si>
  <si>
    <t>1395470940</t>
  </si>
  <si>
    <t>1395468354</t>
  </si>
  <si>
    <t>1395408788</t>
  </si>
  <si>
    <t>1396512670</t>
  </si>
  <si>
    <t>1395410160</t>
  </si>
  <si>
    <t>1395426731</t>
  </si>
  <si>
    <t>1395467971</t>
  </si>
  <si>
    <t>1395468781</t>
  </si>
  <si>
    <t>1395470074</t>
  </si>
  <si>
    <t>1395470874</t>
  </si>
  <si>
    <t>1395471101</t>
  </si>
  <si>
    <t>1396485061</t>
  </si>
  <si>
    <t>1396490815</t>
  </si>
  <si>
    <t>1395426704</t>
  </si>
  <si>
    <t>1395423749</t>
  </si>
  <si>
    <t>1395417777</t>
  </si>
  <si>
    <t>1395401944</t>
  </si>
  <si>
    <t>1395408871</t>
  </si>
  <si>
    <t>1395409032</t>
  </si>
  <si>
    <t>1395419804</t>
  </si>
  <si>
    <t>1395427781</t>
  </si>
  <si>
    <t>1396474654</t>
  </si>
  <si>
    <t>1395447891</t>
  </si>
  <si>
    <t>1395429276</t>
  </si>
  <si>
    <t>1396515915</t>
  </si>
  <si>
    <t>1395423675</t>
  </si>
  <si>
    <t>1395445248</t>
  </si>
  <si>
    <t>1395426946</t>
  </si>
  <si>
    <t>1396511137</t>
  </si>
  <si>
    <t>1394391512</t>
  </si>
  <si>
    <t>1395445250</t>
  </si>
  <si>
    <t>1396512671</t>
  </si>
  <si>
    <t>1396500368</t>
  </si>
  <si>
    <t>1396480287</t>
  </si>
  <si>
    <t>1396496981</t>
  </si>
  <si>
    <t>1395421989</t>
  </si>
  <si>
    <t>1395427130</t>
  </si>
  <si>
    <t>1395401779</t>
  </si>
  <si>
    <t>1395427784</t>
  </si>
  <si>
    <t>1395426942</t>
  </si>
  <si>
    <t>1396508614</t>
  </si>
  <si>
    <t>1395458705</t>
  </si>
  <si>
    <t>1395470281</t>
  </si>
  <si>
    <t>1396499654</t>
  </si>
  <si>
    <t>1395433670</t>
  </si>
  <si>
    <t>1395426710</t>
  </si>
  <si>
    <t>1394389450</t>
  </si>
  <si>
    <t>1395433835</t>
  </si>
  <si>
    <t>1395469191</t>
  </si>
  <si>
    <t>1395413316</t>
  </si>
  <si>
    <t>1395465845</t>
  </si>
  <si>
    <t>1396503549</t>
  </si>
  <si>
    <t>1396506148</t>
  </si>
  <si>
    <t>1395447615</t>
  </si>
  <si>
    <t>1395437813</t>
  </si>
  <si>
    <t>1395433831</t>
  </si>
  <si>
    <t>1395423676</t>
  </si>
  <si>
    <t>1395468352</t>
  </si>
  <si>
    <t>1395419807</t>
  </si>
  <si>
    <t>1395446079</t>
  </si>
  <si>
    <t>1395427786</t>
  </si>
  <si>
    <t>1395470893</t>
  </si>
  <si>
    <t>1395446288</t>
  </si>
  <si>
    <t>1395409213</t>
  </si>
  <si>
    <t>1396508154</t>
  </si>
  <si>
    <t>1395414284</t>
  </si>
  <si>
    <t>1395466578</t>
  </si>
  <si>
    <t>1395421156</t>
  </si>
  <si>
    <t>1395447767</t>
  </si>
  <si>
    <t>1394391632</t>
  </si>
  <si>
    <t>1395430856</t>
  </si>
  <si>
    <t>1395406642</t>
  </si>
  <si>
    <t>1395470942</t>
  </si>
  <si>
    <t>1395471039</t>
  </si>
  <si>
    <t>1396511615</t>
  </si>
  <si>
    <t>1395446086</t>
  </si>
  <si>
    <t>1395414429</t>
  </si>
  <si>
    <t>1395411200</t>
  </si>
  <si>
    <t>1395467969</t>
  </si>
  <si>
    <t>1395433648</t>
  </si>
  <si>
    <t>1395412881</t>
  </si>
  <si>
    <t>1395443381</t>
  </si>
  <si>
    <t>1395421980</t>
  </si>
  <si>
    <t>1395461528</t>
  </si>
  <si>
    <t>1395456601</t>
  </si>
  <si>
    <t>1395464407</t>
  </si>
  <si>
    <t>1396495476</t>
  </si>
  <si>
    <t>1396501696</t>
  </si>
  <si>
    <t>1395406250</t>
  </si>
  <si>
    <t>1395447794</t>
  </si>
  <si>
    <t>1395457465</t>
  </si>
  <si>
    <t>1395456222</t>
  </si>
  <si>
    <t>1394391631</t>
  </si>
  <si>
    <t>1395471034</t>
  </si>
  <si>
    <t>1396504610</t>
  </si>
  <si>
    <t>1396512366</t>
  </si>
  <si>
    <t>1395470875</t>
  </si>
  <si>
    <t>1394392493</t>
  </si>
  <si>
    <t>1394392917</t>
  </si>
  <si>
    <t>1395435599</t>
  </si>
  <si>
    <t>1395466577</t>
  </si>
  <si>
    <t>1396505502</t>
  </si>
  <si>
    <t>1396505112</t>
  </si>
  <si>
    <t>1396509609</t>
  </si>
  <si>
    <t>1395464672</t>
  </si>
  <si>
    <t>1396480497</t>
  </si>
  <si>
    <t>1395421154</t>
  </si>
  <si>
    <t>1395454461</t>
  </si>
  <si>
    <t>1395412598</t>
  </si>
  <si>
    <t>1396501692</t>
  </si>
  <si>
    <t>1395470945</t>
  </si>
  <si>
    <t>1396513019</t>
  </si>
  <si>
    <t>1396501182</t>
  </si>
  <si>
    <t>1396505085</t>
  </si>
  <si>
    <t>1395426700</t>
  </si>
  <si>
    <t>1395429259</t>
  </si>
  <si>
    <t>1395415792</t>
  </si>
  <si>
    <t>1395419176</t>
  </si>
  <si>
    <t>1395426744</t>
  </si>
  <si>
    <t>1395471093</t>
  </si>
  <si>
    <t>1395411402</t>
  </si>
  <si>
    <t>1395426707</t>
  </si>
  <si>
    <t>1395407989</t>
  </si>
  <si>
    <t>1395409034</t>
  </si>
  <si>
    <t>1395446080</t>
  </si>
  <si>
    <t>1395434116</t>
  </si>
  <si>
    <t>1396514735</t>
  </si>
  <si>
    <t>1396502540</t>
  </si>
  <si>
    <t>1395467355</t>
  </si>
  <si>
    <t>1395421167</t>
  </si>
  <si>
    <t>1395429000</t>
  </si>
  <si>
    <t>1396511619</t>
  </si>
  <si>
    <t>1396506154</t>
  </si>
  <si>
    <t>1395464560</t>
  </si>
  <si>
    <t>1395433638</t>
  </si>
  <si>
    <t>1395409198</t>
  </si>
  <si>
    <t>1395401945</t>
  </si>
  <si>
    <t>1395421991</t>
  </si>
  <si>
    <t>1395426703</t>
  </si>
  <si>
    <t>1395435144</t>
  </si>
  <si>
    <t>1396479489</t>
  </si>
  <si>
    <t>1396512378</t>
  </si>
  <si>
    <t>1395441012</t>
  </si>
  <si>
    <t>1396512879</t>
  </si>
  <si>
    <t>1395443211</t>
  </si>
  <si>
    <t>1395401780</t>
  </si>
  <si>
    <t>1395457461</t>
  </si>
  <si>
    <t>1395408771</t>
  </si>
  <si>
    <t>1395470946</t>
  </si>
  <si>
    <t>1396494229</t>
  </si>
  <si>
    <t>1396512881</t>
  </si>
  <si>
    <t>1395421164</t>
  </si>
  <si>
    <t>1395412238</t>
  </si>
  <si>
    <t>1396513018</t>
  </si>
  <si>
    <t>1395441874</t>
  </si>
  <si>
    <t>1396502561</t>
  </si>
  <si>
    <t>1395447612</t>
  </si>
  <si>
    <t>1395428828</t>
  </si>
  <si>
    <t>1395471086</t>
  </si>
  <si>
    <t>1395471087</t>
  </si>
  <si>
    <t>1395410157</t>
  </si>
  <si>
    <t>1395412860</t>
  </si>
  <si>
    <t>1395419834</t>
  </si>
  <si>
    <t>1396515523</t>
  </si>
  <si>
    <t>1395435108</t>
  </si>
  <si>
    <t>1395471038</t>
  </si>
  <si>
    <t>1395414285</t>
  </si>
  <si>
    <t>1395426708</t>
  </si>
  <si>
    <t>1396516802</t>
  </si>
  <si>
    <t>1395407391</t>
  </si>
  <si>
    <t>1396501181</t>
  </si>
  <si>
    <t>1395416030</t>
  </si>
  <si>
    <t>1395421151</t>
  </si>
  <si>
    <t>1395428998</t>
  </si>
  <si>
    <t>1395427791</t>
  </si>
  <si>
    <t>1395461167</t>
  </si>
  <si>
    <t>1395466555</t>
  </si>
  <si>
    <t>1395468776</t>
  </si>
  <si>
    <t>1395411197</t>
  </si>
  <si>
    <t>1395413066</t>
  </si>
  <si>
    <t>1395470941</t>
  </si>
  <si>
    <t>1395401763</t>
  </si>
  <si>
    <t>1395470897</t>
  </si>
  <si>
    <t>1396501691</t>
  </si>
  <si>
    <t>1396485275</t>
  </si>
  <si>
    <t>1395429275</t>
  </si>
  <si>
    <t>1395418059</t>
  </si>
  <si>
    <t>1395468351</t>
  </si>
  <si>
    <t>1395414446</t>
  </si>
  <si>
    <t>1395436739</t>
  </si>
  <si>
    <t>1396514736</t>
  </si>
  <si>
    <t>1395401964</t>
  </si>
  <si>
    <t>1395409212</t>
  </si>
  <si>
    <t>1395419174</t>
  </si>
  <si>
    <t>1395421984</t>
  </si>
  <si>
    <t>1396485070</t>
  </si>
  <si>
    <t>1395470955</t>
  </si>
  <si>
    <t>1396500713</t>
  </si>
  <si>
    <t>1395421981</t>
  </si>
  <si>
    <t>1395441435</t>
  </si>
  <si>
    <t>1395418089</t>
  </si>
  <si>
    <t>1395446078</t>
  </si>
  <si>
    <t>1395456367</t>
  </si>
  <si>
    <t>1395408772</t>
  </si>
  <si>
    <t>1395423457</t>
  </si>
  <si>
    <t>1395421158</t>
  </si>
  <si>
    <t>1396477690</t>
  </si>
  <si>
    <t>1395469183</t>
  </si>
  <si>
    <t>1396485082</t>
  </si>
  <si>
    <t>1395471037</t>
  </si>
  <si>
    <t>1395416541</t>
  </si>
  <si>
    <t>1396487038</t>
  </si>
  <si>
    <t>1395407687</t>
  </si>
  <si>
    <t>1395430314</t>
  </si>
  <si>
    <t>1395461524</t>
  </si>
  <si>
    <t>1395469560</t>
  </si>
  <si>
    <t>1396504862</t>
  </si>
  <si>
    <t>1396483415</t>
  </si>
  <si>
    <t>1396505504</t>
  </si>
  <si>
    <t>1396485060</t>
  </si>
  <si>
    <t>1395433832</t>
  </si>
  <si>
    <t>1395435598</t>
  </si>
  <si>
    <t>1395411207</t>
  </si>
  <si>
    <t>1395401948</t>
  </si>
  <si>
    <t>1395411230</t>
  </si>
  <si>
    <t>1395454453</t>
  </si>
  <si>
    <t>1395460244</t>
  </si>
  <si>
    <t>1395469184</t>
  </si>
  <si>
    <t>1395464566</t>
  </si>
  <si>
    <t>1395425009</t>
  </si>
  <si>
    <t>1395427782</t>
  </si>
  <si>
    <t>1395411456</t>
  </si>
  <si>
    <t>1395409795</t>
  </si>
  <si>
    <t>1395418072</t>
  </si>
  <si>
    <t>1395471095</t>
  </si>
  <si>
    <t>1395457297</t>
  </si>
  <si>
    <t>1395417773</t>
  </si>
  <si>
    <t>1394391627</t>
  </si>
  <si>
    <t>1395430316</t>
  </si>
  <si>
    <t>1395421751</t>
  </si>
  <si>
    <t>1395446077</t>
  </si>
  <si>
    <t>1396500367</t>
  </si>
  <si>
    <t>1396494231</t>
  </si>
  <si>
    <t>1395471035</t>
  </si>
  <si>
    <t>1395421143</t>
  </si>
  <si>
    <t>1395445249</t>
  </si>
  <si>
    <t>1395464388</t>
  </si>
  <si>
    <t>1395404432</t>
  </si>
  <si>
    <t>1395462881</t>
  </si>
  <si>
    <t>1395427783</t>
  </si>
  <si>
    <t>1396485279</t>
  </si>
  <si>
    <t>1395401765</t>
  </si>
  <si>
    <t>1395418063</t>
  </si>
  <si>
    <t>1395467970</t>
  </si>
  <si>
    <t>1395415481</t>
  </si>
  <si>
    <t>1396500986</t>
  </si>
  <si>
    <t>1396509330</t>
  </si>
  <si>
    <t>1395426939</t>
  </si>
  <si>
    <t>1395467973</t>
  </si>
  <si>
    <t>1396514732</t>
  </si>
  <si>
    <t>1396514740</t>
  </si>
  <si>
    <t>1395449102</t>
  </si>
  <si>
    <t>1395418114001</t>
  </si>
  <si>
    <t>1396496334</t>
  </si>
  <si>
    <t>1395408770</t>
  </si>
  <si>
    <t>1394392914</t>
  </si>
  <si>
    <t>1395457281</t>
  </si>
  <si>
    <t>96-961500427</t>
  </si>
  <si>
    <t>1395433641</t>
  </si>
  <si>
    <t>1395446081</t>
  </si>
  <si>
    <t>1395450852</t>
  </si>
  <si>
    <t>1395428491</t>
  </si>
  <si>
    <t>1395457279</t>
  </si>
  <si>
    <t>1395411362</t>
  </si>
  <si>
    <t>1395470282</t>
  </si>
  <si>
    <t>1395463366</t>
  </si>
  <si>
    <t>1395468780</t>
  </si>
  <si>
    <t>1395417772</t>
  </si>
  <si>
    <t>1395436850</t>
  </si>
  <si>
    <t>1395421149</t>
  </si>
  <si>
    <t>1395454587</t>
  </si>
  <si>
    <t>1395470873</t>
  </si>
  <si>
    <t>1396506623</t>
  </si>
  <si>
    <t>1395428489</t>
  </si>
  <si>
    <t>1395471041</t>
  </si>
  <si>
    <t>1395454987</t>
  </si>
  <si>
    <t>1395403067</t>
  </si>
  <si>
    <t>1395412900</t>
  </si>
  <si>
    <t>1395443214</t>
  </si>
  <si>
    <t>1396506625</t>
  </si>
  <si>
    <t>1395412246</t>
  </si>
  <si>
    <t>1395449222</t>
  </si>
  <si>
    <t>1396505084</t>
  </si>
  <si>
    <t>1395431887</t>
  </si>
  <si>
    <t>1399515522</t>
  </si>
  <si>
    <t>1396496306</t>
  </si>
  <si>
    <t>1395471090</t>
  </si>
  <si>
    <t>1395433838</t>
  </si>
  <si>
    <t>96-962500105</t>
  </si>
  <si>
    <t>1395443775</t>
  </si>
  <si>
    <t>1395423681</t>
  </si>
  <si>
    <t>1395443388</t>
  </si>
  <si>
    <t>1395461989</t>
  </si>
  <si>
    <t>1396472557</t>
  </si>
  <si>
    <t>1395426945</t>
  </si>
  <si>
    <t>1395443205</t>
  </si>
  <si>
    <t>1395409798</t>
  </si>
  <si>
    <t>1395468929</t>
  </si>
  <si>
    <t>1395464564</t>
  </si>
  <si>
    <t>1395429279</t>
  </si>
  <si>
    <t>1396504608</t>
  </si>
  <si>
    <t>1395409196</t>
  </si>
  <si>
    <t>1395412856</t>
  </si>
  <si>
    <t>1395413315</t>
  </si>
  <si>
    <t>1395466582</t>
  </si>
  <si>
    <t>1395464205</t>
  </si>
  <si>
    <t>1395419170</t>
  </si>
  <si>
    <t>1395435382</t>
  </si>
  <si>
    <t>1395467744</t>
  </si>
  <si>
    <t>1395470953</t>
  </si>
  <si>
    <t>1395407668</t>
  </si>
  <si>
    <t>1395443384</t>
  </si>
  <si>
    <t>1395457716</t>
  </si>
  <si>
    <t>1395400132</t>
  </si>
  <si>
    <t>1395454584</t>
  </si>
  <si>
    <t>1395401942</t>
  </si>
  <si>
    <t>1395441429</t>
  </si>
  <si>
    <t>1395454431</t>
  </si>
  <si>
    <t>1395443378</t>
  </si>
  <si>
    <t>1395421502</t>
  </si>
  <si>
    <t>139542681</t>
  </si>
  <si>
    <t>1394392609</t>
  </si>
  <si>
    <t>1396514468</t>
  </si>
  <si>
    <t>1395429278</t>
  </si>
  <si>
    <t>1395460250</t>
  </si>
  <si>
    <t>1395428835</t>
  </si>
  <si>
    <t>1395465046</t>
  </si>
  <si>
    <t>1395461991</t>
  </si>
  <si>
    <t>1396506151</t>
  </si>
  <si>
    <t>1395465844</t>
  </si>
  <si>
    <t>1396504282</t>
  </si>
  <si>
    <t>1395427796</t>
  </si>
  <si>
    <t>1395409194</t>
  </si>
  <si>
    <t>1395403077</t>
  </si>
  <si>
    <t>1395411196</t>
  </si>
  <si>
    <t>1395470441</t>
  </si>
  <si>
    <t>1395451388</t>
  </si>
  <si>
    <t>1395468358</t>
  </si>
  <si>
    <t>1395406248</t>
  </si>
  <si>
    <t>1395411206</t>
  </si>
  <si>
    <t>1396508617</t>
  </si>
  <si>
    <t>1395441028</t>
  </si>
  <si>
    <t>1396507046</t>
  </si>
  <si>
    <t>1395461166</t>
  </si>
  <si>
    <t>1396498687</t>
  </si>
  <si>
    <t>1396502838</t>
  </si>
  <si>
    <t>1396494228</t>
  </si>
  <si>
    <t>1396482076</t>
  </si>
  <si>
    <t>1395401762</t>
  </si>
  <si>
    <t>1395454458</t>
  </si>
  <si>
    <t>1395406245</t>
  </si>
  <si>
    <t>1395457464</t>
  </si>
  <si>
    <t>1395435383</t>
  </si>
  <si>
    <t>1395399104</t>
  </si>
  <si>
    <t>ش ک 251</t>
  </si>
  <si>
    <t>1394392410</t>
  </si>
  <si>
    <t>1395416201</t>
  </si>
  <si>
    <t>1395399108</t>
  </si>
  <si>
    <t>1396473814001</t>
  </si>
  <si>
    <t>1396477738</t>
  </si>
  <si>
    <t>1396491877001</t>
  </si>
  <si>
    <t>1396500679001</t>
  </si>
  <si>
    <t>1396500715001</t>
  </si>
  <si>
    <t>1395399113</t>
  </si>
  <si>
    <t>1395456365</t>
  </si>
  <si>
    <t>1396484355</t>
  </si>
  <si>
    <t>1395457939</t>
  </si>
  <si>
    <t>1395400133</t>
  </si>
  <si>
    <t>1395411355</t>
  </si>
  <si>
    <t>1395427797</t>
  </si>
  <si>
    <t>1395451281</t>
  </si>
  <si>
    <t>1395466055</t>
  </si>
  <si>
    <t>1396504612</t>
  </si>
  <si>
    <t>1395464400</t>
  </si>
  <si>
    <t>1396472724</t>
  </si>
  <si>
    <t>1396496231001</t>
  </si>
  <si>
    <t>1395430855</t>
  </si>
  <si>
    <t>1395470954</t>
  </si>
  <si>
    <t>1396487418</t>
  </si>
  <si>
    <t>1395407390</t>
  </si>
  <si>
    <t>1395423455</t>
  </si>
  <si>
    <t>1395428992</t>
  </si>
  <si>
    <t>1396494670</t>
  </si>
  <si>
    <t>1396501177</t>
  </si>
  <si>
    <t>1396477335</t>
  </si>
  <si>
    <t>1396481876</t>
  </si>
  <si>
    <t>1396507047</t>
  </si>
  <si>
    <t>1396509608</t>
  </si>
  <si>
    <t>1396477995</t>
  </si>
  <si>
    <t>1395404451</t>
  </si>
  <si>
    <t>1395403182</t>
  </si>
  <si>
    <t>1396496308</t>
  </si>
  <si>
    <t>1395470892</t>
  </si>
  <si>
    <t>1395428825</t>
  </si>
  <si>
    <t>1395456108</t>
  </si>
  <si>
    <t>1395460607</t>
  </si>
  <si>
    <t>1395435094</t>
  </si>
  <si>
    <t>1395430748</t>
  </si>
  <si>
    <t>1396508150</t>
  </si>
  <si>
    <t>1395406244</t>
  </si>
  <si>
    <t>1395406471</t>
  </si>
  <si>
    <t>1395431908</t>
  </si>
  <si>
    <t>1395399733</t>
  </si>
  <si>
    <t>1395421995</t>
  </si>
  <si>
    <t>1395402086</t>
  </si>
  <si>
    <t>1395413313</t>
  </si>
  <si>
    <t>1395399109</t>
  </si>
  <si>
    <t>1395456359</t>
  </si>
  <si>
    <t>1395461410</t>
  </si>
  <si>
    <t>1396492620</t>
  </si>
  <si>
    <t>1395447889</t>
  </si>
  <si>
    <t>1395451261</t>
  </si>
  <si>
    <t>1395436741</t>
  </si>
  <si>
    <t>1395466056</t>
  </si>
  <si>
    <t>1396513288</t>
  </si>
  <si>
    <t>1395401941</t>
  </si>
  <si>
    <t>1395436769</t>
  </si>
  <si>
    <t>1395401766</t>
  </si>
  <si>
    <t>1395464669</t>
  </si>
  <si>
    <t>1396478790</t>
  </si>
  <si>
    <t>1395399111</t>
  </si>
  <si>
    <t>1395404430</t>
  </si>
  <si>
    <t>1395399928</t>
  </si>
  <si>
    <t>1395457715</t>
  </si>
  <si>
    <t>1395430848</t>
  </si>
  <si>
    <t>1395468357</t>
  </si>
  <si>
    <t>1395457462</t>
  </si>
  <si>
    <t>1396514726</t>
  </si>
  <si>
    <t>139546857</t>
  </si>
  <si>
    <t>1395406472</t>
  </si>
  <si>
    <t>1395447765</t>
  </si>
  <si>
    <t>1396513295</t>
  </si>
  <si>
    <t>1395411195</t>
  </si>
  <si>
    <t>1395447797</t>
  </si>
  <si>
    <t>1395419171</t>
  </si>
  <si>
    <t>1395427126</t>
  </si>
  <si>
    <t>1396479257</t>
  </si>
  <si>
    <t>1395399734</t>
  </si>
  <si>
    <t>1396488215</t>
  </si>
  <si>
    <t>1395434113</t>
  </si>
  <si>
    <t>1395435389</t>
  </si>
  <si>
    <t>1395470440</t>
  </si>
  <si>
    <t>1395435601</t>
  </si>
  <si>
    <t>1395437814</t>
  </si>
  <si>
    <t>1396512673</t>
  </si>
  <si>
    <t>1396480779</t>
  </si>
  <si>
    <t>1395441026</t>
  </si>
  <si>
    <t>1395468777</t>
  </si>
  <si>
    <t>1395454581</t>
  </si>
  <si>
    <t>1395466573</t>
  </si>
  <si>
    <t>1395427127</t>
  </si>
  <si>
    <t>1395461520</t>
  </si>
  <si>
    <t>1396474035</t>
  </si>
  <si>
    <t>1395441009</t>
  </si>
  <si>
    <t>1395434880</t>
  </si>
  <si>
    <t>1395469553</t>
  </si>
  <si>
    <t>1395451387</t>
  </si>
  <si>
    <t>1396477689</t>
  </si>
  <si>
    <t>1396478981</t>
  </si>
  <si>
    <t>96-964100055</t>
  </si>
  <si>
    <t>96-964100056</t>
  </si>
  <si>
    <t>1395464387</t>
  </si>
  <si>
    <t>1395468779</t>
  </si>
  <si>
    <t>1395447959</t>
  </si>
  <si>
    <t>1395401396</t>
  </si>
  <si>
    <t>1396474030</t>
  </si>
  <si>
    <t>1396507445001</t>
  </si>
  <si>
    <t>1396516773001</t>
  </si>
  <si>
    <t>1395412245</t>
  </si>
  <si>
    <t>1395417774</t>
  </si>
  <si>
    <t>1395446082</t>
  </si>
  <si>
    <t>1395401952</t>
  </si>
  <si>
    <t>1395401083</t>
  </si>
  <si>
    <t>1395466593</t>
  </si>
  <si>
    <t>1395407383</t>
  </si>
  <si>
    <t>1394390060</t>
  </si>
  <si>
    <t>1395416204</t>
  </si>
  <si>
    <t>1395466579</t>
  </si>
  <si>
    <t>1396506149</t>
  </si>
  <si>
    <t>1395454462</t>
  </si>
  <si>
    <t>1395426745</t>
  </si>
  <si>
    <t>1395446083</t>
  </si>
  <si>
    <t>1395446290</t>
  </si>
  <si>
    <t>1395416020</t>
  </si>
  <si>
    <t>1396496979</t>
  </si>
  <si>
    <t>1396485066</t>
  </si>
  <si>
    <t>1395441875</t>
  </si>
  <si>
    <t>1395457940</t>
  </si>
  <si>
    <t>1395211204</t>
  </si>
  <si>
    <t>1395464579</t>
  </si>
  <si>
    <t>1395470075</t>
  </si>
  <si>
    <t>1395470096</t>
  </si>
  <si>
    <t>1395457280</t>
  </si>
  <si>
    <t>1396496305</t>
  </si>
  <si>
    <t>1396474038</t>
  </si>
  <si>
    <t>1395414668</t>
  </si>
  <si>
    <t>1395421993</t>
  </si>
  <si>
    <t>1395433643</t>
  </si>
  <si>
    <t>1395416205</t>
  </si>
  <si>
    <t>1395401771</t>
  </si>
  <si>
    <t>1395428999</t>
  </si>
  <si>
    <t>1395470429</t>
  </si>
  <si>
    <t>1396487037</t>
  </si>
  <si>
    <t>1396515920</t>
  </si>
  <si>
    <t>1395401180</t>
  </si>
  <si>
    <t>1396511613</t>
  </si>
  <si>
    <t>1395470432</t>
  </si>
  <si>
    <t>96-962500113</t>
  </si>
  <si>
    <t>1394391630</t>
  </si>
  <si>
    <t>1395423493</t>
  </si>
  <si>
    <t>1395428490</t>
  </si>
  <si>
    <t>1396511135</t>
  </si>
  <si>
    <t>1395401764</t>
  </si>
  <si>
    <t>1396472722</t>
  </si>
  <si>
    <t>1395409195</t>
  </si>
  <si>
    <t>1395421986</t>
  </si>
  <si>
    <t>1396511612</t>
  </si>
  <si>
    <t>1396484353</t>
  </si>
  <si>
    <t>1396486574</t>
  </si>
  <si>
    <t>1396506332</t>
  </si>
  <si>
    <t>1396512369</t>
  </si>
  <si>
    <t>1396492621</t>
  </si>
  <si>
    <t>1395423817</t>
  </si>
  <si>
    <t>1395429277</t>
  </si>
  <si>
    <t>1395430594</t>
  </si>
  <si>
    <t>1395402088</t>
  </si>
  <si>
    <t>1394392175</t>
  </si>
  <si>
    <t>1395428996</t>
  </si>
  <si>
    <t>1395404434</t>
  </si>
  <si>
    <t>1395456602</t>
  </si>
  <si>
    <t>1396497805</t>
  </si>
  <si>
    <t>1395404452</t>
  </si>
  <si>
    <t>1396506333</t>
  </si>
  <si>
    <t>1396496977</t>
  </si>
  <si>
    <t>1395426712</t>
  </si>
  <si>
    <t>1395433842</t>
  </si>
  <si>
    <t>1396496304</t>
  </si>
  <si>
    <t>1396496303</t>
  </si>
  <si>
    <t>1396512674</t>
  </si>
  <si>
    <t>1395436851</t>
  </si>
  <si>
    <t>1395470431</t>
  </si>
  <si>
    <t>1395406844</t>
  </si>
  <si>
    <t>1395429123</t>
  </si>
  <si>
    <t>1395471036</t>
  </si>
  <si>
    <t>1395419808</t>
  </si>
  <si>
    <t xml:space="preserve"> 1395412864</t>
  </si>
  <si>
    <t>1395411208</t>
  </si>
  <si>
    <t>1395467573</t>
  </si>
  <si>
    <t>1395421161</t>
  </si>
  <si>
    <t>1396512678</t>
  </si>
  <si>
    <t>1396501689</t>
  </si>
  <si>
    <t>1395468353</t>
  </si>
  <si>
    <t>1395409033</t>
  </si>
  <si>
    <t>1395469073</t>
  </si>
  <si>
    <t>1395467354</t>
  </si>
  <si>
    <t>1395408769</t>
  </si>
  <si>
    <t>1395416203</t>
  </si>
  <si>
    <t>1395423494</t>
  </si>
  <si>
    <t>1395462680</t>
  </si>
  <si>
    <t>1396500407</t>
  </si>
  <si>
    <t>1396502539</t>
  </si>
  <si>
    <t>1395414105</t>
  </si>
  <si>
    <t>1395401950</t>
  </si>
  <si>
    <t>1395470947</t>
  </si>
  <si>
    <t>1395464406</t>
  </si>
  <si>
    <t>1395421159</t>
  </si>
  <si>
    <t>1396509606</t>
  </si>
  <si>
    <t>1395447616</t>
  </si>
  <si>
    <t>1395461523</t>
  </si>
  <si>
    <t>1395469205</t>
  </si>
  <si>
    <t>1396486822</t>
  </si>
  <si>
    <t>1396511617</t>
  </si>
  <si>
    <t>1395416543</t>
  </si>
  <si>
    <t>1395419805</t>
  </si>
  <si>
    <t>1395449862</t>
  </si>
  <si>
    <t>1395435597</t>
  </si>
  <si>
    <t>1395401778</t>
  </si>
  <si>
    <t>1395421144</t>
  </si>
  <si>
    <t>1395418057</t>
  </si>
  <si>
    <t>1396512367</t>
  </si>
  <si>
    <t>1396512666</t>
  </si>
  <si>
    <t>1395467968</t>
  </si>
  <si>
    <t>1395414125</t>
  </si>
  <si>
    <t>1396493155</t>
  </si>
  <si>
    <t>1395411231</t>
  </si>
  <si>
    <t>1395418061</t>
  </si>
  <si>
    <t>1395462694</t>
  </si>
  <si>
    <t>1396499655</t>
  </si>
  <si>
    <t>1395416202</t>
  </si>
  <si>
    <t>1395407685</t>
  </si>
  <si>
    <t>1396512669</t>
  </si>
  <si>
    <t>1395471085</t>
  </si>
  <si>
    <t>1396512667</t>
  </si>
  <si>
    <t>1396496310</t>
  </si>
  <si>
    <t>1395430320</t>
  </si>
  <si>
    <t>1395404242</t>
  </si>
  <si>
    <t>1395410159</t>
  </si>
  <si>
    <t>1395430746</t>
  </si>
  <si>
    <t>1396506147</t>
  </si>
  <si>
    <t>1396506624</t>
  </si>
  <si>
    <t>1395433836</t>
  </si>
  <si>
    <t>1396508157</t>
  </si>
  <si>
    <t>1395421145</t>
  </si>
  <si>
    <t>1395421155</t>
  </si>
  <si>
    <t>1395414114</t>
  </si>
  <si>
    <t>1396511622</t>
  </si>
  <si>
    <t>1394392918</t>
  </si>
  <si>
    <t>1396514463</t>
  </si>
  <si>
    <t>1395416019</t>
  </si>
  <si>
    <t>1395423497</t>
  </si>
  <si>
    <t>1396515520</t>
  </si>
  <si>
    <t>1395416206</t>
  </si>
  <si>
    <t>1395470872</t>
  </si>
  <si>
    <t>1395430747</t>
  </si>
  <si>
    <t>1395466575</t>
  </si>
  <si>
    <t>1395470082</t>
  </si>
  <si>
    <t>1395419803</t>
  </si>
  <si>
    <t>1395404433</t>
  </si>
  <si>
    <t>1395423489</t>
  </si>
  <si>
    <t>1396508155</t>
  </si>
  <si>
    <t>96-962500106</t>
  </si>
  <si>
    <t>1396505501</t>
  </si>
  <si>
    <t>1396508156</t>
  </si>
  <si>
    <t>1396512668</t>
  </si>
  <si>
    <t>1395418058</t>
  </si>
  <si>
    <t>1396486823</t>
  </si>
  <si>
    <t>1396512884</t>
  </si>
  <si>
    <t>1396501179</t>
  </si>
  <si>
    <t>1395471102</t>
  </si>
  <si>
    <t>1396502843</t>
  </si>
  <si>
    <t>1396505524</t>
  </si>
  <si>
    <t>1395470081</t>
  </si>
  <si>
    <t>1395419802</t>
  </si>
  <si>
    <t>1395426709</t>
  </si>
  <si>
    <t>1396500364</t>
  </si>
  <si>
    <t>1395410167</t>
  </si>
  <si>
    <t>1395401991</t>
  </si>
  <si>
    <t>1395412237</t>
  </si>
  <si>
    <t>1396513017</t>
  </si>
  <si>
    <t>1396496996</t>
  </si>
  <si>
    <t>1396498445</t>
  </si>
  <si>
    <t>1395413317</t>
  </si>
  <si>
    <t>1395449117</t>
  </si>
  <si>
    <t>1395421994</t>
  </si>
  <si>
    <t>1396492348</t>
  </si>
  <si>
    <t>1395401951</t>
  </si>
  <si>
    <t>1395464567</t>
  </si>
  <si>
    <t>1395406643</t>
  </si>
  <si>
    <t>1395441011</t>
  </si>
  <si>
    <t>1395471088</t>
  </si>
  <si>
    <t>1395468356</t>
  </si>
  <si>
    <t>1395409035</t>
  </si>
  <si>
    <t>1395421147</t>
  </si>
  <si>
    <t>1395408787</t>
  </si>
  <si>
    <t>1395416540</t>
  </si>
  <si>
    <t>1395423755</t>
  </si>
  <si>
    <t>1395421146</t>
  </si>
  <si>
    <t>1396508615</t>
  </si>
  <si>
    <t>1395427131</t>
  </si>
  <si>
    <t>1396499659</t>
  </si>
  <si>
    <t>1395417775</t>
  </si>
  <si>
    <t>1395467972</t>
  </si>
  <si>
    <t>1395426705</t>
  </si>
  <si>
    <t>1395419806</t>
  </si>
  <si>
    <t>1396514729</t>
  </si>
  <si>
    <t>1395433837</t>
  </si>
  <si>
    <t>1395411203</t>
  </si>
  <si>
    <t>1395441602</t>
  </si>
  <si>
    <t>1395430865</t>
  </si>
  <si>
    <t>1395410065</t>
  </si>
  <si>
    <t>1395417771</t>
  </si>
  <si>
    <t>1396512672</t>
  </si>
  <si>
    <t>1395417770</t>
  </si>
  <si>
    <t>1395421753</t>
  </si>
  <si>
    <t>1395401949</t>
  </si>
  <si>
    <t>1395421150</t>
  </si>
  <si>
    <t>1395435109</t>
  </si>
  <si>
    <t>1395401947</t>
  </si>
  <si>
    <t>1395401960</t>
  </si>
  <si>
    <t>1395409796</t>
  </si>
  <si>
    <t>1395457718</t>
  </si>
  <si>
    <t>1395428837</t>
  </si>
  <si>
    <t>1395410161</t>
  </si>
  <si>
    <t>1395411403</t>
  </si>
  <si>
    <t>1395471042</t>
  </si>
  <si>
    <t>1395455864</t>
  </si>
  <si>
    <t>1396490816</t>
  </si>
  <si>
    <t>1396502839</t>
  </si>
  <si>
    <t>1395441010</t>
  </si>
  <si>
    <t>1395408774</t>
  </si>
  <si>
    <t>1395441025</t>
  </si>
  <si>
    <t>1395401770</t>
  </si>
  <si>
    <t>1395401943</t>
  </si>
  <si>
    <t>1395430745</t>
  </si>
  <si>
    <t>1395423541</t>
  </si>
  <si>
    <t>1395423496</t>
  </si>
  <si>
    <t>1394391337</t>
  </si>
  <si>
    <t>1395409036</t>
  </si>
  <si>
    <t>1396511614</t>
  </si>
  <si>
    <t>1394390354</t>
  </si>
  <si>
    <t>1395414109</t>
  </si>
  <si>
    <t>1395426943</t>
  </si>
  <si>
    <t>1395464415</t>
  </si>
  <si>
    <t>1395470944</t>
  </si>
  <si>
    <t>1395446287</t>
  </si>
  <si>
    <t>1395458678</t>
  </si>
  <si>
    <t>1395462681</t>
  </si>
  <si>
    <t>1395468355</t>
  </si>
  <si>
    <t>1396492347</t>
  </si>
  <si>
    <t>1396496300</t>
  </si>
  <si>
    <t>1396516800</t>
  </si>
  <si>
    <t>1395467559</t>
  </si>
  <si>
    <t>1395466576</t>
  </si>
  <si>
    <t>1395451107</t>
  </si>
  <si>
    <t>1395471097</t>
  </si>
  <si>
    <t>1395423491</t>
  </si>
  <si>
    <t>1395470939</t>
  </si>
  <si>
    <t>1395417769</t>
  </si>
  <si>
    <t>1396496302</t>
  </si>
  <si>
    <t>1395421746</t>
  </si>
  <si>
    <t>1395419857</t>
  </si>
  <si>
    <t>1395471096</t>
  </si>
  <si>
    <t>1396503035</t>
  </si>
  <si>
    <t>1396508152</t>
  </si>
  <si>
    <t>1395411194</t>
  </si>
  <si>
    <t>1395461328</t>
  </si>
  <si>
    <t>1395402087</t>
  </si>
  <si>
    <t>1395408512</t>
  </si>
  <si>
    <t>1395471098</t>
  </si>
  <si>
    <t>1396490817</t>
  </si>
  <si>
    <t>1396496995</t>
  </si>
  <si>
    <t>1395414107</t>
  </si>
  <si>
    <t>1395428994</t>
  </si>
  <si>
    <t>1395414675</t>
  </si>
  <si>
    <t>1396511623</t>
  </si>
  <si>
    <t>1396499660</t>
  </si>
  <si>
    <t>1395427785</t>
  </si>
  <si>
    <t>1396487039</t>
  </si>
  <si>
    <t>1395454454</t>
  </si>
  <si>
    <t>1396514466</t>
  </si>
  <si>
    <t>1395421153</t>
  </si>
  <si>
    <t>1396508161</t>
  </si>
  <si>
    <t>1395414110</t>
  </si>
  <si>
    <t>1396508153</t>
  </si>
  <si>
    <t>1396511136</t>
  </si>
  <si>
    <t>1395421982</t>
  </si>
  <si>
    <t>1395414666</t>
  </si>
  <si>
    <t>1396482233</t>
  </si>
  <si>
    <t>1396516805</t>
  </si>
  <si>
    <t>1395410189</t>
  </si>
  <si>
    <t>1395426706</t>
  </si>
  <si>
    <t>1396477990</t>
  </si>
  <si>
    <t>1395469182</t>
  </si>
  <si>
    <t>1395427129</t>
  </si>
  <si>
    <t>1395414447</t>
  </si>
  <si>
    <t>1396496309</t>
  </si>
  <si>
    <t>1396511618</t>
  </si>
  <si>
    <t>1395471089</t>
  </si>
  <si>
    <t>1395407990</t>
  </si>
  <si>
    <t>1396500983</t>
  </si>
  <si>
    <t>1395443217</t>
  </si>
  <si>
    <t>1395451105</t>
  </si>
  <si>
    <t>1395426699</t>
  </si>
  <si>
    <t>1395430318</t>
  </si>
  <si>
    <t>1395414670</t>
  </si>
  <si>
    <t>1395421152</t>
  </si>
  <si>
    <t>1395443197</t>
  </si>
  <si>
    <t>1395433640</t>
  </si>
  <si>
    <t>1395428492</t>
  </si>
  <si>
    <t>1396508320</t>
  </si>
  <si>
    <t>1395427788</t>
  </si>
  <si>
    <t>1395467560</t>
  </si>
  <si>
    <t>1396505503</t>
  </si>
  <si>
    <t>1395433637</t>
  </si>
  <si>
    <t>1396500987</t>
  </si>
  <si>
    <t>1395421988</t>
  </si>
  <si>
    <t>1395411201</t>
  </si>
  <si>
    <t>1396481183</t>
  </si>
  <si>
    <t>1396514464</t>
  </si>
  <si>
    <t>1395464667</t>
  </si>
  <si>
    <t>1395460246</t>
  </si>
  <si>
    <t>1396485062</t>
  </si>
  <si>
    <t>1395416542</t>
  </si>
  <si>
    <t>1395426701</t>
  </si>
  <si>
    <t>1396511611</t>
  </si>
  <si>
    <t>1396506335</t>
  </si>
  <si>
    <t>1396512883</t>
  </si>
  <si>
    <t>1395426940</t>
  </si>
  <si>
    <t>1395471100</t>
  </si>
  <si>
    <t>1396488218</t>
  </si>
  <si>
    <t>1395428831</t>
  </si>
  <si>
    <t>1395428498</t>
  </si>
  <si>
    <t>1395418060</t>
  </si>
  <si>
    <t>1396514461</t>
  </si>
  <si>
    <t>1395433841</t>
  </si>
  <si>
    <t>1395421983</t>
  </si>
  <si>
    <t>1396514728</t>
  </si>
  <si>
    <t>1395428495</t>
  </si>
  <si>
    <t>1396508158</t>
  </si>
  <si>
    <t>1395411199</t>
  </si>
  <si>
    <t>1395412849</t>
  </si>
  <si>
    <t>1395407683</t>
  </si>
  <si>
    <t>1394392915</t>
  </si>
  <si>
    <t>1396511138</t>
  </si>
  <si>
    <t>1395407988</t>
  </si>
  <si>
    <t>1394391516</t>
  </si>
  <si>
    <t>1396499656</t>
  </si>
  <si>
    <t>1395426702</t>
  </si>
  <si>
    <t>1395428993</t>
  </si>
  <si>
    <t>1396497335</t>
  </si>
  <si>
    <t>1396514731</t>
  </si>
  <si>
    <t>1395471091</t>
  </si>
  <si>
    <t>1396502841</t>
  </si>
  <si>
    <t>96-961500404</t>
  </si>
  <si>
    <t>1395419801</t>
  </si>
  <si>
    <t>1396477994</t>
  </si>
  <si>
    <t>1395467358</t>
  </si>
  <si>
    <t>1395423454</t>
  </si>
  <si>
    <t>1395447618</t>
  </si>
  <si>
    <t>1395426727</t>
  </si>
  <si>
    <t>1395408773</t>
  </si>
  <si>
    <t>1396506172</t>
  </si>
  <si>
    <t>1395443379</t>
  </si>
  <si>
    <t>1396472558</t>
  </si>
  <si>
    <t>1395423483</t>
  </si>
  <si>
    <t>1395406641</t>
  </si>
  <si>
    <t>1395433647</t>
  </si>
  <si>
    <t>1395430749</t>
  </si>
  <si>
    <t>1395407682</t>
  </si>
  <si>
    <t>1395403561</t>
  </si>
  <si>
    <t>1395441431</t>
  </si>
  <si>
    <t>1395431909</t>
  </si>
  <si>
    <t>1395435119</t>
  </si>
  <si>
    <t>1395454457</t>
  </si>
  <si>
    <t>1396478792</t>
  </si>
  <si>
    <t>1395407389</t>
  </si>
  <si>
    <t>1396504607</t>
  </si>
  <si>
    <t>1395464671</t>
  </si>
  <si>
    <t>1395407381</t>
  </si>
  <si>
    <t>1395403054</t>
  </si>
  <si>
    <t>1395423485</t>
  </si>
  <si>
    <t>1395456106</t>
  </si>
  <si>
    <t>1396477828</t>
  </si>
  <si>
    <t>1395404431</t>
  </si>
  <si>
    <t>1396477330</t>
  </si>
  <si>
    <t>1394391520</t>
  </si>
  <si>
    <t>1395410064</t>
  </si>
  <si>
    <t>1396489106</t>
  </si>
  <si>
    <t>1396514727</t>
  </si>
  <si>
    <t>1395456366</t>
  </si>
  <si>
    <t>1394396736</t>
  </si>
  <si>
    <t>1396474036</t>
  </si>
  <si>
    <t>1395421141</t>
  </si>
  <si>
    <t>1395457463</t>
  </si>
  <si>
    <t>1395457633</t>
  </si>
  <si>
    <t>1395462880</t>
  </si>
  <si>
    <t>1395409020</t>
  </si>
  <si>
    <t>1395427810</t>
  </si>
  <si>
    <t>1396488216</t>
  </si>
  <si>
    <t>1395441432</t>
  </si>
  <si>
    <t>1395436846</t>
  </si>
  <si>
    <t>1396474837</t>
  </si>
  <si>
    <t>1395412582</t>
  </si>
  <si>
    <t>1395407981</t>
  </si>
  <si>
    <t>1395455863</t>
  </si>
  <si>
    <t>1395412581</t>
  </si>
  <si>
    <t>1395411227</t>
  </si>
  <si>
    <t>1396514469</t>
  </si>
  <si>
    <t>1395449224</t>
  </si>
  <si>
    <t>1395411228</t>
  </si>
  <si>
    <t>1395423484</t>
  </si>
  <si>
    <t>1395406645</t>
  </si>
  <si>
    <t>1396496983</t>
  </si>
  <si>
    <t>1395406249</t>
  </si>
  <si>
    <t>1396493157</t>
  </si>
  <si>
    <t>1395449865</t>
  </si>
  <si>
    <t>1396478982</t>
  </si>
  <si>
    <t>1396500985</t>
  </si>
  <si>
    <t>1396478793</t>
  </si>
  <si>
    <t>1395446074</t>
  </si>
  <si>
    <t>1396488807</t>
  </si>
  <si>
    <t>1396511621</t>
  </si>
  <si>
    <t>96-961500413</t>
  </si>
  <si>
    <t>1396511639001</t>
  </si>
  <si>
    <t>96-961500430</t>
  </si>
  <si>
    <t>96-961500446</t>
  </si>
  <si>
    <t>96-961500466</t>
  </si>
  <si>
    <t>1396510930001</t>
  </si>
  <si>
    <t>1396510931001</t>
  </si>
  <si>
    <t>96-961500419</t>
  </si>
  <si>
    <t>1395471026001</t>
  </si>
  <si>
    <t>96-961500484</t>
  </si>
  <si>
    <t xml:space="preserve">  EAPICO GLOBAL TRADING FZE</t>
  </si>
  <si>
    <t>1396514714001</t>
  </si>
  <si>
    <t>1395449240001</t>
  </si>
  <si>
    <t>1396471703001</t>
  </si>
  <si>
    <t>1395461990</t>
  </si>
  <si>
    <t>1395399729</t>
  </si>
  <si>
    <t>1394396734</t>
  </si>
  <si>
    <t>1395415787</t>
  </si>
  <si>
    <t>1395421163</t>
  </si>
  <si>
    <t>1396500982</t>
  </si>
  <si>
    <t>1396508151</t>
  </si>
  <si>
    <t>1395397989001</t>
  </si>
  <si>
    <t>1395401767</t>
  </si>
  <si>
    <t>1395460609</t>
  </si>
  <si>
    <t>1395401963</t>
  </si>
  <si>
    <t>1395467572</t>
  </si>
  <si>
    <t>1396496230001</t>
  </si>
  <si>
    <t>1395465000</t>
  </si>
  <si>
    <t>1396509604</t>
  </si>
  <si>
    <t>1395461988</t>
  </si>
  <si>
    <t>1396486824</t>
  </si>
  <si>
    <t>1395444761</t>
  </si>
  <si>
    <t>1395441008</t>
  </si>
  <si>
    <t>1395450880</t>
  </si>
  <si>
    <t>1396496299</t>
  </si>
  <si>
    <t>1395449864</t>
  </si>
  <si>
    <t>1395449421</t>
  </si>
  <si>
    <t>1395466574</t>
  </si>
  <si>
    <t>1395433840</t>
  </si>
  <si>
    <t>1395464661</t>
  </si>
  <si>
    <t>96-964100059</t>
  </si>
  <si>
    <t>1396475296</t>
  </si>
  <si>
    <t>1395464561</t>
  </si>
  <si>
    <t>1395416064</t>
  </si>
  <si>
    <t>1395446084</t>
  </si>
  <si>
    <t>1395455865</t>
  </si>
  <si>
    <t>1395421747</t>
  </si>
  <si>
    <t>1395454455</t>
  </si>
  <si>
    <t>1396499658</t>
  </si>
  <si>
    <t>1395421755</t>
  </si>
  <si>
    <t>1396501178</t>
  </si>
  <si>
    <t>1396512880</t>
  </si>
  <si>
    <t>1395412592</t>
  </si>
  <si>
    <t>1394391339</t>
  </si>
  <si>
    <t>13954011990</t>
  </si>
  <si>
    <t>1395421992</t>
  </si>
  <si>
    <t>1396502537</t>
  </si>
  <si>
    <t>1395454585</t>
  </si>
  <si>
    <t>1396511132</t>
  </si>
  <si>
    <t>1395430313</t>
  </si>
  <si>
    <t>1396504611</t>
  </si>
  <si>
    <t>1395407386</t>
  </si>
  <si>
    <t>1396499657</t>
  </si>
  <si>
    <t>1395449400</t>
  </si>
  <si>
    <t>1395470073</t>
  </si>
  <si>
    <t>1395447610</t>
  </si>
  <si>
    <t>1395433833</t>
  </si>
  <si>
    <t>1396514465</t>
  </si>
  <si>
    <t>1395460245</t>
  </si>
  <si>
    <t>1395414104</t>
  </si>
  <si>
    <t>1395407684</t>
  </si>
  <si>
    <t>1396515927</t>
  </si>
  <si>
    <t>1395418118</t>
  </si>
  <si>
    <t>1396499718</t>
  </si>
  <si>
    <t>1395410183</t>
  </si>
  <si>
    <t>1395421522</t>
  </si>
  <si>
    <t>1395421985</t>
  </si>
  <si>
    <t>1395446076</t>
  </si>
  <si>
    <t>1395462686</t>
  </si>
  <si>
    <t>1395468799</t>
  </si>
  <si>
    <t>1395421990</t>
  </si>
  <si>
    <t>1395416544</t>
  </si>
  <si>
    <t>1395410158</t>
  </si>
  <si>
    <t>1396501180</t>
  </si>
  <si>
    <t>1396511616</t>
  </si>
  <si>
    <t>1395423490</t>
  </si>
  <si>
    <t>1395446075</t>
  </si>
  <si>
    <t>1395423495</t>
  </si>
  <si>
    <t>1395421157</t>
  </si>
  <si>
    <t>1396506153</t>
  </si>
  <si>
    <t>1395411356</t>
  </si>
  <si>
    <t>1395410184</t>
  </si>
  <si>
    <t>1395427132</t>
  </si>
  <si>
    <t>1395461522</t>
  </si>
  <si>
    <t>1395423690</t>
  </si>
  <si>
    <t>1395403055</t>
  </si>
  <si>
    <t>1395421749</t>
  </si>
  <si>
    <t>1396514462</t>
  </si>
  <si>
    <t>1395421754</t>
  </si>
  <si>
    <t>1395424222</t>
  </si>
  <si>
    <t>1396514741</t>
  </si>
  <si>
    <t>1396504614</t>
  </si>
  <si>
    <t>1395399735</t>
  </si>
  <si>
    <t>1396503551</t>
  </si>
  <si>
    <t>1396511130</t>
  </si>
  <si>
    <t>1395411601</t>
  </si>
  <si>
    <t>1395433646</t>
  </si>
  <si>
    <t>1395444762</t>
  </si>
  <si>
    <t>1396481181</t>
  </si>
  <si>
    <t>1395435384</t>
  </si>
  <si>
    <t>1395401761</t>
  </si>
  <si>
    <t>1395436738</t>
  </si>
  <si>
    <t>1395406246</t>
  </si>
  <si>
    <t>1396477522</t>
  </si>
  <si>
    <t>1396481182</t>
  </si>
  <si>
    <t>1395421503</t>
  </si>
  <si>
    <t>1395464565</t>
  </si>
  <si>
    <t>1396474037</t>
  </si>
  <si>
    <t>1396495017</t>
  </si>
  <si>
    <t>ش.ق</t>
  </si>
  <si>
    <t>96/07/04</t>
  </si>
  <si>
    <t>96/07/16</t>
  </si>
  <si>
    <t>96/07/11</t>
  </si>
  <si>
    <t>96/07/01</t>
  </si>
  <si>
    <t>96/06/29</t>
  </si>
  <si>
    <t>96/07/23</t>
  </si>
  <si>
    <t>15100-478979</t>
  </si>
  <si>
    <t>96/07/05</t>
  </si>
  <si>
    <t>15100-478582</t>
  </si>
  <si>
    <t>15100-478511</t>
  </si>
  <si>
    <t>15100-479665</t>
  </si>
  <si>
    <t>96/07/10</t>
  </si>
  <si>
    <t>15100-479237</t>
  </si>
  <si>
    <t>96/07/06</t>
  </si>
  <si>
    <t>15100-477309</t>
  </si>
  <si>
    <t>96/07/02</t>
  </si>
  <si>
    <t>15100-480186</t>
  </si>
  <si>
    <t>15100-478542</t>
  </si>
  <si>
    <t>15100-476759</t>
  </si>
  <si>
    <t>15100-480438</t>
  </si>
  <si>
    <t>96/07/12</t>
  </si>
  <si>
    <t>15100-479770</t>
  </si>
  <si>
    <t>15100-479695</t>
  </si>
  <si>
    <t>15100-479370</t>
  </si>
  <si>
    <t>15100-479385</t>
  </si>
  <si>
    <t>15100-480135</t>
  </si>
  <si>
    <t>15100-477423</t>
  </si>
  <si>
    <t>15100-477345</t>
  </si>
  <si>
    <t>15100-481139</t>
  </si>
  <si>
    <t>96/07/13</t>
  </si>
  <si>
    <t>15100-479788</t>
  </si>
  <si>
    <t>15100-479376</t>
  </si>
  <si>
    <t>15100-480689</t>
  </si>
  <si>
    <t>15100-477910</t>
  </si>
  <si>
    <t>96/07/03</t>
  </si>
  <si>
    <t>15100-479803</t>
  </si>
  <si>
    <t>15100-476738</t>
  </si>
  <si>
    <t>15100-477901</t>
  </si>
  <si>
    <t>15100-479249</t>
  </si>
  <si>
    <t>15100-477913</t>
  </si>
  <si>
    <t>15100-476934</t>
  </si>
  <si>
    <t>15100-477983</t>
  </si>
  <si>
    <t>15100-480662</t>
  </si>
  <si>
    <t>15100-475185</t>
  </si>
  <si>
    <t>15100-472803</t>
  </si>
  <si>
    <t xml:space="preserve"> ارمنستان</t>
  </si>
  <si>
    <t xml:space="preserve">نوردوز </t>
  </si>
  <si>
    <t>ترکمنستان</t>
  </si>
  <si>
    <t>تانزانیا</t>
  </si>
  <si>
    <t>منطقه ویژه اقتصادی شهید رجایی</t>
  </si>
  <si>
    <t>زیمباوه</t>
  </si>
  <si>
    <t>بازارچه کوهک55107</t>
  </si>
  <si>
    <t>بازاچه کوهک</t>
  </si>
  <si>
    <t>افغانستان</t>
  </si>
  <si>
    <t>امارات متحده عربي</t>
  </si>
  <si>
    <t>جیبوتی</t>
  </si>
  <si>
    <t>سریلانکا</t>
  </si>
  <si>
    <t>میانمار</t>
  </si>
  <si>
    <t>کنیا</t>
  </si>
  <si>
    <t>سومالی</t>
  </si>
  <si>
    <t>تایوان</t>
  </si>
  <si>
    <t>سنگال</t>
  </si>
  <si>
    <t>کامرون</t>
  </si>
  <si>
    <t>اندونزی</t>
  </si>
  <si>
    <t>سودان</t>
  </si>
  <si>
    <t>تانزانيا</t>
  </si>
  <si>
    <t>اندونزي</t>
  </si>
  <si>
    <t>قطر</t>
  </si>
  <si>
    <t xml:space="preserve"> ميانمار</t>
  </si>
  <si>
    <t>ويتنام</t>
  </si>
  <si>
    <t>سريلانکا</t>
  </si>
  <si>
    <t>sebco-4047-2055</t>
  </si>
  <si>
    <t>15100-473905</t>
  </si>
  <si>
    <t>15100-471059</t>
  </si>
  <si>
    <t>15100-467418</t>
  </si>
  <si>
    <t>15100-476413</t>
  </si>
  <si>
    <t>96/06/30</t>
  </si>
  <si>
    <t>15100-472278</t>
  </si>
  <si>
    <t>15100-473457</t>
  </si>
  <si>
    <t>96/07/30</t>
  </si>
  <si>
    <t>1396520117</t>
  </si>
  <si>
    <t>1396518902</t>
  </si>
  <si>
    <t>1396517656001</t>
  </si>
  <si>
    <t>1396518933001</t>
  </si>
  <si>
    <t>1396517669</t>
  </si>
  <si>
    <t>1396519912</t>
  </si>
  <si>
    <t>1396512829001</t>
  </si>
  <si>
    <t>1396517654001</t>
  </si>
  <si>
    <t>1396519152</t>
  </si>
  <si>
    <t>1396520116</t>
  </si>
  <si>
    <t>1396517658001</t>
  </si>
  <si>
    <t>1396518388</t>
  </si>
  <si>
    <t>1396519916</t>
  </si>
  <si>
    <t>1396519915</t>
  </si>
  <si>
    <t>1396519155</t>
  </si>
  <si>
    <t>1396520119</t>
  </si>
  <si>
    <t>1396518910</t>
  </si>
  <si>
    <t>1396518916</t>
  </si>
  <si>
    <t>1396519914</t>
  </si>
  <si>
    <t>1396517388</t>
  </si>
  <si>
    <t>1396520118</t>
  </si>
  <si>
    <t>1396517982001</t>
  </si>
  <si>
    <t>1396519154</t>
  </si>
  <si>
    <t>1396517671</t>
  </si>
  <si>
    <t>1396518905</t>
  </si>
  <si>
    <t>1396512825001</t>
  </si>
  <si>
    <t>1396512824001</t>
  </si>
  <si>
    <t>1396511683001</t>
  </si>
  <si>
    <t>1396518327001</t>
  </si>
  <si>
    <t>1396517687001</t>
  </si>
  <si>
    <t>1396516821001</t>
  </si>
  <si>
    <t>1396511682001</t>
  </si>
  <si>
    <t>1396520115</t>
  </si>
  <si>
    <t>1396517666</t>
  </si>
  <si>
    <t>1396514713001</t>
  </si>
  <si>
    <t>1396516772001</t>
  </si>
  <si>
    <t>1396516792</t>
  </si>
  <si>
    <t>1396518620</t>
  </si>
  <si>
    <t>1396518386</t>
  </si>
  <si>
    <t>1396518387</t>
  </si>
  <si>
    <t>1396517672</t>
  </si>
  <si>
    <t>1396518398001</t>
  </si>
  <si>
    <t>1396519917</t>
  </si>
  <si>
    <t>1396517385</t>
  </si>
  <si>
    <t>1396518904</t>
  </si>
  <si>
    <t>1396519153</t>
  </si>
  <si>
    <t>1396517670</t>
  </si>
  <si>
    <t>1396517588001</t>
  </si>
  <si>
    <t>1396517688001</t>
  </si>
  <si>
    <t>1396519150</t>
  </si>
  <si>
    <t>1396518903</t>
  </si>
  <si>
    <t>1396518615</t>
  </si>
  <si>
    <t>1396517686001</t>
  </si>
  <si>
    <t>1396519944</t>
  </si>
  <si>
    <t>1396519151</t>
  </si>
  <si>
    <t>1396519156</t>
  </si>
  <si>
    <t>1396518619</t>
  </si>
  <si>
    <t>1396517659001</t>
  </si>
  <si>
    <t>1396517667</t>
  </si>
  <si>
    <t>1396517668</t>
  </si>
  <si>
    <t>1396518611</t>
  </si>
  <si>
    <t>ش ك 251</t>
  </si>
  <si>
    <t>1396516791</t>
  </si>
  <si>
    <t>1396519913</t>
  </si>
  <si>
    <t>96/08/02</t>
  </si>
  <si>
    <t>50100-9344068</t>
  </si>
  <si>
    <t>96-961500461</t>
  </si>
  <si>
    <t>50100-9338953</t>
  </si>
  <si>
    <t>96/07/22</t>
  </si>
  <si>
    <t>96-962500122</t>
  </si>
  <si>
    <t>50100-9326425</t>
  </si>
  <si>
    <t>96/07/18</t>
  </si>
  <si>
    <t>96-961500363</t>
  </si>
  <si>
    <t>50100-9360902</t>
  </si>
  <si>
    <t>96/07/26</t>
  </si>
  <si>
    <t>96-962500123</t>
  </si>
  <si>
    <t>50100-9360135</t>
  </si>
  <si>
    <t>96-964100064</t>
  </si>
  <si>
    <t>96/08/01</t>
  </si>
  <si>
    <t>50100-9321183</t>
  </si>
  <si>
    <t>96-962500114</t>
  </si>
  <si>
    <t>50100-9320843</t>
  </si>
  <si>
    <t>96-962500110</t>
  </si>
  <si>
    <t>50100-9344693</t>
  </si>
  <si>
    <t>96-961500437</t>
  </si>
  <si>
    <t>50100-9340929</t>
  </si>
  <si>
    <t>96-961500526</t>
  </si>
  <si>
    <t>50100-9313810</t>
  </si>
  <si>
    <t>96-964100061</t>
  </si>
  <si>
    <t>50100-9360258</t>
  </si>
  <si>
    <t>96-964100065</t>
  </si>
  <si>
    <t>50100-9328510</t>
  </si>
  <si>
    <t>96/07/19</t>
  </si>
  <si>
    <t>50100-9313692</t>
  </si>
  <si>
    <t>96-964100062</t>
  </si>
  <si>
    <t>50100-9336847</t>
  </si>
  <si>
    <t>50100-9355262</t>
  </si>
  <si>
    <t>96/07/25</t>
  </si>
  <si>
    <t>96-961500359</t>
  </si>
  <si>
    <t>50100-9337959</t>
  </si>
  <si>
    <t>50100-9320991</t>
  </si>
  <si>
    <t>50100-9325486</t>
  </si>
  <si>
    <t>50100-9373155</t>
  </si>
  <si>
    <t>96-961500442</t>
  </si>
  <si>
    <t>96-961500452</t>
  </si>
  <si>
    <t>50100-9362009</t>
  </si>
  <si>
    <t>96-962500117</t>
  </si>
  <si>
    <t>96-962500111</t>
  </si>
  <si>
    <t>50100-9344349</t>
  </si>
  <si>
    <t>96-964100063</t>
  </si>
  <si>
    <t>96-961500465</t>
  </si>
  <si>
    <t>50100-9320645</t>
  </si>
  <si>
    <t>96-962500112</t>
  </si>
  <si>
    <t>50100-9338580</t>
  </si>
  <si>
    <t>96-962500120</t>
  </si>
  <si>
    <t>50100-9331736</t>
  </si>
  <si>
    <t>96-962500108</t>
  </si>
  <si>
    <t>50100-9353322</t>
  </si>
  <si>
    <t>50100-9313044</t>
  </si>
  <si>
    <t>50100-9372853</t>
  </si>
  <si>
    <t>96-962500124</t>
  </si>
  <si>
    <t>50100-9354701</t>
  </si>
  <si>
    <t>96-961500438</t>
  </si>
  <si>
    <t>50100-9314803</t>
  </si>
  <si>
    <t>96-962500094</t>
  </si>
  <si>
    <t>96-962500095</t>
  </si>
  <si>
    <t>50100-9361401</t>
  </si>
  <si>
    <t>50100-9366841</t>
  </si>
  <si>
    <t>96/07/29</t>
  </si>
  <si>
    <t>96-962500116</t>
  </si>
  <si>
    <t>50100-9361788</t>
  </si>
  <si>
    <t>50100-9346142</t>
  </si>
  <si>
    <t>96-961500519</t>
  </si>
  <si>
    <t>50100-9354304</t>
  </si>
  <si>
    <t>96/07/24</t>
  </si>
  <si>
    <t>50100-9361856</t>
  </si>
  <si>
    <t>96-962500107</t>
  </si>
  <si>
    <t>96/08/07</t>
  </si>
  <si>
    <t>15100-468463</t>
  </si>
  <si>
    <t>96-961500368</t>
  </si>
  <si>
    <t>15100-481638</t>
  </si>
  <si>
    <t>96/07/15</t>
  </si>
  <si>
    <t>15100-481771</t>
  </si>
  <si>
    <t>15100-481744</t>
  </si>
  <si>
    <t>15100-479366</t>
  </si>
  <si>
    <t>15100-480144</t>
  </si>
  <si>
    <t>15100-481052</t>
  </si>
  <si>
    <t>15100-481205</t>
  </si>
  <si>
    <t>15100-480618</t>
  </si>
  <si>
    <t>Infinity Import Export PVT LTD</t>
  </si>
  <si>
    <t>96/08/08</t>
  </si>
  <si>
    <t>15100-489731</t>
  </si>
  <si>
    <t>15100-483348</t>
  </si>
  <si>
    <t>15100-486864</t>
  </si>
  <si>
    <t>96-961500544</t>
  </si>
  <si>
    <t>15100-489129</t>
  </si>
  <si>
    <t>96-961500462</t>
  </si>
  <si>
    <t>96-961500421</t>
  </si>
  <si>
    <t>15100-488210</t>
  </si>
  <si>
    <t>96/07/27</t>
  </si>
  <si>
    <t>96-961500517</t>
  </si>
  <si>
    <t>96-961500506</t>
  </si>
  <si>
    <t>96-961500542</t>
  </si>
  <si>
    <t>LLC Black Gem Business</t>
  </si>
  <si>
    <t>15100-488400</t>
  </si>
  <si>
    <t>96-961500464</t>
  </si>
  <si>
    <t>15100-489151</t>
  </si>
  <si>
    <t>15100-487561</t>
  </si>
  <si>
    <t>15100-488373</t>
  </si>
  <si>
    <t>96-961500422</t>
  </si>
  <si>
    <t>96-961500455</t>
  </si>
  <si>
    <t>96-961500360</t>
  </si>
  <si>
    <t>15100-487538</t>
  </si>
  <si>
    <t>15100-489179</t>
  </si>
  <si>
    <t>15100-486972</t>
  </si>
  <si>
    <t>15100-483484</t>
  </si>
  <si>
    <t>96-961500511</t>
  </si>
  <si>
    <t>Shahab llc</t>
  </si>
  <si>
    <t>15100-483005</t>
  </si>
  <si>
    <t>15100-485341</t>
  </si>
  <si>
    <t>15100-484050</t>
  </si>
  <si>
    <t>96-961500505</t>
  </si>
  <si>
    <t>15100-487629</t>
  </si>
  <si>
    <t>15100-484041</t>
  </si>
  <si>
    <t>15100-486454</t>
  </si>
  <si>
    <t>96-961500405</t>
  </si>
  <si>
    <t>15100-485380</t>
  </si>
  <si>
    <t>15100-482963</t>
  </si>
  <si>
    <t>15100-485176</t>
  </si>
  <si>
    <t>96-961500491</t>
  </si>
  <si>
    <t>15100-483435</t>
  </si>
  <si>
    <t>96-961500510</t>
  </si>
  <si>
    <t>15100-485332</t>
  </si>
  <si>
    <t>15100-482373</t>
  </si>
  <si>
    <t>96-961500538</t>
  </si>
  <si>
    <t>96-961500501</t>
  </si>
  <si>
    <t>15100-485362</t>
  </si>
  <si>
    <t>15100-485922</t>
  </si>
  <si>
    <t>15100-489785</t>
  </si>
  <si>
    <t>15100-487598</t>
  </si>
  <si>
    <t>96-961500441</t>
  </si>
  <si>
    <t>15100-484830</t>
  </si>
  <si>
    <t>96/07/20</t>
  </si>
  <si>
    <t>15100-485846</t>
  </si>
  <si>
    <t>96-961500524</t>
  </si>
  <si>
    <t>15100-483481</t>
  </si>
  <si>
    <t>15100-484656</t>
  </si>
  <si>
    <t>15100-482421</t>
  </si>
  <si>
    <t>15100-486939</t>
  </si>
  <si>
    <t>15100-484017</t>
  </si>
  <si>
    <t>15100-484763</t>
  </si>
  <si>
    <t>15100-482523</t>
  </si>
  <si>
    <t>15100-489117</t>
  </si>
  <si>
    <t>96-961500425</t>
  </si>
  <si>
    <t>15100-480636</t>
  </si>
  <si>
    <t>96/08/10</t>
  </si>
  <si>
    <t>بشكه</t>
  </si>
  <si>
    <t>فله</t>
  </si>
  <si>
    <t xml:space="preserve">فله </t>
  </si>
  <si>
    <t>-</t>
  </si>
  <si>
    <t>بسته بندی</t>
  </si>
  <si>
    <t>کوتاژ</t>
  </si>
  <si>
    <t>نوع بسته بندی</t>
  </si>
  <si>
    <t>8499469</t>
  </si>
  <si>
    <t>8489612</t>
  </si>
  <si>
    <t>8490044</t>
  </si>
  <si>
    <t>8501342</t>
  </si>
  <si>
    <t>8491399</t>
  </si>
  <si>
    <t>8486277</t>
  </si>
  <si>
    <t>397380</t>
  </si>
  <si>
    <t>396610</t>
  </si>
  <si>
    <t>397515</t>
  </si>
  <si>
    <t>398199</t>
  </si>
  <si>
    <t>396906</t>
  </si>
  <si>
    <t>397823</t>
  </si>
  <si>
    <t>396903</t>
  </si>
  <si>
    <t>397732</t>
  </si>
  <si>
    <t>396466</t>
  </si>
  <si>
    <t>398229</t>
  </si>
  <si>
    <t>396700</t>
  </si>
  <si>
    <t>397850</t>
  </si>
  <si>
    <t>398244</t>
  </si>
  <si>
    <t>8560842</t>
  </si>
  <si>
    <t>8506023</t>
  </si>
  <si>
    <t>8555578</t>
  </si>
  <si>
    <t>8521543</t>
  </si>
  <si>
    <t>8537296</t>
  </si>
  <si>
    <t>8557324</t>
  </si>
  <si>
    <t>8529844</t>
  </si>
  <si>
    <t>8505960</t>
  </si>
  <si>
    <t>8551286</t>
  </si>
  <si>
    <t>8551181</t>
  </si>
  <si>
    <t>8562637</t>
  </si>
  <si>
    <t>8545654</t>
  </si>
  <si>
    <t>8521645</t>
  </si>
  <si>
    <t>8548534</t>
  </si>
  <si>
    <t>8547550</t>
  </si>
  <si>
    <t>8531415</t>
  </si>
  <si>
    <t>8545917</t>
  </si>
  <si>
    <t>8537074</t>
  </si>
  <si>
    <t>8555851</t>
  </si>
  <si>
    <t>8530045</t>
  </si>
  <si>
    <t>8538079</t>
  </si>
  <si>
    <t>8556117</t>
  </si>
  <si>
    <t>8532652</t>
  </si>
  <si>
    <t>8547695</t>
  </si>
  <si>
    <t>8557417</t>
  </si>
  <si>
    <t>8557447</t>
  </si>
  <si>
    <t>8520226</t>
  </si>
  <si>
    <t>8540936</t>
  </si>
  <si>
    <t>8548031</t>
  </si>
  <si>
    <t>8554590</t>
  </si>
  <si>
    <t>8506228</t>
  </si>
  <si>
    <t>399667</t>
  </si>
  <si>
    <t>398821</t>
  </si>
  <si>
    <t>405804</t>
  </si>
  <si>
    <t>402715</t>
  </si>
  <si>
    <t>402724</t>
  </si>
  <si>
    <t>399199</t>
  </si>
  <si>
    <t>398641</t>
  </si>
  <si>
    <t>403972</t>
  </si>
  <si>
    <t>402206</t>
  </si>
  <si>
    <t>402293</t>
  </si>
  <si>
    <t>398551</t>
  </si>
  <si>
    <t>402227</t>
  </si>
  <si>
    <t>399754</t>
  </si>
  <si>
    <t>404062</t>
  </si>
  <si>
    <t>403957</t>
  </si>
  <si>
    <t>402003</t>
  </si>
  <si>
    <t>402317</t>
  </si>
  <si>
    <t>404592</t>
  </si>
  <si>
    <t>403282</t>
  </si>
  <si>
    <t>402703</t>
  </si>
  <si>
    <t>403984</t>
  </si>
  <si>
    <t>399812</t>
  </si>
  <si>
    <t>404119</t>
  </si>
  <si>
    <t>403264</t>
  </si>
  <si>
    <t>402691</t>
  </si>
  <si>
    <t>402290</t>
  </si>
  <si>
    <t>401498</t>
  </si>
  <si>
    <t>405705</t>
  </si>
  <si>
    <t>401633</t>
  </si>
  <si>
    <t>400754</t>
  </si>
  <si>
    <t>405133</t>
  </si>
  <si>
    <t>404462</t>
  </si>
  <si>
    <t>404537</t>
  </si>
  <si>
    <t>405653</t>
  </si>
  <si>
    <t>405687</t>
  </si>
  <si>
    <t>403400</t>
  </si>
  <si>
    <t>403394</t>
  </si>
  <si>
    <t>401588</t>
  </si>
  <si>
    <t>401540</t>
  </si>
  <si>
    <t>399827</t>
  </si>
  <si>
    <t>404480</t>
  </si>
  <si>
    <t>403228</t>
  </si>
  <si>
    <t>402598</t>
  </si>
  <si>
    <t>400907</t>
  </si>
  <si>
    <t>405115</t>
  </si>
  <si>
    <t>400796</t>
  </si>
  <si>
    <t>405082</t>
  </si>
  <si>
    <t>400889</t>
  </si>
  <si>
    <t>400865</t>
  </si>
  <si>
    <t>400248</t>
  </si>
  <si>
    <t>400272</t>
  </si>
  <si>
    <t>400706</t>
  </si>
  <si>
    <t>8624148</t>
  </si>
  <si>
    <t>8582427</t>
  </si>
  <si>
    <t>8591792</t>
  </si>
  <si>
    <t>8628101</t>
  </si>
  <si>
    <t>8633754</t>
  </si>
  <si>
    <t>8603595</t>
  </si>
  <si>
    <t>8619694</t>
  </si>
  <si>
    <t>8578135</t>
  </si>
  <si>
    <t>8566740</t>
  </si>
  <si>
    <t>8619529</t>
  </si>
  <si>
    <t>8585372</t>
  </si>
  <si>
    <t>8583095</t>
  </si>
  <si>
    <t>8585640</t>
  </si>
  <si>
    <t>8562970</t>
  </si>
  <si>
    <t>8591762</t>
  </si>
  <si>
    <t>8567310</t>
  </si>
  <si>
    <t>8574446</t>
  </si>
  <si>
    <t>8636134</t>
  </si>
  <si>
    <t>8577187</t>
  </si>
  <si>
    <t>8576788</t>
  </si>
  <si>
    <t>8577395</t>
  </si>
  <si>
    <t>8609178</t>
  </si>
  <si>
    <t>8594939</t>
  </si>
  <si>
    <t>8588638</t>
  </si>
  <si>
    <t>8563722</t>
  </si>
  <si>
    <t>8608852</t>
  </si>
  <si>
    <t>8609534</t>
  </si>
  <si>
    <t>8620950</t>
  </si>
  <si>
    <t>8570910</t>
  </si>
  <si>
    <t>8591831</t>
  </si>
  <si>
    <t>8638437</t>
  </si>
  <si>
    <t>8568272</t>
  </si>
  <si>
    <t>8577658</t>
  </si>
  <si>
    <t>8608133</t>
  </si>
  <si>
    <t>411655</t>
  </si>
  <si>
    <t>412516</t>
  </si>
  <si>
    <t>411055</t>
  </si>
  <si>
    <t>407587</t>
  </si>
  <si>
    <t>411046</t>
  </si>
  <si>
    <t>406911</t>
  </si>
  <si>
    <t>406896</t>
  </si>
  <si>
    <t>407638</t>
  </si>
  <si>
    <t>410265</t>
  </si>
  <si>
    <t>411013</t>
  </si>
  <si>
    <t>407683</t>
  </si>
  <si>
    <t>409693</t>
  </si>
  <si>
    <t>411514</t>
  </si>
  <si>
    <t>409200</t>
  </si>
  <si>
    <t>409687</t>
  </si>
  <si>
    <t>408994</t>
  </si>
  <si>
    <t>412922</t>
  </si>
  <si>
    <t>408242</t>
  </si>
  <si>
    <t>410941</t>
  </si>
  <si>
    <t>406319</t>
  </si>
  <si>
    <t>408284</t>
  </si>
  <si>
    <t>412973</t>
  </si>
  <si>
    <t>409681</t>
  </si>
  <si>
    <t>409084</t>
  </si>
  <si>
    <t>412871</t>
  </si>
  <si>
    <t>409015</t>
  </si>
  <si>
    <t>409697</t>
  </si>
  <si>
    <t>411442</t>
  </si>
  <si>
    <t>412471</t>
  </si>
  <si>
    <t>410283</t>
  </si>
  <si>
    <t>413051</t>
  </si>
  <si>
    <t>411774</t>
  </si>
  <si>
    <t>408251</t>
  </si>
  <si>
    <t>412450</t>
  </si>
  <si>
    <t>406303</t>
  </si>
  <si>
    <t>406291</t>
  </si>
  <si>
    <t>420701</t>
  </si>
  <si>
    <t>413716</t>
  </si>
  <si>
    <t>415044</t>
  </si>
  <si>
    <t>415669</t>
  </si>
  <si>
    <t>417481</t>
  </si>
  <si>
    <t>416921</t>
  </si>
  <si>
    <t>422084</t>
  </si>
  <si>
    <t>416177</t>
  </si>
  <si>
    <t>414291</t>
  </si>
  <si>
    <t>416228</t>
  </si>
  <si>
    <t>418012</t>
  </si>
  <si>
    <t>414400</t>
  </si>
  <si>
    <t>414382</t>
  </si>
  <si>
    <t>418674</t>
  </si>
  <si>
    <t>415581</t>
  </si>
  <si>
    <t>413704</t>
  </si>
  <si>
    <t>415599</t>
  </si>
  <si>
    <t>417520</t>
  </si>
  <si>
    <t>8690665</t>
  </si>
  <si>
    <t>8656987</t>
  </si>
  <si>
    <t>8680250</t>
  </si>
  <si>
    <t>8657205</t>
  </si>
  <si>
    <t>8740886</t>
  </si>
  <si>
    <t>8758589</t>
  </si>
  <si>
    <t>8760011</t>
  </si>
  <si>
    <t>8773030</t>
  </si>
  <si>
    <t>8725834</t>
  </si>
  <si>
    <t>8770283</t>
  </si>
  <si>
    <t>8770902</t>
  </si>
  <si>
    <t>8752132</t>
  </si>
  <si>
    <t>8770531</t>
  </si>
  <si>
    <t>8750723</t>
  </si>
  <si>
    <t>8712245</t>
  </si>
  <si>
    <t>8719480</t>
  </si>
  <si>
    <t>421250</t>
  </si>
  <si>
    <t>420708</t>
  </si>
  <si>
    <t>422060</t>
  </si>
  <si>
    <t>421406</t>
  </si>
  <si>
    <t>422003</t>
  </si>
  <si>
    <t>420025</t>
  </si>
  <si>
    <t>420674</t>
  </si>
  <si>
    <t>421268</t>
  </si>
  <si>
    <t>414897</t>
  </si>
  <si>
    <t>417499</t>
  </si>
  <si>
    <t>416912</t>
  </si>
  <si>
    <t>418671</t>
  </si>
  <si>
    <t>419086</t>
  </si>
  <si>
    <t>416897</t>
  </si>
  <si>
    <t>418059</t>
  </si>
  <si>
    <t>419119</t>
  </si>
  <si>
    <t>429244</t>
  </si>
  <si>
    <t>426525</t>
  </si>
  <si>
    <t>428672</t>
  </si>
  <si>
    <t>429370</t>
  </si>
  <si>
    <t>426534</t>
  </si>
  <si>
    <t>427879</t>
  </si>
  <si>
    <t>425873</t>
  </si>
  <si>
    <t>424519</t>
  </si>
  <si>
    <t>426399</t>
  </si>
  <si>
    <t>427889</t>
  </si>
  <si>
    <t>425195</t>
  </si>
  <si>
    <t>428515</t>
  </si>
  <si>
    <t>425159</t>
  </si>
  <si>
    <t>429253</t>
  </si>
  <si>
    <t>425837</t>
  </si>
  <si>
    <t>428545</t>
  </si>
  <si>
    <t>425843</t>
  </si>
  <si>
    <t>424537</t>
  </si>
  <si>
    <t>424525</t>
  </si>
  <si>
    <t>423942</t>
  </si>
  <si>
    <t>422598</t>
  </si>
  <si>
    <t>426387</t>
  </si>
  <si>
    <t>422556</t>
  </si>
  <si>
    <t>423933</t>
  </si>
  <si>
    <t>426516</t>
  </si>
  <si>
    <t>418782</t>
  </si>
  <si>
    <t>421226</t>
  </si>
  <si>
    <t>420695</t>
  </si>
  <si>
    <t>417508</t>
  </si>
  <si>
    <t>415705</t>
  </si>
  <si>
    <t>414864</t>
  </si>
  <si>
    <t>416258</t>
  </si>
  <si>
    <t>433594</t>
  </si>
  <si>
    <t>433114</t>
  </si>
  <si>
    <t>435961</t>
  </si>
  <si>
    <t>431818</t>
  </si>
  <si>
    <t>430680</t>
  </si>
  <si>
    <t>433012</t>
  </si>
  <si>
    <t>437163</t>
  </si>
  <si>
    <t>434220</t>
  </si>
  <si>
    <t>435342</t>
  </si>
  <si>
    <t>436021</t>
  </si>
  <si>
    <t>430653</t>
  </si>
  <si>
    <t>437250</t>
  </si>
  <si>
    <t>432401</t>
  </si>
  <si>
    <t>431876</t>
  </si>
  <si>
    <t>431855</t>
  </si>
  <si>
    <t>431203</t>
  </si>
  <si>
    <t>429908</t>
  </si>
  <si>
    <t>430668</t>
  </si>
  <si>
    <t>431072</t>
  </si>
  <si>
    <t>434323</t>
  </si>
  <si>
    <t>437810</t>
  </si>
  <si>
    <t>437113</t>
  </si>
  <si>
    <t>436692</t>
  </si>
  <si>
    <t>436701</t>
  </si>
  <si>
    <t>433579</t>
  </si>
  <si>
    <t>435555</t>
  </si>
  <si>
    <t>432537</t>
  </si>
  <si>
    <t>435436</t>
  </si>
  <si>
    <t>8801829</t>
  </si>
  <si>
    <t>8844703</t>
  </si>
  <si>
    <t>8827843</t>
  </si>
  <si>
    <t>8827485</t>
  </si>
  <si>
    <t>8815951</t>
  </si>
  <si>
    <t>8840292</t>
  </si>
  <si>
    <t>8777161</t>
  </si>
  <si>
    <t>8778024</t>
  </si>
  <si>
    <t>8791761</t>
  </si>
  <si>
    <t>8840472</t>
  </si>
  <si>
    <t>8870942</t>
  </si>
  <si>
    <t>8857109</t>
  </si>
  <si>
    <t>8882948</t>
  </si>
  <si>
    <t>8857358</t>
  </si>
  <si>
    <t>8872712</t>
  </si>
  <si>
    <t>8872627</t>
  </si>
  <si>
    <t>8861708</t>
  </si>
  <si>
    <t>8906060</t>
  </si>
  <si>
    <t>8905251</t>
  </si>
  <si>
    <t>8920469</t>
  </si>
  <si>
    <t>8956594</t>
  </si>
  <si>
    <t>8972875</t>
  </si>
  <si>
    <t>8967076</t>
  </si>
  <si>
    <t>8930288</t>
  </si>
  <si>
    <t>8959772</t>
  </si>
  <si>
    <t>8920783</t>
  </si>
  <si>
    <t>8942231</t>
  </si>
  <si>
    <t>8920623</t>
  </si>
  <si>
    <t>8962321</t>
  </si>
  <si>
    <t>8968245</t>
  </si>
  <si>
    <t>8966874</t>
  </si>
  <si>
    <t>8955854</t>
  </si>
  <si>
    <t>448943</t>
  </si>
  <si>
    <t>449047</t>
  </si>
  <si>
    <t>439992</t>
  </si>
  <si>
    <t>448394</t>
  </si>
  <si>
    <t>438348</t>
  </si>
  <si>
    <t>442623</t>
  </si>
  <si>
    <t>439183</t>
  </si>
  <si>
    <t>441546</t>
  </si>
  <si>
    <t>447922</t>
  </si>
  <si>
    <t>444088</t>
  </si>
  <si>
    <t>443140</t>
  </si>
  <si>
    <t>445239</t>
  </si>
  <si>
    <t>443125</t>
  </si>
  <si>
    <t>443572</t>
  </si>
  <si>
    <t>443143</t>
  </si>
  <si>
    <t>446932</t>
  </si>
  <si>
    <t>444151</t>
  </si>
  <si>
    <t>445281</t>
  </si>
  <si>
    <t>446313</t>
  </si>
  <si>
    <t>441998</t>
  </si>
  <si>
    <t>442596</t>
  </si>
  <si>
    <t>447487</t>
  </si>
  <si>
    <t>444076</t>
  </si>
  <si>
    <t>440091</t>
  </si>
  <si>
    <t>441044</t>
  </si>
  <si>
    <t>444684</t>
  </si>
  <si>
    <t>441053</t>
  </si>
  <si>
    <t>449101</t>
  </si>
  <si>
    <t>446295</t>
  </si>
  <si>
    <t>441513</t>
  </si>
  <si>
    <t>438800</t>
  </si>
  <si>
    <t>440582</t>
  </si>
  <si>
    <t>439201</t>
  </si>
  <si>
    <t>441989</t>
  </si>
  <si>
    <t>444699</t>
  </si>
  <si>
    <t>444730</t>
  </si>
  <si>
    <t>444687</t>
  </si>
  <si>
    <t>445053</t>
  </si>
  <si>
    <t>439608</t>
  </si>
  <si>
    <t>448357</t>
  </si>
  <si>
    <t>446322</t>
  </si>
  <si>
    <t>448420</t>
  </si>
  <si>
    <t>441531</t>
  </si>
  <si>
    <t>443596</t>
  </si>
  <si>
    <t>447484</t>
  </si>
  <si>
    <t>443599</t>
  </si>
  <si>
    <t>445902</t>
  </si>
  <si>
    <t>447910</t>
  </si>
  <si>
    <t>449745</t>
  </si>
  <si>
    <t>440010</t>
  </si>
  <si>
    <t>442614</t>
  </si>
  <si>
    <t>444196</t>
  </si>
  <si>
    <t>438291</t>
  </si>
  <si>
    <t>440597</t>
  </si>
  <si>
    <t>441983</t>
  </si>
  <si>
    <t>438312</t>
  </si>
  <si>
    <t>442025</t>
  </si>
  <si>
    <t>431296</t>
  </si>
  <si>
    <t>432525</t>
  </si>
  <si>
    <t>431290</t>
  </si>
  <si>
    <t>431898</t>
  </si>
  <si>
    <t>434812</t>
  </si>
  <si>
    <t>434824</t>
  </si>
  <si>
    <t>433036</t>
  </si>
  <si>
    <t>429944</t>
  </si>
  <si>
    <t>433099</t>
  </si>
  <si>
    <t>429926</t>
  </si>
  <si>
    <t>433667</t>
  </si>
  <si>
    <t>431986</t>
  </si>
  <si>
    <t>449023</t>
  </si>
  <si>
    <t>449014</t>
  </si>
  <si>
    <t>446942</t>
  </si>
  <si>
    <t>449679</t>
  </si>
  <si>
    <t>447541</t>
  </si>
  <si>
    <t>445938</t>
  </si>
  <si>
    <t>446922</t>
  </si>
  <si>
    <t>448958</t>
  </si>
  <si>
    <t>449721</t>
  </si>
  <si>
    <t>448426</t>
  </si>
  <si>
    <t>446948</t>
  </si>
  <si>
    <t>446388</t>
  </si>
  <si>
    <t>446407</t>
  </si>
  <si>
    <t>445257</t>
  </si>
  <si>
    <t>441552</t>
  </si>
  <si>
    <t>440486</t>
  </si>
  <si>
    <t>440028</t>
  </si>
  <si>
    <t>447523</t>
  </si>
  <si>
    <t>447937</t>
  </si>
  <si>
    <t>441510</t>
  </si>
  <si>
    <t>447880</t>
  </si>
  <si>
    <t>440073</t>
  </si>
  <si>
    <t>439650</t>
  </si>
  <si>
    <t>438791</t>
  </si>
  <si>
    <t>441110</t>
  </si>
  <si>
    <t>439623</t>
  </si>
  <si>
    <t>9036676</t>
  </si>
  <si>
    <t>8991835</t>
  </si>
  <si>
    <t>9047557</t>
  </si>
  <si>
    <t>8999129</t>
  </si>
  <si>
    <t>9027079</t>
  </si>
  <si>
    <t>8984723</t>
  </si>
  <si>
    <t>9031620</t>
  </si>
  <si>
    <t>9031571</t>
  </si>
  <si>
    <t>9004780</t>
  </si>
  <si>
    <t>8999219</t>
  </si>
  <si>
    <t>8991569</t>
  </si>
  <si>
    <t>9012041</t>
  </si>
  <si>
    <t>9005071</t>
  </si>
  <si>
    <t>8999353</t>
  </si>
  <si>
    <t>9031797</t>
  </si>
  <si>
    <t>9005174</t>
  </si>
  <si>
    <t>9037871</t>
  </si>
  <si>
    <t>9037898</t>
  </si>
  <si>
    <t>9027247</t>
  </si>
  <si>
    <t>9017791</t>
  </si>
  <si>
    <t>9045899</t>
  </si>
  <si>
    <t>9031468</t>
  </si>
  <si>
    <t>413584</t>
  </si>
  <si>
    <t>435379</t>
  </si>
  <si>
    <t>449132</t>
  </si>
  <si>
    <t>446346</t>
  </si>
  <si>
    <t>9095554</t>
  </si>
  <si>
    <t>9118321</t>
  </si>
  <si>
    <t>9068240</t>
  </si>
  <si>
    <t>9112757</t>
  </si>
  <si>
    <t>9093728</t>
  </si>
  <si>
    <t>9113227</t>
  </si>
  <si>
    <t>9095617</t>
  </si>
  <si>
    <t>9109237</t>
  </si>
  <si>
    <t>9054894</t>
  </si>
  <si>
    <t>9081774</t>
  </si>
  <si>
    <t>9085023</t>
  </si>
  <si>
    <t>9078714</t>
  </si>
  <si>
    <t>9095815</t>
  </si>
  <si>
    <t>9070737</t>
  </si>
  <si>
    <t>9105318</t>
  </si>
  <si>
    <t>9068631</t>
  </si>
  <si>
    <t>9069363</t>
  </si>
  <si>
    <t>9084489</t>
  </si>
  <si>
    <t>9106997</t>
  </si>
  <si>
    <t>9100973</t>
  </si>
  <si>
    <t>9101621</t>
  </si>
  <si>
    <t>9096007</t>
  </si>
  <si>
    <t>9078596</t>
  </si>
  <si>
    <t>9068816</t>
  </si>
  <si>
    <t>9078634</t>
  </si>
  <si>
    <t>9113030</t>
  </si>
  <si>
    <t>9070635</t>
  </si>
  <si>
    <t>9095884</t>
  </si>
  <si>
    <t>9059937</t>
  </si>
  <si>
    <t>9087081</t>
  </si>
  <si>
    <t>9054776</t>
  </si>
  <si>
    <t>9085256</t>
  </si>
  <si>
    <t>9067973</t>
  </si>
  <si>
    <t>9067762</t>
  </si>
  <si>
    <t>9078563</t>
  </si>
  <si>
    <t>422571</t>
  </si>
  <si>
    <t>425174</t>
  </si>
  <si>
    <t>425828</t>
  </si>
  <si>
    <t>425861</t>
  </si>
  <si>
    <t>427213</t>
  </si>
  <si>
    <t>427219</t>
  </si>
  <si>
    <t>427822</t>
  </si>
  <si>
    <t>429168</t>
  </si>
  <si>
    <t>429183</t>
  </si>
  <si>
    <t>430662</t>
  </si>
  <si>
    <t>449697</t>
  </si>
  <si>
    <t>453839</t>
  </si>
  <si>
    <t>456360</t>
  </si>
  <si>
    <t>455613</t>
  </si>
  <si>
    <t>456929</t>
  </si>
  <si>
    <t>455988</t>
  </si>
  <si>
    <t>455997</t>
  </si>
  <si>
    <t>459289</t>
  </si>
  <si>
    <t>456379</t>
  </si>
  <si>
    <t>457337</t>
  </si>
  <si>
    <t>457388</t>
  </si>
  <si>
    <t>455030</t>
  </si>
  <si>
    <t>462398</t>
  </si>
  <si>
    <t>458760</t>
  </si>
  <si>
    <t>454473</t>
  </si>
  <si>
    <t>458787</t>
  </si>
  <si>
    <t>463013</t>
  </si>
  <si>
    <t>458270</t>
  </si>
  <si>
    <t>457355</t>
  </si>
  <si>
    <t>462304</t>
  </si>
  <si>
    <t>454949</t>
  </si>
  <si>
    <t>457779</t>
  </si>
  <si>
    <t>463646</t>
  </si>
  <si>
    <t>455667</t>
  </si>
  <si>
    <t>454355</t>
  </si>
  <si>
    <t>459864</t>
  </si>
  <si>
    <t>455619</t>
  </si>
  <si>
    <t>454406</t>
  </si>
  <si>
    <t>455012</t>
  </si>
  <si>
    <t>455592</t>
  </si>
  <si>
    <t>457863</t>
  </si>
  <si>
    <t>456857</t>
  </si>
  <si>
    <t>455637</t>
  </si>
  <si>
    <t>461871</t>
  </si>
  <si>
    <t>455634</t>
  </si>
  <si>
    <t>458294</t>
  </si>
  <si>
    <t>455054</t>
  </si>
  <si>
    <t>460314</t>
  </si>
  <si>
    <t>454400</t>
  </si>
  <si>
    <t>453351</t>
  </si>
  <si>
    <t>453327</t>
  </si>
  <si>
    <t>454888</t>
  </si>
  <si>
    <t>451367</t>
  </si>
  <si>
    <t>452033</t>
  </si>
  <si>
    <t>450216</t>
  </si>
  <si>
    <t>452950</t>
  </si>
  <si>
    <t>453312</t>
  </si>
  <si>
    <t>453336</t>
  </si>
  <si>
    <t>450726</t>
  </si>
  <si>
    <t>452417</t>
  </si>
  <si>
    <t>450195</t>
  </si>
  <si>
    <t>452944</t>
  </si>
  <si>
    <t>450234</t>
  </si>
  <si>
    <t>451997</t>
  </si>
  <si>
    <t>452456</t>
  </si>
  <si>
    <t>460829</t>
  </si>
  <si>
    <t>450753</t>
  </si>
  <si>
    <t>451278</t>
  </si>
  <si>
    <t>451391</t>
  </si>
  <si>
    <t>452408</t>
  </si>
  <si>
    <t>453890</t>
  </si>
  <si>
    <t>450738</t>
  </si>
  <si>
    <t>452018</t>
  </si>
  <si>
    <t>456333</t>
  </si>
  <si>
    <t>453854</t>
  </si>
  <si>
    <t>456400</t>
  </si>
  <si>
    <t>458745</t>
  </si>
  <si>
    <t>461374</t>
  </si>
  <si>
    <t>458258</t>
  </si>
  <si>
    <t>452384</t>
  </si>
  <si>
    <t>418062</t>
  </si>
  <si>
    <t>436707</t>
  </si>
  <si>
    <t>439189</t>
  </si>
  <si>
    <t>9187989</t>
  </si>
  <si>
    <t>9237300</t>
  </si>
  <si>
    <t>9210361</t>
  </si>
  <si>
    <t>9198815</t>
  </si>
  <si>
    <t>9228951</t>
  </si>
  <si>
    <t>9198999</t>
  </si>
  <si>
    <t>9239784</t>
  </si>
  <si>
    <t>9218730</t>
  </si>
  <si>
    <t>9205642</t>
  </si>
  <si>
    <t>9205527</t>
  </si>
  <si>
    <t>9217141</t>
  </si>
  <si>
    <t>9219558</t>
  </si>
  <si>
    <t>9231655</t>
  </si>
  <si>
    <t>9228814</t>
  </si>
  <si>
    <t>9237234</t>
  </si>
  <si>
    <t>9230362</t>
  </si>
  <si>
    <t>9234166</t>
  </si>
  <si>
    <t>9239646</t>
  </si>
  <si>
    <t>9217444</t>
  </si>
  <si>
    <t>9237079</t>
  </si>
  <si>
    <t>9231693</t>
  </si>
  <si>
    <t>9229242</t>
  </si>
  <si>
    <t>9236312</t>
  </si>
  <si>
    <t>9205452</t>
  </si>
  <si>
    <t>9236822</t>
  </si>
  <si>
    <t>475146</t>
  </si>
  <si>
    <t>473924</t>
  </si>
  <si>
    <t>474048</t>
  </si>
  <si>
    <t>472851</t>
  </si>
  <si>
    <t>473409</t>
  </si>
  <si>
    <t>469282</t>
  </si>
  <si>
    <t>467811</t>
  </si>
  <si>
    <t>470319</t>
  </si>
  <si>
    <t>468144</t>
  </si>
  <si>
    <t>471029</t>
  </si>
  <si>
    <t>470572</t>
  </si>
  <si>
    <t>465159</t>
  </si>
  <si>
    <t>465917</t>
  </si>
  <si>
    <t>468141</t>
  </si>
  <si>
    <t>472233</t>
  </si>
  <si>
    <t>465102</t>
  </si>
  <si>
    <t>470542</t>
  </si>
  <si>
    <t>469303</t>
  </si>
  <si>
    <t>470612</t>
  </si>
  <si>
    <t>469294</t>
  </si>
  <si>
    <t>468788</t>
  </si>
  <si>
    <t>464203</t>
  </si>
  <si>
    <t>464812</t>
  </si>
  <si>
    <t>468457</t>
  </si>
  <si>
    <t>471754</t>
  </si>
  <si>
    <t>469279</t>
  </si>
  <si>
    <t>469865</t>
  </si>
  <si>
    <t>471038</t>
  </si>
  <si>
    <t>9122283</t>
  </si>
  <si>
    <t>9148172</t>
  </si>
  <si>
    <t>9130866</t>
  </si>
  <si>
    <t>9176504</t>
  </si>
  <si>
    <t>9146387</t>
  </si>
  <si>
    <t>9120333</t>
  </si>
  <si>
    <t>9182227</t>
  </si>
  <si>
    <t>9159141</t>
  </si>
  <si>
    <t>9176693</t>
  </si>
  <si>
    <t>9162503</t>
  </si>
  <si>
    <t>9148054</t>
  </si>
  <si>
    <t>9140374</t>
  </si>
  <si>
    <t>9181809</t>
  </si>
  <si>
    <t>9180243</t>
  </si>
  <si>
    <t>9124928</t>
  </si>
  <si>
    <t>9181938</t>
  </si>
  <si>
    <t>9156276</t>
  </si>
  <si>
    <t>9162796</t>
  </si>
  <si>
    <t>9177054</t>
  </si>
  <si>
    <t>9130221</t>
  </si>
  <si>
    <t>9124625</t>
  </si>
  <si>
    <t>9255377</t>
  </si>
  <si>
    <t>9270318</t>
  </si>
  <si>
    <t>9246923</t>
  </si>
  <si>
    <t>9298800</t>
  </si>
  <si>
    <t>9308739</t>
  </si>
  <si>
    <t>9252308</t>
  </si>
  <si>
    <t>9277324</t>
  </si>
  <si>
    <t>9285236</t>
  </si>
  <si>
    <t>9253609</t>
  </si>
  <si>
    <t>9285697</t>
  </si>
  <si>
    <t>9279481</t>
  </si>
  <si>
    <t>9251859</t>
  </si>
  <si>
    <t>9294126</t>
  </si>
  <si>
    <t>9259007</t>
  </si>
  <si>
    <t>9270589</t>
  </si>
  <si>
    <t>9292714</t>
  </si>
  <si>
    <t>9253166</t>
  </si>
  <si>
    <t>9259136</t>
  </si>
  <si>
    <t>9260242</t>
  </si>
  <si>
    <t>9254995</t>
  </si>
  <si>
    <t>9260524</t>
  </si>
  <si>
    <t>9254747</t>
  </si>
  <si>
    <t>9271159</t>
  </si>
  <si>
    <t>9259972</t>
  </si>
  <si>
    <t>9290891</t>
  </si>
  <si>
    <t>474619</t>
  </si>
  <si>
    <t>473987</t>
  </si>
  <si>
    <t>474472</t>
  </si>
  <si>
    <t>472943</t>
  </si>
  <si>
    <t>476287</t>
  </si>
  <si>
    <t>476299</t>
  </si>
  <si>
    <t>475643</t>
  </si>
  <si>
    <t>473355</t>
  </si>
  <si>
    <t>471808</t>
  </si>
  <si>
    <t>475062</t>
  </si>
  <si>
    <t>474559</t>
  </si>
  <si>
    <t>476335</t>
  </si>
  <si>
    <t>475694</t>
  </si>
  <si>
    <t>473345</t>
  </si>
  <si>
    <t>478979</t>
  </si>
  <si>
    <t>478582</t>
  </si>
  <si>
    <t>478511</t>
  </si>
  <si>
    <t>479665</t>
  </si>
  <si>
    <t>479237</t>
  </si>
  <si>
    <t>477309</t>
  </si>
  <si>
    <t>480186</t>
  </si>
  <si>
    <t>478542</t>
  </si>
  <si>
    <t>476759</t>
  </si>
  <si>
    <t>480438</t>
  </si>
  <si>
    <t>479770</t>
  </si>
  <si>
    <t>479695</t>
  </si>
  <si>
    <t>479370</t>
  </si>
  <si>
    <t>479385</t>
  </si>
  <si>
    <t>480135</t>
  </si>
  <si>
    <t>477423</t>
  </si>
  <si>
    <t>477345</t>
  </si>
  <si>
    <t>481139</t>
  </si>
  <si>
    <t>479788</t>
  </si>
  <si>
    <t>479376</t>
  </si>
  <si>
    <t>480689</t>
  </si>
  <si>
    <t>477910</t>
  </si>
  <si>
    <t>479803</t>
  </si>
  <si>
    <t>476738</t>
  </si>
  <si>
    <t>477901</t>
  </si>
  <si>
    <t>479249</t>
  </si>
  <si>
    <t>477913</t>
  </si>
  <si>
    <t>476934</t>
  </si>
  <si>
    <t>477983</t>
  </si>
  <si>
    <t>480662</t>
  </si>
  <si>
    <t>475185</t>
  </si>
  <si>
    <t>472803</t>
  </si>
  <si>
    <t>473905</t>
  </si>
  <si>
    <t>471059</t>
  </si>
  <si>
    <t>467418</t>
  </si>
  <si>
    <t>476413</t>
  </si>
  <si>
    <t>472278</t>
  </si>
  <si>
    <t>473457</t>
  </si>
  <si>
    <t>9344068</t>
  </si>
  <si>
    <t>9338953</t>
  </si>
  <si>
    <t>9326425</t>
  </si>
  <si>
    <t>9360902</t>
  </si>
  <si>
    <t>9360135</t>
  </si>
  <si>
    <t>9321183</t>
  </si>
  <si>
    <t>9320843</t>
  </si>
  <si>
    <t>9344693</t>
  </si>
  <si>
    <t>9340929</t>
  </si>
  <si>
    <t>9313810</t>
  </si>
  <si>
    <t>9360258</t>
  </si>
  <si>
    <t>9328510</t>
  </si>
  <si>
    <t>9313692</t>
  </si>
  <si>
    <t>9336847</t>
  </si>
  <si>
    <t>9355262</t>
  </si>
  <si>
    <t>9337959</t>
  </si>
  <si>
    <t>9320991</t>
  </si>
  <si>
    <t>9325486</t>
  </si>
  <si>
    <t>9373155</t>
  </si>
  <si>
    <t>9362009</t>
  </si>
  <si>
    <t>9344349</t>
  </si>
  <si>
    <t>9320645</t>
  </si>
  <si>
    <t>9338580</t>
  </si>
  <si>
    <t>9331736</t>
  </si>
  <si>
    <t>9353322</t>
  </si>
  <si>
    <t>9313044</t>
  </si>
  <si>
    <t>9372853</t>
  </si>
  <si>
    <t>9354701</t>
  </si>
  <si>
    <t>9314803</t>
  </si>
  <si>
    <t>9361401</t>
  </si>
  <si>
    <t>9366841</t>
  </si>
  <si>
    <t>9361788</t>
  </si>
  <si>
    <t>9346142</t>
  </si>
  <si>
    <t>9354304</t>
  </si>
  <si>
    <t>9361856</t>
  </si>
  <si>
    <t>468463</t>
  </si>
  <si>
    <t>481638</t>
  </si>
  <si>
    <t>481771</t>
  </si>
  <si>
    <t>481744</t>
  </si>
  <si>
    <t>479366</t>
  </si>
  <si>
    <t>480144</t>
  </si>
  <si>
    <t>481052</t>
  </si>
  <si>
    <t>481205</t>
  </si>
  <si>
    <t>480618</t>
  </si>
  <si>
    <t>489731</t>
  </si>
  <si>
    <t>483348</t>
  </si>
  <si>
    <t>486864</t>
  </si>
  <si>
    <t>489129</t>
  </si>
  <si>
    <t>488210</t>
  </si>
  <si>
    <t>488400</t>
  </si>
  <si>
    <t>489151</t>
  </si>
  <si>
    <t>487561</t>
  </si>
  <si>
    <t>488373</t>
  </si>
  <si>
    <t>487538</t>
  </si>
  <si>
    <t>489179</t>
  </si>
  <si>
    <t>486972</t>
  </si>
  <si>
    <t>483484</t>
  </si>
  <si>
    <t>483005</t>
  </si>
  <si>
    <t>485341</t>
  </si>
  <si>
    <t>484050</t>
  </si>
  <si>
    <t>487629</t>
  </si>
  <si>
    <t>484041</t>
  </si>
  <si>
    <t>486454</t>
  </si>
  <si>
    <t>485380</t>
  </si>
  <si>
    <t>482963</t>
  </si>
  <si>
    <t>485176</t>
  </si>
  <si>
    <t>483435</t>
  </si>
  <si>
    <t>485332</t>
  </si>
  <si>
    <t>482373</t>
  </si>
  <si>
    <t>485362</t>
  </si>
  <si>
    <t>485922</t>
  </si>
  <si>
    <t>489785</t>
  </si>
  <si>
    <t>487598</t>
  </si>
  <si>
    <t>484830</t>
  </si>
  <si>
    <t>485846</t>
  </si>
  <si>
    <t>483481</t>
  </si>
  <si>
    <t>484656</t>
  </si>
  <si>
    <t>482421</t>
  </si>
  <si>
    <t>486939</t>
  </si>
  <si>
    <t>484017</t>
  </si>
  <si>
    <t>484763</t>
  </si>
  <si>
    <t>482523</t>
  </si>
  <si>
    <t>489117</t>
  </si>
  <si>
    <t>480636</t>
  </si>
  <si>
    <t>96-961500357</t>
  </si>
  <si>
    <t>96-964100066</t>
  </si>
  <si>
    <t>96-961500541</t>
  </si>
  <si>
    <t>96-961500551</t>
  </si>
  <si>
    <t>96-961500552</t>
  </si>
  <si>
    <t>96-964100068</t>
  </si>
  <si>
    <t xml:space="preserve">  GLOBUS INTERNATIONAL FZE</t>
  </si>
  <si>
    <t>96-964100069</t>
  </si>
  <si>
    <t>96/08/13</t>
  </si>
  <si>
    <t>96-961500572</t>
  </si>
  <si>
    <t>96-961500429</t>
  </si>
  <si>
    <t>96-961500411</t>
  </si>
  <si>
    <t>96-964100067</t>
  </si>
  <si>
    <t>96/08/09</t>
  </si>
  <si>
    <t>96-962500129</t>
  </si>
  <si>
    <t>96-961500587</t>
  </si>
  <si>
    <t>96/08/03</t>
  </si>
  <si>
    <t>96-961500520</t>
  </si>
  <si>
    <t>96-961500439</t>
  </si>
  <si>
    <t>96-961500518</t>
  </si>
  <si>
    <t>96-962500140</t>
  </si>
  <si>
    <t>96-962500127</t>
  </si>
  <si>
    <t>96-962500133</t>
  </si>
  <si>
    <t>96-962500134</t>
  </si>
  <si>
    <t>96-962500125</t>
  </si>
  <si>
    <t>96-961500330</t>
  </si>
  <si>
    <t>96-961500349</t>
  </si>
  <si>
    <t>96-961500339</t>
  </si>
  <si>
    <t>96-962500093</t>
  </si>
  <si>
    <t>96-961500347</t>
  </si>
  <si>
    <t>96-961500351</t>
  </si>
  <si>
    <t>96-961500346</t>
  </si>
  <si>
    <t>96-961500574</t>
  </si>
  <si>
    <t>96-961500514</t>
  </si>
  <si>
    <t>96-961500369</t>
  </si>
  <si>
    <t>96-961500522</t>
  </si>
  <si>
    <t>96-961500375</t>
  </si>
  <si>
    <t>96-961500515</t>
  </si>
  <si>
    <t>96-961500549</t>
  </si>
  <si>
    <t>96-961500372</t>
  </si>
  <si>
    <t>96-961500582</t>
  </si>
  <si>
    <t>96-961500450</t>
  </si>
  <si>
    <t>96-961500402</t>
  </si>
  <si>
    <t>96-961500448</t>
  </si>
  <si>
    <t>96-961500513</t>
  </si>
  <si>
    <t>96-961500386</t>
  </si>
  <si>
    <t>96-961500459</t>
  </si>
  <si>
    <t>96-961500366</t>
  </si>
  <si>
    <t>96-961500377</t>
  </si>
  <si>
    <t xml:space="preserve">  Shahab llc</t>
  </si>
  <si>
    <t>15100-490218</t>
  </si>
  <si>
    <t>15100-490963</t>
  </si>
  <si>
    <t>96/08/30</t>
  </si>
  <si>
    <t>آستارا</t>
  </si>
  <si>
    <t>1396519129001</t>
  </si>
  <si>
    <t>1396521453001</t>
  </si>
  <si>
    <t>1396524006001</t>
  </si>
  <si>
    <t>1396519127001</t>
  </si>
  <si>
    <t>1396522401001</t>
  </si>
  <si>
    <t>1396521456001</t>
  </si>
  <si>
    <t>1396519125001</t>
  </si>
  <si>
    <t>1396521452001</t>
  </si>
  <si>
    <t>1396522397001</t>
  </si>
  <si>
    <t>1396522396001</t>
  </si>
  <si>
    <t>1396517655001</t>
  </si>
  <si>
    <t>1396516973001</t>
  </si>
  <si>
    <t>1396520111001</t>
  </si>
  <si>
    <t>1396519124001</t>
  </si>
  <si>
    <t>1396521454001</t>
  </si>
  <si>
    <t>1396522392001</t>
  </si>
  <si>
    <t>1396522390001</t>
  </si>
  <si>
    <t>1396522398001</t>
  </si>
  <si>
    <t>1396520264001</t>
  </si>
  <si>
    <t>1396522391001</t>
  </si>
  <si>
    <t>1396523544001</t>
  </si>
  <si>
    <t>1396517657001</t>
  </si>
  <si>
    <t>1396521458001</t>
  </si>
  <si>
    <t>1396521457001</t>
  </si>
  <si>
    <t>1396519128001</t>
  </si>
  <si>
    <t>1396524007001</t>
  </si>
  <si>
    <t>1396520196001</t>
  </si>
  <si>
    <t>1396522394001</t>
  </si>
  <si>
    <t>1396521808001</t>
  </si>
  <si>
    <t>1396523515001</t>
  </si>
  <si>
    <t>1396522395001</t>
  </si>
  <si>
    <t>1396519126001</t>
  </si>
  <si>
    <t>1396521896001</t>
  </si>
  <si>
    <t>1396521492001</t>
  </si>
  <si>
    <t>1396521460001</t>
  </si>
  <si>
    <t>1396521766001</t>
  </si>
  <si>
    <t>1396523245001</t>
  </si>
  <si>
    <t>1396521740001</t>
  </si>
  <si>
    <t>15100-481181</t>
  </si>
  <si>
    <t>15100-488428</t>
  </si>
  <si>
    <t>15100-489686</t>
  </si>
  <si>
    <t>15100-494916</t>
  </si>
  <si>
    <t>15100-495474</t>
  </si>
  <si>
    <t>96/08/11</t>
  </si>
  <si>
    <t>15100-493890</t>
  </si>
  <si>
    <t>15100-441537</t>
  </si>
  <si>
    <t>15100-456014</t>
  </si>
  <si>
    <t>15100-486496</t>
  </si>
  <si>
    <t>96-961500307</t>
  </si>
  <si>
    <t>15100-486518</t>
  </si>
  <si>
    <t>96/09/03</t>
  </si>
  <si>
    <t>15100-497914</t>
  </si>
  <si>
    <t>96/08/17</t>
  </si>
  <si>
    <t>96-961500589</t>
  </si>
  <si>
    <t>96/08/04</t>
  </si>
  <si>
    <t>15100-501377</t>
  </si>
  <si>
    <t>96/08/27</t>
  </si>
  <si>
    <t>15100-499222</t>
  </si>
  <si>
    <t>96/08/22</t>
  </si>
  <si>
    <t>96-961500486</t>
  </si>
  <si>
    <t>15100-500830</t>
  </si>
  <si>
    <t>96/08/25</t>
  </si>
  <si>
    <t>15100-497764</t>
  </si>
  <si>
    <t>15100-498319</t>
  </si>
  <si>
    <t>96/08/20</t>
  </si>
  <si>
    <t>15100-498713</t>
  </si>
  <si>
    <t>96/08/21</t>
  </si>
  <si>
    <t>15100-497755</t>
  </si>
  <si>
    <t>15100-497233</t>
  </si>
  <si>
    <t>96/08/16</t>
  </si>
  <si>
    <t>15100-499685</t>
  </si>
  <si>
    <t>96/08/23</t>
  </si>
  <si>
    <t>96-961500523</t>
  </si>
  <si>
    <t>15100-498643</t>
  </si>
  <si>
    <t>96/09/08</t>
  </si>
  <si>
    <t>بازارچه ريمدان</t>
  </si>
  <si>
    <t>96-961500388</t>
  </si>
  <si>
    <t>96-961500483</t>
  </si>
  <si>
    <t>96-961500469</t>
  </si>
  <si>
    <t>96-962500082</t>
  </si>
  <si>
    <t>96-964100073</t>
  </si>
  <si>
    <t>96-961500378</t>
  </si>
  <si>
    <t>96-961500414</t>
  </si>
  <si>
    <t>96-961500454</t>
  </si>
  <si>
    <t>96-961500409</t>
  </si>
  <si>
    <t>96-961500383</t>
  </si>
  <si>
    <t>96/06/06</t>
  </si>
  <si>
    <t>96-961500327</t>
  </si>
  <si>
    <t>96-961500602</t>
  </si>
  <si>
    <t>96-961500393</t>
  </si>
  <si>
    <t>96-961500371</t>
  </si>
  <si>
    <t>96-961500468</t>
  </si>
  <si>
    <t>96-961500445</t>
  </si>
  <si>
    <t>96-961500304</t>
  </si>
  <si>
    <t>96-961500391</t>
  </si>
  <si>
    <t>96-961500389</t>
  </si>
  <si>
    <t>96-961500447</t>
  </si>
  <si>
    <t>96-962500128</t>
  </si>
  <si>
    <t>96-961500341</t>
  </si>
  <si>
    <t>96-961500633</t>
  </si>
  <si>
    <t>96-961500373</t>
  </si>
  <si>
    <t>96-961500416</t>
  </si>
  <si>
    <t>96-961500395</t>
  </si>
  <si>
    <t>96-962500076</t>
  </si>
  <si>
    <t>96-961500329</t>
  </si>
  <si>
    <t>96-961500565</t>
  </si>
  <si>
    <t>96-961500423</t>
  </si>
  <si>
    <t>96-961500432</t>
  </si>
  <si>
    <t>96-964100074</t>
  </si>
  <si>
    <t>96-964100075</t>
  </si>
  <si>
    <t>96-962500148</t>
  </si>
  <si>
    <t>96-961500365</t>
  </si>
  <si>
    <t>96-961500367</t>
  </si>
  <si>
    <t>96-961500417</t>
  </si>
  <si>
    <t>96-961500382</t>
  </si>
  <si>
    <t>96-961500381</t>
  </si>
  <si>
    <t>96-961500586</t>
  </si>
  <si>
    <t>96-961500424</t>
  </si>
  <si>
    <t>96-961500493</t>
  </si>
  <si>
    <t>96-961500595</t>
  </si>
  <si>
    <t>96/08/06</t>
  </si>
  <si>
    <t>96-961500380</t>
  </si>
  <si>
    <t>96-964100070</t>
  </si>
  <si>
    <t>96-962500132</t>
  </si>
  <si>
    <t>96-962500155</t>
  </si>
  <si>
    <t>96-961500440</t>
  </si>
  <si>
    <t>96-961500571</t>
  </si>
  <si>
    <t>96-964200008</t>
  </si>
  <si>
    <t>96/09/01</t>
  </si>
  <si>
    <t>96-962500146</t>
  </si>
  <si>
    <t>96-962500138</t>
  </si>
  <si>
    <t>96-962500145</t>
  </si>
  <si>
    <t>96-961500594</t>
  </si>
  <si>
    <t>96-964100072</t>
  </si>
  <si>
    <t>96-962500147</t>
  </si>
  <si>
    <t>96-962500131</t>
  </si>
  <si>
    <t>BITUBIZ FZE</t>
  </si>
  <si>
    <t>96-962500149</t>
  </si>
  <si>
    <t>96-961500400</t>
  </si>
  <si>
    <t>96-961500410</t>
  </si>
  <si>
    <t>96-961500431</t>
  </si>
  <si>
    <t>96-961500324</t>
  </si>
  <si>
    <t>96-961500392</t>
  </si>
  <si>
    <t>96-964200009</t>
  </si>
  <si>
    <t>96-962500151</t>
  </si>
  <si>
    <t>96-961500564</t>
  </si>
  <si>
    <t>96-964100071</t>
  </si>
  <si>
    <t>96-961500606</t>
  </si>
  <si>
    <t>96-961500398</t>
  </si>
  <si>
    <t>96/09/09</t>
  </si>
  <si>
    <t>1396529147001</t>
  </si>
  <si>
    <t>1396522402001</t>
  </si>
  <si>
    <t>1396521455001</t>
  </si>
  <si>
    <t>15100-480153</t>
  </si>
  <si>
    <t>15100-481729</t>
  </si>
  <si>
    <t>15100-495939</t>
  </si>
  <si>
    <t>96-961500394</t>
  </si>
  <si>
    <t>15100-494964</t>
  </si>
  <si>
    <t>15100-495477</t>
  </si>
  <si>
    <t>15100-502579</t>
  </si>
  <si>
    <t>15100-502576</t>
  </si>
  <si>
    <t>15100-501389</t>
  </si>
  <si>
    <t>96-961500488</t>
  </si>
  <si>
    <t>15100-501951</t>
  </si>
  <si>
    <t>96/08/29</t>
  </si>
  <si>
    <t>15100-501933</t>
  </si>
  <si>
    <t>15100-499664</t>
  </si>
  <si>
    <t>15100-500254</t>
  </si>
  <si>
    <t>96/08/24</t>
  </si>
  <si>
    <t>15100-499225</t>
  </si>
  <si>
    <t>15100-498301</t>
  </si>
  <si>
    <t>15100-496868</t>
  </si>
  <si>
    <t>96/08/15</t>
  </si>
  <si>
    <t>96/09/12</t>
  </si>
  <si>
    <t>96/09/28</t>
  </si>
  <si>
    <t>96-961500646</t>
  </si>
  <si>
    <t>96-961500532</t>
  </si>
  <si>
    <t>96-962500163</t>
  </si>
  <si>
    <t>96-962500159</t>
  </si>
  <si>
    <t>96-962500085</t>
  </si>
  <si>
    <t>96-962500086</t>
  </si>
  <si>
    <t>96-962500089</t>
  </si>
  <si>
    <t>96-962500091</t>
  </si>
  <si>
    <t>96-961500673</t>
  </si>
  <si>
    <t>96-962500144</t>
  </si>
  <si>
    <t>96-961500658</t>
  </si>
  <si>
    <t>96-962500083</t>
  </si>
  <si>
    <t>96-962500101</t>
  </si>
  <si>
    <t>96-962500087</t>
  </si>
  <si>
    <t>96-962500092</t>
  </si>
  <si>
    <t>96-964100076</t>
  </si>
  <si>
    <t>96/09/07</t>
  </si>
  <si>
    <t>96-964100077</t>
  </si>
  <si>
    <t>96-961500654</t>
  </si>
  <si>
    <t>96-962500168</t>
  </si>
  <si>
    <t>96-962500154</t>
  </si>
  <si>
    <t>96-961500374</t>
  </si>
  <si>
    <t>96-961500443</t>
  </si>
  <si>
    <t>96-962500103</t>
  </si>
  <si>
    <t>96-961500463</t>
  </si>
  <si>
    <t>96-964100078</t>
  </si>
  <si>
    <t>96/09/11</t>
  </si>
  <si>
    <t>96-964100079</t>
  </si>
  <si>
    <t>96-961500591</t>
  </si>
  <si>
    <t>96-961500592</t>
  </si>
  <si>
    <t>96-961500647</t>
  </si>
  <si>
    <t>96-961500655</t>
  </si>
  <si>
    <t>96-961500648</t>
  </si>
  <si>
    <t>96-961500566</t>
  </si>
  <si>
    <t>96-961500608</t>
  </si>
  <si>
    <t>96-961500570</t>
  </si>
  <si>
    <t>96-961500588</t>
  </si>
  <si>
    <t>96-962500160</t>
  </si>
  <si>
    <t>15100-507363</t>
  </si>
  <si>
    <t>96-961500512</t>
  </si>
  <si>
    <t>15100-507348</t>
  </si>
  <si>
    <t>96-961500492</t>
  </si>
  <si>
    <t>15100-506465</t>
  </si>
  <si>
    <t>96-961500543</t>
  </si>
  <si>
    <t>15100-504008</t>
  </si>
  <si>
    <t>96/09/02</t>
  </si>
  <si>
    <t>96-961500560</t>
  </si>
  <si>
    <t>15100-503335</t>
  </si>
  <si>
    <t>15100-508402</t>
  </si>
  <si>
    <t>96/09/13</t>
  </si>
  <si>
    <t>96-961500559</t>
  </si>
  <si>
    <t>15100-503350</t>
  </si>
  <si>
    <t>96-961500546</t>
  </si>
  <si>
    <t>15100-505759</t>
  </si>
  <si>
    <t>96-961500458</t>
  </si>
  <si>
    <t>15100-507973</t>
  </si>
  <si>
    <t>15100-505802</t>
  </si>
  <si>
    <t>96-961500533</t>
  </si>
  <si>
    <t>15100-514744</t>
  </si>
  <si>
    <t>96/09/27</t>
  </si>
  <si>
    <t>96-961500724</t>
  </si>
  <si>
    <t>96/09/14</t>
  </si>
  <si>
    <t>96/10/06</t>
  </si>
  <si>
    <t>بشکه</t>
  </si>
  <si>
    <t>15100-513017</t>
  </si>
  <si>
    <t>96/09/23</t>
  </si>
  <si>
    <t>96-961500700</t>
  </si>
  <si>
    <t>96-961500590</t>
  </si>
  <si>
    <t>96-961500687</t>
  </si>
  <si>
    <t>96-961500600</t>
  </si>
  <si>
    <t>15100-513092</t>
  </si>
  <si>
    <t>15100-513694</t>
  </si>
  <si>
    <t>96/09/25</t>
  </si>
  <si>
    <t>96-961500706</t>
  </si>
  <si>
    <t>15100-513074</t>
  </si>
  <si>
    <t>15100-515734</t>
  </si>
  <si>
    <t>96/09/29</t>
  </si>
  <si>
    <t>96-961500698</t>
  </si>
  <si>
    <t>15100-514164</t>
  </si>
  <si>
    <t>96/09/26</t>
  </si>
  <si>
    <t>15100-514146</t>
  </si>
  <si>
    <t>96-961500563</t>
  </si>
  <si>
    <t>15100-515161</t>
  </si>
  <si>
    <t>15100-515242</t>
  </si>
  <si>
    <t>15100-514666</t>
  </si>
  <si>
    <t>96-961500699</t>
  </si>
  <si>
    <t>15100-513601</t>
  </si>
  <si>
    <t>96-961500735</t>
  </si>
  <si>
    <t>96/09/18</t>
  </si>
  <si>
    <t>96-961500726</t>
  </si>
  <si>
    <t>96-961500701</t>
  </si>
  <si>
    <t>15100-511245</t>
  </si>
  <si>
    <t>96/09/20</t>
  </si>
  <si>
    <t>96-961500539</t>
  </si>
  <si>
    <t>15100-511323</t>
  </si>
  <si>
    <t>96-961500604</t>
  </si>
  <si>
    <t>15100-511779</t>
  </si>
  <si>
    <t>96/09/21</t>
  </si>
  <si>
    <t>96-961500651</t>
  </si>
  <si>
    <t>15100-512417</t>
  </si>
  <si>
    <t>96/09/22</t>
  </si>
  <si>
    <t>15100-510119</t>
  </si>
  <si>
    <t>96-961500580</t>
  </si>
  <si>
    <t>96-961500575</t>
  </si>
  <si>
    <t>96-961500650</t>
  </si>
  <si>
    <t>96-961500615</t>
  </si>
  <si>
    <t>15100-511782</t>
  </si>
  <si>
    <t>15100-509642</t>
  </si>
  <si>
    <t>96/09/16</t>
  </si>
  <si>
    <t>96-961500536</t>
  </si>
  <si>
    <t>96-961500568</t>
  </si>
  <si>
    <t>15100-510149</t>
  </si>
  <si>
    <t>96-961500634</t>
  </si>
  <si>
    <t>96/08/14</t>
  </si>
  <si>
    <t>96-961500584</t>
  </si>
  <si>
    <t>15100-510793</t>
  </si>
  <si>
    <t>96/09/19</t>
  </si>
  <si>
    <t>96-961500561</t>
  </si>
  <si>
    <t>96-961500626</t>
  </si>
  <si>
    <t>15100-511812</t>
  </si>
  <si>
    <t>15100-511788</t>
  </si>
  <si>
    <t>15100-509723</t>
  </si>
  <si>
    <t>15100-510714</t>
  </si>
  <si>
    <t>96-961500554</t>
  </si>
  <si>
    <t>96-961500558</t>
  </si>
  <si>
    <t>15100-511800</t>
  </si>
  <si>
    <t>15100-510101</t>
  </si>
  <si>
    <t>96-961500550</t>
  </si>
  <si>
    <t>15100-512329</t>
  </si>
  <si>
    <t>96-961500685</t>
  </si>
  <si>
    <t>15100-513086</t>
  </si>
  <si>
    <t>15100-510182</t>
  </si>
  <si>
    <t>15100-509630</t>
  </si>
  <si>
    <t>96-961500581</t>
  </si>
  <si>
    <t>15100-510751</t>
  </si>
  <si>
    <t>96-961500567</t>
  </si>
  <si>
    <t>96-961500576</t>
  </si>
  <si>
    <t>96-961500578</t>
  </si>
  <si>
    <t>15100-510811</t>
  </si>
  <si>
    <t>15100-509777</t>
  </si>
  <si>
    <t>96-961500625</t>
  </si>
  <si>
    <t>15100-509780</t>
  </si>
  <si>
    <t>96-961500499</t>
  </si>
  <si>
    <t>15100-511230</t>
  </si>
  <si>
    <t>15100-513655</t>
  </si>
  <si>
    <t>15100-500785</t>
  </si>
  <si>
    <t>96-961500555</t>
  </si>
  <si>
    <t>96-961500556</t>
  </si>
  <si>
    <t>15100-509023</t>
  </si>
  <si>
    <t>15100-506535</t>
  </si>
  <si>
    <t>15100-509098</t>
  </si>
  <si>
    <t>15100-505835</t>
  </si>
  <si>
    <t>15100-506812</t>
  </si>
  <si>
    <t>15100-506833</t>
  </si>
  <si>
    <t>15100-509170</t>
  </si>
  <si>
    <t>96-961500624</t>
  </si>
  <si>
    <t>15100-507405</t>
  </si>
  <si>
    <t>96-961500537</t>
  </si>
  <si>
    <t>15100-507381</t>
  </si>
  <si>
    <t>96-961500618</t>
  </si>
  <si>
    <t>بندرعباس</t>
  </si>
  <si>
    <t>96-961500467</t>
  </si>
  <si>
    <t>96-964100085</t>
  </si>
  <si>
    <t>96-964100082</t>
  </si>
  <si>
    <t>96-964100080</t>
  </si>
  <si>
    <t>96-961500689</t>
  </si>
  <si>
    <t>96-964100081</t>
  </si>
  <si>
    <t>96-962500172</t>
  </si>
  <si>
    <t>96-964100084</t>
  </si>
  <si>
    <t>96-961500644</t>
  </si>
  <si>
    <t>96-961500669</t>
  </si>
  <si>
    <t>96-961500617</t>
  </si>
  <si>
    <t>96-961500641</t>
  </si>
  <si>
    <t>96-961500649</t>
  </si>
  <si>
    <t>96-964100083</t>
  </si>
  <si>
    <t>96-962500173</t>
  </si>
  <si>
    <t>96-962500175</t>
  </si>
  <si>
    <t>96-962500161</t>
  </si>
  <si>
    <t>96-961500597</t>
  </si>
  <si>
    <t>96-961500745</t>
  </si>
  <si>
    <t>96-961500598</t>
  </si>
  <si>
    <t>96-961500656</t>
  </si>
  <si>
    <t>96-962500156</t>
  </si>
  <si>
    <t>96-961500621</t>
  </si>
  <si>
    <t>96-961500620</t>
  </si>
  <si>
    <t>96-961500457</t>
  </si>
  <si>
    <t>96-961500456</t>
  </si>
  <si>
    <t>96-961500453</t>
  </si>
  <si>
    <t>96-962500109</t>
  </si>
  <si>
    <t>96-961500660</t>
  </si>
  <si>
    <t>96-961500487</t>
  </si>
  <si>
    <t>96-961500489</t>
  </si>
  <si>
    <t>96-961500645</t>
  </si>
  <si>
    <t>96-961500659</t>
  </si>
  <si>
    <t>96-961500472</t>
  </si>
  <si>
    <t>96-961500599</t>
  </si>
  <si>
    <t>96-961500497</t>
  </si>
  <si>
    <t>96-961500738</t>
  </si>
  <si>
    <t>96-961500605</t>
  </si>
  <si>
    <t>96-961500498</t>
  </si>
  <si>
    <t>96-961500470</t>
  </si>
  <si>
    <t>96-962500174</t>
  </si>
  <si>
    <t>96-961500688</t>
  </si>
  <si>
    <t>96-961500609</t>
  </si>
  <si>
    <t>96-962500150</t>
  </si>
  <si>
    <t>96-961500666</t>
  </si>
  <si>
    <t>96-961500619</t>
  </si>
  <si>
    <t>96-961500642</t>
  </si>
  <si>
    <t>96-961500622</t>
  </si>
  <si>
    <t>96/10/11</t>
  </si>
  <si>
    <t>15100-500269</t>
  </si>
  <si>
    <t>15100-506923</t>
  </si>
  <si>
    <t>15100-506499</t>
  </si>
  <si>
    <t>15100-514052</t>
  </si>
  <si>
    <t>15100-514212</t>
  </si>
  <si>
    <t>15100-516305</t>
  </si>
  <si>
    <t>15100-514113</t>
  </si>
  <si>
    <t>15100-515236</t>
  </si>
  <si>
    <t>15100-515798</t>
  </si>
  <si>
    <t>15100-516378</t>
  </si>
  <si>
    <t>15100-516335</t>
  </si>
  <si>
    <t>15100-515746</t>
  </si>
  <si>
    <t>15100-516347</t>
  </si>
  <si>
    <t>15100-515152</t>
  </si>
  <si>
    <t>15100-514077</t>
  </si>
  <si>
    <t>15100-513559</t>
  </si>
  <si>
    <t>15100-516317</t>
  </si>
  <si>
    <t>15100-516320</t>
  </si>
  <si>
    <t>15100-513772</t>
  </si>
  <si>
    <t>15100-513580</t>
  </si>
  <si>
    <t>15100-515722</t>
  </si>
  <si>
    <t>15100-515230</t>
  </si>
  <si>
    <t>15100-514729</t>
  </si>
  <si>
    <t>15100-515179</t>
  </si>
  <si>
    <t>15100-511299</t>
  </si>
  <si>
    <t>15100-511791</t>
  </si>
  <si>
    <t>15100-510137</t>
  </si>
  <si>
    <t>15100-510766</t>
  </si>
  <si>
    <t>سريال پروانه صادراتي</t>
  </si>
  <si>
    <t>شماره كوتاژ</t>
  </si>
  <si>
    <t>تاريخ كوتاژ</t>
  </si>
  <si>
    <t>تاريخ پيش اظهار</t>
  </si>
  <si>
    <t>نام مشتري</t>
  </si>
  <si>
    <t>شماره حواله فروش</t>
  </si>
  <si>
    <t>مقدار در اين پروانه</t>
  </si>
  <si>
    <t>8231523</t>
  </si>
  <si>
    <t>7325473</t>
  </si>
  <si>
    <t>oasis maritime services l.l.c</t>
  </si>
  <si>
    <t>313729</t>
  </si>
  <si>
    <t>7456935</t>
  </si>
  <si>
    <t>Shanghai kestro Polychem Inc</t>
  </si>
  <si>
    <t>7166451</t>
  </si>
  <si>
    <t>395773</t>
  </si>
  <si>
    <t>15100-267856</t>
  </si>
  <si>
    <t>267856</t>
  </si>
  <si>
    <t>7589081</t>
  </si>
  <si>
    <t>7496894</t>
  </si>
  <si>
    <t>7359712</t>
  </si>
  <si>
    <t>7580651</t>
  </si>
  <si>
    <t>7327610</t>
  </si>
  <si>
    <t>15100-308486</t>
  </si>
  <si>
    <t>308486</t>
  </si>
  <si>
    <t>7272571</t>
  </si>
  <si>
    <t>8245548</t>
  </si>
  <si>
    <t>7333773</t>
  </si>
  <si>
    <t>7382663</t>
  </si>
  <si>
    <t>7279370</t>
  </si>
  <si>
    <t>7203544</t>
  </si>
  <si>
    <t>351031</t>
  </si>
  <si>
    <t>8317381</t>
  </si>
  <si>
    <t>Canadian White Star Energy Ltd.</t>
  </si>
  <si>
    <t>7310706</t>
  </si>
  <si>
    <t>8225724</t>
  </si>
  <si>
    <t>7868626</t>
  </si>
  <si>
    <t>8333590</t>
  </si>
  <si>
    <t>8278212</t>
  </si>
  <si>
    <t>7325374</t>
  </si>
  <si>
    <t>7333942</t>
  </si>
  <si>
    <t>368398</t>
  </si>
  <si>
    <t>8224419</t>
  </si>
  <si>
    <t>7325170</t>
  </si>
  <si>
    <t>369773</t>
  </si>
  <si>
    <t>374607</t>
  </si>
  <si>
    <t>50100-7200243</t>
  </si>
  <si>
    <t>7200243</t>
  </si>
  <si>
    <t>7291394</t>
  </si>
  <si>
    <t>7277876</t>
  </si>
  <si>
    <t>8220231</t>
  </si>
  <si>
    <t>7350331</t>
  </si>
  <si>
    <t>7346358</t>
  </si>
  <si>
    <t>7176974</t>
  </si>
  <si>
    <t>7351661</t>
  </si>
  <si>
    <t>7385292</t>
  </si>
  <si>
    <t>7216643</t>
  </si>
  <si>
    <t>7207661</t>
  </si>
  <si>
    <t>8298423</t>
  </si>
  <si>
    <t>50100-7131083</t>
  </si>
  <si>
    <t>7131083</t>
  </si>
  <si>
    <t>7365299</t>
  </si>
  <si>
    <t>8300637</t>
  </si>
  <si>
    <t>7177375</t>
  </si>
  <si>
    <t>8252699</t>
  </si>
  <si>
    <t>50100-7313432</t>
  </si>
  <si>
    <t>7313432</t>
  </si>
  <si>
    <t>7299447</t>
  </si>
  <si>
    <t>7198334</t>
  </si>
  <si>
    <t>50100-7657211</t>
  </si>
  <si>
    <t>7657211</t>
  </si>
  <si>
    <t>372120</t>
  </si>
  <si>
    <t>7272050</t>
  </si>
  <si>
    <t>7567481</t>
  </si>
  <si>
    <t>7237755</t>
  </si>
  <si>
    <t>7260217</t>
  </si>
  <si>
    <t>50100-7654629</t>
  </si>
  <si>
    <t>7654629</t>
  </si>
  <si>
    <t>8208767</t>
  </si>
  <si>
    <t>334154</t>
  </si>
  <si>
    <t>7542089</t>
  </si>
  <si>
    <t>50100-7154900</t>
  </si>
  <si>
    <t>7154900</t>
  </si>
  <si>
    <t>7566375</t>
  </si>
  <si>
    <t>8293232</t>
  </si>
  <si>
    <t>50100-7615780</t>
  </si>
  <si>
    <t>7615780</t>
  </si>
  <si>
    <t>8254866</t>
  </si>
  <si>
    <t>335206</t>
  </si>
  <si>
    <t>7295389</t>
  </si>
  <si>
    <t>7373569</t>
  </si>
  <si>
    <t>8217041</t>
  </si>
  <si>
    <t>7479285</t>
  </si>
  <si>
    <t>7604312</t>
  </si>
  <si>
    <t>8341226</t>
  </si>
  <si>
    <t>7444224</t>
  </si>
  <si>
    <t>7342860</t>
  </si>
  <si>
    <t>7345346</t>
  </si>
  <si>
    <t>7193021</t>
  </si>
  <si>
    <t>7457297</t>
  </si>
  <si>
    <t>7338681</t>
  </si>
  <si>
    <t>50100-7616628</t>
  </si>
  <si>
    <t>7616628</t>
  </si>
  <si>
    <t>8273159</t>
  </si>
  <si>
    <t>371389</t>
  </si>
  <si>
    <t>50100-7126027</t>
  </si>
  <si>
    <t>7126027</t>
  </si>
  <si>
    <t>8470393</t>
  </si>
  <si>
    <t>368440</t>
  </si>
  <si>
    <t>Herat Nut and Bold Ltd</t>
  </si>
  <si>
    <t>50100-7117866</t>
  </si>
  <si>
    <t>7117866</t>
  </si>
  <si>
    <t>7206536</t>
  </si>
  <si>
    <t>7435679</t>
  </si>
  <si>
    <t>50100-7113983</t>
  </si>
  <si>
    <t>7113983</t>
  </si>
  <si>
    <t>281329</t>
  </si>
  <si>
    <t>344420</t>
  </si>
  <si>
    <t>7851713</t>
  </si>
  <si>
    <t>7291280</t>
  </si>
  <si>
    <t>356582</t>
  </si>
  <si>
    <t>8297406</t>
  </si>
  <si>
    <t>279022</t>
  </si>
  <si>
    <t>277132</t>
  </si>
  <si>
    <t>368841</t>
  </si>
  <si>
    <t>359010</t>
  </si>
  <si>
    <t>367042</t>
  </si>
  <si>
    <t>7512192</t>
  </si>
  <si>
    <t>343172</t>
  </si>
  <si>
    <t>50100-7251193</t>
  </si>
  <si>
    <t>7251193</t>
  </si>
  <si>
    <t>7883571</t>
  </si>
  <si>
    <t>8456471</t>
  </si>
  <si>
    <t>7850688</t>
  </si>
  <si>
    <t>8231194</t>
  </si>
  <si>
    <t>8243844</t>
  </si>
  <si>
    <t>395030</t>
  </si>
  <si>
    <t>395742</t>
  </si>
  <si>
    <t>8333097</t>
  </si>
  <si>
    <t>HBH Energy Holding Group Limited</t>
  </si>
  <si>
    <t>271389</t>
  </si>
  <si>
    <t>286604</t>
  </si>
  <si>
    <t>8225533</t>
  </si>
  <si>
    <t>8433178</t>
  </si>
  <si>
    <t>8435812</t>
  </si>
  <si>
    <t>50100-7133575</t>
  </si>
  <si>
    <t>7133575</t>
  </si>
  <si>
    <t>7848564</t>
  </si>
  <si>
    <t>7229179</t>
  </si>
  <si>
    <t>50100-7617951</t>
  </si>
  <si>
    <t>7617951</t>
  </si>
  <si>
    <t>7523040</t>
  </si>
  <si>
    <t>50100-7109317</t>
  </si>
  <si>
    <t>7109317</t>
  </si>
  <si>
    <t>327390</t>
  </si>
  <si>
    <t>327902</t>
  </si>
  <si>
    <t>7365745</t>
  </si>
  <si>
    <t>8248281</t>
  </si>
  <si>
    <t>7373627</t>
  </si>
  <si>
    <t>7392686</t>
  </si>
  <si>
    <t>8426230</t>
  </si>
  <si>
    <t>8273759</t>
  </si>
  <si>
    <t>Real bitumen oil</t>
  </si>
  <si>
    <t>8435431</t>
  </si>
  <si>
    <t>7198818</t>
  </si>
  <si>
    <t>357125</t>
  </si>
  <si>
    <t>357792</t>
  </si>
  <si>
    <t>369282</t>
  </si>
  <si>
    <t>7397195</t>
  </si>
  <si>
    <t>7571297</t>
  </si>
  <si>
    <t>343536</t>
  </si>
  <si>
    <t>7349014</t>
  </si>
  <si>
    <t>7586904</t>
  </si>
  <si>
    <t>8237743</t>
  </si>
  <si>
    <t>50100-7122549</t>
  </si>
  <si>
    <t>7122549</t>
  </si>
  <si>
    <t>7477939</t>
  </si>
  <si>
    <t>8278345</t>
  </si>
  <si>
    <t>301737</t>
  </si>
  <si>
    <t>15100-308065</t>
  </si>
  <si>
    <t>308065</t>
  </si>
  <si>
    <t>8248474</t>
  </si>
  <si>
    <t>7513155</t>
  </si>
  <si>
    <t>7339462</t>
  </si>
  <si>
    <t>15100-250603</t>
  </si>
  <si>
    <t>250603</t>
  </si>
  <si>
    <t>358405</t>
  </si>
  <si>
    <t>7573417</t>
  </si>
  <si>
    <t>317483</t>
  </si>
  <si>
    <t>15100-267572</t>
  </si>
  <si>
    <t>267572</t>
  </si>
  <si>
    <t>331108</t>
  </si>
  <si>
    <t>7843341</t>
  </si>
  <si>
    <t>50100-7127483</t>
  </si>
  <si>
    <t>7127483</t>
  </si>
  <si>
    <t>50100-7122672</t>
  </si>
  <si>
    <t>7122672</t>
  </si>
  <si>
    <t>7180478</t>
  </si>
  <si>
    <t>15100-257261</t>
  </si>
  <si>
    <t>257261</t>
  </si>
  <si>
    <t>15100-258250</t>
  </si>
  <si>
    <t>258250</t>
  </si>
  <si>
    <t>15100-250984</t>
  </si>
  <si>
    <t>250984</t>
  </si>
  <si>
    <t>254644</t>
  </si>
  <si>
    <t>15100-268760</t>
  </si>
  <si>
    <t>268760</t>
  </si>
  <si>
    <t>7842611</t>
  </si>
  <si>
    <t>50100-7627475</t>
  </si>
  <si>
    <t>7627475</t>
  </si>
  <si>
    <t>95/05/21</t>
  </si>
  <si>
    <t>7373993</t>
  </si>
  <si>
    <t>7278247</t>
  </si>
  <si>
    <t>50100-7650588</t>
  </si>
  <si>
    <t>7650588</t>
  </si>
  <si>
    <t>388136</t>
  </si>
  <si>
    <t>7321836</t>
  </si>
  <si>
    <t>7272165</t>
  </si>
  <si>
    <t>8433304</t>
  </si>
  <si>
    <t>8435761</t>
  </si>
  <si>
    <t>8281167</t>
  </si>
  <si>
    <t>7872384</t>
  </si>
  <si>
    <t>50100-7114993</t>
  </si>
  <si>
    <t>7114993</t>
  </si>
  <si>
    <t>95/01/11</t>
  </si>
  <si>
    <t>7243626</t>
  </si>
  <si>
    <t>7206934</t>
  </si>
  <si>
    <t>312956</t>
  </si>
  <si>
    <t>7179241</t>
  </si>
  <si>
    <t>50100-7140289</t>
  </si>
  <si>
    <t>7140289</t>
  </si>
  <si>
    <t>7293524</t>
  </si>
  <si>
    <t>50100-7657952</t>
  </si>
  <si>
    <t>7657952</t>
  </si>
  <si>
    <t>7435540</t>
  </si>
  <si>
    <t>50100-7239214</t>
  </si>
  <si>
    <t>7239214</t>
  </si>
  <si>
    <t>7356173</t>
  </si>
  <si>
    <t>333665</t>
  </si>
  <si>
    <t>8270763</t>
  </si>
  <si>
    <t>15100-251249</t>
  </si>
  <si>
    <t>251249</t>
  </si>
  <si>
    <t>50100-7117920</t>
  </si>
  <si>
    <t>7117920</t>
  </si>
  <si>
    <t>7228032</t>
  </si>
  <si>
    <t>333045</t>
  </si>
  <si>
    <t>333484</t>
  </si>
  <si>
    <t>7238351</t>
  </si>
  <si>
    <t>50100-7109374</t>
  </si>
  <si>
    <t>7109374</t>
  </si>
  <si>
    <t>50100-7166568</t>
  </si>
  <si>
    <t>7166568</t>
  </si>
  <si>
    <t>332124</t>
  </si>
  <si>
    <t>7303503</t>
  </si>
  <si>
    <t>50100-7117840</t>
  </si>
  <si>
    <t>7117840</t>
  </si>
  <si>
    <t>8464643</t>
  </si>
  <si>
    <t>8189609</t>
  </si>
  <si>
    <t>330809</t>
  </si>
  <si>
    <t>7237091</t>
  </si>
  <si>
    <t>7650120</t>
  </si>
  <si>
    <t>331690</t>
  </si>
  <si>
    <t>70624</t>
  </si>
  <si>
    <t>تجارتي مسعود رشيد نورزايي لميتد</t>
  </si>
  <si>
    <t>7489947</t>
  </si>
  <si>
    <t>388947</t>
  </si>
  <si>
    <t>8341361</t>
  </si>
  <si>
    <t>7299831</t>
  </si>
  <si>
    <t>393433</t>
  </si>
  <si>
    <t>7418937</t>
  </si>
  <si>
    <t>7206267</t>
  </si>
  <si>
    <t>7340327</t>
  </si>
  <si>
    <t>7497498</t>
  </si>
  <si>
    <t>7245529</t>
  </si>
  <si>
    <t>7253057</t>
  </si>
  <si>
    <t>7325251</t>
  </si>
  <si>
    <t>7637884</t>
  </si>
  <si>
    <t>7203514</t>
  </si>
  <si>
    <t>7356242</t>
  </si>
  <si>
    <t>7310323</t>
  </si>
  <si>
    <t>330083</t>
  </si>
  <si>
    <t>95/07/22</t>
  </si>
  <si>
    <t>7356284</t>
  </si>
  <si>
    <t>15100-251491</t>
  </si>
  <si>
    <t>251491</t>
  </si>
  <si>
    <t>15100-252141</t>
  </si>
  <si>
    <t>252141</t>
  </si>
  <si>
    <t>7421147</t>
  </si>
  <si>
    <t>50100-7251392</t>
  </si>
  <si>
    <t>7251392</t>
  </si>
  <si>
    <t>7252474</t>
  </si>
  <si>
    <t>7863567</t>
  </si>
  <si>
    <t>7325524</t>
  </si>
  <si>
    <t>7473462</t>
  </si>
  <si>
    <t>310900</t>
  </si>
  <si>
    <t>8247817</t>
  </si>
  <si>
    <t>7258500</t>
  </si>
  <si>
    <t>7279839</t>
  </si>
  <si>
    <t>7328138</t>
  </si>
  <si>
    <t>50100-7382694</t>
  </si>
  <si>
    <t>7382694</t>
  </si>
  <si>
    <t>15100-288051</t>
  </si>
  <si>
    <t>288051</t>
  </si>
  <si>
    <t>95/04/03</t>
  </si>
  <si>
    <t>275502</t>
  </si>
  <si>
    <t>15100-273745</t>
  </si>
  <si>
    <t>273745</t>
  </si>
  <si>
    <t>339495</t>
  </si>
  <si>
    <t>339972</t>
  </si>
  <si>
    <t>7283655</t>
  </si>
  <si>
    <t>7206869</t>
  </si>
  <si>
    <t>7180676</t>
  </si>
  <si>
    <t>50100-7115196</t>
  </si>
  <si>
    <t>7115196</t>
  </si>
  <si>
    <t>7538917</t>
  </si>
  <si>
    <t>15100-277751</t>
  </si>
  <si>
    <t>277751</t>
  </si>
  <si>
    <t>15100-277165</t>
  </si>
  <si>
    <t>277165</t>
  </si>
  <si>
    <t>50100-7200702</t>
  </si>
  <si>
    <t>7200702</t>
  </si>
  <si>
    <t>8431517</t>
  </si>
  <si>
    <t>280678</t>
  </si>
  <si>
    <t>7186151</t>
  </si>
  <si>
    <t>259780</t>
  </si>
  <si>
    <t>345948</t>
  </si>
  <si>
    <t>341734</t>
  </si>
  <si>
    <t>342665</t>
  </si>
  <si>
    <t>8341582</t>
  </si>
  <si>
    <t>15100-250981</t>
  </si>
  <si>
    <t>250981</t>
  </si>
  <si>
    <t>50100-7175205</t>
  </si>
  <si>
    <t>7175205</t>
  </si>
  <si>
    <t>7595362</t>
  </si>
  <si>
    <t>365549</t>
  </si>
  <si>
    <t>7230538</t>
  </si>
  <si>
    <t>7207037</t>
  </si>
  <si>
    <t>8231160</t>
  </si>
  <si>
    <t>269647</t>
  </si>
  <si>
    <t>283729</t>
  </si>
  <si>
    <t>272582</t>
  </si>
  <si>
    <t>274944</t>
  </si>
  <si>
    <t>284907</t>
  </si>
  <si>
    <t>263167</t>
  </si>
  <si>
    <t>15100-269184</t>
  </si>
  <si>
    <t>269184</t>
  </si>
  <si>
    <t>7217222</t>
  </si>
  <si>
    <t>7207784</t>
  </si>
  <si>
    <t>7188133</t>
  </si>
  <si>
    <t>8223707</t>
  </si>
  <si>
    <t>50100-7130897</t>
  </si>
  <si>
    <t>7130897</t>
  </si>
  <si>
    <t>7238762</t>
  </si>
  <si>
    <t>7253414</t>
  </si>
  <si>
    <t>7267147</t>
  </si>
  <si>
    <t>50100-7116756</t>
  </si>
  <si>
    <t>7116756</t>
  </si>
  <si>
    <t>8190345</t>
  </si>
  <si>
    <t>7267284</t>
  </si>
  <si>
    <t>262524</t>
  </si>
  <si>
    <t>7187739</t>
  </si>
  <si>
    <t>7868876</t>
  </si>
  <si>
    <t>7178666</t>
  </si>
  <si>
    <t>50100-7136358</t>
  </si>
  <si>
    <t>7136358</t>
  </si>
  <si>
    <t>50100-7133176</t>
  </si>
  <si>
    <t>7133176</t>
  </si>
  <si>
    <t>15100-278564</t>
  </si>
  <si>
    <t>278564</t>
  </si>
  <si>
    <t>15100262557</t>
  </si>
  <si>
    <t>262557</t>
  </si>
  <si>
    <t>8338503</t>
  </si>
  <si>
    <t>367455</t>
  </si>
  <si>
    <t>7373499</t>
  </si>
  <si>
    <t>263140</t>
  </si>
  <si>
    <t>15100-263176</t>
  </si>
  <si>
    <t>263176</t>
  </si>
  <si>
    <t>8248791</t>
  </si>
  <si>
    <t>70621</t>
  </si>
  <si>
    <t>7251013</t>
  </si>
  <si>
    <t>273250</t>
  </si>
  <si>
    <t>268088</t>
  </si>
  <si>
    <t>7207577</t>
  </si>
  <si>
    <t>8204308</t>
  </si>
  <si>
    <t>8457144</t>
  </si>
  <si>
    <t>7567004</t>
  </si>
  <si>
    <t>7133359</t>
  </si>
  <si>
    <t>281287</t>
  </si>
  <si>
    <t>322361</t>
  </si>
  <si>
    <t>278501</t>
  </si>
  <si>
    <t>273757</t>
  </si>
  <si>
    <t>8435995</t>
  </si>
  <si>
    <t>343921</t>
  </si>
  <si>
    <t>342056</t>
  </si>
  <si>
    <t>8297223</t>
  </si>
  <si>
    <t>7441161</t>
  </si>
  <si>
    <t>15100-256238</t>
  </si>
  <si>
    <t>256238</t>
  </si>
  <si>
    <t>15100-264417</t>
  </si>
  <si>
    <t>264417</t>
  </si>
  <si>
    <t>264833</t>
  </si>
  <si>
    <t>7207460</t>
  </si>
  <si>
    <t>7244280</t>
  </si>
  <si>
    <t>7221623</t>
  </si>
  <si>
    <t>332500</t>
  </si>
  <si>
    <t>69774</t>
  </si>
  <si>
    <t>7302166</t>
  </si>
  <si>
    <t>15100-278078</t>
  </si>
  <si>
    <t>278078</t>
  </si>
  <si>
    <t>7312018</t>
  </si>
  <si>
    <t>300293</t>
  </si>
  <si>
    <t>7452415</t>
  </si>
  <si>
    <t>50100-7145871</t>
  </si>
  <si>
    <t>7145871</t>
  </si>
  <si>
    <t>95/01/19</t>
  </si>
  <si>
    <t>50100-7151068</t>
  </si>
  <si>
    <t>7151068</t>
  </si>
  <si>
    <t>50100-7625891</t>
  </si>
  <si>
    <t>7625891</t>
  </si>
  <si>
    <t>95/05/19</t>
  </si>
  <si>
    <t>50100-7188725</t>
  </si>
  <si>
    <t>7188725</t>
  </si>
  <si>
    <t>7399535</t>
  </si>
  <si>
    <t>50100-7137228</t>
  </si>
  <si>
    <t>7137228</t>
  </si>
  <si>
    <t>8431419</t>
  </si>
  <si>
    <t>8197572</t>
  </si>
  <si>
    <t>15100-257189</t>
  </si>
  <si>
    <t>257189</t>
  </si>
  <si>
    <t>366432</t>
  </si>
  <si>
    <t>7222380</t>
  </si>
  <si>
    <t>50100-7128794</t>
  </si>
  <si>
    <t>7128794</t>
  </si>
  <si>
    <t>50100-7128755</t>
  </si>
  <si>
    <t>7128755</t>
  </si>
  <si>
    <t>7162812</t>
  </si>
  <si>
    <t>8263360</t>
  </si>
  <si>
    <t>7490299</t>
  </si>
  <si>
    <t>8316441</t>
  </si>
  <si>
    <t>7313534</t>
  </si>
  <si>
    <t>7260610</t>
  </si>
  <si>
    <t>8210136</t>
  </si>
  <si>
    <t>8301241</t>
  </si>
  <si>
    <t>8244503</t>
  </si>
  <si>
    <t>8278399</t>
  </si>
  <si>
    <t>8297588</t>
  </si>
  <si>
    <t>50100-7137717</t>
  </si>
  <si>
    <t>7137717</t>
  </si>
  <si>
    <t>7174908</t>
  </si>
  <si>
    <t>7285454</t>
  </si>
  <si>
    <t>7167912</t>
  </si>
  <si>
    <t>7278570</t>
  </si>
  <si>
    <t>7233110</t>
  </si>
  <si>
    <t>7247492</t>
  </si>
  <si>
    <t>50100-7173493</t>
  </si>
  <si>
    <t>7173493</t>
  </si>
  <si>
    <t>7246709</t>
  </si>
  <si>
    <t>257778</t>
  </si>
  <si>
    <t>15100-250627</t>
  </si>
  <si>
    <t>250627</t>
  </si>
  <si>
    <t>15100-250972</t>
  </si>
  <si>
    <t>250972</t>
  </si>
  <si>
    <t>15100-254062</t>
  </si>
  <si>
    <t>254062</t>
  </si>
  <si>
    <t>263128</t>
  </si>
  <si>
    <t>15100-268748</t>
  </si>
  <si>
    <t>268748</t>
  </si>
  <si>
    <t>15100-264010</t>
  </si>
  <si>
    <t>264010</t>
  </si>
  <si>
    <t>50100-7133647</t>
  </si>
  <si>
    <t>7133647</t>
  </si>
  <si>
    <t>7207118</t>
  </si>
  <si>
    <t>50100-7657644</t>
  </si>
  <si>
    <t>7657644</t>
  </si>
  <si>
    <t>7554944</t>
  </si>
  <si>
    <t>7295595</t>
  </si>
  <si>
    <t>8426324</t>
  </si>
  <si>
    <t>15100-259794</t>
  </si>
  <si>
    <t>259794</t>
  </si>
  <si>
    <t>15100-278984</t>
  </si>
  <si>
    <t>278984</t>
  </si>
  <si>
    <t>8298334</t>
  </si>
  <si>
    <t>7842712</t>
  </si>
  <si>
    <t>7439557</t>
  </si>
  <si>
    <t>7160987</t>
  </si>
  <si>
    <t>8435317</t>
  </si>
  <si>
    <t>8278553</t>
  </si>
  <si>
    <t>8240028</t>
  </si>
  <si>
    <t>50100-7633948</t>
  </si>
  <si>
    <t>7633948</t>
  </si>
  <si>
    <t>8253497</t>
  </si>
  <si>
    <t>7207313</t>
  </si>
  <si>
    <t>8187096</t>
  </si>
  <si>
    <t>272672</t>
  </si>
  <si>
    <t>15100-257790</t>
  </si>
  <si>
    <t>257790</t>
  </si>
  <si>
    <t>15100-257877</t>
  </si>
  <si>
    <t>257877</t>
  </si>
  <si>
    <t>285410</t>
  </si>
  <si>
    <t>15100-252598</t>
  </si>
  <si>
    <t>252598</t>
  </si>
  <si>
    <t>15100-273229</t>
  </si>
  <si>
    <t>273229</t>
  </si>
  <si>
    <t>303544</t>
  </si>
  <si>
    <t>270879</t>
  </si>
  <si>
    <t>272621</t>
  </si>
  <si>
    <t>365326</t>
  </si>
  <si>
    <t>360704</t>
  </si>
  <si>
    <t>349545</t>
  </si>
  <si>
    <t>349994</t>
  </si>
  <si>
    <t>352231</t>
  </si>
  <si>
    <t>376906</t>
  </si>
  <si>
    <t>15100-257273</t>
  </si>
  <si>
    <t>257273</t>
  </si>
  <si>
    <t>15100-252194</t>
  </si>
  <si>
    <t>252194</t>
  </si>
  <si>
    <t>268094</t>
  </si>
  <si>
    <t>7166155</t>
  </si>
  <si>
    <t>275916</t>
  </si>
  <si>
    <t>275508</t>
  </si>
  <si>
    <t>15100-282457</t>
  </si>
  <si>
    <t>282457</t>
  </si>
  <si>
    <t>95/03/23</t>
  </si>
  <si>
    <t>336272</t>
  </si>
  <si>
    <t>336317</t>
  </si>
  <si>
    <t>340908</t>
  </si>
  <si>
    <t>264476</t>
  </si>
  <si>
    <t>8248058</t>
  </si>
  <si>
    <t>8474280</t>
  </si>
  <si>
    <t>8217185</t>
  </si>
  <si>
    <t>7199149</t>
  </si>
  <si>
    <t>15100-290479</t>
  </si>
  <si>
    <t>290479</t>
  </si>
  <si>
    <t>95/04/10</t>
  </si>
  <si>
    <t>352234</t>
  </si>
  <si>
    <t>292166</t>
  </si>
  <si>
    <t>15100-259833</t>
  </si>
  <si>
    <t>259833</t>
  </si>
  <si>
    <t>15100-261934</t>
  </si>
  <si>
    <t>261934</t>
  </si>
  <si>
    <t>261973</t>
  </si>
  <si>
    <t>15100-292857</t>
  </si>
  <si>
    <t>292857</t>
  </si>
  <si>
    <t>7583909</t>
  </si>
  <si>
    <t>8185269</t>
  </si>
  <si>
    <t>7881157</t>
  </si>
  <si>
    <t>7180604</t>
  </si>
  <si>
    <t>7311042</t>
  </si>
  <si>
    <t>8278079</t>
  </si>
  <si>
    <t>7439786</t>
  </si>
  <si>
    <t>337776</t>
  </si>
  <si>
    <t>15100-266926</t>
  </si>
  <si>
    <t>266926</t>
  </si>
  <si>
    <t>15100-266935</t>
  </si>
  <si>
    <t>266935</t>
  </si>
  <si>
    <t>15100-270910</t>
  </si>
  <si>
    <t>270910</t>
  </si>
  <si>
    <t>7222984</t>
  </si>
  <si>
    <t>7230203</t>
  </si>
  <si>
    <t>7660700</t>
  </si>
  <si>
    <t>8262804</t>
  </si>
  <si>
    <t>8455111</t>
  </si>
  <si>
    <t>8231066</t>
  </si>
  <si>
    <t>7310014</t>
  </si>
  <si>
    <t>8297074</t>
  </si>
  <si>
    <t>8248593</t>
  </si>
  <si>
    <t>8249220</t>
  </si>
  <si>
    <t>7869257</t>
  </si>
  <si>
    <t>50100-7178883</t>
  </si>
  <si>
    <t>7178883</t>
  </si>
  <si>
    <t>7230315</t>
  </si>
  <si>
    <t>7238999</t>
  </si>
  <si>
    <t>15100-267587</t>
  </si>
  <si>
    <t>267587</t>
  </si>
  <si>
    <t>7166844</t>
  </si>
  <si>
    <t>15100-257204</t>
  </si>
  <si>
    <t>257204</t>
  </si>
  <si>
    <t>15100-251497</t>
  </si>
  <si>
    <t>251497</t>
  </si>
  <si>
    <t>15100-252124</t>
  </si>
  <si>
    <t>252124</t>
  </si>
  <si>
    <t>15100-264837</t>
  </si>
  <si>
    <t>264837</t>
  </si>
  <si>
    <t>15100-264867</t>
  </si>
  <si>
    <t>264867</t>
  </si>
  <si>
    <t>15100-278510</t>
  </si>
  <si>
    <t>278510</t>
  </si>
  <si>
    <t>7256832</t>
  </si>
  <si>
    <t>8225847</t>
  </si>
  <si>
    <t>AL Taiera al warqahal Lubricants  TR.LLC</t>
  </si>
  <si>
    <t>15100-307571</t>
  </si>
  <si>
    <t>307571</t>
  </si>
  <si>
    <t>95/05/24</t>
  </si>
  <si>
    <t>299649</t>
  </si>
  <si>
    <t>301303</t>
  </si>
  <si>
    <t>15100-272103</t>
  </si>
  <si>
    <t>272103</t>
  </si>
  <si>
    <t>363456</t>
  </si>
  <si>
    <t>362976</t>
  </si>
  <si>
    <t>15100-266101</t>
  </si>
  <si>
    <t>266101</t>
  </si>
  <si>
    <t>353004</t>
  </si>
  <si>
    <t>377948</t>
  </si>
  <si>
    <t>328899</t>
  </si>
  <si>
    <t>257156</t>
  </si>
  <si>
    <t>15100-284865</t>
  </si>
  <si>
    <t>284865</t>
  </si>
  <si>
    <t>7471714</t>
  </si>
  <si>
    <t>15100-290012</t>
  </si>
  <si>
    <t>290012</t>
  </si>
  <si>
    <t>349557</t>
  </si>
  <si>
    <t>344876</t>
  </si>
  <si>
    <t>354736</t>
  </si>
  <si>
    <t>269203</t>
  </si>
  <si>
    <t>15100-269707</t>
  </si>
  <si>
    <t>269707</t>
  </si>
  <si>
    <t>336905</t>
  </si>
  <si>
    <t>7238036</t>
  </si>
  <si>
    <t>7279977</t>
  </si>
  <si>
    <t>8435653</t>
  </si>
  <si>
    <t>334512</t>
  </si>
  <si>
    <t>345761</t>
  </si>
  <si>
    <t>7150210</t>
  </si>
  <si>
    <t>8249548</t>
  </si>
  <si>
    <t>7583948</t>
  </si>
  <si>
    <t>15100-287182</t>
  </si>
  <si>
    <t>287182</t>
  </si>
  <si>
    <t>273271</t>
  </si>
  <si>
    <t>373013</t>
  </si>
  <si>
    <t>GOLDEN WAY GENERAL TRADING LLC</t>
  </si>
  <si>
    <t>8106029</t>
  </si>
  <si>
    <t>7206735</t>
  </si>
  <si>
    <t>7346430</t>
  </si>
  <si>
    <t>50100-7230389</t>
  </si>
  <si>
    <t>7230389</t>
  </si>
  <si>
    <t>281929</t>
  </si>
  <si>
    <t>347730</t>
  </si>
  <si>
    <t>324076</t>
  </si>
  <si>
    <t>353555</t>
  </si>
  <si>
    <t>329633</t>
  </si>
  <si>
    <t>15100-284269</t>
  </si>
  <si>
    <t>284269</t>
  </si>
  <si>
    <t>7272237</t>
  </si>
  <si>
    <t>15100-251699</t>
  </si>
  <si>
    <t>251699</t>
  </si>
  <si>
    <t>15100-251702</t>
  </si>
  <si>
    <t>251702</t>
  </si>
  <si>
    <t>354240</t>
  </si>
  <si>
    <t>366304</t>
  </si>
  <si>
    <t>361808</t>
  </si>
  <si>
    <t>331038</t>
  </si>
  <si>
    <t>380580</t>
  </si>
  <si>
    <t>384742</t>
  </si>
  <si>
    <t>385169</t>
  </si>
  <si>
    <t>362179</t>
  </si>
  <si>
    <t>15100-283723</t>
  </si>
  <si>
    <t>283723</t>
  </si>
  <si>
    <t>8204640</t>
  </si>
  <si>
    <t>7869866</t>
  </si>
  <si>
    <t>15100-259109</t>
  </si>
  <si>
    <t>259109</t>
  </si>
  <si>
    <t>15100-274337</t>
  </si>
  <si>
    <t>274337</t>
  </si>
  <si>
    <t>15100-260850</t>
  </si>
  <si>
    <t>260850</t>
  </si>
  <si>
    <t>50100-7145814</t>
  </si>
  <si>
    <t>7145814</t>
  </si>
  <si>
    <t>8245117</t>
  </si>
  <si>
    <t>8292764</t>
  </si>
  <si>
    <t>7262577</t>
  </si>
  <si>
    <t>7266842</t>
  </si>
  <si>
    <t>7163156</t>
  </si>
  <si>
    <t>7209733</t>
  </si>
  <si>
    <t>7209598</t>
  </si>
  <si>
    <t>7187649</t>
  </si>
  <si>
    <t>295946</t>
  </si>
  <si>
    <t>382982</t>
  </si>
  <si>
    <t>388096</t>
  </si>
  <si>
    <t>388151</t>
  </si>
  <si>
    <t>366973</t>
  </si>
  <si>
    <t>7289038</t>
  </si>
  <si>
    <t>8457225</t>
  </si>
  <si>
    <t>326158</t>
  </si>
  <si>
    <t>315369</t>
  </si>
  <si>
    <t>325317</t>
  </si>
  <si>
    <t>348904</t>
  </si>
  <si>
    <t>377453</t>
  </si>
  <si>
    <t>358390</t>
  </si>
  <si>
    <t>50100-7135858</t>
  </si>
  <si>
    <t>7135858</t>
  </si>
  <si>
    <t>7188433</t>
  </si>
  <si>
    <t>7640182</t>
  </si>
  <si>
    <t>8315904</t>
  </si>
  <si>
    <t>8225156</t>
  </si>
  <si>
    <t>281896</t>
  </si>
  <si>
    <t>326654</t>
  </si>
  <si>
    <t>263615</t>
  </si>
  <si>
    <t>359483</t>
  </si>
  <si>
    <t>342293</t>
  </si>
  <si>
    <t>378480</t>
  </si>
  <si>
    <t>7384584</t>
  </si>
  <si>
    <t>50100-7645510</t>
  </si>
  <si>
    <t>7645510</t>
  </si>
  <si>
    <t>333566</t>
  </si>
  <si>
    <t>287511</t>
  </si>
  <si>
    <t>274325</t>
  </si>
  <si>
    <t>15100-274300</t>
  </si>
  <si>
    <t>274300</t>
  </si>
  <si>
    <t>338620</t>
  </si>
  <si>
    <t>338978</t>
  </si>
  <si>
    <t>15100-261496</t>
  </si>
  <si>
    <t>261496</t>
  </si>
  <si>
    <t>300283</t>
  </si>
  <si>
    <t>263633</t>
  </si>
  <si>
    <t>7527038</t>
  </si>
  <si>
    <t>15100-300308</t>
  </si>
  <si>
    <t>300308</t>
  </si>
  <si>
    <t>353516</t>
  </si>
  <si>
    <t>7526844</t>
  </si>
  <si>
    <t>15100-281308</t>
  </si>
  <si>
    <t>281308</t>
  </si>
  <si>
    <t>338326</t>
  </si>
  <si>
    <t>338381</t>
  </si>
  <si>
    <t>15100-266143</t>
  </si>
  <si>
    <t>266143</t>
  </si>
  <si>
    <t>15100-283759</t>
  </si>
  <si>
    <t>283759</t>
  </si>
  <si>
    <t>7177988</t>
  </si>
  <si>
    <t>8208217</t>
  </si>
  <si>
    <t>8435941</t>
  </si>
  <si>
    <t>15100-258753</t>
  </si>
  <si>
    <t>258753</t>
  </si>
  <si>
    <t>15100-273217</t>
  </si>
  <si>
    <t>273217</t>
  </si>
  <si>
    <t>15100-271491</t>
  </si>
  <si>
    <t>271491</t>
  </si>
  <si>
    <t>320376</t>
  </si>
  <si>
    <t>324205</t>
  </si>
  <si>
    <t>359030</t>
  </si>
  <si>
    <t>359018</t>
  </si>
  <si>
    <t>378519</t>
  </si>
  <si>
    <t>326170</t>
  </si>
  <si>
    <t>15100-266914</t>
  </si>
  <si>
    <t>266914</t>
  </si>
  <si>
    <t>342644</t>
  </si>
  <si>
    <t>377930</t>
  </si>
  <si>
    <t>330456</t>
  </si>
  <si>
    <t>332491</t>
  </si>
  <si>
    <t>385745</t>
  </si>
  <si>
    <t>362955</t>
  </si>
  <si>
    <t>366338</t>
  </si>
  <si>
    <t>353546</t>
  </si>
  <si>
    <t>50100-7146215</t>
  </si>
  <si>
    <t>7146215</t>
  </si>
  <si>
    <t>8312045</t>
  </si>
  <si>
    <t>7207919</t>
  </si>
  <si>
    <t>8435875</t>
  </si>
  <si>
    <t>7206436</t>
  </si>
  <si>
    <t>333454</t>
  </si>
  <si>
    <t>15100-261514</t>
  </si>
  <si>
    <t>261514</t>
  </si>
  <si>
    <t>7650246</t>
  </si>
  <si>
    <t>351016</t>
  </si>
  <si>
    <t>354225</t>
  </si>
  <si>
    <t>341767</t>
  </si>
  <si>
    <t>345237</t>
  </si>
  <si>
    <t>380111</t>
  </si>
  <si>
    <t>356591</t>
  </si>
  <si>
    <t>356594</t>
  </si>
  <si>
    <t>348436</t>
  </si>
  <si>
    <t>15100-255659</t>
  </si>
  <si>
    <t>255659</t>
  </si>
  <si>
    <t>15100-256604</t>
  </si>
  <si>
    <t>256604</t>
  </si>
  <si>
    <t>348331</t>
  </si>
  <si>
    <t>391723</t>
  </si>
  <si>
    <t>392547</t>
  </si>
  <si>
    <t>15100-263609</t>
  </si>
  <si>
    <t>263609</t>
  </si>
  <si>
    <t>350473</t>
  </si>
  <si>
    <t>15100-294040</t>
  </si>
  <si>
    <t>294040</t>
  </si>
  <si>
    <t>294905</t>
  </si>
  <si>
    <t>15100-258750</t>
  </si>
  <si>
    <t>258750</t>
  </si>
  <si>
    <t>266128</t>
  </si>
  <si>
    <t>365883</t>
  </si>
  <si>
    <t>366250</t>
  </si>
  <si>
    <t>50100-7634592</t>
  </si>
  <si>
    <t>7634592</t>
  </si>
  <si>
    <t>370674</t>
  </si>
  <si>
    <t>7217006</t>
  </si>
  <si>
    <t>340833</t>
  </si>
  <si>
    <t>255068</t>
  </si>
  <si>
    <t>370619</t>
  </si>
  <si>
    <t>8235398</t>
  </si>
  <si>
    <t>50100-7160627</t>
  </si>
  <si>
    <t>7160627</t>
  </si>
  <si>
    <t>8334772</t>
  </si>
  <si>
    <t>8448389</t>
  </si>
  <si>
    <t>361237</t>
  </si>
  <si>
    <t>346517</t>
  </si>
  <si>
    <t>354730</t>
  </si>
  <si>
    <t>50100-7257284</t>
  </si>
  <si>
    <t>7257284</t>
  </si>
  <si>
    <t>7268494</t>
  </si>
  <si>
    <t>364365</t>
  </si>
  <si>
    <t>328413</t>
  </si>
  <si>
    <t>331672</t>
  </si>
  <si>
    <t>382976</t>
  </si>
  <si>
    <t>369291</t>
  </si>
  <si>
    <t>50100-7147108</t>
  </si>
  <si>
    <t>7147108</t>
  </si>
  <si>
    <t>50100-7150039</t>
  </si>
  <si>
    <t>7150039</t>
  </si>
  <si>
    <t>395709</t>
  </si>
  <si>
    <t>8253691</t>
  </si>
  <si>
    <t>8209085</t>
  </si>
  <si>
    <t>15100-276497</t>
  </si>
  <si>
    <t>276497</t>
  </si>
  <si>
    <t>292423</t>
  </si>
  <si>
    <t>387579</t>
  </si>
  <si>
    <t>387624</t>
  </si>
  <si>
    <t>362341</t>
  </si>
  <si>
    <t>343969</t>
  </si>
  <si>
    <t>347248</t>
  </si>
  <si>
    <t>328389</t>
  </si>
  <si>
    <t>367362</t>
  </si>
  <si>
    <t>15100-284227</t>
  </si>
  <si>
    <t>284227</t>
  </si>
  <si>
    <t>15100-286613</t>
  </si>
  <si>
    <t>286613</t>
  </si>
  <si>
    <t>343518</t>
  </si>
  <si>
    <t>367320</t>
  </si>
  <si>
    <t>7163092</t>
  </si>
  <si>
    <t>298237</t>
  </si>
  <si>
    <t>365871</t>
  </si>
  <si>
    <t>15100-265482</t>
  </si>
  <si>
    <t>265482</t>
  </si>
  <si>
    <t>349471</t>
  </si>
  <si>
    <t>352950</t>
  </si>
  <si>
    <t>377447</t>
  </si>
  <si>
    <t>330803</t>
  </si>
  <si>
    <t>383431</t>
  </si>
  <si>
    <t>15100-283049</t>
  </si>
  <si>
    <t>283049</t>
  </si>
  <si>
    <t>7378948</t>
  </si>
  <si>
    <t>15100-282451</t>
  </si>
  <si>
    <t>282451</t>
  </si>
  <si>
    <t>339474</t>
  </si>
  <si>
    <t>15100-263591</t>
  </si>
  <si>
    <t>263591</t>
  </si>
  <si>
    <t>333094</t>
  </si>
  <si>
    <t>347769</t>
  </si>
  <si>
    <t>255677</t>
  </si>
  <si>
    <t>15100-284338</t>
  </si>
  <si>
    <t>284338</t>
  </si>
  <si>
    <t>7275675</t>
  </si>
  <si>
    <t>7200455</t>
  </si>
  <si>
    <t>8197698</t>
  </si>
  <si>
    <t>7345727</t>
  </si>
  <si>
    <t>15100-261529</t>
  </si>
  <si>
    <t>261529</t>
  </si>
  <si>
    <t>359937</t>
  </si>
  <si>
    <t>50100-7624099</t>
  </si>
  <si>
    <t>7624099</t>
  </si>
  <si>
    <t>361763</t>
  </si>
  <si>
    <t>7367179</t>
  </si>
  <si>
    <t>8252987</t>
  </si>
  <si>
    <t>7210890</t>
  </si>
  <si>
    <t>8463669</t>
  </si>
  <si>
    <t>15100-267554</t>
  </si>
  <si>
    <t>267554</t>
  </si>
  <si>
    <t>314900</t>
  </si>
  <si>
    <t>323465</t>
  </si>
  <si>
    <t>352225</t>
  </si>
  <si>
    <t>344888</t>
  </si>
  <si>
    <t>7180409</t>
  </si>
  <si>
    <t>15100-289689</t>
  </si>
  <si>
    <t>289689</t>
  </si>
  <si>
    <t>275496</t>
  </si>
  <si>
    <t>305923</t>
  </si>
  <si>
    <t>350440</t>
  </si>
  <si>
    <t>357173</t>
  </si>
  <si>
    <t>357834</t>
  </si>
  <si>
    <t>286596</t>
  </si>
  <si>
    <t>369840</t>
  </si>
  <si>
    <t>8332995</t>
  </si>
  <si>
    <t>Aseela General Trading L.L.C</t>
  </si>
  <si>
    <t>7483268</t>
  </si>
  <si>
    <t>7520607</t>
  </si>
  <si>
    <t>8190505</t>
  </si>
  <si>
    <t>15100-279670</t>
  </si>
  <si>
    <t>279670</t>
  </si>
  <si>
    <t>7446466</t>
  </si>
  <si>
    <t>7216906</t>
  </si>
  <si>
    <t>7509620</t>
  </si>
  <si>
    <t>8244832</t>
  </si>
  <si>
    <t>346014</t>
  </si>
  <si>
    <t>15100-270348</t>
  </si>
  <si>
    <t>270348</t>
  </si>
  <si>
    <t>333079</t>
  </si>
  <si>
    <t>351592</t>
  </si>
  <si>
    <t>332085</t>
  </si>
  <si>
    <t>357158</t>
  </si>
  <si>
    <t>357170</t>
  </si>
  <si>
    <t>15100-254662</t>
  </si>
  <si>
    <t>254662</t>
  </si>
  <si>
    <t>15100-256262</t>
  </si>
  <si>
    <t>256262</t>
  </si>
  <si>
    <t>367839</t>
  </si>
  <si>
    <t>294028</t>
  </si>
  <si>
    <t>387648</t>
  </si>
  <si>
    <t>341274</t>
  </si>
  <si>
    <t>258741</t>
  </si>
  <si>
    <t>326624</t>
  </si>
  <si>
    <t>15100-260383</t>
  </si>
  <si>
    <t>260383</t>
  </si>
  <si>
    <t>15100-260401</t>
  </si>
  <si>
    <t>260401</t>
  </si>
  <si>
    <t>367252</t>
  </si>
  <si>
    <t>359949</t>
  </si>
  <si>
    <t>359916</t>
  </si>
  <si>
    <t>15100-293606</t>
  </si>
  <si>
    <t>293606</t>
  </si>
  <si>
    <t>368895</t>
  </si>
  <si>
    <t>368907</t>
  </si>
  <si>
    <t>15100-281950</t>
  </si>
  <si>
    <t>281950</t>
  </si>
  <si>
    <t>325791</t>
  </si>
  <si>
    <t>333109</t>
  </si>
  <si>
    <t>8458416</t>
  </si>
  <si>
    <t>15100-280020</t>
  </si>
  <si>
    <t>280020</t>
  </si>
  <si>
    <t>327884</t>
  </si>
  <si>
    <t>337378</t>
  </si>
  <si>
    <t>340380</t>
  </si>
  <si>
    <t>260392</t>
  </si>
  <si>
    <t>7156388</t>
  </si>
  <si>
    <t>8360279</t>
  </si>
  <si>
    <t>7476655</t>
  </si>
  <si>
    <t>50100-7191514</t>
  </si>
  <si>
    <t>7191514</t>
  </si>
  <si>
    <t>8454548</t>
  </si>
  <si>
    <t>15100-258271</t>
  </si>
  <si>
    <t>258271</t>
  </si>
  <si>
    <t>304618</t>
  </si>
  <si>
    <t>393502</t>
  </si>
  <si>
    <t>8277828</t>
  </si>
  <si>
    <t>7430938</t>
  </si>
  <si>
    <t>270327</t>
  </si>
  <si>
    <t>351604</t>
  </si>
  <si>
    <t>7257091</t>
  </si>
  <si>
    <t>267596</t>
  </si>
  <si>
    <t>274361</t>
  </si>
  <si>
    <t>7508990</t>
  </si>
  <si>
    <t>355288</t>
  </si>
  <si>
    <t>356623</t>
  </si>
  <si>
    <t>393472</t>
  </si>
  <si>
    <t>394229</t>
  </si>
  <si>
    <t>367827</t>
  </si>
  <si>
    <t>7492106</t>
  </si>
  <si>
    <t>15100--350497</t>
  </si>
  <si>
    <t>350497</t>
  </si>
  <si>
    <t>350619</t>
  </si>
  <si>
    <t>368362</t>
  </si>
  <si>
    <t>15100-300744</t>
  </si>
  <si>
    <t>300744</t>
  </si>
  <si>
    <t>359456</t>
  </si>
  <si>
    <t>353543</t>
  </si>
  <si>
    <t>15100-293243</t>
  </si>
  <si>
    <t>293243</t>
  </si>
  <si>
    <t>95/04/21</t>
  </si>
  <si>
    <t>345243</t>
  </si>
  <si>
    <t>348283</t>
  </si>
  <si>
    <t>349015</t>
  </si>
  <si>
    <t>370182</t>
  </si>
  <si>
    <t>7346574</t>
  </si>
  <si>
    <t>293615</t>
  </si>
  <si>
    <t>368392</t>
  </si>
  <si>
    <t>7257511</t>
  </si>
  <si>
    <t>261536</t>
  </si>
  <si>
    <t>306881</t>
  </si>
  <si>
    <t>7603657</t>
  </si>
  <si>
    <t>295429</t>
  </si>
  <si>
    <t>381429</t>
  </si>
  <si>
    <t>384796</t>
  </si>
  <si>
    <t>332094</t>
  </si>
  <si>
    <t>15100-285434</t>
  </si>
  <si>
    <t>285434</t>
  </si>
  <si>
    <t>15100-286052</t>
  </si>
  <si>
    <t>286052</t>
  </si>
  <si>
    <t>390343</t>
  </si>
  <si>
    <t>341139</t>
  </si>
  <si>
    <t>330065</t>
  </si>
  <si>
    <t>15100-250959</t>
  </si>
  <si>
    <t>250959</t>
  </si>
  <si>
    <t>15100-253078</t>
  </si>
  <si>
    <t>253078</t>
  </si>
  <si>
    <t>268142</t>
  </si>
  <si>
    <t>370559</t>
  </si>
  <si>
    <t>7228337</t>
  </si>
  <si>
    <t>50100-7128725</t>
  </si>
  <si>
    <t>7128725</t>
  </si>
  <si>
    <t>7273209</t>
  </si>
  <si>
    <t>8309952</t>
  </si>
  <si>
    <t>8433068</t>
  </si>
  <si>
    <t>8206838</t>
  </si>
  <si>
    <t>325863</t>
  </si>
  <si>
    <t>351025</t>
  </si>
  <si>
    <t>358411</t>
  </si>
  <si>
    <t>15100-252619</t>
  </si>
  <si>
    <t>252619</t>
  </si>
  <si>
    <t>7843250</t>
  </si>
  <si>
    <t>7173454</t>
  </si>
  <si>
    <t>7174774</t>
  </si>
  <si>
    <t>7199475</t>
  </si>
  <si>
    <t>7223376</t>
  </si>
  <si>
    <t>7234433</t>
  </si>
  <si>
    <t>7129007</t>
  </si>
  <si>
    <t>15100-258747</t>
  </si>
  <si>
    <t>258747</t>
  </si>
  <si>
    <t>317677</t>
  </si>
  <si>
    <t>269764</t>
  </si>
  <si>
    <t>271419</t>
  </si>
  <si>
    <t>324911</t>
  </si>
  <si>
    <t>351007</t>
  </si>
  <si>
    <t>15100-255098</t>
  </si>
  <si>
    <t>255098</t>
  </si>
  <si>
    <t>391686</t>
  </si>
  <si>
    <t>362964</t>
  </si>
  <si>
    <t>362338</t>
  </si>
  <si>
    <t>15100-283738</t>
  </si>
  <si>
    <t>283738</t>
  </si>
  <si>
    <t>391022</t>
  </si>
  <si>
    <t>15100-287514</t>
  </si>
  <si>
    <t>287514</t>
  </si>
  <si>
    <t>386276</t>
  </si>
  <si>
    <t>386778</t>
  </si>
  <si>
    <t>8217344</t>
  </si>
  <si>
    <t>7275499</t>
  </si>
  <si>
    <t>JANSONS PETROLEUM DMCC</t>
  </si>
  <si>
    <t>7114515</t>
  </si>
  <si>
    <t>15100-272669</t>
  </si>
  <si>
    <t>272669</t>
  </si>
  <si>
    <t>15100-272693</t>
  </si>
  <si>
    <t>272693</t>
  </si>
  <si>
    <t>7405885</t>
  </si>
  <si>
    <t>15100-257781</t>
  </si>
  <si>
    <t>257781</t>
  </si>
  <si>
    <t>15100-257817</t>
  </si>
  <si>
    <t>257817</t>
  </si>
  <si>
    <t>15100-250624</t>
  </si>
  <si>
    <t>250624</t>
  </si>
  <si>
    <t>15100-298696</t>
  </si>
  <si>
    <t>298696</t>
  </si>
  <si>
    <t>301749</t>
  </si>
  <si>
    <t>275969</t>
  </si>
  <si>
    <t>261563</t>
  </si>
  <si>
    <t>7338415</t>
  </si>
  <si>
    <t>15100-254581</t>
  </si>
  <si>
    <t>254581</t>
  </si>
  <si>
    <t>8428069</t>
  </si>
  <si>
    <t>7654659</t>
  </si>
  <si>
    <t>7199815</t>
  </si>
  <si>
    <t>7278367</t>
  </si>
  <si>
    <t>8303481</t>
  </si>
  <si>
    <t>8448832</t>
  </si>
  <si>
    <t>8217114</t>
  </si>
  <si>
    <t>50100-7137551</t>
  </si>
  <si>
    <t>7137551</t>
  </si>
  <si>
    <t>7207430</t>
  </si>
  <si>
    <t>7207199</t>
  </si>
  <si>
    <t>8187158</t>
  </si>
  <si>
    <t>7216035</t>
  </si>
  <si>
    <t>7183827</t>
  </si>
  <si>
    <t>15100-275913</t>
  </si>
  <si>
    <t>275913</t>
  </si>
  <si>
    <t>15100-290533</t>
  </si>
  <si>
    <t>290533</t>
  </si>
  <si>
    <t>15100-259827</t>
  </si>
  <si>
    <t>259827</t>
  </si>
  <si>
    <t>15100-260377</t>
  </si>
  <si>
    <t>260377</t>
  </si>
  <si>
    <t>15100-261991</t>
  </si>
  <si>
    <t>261991</t>
  </si>
  <si>
    <t>15100-265509</t>
  </si>
  <si>
    <t>265509</t>
  </si>
  <si>
    <t>265533</t>
  </si>
  <si>
    <t>361165</t>
  </si>
  <si>
    <t>50100-7657480</t>
  </si>
  <si>
    <t>7657480</t>
  </si>
  <si>
    <t>50100-7162323</t>
  </si>
  <si>
    <t>7162323</t>
  </si>
  <si>
    <t>7530679</t>
  </si>
  <si>
    <t>364812</t>
  </si>
  <si>
    <t>352986</t>
  </si>
  <si>
    <t>328419</t>
  </si>
  <si>
    <t>331633</t>
  </si>
  <si>
    <t>331663</t>
  </si>
  <si>
    <t>357864</t>
  </si>
  <si>
    <t>15100-278981</t>
  </si>
  <si>
    <t>278981</t>
  </si>
  <si>
    <t>340513</t>
  </si>
  <si>
    <t>302395</t>
  </si>
  <si>
    <t>302824</t>
  </si>
  <si>
    <t>350018</t>
  </si>
  <si>
    <t>343524</t>
  </si>
  <si>
    <t>376568</t>
  </si>
  <si>
    <t>354676</t>
  </si>
  <si>
    <t>355276</t>
  </si>
  <si>
    <t>357846</t>
  </si>
  <si>
    <t>256577</t>
  </si>
  <si>
    <t>275927</t>
  </si>
  <si>
    <t>273163</t>
  </si>
  <si>
    <t>15100-279655</t>
  </si>
  <si>
    <t>279655</t>
  </si>
  <si>
    <t>283024</t>
  </si>
  <si>
    <t>328476</t>
  </si>
  <si>
    <t>335616</t>
  </si>
  <si>
    <t>340842</t>
  </si>
  <si>
    <t>360695</t>
  </si>
  <si>
    <t>346743</t>
  </si>
  <si>
    <t>7651941</t>
  </si>
  <si>
    <t>270750</t>
  </si>
  <si>
    <t>7312945</t>
  </si>
  <si>
    <t>7252029</t>
  </si>
  <si>
    <t>15100-273238</t>
  </si>
  <si>
    <t>273238</t>
  </si>
  <si>
    <t>364359</t>
  </si>
  <si>
    <t>295415</t>
  </si>
  <si>
    <t>15100-285392</t>
  </si>
  <si>
    <t>285392</t>
  </si>
  <si>
    <t>361244</t>
  </si>
  <si>
    <t>15100-283067</t>
  </si>
  <si>
    <t>283067</t>
  </si>
  <si>
    <t>285419</t>
  </si>
  <si>
    <t>7271937</t>
  </si>
  <si>
    <t>349486</t>
  </si>
  <si>
    <t>294436</t>
  </si>
  <si>
    <t>352258</t>
  </si>
  <si>
    <t>371395</t>
  </si>
  <si>
    <t>381818</t>
  </si>
  <si>
    <t>383864</t>
  </si>
  <si>
    <t>367258</t>
  </si>
  <si>
    <t>347251</t>
  </si>
  <si>
    <t>368919</t>
  </si>
  <si>
    <t>8433877</t>
  </si>
  <si>
    <t>286001</t>
  </si>
  <si>
    <t>8264295</t>
  </si>
  <si>
    <t>7398031</t>
  </si>
  <si>
    <t>367889</t>
  </si>
  <si>
    <t>7851854</t>
  </si>
  <si>
    <t>8224171</t>
  </si>
  <si>
    <t>7207535</t>
  </si>
  <si>
    <t>329576</t>
  </si>
  <si>
    <t>50100-7122622</t>
  </si>
  <si>
    <t>7122622</t>
  </si>
  <si>
    <t>7343383</t>
  </si>
  <si>
    <t>50100-7116696</t>
  </si>
  <si>
    <t>7116696</t>
  </si>
  <si>
    <t>7539147</t>
  </si>
  <si>
    <t>7243686</t>
  </si>
  <si>
    <t>50100-7175261</t>
  </si>
  <si>
    <t>7175261</t>
  </si>
  <si>
    <t>7164770</t>
  </si>
  <si>
    <t>7313122</t>
  </si>
  <si>
    <t>15100-263116</t>
  </si>
  <si>
    <t>263116</t>
  </si>
  <si>
    <t>90/02/09</t>
  </si>
  <si>
    <t>7478113</t>
  </si>
  <si>
    <t>15100-264357</t>
  </si>
  <si>
    <t>264357</t>
  </si>
  <si>
    <t>8322347</t>
  </si>
  <si>
    <t>8341837</t>
  </si>
  <si>
    <t>7440481</t>
  </si>
  <si>
    <t>15100-254095</t>
  </si>
  <si>
    <t>254095</t>
  </si>
  <si>
    <t>7222131</t>
  </si>
  <si>
    <t>8216937</t>
  </si>
  <si>
    <t>7167864</t>
  </si>
  <si>
    <t>15100-251261</t>
  </si>
  <si>
    <t>251261</t>
  </si>
  <si>
    <t>7216486</t>
  </si>
  <si>
    <t>PAART LTD</t>
  </si>
  <si>
    <t>7258050</t>
  </si>
  <si>
    <t>7260429</t>
  </si>
  <si>
    <t>7129133</t>
  </si>
  <si>
    <t>7295888</t>
  </si>
  <si>
    <t>15100-269172</t>
  </si>
  <si>
    <t>269172</t>
  </si>
  <si>
    <t>8249294</t>
  </si>
  <si>
    <t>7210592</t>
  </si>
  <si>
    <t>7151303</t>
  </si>
  <si>
    <t>50100-7624887</t>
  </si>
  <si>
    <t>7624887</t>
  </si>
  <si>
    <t>7200051</t>
  </si>
  <si>
    <t>50100-7150532</t>
  </si>
  <si>
    <t>7150532</t>
  </si>
  <si>
    <t>8197433</t>
  </si>
  <si>
    <t>50100-7186061</t>
  </si>
  <si>
    <t>7186061</t>
  </si>
  <si>
    <t>15100-277745</t>
  </si>
  <si>
    <t>277745</t>
  </si>
  <si>
    <t>15100-288042</t>
  </si>
  <si>
    <t>288042</t>
  </si>
  <si>
    <t>274932</t>
  </si>
  <si>
    <t>7230452</t>
  </si>
  <si>
    <t>8231109</t>
  </si>
  <si>
    <t>8318780</t>
  </si>
  <si>
    <t>8278143</t>
  </si>
  <si>
    <t>15100-278305</t>
  </si>
  <si>
    <t>278305</t>
  </si>
  <si>
    <t>15100-280684</t>
  </si>
  <si>
    <t>280684</t>
  </si>
  <si>
    <t>281941</t>
  </si>
  <si>
    <t>7366910</t>
  </si>
  <si>
    <t>7228834</t>
  </si>
  <si>
    <t>7138613</t>
  </si>
  <si>
    <t>7509319</t>
  </si>
  <si>
    <t>8180818</t>
  </si>
  <si>
    <t>326786</t>
  </si>
  <si>
    <t>15100-273699</t>
  </si>
  <si>
    <t>273699</t>
  </si>
  <si>
    <t>339966</t>
  </si>
  <si>
    <t>340920</t>
  </si>
  <si>
    <t>15100-260844</t>
  </si>
  <si>
    <t>260844</t>
  </si>
  <si>
    <t>346128</t>
  </si>
  <si>
    <t>299142</t>
  </si>
  <si>
    <t>304044</t>
  </si>
  <si>
    <t>373508</t>
  </si>
  <si>
    <t>7191379</t>
  </si>
  <si>
    <t>Elixir General Trading FZE</t>
  </si>
  <si>
    <t>337948</t>
  </si>
  <si>
    <t>359513</t>
  </si>
  <si>
    <t>348955</t>
  </si>
  <si>
    <t>350485</t>
  </si>
  <si>
    <t>351534</t>
  </si>
  <si>
    <t>344462</t>
  </si>
  <si>
    <t>376976</t>
  </si>
  <si>
    <t>355768</t>
  </si>
  <si>
    <t>357164</t>
  </si>
  <si>
    <t>15100-262344</t>
  </si>
  <si>
    <t>262344</t>
  </si>
  <si>
    <t>322538</t>
  </si>
  <si>
    <t>330863</t>
  </si>
  <si>
    <t>15100-256259</t>
  </si>
  <si>
    <t>256259</t>
  </si>
  <si>
    <t>358363</t>
  </si>
  <si>
    <t>368335</t>
  </si>
  <si>
    <t>15100-271404</t>
  </si>
  <si>
    <t>271404</t>
  </si>
  <si>
    <t>352959</t>
  </si>
  <si>
    <t>361874</t>
  </si>
  <si>
    <t>8449896</t>
  </si>
  <si>
    <t>287176</t>
  </si>
  <si>
    <t>295418</t>
  </si>
  <si>
    <t>347191</t>
  </si>
  <si>
    <t>15100-263997</t>
  </si>
  <si>
    <t>263997</t>
  </si>
  <si>
    <t>343175</t>
  </si>
  <si>
    <t>331959</t>
  </si>
  <si>
    <t>381423</t>
  </si>
  <si>
    <t>384335</t>
  </si>
  <si>
    <t>15100-284898</t>
  </si>
  <si>
    <t>284898</t>
  </si>
  <si>
    <t>15100-258283</t>
  </si>
  <si>
    <t>258283</t>
  </si>
  <si>
    <t>7385364</t>
  </si>
  <si>
    <t>365444</t>
  </si>
  <si>
    <t>15100-265497</t>
  </si>
  <si>
    <t>265497</t>
  </si>
  <si>
    <t>50100-7151453</t>
  </si>
  <si>
    <t>7151453</t>
  </si>
  <si>
    <t>8203814</t>
  </si>
  <si>
    <t>7430419</t>
  </si>
  <si>
    <t>15100-253060</t>
  </si>
  <si>
    <t>253060</t>
  </si>
  <si>
    <t>7215732</t>
  </si>
  <si>
    <t>376212</t>
  </si>
  <si>
    <t>50100-7650507</t>
  </si>
  <si>
    <t>7650507</t>
  </si>
  <si>
    <t>7476184</t>
  </si>
  <si>
    <t>15100-279016</t>
  </si>
  <si>
    <t>279016</t>
  </si>
  <si>
    <t>354255</t>
  </si>
  <si>
    <t>271515</t>
  </si>
  <si>
    <t>50100-7150358</t>
  </si>
  <si>
    <t>7150358</t>
  </si>
  <si>
    <t>8350615</t>
  </si>
  <si>
    <t>7863785</t>
  </si>
  <si>
    <t>381390</t>
  </si>
  <si>
    <t>347182</t>
  </si>
  <si>
    <t>369813</t>
  </si>
  <si>
    <t>333530</t>
  </si>
  <si>
    <t>260877</t>
  </si>
  <si>
    <t>332578</t>
  </si>
  <si>
    <t>356609</t>
  </si>
  <si>
    <t>15100-255089</t>
  </si>
  <si>
    <t>255089</t>
  </si>
  <si>
    <t>7229570</t>
  </si>
  <si>
    <t>15100-281323</t>
  </si>
  <si>
    <t>281323</t>
  </si>
  <si>
    <t>353510</t>
  </si>
  <si>
    <t>330018</t>
  </si>
  <si>
    <t>15100-255665</t>
  </si>
  <si>
    <t>255665</t>
  </si>
  <si>
    <t>390995</t>
  </si>
  <si>
    <t>354751</t>
  </si>
  <si>
    <t>15100-284910</t>
  </si>
  <si>
    <t>284910</t>
  </si>
  <si>
    <t>395706</t>
  </si>
  <si>
    <t>363827</t>
  </si>
  <si>
    <t>266068</t>
  </si>
  <si>
    <t>329300</t>
  </si>
  <si>
    <t>7237255</t>
  </si>
  <si>
    <t>50100-7119979</t>
  </si>
  <si>
    <t>7119979</t>
  </si>
  <si>
    <t>7256980</t>
  </si>
  <si>
    <t>8474154</t>
  </si>
  <si>
    <t>336293</t>
  </si>
  <si>
    <t>270400</t>
  </si>
  <si>
    <t>376876</t>
  </si>
  <si>
    <t>357134</t>
  </si>
  <si>
    <t>369300</t>
  </si>
  <si>
    <t>50100-7650477</t>
  </si>
  <si>
    <t>7650477</t>
  </si>
  <si>
    <t>50100-7133272</t>
  </si>
  <si>
    <t>7133272</t>
  </si>
  <si>
    <t>15100-252167</t>
  </si>
  <si>
    <t>252167</t>
  </si>
  <si>
    <t>301324</t>
  </si>
  <si>
    <t>15100-263579</t>
  </si>
  <si>
    <t>263579</t>
  </si>
  <si>
    <t>363381</t>
  </si>
  <si>
    <t>354201</t>
  </si>
  <si>
    <t>370113</t>
  </si>
  <si>
    <t>7237397</t>
  </si>
  <si>
    <t>7753992</t>
  </si>
  <si>
    <t>7754156</t>
  </si>
  <si>
    <t>7746074</t>
  </si>
  <si>
    <t>7764580</t>
  </si>
  <si>
    <t>7774952</t>
  </si>
  <si>
    <t>7737221</t>
  </si>
  <si>
    <t>7766215</t>
  </si>
  <si>
    <t>7755970</t>
  </si>
  <si>
    <t>7752204</t>
  </si>
  <si>
    <t>7760208</t>
  </si>
  <si>
    <t>7763935</t>
  </si>
  <si>
    <t>7736093</t>
  </si>
  <si>
    <t>7762645</t>
  </si>
  <si>
    <t>7749264</t>
  </si>
  <si>
    <t>7769992</t>
  </si>
  <si>
    <t>7770127</t>
  </si>
  <si>
    <t>7762432</t>
  </si>
  <si>
    <t>7744174</t>
  </si>
  <si>
    <t>7777375</t>
  </si>
  <si>
    <t>7737997</t>
  </si>
  <si>
    <t>7813591</t>
  </si>
  <si>
    <t>7828547</t>
  </si>
  <si>
    <t>7790190</t>
  </si>
  <si>
    <t>7788700</t>
  </si>
  <si>
    <t>7781013</t>
  </si>
  <si>
    <t>7813576</t>
  </si>
  <si>
    <t>7823342</t>
  </si>
  <si>
    <t>7798911</t>
  </si>
  <si>
    <t>7784632</t>
  </si>
  <si>
    <t>7805985</t>
  </si>
  <si>
    <t>7807878</t>
  </si>
  <si>
    <t>7824602</t>
  </si>
  <si>
    <t>7794985</t>
  </si>
  <si>
    <t>7791872</t>
  </si>
  <si>
    <t>7783344</t>
  </si>
  <si>
    <t>7780910</t>
  </si>
  <si>
    <t>7803651</t>
  </si>
  <si>
    <t>7833983</t>
  </si>
  <si>
    <t>7804007</t>
  </si>
  <si>
    <t>7821338</t>
  </si>
  <si>
    <t>7787099</t>
  </si>
  <si>
    <t>7784705</t>
  </si>
  <si>
    <t>7807700</t>
  </si>
  <si>
    <t>7800824</t>
  </si>
  <si>
    <t>7795366</t>
  </si>
  <si>
    <t>7969432</t>
  </si>
  <si>
    <t>7971158</t>
  </si>
  <si>
    <t>7987061</t>
  </si>
  <si>
    <t>7975889</t>
  </si>
  <si>
    <t>7976737</t>
  </si>
  <si>
    <t>7942583</t>
  </si>
  <si>
    <t>7943725</t>
  </si>
  <si>
    <t>7987085</t>
  </si>
  <si>
    <t>7970206</t>
  </si>
  <si>
    <t>7987100</t>
  </si>
  <si>
    <t>7993218</t>
  </si>
  <si>
    <t>7993357</t>
  </si>
  <si>
    <t>7993558</t>
  </si>
  <si>
    <t>7956616</t>
  </si>
  <si>
    <t>7943331</t>
  </si>
  <si>
    <t>7943080</t>
  </si>
  <si>
    <t>7971991</t>
  </si>
  <si>
    <t>7990831</t>
  </si>
  <si>
    <t>7943242</t>
  </si>
  <si>
    <t>7891474</t>
  </si>
  <si>
    <t>7902689</t>
  </si>
  <si>
    <t>7920012</t>
  </si>
  <si>
    <t>7903048</t>
  </si>
  <si>
    <t>7902912</t>
  </si>
  <si>
    <t>7902999</t>
  </si>
  <si>
    <t>7923603</t>
  </si>
  <si>
    <t>7919584</t>
  </si>
  <si>
    <t>7928636</t>
  </si>
  <si>
    <t>7919785</t>
  </si>
  <si>
    <t>7919965</t>
  </si>
  <si>
    <t>7886293</t>
  </si>
  <si>
    <t>7928099</t>
  </si>
  <si>
    <t>7903082</t>
  </si>
  <si>
    <t>7903014</t>
  </si>
  <si>
    <t>7677001</t>
  </si>
  <si>
    <t>7700452</t>
  </si>
  <si>
    <t>7696797</t>
  </si>
  <si>
    <t>7717602</t>
  </si>
  <si>
    <t>7723486</t>
  </si>
  <si>
    <t>7692334</t>
  </si>
  <si>
    <t>7706963</t>
  </si>
  <si>
    <t>7719266</t>
  </si>
  <si>
    <t>7715809</t>
  </si>
  <si>
    <t>7685456</t>
  </si>
  <si>
    <t>7719281</t>
  </si>
  <si>
    <t>7709714</t>
  </si>
  <si>
    <t>7714121</t>
  </si>
  <si>
    <t>7685904</t>
  </si>
  <si>
    <t>7691273</t>
  </si>
  <si>
    <t>7708506</t>
  </si>
  <si>
    <t>Gentakin Trading Ltd</t>
  </si>
  <si>
    <t>7685603</t>
  </si>
  <si>
    <t>7690723</t>
  </si>
  <si>
    <t>FRONTIER HAULAGE</t>
  </si>
  <si>
    <t>7713830</t>
  </si>
  <si>
    <t>8039552</t>
  </si>
  <si>
    <t>8040000</t>
  </si>
  <si>
    <t>8040477</t>
  </si>
  <si>
    <t>8049110</t>
  </si>
  <si>
    <t>8022957</t>
  </si>
  <si>
    <t>8013135</t>
  </si>
  <si>
    <t>8054044</t>
  </si>
  <si>
    <t>Midwest Trade  Internation FZE</t>
  </si>
  <si>
    <t>8019092</t>
  </si>
  <si>
    <t>8018151</t>
  </si>
  <si>
    <t>8018575</t>
  </si>
  <si>
    <t>8019806</t>
  </si>
  <si>
    <t>8028437</t>
  </si>
  <si>
    <t>8008436</t>
  </si>
  <si>
    <t>8046269</t>
  </si>
  <si>
    <t>8026613</t>
  </si>
  <si>
    <t>8029125</t>
  </si>
  <si>
    <t>8029524</t>
  </si>
  <si>
    <t>8029422</t>
  </si>
  <si>
    <t>8046504</t>
  </si>
  <si>
    <t>8053050</t>
  </si>
  <si>
    <t>8014642</t>
  </si>
  <si>
    <t>8053589</t>
  </si>
  <si>
    <t>8084938</t>
  </si>
  <si>
    <t>8109119</t>
  </si>
  <si>
    <t>8101269</t>
  </si>
  <si>
    <t>8101500</t>
  </si>
  <si>
    <t>8096953</t>
  </si>
  <si>
    <t>8088445</t>
  </si>
  <si>
    <t>8109074</t>
  </si>
  <si>
    <t>8081902</t>
  </si>
  <si>
    <t>8086017</t>
  </si>
  <si>
    <t>8109191</t>
  </si>
  <si>
    <t>8109221</t>
  </si>
  <si>
    <t>8086340</t>
  </si>
  <si>
    <t>8107909</t>
  </si>
  <si>
    <t>8085741</t>
  </si>
  <si>
    <t>8098987</t>
  </si>
  <si>
    <t>8066443</t>
  </si>
  <si>
    <t>8107708</t>
  </si>
  <si>
    <t>8079296</t>
  </si>
  <si>
    <t>8105229</t>
  </si>
  <si>
    <t>8086615</t>
  </si>
  <si>
    <t>8077642</t>
  </si>
  <si>
    <t>8088324</t>
  </si>
  <si>
    <t>8091024</t>
  </si>
  <si>
    <t>8096899</t>
  </si>
  <si>
    <t>8096848</t>
  </si>
  <si>
    <t>8073935</t>
  </si>
  <si>
    <t>5100-8079672</t>
  </si>
  <si>
    <t>8079672</t>
  </si>
  <si>
    <t>8106424</t>
  </si>
  <si>
    <t>8056456</t>
  </si>
  <si>
    <t>8077172</t>
  </si>
  <si>
    <t>8063222</t>
  </si>
  <si>
    <t>8109335</t>
  </si>
  <si>
    <t>8088061</t>
  </si>
  <si>
    <t>8088183</t>
  </si>
  <si>
    <t>8100839</t>
  </si>
  <si>
    <t>8109155</t>
  </si>
  <si>
    <t>8098520</t>
  </si>
  <si>
    <t>8087663</t>
  </si>
  <si>
    <t>Asphaltic Sea Trading</t>
  </si>
  <si>
    <t>8096947</t>
  </si>
  <si>
    <t>8098693</t>
  </si>
  <si>
    <t>8084974</t>
  </si>
  <si>
    <t>8085600</t>
  </si>
  <si>
    <t>8105723</t>
  </si>
  <si>
    <t>8107171</t>
  </si>
  <si>
    <t>8091410</t>
  </si>
  <si>
    <t>8086852</t>
  </si>
  <si>
    <t>8096950</t>
  </si>
  <si>
    <t>8096926</t>
  </si>
  <si>
    <t>8108814</t>
  </si>
  <si>
    <t>8110571</t>
  </si>
  <si>
    <t>5100-8082894</t>
  </si>
  <si>
    <t>8082894</t>
  </si>
  <si>
    <t>8059854</t>
  </si>
  <si>
    <t>8088458</t>
  </si>
  <si>
    <t>8109266</t>
  </si>
  <si>
    <t>8087022</t>
  </si>
  <si>
    <t>8073505</t>
  </si>
  <si>
    <t>8064458</t>
  </si>
  <si>
    <t>8092523</t>
  </si>
  <si>
    <t>8067580</t>
  </si>
  <si>
    <t>8092929</t>
  </si>
  <si>
    <t>8420099</t>
  </si>
  <si>
    <t>8366725</t>
  </si>
  <si>
    <t>8364064</t>
  </si>
  <si>
    <t>8420108</t>
  </si>
  <si>
    <t>8397965</t>
  </si>
  <si>
    <t>8420282</t>
  </si>
  <si>
    <t>8383249</t>
  </si>
  <si>
    <t>8368952</t>
  </si>
  <si>
    <t>8398202</t>
  </si>
  <si>
    <t>8392367</t>
  </si>
  <si>
    <t>8363844</t>
  </si>
  <si>
    <t>8369185</t>
  </si>
  <si>
    <t>8410113</t>
  </si>
  <si>
    <t>8360477</t>
  </si>
  <si>
    <t>8410950</t>
  </si>
  <si>
    <t>8420219</t>
  </si>
  <si>
    <t>8420153</t>
  </si>
  <si>
    <t>8377817</t>
  </si>
  <si>
    <t>8387892</t>
  </si>
  <si>
    <t>8404904</t>
  </si>
  <si>
    <t>8388036</t>
  </si>
  <si>
    <t>8413859</t>
  </si>
  <si>
    <t>8414474</t>
  </si>
  <si>
    <t>8383404</t>
  </si>
  <si>
    <t>8420261</t>
  </si>
  <si>
    <t>8420165</t>
  </si>
  <si>
    <t>8373866</t>
  </si>
  <si>
    <t>8374652</t>
  </si>
  <si>
    <t>8404501</t>
  </si>
  <si>
    <t>8413862</t>
  </si>
  <si>
    <t>8420087</t>
  </si>
  <si>
    <t>8264696</t>
  </si>
  <si>
    <t>8374009</t>
  </si>
  <si>
    <t>8373699</t>
  </si>
  <si>
    <t>8405742</t>
  </si>
  <si>
    <t>8414723</t>
  </si>
  <si>
    <t>8414786</t>
  </si>
  <si>
    <t>8411238</t>
  </si>
  <si>
    <t>8398331</t>
  </si>
  <si>
    <t>8405412</t>
  </si>
  <si>
    <t>8414660</t>
  </si>
  <si>
    <t>8374223</t>
  </si>
  <si>
    <t>8420186</t>
  </si>
  <si>
    <t>8375828</t>
  </si>
  <si>
    <t>8402469</t>
  </si>
  <si>
    <t>8409969</t>
  </si>
  <si>
    <t>8392174</t>
  </si>
  <si>
    <t>8414937</t>
  </si>
  <si>
    <t>8414902</t>
  </si>
  <si>
    <t>8414564</t>
  </si>
  <si>
    <t>8398536</t>
  </si>
  <si>
    <t>8133139</t>
  </si>
  <si>
    <t>8118606</t>
  </si>
  <si>
    <t>8128575</t>
  </si>
  <si>
    <t>8130760</t>
  </si>
  <si>
    <t>8153599</t>
  </si>
  <si>
    <t>8141316</t>
  </si>
  <si>
    <t>8164088</t>
  </si>
  <si>
    <t>8126929</t>
  </si>
  <si>
    <t>8164670</t>
  </si>
  <si>
    <t>8130967</t>
  </si>
  <si>
    <t>8130928</t>
  </si>
  <si>
    <t>8145745</t>
  </si>
  <si>
    <t>8138695</t>
  </si>
  <si>
    <t>8152067</t>
  </si>
  <si>
    <t>8140022</t>
  </si>
  <si>
    <t>8154860</t>
  </si>
  <si>
    <t>8127817</t>
  </si>
  <si>
    <t>8163774</t>
  </si>
  <si>
    <t>8171252</t>
  </si>
  <si>
    <t>8173614</t>
  </si>
  <si>
    <t>8146872</t>
  </si>
  <si>
    <t>8167864</t>
  </si>
  <si>
    <t>8150900</t>
  </si>
  <si>
    <t>8152249</t>
  </si>
  <si>
    <t>8131811</t>
  </si>
  <si>
    <t>8118845</t>
  </si>
  <si>
    <t>8125210</t>
  </si>
  <si>
    <t>8128097</t>
  </si>
  <si>
    <t>8146950</t>
  </si>
  <si>
    <t>8171196</t>
  </si>
  <si>
    <t>8118283</t>
  </si>
  <si>
    <t>8136514</t>
  </si>
  <si>
    <t>8158338</t>
  </si>
  <si>
    <t>8176651</t>
  </si>
  <si>
    <t>8132822</t>
  </si>
  <si>
    <t>8154504</t>
  </si>
  <si>
    <t>8119252</t>
  </si>
  <si>
    <t>8168073</t>
  </si>
  <si>
    <t>8117682</t>
  </si>
  <si>
    <t>8134738</t>
  </si>
  <si>
    <t>8136310</t>
  </si>
  <si>
    <t>8136428</t>
  </si>
  <si>
    <t>8161540</t>
  </si>
  <si>
    <t>8116090</t>
  </si>
  <si>
    <t>jingping puyang trading f.z.e</t>
  </si>
  <si>
    <t>U Thamardi International company</t>
  </si>
  <si>
    <t>15100-402227</t>
  </si>
  <si>
    <t>15100-400754</t>
  </si>
  <si>
    <t>15100-405705</t>
  </si>
  <si>
    <t>15100-403984</t>
  </si>
  <si>
    <t>15100-402598</t>
  </si>
  <si>
    <t>15100-401633</t>
  </si>
  <si>
    <t>15100-405082</t>
  </si>
  <si>
    <t>15100-404480</t>
  </si>
  <si>
    <t>15100-399827</t>
  </si>
  <si>
    <t>15100-403228</t>
  </si>
  <si>
    <t>15100-398641</t>
  </si>
  <si>
    <t>15100-399199</t>
  </si>
  <si>
    <t>96/01/17</t>
  </si>
  <si>
    <t>15100-403972</t>
  </si>
  <si>
    <t>15100-402206</t>
  </si>
  <si>
    <t>15100-402293</t>
  </si>
  <si>
    <t>15100-400907</t>
  </si>
  <si>
    <t>15100-399667</t>
  </si>
  <si>
    <t>15100-402703</t>
  </si>
  <si>
    <t>15100-398821</t>
  </si>
  <si>
    <t>15100-404592</t>
  </si>
  <si>
    <t>15100-399754</t>
  </si>
  <si>
    <t>15100-404062</t>
  </si>
  <si>
    <t>15100-402317</t>
  </si>
  <si>
    <t>15100-402003</t>
  </si>
  <si>
    <t>15100-398551</t>
  </si>
  <si>
    <t>15100-405133</t>
  </si>
  <si>
    <t>15100-404537</t>
  </si>
  <si>
    <t>15100-404462</t>
  </si>
  <si>
    <t>15100-399812</t>
  </si>
  <si>
    <t>15100-405115</t>
  </si>
  <si>
    <t>15100-404119</t>
  </si>
  <si>
    <t>15100-402691</t>
  </si>
  <si>
    <t>15100-402290</t>
  </si>
  <si>
    <t>Areej For Marketing</t>
  </si>
  <si>
    <t>15100-400796</t>
  </si>
  <si>
    <t>15100-400272</t>
  </si>
  <si>
    <t>15100-403264</t>
  </si>
  <si>
    <t>15100-400889</t>
  </si>
  <si>
    <t>15100-400706</t>
  </si>
  <si>
    <t>15100-403394</t>
  </si>
  <si>
    <t>15100-401588</t>
  </si>
  <si>
    <t>15100-401540</t>
  </si>
  <si>
    <t>15100-405687</t>
  </si>
  <si>
    <t>15100-405653</t>
  </si>
  <si>
    <t>15100-403400</t>
  </si>
  <si>
    <t>15100-401498</t>
  </si>
  <si>
    <t>15100-405804</t>
  </si>
  <si>
    <t>15100-400865</t>
  </si>
  <si>
    <t>15100-402724</t>
  </si>
  <si>
    <t>15100-402715</t>
  </si>
  <si>
    <t>15100-400248</t>
  </si>
  <si>
    <t>15100-403282</t>
  </si>
  <si>
    <t>15100-403957</t>
  </si>
  <si>
    <t>50100-8740886</t>
  </si>
  <si>
    <t>50100-8758589</t>
  </si>
  <si>
    <t>50100-8760011</t>
  </si>
  <si>
    <t>50100-8773030</t>
  </si>
  <si>
    <t>50100-8725834</t>
  </si>
  <si>
    <t>50100-8770283</t>
  </si>
  <si>
    <t>50100-8770902</t>
  </si>
  <si>
    <t>50100-8752132</t>
  </si>
  <si>
    <t>96/02/08</t>
  </si>
  <si>
    <t>50100-8770531</t>
  </si>
  <si>
    <t>50100-8750723</t>
  </si>
  <si>
    <t>50100-8712245</t>
  </si>
  <si>
    <t>50100-8719480</t>
  </si>
  <si>
    <t>50100-8801829</t>
  </si>
  <si>
    <t>50100-8844703</t>
  </si>
  <si>
    <t>50100-8827843</t>
  </si>
  <si>
    <t>50100-8827485</t>
  </si>
  <si>
    <t>50100-8815951</t>
  </si>
  <si>
    <t>50100-8840292</t>
  </si>
  <si>
    <t>50100-8777161</t>
  </si>
  <si>
    <t>50100-8778024</t>
  </si>
  <si>
    <t>50100-8791761</t>
  </si>
  <si>
    <t>50100-8840472</t>
  </si>
  <si>
    <t>43961</t>
  </si>
  <si>
    <t>50100-8870942</t>
  </si>
  <si>
    <t>50100-8857109</t>
  </si>
  <si>
    <t>50100-8882948</t>
  </si>
  <si>
    <t>50100-8857358</t>
  </si>
  <si>
    <t>50100-8872712</t>
  </si>
  <si>
    <t>50100-8872627</t>
  </si>
  <si>
    <t>50100-8861708</t>
  </si>
  <si>
    <t>50100-8906060</t>
  </si>
  <si>
    <t>50100-8905251</t>
  </si>
  <si>
    <t>15100-474619</t>
  </si>
  <si>
    <t>15100-473987</t>
  </si>
  <si>
    <t>15100-472943</t>
  </si>
  <si>
    <t>15100-475643</t>
  </si>
  <si>
    <t>15100-471808</t>
  </si>
  <si>
    <t>15100-476287</t>
  </si>
  <si>
    <t>15100-476299</t>
  </si>
  <si>
    <t>15100-475062</t>
  </si>
  <si>
    <t>15100-475694</t>
  </si>
  <si>
    <t>15100-474472</t>
  </si>
  <si>
    <t>15100-473355</t>
  </si>
  <si>
    <t>15100-473345</t>
  </si>
  <si>
    <t>15100-474559</t>
  </si>
  <si>
    <t>15100-476335</t>
  </si>
  <si>
    <t>50100-9255377</t>
  </si>
  <si>
    <t>50100-9270318</t>
  </si>
  <si>
    <t>50100-9246923</t>
  </si>
  <si>
    <t>50100-9298800</t>
  </si>
  <si>
    <t>50100-9308739</t>
  </si>
  <si>
    <t>50100-9252308</t>
  </si>
  <si>
    <t>50100-9277324</t>
  </si>
  <si>
    <t>50100-9285236</t>
  </si>
  <si>
    <t>50100-9253609</t>
  </si>
  <si>
    <t>50100-9285697</t>
  </si>
  <si>
    <t>50100-9279481</t>
  </si>
  <si>
    <t>50100-9251859</t>
  </si>
  <si>
    <t>50100-9294126</t>
  </si>
  <si>
    <t>50100-9259007</t>
  </si>
  <si>
    <t>50100-9270589</t>
  </si>
  <si>
    <t>50100-9292714</t>
  </si>
  <si>
    <t>50100-9253166</t>
  </si>
  <si>
    <t>50100-9259136</t>
  </si>
  <si>
    <t>50100-9260242</t>
  </si>
  <si>
    <t>50100-9254995</t>
  </si>
  <si>
    <t>50100-9260524</t>
  </si>
  <si>
    <t>50100-9254747</t>
  </si>
  <si>
    <t>50100-9271159</t>
  </si>
  <si>
    <t>50100-9259972</t>
  </si>
  <si>
    <t>50100-9290891</t>
  </si>
  <si>
    <t>EAPICO GLOBAL TRADING FZE</t>
  </si>
  <si>
    <t>480153</t>
  </si>
  <si>
    <t>481181</t>
  </si>
  <si>
    <t>488428</t>
  </si>
  <si>
    <t>489686</t>
  </si>
  <si>
    <t>481729</t>
  </si>
  <si>
    <t>490218</t>
  </si>
  <si>
    <t>490963</t>
  </si>
  <si>
    <t>441537</t>
  </si>
  <si>
    <t>456014</t>
  </si>
  <si>
    <t>486496</t>
  </si>
  <si>
    <t>486518</t>
  </si>
  <si>
    <t>502579</t>
  </si>
  <si>
    <t>502576</t>
  </si>
  <si>
    <t>501389</t>
  </si>
  <si>
    <t>501951</t>
  </si>
  <si>
    <t>501933</t>
  </si>
  <si>
    <t>497914</t>
  </si>
  <si>
    <t>501377</t>
  </si>
  <si>
    <t>499222</t>
  </si>
  <si>
    <t>499664</t>
  </si>
  <si>
    <t>500254</t>
  </si>
  <si>
    <t>500830</t>
  </si>
  <si>
    <t>497764</t>
  </si>
  <si>
    <t>498319</t>
  </si>
  <si>
    <t>498713</t>
  </si>
  <si>
    <t>497755</t>
  </si>
  <si>
    <t>497233</t>
  </si>
  <si>
    <t>499685</t>
  </si>
  <si>
    <t>499225</t>
  </si>
  <si>
    <t>498643</t>
  </si>
  <si>
    <t>500269</t>
  </si>
  <si>
    <t>498301</t>
  </si>
  <si>
    <t>500785</t>
  </si>
  <si>
    <t>507363</t>
  </si>
  <si>
    <t>507348</t>
  </si>
  <si>
    <t>506465</t>
  </si>
  <si>
    <t>504008</t>
  </si>
  <si>
    <t>503335</t>
  </si>
  <si>
    <t>508402</t>
  </si>
  <si>
    <t>503350</t>
  </si>
  <si>
    <t>505759</t>
  </si>
  <si>
    <t>507973</t>
  </si>
  <si>
    <t>505802</t>
  </si>
  <si>
    <t>509023</t>
  </si>
  <si>
    <t>506923</t>
  </si>
  <si>
    <t>506535</t>
  </si>
  <si>
    <t>509098</t>
  </si>
  <si>
    <t>506499</t>
  </si>
  <si>
    <t>505835</t>
  </si>
  <si>
    <t>506812</t>
  </si>
  <si>
    <t>506833</t>
  </si>
  <si>
    <t>509170</t>
  </si>
  <si>
    <t>507405</t>
  </si>
  <si>
    <t>507381</t>
  </si>
  <si>
    <t>50100-9505686</t>
  </si>
  <si>
    <t>9505686</t>
  </si>
  <si>
    <t>50100-9506463</t>
  </si>
  <si>
    <t>9506463</t>
  </si>
  <si>
    <t>50100-9506929</t>
  </si>
  <si>
    <t>9506929</t>
  </si>
  <si>
    <t>50100-9509166</t>
  </si>
  <si>
    <t>9509166</t>
  </si>
  <si>
    <t>50100-9509470</t>
  </si>
  <si>
    <t>9509470</t>
  </si>
  <si>
    <t>50100-9510657</t>
  </si>
  <si>
    <t>9510657</t>
  </si>
  <si>
    <t>50100-9517950</t>
  </si>
  <si>
    <t>9517950</t>
  </si>
  <si>
    <t>96/09/04</t>
  </si>
  <si>
    <t>50100-9526036</t>
  </si>
  <si>
    <t>9526036</t>
  </si>
  <si>
    <t>96/09/05</t>
  </si>
  <si>
    <t>50100-9527009</t>
  </si>
  <si>
    <t>9527009</t>
  </si>
  <si>
    <t>50100-9533244</t>
  </si>
  <si>
    <t>9533244</t>
  </si>
  <si>
    <t>50100-9536840</t>
  </si>
  <si>
    <t>9536840</t>
  </si>
  <si>
    <t>50100-9536901</t>
  </si>
  <si>
    <t>9536901</t>
  </si>
  <si>
    <t>50100-9536975</t>
  </si>
  <si>
    <t>9536975</t>
  </si>
  <si>
    <t>50100-9537135</t>
  </si>
  <si>
    <t>9537135</t>
  </si>
  <si>
    <t>50100-9537235</t>
  </si>
  <si>
    <t>9537235</t>
  </si>
  <si>
    <t>50100-9537311</t>
  </si>
  <si>
    <t>9537311</t>
  </si>
  <si>
    <t>50100-9537375</t>
  </si>
  <si>
    <t>9537375</t>
  </si>
  <si>
    <t>50100-9537462</t>
  </si>
  <si>
    <t>9537462</t>
  </si>
  <si>
    <t>50100-9537588</t>
  </si>
  <si>
    <t>9537588</t>
  </si>
  <si>
    <t>50100-9538162</t>
  </si>
  <si>
    <t>9538162</t>
  </si>
  <si>
    <t>50100-9541044</t>
  </si>
  <si>
    <t>9541044</t>
  </si>
  <si>
    <t>50100-9541064</t>
  </si>
  <si>
    <t>9541064</t>
  </si>
  <si>
    <t>50100-9541400</t>
  </si>
  <si>
    <t>9541400</t>
  </si>
  <si>
    <t>50100-9541424</t>
  </si>
  <si>
    <t>9541424</t>
  </si>
  <si>
    <t>50100-9546044</t>
  </si>
  <si>
    <t>9546044</t>
  </si>
  <si>
    <t>50100-9546515</t>
  </si>
  <si>
    <t>9546515</t>
  </si>
  <si>
    <t>50100-9547055</t>
  </si>
  <si>
    <t>9547055</t>
  </si>
  <si>
    <t>50100-9554286</t>
  </si>
  <si>
    <t>9554286</t>
  </si>
  <si>
    <t>50100-9555176</t>
  </si>
  <si>
    <t>9555176</t>
  </si>
  <si>
    <t>50100-9562202</t>
  </si>
  <si>
    <t>9562202</t>
  </si>
  <si>
    <t>50100-9562527</t>
  </si>
  <si>
    <t>9562527</t>
  </si>
  <si>
    <t>514052</t>
  </si>
  <si>
    <t>514212</t>
  </si>
  <si>
    <t>516305</t>
  </si>
  <si>
    <t>96/09/30</t>
  </si>
  <si>
    <t>514744</t>
  </si>
  <si>
    <t>513017</t>
  </si>
  <si>
    <t>514113</t>
  </si>
  <si>
    <t>515236</t>
  </si>
  <si>
    <t>515798</t>
  </si>
  <si>
    <t>516378</t>
  </si>
  <si>
    <t>513092</t>
  </si>
  <si>
    <t>513694</t>
  </si>
  <si>
    <t>516335</t>
  </si>
  <si>
    <t>513074</t>
  </si>
  <si>
    <t>515746</t>
  </si>
  <si>
    <t>516347</t>
  </si>
  <si>
    <t>515152</t>
  </si>
  <si>
    <t>515734</t>
  </si>
  <si>
    <t>514077</t>
  </si>
  <si>
    <t>514164</t>
  </si>
  <si>
    <t>514146</t>
  </si>
  <si>
    <t>515161</t>
  </si>
  <si>
    <t>513559</t>
  </si>
  <si>
    <t>516317</t>
  </si>
  <si>
    <t>516320</t>
  </si>
  <si>
    <t>513772</t>
  </si>
  <si>
    <t>515242</t>
  </si>
  <si>
    <t>514666</t>
  </si>
  <si>
    <t>513601</t>
  </si>
  <si>
    <t>513580</t>
  </si>
  <si>
    <t>515722</t>
  </si>
  <si>
    <t>515230</t>
  </si>
  <si>
    <t>514729</t>
  </si>
  <si>
    <t>511245</t>
  </si>
  <si>
    <t>515179</t>
  </si>
  <si>
    <t>511323</t>
  </si>
  <si>
    <t>511779</t>
  </si>
  <si>
    <t>512417</t>
  </si>
  <si>
    <t>510119</t>
  </si>
  <si>
    <t>511782</t>
  </si>
  <si>
    <t>509642</t>
  </si>
  <si>
    <t>510149</t>
  </si>
  <si>
    <t>510793</t>
  </si>
  <si>
    <t>511812</t>
  </si>
  <si>
    <t>511788</t>
  </si>
  <si>
    <t>509723</t>
  </si>
  <si>
    <t>510714</t>
  </si>
  <si>
    <t>511299</t>
  </si>
  <si>
    <t>511791</t>
  </si>
  <si>
    <t>511800</t>
  </si>
  <si>
    <t>510101</t>
  </si>
  <si>
    <t>512329</t>
  </si>
  <si>
    <t>510137</t>
  </si>
  <si>
    <t>513086</t>
  </si>
  <si>
    <t>510182</t>
  </si>
  <si>
    <t>509630</t>
  </si>
  <si>
    <t>510751</t>
  </si>
  <si>
    <t>510766</t>
  </si>
  <si>
    <t>510811</t>
  </si>
  <si>
    <t>509777</t>
  </si>
  <si>
    <t>509780</t>
  </si>
  <si>
    <t>511230</t>
  </si>
  <si>
    <t>513655</t>
  </si>
  <si>
    <t>50100-9608229</t>
  </si>
  <si>
    <t>9608229</t>
  </si>
  <si>
    <t>50100-9632604</t>
  </si>
  <si>
    <t>9632604</t>
  </si>
  <si>
    <t>50100-9583999</t>
  </si>
  <si>
    <t>9583999</t>
  </si>
  <si>
    <t>50100-9583866</t>
  </si>
  <si>
    <t>9583866</t>
  </si>
  <si>
    <t>50100-9570500</t>
  </si>
  <si>
    <t>9570500</t>
  </si>
  <si>
    <t>50100-9624870</t>
  </si>
  <si>
    <t>9624870</t>
  </si>
  <si>
    <t>50100-9584080</t>
  </si>
  <si>
    <t>9584080</t>
  </si>
  <si>
    <t>50100-9612133</t>
  </si>
  <si>
    <t>9612133</t>
  </si>
  <si>
    <t>1396521459001</t>
  </si>
  <si>
    <t>GLOBUS INTERNATIONAL FZE</t>
  </si>
  <si>
    <t>50100-9615123</t>
  </si>
  <si>
    <t>9615123</t>
  </si>
  <si>
    <t>50100-9612072</t>
  </si>
  <si>
    <t>9612072</t>
  </si>
  <si>
    <t>50100-9629683</t>
  </si>
  <si>
    <t>9629683</t>
  </si>
  <si>
    <t>50100-9621301</t>
  </si>
  <si>
    <t>9621301</t>
  </si>
  <si>
    <t>50100-9635028</t>
  </si>
  <si>
    <t>9635028</t>
  </si>
  <si>
    <t>50100-9578648</t>
  </si>
  <si>
    <t>9578648</t>
  </si>
  <si>
    <t>50100-9606921</t>
  </si>
  <si>
    <t>9606921</t>
  </si>
  <si>
    <t>50100-9633781</t>
  </si>
  <si>
    <t>9633781</t>
  </si>
  <si>
    <t>50100-9597223</t>
  </si>
  <si>
    <t>9597223</t>
  </si>
  <si>
    <t>50100-9635997</t>
  </si>
  <si>
    <t>9635997</t>
  </si>
  <si>
    <t>50100-9633275</t>
  </si>
  <si>
    <t>9633275</t>
  </si>
  <si>
    <t>50100-9573917</t>
  </si>
  <si>
    <t>9573917</t>
  </si>
  <si>
    <t>50100-9591304</t>
  </si>
  <si>
    <t>9591304</t>
  </si>
  <si>
    <t>50100-9589733</t>
  </si>
  <si>
    <t>9589733</t>
  </si>
  <si>
    <t>50100-9591358</t>
  </si>
  <si>
    <t>9591358</t>
  </si>
  <si>
    <t>50100-9622493</t>
  </si>
  <si>
    <t>9622493</t>
  </si>
  <si>
    <t>50100-9607950</t>
  </si>
  <si>
    <t>9607950</t>
  </si>
  <si>
    <t>50100-9602660</t>
  </si>
  <si>
    <t>9602660</t>
  </si>
  <si>
    <t>50100-9578829</t>
  </si>
  <si>
    <t>9578829</t>
  </si>
  <si>
    <t>50100-9628348</t>
  </si>
  <si>
    <t>9628348</t>
  </si>
  <si>
    <t>50100-9589519</t>
  </si>
  <si>
    <t>9589519</t>
  </si>
  <si>
    <t>50100-9614022</t>
  </si>
  <si>
    <t>9614022</t>
  </si>
  <si>
    <t>50100-9591466</t>
  </si>
  <si>
    <t>9591466</t>
  </si>
  <si>
    <t>50100-9633501</t>
  </si>
  <si>
    <t>9633501</t>
  </si>
  <si>
    <t>50100-9582967</t>
  </si>
  <si>
    <t>9582967</t>
  </si>
  <si>
    <t>50100-9635244</t>
  </si>
  <si>
    <t>9635244</t>
  </si>
  <si>
    <t>50100-9633219</t>
  </si>
  <si>
    <t>9633219</t>
  </si>
  <si>
    <t>50100-9594622</t>
  </si>
  <si>
    <t>9594622</t>
  </si>
  <si>
    <t>96-964100012</t>
  </si>
  <si>
    <t>96-961500548</t>
  </si>
  <si>
    <t>96-961500736</t>
  </si>
  <si>
    <t>96-961500743</t>
  </si>
  <si>
    <t>96-961500737</t>
  </si>
  <si>
    <t>96-961500614</t>
  </si>
  <si>
    <t>96-961500734</t>
  </si>
  <si>
    <t>1396529711</t>
  </si>
  <si>
    <t>1396533043</t>
  </si>
  <si>
    <t>1396535037</t>
  </si>
  <si>
    <t>1396531357</t>
  </si>
  <si>
    <t>1396532538</t>
  </si>
  <si>
    <t>1396535970</t>
  </si>
  <si>
    <t>1396536278</t>
  </si>
  <si>
    <t>1396536458</t>
  </si>
  <si>
    <t>1396532937</t>
  </si>
  <si>
    <t>1396531055</t>
  </si>
  <si>
    <t>1396531056</t>
  </si>
  <si>
    <t>1396529152001</t>
  </si>
  <si>
    <t>1396535052</t>
  </si>
  <si>
    <t>1396529910001</t>
  </si>
  <si>
    <t>1396529572</t>
  </si>
  <si>
    <t>1396529167</t>
  </si>
  <si>
    <t>1396522092</t>
  </si>
  <si>
    <t>1396529175</t>
  </si>
  <si>
    <t>1396521774</t>
  </si>
  <si>
    <t>1396521775</t>
  </si>
  <si>
    <t>1396529174</t>
  </si>
  <si>
    <t>1396531058</t>
  </si>
  <si>
    <t>1396531358</t>
  </si>
  <si>
    <t>1396532542</t>
  </si>
  <si>
    <t>1396529715</t>
  </si>
  <si>
    <t>1396529574</t>
  </si>
  <si>
    <t>1396529173</t>
  </si>
  <si>
    <t>1396529166</t>
  </si>
  <si>
    <t>1396529176</t>
  </si>
  <si>
    <t>1396523700</t>
  </si>
  <si>
    <t>1396535784</t>
  </si>
  <si>
    <t>1396529722</t>
  </si>
  <si>
    <t>1396529575</t>
  </si>
  <si>
    <t>1396524005001</t>
  </si>
  <si>
    <t>1396531289001</t>
  </si>
  <si>
    <t>1396522393001</t>
  </si>
  <si>
    <t>1396529909001</t>
  </si>
  <si>
    <t>1396535690001</t>
  </si>
  <si>
    <t>1396535791001</t>
  </si>
  <si>
    <t>1396535051</t>
  </si>
  <si>
    <t>1396529573</t>
  </si>
  <si>
    <t>1396529958001</t>
  </si>
  <si>
    <t>1396523297</t>
  </si>
  <si>
    <t>1396532936</t>
  </si>
  <si>
    <t>1396523695</t>
  </si>
  <si>
    <t>1396521489</t>
  </si>
  <si>
    <t>1396529160</t>
  </si>
  <si>
    <t>1396534601001</t>
  </si>
  <si>
    <t>1396529148001</t>
  </si>
  <si>
    <t>1396533068</t>
  </si>
  <si>
    <t>1396525128</t>
  </si>
  <si>
    <t>1396529406</t>
  </si>
  <si>
    <t>1396531057</t>
  </si>
  <si>
    <t>1396529404</t>
  </si>
  <si>
    <t>1396524777</t>
  </si>
  <si>
    <t>1396529172</t>
  </si>
  <si>
    <t>1396522408</t>
  </si>
  <si>
    <t>1396531220</t>
  </si>
  <si>
    <t>1396523520</t>
  </si>
  <si>
    <t>1396529165</t>
  </si>
  <si>
    <t>1396525016</t>
  </si>
  <si>
    <t>1396529405</t>
  </si>
  <si>
    <t>1396532536</t>
  </si>
  <si>
    <t>1396524776</t>
  </si>
  <si>
    <t>1396524016</t>
  </si>
  <si>
    <t>1396522095</t>
  </si>
  <si>
    <t>1396529171</t>
  </si>
  <si>
    <t>1396521788</t>
  </si>
  <si>
    <t>1396523697</t>
  </si>
  <si>
    <t>1396532938</t>
  </si>
  <si>
    <t>1396531059</t>
  </si>
  <si>
    <t>1396523773</t>
  </si>
  <si>
    <t>1396531060</t>
  </si>
  <si>
    <t>1396532939</t>
  </si>
  <si>
    <t>1396532732</t>
  </si>
  <si>
    <t>1396521488</t>
  </si>
  <si>
    <t>1396534910001</t>
  </si>
  <si>
    <t>1396529349001</t>
  </si>
  <si>
    <t>1396528099</t>
  </si>
  <si>
    <t>1396533424</t>
  </si>
  <si>
    <t>1396523522</t>
  </si>
  <si>
    <t>1396521778</t>
  </si>
  <si>
    <t>1396522094</t>
  </si>
  <si>
    <t>1396523295</t>
  </si>
  <si>
    <t>1396529403</t>
  </si>
  <si>
    <t>1396531052</t>
  </si>
  <si>
    <t>1396524013</t>
  </si>
  <si>
    <t>1396521490</t>
  </si>
  <si>
    <t>1396524014</t>
  </si>
  <si>
    <t>1396523696</t>
  </si>
  <si>
    <t>1396523296</t>
  </si>
  <si>
    <t>1396529163</t>
  </si>
  <si>
    <t>1396521772</t>
  </si>
  <si>
    <t>1396521773</t>
  </si>
  <si>
    <t>1396521741</t>
  </si>
  <si>
    <t>1396529168</t>
  </si>
  <si>
    <t>1396521969</t>
  </si>
  <si>
    <t>1396536279</t>
  </si>
  <si>
    <t>1396521777</t>
  </si>
  <si>
    <t>1396532935</t>
  </si>
  <si>
    <t>1396522093</t>
  </si>
  <si>
    <t>1396529169</t>
  </si>
  <si>
    <t>1396529164</t>
  </si>
  <si>
    <t>1396529162</t>
  </si>
  <si>
    <t>1396523298</t>
  </si>
  <si>
    <t>1396535038</t>
  </si>
  <si>
    <t>1396521787</t>
  </si>
  <si>
    <t>1396521789</t>
  </si>
  <si>
    <t>1396521970</t>
  </si>
  <si>
    <t>1396529408</t>
  </si>
  <si>
    <t>1396529170</t>
  </si>
  <si>
    <t>1396523774</t>
  </si>
  <si>
    <t>1396523521</t>
  </si>
  <si>
    <t>1396525027</t>
  </si>
  <si>
    <t>1396525138</t>
  </si>
  <si>
    <t>1396524015</t>
  </si>
  <si>
    <t>1396523523</t>
  </si>
  <si>
    <t>1396529920</t>
  </si>
  <si>
    <t>1396528100</t>
  </si>
  <si>
    <t>1396523699</t>
  </si>
  <si>
    <t>1396529919</t>
  </si>
  <si>
    <t>1396523299</t>
  </si>
  <si>
    <t>1396534602001</t>
  </si>
  <si>
    <t>1396523698</t>
  </si>
  <si>
    <t>1396529337001</t>
  </si>
  <si>
    <t>1396529161</t>
  </si>
  <si>
    <t>1396524817</t>
  </si>
  <si>
    <t>1396522407</t>
  </si>
  <si>
    <t>1396521776</t>
  </si>
  <si>
    <t>1396529416</t>
  </si>
  <si>
    <t>1396523701</t>
  </si>
  <si>
    <t>1396529177</t>
  </si>
  <si>
    <t>1396523772</t>
  </si>
  <si>
    <t>1396522409</t>
  </si>
  <si>
    <t>1396525026</t>
  </si>
  <si>
    <t>96-962500179</t>
  </si>
  <si>
    <t>96-961500719</t>
  </si>
  <si>
    <t>96-962500119</t>
  </si>
  <si>
    <t>96-961500527</t>
  </si>
  <si>
    <t>96-961500697</t>
  </si>
  <si>
    <t>96-962500115</t>
  </si>
  <si>
    <t>96-961500657</t>
  </si>
  <si>
    <t>96-961500672</t>
  </si>
  <si>
    <t>96-961500686</t>
  </si>
  <si>
    <t>96-961500661</t>
  </si>
  <si>
    <t>96-961500540</t>
  </si>
  <si>
    <t>96-961500490</t>
  </si>
  <si>
    <t>96-961500763</t>
  </si>
  <si>
    <t>96-964100087</t>
  </si>
  <si>
    <t>96-964100088</t>
  </si>
  <si>
    <t>96-964100086</t>
  </si>
  <si>
    <t>96-962500121</t>
  </si>
  <si>
    <t>96-962500181</t>
  </si>
  <si>
    <t>96-962500177</t>
  </si>
  <si>
    <t>96-961500707</t>
  </si>
  <si>
    <t>96-961500755</t>
  </si>
  <si>
    <t>96-962500118</t>
  </si>
  <si>
    <t>96-961500502</t>
  </si>
  <si>
    <t>96-961500503</t>
  </si>
  <si>
    <t>96-962500178</t>
  </si>
  <si>
    <t>96-962500126</t>
  </si>
  <si>
    <t>96-961500731</t>
  </si>
  <si>
    <t>96-961500765</t>
  </si>
  <si>
    <t>96-961500528</t>
  </si>
  <si>
    <t>15100-519624</t>
  </si>
  <si>
    <t>96/10/09</t>
  </si>
  <si>
    <t>96-961500664</t>
  </si>
  <si>
    <t>15100-517343</t>
  </si>
  <si>
    <t>96/10/03</t>
  </si>
  <si>
    <t>15100-519000</t>
  </si>
  <si>
    <t>96/10/07</t>
  </si>
  <si>
    <t>96-961500753</t>
  </si>
  <si>
    <t>15100-520641</t>
  </si>
  <si>
    <t>96-961500607</t>
  </si>
  <si>
    <t>15100-522024</t>
  </si>
  <si>
    <t>96/10/14</t>
  </si>
  <si>
    <t>96-961500640</t>
  </si>
  <si>
    <t>15100-520665</t>
  </si>
  <si>
    <t>96-961500768</t>
  </si>
  <si>
    <t>15100-516634</t>
  </si>
  <si>
    <t>96/10/02</t>
  </si>
  <si>
    <t>96-961500757</t>
  </si>
  <si>
    <t>15100-521063</t>
  </si>
  <si>
    <t>96/10/12</t>
  </si>
  <si>
    <t>15100-519615</t>
  </si>
  <si>
    <t>96-961500676</t>
  </si>
  <si>
    <t>96-961500663</t>
  </si>
  <si>
    <t>96-961500740</t>
  </si>
  <si>
    <t>15100-522048</t>
  </si>
  <si>
    <t>15100-518310</t>
  </si>
  <si>
    <t>96/10/05</t>
  </si>
  <si>
    <t>15100-518721</t>
  </si>
  <si>
    <t>15100-520677</t>
  </si>
  <si>
    <t>96-961500774</t>
  </si>
  <si>
    <t>96-961500750</t>
  </si>
  <si>
    <t>15100-521542</t>
  </si>
  <si>
    <t>96/10/13</t>
  </si>
  <si>
    <t>15100-518151</t>
  </si>
  <si>
    <t>96-961500760</t>
  </si>
  <si>
    <t>15100-516732</t>
  </si>
  <si>
    <t>15100-517328</t>
  </si>
  <si>
    <t>15100-518238</t>
  </si>
  <si>
    <t>96-961500772</t>
  </si>
  <si>
    <t>15100-517749</t>
  </si>
  <si>
    <t>96/10/04</t>
  </si>
  <si>
    <t>15100-518979</t>
  </si>
  <si>
    <t>15100-516747</t>
  </si>
  <si>
    <t>96-961500771</t>
  </si>
  <si>
    <t>15100-518160</t>
  </si>
  <si>
    <t>15100-518565</t>
  </si>
  <si>
    <t>15100-517695</t>
  </si>
  <si>
    <t>96-961500733</t>
  </si>
  <si>
    <t>15100-517310</t>
  </si>
  <si>
    <t>15100-517325</t>
  </si>
  <si>
    <t>15100-517722</t>
  </si>
  <si>
    <t>15100-518640</t>
  </si>
  <si>
    <t>96-961500723</t>
  </si>
  <si>
    <t>96-961500711</t>
  </si>
  <si>
    <t>50100-9684450</t>
  </si>
  <si>
    <t>96-961500742</t>
  </si>
  <si>
    <t>96/10/30</t>
  </si>
  <si>
    <t>ميلک</t>
  </si>
  <si>
    <t>96/11/03</t>
  </si>
  <si>
    <t>منطقه ويژه اقتصادي شهيد رجايي</t>
  </si>
  <si>
    <t>1396541324</t>
  </si>
  <si>
    <t>1396538721001</t>
  </si>
  <si>
    <t>1396539696</t>
  </si>
  <si>
    <t>1396539511</t>
  </si>
  <si>
    <t>1396540147</t>
  </si>
  <si>
    <t>1396534599001</t>
  </si>
  <si>
    <t>1396538724001</t>
  </si>
  <si>
    <t>1396536916</t>
  </si>
  <si>
    <t>1396540148</t>
  </si>
  <si>
    <t>ش ك 267</t>
  </si>
  <si>
    <t>1396539512</t>
  </si>
  <si>
    <t>1396541339001</t>
  </si>
  <si>
    <t>1396540146</t>
  </si>
  <si>
    <t>1396540545001</t>
  </si>
  <si>
    <t>1396539697</t>
  </si>
  <si>
    <t>1396534633001</t>
  </si>
  <si>
    <t>1396536908001</t>
  </si>
  <si>
    <t>1396538723001</t>
  </si>
  <si>
    <t>1396539495001</t>
  </si>
  <si>
    <t>1396538781001</t>
  </si>
  <si>
    <t>1396534629001</t>
  </si>
  <si>
    <t>1396540546001</t>
  </si>
  <si>
    <t>1396538183</t>
  </si>
  <si>
    <t>1396540544001</t>
  </si>
  <si>
    <t>1396536915</t>
  </si>
  <si>
    <t>1396540564</t>
  </si>
  <si>
    <t>1396537705</t>
  </si>
  <si>
    <t>1396541467</t>
  </si>
  <si>
    <t>1396539960</t>
  </si>
  <si>
    <t>1396538185</t>
  </si>
  <si>
    <t>1396538720001</t>
  </si>
  <si>
    <t>1396536459</t>
  </si>
  <si>
    <t>1396537828001</t>
  </si>
  <si>
    <t>1396536909001</t>
  </si>
  <si>
    <t>1396538728001</t>
  </si>
  <si>
    <t>1396534600001</t>
  </si>
  <si>
    <t>1396538726001</t>
  </si>
  <si>
    <t>1396539959</t>
  </si>
  <si>
    <t>1396538734</t>
  </si>
  <si>
    <t>1396534634001</t>
  </si>
  <si>
    <t>1396537702</t>
  </si>
  <si>
    <t>1396538184</t>
  </si>
  <si>
    <t>1396522461001</t>
  </si>
  <si>
    <t>1396541325</t>
  </si>
  <si>
    <t>1396536917</t>
  </si>
  <si>
    <t>1396538377</t>
  </si>
  <si>
    <t>1396536460</t>
  </si>
  <si>
    <t>1396537703</t>
  </si>
  <si>
    <t>1396536090001</t>
  </si>
  <si>
    <t>1396540149</t>
  </si>
  <si>
    <t>1396537704</t>
  </si>
  <si>
    <t>96-962500187</t>
  </si>
  <si>
    <t>96-962500188</t>
  </si>
  <si>
    <t>96-961500473</t>
  </si>
  <si>
    <t>96-961500471</t>
  </si>
  <si>
    <t>96-961500474</t>
  </si>
  <si>
    <t>96-961500475</t>
  </si>
  <si>
    <t>96-964100090</t>
  </si>
  <si>
    <t>96/10/20</t>
  </si>
  <si>
    <t>96-962500184</t>
  </si>
  <si>
    <t>96-962500189</t>
  </si>
  <si>
    <t>96-964100089</t>
  </si>
  <si>
    <t>96-962500185</t>
  </si>
  <si>
    <t>96-962500186</t>
  </si>
  <si>
    <t>96-962500190</t>
  </si>
  <si>
    <t>96-961500569</t>
  </si>
  <si>
    <t>96-961500690</t>
  </si>
  <si>
    <t>96-962500141</t>
  </si>
  <si>
    <t>96-964100091</t>
  </si>
  <si>
    <t>96/10/26</t>
  </si>
  <si>
    <t>50100-9759243</t>
  </si>
  <si>
    <t>96/10/28</t>
  </si>
  <si>
    <t>96-962500191</t>
  </si>
  <si>
    <t>96/10/19</t>
  </si>
  <si>
    <t>96-961500794</t>
  </si>
  <si>
    <t>96-961500767</t>
  </si>
  <si>
    <t>96-961500790</t>
  </si>
  <si>
    <t>96/10/10</t>
  </si>
  <si>
    <t>96-961500784</t>
  </si>
  <si>
    <t>96-961500783</t>
  </si>
  <si>
    <t>96-961500796</t>
  </si>
  <si>
    <t>96-961500610</t>
  </si>
  <si>
    <t>96-961500762</t>
  </si>
  <si>
    <t>96-961500730</t>
  </si>
  <si>
    <t>96-961500787</t>
  </si>
  <si>
    <t>96-961500780</t>
  </si>
  <si>
    <t>96-961500812</t>
  </si>
  <si>
    <t>96-961500766</t>
  </si>
  <si>
    <t>96-961500770</t>
  </si>
  <si>
    <t>96-961500791</t>
  </si>
  <si>
    <t>96-961500800</t>
  </si>
  <si>
    <t>96/10/16</t>
  </si>
  <si>
    <t>96-961500754</t>
  </si>
  <si>
    <t>96-961500603</t>
  </si>
  <si>
    <t>96-961500653</t>
  </si>
  <si>
    <t>96-961500798</t>
  </si>
  <si>
    <t>96-961500789</t>
  </si>
  <si>
    <t>96-961500613</t>
  </si>
  <si>
    <t>96-961500805</t>
  </si>
  <si>
    <t>96/10/17</t>
  </si>
  <si>
    <t>96-961500807</t>
  </si>
  <si>
    <t>96/10/18</t>
  </si>
  <si>
    <t>96-961500639</t>
  </si>
  <si>
    <t>15100-523643</t>
  </si>
  <si>
    <t>96-961500777</t>
  </si>
  <si>
    <t>96/11/09</t>
  </si>
  <si>
    <t>96-961500478</t>
  </si>
  <si>
    <t>96-962500135</t>
  </si>
  <si>
    <t>96-961500476</t>
  </si>
  <si>
    <t>96-962500158</t>
  </si>
  <si>
    <t>96-961500637</t>
  </si>
  <si>
    <t>96-961500623</t>
  </si>
  <si>
    <t>96-962500137</t>
  </si>
  <si>
    <t>96-962500171</t>
  </si>
  <si>
    <t>96-961500477</t>
  </si>
  <si>
    <t>96-962500199</t>
  </si>
  <si>
    <t>96-962500195</t>
  </si>
  <si>
    <t>96/10/27</t>
  </si>
  <si>
    <t>96-961500553</t>
  </si>
  <si>
    <t>96-962500170</t>
  </si>
  <si>
    <t>96-961500638</t>
  </si>
  <si>
    <t>96-964200010</t>
  </si>
  <si>
    <t>96/11/11</t>
  </si>
  <si>
    <t>96-962500136</t>
  </si>
  <si>
    <t>96-964100095</t>
  </si>
  <si>
    <t>96/11/04</t>
  </si>
  <si>
    <t>96-962500192</t>
  </si>
  <si>
    <t>96-964100100</t>
  </si>
  <si>
    <t>96/11/10</t>
  </si>
  <si>
    <t>96-964100093</t>
  </si>
  <si>
    <t>96/11/01</t>
  </si>
  <si>
    <t>96-961500631</t>
  </si>
  <si>
    <t>96-961500630</t>
  </si>
  <si>
    <t>96-964200013</t>
  </si>
  <si>
    <t>96/11/15</t>
  </si>
  <si>
    <t>96-961500652</t>
  </si>
  <si>
    <t>96-964100098</t>
  </si>
  <si>
    <t>96-964200014</t>
  </si>
  <si>
    <t>96-964100096</t>
  </si>
  <si>
    <t>96-964100099</t>
  </si>
  <si>
    <t>96-964100097</t>
  </si>
  <si>
    <t>96-964200011</t>
  </si>
  <si>
    <t>96-961500629</t>
  </si>
  <si>
    <t>96-961500627</t>
  </si>
  <si>
    <t>96-961500611</t>
  </si>
  <si>
    <t>96-961500504</t>
  </si>
  <si>
    <t>96-961500507</t>
  </si>
  <si>
    <t>96-964200012</t>
  </si>
  <si>
    <t>96/11/14</t>
  </si>
  <si>
    <t>96-961500485</t>
  </si>
  <si>
    <t>96-961500628</t>
  </si>
  <si>
    <t>96-964100094</t>
  </si>
  <si>
    <t>96/11/02</t>
  </si>
  <si>
    <t>96-961500708</t>
  </si>
  <si>
    <t>96-964100092</t>
  </si>
  <si>
    <t>96-961500709</t>
  </si>
  <si>
    <t>96-961500691</t>
  </si>
  <si>
    <t>96-961500479</t>
  </si>
  <si>
    <t>96-962500194</t>
  </si>
  <si>
    <t>96-961500616</t>
  </si>
  <si>
    <t>96-961500667</t>
  </si>
  <si>
    <t>15100-521488</t>
  </si>
  <si>
    <t>15100-521133</t>
  </si>
  <si>
    <t>15100-519603</t>
  </si>
  <si>
    <t>15100-519543</t>
  </si>
  <si>
    <t>15100-522021</t>
  </si>
  <si>
    <t>96-961500612</t>
  </si>
  <si>
    <t>15100-521871</t>
  </si>
  <si>
    <t>15100-522027</t>
  </si>
  <si>
    <t>15100-521563</t>
  </si>
  <si>
    <t>96-961500712</t>
  </si>
  <si>
    <t>15100-519015</t>
  </si>
  <si>
    <t>15100-516696</t>
  </si>
  <si>
    <t>15100-522404</t>
  </si>
  <si>
    <t>15100-526320</t>
  </si>
  <si>
    <t>96/10/24</t>
  </si>
  <si>
    <t>15100-527517</t>
  </si>
  <si>
    <t>15100-527559</t>
  </si>
  <si>
    <t>15100-529141</t>
  </si>
  <si>
    <t>96-961500825</t>
  </si>
  <si>
    <t>15100-528748</t>
  </si>
  <si>
    <t>96-961500816</t>
  </si>
  <si>
    <t xml:space="preserve">  West Asia Sun LLC</t>
  </si>
  <si>
    <t>96-961500806</t>
  </si>
  <si>
    <t>15100-529114</t>
  </si>
  <si>
    <t>96-961500826</t>
  </si>
  <si>
    <t>15100-528820</t>
  </si>
  <si>
    <t>15100-528763</t>
  </si>
  <si>
    <t>96-961500792</t>
  </si>
  <si>
    <t>15100-529117</t>
  </si>
  <si>
    <t>96-961500799</t>
  </si>
  <si>
    <t>96-961500802</t>
  </si>
  <si>
    <t>15100-520078</t>
  </si>
  <si>
    <t>96/11/23</t>
  </si>
  <si>
    <t>15100-533122</t>
  </si>
  <si>
    <t>96-961500849</t>
  </si>
  <si>
    <t>15100-531681</t>
  </si>
  <si>
    <t>96/11/05</t>
  </si>
  <si>
    <t>96-961500797</t>
  </si>
  <si>
    <t>96-961500827</t>
  </si>
  <si>
    <t>West Asia Sun LLC</t>
  </si>
  <si>
    <t>96-961500803</t>
  </si>
  <si>
    <t>15100-534053</t>
  </si>
  <si>
    <t>96-961500829</t>
  </si>
  <si>
    <t>15100-532590</t>
  </si>
  <si>
    <t>96/11/08</t>
  </si>
  <si>
    <t>96-961500822</t>
  </si>
  <si>
    <t>96/10/25</t>
  </si>
  <si>
    <t>96-961500844</t>
  </si>
  <si>
    <t>96-961500809</t>
  </si>
  <si>
    <t>96-961500840</t>
  </si>
  <si>
    <t>15100-530627</t>
  </si>
  <si>
    <t>15100-530205</t>
  </si>
  <si>
    <t>15100-531632</t>
  </si>
  <si>
    <t>15100-530620</t>
  </si>
  <si>
    <t>96-961500716</t>
  </si>
  <si>
    <t>15100-533559</t>
  </si>
  <si>
    <t>15100-531656</t>
  </si>
  <si>
    <t>15100-532205</t>
  </si>
  <si>
    <t>96/11/07</t>
  </si>
  <si>
    <t>15100-529606</t>
  </si>
  <si>
    <t>96-961500793</t>
  </si>
  <si>
    <t>15100-533056</t>
  </si>
  <si>
    <t>96-961500804</t>
  </si>
  <si>
    <t>15100-532190</t>
  </si>
  <si>
    <t>15100-533553</t>
  </si>
  <si>
    <t>15100-534050</t>
  </si>
  <si>
    <t>15100-530160</t>
  </si>
  <si>
    <t>15100-532118</t>
  </si>
  <si>
    <t>96-961500852</t>
  </si>
  <si>
    <t>96-961500811</t>
  </si>
  <si>
    <t>15100-531175</t>
  </si>
  <si>
    <t>96-961500739</t>
  </si>
  <si>
    <t>15100-531178</t>
  </si>
  <si>
    <t>15100-532638</t>
  </si>
  <si>
    <t>15100-533489</t>
  </si>
  <si>
    <t>15100-529492</t>
  </si>
  <si>
    <t>15100-532115</t>
  </si>
  <si>
    <t>15100-530142</t>
  </si>
  <si>
    <t>15100-532184</t>
  </si>
  <si>
    <t>15100-534468</t>
  </si>
  <si>
    <t>96/11/12</t>
  </si>
  <si>
    <t>96-961500838</t>
  </si>
  <si>
    <t>15100-534503</t>
  </si>
  <si>
    <t>96-961500858</t>
  </si>
  <si>
    <t>15100-531202</t>
  </si>
  <si>
    <t>15100-531142</t>
  </si>
  <si>
    <t>15100-531157</t>
  </si>
  <si>
    <t>15100-530491</t>
  </si>
  <si>
    <t>15100-533577</t>
  </si>
  <si>
    <t>96-961500817</t>
  </si>
  <si>
    <t>15100-532103</t>
  </si>
  <si>
    <t>15100-532599</t>
  </si>
  <si>
    <t>96-961500834</t>
  </si>
  <si>
    <t>96/11/24</t>
  </si>
  <si>
    <t>1396543100001</t>
  </si>
  <si>
    <t>1396542480001</t>
  </si>
  <si>
    <t>1396544789001</t>
  </si>
  <si>
    <t>1396540547001</t>
  </si>
  <si>
    <t>1396536910001</t>
  </si>
  <si>
    <t>1396546618001</t>
  </si>
  <si>
    <t>1396548700001</t>
  </si>
  <si>
    <t>1396544238001</t>
  </si>
  <si>
    <t>1396539406001</t>
  </si>
  <si>
    <t>1396548701001</t>
  </si>
  <si>
    <t>1396540543001</t>
  </si>
  <si>
    <t>1396538725001</t>
  </si>
  <si>
    <t>1396542481001</t>
  </si>
  <si>
    <t>1396535792001</t>
  </si>
  <si>
    <t>1396541464001</t>
  </si>
  <si>
    <t>1396546033001</t>
  </si>
  <si>
    <t>1396546658001</t>
  </si>
  <si>
    <t>1396542479001</t>
  </si>
  <si>
    <t>1396544788001</t>
  </si>
  <si>
    <t>1396538722001</t>
  </si>
  <si>
    <t>1396544237001</t>
  </si>
  <si>
    <t>1396541221001</t>
  </si>
  <si>
    <t>1396538727001</t>
  </si>
  <si>
    <t>96-961500752</t>
  </si>
  <si>
    <t>96-961500721</t>
  </si>
  <si>
    <t>96-961500718</t>
  </si>
  <si>
    <t>96/12/02</t>
  </si>
  <si>
    <t>50100-9838279</t>
  </si>
  <si>
    <t>96/11/16</t>
  </si>
  <si>
    <t>50100-9874768</t>
  </si>
  <si>
    <t>96-961500577</t>
  </si>
  <si>
    <t>50100-9849917</t>
  </si>
  <si>
    <t>96/11/18</t>
  </si>
  <si>
    <t>96-961500867</t>
  </si>
  <si>
    <t>اتيوپي</t>
  </si>
  <si>
    <t>50100-9883803</t>
  </si>
  <si>
    <t>96/11/26</t>
  </si>
  <si>
    <t>96-964200021</t>
  </si>
  <si>
    <t>96/11/28</t>
  </si>
  <si>
    <t>96-961500884</t>
  </si>
  <si>
    <t>96-961500866</t>
  </si>
  <si>
    <t>50100-9895512</t>
  </si>
  <si>
    <t>96/11/29</t>
  </si>
  <si>
    <t>96-962500203</t>
  </si>
  <si>
    <t>50100-9893830</t>
  </si>
  <si>
    <t>96-962500153</t>
  </si>
  <si>
    <t>96-961500508</t>
  </si>
  <si>
    <t>50100-9903881</t>
  </si>
  <si>
    <t>96/11/30</t>
  </si>
  <si>
    <t>96-964100107</t>
  </si>
  <si>
    <t>50100-9853409</t>
  </si>
  <si>
    <t>96/11/19</t>
  </si>
  <si>
    <t>96-964100102</t>
  </si>
  <si>
    <t>50100-9861253</t>
  </si>
  <si>
    <t>96/11/21</t>
  </si>
  <si>
    <t>96-964100103</t>
  </si>
  <si>
    <t>50100-9901073</t>
  </si>
  <si>
    <t>96-961500636</t>
  </si>
  <si>
    <t>50100-9853730</t>
  </si>
  <si>
    <t>96-961500727</t>
  </si>
  <si>
    <t>96-961500545</t>
  </si>
  <si>
    <t>50100-9868963</t>
  </si>
  <si>
    <t>50100-9893612</t>
  </si>
  <si>
    <t>96-962500201</t>
  </si>
  <si>
    <t>50100-9893691</t>
  </si>
  <si>
    <t>96-964100106</t>
  </si>
  <si>
    <t>96-961500529</t>
  </si>
  <si>
    <t>96-962500157</t>
  </si>
  <si>
    <t>50100-9886290</t>
  </si>
  <si>
    <t>96/11/27</t>
  </si>
  <si>
    <t>50100-9880721</t>
  </si>
  <si>
    <t>96/11/25</t>
  </si>
  <si>
    <t>50100-9843513</t>
  </si>
  <si>
    <t>96/11/17</t>
  </si>
  <si>
    <t>96-964200015</t>
  </si>
  <si>
    <t>50100-9853610</t>
  </si>
  <si>
    <t>96-961500668</t>
  </si>
  <si>
    <t>50100-9878646</t>
  </si>
  <si>
    <t>50100-9838771</t>
  </si>
  <si>
    <t>96-962500139</t>
  </si>
  <si>
    <t>96-962500142</t>
  </si>
  <si>
    <t>50100-9898780</t>
  </si>
  <si>
    <t>96-961500535</t>
  </si>
  <si>
    <t>50100-9884562</t>
  </si>
  <si>
    <t>50100-9893755</t>
  </si>
  <si>
    <t>96-961500480</t>
  </si>
  <si>
    <t>50100-9847793</t>
  </si>
  <si>
    <t>فيليپين</t>
  </si>
  <si>
    <t>50100-9884382</t>
  </si>
  <si>
    <t>96-964100104</t>
  </si>
  <si>
    <t>96-961500534</t>
  </si>
  <si>
    <t>96-961500530</t>
  </si>
  <si>
    <t>96-962500200</t>
  </si>
  <si>
    <t>96-961500496</t>
  </si>
  <si>
    <t>96-961500509</t>
  </si>
  <si>
    <t>96-962500143</t>
  </si>
  <si>
    <t>50100-9898941</t>
  </si>
  <si>
    <t>96-964100105</t>
  </si>
  <si>
    <t>50100-9840404</t>
  </si>
  <si>
    <t>96-964100101</t>
  </si>
  <si>
    <t>50100-9882170</t>
  </si>
  <si>
    <t>96-964200020</t>
  </si>
  <si>
    <t>96/12/08</t>
  </si>
  <si>
    <t>15100-540359</t>
  </si>
  <si>
    <t>96-961500853</t>
  </si>
  <si>
    <t>15100-539273</t>
  </si>
  <si>
    <t>96-961500889</t>
  </si>
  <si>
    <t>15100-539634</t>
  </si>
  <si>
    <t>96-961500891</t>
  </si>
  <si>
    <t>15100-539797</t>
  </si>
  <si>
    <t>15100-541055</t>
  </si>
  <si>
    <t>96-961500872</t>
  </si>
  <si>
    <t>15100-540393</t>
  </si>
  <si>
    <t>96-961500885</t>
  </si>
  <si>
    <t>15100-538012</t>
  </si>
  <si>
    <t>96-961500848</t>
  </si>
  <si>
    <t>15100-537964</t>
  </si>
  <si>
    <t>96-961500862</t>
  </si>
  <si>
    <t>15100-538726</t>
  </si>
  <si>
    <t>15100-539779</t>
  </si>
  <si>
    <t>15100-539776</t>
  </si>
  <si>
    <t>96-961500857</t>
  </si>
  <si>
    <t>96-961500879</t>
  </si>
  <si>
    <t>15100-540323</t>
  </si>
  <si>
    <t>15100-539285</t>
  </si>
  <si>
    <t>96-961500845</t>
  </si>
  <si>
    <t>96-961500823</t>
  </si>
  <si>
    <t>15100-541014</t>
  </si>
  <si>
    <t>96-961500897</t>
  </si>
  <si>
    <t>96-961500832</t>
  </si>
  <si>
    <t>96-961500854</t>
  </si>
  <si>
    <t>15100-543010</t>
  </si>
  <si>
    <t>96-961500881</t>
  </si>
  <si>
    <t>96-961500888</t>
  </si>
  <si>
    <t>96-961500892</t>
  </si>
  <si>
    <t>15100-543046</t>
  </si>
  <si>
    <t>96-961500741</t>
  </si>
  <si>
    <t>15100-538676</t>
  </si>
  <si>
    <t>96-961500846</t>
  </si>
  <si>
    <t>96-961500875</t>
  </si>
  <si>
    <t>15100-537077</t>
  </si>
  <si>
    <t>15100-537095</t>
  </si>
  <si>
    <t>15100-542344</t>
  </si>
  <si>
    <t>96-961500863</t>
  </si>
  <si>
    <t>15100-537111</t>
  </si>
  <si>
    <t>15100-538639</t>
  </si>
  <si>
    <t>15100-538030</t>
  </si>
  <si>
    <t>15100-537117</t>
  </si>
  <si>
    <t>96-961500585</t>
  </si>
  <si>
    <t>96-961500683</t>
  </si>
  <si>
    <t>96-961500864</t>
  </si>
  <si>
    <t>15100-537468</t>
  </si>
  <si>
    <t>15100-541702</t>
  </si>
  <si>
    <t>96-961500906</t>
  </si>
  <si>
    <t>96-961500905</t>
  </si>
  <si>
    <t>15100-537474</t>
  </si>
  <si>
    <t>15100-537356</t>
  </si>
  <si>
    <t>96-961500878</t>
  </si>
  <si>
    <t>96-961500847</t>
  </si>
  <si>
    <t>15100-537086</t>
  </si>
  <si>
    <t>HERAT GHORBAND CONSTRUCTION COMPANY</t>
  </si>
  <si>
    <t>96/12/13</t>
  </si>
  <si>
    <t>15100-528817</t>
  </si>
  <si>
    <t>15100-526891</t>
  </si>
  <si>
    <t>15100-528034</t>
  </si>
  <si>
    <t>15100-525113</t>
  </si>
  <si>
    <t>96/10/21</t>
  </si>
  <si>
    <t>15100-523201</t>
  </si>
  <si>
    <t>15100-532617</t>
  </si>
  <si>
    <t>15100-533098</t>
  </si>
  <si>
    <t>15100-535732</t>
  </si>
  <si>
    <t>15100-535651</t>
  </si>
  <si>
    <t>96-961500788</t>
  </si>
  <si>
    <t>15100-535711</t>
  </si>
  <si>
    <t>15100-535176</t>
  </si>
  <si>
    <t>15100-535702</t>
  </si>
  <si>
    <t>96-962500030</t>
  </si>
  <si>
    <t>15100-542389</t>
  </si>
  <si>
    <t>96-961500871</t>
  </si>
  <si>
    <t>15100-542926</t>
  </si>
  <si>
    <t>96-961500917</t>
  </si>
  <si>
    <t>15100-538627</t>
  </si>
  <si>
    <t>96-961500865</t>
  </si>
  <si>
    <t>15100-540936</t>
  </si>
  <si>
    <t>96-961500907</t>
  </si>
  <si>
    <t>15100-541543</t>
  </si>
  <si>
    <t>15100-539210</t>
  </si>
  <si>
    <t>15100-542323</t>
  </si>
  <si>
    <t>15100-542395</t>
  </si>
  <si>
    <t>15100-541735</t>
  </si>
  <si>
    <t>96-961500898</t>
  </si>
  <si>
    <t>15100-543022</t>
  </si>
  <si>
    <t>96-961500601</t>
  </si>
  <si>
    <t>96-961500573</t>
  </si>
  <si>
    <t>96-961500596</t>
  </si>
  <si>
    <t>96-961500593</t>
  </si>
  <si>
    <t>96-961500557</t>
  </si>
  <si>
    <t>96-961500562</t>
  </si>
  <si>
    <t>96-961500494</t>
  </si>
  <si>
    <t>96-961500525</t>
  </si>
  <si>
    <t>96-961500500</t>
  </si>
  <si>
    <t>96-961500495</t>
  </si>
  <si>
    <t>96-961500779</t>
  </si>
  <si>
    <t>96-964200026</t>
  </si>
  <si>
    <t>96/12/06</t>
  </si>
  <si>
    <t>96-962500207</t>
  </si>
  <si>
    <t>96-961500516</t>
  </si>
  <si>
    <t>96-961500662</t>
  </si>
  <si>
    <t>96-961500670</t>
  </si>
  <si>
    <t>96-962500166</t>
  </si>
  <si>
    <t>96-962500213</t>
  </si>
  <si>
    <t>96-962500208</t>
  </si>
  <si>
    <t>96-962500211</t>
  </si>
  <si>
    <t>96-962500212</t>
  </si>
  <si>
    <t>96-964100111</t>
  </si>
  <si>
    <t>96/12/14</t>
  </si>
  <si>
    <t>96-964200030</t>
  </si>
  <si>
    <t>96/12/16</t>
  </si>
  <si>
    <t>96-964200025</t>
  </si>
  <si>
    <t>96-964200028</t>
  </si>
  <si>
    <t>96-961500748</t>
  </si>
  <si>
    <t>96-961500579</t>
  </si>
  <si>
    <t>96-961500692</t>
  </si>
  <si>
    <t>96-961500521</t>
  </si>
  <si>
    <t>96-962500210</t>
  </si>
  <si>
    <t>96-961500769</t>
  </si>
  <si>
    <t>96-962500162</t>
  </si>
  <si>
    <t>96-961500749</t>
  </si>
  <si>
    <t>96-961500665</t>
  </si>
  <si>
    <t>96-964200034</t>
  </si>
  <si>
    <t>96/12/19</t>
  </si>
  <si>
    <t>96-964100108</t>
  </si>
  <si>
    <t>96/12/05</t>
  </si>
  <si>
    <t>96-962500164</t>
  </si>
  <si>
    <t>96-964100110</t>
  </si>
  <si>
    <t>96/12/12</t>
  </si>
  <si>
    <t>96-961500547</t>
  </si>
  <si>
    <t>96-961500635</t>
  </si>
  <si>
    <t>96-961500778</t>
  </si>
  <si>
    <t>96-961500722</t>
  </si>
  <si>
    <t>96-961500531</t>
  </si>
  <si>
    <t>96-962500165</t>
  </si>
  <si>
    <t>96-961500675</t>
  </si>
  <si>
    <t>96-964200032</t>
  </si>
  <si>
    <t>96-964200029</t>
  </si>
  <si>
    <t>96-964200031</t>
  </si>
  <si>
    <t>96-962500205</t>
  </si>
  <si>
    <t>96-961500696</t>
  </si>
  <si>
    <t>96-961500744</t>
  </si>
  <si>
    <t>96-964200033</t>
  </si>
  <si>
    <t>96-962500167</t>
  </si>
  <si>
    <t>96-961500746</t>
  </si>
  <si>
    <t>96-962500215</t>
  </si>
  <si>
    <t>96-964100109</t>
  </si>
  <si>
    <t>96-961500583</t>
  </si>
  <si>
    <t>50100-9906062</t>
  </si>
  <si>
    <t>96-964200016</t>
  </si>
  <si>
    <t>96-964200027</t>
  </si>
  <si>
    <t>96/12/07</t>
  </si>
  <si>
    <t>96-964200018</t>
  </si>
  <si>
    <t>96-964200023</t>
  </si>
  <si>
    <t>96-964200017</t>
  </si>
  <si>
    <t>96-964200024</t>
  </si>
  <si>
    <t>96-964200019</t>
  </si>
  <si>
    <t>96-964200022</t>
  </si>
  <si>
    <t>96/12/23</t>
  </si>
  <si>
    <t>1396548703001</t>
  </si>
  <si>
    <t>1396553903001</t>
  </si>
  <si>
    <t>1396548702001</t>
  </si>
  <si>
    <t>1396548705001</t>
  </si>
  <si>
    <t>1396548712001</t>
  </si>
  <si>
    <t>1396548704001</t>
  </si>
  <si>
    <t>1396544239001</t>
  </si>
  <si>
    <t>1396552142001</t>
  </si>
  <si>
    <t>1396548895001</t>
  </si>
  <si>
    <t>1396548707001</t>
  </si>
  <si>
    <t>1396548706001</t>
  </si>
  <si>
    <t>1396548708001</t>
  </si>
  <si>
    <t>1396552141001</t>
  </si>
  <si>
    <t>1396548709001</t>
  </si>
  <si>
    <t>15100-547573</t>
  </si>
  <si>
    <t>96/12/09</t>
  </si>
  <si>
    <t>96-961500951</t>
  </si>
  <si>
    <t>15100-546239</t>
  </si>
  <si>
    <t>96-961500764</t>
  </si>
  <si>
    <t>96-961500927</t>
  </si>
  <si>
    <t>15100-547684</t>
  </si>
  <si>
    <t>96-961500952</t>
  </si>
  <si>
    <t>96-961500922</t>
  </si>
  <si>
    <t>15100-548183</t>
  </si>
  <si>
    <t>96/12/10</t>
  </si>
  <si>
    <t>96-961500964</t>
  </si>
  <si>
    <t>15100-547681</t>
  </si>
  <si>
    <t>15100-546116</t>
  </si>
  <si>
    <t>96-961500918</t>
  </si>
  <si>
    <t>15100-548195</t>
  </si>
  <si>
    <t>96-961500890</t>
  </si>
  <si>
    <t>15100-548751</t>
  </si>
  <si>
    <t>96-961500860</t>
  </si>
  <si>
    <t>15100-548844</t>
  </si>
  <si>
    <t>96-961500953</t>
  </si>
  <si>
    <t>96/12/03</t>
  </si>
  <si>
    <t>15100-550062</t>
  </si>
  <si>
    <t>96-961500955</t>
  </si>
  <si>
    <t>96-961500916</t>
  </si>
  <si>
    <t>15100-547692</t>
  </si>
  <si>
    <t>96-961500785</t>
  </si>
  <si>
    <t>15100-546874</t>
  </si>
  <si>
    <t>15100-546916</t>
  </si>
  <si>
    <t>96-961500883</t>
  </si>
  <si>
    <t>96-961500962</t>
  </si>
  <si>
    <t>96-961500969</t>
  </si>
  <si>
    <t>15100-548261</t>
  </si>
  <si>
    <t>96-961500942</t>
  </si>
  <si>
    <t>15100-548853</t>
  </si>
  <si>
    <t>96-961500761</t>
  </si>
  <si>
    <t>96-961500938</t>
  </si>
  <si>
    <t>15100-546907</t>
  </si>
  <si>
    <t>15100-545689</t>
  </si>
  <si>
    <t>96-961500915</t>
  </si>
  <si>
    <t>15100-545728</t>
  </si>
  <si>
    <t>15100-543827</t>
  </si>
  <si>
    <t>96-961500924</t>
  </si>
  <si>
    <t>15100-545108</t>
  </si>
  <si>
    <t>15100-546200</t>
  </si>
  <si>
    <t>15100-544484</t>
  </si>
  <si>
    <t>96-961500919</t>
  </si>
  <si>
    <t>15100-545111</t>
  </si>
  <si>
    <t>96-961500896</t>
  </si>
  <si>
    <t>15100-545075</t>
  </si>
  <si>
    <t>15100-545722</t>
  </si>
  <si>
    <t>15100-543869</t>
  </si>
  <si>
    <t>96-961500882</t>
  </si>
  <si>
    <t>15100-544391</t>
  </si>
  <si>
    <t>96-961500873</t>
  </si>
  <si>
    <t>15100-544475</t>
  </si>
  <si>
    <t>96-961500899</t>
  </si>
  <si>
    <t>15100-545012</t>
  </si>
  <si>
    <t>15100-546283</t>
  </si>
  <si>
    <t>96/12/28</t>
  </si>
  <si>
    <t>1396555466</t>
  </si>
  <si>
    <t>1396553921</t>
  </si>
  <si>
    <t>1397557153</t>
  </si>
  <si>
    <t>1397556368</t>
  </si>
  <si>
    <t>1396554547</t>
  </si>
  <si>
    <t>1396555422</t>
  </si>
  <si>
    <t>1396555467</t>
  </si>
  <si>
    <t>1396553438</t>
  </si>
  <si>
    <t>1396551611</t>
  </si>
  <si>
    <t>1397557574</t>
  </si>
  <si>
    <t>1396555392</t>
  </si>
  <si>
    <t>1396555465</t>
  </si>
  <si>
    <t>1396555240</t>
  </si>
  <si>
    <t>1396555236</t>
  </si>
  <si>
    <t>1396552658</t>
  </si>
  <si>
    <t>1396553920</t>
  </si>
  <si>
    <t>1396553902001</t>
  </si>
  <si>
    <t>1396555371</t>
  </si>
  <si>
    <t>1397557337</t>
  </si>
  <si>
    <t>1396553901001</t>
  </si>
  <si>
    <t>1396548711001</t>
  </si>
  <si>
    <t>1396555473</t>
  </si>
  <si>
    <t>1396549380</t>
  </si>
  <si>
    <t>1397558471</t>
  </si>
  <si>
    <t>1397558074</t>
  </si>
  <si>
    <t>1396553913</t>
  </si>
  <si>
    <t>1396554104</t>
  </si>
  <si>
    <t>1396554553</t>
  </si>
  <si>
    <t>1397558066</t>
  </si>
  <si>
    <t>1397558063</t>
  </si>
  <si>
    <t>1397558072</t>
  </si>
  <si>
    <t>1396553916</t>
  </si>
  <si>
    <t>1397558069</t>
  </si>
  <si>
    <t>1396553914</t>
  </si>
  <si>
    <t>1397558068</t>
  </si>
  <si>
    <t>1397558078</t>
  </si>
  <si>
    <t>1396555242</t>
  </si>
  <si>
    <t>1396554108</t>
  </si>
  <si>
    <t>1397558079</t>
  </si>
  <si>
    <t>1397558075</t>
  </si>
  <si>
    <t>1397558076</t>
  </si>
  <si>
    <t>1397558067</t>
  </si>
  <si>
    <t>1396555372</t>
  </si>
  <si>
    <t>1396553922</t>
  </si>
  <si>
    <t>1397557154</t>
  </si>
  <si>
    <t>1396554112</t>
  </si>
  <si>
    <t>1397558071</t>
  </si>
  <si>
    <t>1396554109</t>
  </si>
  <si>
    <t>1396553444</t>
  </si>
  <si>
    <t>1396555241</t>
  </si>
  <si>
    <t>1396553443</t>
  </si>
  <si>
    <t>1396555472</t>
  </si>
  <si>
    <t>1397558073</t>
  </si>
  <si>
    <t>1397558077</t>
  </si>
  <si>
    <t>1396552264</t>
  </si>
  <si>
    <t>1396553442</t>
  </si>
  <si>
    <t>1396555469</t>
  </si>
  <si>
    <t>1396555468</t>
  </si>
  <si>
    <t>1396553746</t>
  </si>
  <si>
    <t>1396552262</t>
  </si>
  <si>
    <t>1397558064</t>
  </si>
  <si>
    <t>1396555373</t>
  </si>
  <si>
    <t>1397558065</t>
  </si>
  <si>
    <t>1397558070</t>
  </si>
  <si>
    <t>1396550586</t>
  </si>
  <si>
    <t>1396552143001</t>
  </si>
  <si>
    <t>1396552140001</t>
  </si>
  <si>
    <t>1396543187</t>
  </si>
  <si>
    <t>1396552261</t>
  </si>
  <si>
    <t>1396550457</t>
  </si>
  <si>
    <t>1396545121</t>
  </si>
  <si>
    <t>1396543186</t>
  </si>
  <si>
    <t>1396547334</t>
  </si>
  <si>
    <t>1396542495</t>
  </si>
  <si>
    <t>1396550587</t>
  </si>
  <si>
    <t>1396547682</t>
  </si>
  <si>
    <t>1396554554</t>
  </si>
  <si>
    <t>1396542491</t>
  </si>
  <si>
    <t>1396551022</t>
  </si>
  <si>
    <t>1396550585</t>
  </si>
  <si>
    <t>1396551836</t>
  </si>
  <si>
    <t>1396548724</t>
  </si>
  <si>
    <t>1396553446</t>
  </si>
  <si>
    <t>1396553912</t>
  </si>
  <si>
    <t>1396544895</t>
  </si>
  <si>
    <t>1396547333</t>
  </si>
  <si>
    <t>1396548725</t>
  </si>
  <si>
    <t>1396555429</t>
  </si>
  <si>
    <t>1396555234</t>
  </si>
  <si>
    <t>1396546035001</t>
  </si>
  <si>
    <t>1396555238</t>
  </si>
  <si>
    <t>1396555235</t>
  </si>
  <si>
    <t>1396555474</t>
  </si>
  <si>
    <t>1396553748</t>
  </si>
  <si>
    <t>1396549379</t>
  </si>
  <si>
    <t>1396553918</t>
  </si>
  <si>
    <t>1396550458</t>
  </si>
  <si>
    <t>1396551024</t>
  </si>
  <si>
    <t>1396553915</t>
  </si>
  <si>
    <t>1396554556</t>
  </si>
  <si>
    <t>1396549381</t>
  </si>
  <si>
    <t>1396543412</t>
  </si>
  <si>
    <t>1396543189</t>
  </si>
  <si>
    <t>1396550456</t>
  </si>
  <si>
    <t>1396545119</t>
  </si>
  <si>
    <t>1396543188</t>
  </si>
  <si>
    <t>1396544244</t>
  </si>
  <si>
    <t>1396552263</t>
  </si>
  <si>
    <t>1396555471</t>
  </si>
  <si>
    <t>1396555470</t>
  </si>
  <si>
    <t>1396543190</t>
  </si>
  <si>
    <t>1396546762</t>
  </si>
  <si>
    <t>1396554555</t>
  </si>
  <si>
    <t>1396546763</t>
  </si>
  <si>
    <t>1396554111</t>
  </si>
  <si>
    <t>1396550460</t>
  </si>
  <si>
    <t>1396546936</t>
  </si>
  <si>
    <t>1396555243</t>
  </si>
  <si>
    <t>1396555375</t>
  </si>
  <si>
    <t>1396545591</t>
  </si>
  <si>
    <t>1396554557</t>
  </si>
  <si>
    <t>1396550455</t>
  </si>
  <si>
    <t>1396546760</t>
  </si>
  <si>
    <t>1396553448</t>
  </si>
  <si>
    <t>1396554106</t>
  </si>
  <si>
    <t>1396550588</t>
  </si>
  <si>
    <t>1396553923</t>
  </si>
  <si>
    <t>1396553917</t>
  </si>
  <si>
    <t>1396545122</t>
  </si>
  <si>
    <t>1396543810</t>
  </si>
  <si>
    <t>1396554105</t>
  </si>
  <si>
    <t>1396547335</t>
  </si>
  <si>
    <t>1396550092</t>
  </si>
  <si>
    <t>1396551025</t>
  </si>
  <si>
    <t>1396550459</t>
  </si>
  <si>
    <t>1396553919</t>
  </si>
  <si>
    <t>1396555377</t>
  </si>
  <si>
    <t>1396553739</t>
  </si>
  <si>
    <t>1396547022</t>
  </si>
  <si>
    <t>1396554549</t>
  </si>
  <si>
    <t>1396551612</t>
  </si>
  <si>
    <t>1397557155</t>
  </si>
  <si>
    <t>1396555237</t>
  </si>
  <si>
    <t>1397556369</t>
  </si>
  <si>
    <t>1396555509</t>
  </si>
  <si>
    <t>1396555511</t>
  </si>
  <si>
    <t>1396552092</t>
  </si>
  <si>
    <t>1396547684</t>
  </si>
  <si>
    <t>1396554110</t>
  </si>
  <si>
    <t>1396555239</t>
  </si>
  <si>
    <t>1396553738</t>
  </si>
  <si>
    <t>1396552265</t>
  </si>
  <si>
    <t>1396554551</t>
  </si>
  <si>
    <t>1396551613</t>
  </si>
  <si>
    <t>1396546761</t>
  </si>
  <si>
    <t>1396545120</t>
  </si>
  <si>
    <t>1396552659</t>
  </si>
  <si>
    <t>1396547037</t>
  </si>
  <si>
    <t>1396553447</t>
  </si>
  <si>
    <t>ش ک 267</t>
  </si>
  <si>
    <t>1396551838</t>
  </si>
  <si>
    <t>1396547683</t>
  </si>
  <si>
    <t>1396554548</t>
  </si>
  <si>
    <t>1396545123</t>
  </si>
  <si>
    <t>1396554103</t>
  </si>
  <si>
    <t>1396553445</t>
  </si>
  <si>
    <t>1396545589</t>
  </si>
  <si>
    <t>1396547030</t>
  </si>
  <si>
    <t>1396545590</t>
  </si>
  <si>
    <t>1396554107</t>
  </si>
  <si>
    <t>1396554552</t>
  </si>
  <si>
    <t>1396554550</t>
  </si>
  <si>
    <t>1396555376</t>
  </si>
  <si>
    <t>1396555508</t>
  </si>
  <si>
    <t>1396552093</t>
  </si>
  <si>
    <t>1396555374</t>
  </si>
  <si>
    <t>1396542496</t>
  </si>
  <si>
    <t>1396544896</t>
  </si>
  <si>
    <t>1396551023</t>
  </si>
  <si>
    <t>96/12/24</t>
  </si>
  <si>
    <t>96-961500968</t>
  </si>
  <si>
    <t>97/01/19</t>
  </si>
  <si>
    <t>96-961500643</t>
  </si>
  <si>
    <t>96/12/21</t>
  </si>
  <si>
    <t>96-961500985</t>
  </si>
  <si>
    <t>96-961500694</t>
  </si>
  <si>
    <t>96/12/22</t>
  </si>
  <si>
    <t>96-961500992</t>
  </si>
  <si>
    <t>96-961501014</t>
  </si>
  <si>
    <t>96-961500986</t>
  </si>
  <si>
    <t>96-961500693</t>
  </si>
  <si>
    <t>96-961500997</t>
  </si>
  <si>
    <t>96/12/20</t>
  </si>
  <si>
    <t>96-961501006</t>
  </si>
  <si>
    <t>96/12/17</t>
  </si>
  <si>
    <t>96-961500987</t>
  </si>
  <si>
    <t>96-961500851</t>
  </si>
  <si>
    <t>96/12/26</t>
  </si>
  <si>
    <t>96-961500482</t>
  </si>
  <si>
    <t>96-961500632</t>
  </si>
  <si>
    <t>96-961500876</t>
  </si>
  <si>
    <t>96-961500998</t>
  </si>
  <si>
    <t>96-961500870</t>
  </si>
  <si>
    <t>96-961500901</t>
  </si>
  <si>
    <t>96-961500756</t>
  </si>
  <si>
    <t>96-961500759</t>
  </si>
  <si>
    <t>96-961500717</t>
  </si>
  <si>
    <t>96-961500751</t>
  </si>
  <si>
    <t>96-961500874</t>
  </si>
  <si>
    <t>96-961500758</t>
  </si>
  <si>
    <t>96-962500228</t>
  </si>
  <si>
    <t>96-962500226</t>
  </si>
  <si>
    <t>96-961501041</t>
  </si>
  <si>
    <t>96-964100113</t>
  </si>
  <si>
    <t>96-961501036</t>
  </si>
  <si>
    <t>96-962500220</t>
  </si>
  <si>
    <t>96-962500218</t>
  </si>
  <si>
    <t>96-964100115</t>
  </si>
  <si>
    <t>96-961500747</t>
  </si>
  <si>
    <t>96-962500223</t>
  </si>
  <si>
    <t>96-962500219</t>
  </si>
  <si>
    <t>96-964100121</t>
  </si>
  <si>
    <t>96-961500773</t>
  </si>
  <si>
    <t>96-962500169</t>
  </si>
  <si>
    <t>96-961500678</t>
  </si>
  <si>
    <t>96-961500677</t>
  </si>
  <si>
    <t>96-962500152</t>
  </si>
  <si>
    <t>96-964100118</t>
  </si>
  <si>
    <t>96-964100114</t>
  </si>
  <si>
    <t>96-964100116</t>
  </si>
  <si>
    <t>96-961500713</t>
  </si>
  <si>
    <t>96-964100112</t>
  </si>
  <si>
    <t>96-964100117</t>
  </si>
  <si>
    <t>96-964100119</t>
  </si>
  <si>
    <t>96-961500781</t>
  </si>
  <si>
    <t>96-962500182</t>
  </si>
  <si>
    <t>96-961500732</t>
  </si>
  <si>
    <t>96-962500183</t>
  </si>
  <si>
    <t>15100-557845</t>
  </si>
  <si>
    <t>15100-553693</t>
  </si>
  <si>
    <t>15100-555248</t>
  </si>
  <si>
    <t>15100-555291</t>
  </si>
  <si>
    <t>15100-556167</t>
  </si>
  <si>
    <t>15100-551872</t>
  </si>
  <si>
    <t>15100-555318</t>
  </si>
  <si>
    <t>15100-551945</t>
  </si>
  <si>
    <t>15100-553732</t>
  </si>
  <si>
    <t>15100-557026</t>
  </si>
  <si>
    <t>15100-556944</t>
  </si>
  <si>
    <t>15100-554464</t>
  </si>
  <si>
    <t>15100-552819</t>
  </si>
  <si>
    <t>15100-554488</t>
  </si>
  <si>
    <t>15100-556989</t>
  </si>
  <si>
    <t>15100-558795</t>
  </si>
  <si>
    <t>15100-556194</t>
  </si>
  <si>
    <t>15100-556152</t>
  </si>
  <si>
    <t>15100-551893</t>
  </si>
  <si>
    <t>15100-554440</t>
  </si>
  <si>
    <t>15100-557809</t>
  </si>
  <si>
    <t>15100-552786</t>
  </si>
  <si>
    <t>15100-552858</t>
  </si>
  <si>
    <t>15100-557047</t>
  </si>
  <si>
    <t>45100-787501</t>
  </si>
  <si>
    <t>97/01/20</t>
  </si>
  <si>
    <t>امارات</t>
  </si>
  <si>
    <t>منطقه ویژه اقتصادی بوشهر</t>
  </si>
  <si>
    <t>60503-185933</t>
  </si>
  <si>
    <t>96-961500671</t>
  </si>
  <si>
    <t xml:space="preserve">  T.K.S TRADING</t>
  </si>
  <si>
    <t>96-961500705</t>
  </si>
  <si>
    <t>97/01/27</t>
  </si>
  <si>
    <t>15100-548234</t>
  </si>
  <si>
    <t>15100-548778</t>
  </si>
  <si>
    <t>96-961500928</t>
  </si>
  <si>
    <t>15100-550927</t>
  </si>
  <si>
    <t>96/12/15</t>
  </si>
  <si>
    <t>15100-551116</t>
  </si>
  <si>
    <t>96-961500911</t>
  </si>
  <si>
    <t>96-961500855</t>
  </si>
  <si>
    <t>15100-551113</t>
  </si>
  <si>
    <t>15100-548823</t>
  </si>
  <si>
    <t>96-961500937</t>
  </si>
  <si>
    <t>15100-551074</t>
  </si>
  <si>
    <t>96-961500932</t>
  </si>
  <si>
    <t>15100-549529</t>
  </si>
  <si>
    <t>15100-549475</t>
  </si>
  <si>
    <t>96-961500808</t>
  </si>
  <si>
    <t>15100-550200</t>
  </si>
  <si>
    <t>96-961500801</t>
  </si>
  <si>
    <t>15100-550173</t>
  </si>
  <si>
    <t>96-961500782</t>
  </si>
  <si>
    <t>15100-549514</t>
  </si>
  <si>
    <t>15100-553453</t>
  </si>
  <si>
    <t>15100-558657</t>
  </si>
  <si>
    <t>96-961500481</t>
  </si>
  <si>
    <t>15100-553753</t>
  </si>
  <si>
    <t>15100-561257</t>
  </si>
  <si>
    <t>97/01/09</t>
  </si>
  <si>
    <t>96-961501011</t>
  </si>
  <si>
    <t>15100-560774</t>
  </si>
  <si>
    <t>97/01/07</t>
  </si>
  <si>
    <t>96-961500715</t>
  </si>
  <si>
    <t>96-961500941</t>
  </si>
  <si>
    <t>96-961500695</t>
  </si>
  <si>
    <t>15100-560478</t>
  </si>
  <si>
    <t>97/01/06</t>
  </si>
  <si>
    <t>15100-561797</t>
  </si>
  <si>
    <t>97/01/15</t>
  </si>
  <si>
    <t>96-961500930</t>
  </si>
  <si>
    <t>96-961500904</t>
  </si>
  <si>
    <t>15100-560472</t>
  </si>
  <si>
    <t>96-961500702</t>
  </si>
  <si>
    <t>96-961501001</t>
  </si>
  <si>
    <t>96-961500703</t>
  </si>
  <si>
    <t>15100-561442</t>
  </si>
  <si>
    <t>97/01/14</t>
  </si>
  <si>
    <t>96-961500900</t>
  </si>
  <si>
    <t>15100-560193</t>
  </si>
  <si>
    <t>97/01/05</t>
  </si>
  <si>
    <t>15100-561293</t>
  </si>
  <si>
    <t>96-961500775</t>
  </si>
  <si>
    <t>96-961500976</t>
  </si>
  <si>
    <t>15100-560981</t>
  </si>
  <si>
    <t>97/01/08</t>
  </si>
  <si>
    <t>96-961500776</t>
  </si>
  <si>
    <t>15100-560996</t>
  </si>
  <si>
    <t>96-961500704</t>
  </si>
  <si>
    <t>15100-560245</t>
  </si>
  <si>
    <t>97/01/22</t>
  </si>
  <si>
    <t>97-974100003</t>
  </si>
  <si>
    <t>97</t>
  </si>
  <si>
    <t>96-961501018</t>
  </si>
  <si>
    <t>96-961501033</t>
  </si>
  <si>
    <t>97-974100002</t>
  </si>
  <si>
    <t>97-974100014</t>
  </si>
  <si>
    <t>1397558727001</t>
  </si>
  <si>
    <t>97-974100005</t>
  </si>
  <si>
    <t>97-974100006</t>
  </si>
  <si>
    <t>96-961500945</t>
  </si>
  <si>
    <t>97-974200004</t>
  </si>
  <si>
    <t>97/01/18</t>
  </si>
  <si>
    <t>96-961501047</t>
  </si>
  <si>
    <t>96-962500176</t>
  </si>
  <si>
    <t>96-961501042</t>
  </si>
  <si>
    <t>96-961500679</t>
  </si>
  <si>
    <t>96-962500216</t>
  </si>
  <si>
    <t>96-962500217</t>
  </si>
  <si>
    <t>97-974100011</t>
  </si>
  <si>
    <t>97/01/26</t>
  </si>
  <si>
    <t>97-974100010</t>
  </si>
  <si>
    <t>1396548710001</t>
  </si>
  <si>
    <t>97-974100009</t>
  </si>
  <si>
    <t>97-974200009</t>
  </si>
  <si>
    <t>97/01/28</t>
  </si>
  <si>
    <t>96-961500674</t>
  </si>
  <si>
    <t>96-961500810</t>
  </si>
  <si>
    <t>96-961500682</t>
  </si>
  <si>
    <t>96-961500820</t>
  </si>
  <si>
    <t>96-962500224</t>
  </si>
  <si>
    <t>96-961500877</t>
  </si>
  <si>
    <t>96-961500818</t>
  </si>
  <si>
    <t>96-961500850</t>
  </si>
  <si>
    <t>97-974200008</t>
  </si>
  <si>
    <t>96-961500725</t>
  </si>
  <si>
    <t>96-962500222</t>
  </si>
  <si>
    <t>96-962500227</t>
  </si>
  <si>
    <t>97-972500003</t>
  </si>
  <si>
    <t>97-974200005</t>
  </si>
  <si>
    <t>97-974100013</t>
  </si>
  <si>
    <t>97-974100015</t>
  </si>
  <si>
    <t>97/01/30</t>
  </si>
  <si>
    <t>96-962500230</t>
  </si>
  <si>
    <t>96/12/27</t>
  </si>
  <si>
    <t>96-961500728</t>
  </si>
  <si>
    <t>96-961500830</t>
  </si>
  <si>
    <t>96-962500180</t>
  </si>
  <si>
    <t>97-974100008</t>
  </si>
  <si>
    <t>97/01/21</t>
  </si>
  <si>
    <t>96-962500225</t>
  </si>
  <si>
    <t>96-962500204</t>
  </si>
  <si>
    <t>96-961500835</t>
  </si>
  <si>
    <t>97-974200012</t>
  </si>
  <si>
    <t>97/02/02</t>
  </si>
  <si>
    <t>97-974100007</t>
  </si>
  <si>
    <t>97-974200006</t>
  </si>
  <si>
    <t>97-974200010</t>
  </si>
  <si>
    <t>97-974200011</t>
  </si>
  <si>
    <t>97/02/01</t>
  </si>
  <si>
    <t>96-961500833</t>
  </si>
  <si>
    <t>96-961500895</t>
  </si>
  <si>
    <t>96-961500925</t>
  </si>
  <si>
    <t>96-961500842</t>
  </si>
  <si>
    <t>96-961500921</t>
  </si>
  <si>
    <t>96-961500729</t>
  </si>
  <si>
    <t>96-961500836</t>
  </si>
  <si>
    <t>96-961500813</t>
  </si>
  <si>
    <t>96-961500680</t>
  </si>
  <si>
    <t>97/02/06</t>
  </si>
  <si>
    <t>15100-543716</t>
  </si>
  <si>
    <t>97/02/08</t>
  </si>
  <si>
    <t>15100-557770</t>
  </si>
  <si>
    <t>15100-555272</t>
  </si>
  <si>
    <t>96-961500983</t>
  </si>
  <si>
    <t>15100-561818</t>
  </si>
  <si>
    <t>15100-561484</t>
  </si>
  <si>
    <t>96-961501025</t>
  </si>
  <si>
    <t>15100-560738</t>
  </si>
  <si>
    <t>15100-561779</t>
  </si>
  <si>
    <t>96-961501040</t>
  </si>
  <si>
    <t>96-961501034</t>
  </si>
  <si>
    <t>15100-560469</t>
  </si>
  <si>
    <t>15100-561245</t>
  </si>
  <si>
    <t>15100-561496</t>
  </si>
  <si>
    <t>96-961501020</t>
  </si>
  <si>
    <t>15100-561490</t>
  </si>
  <si>
    <t>15100-561526</t>
  </si>
  <si>
    <t>15100-560242</t>
  </si>
  <si>
    <t>96-961501023</t>
  </si>
  <si>
    <t>97-971500024</t>
  </si>
  <si>
    <t>97/02/10</t>
  </si>
  <si>
    <t>96-961500988</t>
  </si>
  <si>
    <t>96-961500982</t>
  </si>
  <si>
    <t>96-961500978</t>
  </si>
  <si>
    <t>97-971500004</t>
  </si>
  <si>
    <t>96-961500923</t>
  </si>
  <si>
    <t>97-971500029</t>
  </si>
  <si>
    <t>97-971500030</t>
  </si>
  <si>
    <t>97-972500013</t>
  </si>
  <si>
    <t>97-971500046</t>
  </si>
  <si>
    <t>96-961500990</t>
  </si>
  <si>
    <t>96-961500954</t>
  </si>
  <si>
    <t>97-971500023</t>
  </si>
  <si>
    <t>96-961500970</t>
  </si>
  <si>
    <t>96-961500971</t>
  </si>
  <si>
    <t>97-972500007</t>
  </si>
  <si>
    <t>96-961500999</t>
  </si>
  <si>
    <t>97-972500002</t>
  </si>
  <si>
    <t>96-961500972</t>
  </si>
  <si>
    <t>97-971500008</t>
  </si>
  <si>
    <t>96-961500995</t>
  </si>
  <si>
    <t>96-961501013</t>
  </si>
  <si>
    <t>96-961500961</t>
  </si>
  <si>
    <t>96-961501019</t>
  </si>
  <si>
    <t>96-961501046</t>
  </si>
  <si>
    <t>97-971500014</t>
  </si>
  <si>
    <t>96-961501037</t>
  </si>
  <si>
    <t>96-961500949</t>
  </si>
  <si>
    <t>96-961500991</t>
  </si>
  <si>
    <t>96-961500939</t>
  </si>
  <si>
    <t>96-961500950</t>
  </si>
  <si>
    <t>96-962500229</t>
  </si>
  <si>
    <t>96-961500960</t>
  </si>
  <si>
    <t>96-961501053</t>
  </si>
  <si>
    <t>96-961500914</t>
  </si>
  <si>
    <t>96-961500979</t>
  </si>
  <si>
    <t>96-961500931</t>
  </si>
  <si>
    <t>96-961500940</t>
  </si>
  <si>
    <t>96-961501048</t>
  </si>
  <si>
    <t>96-961500973</t>
  </si>
  <si>
    <t>96-961500944</t>
  </si>
  <si>
    <t>96-961500996</t>
  </si>
  <si>
    <t>96-961500959</t>
  </si>
  <si>
    <t>97-971500017</t>
  </si>
  <si>
    <t>96-961500910</t>
  </si>
  <si>
    <t>96-961500946</t>
  </si>
  <si>
    <t>96-961500926</t>
  </si>
  <si>
    <t>97-971500006</t>
  </si>
  <si>
    <t>97-971500019</t>
  </si>
  <si>
    <t>96-961500929</t>
  </si>
  <si>
    <t>15100-554283</t>
  </si>
  <si>
    <t>97/02/18</t>
  </si>
  <si>
    <t>15100-570761</t>
  </si>
  <si>
    <t>97/01/29</t>
  </si>
  <si>
    <t>96-961501017</t>
  </si>
  <si>
    <t>97/02/23</t>
  </si>
  <si>
    <t>15100-569418</t>
  </si>
  <si>
    <t>15100-571462</t>
  </si>
  <si>
    <t>15100-571367</t>
  </si>
  <si>
    <t>96-961501049</t>
  </si>
  <si>
    <t>15100-571445</t>
  </si>
  <si>
    <t>15100-569391</t>
  </si>
  <si>
    <t>15100-570692</t>
  </si>
  <si>
    <t>96-961501007</t>
  </si>
  <si>
    <t>15100-568983</t>
  </si>
  <si>
    <t>96-961500975</t>
  </si>
  <si>
    <t>96-961500965</t>
  </si>
  <si>
    <t>15100-569361</t>
  </si>
  <si>
    <t>15100-570094</t>
  </si>
  <si>
    <t>15100-570076</t>
  </si>
  <si>
    <t>96-961500980</t>
  </si>
  <si>
    <t>15100-571424</t>
  </si>
  <si>
    <t>15100-570803</t>
  </si>
  <si>
    <t>PETRO FOLIO</t>
  </si>
  <si>
    <t>15100-571151</t>
  </si>
  <si>
    <t>96-961501021</t>
  </si>
  <si>
    <t>15100-571406</t>
  </si>
  <si>
    <t>15100-570773</t>
  </si>
  <si>
    <t>15100-570091</t>
  </si>
  <si>
    <t>15100-570785</t>
  </si>
  <si>
    <t>97-971500050</t>
  </si>
  <si>
    <t>15100-570695</t>
  </si>
  <si>
    <t>15100-568369</t>
  </si>
  <si>
    <t>97/01/23</t>
  </si>
  <si>
    <t>15100-568941</t>
  </si>
  <si>
    <t>96-961500974</t>
  </si>
  <si>
    <t>96-961500936</t>
  </si>
  <si>
    <t>96-961500994</t>
  </si>
  <si>
    <t>97-971500038</t>
  </si>
  <si>
    <t>15100-562245</t>
  </si>
  <si>
    <t>97/01/16</t>
  </si>
  <si>
    <t>15100-567006</t>
  </si>
  <si>
    <t>15100-566427</t>
  </si>
  <si>
    <t>15100-566978</t>
  </si>
  <si>
    <t>15100-562203</t>
  </si>
  <si>
    <t>96-961500908</t>
  </si>
  <si>
    <t>96-961500981</t>
  </si>
  <si>
    <t>97-971500003</t>
  </si>
  <si>
    <t>15100-566497</t>
  </si>
  <si>
    <t>15100-569022</t>
  </si>
  <si>
    <t>97-971500009</t>
  </si>
  <si>
    <t>15100-568408</t>
  </si>
  <si>
    <t>15100-567584</t>
  </si>
  <si>
    <t>15100-566996</t>
  </si>
  <si>
    <t>15100-565480</t>
  </si>
  <si>
    <t>97-972500001</t>
  </si>
  <si>
    <t>15100-568995</t>
  </si>
  <si>
    <t>15100-562698</t>
  </si>
  <si>
    <t>50100-9940137</t>
  </si>
  <si>
    <t>96-964200035</t>
  </si>
  <si>
    <t>منطقه ویژه بندرعباس</t>
  </si>
  <si>
    <t>50100-9988530</t>
  </si>
  <si>
    <t>96-964200036</t>
  </si>
  <si>
    <t>50100-9997371</t>
  </si>
  <si>
    <t>97-974200002</t>
  </si>
  <si>
    <t>97-974200007</t>
  </si>
  <si>
    <t>50100-10030137</t>
  </si>
  <si>
    <t>96-964100120</t>
  </si>
  <si>
    <t>50100-10030546</t>
  </si>
  <si>
    <t>97-974200001</t>
  </si>
  <si>
    <t>50100-10029958</t>
  </si>
  <si>
    <t>97-974100001</t>
  </si>
  <si>
    <t>50100-10030966</t>
  </si>
  <si>
    <t>97-974200003</t>
  </si>
  <si>
    <t>VEHRON INTERNATIONAL FZC</t>
  </si>
  <si>
    <t>50100-10101302</t>
  </si>
  <si>
    <t>97-974200014</t>
  </si>
  <si>
    <t>97/02/05</t>
  </si>
  <si>
    <t>97-972500009</t>
  </si>
  <si>
    <t>97-974200018</t>
  </si>
  <si>
    <t>97/02/16</t>
  </si>
  <si>
    <t>97/02/27</t>
  </si>
  <si>
    <t>97-974200017</t>
  </si>
  <si>
    <t>چین</t>
  </si>
  <si>
    <t>97-974200016</t>
  </si>
  <si>
    <t>97-974200020</t>
  </si>
  <si>
    <t>96-962500198</t>
  </si>
  <si>
    <t>96-962500202</t>
  </si>
  <si>
    <t>96-961500839</t>
  </si>
  <si>
    <t>96-961500909</t>
  </si>
  <si>
    <t>97-971500108</t>
  </si>
  <si>
    <t>97/02/04</t>
  </si>
  <si>
    <t>96-961500828</t>
  </si>
  <si>
    <t>96-961500887</t>
  </si>
  <si>
    <t>96-961500903</t>
  </si>
  <si>
    <t>97-974100018</t>
  </si>
  <si>
    <t>97/02/07</t>
  </si>
  <si>
    <t>97-971500045</t>
  </si>
  <si>
    <t>96-961500886</t>
  </si>
  <si>
    <t>96-962500231</t>
  </si>
  <si>
    <t>97-971500026</t>
  </si>
  <si>
    <t>97-974100016</t>
  </si>
  <si>
    <t>97-974100021</t>
  </si>
  <si>
    <t>97/02/15</t>
  </si>
  <si>
    <t>96-962500206</t>
  </si>
  <si>
    <t>96-961500841</t>
  </si>
  <si>
    <t>97-972500012</t>
  </si>
  <si>
    <t>96-962500209</t>
  </si>
  <si>
    <t>96-961500948</t>
  </si>
  <si>
    <t>96-961500934</t>
  </si>
  <si>
    <t>96-961501027</t>
  </si>
  <si>
    <t>96-961500893</t>
  </si>
  <si>
    <t>97-971500087</t>
  </si>
  <si>
    <t>97-971500043</t>
  </si>
  <si>
    <t>96-961500977</t>
  </si>
  <si>
    <t>96-961500795</t>
  </si>
  <si>
    <t>96-961500814</t>
  </si>
  <si>
    <t>97-974100020</t>
  </si>
  <si>
    <t>97/02/13</t>
  </si>
  <si>
    <t>96-961500967</t>
  </si>
  <si>
    <t>97-974200015</t>
  </si>
  <si>
    <t>96-961500933</t>
  </si>
  <si>
    <t>96-961500947</t>
  </si>
  <si>
    <t>96-961500935</t>
  </si>
  <si>
    <t>96-961500956</t>
  </si>
  <si>
    <t>97-974100019</t>
  </si>
  <si>
    <t>97-974100017</t>
  </si>
  <si>
    <t>97-974200013</t>
  </si>
  <si>
    <t>96-961500819</t>
  </si>
  <si>
    <t>96-961501015</t>
  </si>
  <si>
    <t>97-974100022</t>
  </si>
  <si>
    <t>96-962500193</t>
  </si>
  <si>
    <t>97-972500021</t>
  </si>
  <si>
    <t>97-971500109</t>
  </si>
  <si>
    <t>97-972500008</t>
  </si>
  <si>
    <t>97-971500117</t>
  </si>
  <si>
    <t>96-961500920</t>
  </si>
  <si>
    <t>97-971500037</t>
  </si>
  <si>
    <t>96-961500912</t>
  </si>
  <si>
    <t>15100-574883</t>
  </si>
  <si>
    <t>97-971500058</t>
  </si>
  <si>
    <t>97/03/02</t>
  </si>
  <si>
    <t>97-971500044</t>
  </si>
  <si>
    <t>97-971500022</t>
  </si>
  <si>
    <t>97-971500077</t>
  </si>
  <si>
    <t>15100-579132</t>
  </si>
  <si>
    <t>97-971500123</t>
  </si>
  <si>
    <t>15100-572150</t>
  </si>
  <si>
    <t>96-961501026</t>
  </si>
  <si>
    <t>15100-572069</t>
  </si>
  <si>
    <t>15100-578087</t>
  </si>
  <si>
    <t>97/02/11</t>
  </si>
  <si>
    <t>97-971500100</t>
  </si>
  <si>
    <t>1397558725001</t>
  </si>
  <si>
    <t>15100-579063</t>
  </si>
  <si>
    <t>15100-574823</t>
  </si>
  <si>
    <t>96-961501016</t>
  </si>
  <si>
    <t>97-972500016</t>
  </si>
  <si>
    <t>15100-576191</t>
  </si>
  <si>
    <t>97-971500088</t>
  </si>
  <si>
    <t>15100-574844</t>
  </si>
  <si>
    <t>96-961501024</t>
  </si>
  <si>
    <t>96-961501032</t>
  </si>
  <si>
    <t>96-961501005</t>
  </si>
  <si>
    <t>96-961501031</t>
  </si>
  <si>
    <t>97-971500049</t>
  </si>
  <si>
    <t>15100-576787</t>
  </si>
  <si>
    <t>97/02/09</t>
  </si>
  <si>
    <t>96-961501039</t>
  </si>
  <si>
    <t>15100-572772</t>
  </si>
  <si>
    <t>15100-576215</t>
  </si>
  <si>
    <t>15100-577456</t>
  </si>
  <si>
    <t>97-971500020</t>
  </si>
  <si>
    <t>15100-578066</t>
  </si>
  <si>
    <t>96-961501045</t>
  </si>
  <si>
    <t>96-961501035</t>
  </si>
  <si>
    <t>96-961501000</t>
  </si>
  <si>
    <t>97-971500070</t>
  </si>
  <si>
    <t>96-961501012</t>
  </si>
  <si>
    <t>97-971500091</t>
  </si>
  <si>
    <t>15100-574950</t>
  </si>
  <si>
    <t>15100-579144</t>
  </si>
  <si>
    <t>15100-572060</t>
  </si>
  <si>
    <t>15100-574802</t>
  </si>
  <si>
    <t>15100-576817</t>
  </si>
  <si>
    <t>15100-572823</t>
  </si>
  <si>
    <t>96-961500943</t>
  </si>
  <si>
    <t>15100-576203</t>
  </si>
  <si>
    <t>96-961501043</t>
  </si>
  <si>
    <t>97-971500081</t>
  </si>
  <si>
    <t>15100-578117</t>
  </si>
  <si>
    <t>97-971500118</t>
  </si>
  <si>
    <t>1397561054001</t>
  </si>
  <si>
    <t>15100-572084</t>
  </si>
  <si>
    <t>97-971500001</t>
  </si>
  <si>
    <t>96-961501038</t>
  </si>
  <si>
    <t>15100-574182</t>
  </si>
  <si>
    <t>97-971500086</t>
  </si>
  <si>
    <t>1397558724001</t>
  </si>
  <si>
    <t>15100-573497</t>
  </si>
  <si>
    <t>97/02/03</t>
  </si>
  <si>
    <t>97-971500054</t>
  </si>
  <si>
    <t>15100-577459</t>
  </si>
  <si>
    <t>15100-575634</t>
  </si>
  <si>
    <t>96-961501028</t>
  </si>
  <si>
    <t>15100-574968</t>
  </si>
  <si>
    <t>15100-579048</t>
  </si>
  <si>
    <t>15100-572171</t>
  </si>
  <si>
    <t>96-961501004</t>
  </si>
  <si>
    <t>96-961501002</t>
  </si>
  <si>
    <t>15100-577468</t>
  </si>
  <si>
    <t>97-971500016</t>
  </si>
  <si>
    <t>15100-573578</t>
  </si>
  <si>
    <t>15100-579678</t>
  </si>
  <si>
    <t>15100-575652</t>
  </si>
  <si>
    <t>15100-577444</t>
  </si>
  <si>
    <t>15100-574209</t>
  </si>
  <si>
    <t>96-961500984</t>
  </si>
  <si>
    <t>15100-576200</t>
  </si>
  <si>
    <t>96-961501050</t>
  </si>
  <si>
    <t>96-961501003</t>
  </si>
  <si>
    <t>15100-578099</t>
  </si>
  <si>
    <t>15100-572787</t>
  </si>
  <si>
    <t>15100-572796</t>
  </si>
  <si>
    <t>15100-576820</t>
  </si>
  <si>
    <t>97-971500093</t>
  </si>
  <si>
    <t>15100-573479</t>
  </si>
  <si>
    <t>15100-575649</t>
  </si>
  <si>
    <t>15100-577450</t>
  </si>
  <si>
    <t>15100-577453</t>
  </si>
  <si>
    <t>15100-573506</t>
  </si>
  <si>
    <t>96-961501029</t>
  </si>
  <si>
    <t>15100-579727</t>
  </si>
  <si>
    <t>15100-574922</t>
  </si>
  <si>
    <t>15100-573542</t>
  </si>
  <si>
    <t>97-971500047</t>
  </si>
  <si>
    <t>15100-574366</t>
  </si>
  <si>
    <t>96-961501010</t>
  </si>
  <si>
    <t>تاجيکستان</t>
  </si>
  <si>
    <t>سرخس</t>
  </si>
  <si>
    <t>97-971500075</t>
  </si>
  <si>
    <t>97-971500085</t>
  </si>
  <si>
    <t>LEADING IN HIGHER OBJECTIVES LLC</t>
  </si>
  <si>
    <t>1397558721001</t>
  </si>
  <si>
    <t>97-971500080</t>
  </si>
  <si>
    <t>96-961501022</t>
  </si>
  <si>
    <t>97-971500032</t>
  </si>
  <si>
    <t>97-971500122</t>
  </si>
  <si>
    <t>97-971500095</t>
  </si>
  <si>
    <t>15100-576194</t>
  </si>
  <si>
    <t>15100-576890</t>
  </si>
  <si>
    <t>15100-572841</t>
  </si>
  <si>
    <t>96-961501030</t>
  </si>
  <si>
    <t>15100-578123</t>
  </si>
  <si>
    <t>15100-575685</t>
  </si>
  <si>
    <t>97-971500078</t>
  </si>
  <si>
    <t>97-971500073</t>
  </si>
  <si>
    <t>15100-575590</t>
  </si>
  <si>
    <t>97-971500089</t>
  </si>
  <si>
    <t>1397558726001</t>
  </si>
  <si>
    <t>97-971500079</t>
  </si>
  <si>
    <t>15100-575594</t>
  </si>
  <si>
    <t>97-971500083</t>
  </si>
  <si>
    <t>9702/02</t>
  </si>
  <si>
    <t>15100-578132</t>
  </si>
  <si>
    <t>97-971500092</t>
  </si>
  <si>
    <t>97-971500110</t>
  </si>
  <si>
    <t>97/03/15</t>
  </si>
  <si>
    <t>97-974200024</t>
  </si>
  <si>
    <t>97/02/24</t>
  </si>
  <si>
    <t>96-961500913</t>
  </si>
  <si>
    <t>97-974200023</t>
  </si>
  <si>
    <t>97-974200022</t>
  </si>
  <si>
    <t>97-974200021</t>
  </si>
  <si>
    <t>97/02/22</t>
  </si>
  <si>
    <t>97-971500063</t>
  </si>
  <si>
    <t>97-972500005</t>
  </si>
  <si>
    <t>97-972500006</t>
  </si>
  <si>
    <t>97-974200025</t>
  </si>
  <si>
    <t>97/02/31</t>
  </si>
  <si>
    <t>96-961501044</t>
  </si>
  <si>
    <t>97-971500125</t>
  </si>
  <si>
    <t>97-971500082</t>
  </si>
  <si>
    <t>97-971500065</t>
  </si>
  <si>
    <t>97-971500156</t>
  </si>
  <si>
    <t>96-961500958</t>
  </si>
  <si>
    <t>97-974200019</t>
  </si>
  <si>
    <t>97/02/17</t>
  </si>
  <si>
    <t>97-971500201</t>
  </si>
  <si>
    <t>97-971500064</t>
  </si>
  <si>
    <t>97-971500053</t>
  </si>
  <si>
    <t>96-962500196</t>
  </si>
  <si>
    <t>97-971500076</t>
  </si>
  <si>
    <t>96-961500843</t>
  </si>
  <si>
    <t>97-971500143</t>
  </si>
  <si>
    <t>97-972500010</t>
  </si>
  <si>
    <t>97-972500017</t>
  </si>
  <si>
    <t>97-974200028</t>
  </si>
  <si>
    <t>97/03/06</t>
  </si>
  <si>
    <t>96-961500869</t>
  </si>
  <si>
    <t>97-971500059</t>
  </si>
  <si>
    <t>97-971500138</t>
  </si>
  <si>
    <t>96-962500214</t>
  </si>
  <si>
    <t>97-974100025</t>
  </si>
  <si>
    <t>97/02/30</t>
  </si>
  <si>
    <t>96-962500197</t>
  </si>
  <si>
    <t>96-961500815</t>
  </si>
  <si>
    <t>96/10/23</t>
  </si>
  <si>
    <t>96-961500821</t>
  </si>
  <si>
    <t>97-974100024</t>
  </si>
  <si>
    <t>96-961500957</t>
  </si>
  <si>
    <t>96-961500824</t>
  </si>
  <si>
    <t>96-961500831</t>
  </si>
  <si>
    <t>96-961500859</t>
  </si>
  <si>
    <t>97-974100023</t>
  </si>
  <si>
    <t>97/02/20</t>
  </si>
  <si>
    <t>97-971500165</t>
  </si>
  <si>
    <t>97-971500133</t>
  </si>
  <si>
    <t>97-971500187</t>
  </si>
  <si>
    <t>97-971500021</t>
  </si>
  <si>
    <t>97-971500013</t>
  </si>
  <si>
    <t>97-971500012</t>
  </si>
  <si>
    <t>97-971500015</t>
  </si>
  <si>
    <t>97-971500028</t>
  </si>
  <si>
    <t>97-971500042</t>
  </si>
  <si>
    <t>97-971500141</t>
  </si>
  <si>
    <t>97-971500114</t>
  </si>
  <si>
    <t>97-971500096</t>
  </si>
  <si>
    <t>97-971500113</t>
  </si>
  <si>
    <t>97-971500101</t>
  </si>
  <si>
    <t>97-971500011</t>
  </si>
  <si>
    <t>97-971500010</t>
  </si>
  <si>
    <t>96-961500681</t>
  </si>
  <si>
    <t>96-961500710</t>
  </si>
  <si>
    <t>97-971500084</t>
  </si>
  <si>
    <t>15100-592698</t>
  </si>
  <si>
    <t>97/03/08</t>
  </si>
  <si>
    <t>97-971500116</t>
  </si>
  <si>
    <t>97/03/31</t>
  </si>
  <si>
    <t>15100-595491</t>
  </si>
  <si>
    <t>97/03/13</t>
  </si>
  <si>
    <t>97-971500069</t>
  </si>
  <si>
    <t>15100-591524</t>
  </si>
  <si>
    <t>97/03/03</t>
  </si>
  <si>
    <t xml:space="preserve">  PETRO FOLIO</t>
  </si>
  <si>
    <t>15100-593555</t>
  </si>
  <si>
    <t>97/03/10</t>
  </si>
  <si>
    <t>97-971500007</t>
  </si>
  <si>
    <t>15100-592707</t>
  </si>
  <si>
    <t>15100-593123</t>
  </si>
  <si>
    <t>97/03/09</t>
  </si>
  <si>
    <t>15100-593594</t>
  </si>
  <si>
    <t>97-971500142</t>
  </si>
  <si>
    <t xml:space="preserve">  LEADING IN HIGHER OBJECTIVES LLC</t>
  </si>
  <si>
    <t>15100-594437</t>
  </si>
  <si>
    <t>97/03/12</t>
  </si>
  <si>
    <t>97-971500005</t>
  </si>
  <si>
    <t>15100-594392</t>
  </si>
  <si>
    <t>97-971500033</t>
  </si>
  <si>
    <t>15100-595545</t>
  </si>
  <si>
    <t>97-971500164</t>
  </si>
  <si>
    <t>97-971500200</t>
  </si>
  <si>
    <t>15100-591942</t>
  </si>
  <si>
    <t>97/03/05</t>
  </si>
  <si>
    <t>15100-594503</t>
  </si>
  <si>
    <t>97-971500176</t>
  </si>
  <si>
    <t>97-971500090</t>
  </si>
  <si>
    <t>15100-593573</t>
  </si>
  <si>
    <t>97-972500026</t>
  </si>
  <si>
    <t>97-971500124</t>
  </si>
  <si>
    <t>1397561057001</t>
  </si>
  <si>
    <t>97-971500170</t>
  </si>
  <si>
    <t>15100-593144</t>
  </si>
  <si>
    <t>15100-591548</t>
  </si>
  <si>
    <t>97-971500146</t>
  </si>
  <si>
    <t>15100-592152</t>
  </si>
  <si>
    <t>97-971500068</t>
  </si>
  <si>
    <t>97-971500098</t>
  </si>
  <si>
    <t>15100-592401</t>
  </si>
  <si>
    <t>97/03/07</t>
  </si>
  <si>
    <t>15100-591569</t>
  </si>
  <si>
    <t>15100-591153</t>
  </si>
  <si>
    <t>97-971500185</t>
  </si>
  <si>
    <t>15100-591180</t>
  </si>
  <si>
    <t>97-971500035</t>
  </si>
  <si>
    <t>96-961500993</t>
  </si>
  <si>
    <t>96-961501008</t>
  </si>
  <si>
    <t>96-961501052</t>
  </si>
  <si>
    <t>96-961501009</t>
  </si>
  <si>
    <t>97-971500104</t>
  </si>
  <si>
    <t>97-971500071</t>
  </si>
  <si>
    <t>97-972500025</t>
  </si>
  <si>
    <t>97-971500027</t>
  </si>
  <si>
    <t>97-971500018</t>
  </si>
  <si>
    <t>96-961500966</t>
  </si>
  <si>
    <t>97-971500214</t>
  </si>
  <si>
    <t>97-974100028</t>
  </si>
  <si>
    <t>97-972500019</t>
  </si>
  <si>
    <t>97-974100027</t>
  </si>
  <si>
    <t>97-974200026</t>
  </si>
  <si>
    <t>97-974200030</t>
  </si>
  <si>
    <t>97-972500011</t>
  </si>
  <si>
    <t>97-971500243</t>
  </si>
  <si>
    <t>97-971500040</t>
  </si>
  <si>
    <t>97-971500041</t>
  </si>
  <si>
    <t>97-974100026</t>
  </si>
  <si>
    <t>97-974100030</t>
  </si>
  <si>
    <t>97-974100031</t>
  </si>
  <si>
    <t>97-974200029</t>
  </si>
  <si>
    <t>97-974100029</t>
  </si>
  <si>
    <t>96-961500786</t>
  </si>
  <si>
    <t>97-971500055</t>
  </si>
  <si>
    <t>96-961500861</t>
  </si>
  <si>
    <t>96-961500684</t>
  </si>
  <si>
    <t>97-974100035</t>
  </si>
  <si>
    <t>97-974100034</t>
  </si>
  <si>
    <t>97-974200031</t>
  </si>
  <si>
    <t>97-971500039</t>
  </si>
  <si>
    <t>96-961500989</t>
  </si>
  <si>
    <t>97-971500099</t>
  </si>
  <si>
    <t>97-971500002</t>
  </si>
  <si>
    <t>97-974200027</t>
  </si>
  <si>
    <t>97-971500062</t>
  </si>
  <si>
    <t>97-972500018</t>
  </si>
  <si>
    <t>96-962500130</t>
  </si>
  <si>
    <t>97-971500056</t>
  </si>
  <si>
    <t>15100-602200</t>
  </si>
  <si>
    <t>15100-601185</t>
  </si>
  <si>
    <t>15100-601783</t>
  </si>
  <si>
    <t>15100-601816</t>
  </si>
  <si>
    <t>15100-602230</t>
  </si>
  <si>
    <t>15100-596506</t>
  </si>
  <si>
    <t>15100-598372</t>
  </si>
  <si>
    <t>15100-596602</t>
  </si>
  <si>
    <t>15100-599221</t>
  </si>
  <si>
    <t>15100-597265</t>
  </si>
  <si>
    <t>15100-600273</t>
  </si>
  <si>
    <t>15100-596179</t>
  </si>
  <si>
    <t>15100-597166</t>
  </si>
  <si>
    <t>15100-597187</t>
  </si>
  <si>
    <t>15100-598565</t>
  </si>
  <si>
    <t>15100-597151</t>
  </si>
  <si>
    <t>15100-598393</t>
  </si>
  <si>
    <t>15100-598405</t>
  </si>
  <si>
    <t>15100-599257</t>
  </si>
  <si>
    <t>15100-596338</t>
  </si>
  <si>
    <t>15100-568348</t>
  </si>
  <si>
    <t>15100-568962</t>
  </si>
  <si>
    <t>15100-565507</t>
  </si>
  <si>
    <t>15100-567111</t>
  </si>
  <si>
    <t>15100-576796</t>
  </si>
  <si>
    <t>15100-579687</t>
  </si>
  <si>
    <t>15100-579051</t>
  </si>
  <si>
    <t>15100-578084</t>
  </si>
  <si>
    <t>15100-579093</t>
  </si>
  <si>
    <t>15100-579114</t>
  </si>
  <si>
    <t>15100-572847</t>
  </si>
  <si>
    <t>15100-572180</t>
  </si>
  <si>
    <t>15100-577465</t>
  </si>
  <si>
    <t>15100-575631</t>
  </si>
  <si>
    <t>15100-579702</t>
  </si>
  <si>
    <t>15100-579675</t>
  </si>
  <si>
    <t>15100-572901</t>
  </si>
  <si>
    <t>15100-573563</t>
  </si>
  <si>
    <t>15100-574158</t>
  </si>
  <si>
    <t>15100-583476</t>
  </si>
  <si>
    <t>15100-591560</t>
  </si>
  <si>
    <t>15100-591195</t>
  </si>
  <si>
    <t>15100-591527</t>
  </si>
  <si>
    <t>15100-594383</t>
  </si>
  <si>
    <t>15100-592407</t>
  </si>
  <si>
    <t>15100-591171</t>
  </si>
  <si>
    <t>15100-593645</t>
  </si>
  <si>
    <t>15100-592261</t>
  </si>
  <si>
    <t>15100-591165</t>
  </si>
  <si>
    <t>15100-591951</t>
  </si>
  <si>
    <t>15100-593087</t>
  </si>
  <si>
    <t>15100-595512</t>
  </si>
  <si>
    <t>15100-595533</t>
  </si>
  <si>
    <t>15100-593072</t>
  </si>
  <si>
    <t>15100-592258</t>
  </si>
  <si>
    <t>15100-594425</t>
  </si>
  <si>
    <t>15100-592388</t>
  </si>
  <si>
    <t>97/03/27</t>
  </si>
  <si>
    <t>97-971500169</t>
  </si>
  <si>
    <t>97/03/23</t>
  </si>
  <si>
    <t>97-971500186</t>
  </si>
  <si>
    <t>97-971500203</t>
  </si>
  <si>
    <t>97/02/19</t>
  </si>
  <si>
    <t>97/03/24</t>
  </si>
  <si>
    <t>97-971500204</t>
  </si>
  <si>
    <t>97-971500262</t>
  </si>
  <si>
    <t>97-972500028</t>
  </si>
  <si>
    <t>97/03/17</t>
  </si>
  <si>
    <t>97/03/20</t>
  </si>
  <si>
    <t>97/03/21</t>
  </si>
  <si>
    <t>97-971500153</t>
  </si>
  <si>
    <t>97/03/19</t>
  </si>
  <si>
    <t>97-971500103</t>
  </si>
  <si>
    <t>97/03/22</t>
  </si>
  <si>
    <t>97-971500223</t>
  </si>
  <si>
    <t>97-971500072</t>
  </si>
  <si>
    <t>97-972500022</t>
  </si>
  <si>
    <t>97-971500258</t>
  </si>
  <si>
    <t>96-961500720</t>
  </si>
  <si>
    <t>T.K.S TRADING</t>
  </si>
  <si>
    <t>97-971500155</t>
  </si>
  <si>
    <t>97-971500131</t>
  </si>
  <si>
    <t>97-971500147</t>
  </si>
  <si>
    <t>97-971500225</t>
  </si>
  <si>
    <t>97-971500158</t>
  </si>
  <si>
    <t>97-971500233</t>
  </si>
  <si>
    <t>97/02/26</t>
  </si>
  <si>
    <t>97-971500194</t>
  </si>
  <si>
    <t>97-971500106</t>
  </si>
  <si>
    <t>97-974100039</t>
  </si>
  <si>
    <t>97/03/30</t>
  </si>
  <si>
    <t>97-971500208</t>
  </si>
  <si>
    <t>97-971500261</t>
  </si>
  <si>
    <t>97-971500057</t>
  </si>
  <si>
    <t>97-971500066</t>
  </si>
  <si>
    <t>97-974100036</t>
  </si>
  <si>
    <t>97-974200034</t>
  </si>
  <si>
    <t>97-974200037</t>
  </si>
  <si>
    <t>97/04/02</t>
  </si>
  <si>
    <t>97-971500067</t>
  </si>
  <si>
    <t>97-974200032</t>
  </si>
  <si>
    <t>97-971500128</t>
  </si>
  <si>
    <t>97-971500105</t>
  </si>
  <si>
    <t>97-971500137</t>
  </si>
  <si>
    <t>97-974100032</t>
  </si>
  <si>
    <t>97-974200033</t>
  </si>
  <si>
    <t>97-974100037</t>
  </si>
  <si>
    <t>97-974200039</t>
  </si>
  <si>
    <t>97/04/09</t>
  </si>
  <si>
    <t>97-971500097</t>
  </si>
  <si>
    <t>97-971500192</t>
  </si>
  <si>
    <t>97-974200035</t>
  </si>
  <si>
    <t>97/03/29</t>
  </si>
  <si>
    <t>97-974200036</t>
  </si>
  <si>
    <t>97-971500074</t>
  </si>
  <si>
    <t>96-961500714</t>
  </si>
  <si>
    <t>97-974100038</t>
  </si>
  <si>
    <t>97-974100033</t>
  </si>
  <si>
    <t>97-971500252</t>
  </si>
  <si>
    <t>97-971500115</t>
  </si>
  <si>
    <t>97-971500094</t>
  </si>
  <si>
    <t>97-971500151</t>
  </si>
  <si>
    <t>97-971500126</t>
  </si>
  <si>
    <t>1397558729001</t>
  </si>
  <si>
    <t>1397561078001</t>
  </si>
  <si>
    <t>97-974100040</t>
  </si>
  <si>
    <t>97/04/24</t>
  </si>
  <si>
    <t>1397575283001</t>
  </si>
  <si>
    <t>97-971500289</t>
  </si>
  <si>
    <t>1397562145001</t>
  </si>
  <si>
    <t>96-962500221</t>
  </si>
  <si>
    <t>97-971500120</t>
  </si>
  <si>
    <t>97-974100042</t>
  </si>
  <si>
    <t>97/04/07</t>
  </si>
  <si>
    <t>1397576771001</t>
  </si>
  <si>
    <t>97-974100043</t>
  </si>
  <si>
    <t>97/04/12</t>
  </si>
  <si>
    <t>97-971500119</t>
  </si>
  <si>
    <t>97-972500029</t>
  </si>
  <si>
    <t>1396546034001</t>
  </si>
  <si>
    <t>97-972500004</t>
  </si>
  <si>
    <t>97-974200038</t>
  </si>
  <si>
    <t>1397561058001</t>
  </si>
  <si>
    <t>97-972500034</t>
  </si>
  <si>
    <t>97-972500035</t>
  </si>
  <si>
    <t>97-971500182</t>
  </si>
  <si>
    <t>1397560053001</t>
  </si>
  <si>
    <t>97-971500129</t>
  </si>
  <si>
    <t>1397561062001</t>
  </si>
  <si>
    <t>97-971500255</t>
  </si>
  <si>
    <t>97-971500140</t>
  </si>
  <si>
    <t xml:space="preserve">  JANSONS TRADING FZE</t>
  </si>
  <si>
    <t>1397558728001</t>
  </si>
  <si>
    <t>97-971500263</t>
  </si>
  <si>
    <t>97-971500134</t>
  </si>
  <si>
    <t>1397558720001</t>
  </si>
  <si>
    <t>97-974100041</t>
  </si>
  <si>
    <t>97/04/04</t>
  </si>
  <si>
    <t>1397558719001</t>
  </si>
  <si>
    <t>97-971500130</t>
  </si>
  <si>
    <t>15100-608408</t>
  </si>
  <si>
    <t>97/04/05</t>
  </si>
  <si>
    <t>97-971500257</t>
  </si>
  <si>
    <t>15100-611168</t>
  </si>
  <si>
    <t>97/04/10</t>
  </si>
  <si>
    <t>97-971500280</t>
  </si>
  <si>
    <t>15100-611897</t>
  </si>
  <si>
    <t>97/04/11</t>
  </si>
  <si>
    <t>97-971500152</t>
  </si>
  <si>
    <t>15100-607576</t>
  </si>
  <si>
    <t>97-971500265</t>
  </si>
  <si>
    <t>15100-605928</t>
  </si>
  <si>
    <t>97-971500253</t>
  </si>
  <si>
    <t>1397561081001</t>
  </si>
  <si>
    <t>15100-605883</t>
  </si>
  <si>
    <t>97-971500260</t>
  </si>
  <si>
    <t>15100-606761</t>
  </si>
  <si>
    <t>97/04/03</t>
  </si>
  <si>
    <t>15100-606779</t>
  </si>
  <si>
    <t>97-971500273</t>
  </si>
  <si>
    <t>1397561079001</t>
  </si>
  <si>
    <t>97-971500239</t>
  </si>
  <si>
    <t>1397561061001</t>
  </si>
  <si>
    <t>97-971500212</t>
  </si>
  <si>
    <t>97-971500250</t>
  </si>
  <si>
    <t>97-971500132</t>
  </si>
  <si>
    <t xml:space="preserve">  HERAT GHORBAND CONSTRUCTION COMPANY</t>
  </si>
  <si>
    <t>15100-608324</t>
  </si>
  <si>
    <t>15100-609076</t>
  </si>
  <si>
    <t>97/04/06</t>
  </si>
  <si>
    <t>97-972500027</t>
  </si>
  <si>
    <t>1397558774001</t>
  </si>
  <si>
    <t>15100-609833</t>
  </si>
  <si>
    <t>15100-605886</t>
  </si>
  <si>
    <t>15100-609052</t>
  </si>
  <si>
    <t>15100-610532</t>
  </si>
  <si>
    <t>15100-611036</t>
  </si>
  <si>
    <t>97-971500161</t>
  </si>
  <si>
    <t>1397561056001</t>
  </si>
  <si>
    <t>15100-609851</t>
  </si>
  <si>
    <t>97-971500102</t>
  </si>
  <si>
    <t>15100-610517</t>
  </si>
  <si>
    <t>15100-605919</t>
  </si>
  <si>
    <t>15100-613390</t>
  </si>
  <si>
    <t>97/04/13</t>
  </si>
  <si>
    <t>97-971500259</t>
  </si>
  <si>
    <t>15100-605961</t>
  </si>
  <si>
    <t>97-971500174</t>
  </si>
  <si>
    <t>15100-606869</t>
  </si>
  <si>
    <t>15100-607561</t>
  </si>
  <si>
    <t>97-971500175</t>
  </si>
  <si>
    <t>1397561082001</t>
  </si>
  <si>
    <t>97-971500236</t>
  </si>
  <si>
    <t>97/02/29</t>
  </si>
  <si>
    <t>97-971500136</t>
  </si>
  <si>
    <t>1397561059001</t>
  </si>
  <si>
    <t>15100-593512</t>
  </si>
  <si>
    <t>15100-594440</t>
  </si>
  <si>
    <t>15100-595566</t>
  </si>
  <si>
    <t>97-971500112</t>
  </si>
  <si>
    <t>97-971500197</t>
  </si>
  <si>
    <t>15100-592671</t>
  </si>
  <si>
    <t>15100-595473</t>
  </si>
  <si>
    <t>97-971500157</t>
  </si>
  <si>
    <t>15100-591192</t>
  </si>
  <si>
    <t>15100-603743</t>
  </si>
  <si>
    <t>97-971500240</t>
  </si>
  <si>
    <t>15100-603764</t>
  </si>
  <si>
    <t>97-971500195</t>
  </si>
  <si>
    <t>15100-604480</t>
  </si>
  <si>
    <t>15100-602875</t>
  </si>
  <si>
    <t>97/03/28</t>
  </si>
  <si>
    <t>15100-605177</t>
  </si>
  <si>
    <t>97-971500215</t>
  </si>
  <si>
    <t>97-971500210</t>
  </si>
  <si>
    <t>97-971500216</t>
  </si>
  <si>
    <t>15100-601825</t>
  </si>
  <si>
    <t>15100-603740</t>
  </si>
  <si>
    <t>97-971500247</t>
  </si>
  <si>
    <t>15100-604459</t>
  </si>
  <si>
    <t>15100-601804</t>
  </si>
  <si>
    <t>97-971500248</t>
  </si>
  <si>
    <t>15100-602269</t>
  </si>
  <si>
    <t>15100-602212</t>
  </si>
  <si>
    <t>97-971500211</t>
  </si>
  <si>
    <t>15100-605237</t>
  </si>
  <si>
    <t>97-971500171</t>
  </si>
  <si>
    <t>15100-602912</t>
  </si>
  <si>
    <t>15100-602948</t>
  </si>
  <si>
    <t>97-971500173</t>
  </si>
  <si>
    <t>15100-604504</t>
  </si>
  <si>
    <t>15100-602921</t>
  </si>
  <si>
    <t>97-971500025</t>
  </si>
  <si>
    <t>15100-605216</t>
  </si>
  <si>
    <t>97-971500198</t>
  </si>
  <si>
    <t>15100-602933</t>
  </si>
  <si>
    <t>97-971500154</t>
  </si>
  <si>
    <t>97-971500222</t>
  </si>
  <si>
    <t>97-971500266</t>
  </si>
  <si>
    <t>15100-601191</t>
  </si>
  <si>
    <t>15100-605252</t>
  </si>
  <si>
    <t>97-971500245</t>
  </si>
  <si>
    <t>97-971500209</t>
  </si>
  <si>
    <t>97-971500031</t>
  </si>
  <si>
    <t>97-971500199</t>
  </si>
  <si>
    <t>97-971500231</t>
  </si>
  <si>
    <t>15100-602885</t>
  </si>
  <si>
    <t>97-971500135</t>
  </si>
  <si>
    <t>97-971500144</t>
  </si>
  <si>
    <t>15100-602245</t>
  </si>
  <si>
    <t>15100-603812</t>
  </si>
  <si>
    <t>97-971500251</t>
  </si>
  <si>
    <t>15100-604423</t>
  </si>
  <si>
    <t>97-971500217</t>
  </si>
  <si>
    <t>15100-602863</t>
  </si>
  <si>
    <t>15100-603809</t>
  </si>
  <si>
    <t>15100-603788</t>
  </si>
  <si>
    <t>97-971500205</t>
  </si>
  <si>
    <t>15100-599345</t>
  </si>
  <si>
    <t>15100-597235</t>
  </si>
  <si>
    <t>15100-599376</t>
  </si>
  <si>
    <t>15100-600246</t>
  </si>
  <si>
    <t>15100-601125</t>
  </si>
  <si>
    <t>15100-597337</t>
  </si>
  <si>
    <t>15100-600231</t>
  </si>
  <si>
    <t>15100-599410</t>
  </si>
  <si>
    <t>97-971500254</t>
  </si>
  <si>
    <t>15100-598408</t>
  </si>
  <si>
    <t>15100-598462</t>
  </si>
  <si>
    <t>15100-599677</t>
  </si>
  <si>
    <t>15100-597076</t>
  </si>
  <si>
    <t>15100-599319</t>
  </si>
  <si>
    <t>15100-605075</t>
  </si>
  <si>
    <t>15100-614301</t>
  </si>
  <si>
    <t>97/04/14</t>
  </si>
  <si>
    <t>15100-612804</t>
  </si>
  <si>
    <t>15100-613444</t>
  </si>
  <si>
    <t>15100-614319</t>
  </si>
  <si>
    <t>15100-612687</t>
  </si>
  <si>
    <t>97-971500269</t>
  </si>
  <si>
    <t>97-971500052</t>
  </si>
  <si>
    <t>97-971500036</t>
  </si>
  <si>
    <t>97-971500051</t>
  </si>
  <si>
    <t>97-971500034</t>
  </si>
  <si>
    <t>97-971500219</t>
  </si>
  <si>
    <t>1397562108001</t>
  </si>
  <si>
    <t>97-971500181</t>
  </si>
  <si>
    <t>97-971500149</t>
  </si>
  <si>
    <t>1397560081001</t>
  </si>
  <si>
    <t>97-971500224</t>
  </si>
  <si>
    <t>97-971500242</t>
  </si>
  <si>
    <t>97-971500196</t>
  </si>
  <si>
    <t>97-971500172</t>
  </si>
  <si>
    <t>97-971500048</t>
  </si>
  <si>
    <t>97-971500163</t>
  </si>
  <si>
    <t>97-972500015</t>
  </si>
  <si>
    <t>97-971500159</t>
  </si>
  <si>
    <t>97-971500213</t>
  </si>
  <si>
    <t>97-971500270</t>
  </si>
  <si>
    <t>97-972500020</t>
  </si>
  <si>
    <t>96-961500856</t>
  </si>
  <si>
    <t>96-961500868</t>
  </si>
  <si>
    <t>96-961500902</t>
  </si>
  <si>
    <t>96-961500880</t>
  </si>
  <si>
    <t>96-961500894</t>
  </si>
  <si>
    <t>96-961500837</t>
  </si>
  <si>
    <t>97/05/01</t>
  </si>
  <si>
    <t>97-974200040</t>
  </si>
  <si>
    <t>97/04/19</t>
  </si>
  <si>
    <t>97/05/14</t>
  </si>
  <si>
    <t>97-971500167</t>
  </si>
  <si>
    <t>97-974100045</t>
  </si>
  <si>
    <t>97/04/27</t>
  </si>
  <si>
    <t>97-971500180</t>
  </si>
  <si>
    <t>97-974100044</t>
  </si>
  <si>
    <t>97/04/17</t>
  </si>
  <si>
    <t>97-971500177</t>
  </si>
  <si>
    <t>97-971500168</t>
  </si>
  <si>
    <t>97-971500183</t>
  </si>
  <si>
    <t>97-971500184</t>
  </si>
  <si>
    <t>97-971500150</t>
  </si>
  <si>
    <t>97-972500024</t>
  </si>
  <si>
    <t>97-974200041</t>
  </si>
  <si>
    <t>97/05/13</t>
  </si>
  <si>
    <t>97-972500023</t>
  </si>
  <si>
    <t>97-971500127</t>
  </si>
  <si>
    <t>97-974100046</t>
  </si>
  <si>
    <t>97-971500188</t>
  </si>
  <si>
    <t>97-971500189</t>
  </si>
  <si>
    <t>97-971500061</t>
  </si>
  <si>
    <t>97-971500107</t>
  </si>
  <si>
    <t>97-972500037</t>
  </si>
  <si>
    <t>97-971500148</t>
  </si>
  <si>
    <t>97-971500207</t>
  </si>
  <si>
    <t>97-971500206</t>
  </si>
  <si>
    <t>97-971500145</t>
  </si>
  <si>
    <t>97-971500267</t>
  </si>
  <si>
    <t>97/05/15</t>
  </si>
  <si>
    <t>97-971500292</t>
  </si>
  <si>
    <t>97-971500244</t>
  </si>
  <si>
    <t>97-971500275</t>
  </si>
  <si>
    <t>96-961501051</t>
  </si>
  <si>
    <t>97-971500293</t>
  </si>
  <si>
    <t>97-971500060</t>
  </si>
  <si>
    <t>97-971500246</t>
  </si>
  <si>
    <t>97-971500191</t>
  </si>
  <si>
    <t>97-971500268</t>
  </si>
  <si>
    <t>97-971500301</t>
  </si>
  <si>
    <t>97-971500274</t>
  </si>
  <si>
    <t>97-971500276</t>
  </si>
  <si>
    <t>97-971500235</t>
  </si>
  <si>
    <t>15100-617702</t>
  </si>
  <si>
    <t>97/04/20</t>
  </si>
  <si>
    <t>15100-605114</t>
  </si>
  <si>
    <t>15100-604411</t>
  </si>
  <si>
    <t>15100-598378</t>
  </si>
  <si>
    <t>15100-596197</t>
  </si>
  <si>
    <t>97-971500162</t>
  </si>
  <si>
    <t>15100-612705</t>
  </si>
  <si>
    <t>15100-606791</t>
  </si>
  <si>
    <t>JANSONS TRADING FZE</t>
  </si>
  <si>
    <t>15100-607540</t>
  </si>
  <si>
    <t>15100-614409</t>
  </si>
  <si>
    <t>15100-614241</t>
  </si>
  <si>
    <t>15100-613486</t>
  </si>
  <si>
    <t>15100-605895</t>
  </si>
  <si>
    <t>طبق نامه شماره 12081 واحد محترم بازرگانی  مقدار از 304380 به 279840 تغییر پیدا کرد .</t>
  </si>
  <si>
    <t>15100-635228</t>
  </si>
  <si>
    <t>97/05/29</t>
  </si>
  <si>
    <t>15100-633396</t>
  </si>
  <si>
    <t>97-971500278</t>
  </si>
  <si>
    <t>15100-635213</t>
  </si>
  <si>
    <t>97-971500287</t>
  </si>
  <si>
    <t>1397561055001</t>
  </si>
  <si>
    <t>15100-634298</t>
  </si>
  <si>
    <t>15100-634388</t>
  </si>
  <si>
    <t>15100-632518</t>
  </si>
  <si>
    <t>97/05/11</t>
  </si>
  <si>
    <t>97-971500277</t>
  </si>
  <si>
    <t>15100-633381</t>
  </si>
  <si>
    <t>15100-632542</t>
  </si>
  <si>
    <t>15100-635186</t>
  </si>
  <si>
    <t>97-971500271</t>
  </si>
  <si>
    <t xml:space="preserve"> ترکيه</t>
  </si>
  <si>
    <t>15100-627400</t>
  </si>
  <si>
    <t>97/05/04</t>
  </si>
  <si>
    <t>97-971500230</t>
  </si>
  <si>
    <t>15100-628289</t>
  </si>
  <si>
    <t>97/05/06</t>
  </si>
  <si>
    <t>15100-628145</t>
  </si>
  <si>
    <t>15100-632383</t>
  </si>
  <si>
    <t>15100-632488</t>
  </si>
  <si>
    <t>15100-631404</t>
  </si>
  <si>
    <t>97/05/10</t>
  </si>
  <si>
    <t>97-971500238</t>
  </si>
  <si>
    <t>15100-625676</t>
  </si>
  <si>
    <t>97-971500299</t>
  </si>
  <si>
    <t>1397570122001</t>
  </si>
  <si>
    <t>15100-625639</t>
  </si>
  <si>
    <t>97-971500288</t>
  </si>
  <si>
    <t>15100-628055</t>
  </si>
  <si>
    <t>15100-631569</t>
  </si>
  <si>
    <t>15100-632434</t>
  </si>
  <si>
    <t>15100-628259</t>
  </si>
  <si>
    <t>15100-631467</t>
  </si>
  <si>
    <t>15100-631548</t>
  </si>
  <si>
    <t>15100-626251</t>
  </si>
  <si>
    <t>97/05/02</t>
  </si>
  <si>
    <t>15100-625793</t>
  </si>
  <si>
    <t>15100-626241</t>
  </si>
  <si>
    <t>15100-631524</t>
  </si>
  <si>
    <t>15100-626217</t>
  </si>
  <si>
    <t>15100-626755</t>
  </si>
  <si>
    <t>97/05/03</t>
  </si>
  <si>
    <t>15100-626719</t>
  </si>
  <si>
    <t>15100-633414</t>
  </si>
  <si>
    <t>15100-591930</t>
  </si>
  <si>
    <t>15100-596167</t>
  </si>
  <si>
    <t>97-971500166</t>
  </si>
  <si>
    <t>97-971500178</t>
  </si>
  <si>
    <t>97-971500179</t>
  </si>
  <si>
    <t>15100-624194</t>
  </si>
  <si>
    <t>97/04/30</t>
  </si>
  <si>
    <t>15100-616755</t>
  </si>
  <si>
    <t>15100-625141</t>
  </si>
  <si>
    <t>97/04/31</t>
  </si>
  <si>
    <t>15100-625077</t>
  </si>
  <si>
    <t>15100-628031</t>
  </si>
  <si>
    <t>15100-628787</t>
  </si>
  <si>
    <t>97/05/07</t>
  </si>
  <si>
    <t>15100-627298</t>
  </si>
  <si>
    <t>15100-628199</t>
  </si>
  <si>
    <t>97-971500300</t>
  </si>
  <si>
    <t>97/04/16</t>
  </si>
  <si>
    <t>15100-628187</t>
  </si>
  <si>
    <t>15100-625799</t>
  </si>
  <si>
    <t>15100-628250</t>
  </si>
  <si>
    <t>96-961500963</t>
  </si>
  <si>
    <t>15100-628148</t>
  </si>
  <si>
    <t>15100-629654</t>
  </si>
  <si>
    <t>97/05/08</t>
  </si>
  <si>
    <t>97/06/04</t>
  </si>
  <si>
    <t>غیر قابل استفاده در تسویه حساب</t>
  </si>
  <si>
    <t>97-971500284</t>
  </si>
  <si>
    <t>97-971500160</t>
  </si>
  <si>
    <t>97-971500281</t>
  </si>
  <si>
    <t>97-971500234</t>
  </si>
  <si>
    <t>97-974200042</t>
  </si>
  <si>
    <t>97/05/18</t>
  </si>
  <si>
    <t>97-972500042</t>
  </si>
  <si>
    <t>97-974100050</t>
  </si>
  <si>
    <t>97-971500202</t>
  </si>
  <si>
    <t>97-974100049</t>
  </si>
  <si>
    <t>97-974100048</t>
  </si>
  <si>
    <t>97-971500237</t>
  </si>
  <si>
    <t>97-974100047</t>
  </si>
  <si>
    <t>97-971500298</t>
  </si>
  <si>
    <t>97-971500232</t>
  </si>
  <si>
    <t>15100-641778</t>
  </si>
  <si>
    <t>97/05/24</t>
  </si>
  <si>
    <t>15100-640868</t>
  </si>
  <si>
    <t>97/05/23</t>
  </si>
  <si>
    <t>15100-637612</t>
  </si>
  <si>
    <t>15100-638229</t>
  </si>
  <si>
    <t>97/05/20</t>
  </si>
  <si>
    <t>15100-641751</t>
  </si>
  <si>
    <t>15100-643371</t>
  </si>
  <si>
    <t>97/05/27</t>
  </si>
  <si>
    <t>15100-645269</t>
  </si>
  <si>
    <t>97/05/30</t>
  </si>
  <si>
    <t>15100-636771</t>
  </si>
  <si>
    <t>97/05/17</t>
  </si>
  <si>
    <t>15100-638196</t>
  </si>
  <si>
    <t>15100-639153</t>
  </si>
  <si>
    <t>97/05/21</t>
  </si>
  <si>
    <t>15100-636726</t>
  </si>
  <si>
    <t>15100-637594</t>
  </si>
  <si>
    <t>15100-636819</t>
  </si>
  <si>
    <t>15100-635935</t>
  </si>
  <si>
    <t>97/05/16</t>
  </si>
  <si>
    <t>15100-638193</t>
  </si>
  <si>
    <t>97-971500221</t>
  </si>
  <si>
    <t>15100-635893</t>
  </si>
  <si>
    <t>15100-636780</t>
  </si>
  <si>
    <t>97-971500256</t>
  </si>
  <si>
    <t>97-972500030</t>
  </si>
  <si>
    <t>97-971500227</t>
  </si>
  <si>
    <t>97/02/25</t>
  </si>
  <si>
    <t>97-971500218</t>
  </si>
  <si>
    <t>97/06/11</t>
  </si>
  <si>
    <t>97-971500229</t>
  </si>
  <si>
    <t>97/06/19</t>
  </si>
  <si>
    <t>97-971500226</t>
  </si>
  <si>
    <t>97-972500032</t>
  </si>
  <si>
    <t>97-972500038</t>
  </si>
  <si>
    <t>97-972500031</t>
  </si>
  <si>
    <t>97-971500111</t>
  </si>
  <si>
    <t>97-972500039</t>
  </si>
  <si>
    <t>97-971500264</t>
  </si>
  <si>
    <t>97-971500121</t>
  </si>
  <si>
    <t>97-972500036</t>
  </si>
  <si>
    <t>97-971500283</t>
  </si>
  <si>
    <t>97-971500193</t>
  </si>
  <si>
    <t>97-974100051</t>
  </si>
  <si>
    <t>97/05/28</t>
  </si>
  <si>
    <t>97-971500249</t>
  </si>
  <si>
    <t>97-971500296</t>
  </si>
  <si>
    <t>97-971500241</t>
  </si>
  <si>
    <t>15100-641787</t>
  </si>
  <si>
    <t>15100-644276</t>
  </si>
  <si>
    <t>15100-645305</t>
  </si>
  <si>
    <t>15100-645341</t>
  </si>
  <si>
    <t>15100-644264</t>
  </si>
  <si>
    <t>15100-645227</t>
  </si>
  <si>
    <t>15100-641712</t>
  </si>
  <si>
    <t>97/06/25</t>
  </si>
  <si>
    <t>97-972500043</t>
  </si>
  <si>
    <t>1397585800001</t>
  </si>
  <si>
    <t>97-972500044</t>
  </si>
  <si>
    <t>97-971500272</t>
  </si>
  <si>
    <t>97-974100052</t>
  </si>
  <si>
    <t>97/06/06</t>
  </si>
  <si>
    <t>97-971500285</t>
  </si>
  <si>
    <t>97-972500046</t>
  </si>
  <si>
    <t>97/05/22</t>
  </si>
  <si>
    <t>97-972500045</t>
  </si>
  <si>
    <t>50100-10598006</t>
  </si>
  <si>
    <t>97/06/05</t>
  </si>
  <si>
    <t>97-974100053</t>
  </si>
  <si>
    <t>1397585799001</t>
  </si>
  <si>
    <t>50100-10598279</t>
  </si>
  <si>
    <t>97-974100054</t>
  </si>
  <si>
    <t>97-971500302</t>
  </si>
  <si>
    <t>97-972500033</t>
  </si>
  <si>
    <t>در تسویه لحاظ گردد مقدار 23440 کیلوگرم از مقدار پروانه کسر گردد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</si>
</sst>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-* #,##0.00_-;_-* #,##0.00\-;_-* &quot;-&quot;??_-;_-@_-"/>
    <numFmt numFmtId="164" formatCode="_(* #,##0.00_);_(* \(#,##0.00\);_(* &quot;-&quot;??_);_(@_)"/>
    <numFmt numFmtId="165" formatCode="_-* #,##0_-;_-* #,##0\-;_-* &quot;-&quot;??_-;_-@_-"/>
    <numFmt numFmtId="166" formatCode="_(* #,##0_);_(* \(#,##0\);_(* &quot;-&quot;??_);_(@_)"/>
    <numFmt numFmtId="167" formatCode="_(* #,##0.000_);_(* \(#,##0.000\);_(* &quot;-&quot;??_);_(@_)"/>
    <numFmt numFmtId="168" formatCode="0_ ;\-0\ "/>
  </numFmts>
  <fonts count="46">
    <font>
      <sz val="11"/>
      <color theme="1"/>
      <name val="Arial"/>
      <family val="2"/>
      <charset val="178"/>
      <scheme val="minor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B Lotus"/>
      <family val="2"/>
    </font>
    <font>
      <sz val="11"/>
      <color theme="1"/>
      <name val="Arial"/>
      <family val="2"/>
      <charset val="178"/>
      <scheme val="minor"/>
    </font>
    <font>
      <sz val="12"/>
      <color theme="1"/>
      <name val="B Nazanin"/>
      <charset val="178"/>
    </font>
    <font>
      <sz val="11"/>
      <color theme="1"/>
      <name val="B Lotus"/>
      <family val="2"/>
      <charset val="178"/>
    </font>
    <font>
      <b/>
      <sz val="12"/>
      <color theme="1"/>
      <name val="B Nazanin"/>
      <charset val="178"/>
    </font>
    <font>
      <sz val="11"/>
      <color theme="1"/>
      <name val="B Nazanin"/>
      <charset val="178"/>
    </font>
    <font>
      <sz val="11"/>
      <color rgb="FF006100"/>
      <name val="B Lotus"/>
      <family val="2"/>
    </font>
    <font>
      <sz val="10"/>
      <name val="Arial"/>
      <family val="2"/>
    </font>
    <font>
      <sz val="11"/>
      <color theme="1"/>
      <name val="Calibri"/>
      <family val="2"/>
      <charset val="178"/>
    </font>
    <font>
      <sz val="11"/>
      <color theme="1"/>
      <name val="B Lotus"/>
      <charset val="178"/>
    </font>
    <font>
      <sz val="11"/>
      <color theme="1"/>
      <name val="Arial"/>
      <family val="2"/>
      <scheme val="minor"/>
    </font>
    <font>
      <sz val="11"/>
      <color theme="0"/>
      <name val="B Lotus"/>
      <family val="2"/>
    </font>
    <font>
      <sz val="11"/>
      <color theme="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rgb="FF0000FF"/>
      <name val="زشمه"/>
      <charset val="178"/>
    </font>
    <font>
      <sz val="11"/>
      <color theme="1"/>
      <name val="زشمه"/>
      <charset val="178"/>
    </font>
    <font>
      <b/>
      <sz val="11"/>
      <color rgb="FF0000FF"/>
      <name val="Tahoma"/>
      <family val="2"/>
    </font>
    <font>
      <sz val="11"/>
      <color rgb="FF9C0006"/>
      <name val="B Lotus"/>
      <family val="2"/>
    </font>
    <font>
      <sz val="11"/>
      <color rgb="FF9C6500"/>
      <name val="B Lotus"/>
      <family val="2"/>
    </font>
    <font>
      <b/>
      <sz val="11"/>
      <color theme="1"/>
      <name val="Arial"/>
      <family val="2"/>
      <charset val="178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</borders>
  <cellStyleXfs count="84">
    <xf numFmtId="0" fontId="0" fillId="0" borderId="0"/>
    <xf numFmtId="43" fontId="26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8" fillId="0" borderId="0"/>
    <xf numFmtId="0" fontId="25" fillId="0" borderId="0"/>
    <xf numFmtId="0" fontId="31" fillId="2" borderId="0" applyNumberFormat="0" applyBorder="0" applyAlignment="0" applyProtection="0"/>
    <xf numFmtId="0" fontId="24" fillId="0" borderId="0"/>
    <xf numFmtId="164" fontId="24" fillId="0" borderId="0" applyFont="0" applyFill="0" applyBorder="0" applyAlignment="0" applyProtection="0"/>
    <xf numFmtId="0" fontId="26" fillId="0" borderId="0"/>
    <xf numFmtId="43" fontId="26" fillId="0" borderId="0" applyFont="0" applyFill="0" applyBorder="0" applyAlignment="0" applyProtection="0"/>
    <xf numFmtId="0" fontId="32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3" fontId="26" fillId="0" borderId="0" applyFont="0" applyFill="0" applyBorder="0" applyAlignment="0" applyProtection="0"/>
    <xf numFmtId="0" fontId="26" fillId="0" borderId="0"/>
    <xf numFmtId="0" fontId="26" fillId="0" borderId="0"/>
    <xf numFmtId="0" fontId="32" fillId="0" borderId="0"/>
    <xf numFmtId="0" fontId="23" fillId="0" borderId="0"/>
    <xf numFmtId="164" fontId="23" fillId="0" borderId="0" applyFont="0" applyFill="0" applyBorder="0" applyAlignment="0" applyProtection="0"/>
    <xf numFmtId="0" fontId="26" fillId="0" borderId="0"/>
    <xf numFmtId="43" fontId="26" fillId="0" borderId="0" applyFont="0" applyFill="0" applyBorder="0" applyAlignment="0" applyProtection="0"/>
    <xf numFmtId="164" fontId="23" fillId="0" borderId="0" applyFont="0" applyFill="0" applyBorder="0" applyAlignment="0" applyProtection="0"/>
    <xf numFmtId="0" fontId="23" fillId="0" borderId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164" fontId="22" fillId="0" borderId="0" applyFont="0" applyFill="0" applyBorder="0" applyAlignment="0" applyProtection="0"/>
    <xf numFmtId="0" fontId="21" fillId="0" borderId="0"/>
    <xf numFmtId="164" fontId="21" fillId="0" borderId="0" applyFont="0" applyFill="0" applyBorder="0" applyAlignment="0" applyProtection="0"/>
    <xf numFmtId="0" fontId="20" fillId="5" borderId="0" applyNumberFormat="0" applyBorder="0" applyAlignment="0" applyProtection="0"/>
    <xf numFmtId="0" fontId="19" fillId="0" borderId="0"/>
    <xf numFmtId="0" fontId="18" fillId="0" borderId="0"/>
    <xf numFmtId="43" fontId="26" fillId="0" borderId="0" applyFont="0" applyFill="0" applyBorder="0" applyAlignment="0" applyProtection="0"/>
    <xf numFmtId="0" fontId="36" fillId="7" borderId="0" applyNumberFormat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0" fontId="13" fillId="0" borderId="0"/>
    <xf numFmtId="0" fontId="8" fillId="0" borderId="0"/>
    <xf numFmtId="0" fontId="26" fillId="0" borderId="0"/>
    <xf numFmtId="43" fontId="26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5" fillId="0" borderId="0"/>
    <xf numFmtId="0" fontId="43" fillId="12" borderId="0" applyNumberFormat="0" applyBorder="0" applyAlignment="0" applyProtection="0"/>
    <xf numFmtId="0" fontId="44" fillId="13" borderId="0" applyNumberFormat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203">
    <xf numFmtId="0" fontId="0" fillId="0" borderId="0" xfId="0"/>
    <xf numFmtId="0" fontId="0" fillId="0" borderId="0" xfId="0"/>
    <xf numFmtId="0" fontId="24" fillId="0" borderId="0" xfId="6" applyAlignment="1">
      <alignment horizontal="right"/>
    </xf>
    <xf numFmtId="0" fontId="31" fillId="2" borderId="0" xfId="5" applyAlignment="1">
      <alignment horizontal="right"/>
    </xf>
    <xf numFmtId="0" fontId="24" fillId="3" borderId="0" xfId="6" applyFill="1" applyAlignment="1">
      <alignment horizontal="right"/>
    </xf>
    <xf numFmtId="0" fontId="0" fillId="0" borderId="0" xfId="0" applyFill="1" applyBorder="1"/>
    <xf numFmtId="166" fontId="30" fillId="0" borderId="1" xfId="21" applyNumberFormat="1" applyFont="1" applyFill="1" applyBorder="1"/>
    <xf numFmtId="166" fontId="30" fillId="0" borderId="2" xfId="21" applyNumberFormat="1" applyFont="1" applyFill="1" applyBorder="1"/>
    <xf numFmtId="167" fontId="30" fillId="0" borderId="1" xfId="1" applyNumberFormat="1" applyFont="1" applyFill="1" applyBorder="1" applyAlignment="1">
      <alignment horizontal="center" vertical="center"/>
    </xf>
    <xf numFmtId="0" fontId="29" fillId="0" borderId="1" xfId="0" applyNumberFormat="1" applyFont="1" applyFill="1" applyBorder="1" applyAlignment="1" applyProtection="1">
      <alignment horizontal="center" vertical="center"/>
    </xf>
    <xf numFmtId="0" fontId="29" fillId="0" borderId="1" xfId="0" applyFont="1" applyFill="1" applyBorder="1" applyAlignment="1" applyProtection="1">
      <alignment horizontal="center" vertical="center"/>
    </xf>
    <xf numFmtId="165" fontId="29" fillId="0" borderId="1" xfId="1" applyNumberFormat="1" applyFont="1" applyFill="1" applyBorder="1" applyAlignment="1" applyProtection="1">
      <alignment horizontal="center" vertical="center"/>
    </xf>
    <xf numFmtId="0" fontId="27" fillId="0" borderId="1" xfId="0" applyFont="1" applyFill="1" applyBorder="1" applyAlignment="1" applyProtection="1">
      <alignment horizontal="center" vertical="center"/>
    </xf>
    <xf numFmtId="0" fontId="27" fillId="0" borderId="1" xfId="1" applyNumberFormat="1" applyFont="1" applyFill="1" applyBorder="1" applyAlignment="1" applyProtection="1">
      <alignment horizontal="center" vertical="center"/>
    </xf>
    <xf numFmtId="165" fontId="27" fillId="0" borderId="1" xfId="1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left"/>
    </xf>
    <xf numFmtId="0" fontId="17" fillId="0" borderId="0" xfId="42" applyFont="1" applyAlignment="1">
      <alignment horizontal="left"/>
    </xf>
    <xf numFmtId="0" fontId="0" fillId="0" borderId="0" xfId="0" applyFill="1" applyProtection="1">
      <protection locked="0"/>
    </xf>
    <xf numFmtId="0" fontId="0" fillId="0" borderId="0" xfId="0" applyFill="1" applyProtection="1"/>
    <xf numFmtId="165" fontId="0" fillId="0" borderId="0" xfId="1" applyNumberFormat="1" applyFont="1" applyFill="1" applyProtection="1"/>
    <xf numFmtId="165" fontId="27" fillId="6" borderId="1" xfId="1" applyNumberFormat="1" applyFont="1" applyFill="1" applyBorder="1" applyAlignment="1" applyProtection="1">
      <alignment horizontal="right" vertical="center"/>
    </xf>
    <xf numFmtId="0" fontId="0" fillId="4" borderId="1" xfId="0" applyFill="1" applyBorder="1"/>
    <xf numFmtId="0" fontId="35" fillId="4" borderId="1" xfId="4" applyFont="1" applyFill="1" applyBorder="1"/>
    <xf numFmtId="167" fontId="30" fillId="0" borderId="3" xfId="1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Font="1" applyFill="1" applyBorder="1"/>
    <xf numFmtId="0" fontId="16" fillId="0" borderId="1" xfId="44" applyFont="1" applyFill="1" applyBorder="1"/>
    <xf numFmtId="0" fontId="15" fillId="0" borderId="0" xfId="45"/>
    <xf numFmtId="0" fontId="15" fillId="0" borderId="0" xfId="45" applyAlignment="1">
      <alignment horizontal="left"/>
    </xf>
    <xf numFmtId="0" fontId="30" fillId="0" borderId="1" xfId="42" applyFont="1" applyBorder="1"/>
    <xf numFmtId="0" fontId="37" fillId="0" borderId="0" xfId="0" applyFont="1"/>
    <xf numFmtId="0" fontId="30" fillId="4" borderId="1" xfId="0" applyFont="1" applyFill="1" applyBorder="1"/>
    <xf numFmtId="0" fontId="0" fillId="0" borderId="1" xfId="0" applyNumberFormat="1" applyBorder="1"/>
    <xf numFmtId="0" fontId="0" fillId="0" borderId="1" xfId="0" applyFill="1" applyBorder="1" applyProtection="1">
      <protection locked="0"/>
    </xf>
    <xf numFmtId="0" fontId="14" fillId="0" borderId="1" xfId="42" applyFont="1" applyBorder="1" applyAlignment="1">
      <alignment horizontal="left"/>
    </xf>
    <xf numFmtId="0" fontId="34" fillId="8" borderId="1" xfId="47" applyFont="1" applyFill="1" applyBorder="1" applyAlignment="1">
      <alignment horizontal="right" vertical="center"/>
    </xf>
    <xf numFmtId="0" fontId="34" fillId="8" borderId="1" xfId="47" applyFont="1" applyFill="1" applyBorder="1"/>
    <xf numFmtId="0" fontId="34" fillId="9" borderId="1" xfId="47" applyFont="1" applyFill="1" applyBorder="1"/>
    <xf numFmtId="0" fontId="34" fillId="8" borderId="4" xfId="47" applyFont="1" applyFill="1" applyBorder="1"/>
    <xf numFmtId="0" fontId="27" fillId="0" borderId="1" xfId="0" applyFont="1" applyBorder="1" applyAlignment="1">
      <alignment horizontal="center" vertical="center"/>
    </xf>
    <xf numFmtId="0" fontId="34" fillId="8" borderId="2" xfId="47" applyFont="1" applyFill="1" applyBorder="1"/>
    <xf numFmtId="167" fontId="30" fillId="0" borderId="2" xfId="1" applyNumberFormat="1" applyFont="1" applyFill="1" applyBorder="1" applyAlignment="1">
      <alignment horizontal="center" vertical="center"/>
    </xf>
    <xf numFmtId="0" fontId="30" fillId="4" borderId="1" xfId="1" applyNumberFormat="1" applyFont="1" applyFill="1" applyBorder="1"/>
    <xf numFmtId="0" fontId="12" fillId="4" borderId="1" xfId="20" applyFont="1" applyFill="1" applyBorder="1"/>
    <xf numFmtId="0" fontId="30" fillId="4" borderId="2" xfId="0" applyFont="1" applyFill="1" applyBorder="1"/>
    <xf numFmtId="0" fontId="30" fillId="0" borderId="1" xfId="0" applyFont="1" applyBorder="1"/>
    <xf numFmtId="0" fontId="0" fillId="9" borderId="1" xfId="0" applyFill="1" applyBorder="1"/>
    <xf numFmtId="165" fontId="30" fillId="6" borderId="1" xfId="1" applyNumberFormat="1" applyFont="1" applyFill="1" applyBorder="1"/>
    <xf numFmtId="0" fontId="11" fillId="4" borderId="1" xfId="20" applyFont="1" applyFill="1" applyBorder="1"/>
    <xf numFmtId="165" fontId="30" fillId="10" borderId="1" xfId="1" applyNumberFormat="1" applyFont="1" applyFill="1" applyBorder="1"/>
    <xf numFmtId="0" fontId="30" fillId="0" borderId="1" xfId="0" applyFont="1" applyFill="1" applyBorder="1" applyAlignment="1">
      <alignment horizontal="center"/>
    </xf>
    <xf numFmtId="0" fontId="0" fillId="0" borderId="0" xfId="0" applyFill="1" applyAlignment="1" applyProtection="1">
      <alignment horizontal="center"/>
    </xf>
    <xf numFmtId="0" fontId="30" fillId="0" borderId="1" xfId="0" applyFont="1" applyFill="1" applyBorder="1" applyAlignment="1">
      <alignment vertical="center"/>
    </xf>
    <xf numFmtId="0" fontId="30" fillId="0" borderId="1" xfId="0" applyFont="1" applyFill="1" applyBorder="1"/>
    <xf numFmtId="0" fontId="30" fillId="11" borderId="1" xfId="0" applyFont="1" applyFill="1" applyBorder="1" applyAlignment="1">
      <alignment horizontal="center"/>
    </xf>
    <xf numFmtId="0" fontId="27" fillId="11" borderId="1" xfId="0" applyFont="1" applyFill="1" applyBorder="1" applyAlignment="1" applyProtection="1">
      <alignment horizontal="center" vertical="center"/>
    </xf>
    <xf numFmtId="165" fontId="30" fillId="11" borderId="1" xfId="1" applyNumberFormat="1" applyFont="1" applyFill="1" applyBorder="1"/>
    <xf numFmtId="165" fontId="27" fillId="11" borderId="1" xfId="1" applyNumberFormat="1" applyFont="1" applyFill="1" applyBorder="1" applyAlignment="1" applyProtection="1">
      <alignment horizontal="right" vertical="center"/>
    </xf>
    <xf numFmtId="0" fontId="0" fillId="4" borderId="2" xfId="0" applyFill="1" applyBorder="1"/>
    <xf numFmtId="0" fontId="10" fillId="4" borderId="1" xfId="20" applyFont="1" applyFill="1" applyBorder="1"/>
    <xf numFmtId="0" fontId="30" fillId="0" borderId="1" xfId="2" applyNumberFormat="1" applyFont="1" applyFill="1" applyBorder="1" applyAlignment="1">
      <alignment horizontal="center" vertical="center"/>
    </xf>
    <xf numFmtId="0" fontId="30" fillId="0" borderId="2" xfId="2" applyNumberFormat="1" applyFont="1" applyFill="1" applyBorder="1" applyAlignment="1">
      <alignment horizontal="center" vertical="center"/>
    </xf>
    <xf numFmtId="0" fontId="30" fillId="4" borderId="0" xfId="0" applyFont="1" applyFill="1" applyBorder="1"/>
    <xf numFmtId="0" fontId="9" fillId="4" borderId="1" xfId="20" applyFont="1" applyFill="1" applyBorder="1" applyAlignment="1">
      <alignment vertical="center"/>
    </xf>
    <xf numFmtId="0" fontId="9" fillId="4" borderId="4" xfId="20" applyFont="1" applyFill="1" applyBorder="1" applyAlignment="1">
      <alignment horizontal="center" vertical="center"/>
    </xf>
    <xf numFmtId="0" fontId="29" fillId="0" borderId="1" xfId="0" applyFont="1" applyFill="1" applyBorder="1" applyAlignment="1" applyProtection="1">
      <alignment horizontal="right" vertical="center"/>
    </xf>
    <xf numFmtId="0" fontId="0" fillId="0" borderId="0" xfId="0" applyFill="1" applyAlignment="1" applyProtection="1">
      <alignment horizontal="right"/>
    </xf>
    <xf numFmtId="0" fontId="27" fillId="0" borderId="1" xfId="0" applyFont="1" applyFill="1" applyBorder="1" applyAlignment="1" applyProtection="1">
      <alignment horizontal="right" vertical="center" shrinkToFit="1"/>
    </xf>
    <xf numFmtId="165" fontId="0" fillId="0" borderId="1" xfId="1" applyNumberFormat="1" applyFont="1" applyFill="1" applyBorder="1" applyProtection="1">
      <protection locked="0"/>
    </xf>
    <xf numFmtId="0" fontId="40" fillId="0" borderId="0" xfId="0" applyFont="1"/>
    <xf numFmtId="165" fontId="40" fillId="0" borderId="0" xfId="1" applyNumberFormat="1" applyFont="1"/>
    <xf numFmtId="0" fontId="41" fillId="0" borderId="0" xfId="0" applyFont="1"/>
    <xf numFmtId="165" fontId="41" fillId="0" borderId="0" xfId="1" applyNumberFormat="1" applyFont="1"/>
    <xf numFmtId="0" fontId="40" fillId="0" borderId="0" xfId="0" applyFont="1" applyAlignment="1">
      <alignment horizontal="right"/>
    </xf>
    <xf numFmtId="0" fontId="41" fillId="0" borderId="0" xfId="0" applyFont="1" applyAlignment="1">
      <alignment horizontal="right"/>
    </xf>
    <xf numFmtId="0" fontId="29" fillId="0" borderId="1" xfId="0" applyFont="1" applyFill="1" applyBorder="1" applyAlignment="1" applyProtection="1">
      <alignment horizontal="center" vertical="center"/>
      <protection locked="0"/>
    </xf>
    <xf numFmtId="165" fontId="30" fillId="0" borderId="1" xfId="0" applyNumberFormat="1" applyFont="1" applyFill="1" applyBorder="1"/>
    <xf numFmtId="0" fontId="30" fillId="0" borderId="1" xfId="0" applyFont="1" applyFill="1" applyBorder="1" applyAlignment="1">
      <alignment horizontal="right"/>
    </xf>
    <xf numFmtId="0" fontId="30" fillId="0" borderId="1" xfId="0" applyFont="1" applyFill="1" applyBorder="1" applyAlignment="1">
      <alignment horizontal="right" vertical="center"/>
    </xf>
    <xf numFmtId="0" fontId="30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27" fillId="0" borderId="1" xfId="2" applyNumberFormat="1" applyFont="1" applyFill="1" applyBorder="1" applyAlignment="1">
      <alignment horizontal="center" vertical="center"/>
    </xf>
    <xf numFmtId="168" fontId="30" fillId="0" borderId="1" xfId="2" applyNumberFormat="1" applyFont="1" applyFill="1" applyBorder="1"/>
    <xf numFmtId="0" fontId="30" fillId="8" borderId="1" xfId="0" applyFont="1" applyFill="1" applyBorder="1"/>
    <xf numFmtId="1" fontId="27" fillId="0" borderId="1" xfId="0" applyNumberFormat="1" applyFont="1" applyFill="1" applyBorder="1" applyAlignment="1">
      <alignment horizontal="center" vertical="center"/>
    </xf>
    <xf numFmtId="1" fontId="27" fillId="0" borderId="1" xfId="0" applyNumberFormat="1" applyFont="1" applyFill="1" applyBorder="1" applyAlignment="1" applyProtection="1">
      <alignment horizontal="center" vertical="center"/>
    </xf>
    <xf numFmtId="0" fontId="27" fillId="6" borderId="1" xfId="0" applyFont="1" applyFill="1" applyBorder="1" applyAlignment="1" applyProtection="1">
      <alignment horizontal="center" vertical="center"/>
    </xf>
    <xf numFmtId="0" fontId="30" fillId="0" borderId="1" xfId="0" applyFont="1" applyFill="1" applyBorder="1" applyAlignment="1" applyProtection="1">
      <alignment horizontal="center" vertical="center"/>
    </xf>
    <xf numFmtId="1" fontId="27" fillId="0" borderId="1" xfId="2" applyNumberFormat="1" applyFont="1" applyFill="1" applyBorder="1" applyAlignment="1" applyProtection="1">
      <alignment horizontal="center" vertical="center"/>
    </xf>
    <xf numFmtId="0" fontId="27" fillId="0" borderId="1" xfId="2" applyNumberFormat="1" applyFont="1" applyFill="1" applyBorder="1" applyAlignment="1" applyProtection="1">
      <alignment horizontal="center" vertical="center"/>
    </xf>
    <xf numFmtId="0" fontId="27" fillId="0" borderId="1" xfId="36" applyFont="1" applyFill="1" applyBorder="1" applyAlignment="1" applyProtection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1" xfId="0" applyFont="1" applyFill="1" applyBorder="1" applyProtection="1"/>
    <xf numFmtId="0" fontId="27" fillId="0" borderId="1" xfId="0" applyFont="1" applyFill="1" applyBorder="1" applyAlignment="1" applyProtection="1">
      <alignment horizontal="center"/>
    </xf>
    <xf numFmtId="0" fontId="30" fillId="0" borderId="1" xfId="0" applyFont="1" applyBorder="1" applyAlignment="1">
      <alignment horizontal="center"/>
    </xf>
    <xf numFmtId="0" fontId="30" fillId="0" borderId="1" xfId="0" applyFont="1" applyFill="1" applyBorder="1" applyAlignment="1" applyProtection="1">
      <alignment horizontal="center"/>
    </xf>
    <xf numFmtId="1" fontId="27" fillId="0" borderId="1" xfId="0" applyNumberFormat="1" applyFont="1" applyFill="1" applyBorder="1" applyAlignment="1" applyProtection="1">
      <alignment horizontal="center"/>
    </xf>
    <xf numFmtId="0" fontId="27" fillId="0" borderId="1" xfId="2" applyNumberFormat="1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30" fillId="0" borderId="1" xfId="0" applyFont="1" applyBorder="1" applyAlignment="1">
      <alignment horizontal="right"/>
    </xf>
    <xf numFmtId="3" fontId="0" fillId="0" borderId="1" xfId="0" applyNumberFormat="1" applyFill="1" applyBorder="1"/>
    <xf numFmtId="0" fontId="27" fillId="0" borderId="1" xfId="0" applyFont="1" applyBorder="1" applyAlignment="1">
      <alignment horizontal="center"/>
    </xf>
    <xf numFmtId="0" fontId="27" fillId="0" borderId="1" xfId="0" applyFont="1" applyFill="1" applyBorder="1" applyAlignment="1" applyProtection="1"/>
    <xf numFmtId="0" fontId="27" fillId="0" borderId="1" xfId="0" applyFont="1" applyBorder="1" applyAlignment="1"/>
    <xf numFmtId="0" fontId="27" fillId="0" borderId="4" xfId="0" applyFont="1" applyBorder="1" applyAlignment="1"/>
    <xf numFmtId="0" fontId="27" fillId="0" borderId="4" xfId="0" applyFont="1" applyFill="1" applyBorder="1" applyAlignment="1" applyProtection="1">
      <alignment horizontal="center" vertical="center"/>
    </xf>
    <xf numFmtId="0" fontId="0" fillId="0" borderId="1" xfId="0" applyBorder="1"/>
    <xf numFmtId="0" fontId="27" fillId="0" borderId="4" xfId="0" applyFont="1" applyFill="1" applyBorder="1" applyAlignment="1">
      <alignment horizontal="center" vertical="center"/>
    </xf>
    <xf numFmtId="0" fontId="37" fillId="0" borderId="0" xfId="48" applyFont="1"/>
    <xf numFmtId="0" fontId="42" fillId="0" borderId="0" xfId="48" applyFont="1"/>
    <xf numFmtId="0" fontId="42" fillId="0" borderId="0" xfId="48" applyFont="1"/>
    <xf numFmtId="0" fontId="27" fillId="0" borderId="1" xfId="21" applyFont="1" applyFill="1" applyBorder="1" applyAlignment="1" applyProtection="1">
      <alignment horizontal="center" vertical="center"/>
    </xf>
    <xf numFmtId="0" fontId="30" fillId="0" borderId="1" xfId="21" applyFont="1" applyFill="1" applyBorder="1" applyAlignment="1">
      <alignment horizontal="center"/>
    </xf>
    <xf numFmtId="0" fontId="37" fillId="0" borderId="0" xfId="75" applyFont="1"/>
    <xf numFmtId="0" fontId="42" fillId="0" borderId="0" xfId="75" applyFont="1"/>
    <xf numFmtId="0" fontId="37" fillId="0" borderId="0" xfId="76" applyFont="1"/>
    <xf numFmtId="0" fontId="42" fillId="0" borderId="0" xfId="76" applyFont="1"/>
    <xf numFmtId="0" fontId="30" fillId="0" borderId="1" xfId="78" applyFont="1" applyFill="1" applyBorder="1" applyAlignment="1">
      <alignment horizontal="center" readingOrder="2"/>
    </xf>
    <xf numFmtId="0" fontId="30" fillId="0" borderId="1" xfId="5" applyFont="1" applyFill="1" applyBorder="1" applyAlignment="1">
      <alignment horizontal="center" readingOrder="2"/>
    </xf>
    <xf numFmtId="0" fontId="30" fillId="0" borderId="1" xfId="79" applyFont="1" applyFill="1" applyBorder="1" applyAlignment="1">
      <alignment horizontal="center" readingOrder="2"/>
    </xf>
    <xf numFmtId="0" fontId="30" fillId="0" borderId="1" xfId="0" applyFont="1" applyFill="1" applyBorder="1" applyAlignment="1">
      <alignment horizontal="center" readingOrder="2"/>
    </xf>
    <xf numFmtId="0" fontId="30" fillId="0" borderId="1" xfId="79" applyFont="1" applyFill="1" applyBorder="1" applyAlignment="1">
      <alignment horizontal="center"/>
    </xf>
    <xf numFmtId="1" fontId="40" fillId="0" borderId="0" xfId="1" applyNumberFormat="1" applyFont="1"/>
    <xf numFmtId="1" fontId="41" fillId="0" borderId="0" xfId="1" applyNumberFormat="1" applyFont="1"/>
    <xf numFmtId="1" fontId="41" fillId="0" borderId="0" xfId="0" applyNumberFormat="1" applyFont="1"/>
    <xf numFmtId="0" fontId="35" fillId="6" borderId="1" xfId="0" applyFont="1" applyFill="1" applyBorder="1" applyAlignment="1">
      <alignment horizontal="center" vertical="center"/>
    </xf>
    <xf numFmtId="0" fontId="35" fillId="14" borderId="1" xfId="0" applyFont="1" applyFill="1" applyBorder="1"/>
    <xf numFmtId="0" fontId="35" fillId="14" borderId="1" xfId="0" applyFont="1" applyFill="1" applyBorder="1" applyAlignment="1">
      <alignment horizontal="center"/>
    </xf>
    <xf numFmtId="0" fontId="35" fillId="14" borderId="1" xfId="0" applyFont="1" applyFill="1" applyBorder="1" applyAlignment="1">
      <alignment horizontal="right"/>
    </xf>
    <xf numFmtId="165" fontId="35" fillId="14" borderId="1" xfId="1" applyNumberFormat="1" applyFont="1" applyFill="1" applyBorder="1"/>
    <xf numFmtId="0" fontId="35" fillId="15" borderId="3" xfId="0" applyFont="1" applyFill="1" applyBorder="1"/>
    <xf numFmtId="0" fontId="35" fillId="15" borderId="3" xfId="0" applyFont="1" applyFill="1" applyBorder="1" applyAlignment="1">
      <alignment horizontal="center"/>
    </xf>
    <xf numFmtId="1" fontId="35" fillId="15" borderId="3" xfId="0" applyNumberFormat="1" applyFont="1" applyFill="1" applyBorder="1" applyAlignment="1">
      <alignment horizontal="center" vertical="center"/>
    </xf>
    <xf numFmtId="0" fontId="35" fillId="15" borderId="3" xfId="0" applyFont="1" applyFill="1" applyBorder="1" applyAlignment="1">
      <alignment horizontal="right"/>
    </xf>
    <xf numFmtId="165" fontId="35" fillId="15" borderId="3" xfId="1" applyNumberFormat="1" applyFont="1" applyFill="1" applyBorder="1"/>
    <xf numFmtId="0" fontId="35" fillId="15" borderId="1" xfId="0" applyFont="1" applyFill="1" applyBorder="1"/>
    <xf numFmtId="1" fontId="35" fillId="15" borderId="1" xfId="0" applyNumberFormat="1" applyFont="1" applyFill="1" applyBorder="1" applyAlignment="1">
      <alignment horizontal="center" vertical="center"/>
    </xf>
    <xf numFmtId="0" fontId="35" fillId="15" borderId="1" xfId="0" applyFont="1" applyFill="1" applyBorder="1" applyAlignment="1">
      <alignment horizontal="right"/>
    </xf>
    <xf numFmtId="165" fontId="35" fillId="15" borderId="1" xfId="1" applyNumberFormat="1" applyFont="1" applyFill="1" applyBorder="1"/>
    <xf numFmtId="0" fontId="35" fillId="15" borderId="1" xfId="0" applyFont="1" applyFill="1" applyBorder="1" applyAlignment="1">
      <alignment horizontal="right" vertical="center"/>
    </xf>
    <xf numFmtId="0" fontId="35" fillId="15" borderId="1" xfId="0" applyFont="1" applyFill="1" applyBorder="1" applyAlignment="1">
      <alignment horizontal="center" vertical="center"/>
    </xf>
    <xf numFmtId="165" fontId="35" fillId="15" borderId="1" xfId="1" applyNumberFormat="1" applyFont="1" applyFill="1" applyBorder="1" applyAlignment="1">
      <alignment horizontal="center" vertical="center"/>
    </xf>
    <xf numFmtId="1" fontId="35" fillId="15" borderId="1" xfId="0" applyNumberFormat="1" applyFont="1" applyFill="1" applyBorder="1"/>
    <xf numFmtId="0" fontId="35" fillId="15" borderId="4" xfId="0" applyFont="1" applyFill="1" applyBorder="1"/>
    <xf numFmtId="0" fontId="35" fillId="15" borderId="4" xfId="0" applyFont="1" applyFill="1" applyBorder="1" applyAlignment="1">
      <alignment horizontal="right"/>
    </xf>
    <xf numFmtId="165" fontId="35" fillId="15" borderId="4" xfId="1" applyNumberFormat="1" applyFont="1" applyFill="1" applyBorder="1"/>
    <xf numFmtId="0" fontId="35" fillId="15" borderId="5" xfId="0" applyFont="1" applyFill="1" applyBorder="1"/>
    <xf numFmtId="0" fontId="35" fillId="15" borderId="2" xfId="0" applyFont="1" applyFill="1" applyBorder="1"/>
    <xf numFmtId="0" fontId="35" fillId="15" borderId="2" xfId="0" applyFont="1" applyFill="1" applyBorder="1" applyAlignment="1">
      <alignment horizontal="right"/>
    </xf>
    <xf numFmtId="165" fontId="35" fillId="15" borderId="2" xfId="1" applyNumberFormat="1" applyFont="1" applyFill="1" applyBorder="1"/>
    <xf numFmtId="1" fontId="35" fillId="15" borderId="3" xfId="0" applyNumberFormat="1" applyFont="1" applyFill="1" applyBorder="1"/>
    <xf numFmtId="0" fontId="35" fillId="15" borderId="6" xfId="0" applyFont="1" applyFill="1" applyBorder="1"/>
    <xf numFmtId="0" fontId="35" fillId="15" borderId="3" xfId="0" applyFont="1" applyFill="1" applyBorder="1" applyAlignment="1">
      <alignment horizontal="center" vertical="center"/>
    </xf>
    <xf numFmtId="0" fontId="35" fillId="15" borderId="3" xfId="0" applyFont="1" applyFill="1" applyBorder="1" applyAlignment="1">
      <alignment horizontal="right" vertical="center"/>
    </xf>
    <xf numFmtId="165" fontId="35" fillId="15" borderId="3" xfId="1" applyNumberFormat="1" applyFont="1" applyFill="1" applyBorder="1" applyAlignment="1">
      <alignment horizontal="center" vertical="center"/>
    </xf>
    <xf numFmtId="0" fontId="35" fillId="15" borderId="5" xfId="0" applyFont="1" applyFill="1" applyBorder="1" applyAlignment="1">
      <alignment horizontal="center" vertical="center"/>
    </xf>
    <xf numFmtId="0" fontId="35" fillId="15" borderId="4" xfId="0" applyFont="1" applyFill="1" applyBorder="1" applyAlignment="1">
      <alignment horizontal="center" vertical="center"/>
    </xf>
    <xf numFmtId="0" fontId="35" fillId="15" borderId="4" xfId="0" applyFont="1" applyFill="1" applyBorder="1" applyAlignment="1">
      <alignment horizontal="right" vertical="center"/>
    </xf>
    <xf numFmtId="165" fontId="35" fillId="15" borderId="4" xfId="1" applyNumberFormat="1" applyFont="1" applyFill="1" applyBorder="1" applyAlignment="1">
      <alignment horizontal="center" vertical="center"/>
    </xf>
    <xf numFmtId="0" fontId="35" fillId="15" borderId="0" xfId="0" applyFont="1" applyFill="1"/>
    <xf numFmtId="0" fontId="35" fillId="15" borderId="0" xfId="0" applyFont="1" applyFill="1" applyAlignment="1">
      <alignment horizontal="right"/>
    </xf>
    <xf numFmtId="165" fontId="35" fillId="15" borderId="0" xfId="1" applyNumberFormat="1" applyFont="1" applyFill="1"/>
    <xf numFmtId="0" fontId="35" fillId="15" borderId="0" xfId="0" applyFont="1" applyFill="1" applyAlignment="1">
      <alignment horizontal="center" vertical="center"/>
    </xf>
    <xf numFmtId="0" fontId="35" fillId="15" borderId="0" xfId="0" applyFont="1" applyFill="1" applyAlignment="1">
      <alignment horizontal="right" vertical="center"/>
    </xf>
    <xf numFmtId="165" fontId="35" fillId="15" borderId="0" xfId="1" applyNumberFormat="1" applyFont="1" applyFill="1" applyAlignment="1">
      <alignment horizontal="center" vertical="center"/>
    </xf>
    <xf numFmtId="1" fontId="35" fillId="15" borderId="4" xfId="0" applyNumberFormat="1" applyFont="1" applyFill="1" applyBorder="1"/>
    <xf numFmtId="0" fontId="35" fillId="6" borderId="1" xfId="0" applyFont="1" applyFill="1" applyBorder="1" applyAlignment="1">
      <alignment horizontal="right" vertical="center"/>
    </xf>
    <xf numFmtId="165" fontId="35" fillId="6" borderId="1" xfId="1" applyNumberFormat="1" applyFont="1" applyFill="1" applyBorder="1" applyAlignment="1">
      <alignment horizontal="center" vertical="center"/>
    </xf>
    <xf numFmtId="0" fontId="35" fillId="6" borderId="4" xfId="0" applyFont="1" applyFill="1" applyBorder="1" applyAlignment="1">
      <alignment horizontal="center" vertical="center"/>
    </xf>
    <xf numFmtId="0" fontId="35" fillId="6" borderId="4" xfId="0" applyFont="1" applyFill="1" applyBorder="1" applyAlignment="1">
      <alignment horizontal="right" vertical="center"/>
    </xf>
    <xf numFmtId="165" fontId="35" fillId="6" borderId="4" xfId="1" applyNumberFormat="1" applyFont="1" applyFill="1" applyBorder="1" applyAlignment="1">
      <alignment horizontal="center" vertical="center"/>
    </xf>
    <xf numFmtId="165" fontId="0" fillId="0" borderId="0" xfId="1" applyNumberFormat="1" applyFont="1"/>
    <xf numFmtId="0" fontId="45" fillId="16" borderId="7" xfId="0" applyFont="1" applyFill="1" applyBorder="1"/>
    <xf numFmtId="165" fontId="45" fillId="16" borderId="7" xfId="0" applyNumberFormat="1" applyFont="1" applyFill="1" applyBorder="1"/>
    <xf numFmtId="0" fontId="0" fillId="0" borderId="0" xfId="0" applyAlignment="1">
      <alignment horizontal="right"/>
    </xf>
    <xf numFmtId="165" fontId="0" fillId="0" borderId="0" xfId="0" applyNumberFormat="1"/>
    <xf numFmtId="0" fontId="37" fillId="0" borderId="0" xfId="81" applyFont="1"/>
    <xf numFmtId="0" fontId="42" fillId="0" borderId="0" xfId="81" applyFont="1"/>
    <xf numFmtId="0" fontId="37" fillId="0" borderId="0" xfId="81" applyFont="1"/>
    <xf numFmtId="0" fontId="42" fillId="0" borderId="0" xfId="81" applyFont="1"/>
    <xf numFmtId="0" fontId="37" fillId="0" borderId="0" xfId="38" applyFont="1"/>
    <xf numFmtId="0" fontId="37" fillId="0" borderId="0" xfId="82" applyFont="1"/>
    <xf numFmtId="0" fontId="37" fillId="0" borderId="0" xfId="82" applyFont="1"/>
    <xf numFmtId="0" fontId="37" fillId="0" borderId="0" xfId="83" applyFont="1"/>
    <xf numFmtId="0" fontId="37" fillId="0" borderId="0" xfId="83" applyFont="1"/>
    <xf numFmtId="0" fontId="30" fillId="11" borderId="1" xfId="0" applyFont="1" applyFill="1" applyBorder="1" applyAlignment="1">
      <alignment horizontal="right"/>
    </xf>
    <xf numFmtId="0" fontId="0" fillId="11" borderId="1" xfId="0" applyFill="1" applyBorder="1" applyProtection="1">
      <protection locked="0"/>
    </xf>
    <xf numFmtId="0" fontId="30" fillId="11" borderId="1" xfId="0" applyFont="1" applyFill="1" applyBorder="1"/>
    <xf numFmtId="165" fontId="0" fillId="11" borderId="1" xfId="1" applyNumberFormat="1" applyFont="1" applyFill="1" applyBorder="1" applyProtection="1">
      <protection locked="0"/>
    </xf>
    <xf numFmtId="0" fontId="30" fillId="17" borderId="1" xfId="0" applyFont="1" applyFill="1" applyBorder="1" applyAlignment="1">
      <alignment horizontal="center"/>
    </xf>
    <xf numFmtId="0" fontId="27" fillId="17" borderId="1" xfId="0" applyFont="1" applyFill="1" applyBorder="1" applyAlignment="1" applyProtection="1">
      <alignment horizontal="center" vertical="center"/>
    </xf>
    <xf numFmtId="165" fontId="30" fillId="17" borderId="1" xfId="1" applyNumberFormat="1" applyFont="1" applyFill="1" applyBorder="1"/>
    <xf numFmtId="0" fontId="27" fillId="17" borderId="1" xfId="0" applyFont="1" applyFill="1" applyBorder="1" applyAlignment="1" applyProtection="1">
      <alignment horizontal="right" vertical="center" shrinkToFit="1"/>
    </xf>
    <xf numFmtId="165" fontId="27" fillId="17" borderId="1" xfId="1" applyNumberFormat="1" applyFont="1" applyFill="1" applyBorder="1" applyAlignment="1" applyProtection="1">
      <alignment horizontal="right" vertical="center"/>
    </xf>
    <xf numFmtId="0" fontId="0" fillId="17" borderId="1" xfId="0" applyFill="1" applyBorder="1" applyProtection="1">
      <protection locked="0"/>
    </xf>
    <xf numFmtId="165" fontId="0" fillId="17" borderId="1" xfId="1" applyNumberFormat="1" applyFont="1" applyFill="1" applyBorder="1" applyProtection="1">
      <protection locked="0"/>
    </xf>
    <xf numFmtId="1" fontId="0" fillId="0" borderId="1" xfId="1" applyNumberFormat="1" applyFon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1" fontId="0" fillId="17" borderId="1" xfId="1" applyNumberFormat="1" applyFont="1" applyFill="1" applyBorder="1" applyAlignment="1" applyProtection="1">
      <alignment horizontal="center"/>
      <protection locked="0"/>
    </xf>
    <xf numFmtId="1" fontId="0" fillId="11" borderId="1" xfId="0" applyNumberFormat="1" applyFill="1" applyBorder="1" applyAlignment="1" applyProtection="1">
      <alignment horizontal="center"/>
      <protection locked="0"/>
    </xf>
    <xf numFmtId="1" fontId="0" fillId="0" borderId="0" xfId="1" applyNumberFormat="1" applyFont="1" applyFill="1" applyAlignment="1" applyProtection="1">
      <alignment horizontal="center"/>
      <protection locked="0"/>
    </xf>
    <xf numFmtId="168" fontId="0" fillId="0" borderId="1" xfId="1" applyNumberFormat="1" applyFont="1" applyFill="1" applyBorder="1" applyProtection="1">
      <protection locked="0"/>
    </xf>
  </cellXfs>
  <cellStyles count="84">
    <cellStyle name="20% - Accent6 2" xfId="40"/>
    <cellStyle name="20% - Accent6 2 2" xfId="69"/>
    <cellStyle name="Accent2" xfId="44" builtinId="33"/>
    <cellStyle name="Bad" xfId="78" builtinId="27"/>
    <cellStyle name="Comma" xfId="1" builtinId="3"/>
    <cellStyle name="Comma 10" xfId="50"/>
    <cellStyle name="Comma 2" xfId="2"/>
    <cellStyle name="Comma 2 2" xfId="19"/>
    <cellStyle name="Comma 2 2 2" xfId="43"/>
    <cellStyle name="Comma 2 3" xfId="27"/>
    <cellStyle name="Comma 2 3 2" xfId="56"/>
    <cellStyle name="Comma 3" xfId="9"/>
    <cellStyle name="Comma 3 2" xfId="29"/>
    <cellStyle name="Comma 3 2 2" xfId="58"/>
    <cellStyle name="Comma 4" xfId="7"/>
    <cellStyle name="Comma 4 2" xfId="30"/>
    <cellStyle name="Comma 4 2 2" xfId="59"/>
    <cellStyle name="Comma 4 3" xfId="53"/>
    <cellStyle name="Comma 5" xfId="26"/>
    <cellStyle name="Comma 6" xfId="24"/>
    <cellStyle name="Comma 6 2" xfId="55"/>
    <cellStyle name="Comma 7" xfId="37"/>
    <cellStyle name="Comma 7 2" xfId="66"/>
    <cellStyle name="Comma 8" xfId="39"/>
    <cellStyle name="Comma 8 2" xfId="68"/>
    <cellStyle name="Comma 9" xfId="46"/>
    <cellStyle name="Comma 9 2" xfId="73"/>
    <cellStyle name="Good" xfId="5" builtinId="26"/>
    <cellStyle name="Neutral" xfId="79" builtinId="28"/>
    <cellStyle name="Normal" xfId="0" builtinId="0"/>
    <cellStyle name="Normal 10" xfId="16"/>
    <cellStyle name="Normal 11" xfId="23"/>
    <cellStyle name="Normal 11 2" xfId="54"/>
    <cellStyle name="Normal 12" xfId="36"/>
    <cellStyle name="Normal 12 2" xfId="65"/>
    <cellStyle name="Normal 13" xfId="17"/>
    <cellStyle name="Normal 14" xfId="18"/>
    <cellStyle name="Normal 15" xfId="38"/>
    <cellStyle name="Normal 15 2" xfId="67"/>
    <cellStyle name="Normal 16" xfId="41"/>
    <cellStyle name="Normal 16 2" xfId="70"/>
    <cellStyle name="Normal 17" xfId="45"/>
    <cellStyle name="Normal 17 2" xfId="72"/>
    <cellStyle name="Normal 18" xfId="48"/>
    <cellStyle name="Normal 19" xfId="42"/>
    <cellStyle name="Normal 19 2" xfId="71"/>
    <cellStyle name="Normal 2" xfId="3"/>
    <cellStyle name="Normal 2 2" xfId="21"/>
    <cellStyle name="Normal 2 3" xfId="10"/>
    <cellStyle name="Normal 20" xfId="47"/>
    <cellStyle name="Normal 20 2" xfId="74"/>
    <cellStyle name="Normal 21" xfId="49"/>
    <cellStyle name="Normal 22" xfId="75"/>
    <cellStyle name="Normal 23" xfId="76"/>
    <cellStyle name="Normal 24" xfId="77"/>
    <cellStyle name="Normal 25" xfId="80"/>
    <cellStyle name="Normal 26" xfId="81"/>
    <cellStyle name="Normal 27" xfId="82"/>
    <cellStyle name="Normal 28" xfId="83"/>
    <cellStyle name="Normal 3" xfId="4"/>
    <cellStyle name="Normal 3 2" xfId="20"/>
    <cellStyle name="Normal 3 3" xfId="22"/>
    <cellStyle name="Normal 3 4" xfId="13"/>
    <cellStyle name="Normal 3 5" xfId="28"/>
    <cellStyle name="Normal 3 5 2" xfId="57"/>
    <cellStyle name="Normal 3 6" xfId="51"/>
    <cellStyle name="Normal 4" xfId="12"/>
    <cellStyle name="Normal 4 2" xfId="31"/>
    <cellStyle name="Normal 4 2 2" xfId="60"/>
    <cellStyle name="Normal 5" xfId="8"/>
    <cellStyle name="Normal 5 2" xfId="32"/>
    <cellStyle name="Normal 5 2 2" xfId="61"/>
    <cellStyle name="Normal 6" xfId="6"/>
    <cellStyle name="Normal 6 2" xfId="33"/>
    <cellStyle name="Normal 6 2 2" xfId="62"/>
    <cellStyle name="Normal 6 3" xfId="52"/>
    <cellStyle name="Normal 7" xfId="11"/>
    <cellStyle name="Normal 7 2" xfId="34"/>
    <cellStyle name="Normal 7 2 2" xfId="63"/>
    <cellStyle name="Normal 8" xfId="14"/>
    <cellStyle name="Normal 8 2" xfId="35"/>
    <cellStyle name="Normal 8 2 2" xfId="64"/>
    <cellStyle name="Normal 9" xfId="15"/>
    <cellStyle name="Normal 9 2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>
    <pageSetUpPr fitToPage="1"/>
  </sheetPr>
  <dimension ref="A1:Q6436"/>
  <sheetViews>
    <sheetView rightToLeft="1" tabSelected="1" zoomScaleNormal="100" workbookViewId="0">
      <pane ySplit="1" topLeftCell="A6386" activePane="bottomLeft" state="frozen"/>
      <selection pane="bottomLeft" activeCell="F1" sqref="A1:F6432"/>
    </sheetView>
  </sheetViews>
  <sheetFormatPr defaultColWidth="9" defaultRowHeight="14.25"/>
  <cols>
    <col min="1" max="1" width="15.75" style="51" bestFit="1" customWidth="1"/>
    <col min="2" max="2" width="15" style="51" bestFit="1" customWidth="1"/>
    <col min="3" max="3" width="15.375" style="51" bestFit="1" customWidth="1"/>
    <col min="4" max="4" width="14.875" style="51" bestFit="1" customWidth="1"/>
    <col min="5" max="5" width="14" style="18" bestFit="1" customWidth="1"/>
    <col min="6" max="6" width="12.375" style="19" bestFit="1" customWidth="1"/>
    <col min="7" max="7" width="52.875" style="66" bestFit="1" customWidth="1"/>
    <col min="8" max="8" width="13" style="18" bestFit="1" customWidth="1"/>
    <col min="9" max="9" width="17.375" style="18" bestFit="1" customWidth="1"/>
    <col min="10" max="10" width="7.25" style="17" bestFit="1" customWidth="1"/>
    <col min="11" max="12" width="16.25" style="17" bestFit="1" customWidth="1"/>
    <col min="13" max="13" width="14.375" style="17" bestFit="1" customWidth="1"/>
    <col min="14" max="14" width="26.125" style="17" bestFit="1" customWidth="1"/>
    <col min="15" max="15" width="13.25" style="17" bestFit="1" customWidth="1"/>
    <col min="16" max="16" width="14.125" style="201" bestFit="1" customWidth="1"/>
    <col min="17" max="17" width="70.25" style="17" bestFit="1" customWidth="1"/>
    <col min="18" max="16384" width="9" style="17"/>
  </cols>
  <sheetData>
    <row r="1" spans="1:16" ht="21">
      <c r="A1" s="9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1" t="s">
        <v>5</v>
      </c>
      <c r="G1" s="65" t="s">
        <v>4519</v>
      </c>
      <c r="H1" s="11" t="s">
        <v>5859</v>
      </c>
      <c r="I1" s="11" t="s">
        <v>2457</v>
      </c>
      <c r="J1" s="33" t="s">
        <v>7110</v>
      </c>
      <c r="K1" s="75" t="s">
        <v>5860</v>
      </c>
      <c r="L1" s="75" t="s">
        <v>6048</v>
      </c>
      <c r="M1" s="75" t="s">
        <v>8916</v>
      </c>
      <c r="N1" s="75" t="s">
        <v>6049</v>
      </c>
      <c r="O1" s="75" t="s">
        <v>6050</v>
      </c>
      <c r="P1" s="197" t="s">
        <v>8615</v>
      </c>
    </row>
    <row r="2" spans="1:16" ht="18.75" hidden="1">
      <c r="A2" s="13" t="s">
        <v>2592</v>
      </c>
      <c r="B2" s="12" t="s">
        <v>2612</v>
      </c>
      <c r="C2" s="12" t="s">
        <v>2642</v>
      </c>
      <c r="D2" s="12" t="s">
        <v>2611</v>
      </c>
      <c r="E2" s="12" t="str">
        <f t="shared" ref="E2:E3" si="0">MID(D2,1,2)</f>
        <v>95</v>
      </c>
      <c r="F2" s="14">
        <v>471711</v>
      </c>
      <c r="G2" s="67" t="s">
        <v>5604</v>
      </c>
      <c r="H2" s="14" t="s">
        <v>5601</v>
      </c>
      <c r="I2" s="14" t="s">
        <v>2458</v>
      </c>
      <c r="J2" s="33" t="s">
        <v>7110</v>
      </c>
      <c r="K2" s="68">
        <v>0</v>
      </c>
      <c r="L2" s="68">
        <v>0</v>
      </c>
      <c r="M2" s="68" t="s">
        <v>8915</v>
      </c>
      <c r="N2" s="68">
        <v>0</v>
      </c>
      <c r="O2" s="68">
        <v>0</v>
      </c>
      <c r="P2" s="198" t="s">
        <v>5605</v>
      </c>
    </row>
    <row r="3" spans="1:16" ht="18.75" hidden="1">
      <c r="A3" s="13" t="s">
        <v>2593</v>
      </c>
      <c r="B3" s="12" t="s">
        <v>2612</v>
      </c>
      <c r="C3" s="12" t="s">
        <v>2643</v>
      </c>
      <c r="D3" s="12" t="s">
        <v>2610</v>
      </c>
      <c r="E3" s="12" t="str">
        <f t="shared" si="0"/>
        <v>95</v>
      </c>
      <c r="F3" s="14">
        <v>475716</v>
      </c>
      <c r="G3" s="67" t="s">
        <v>5604</v>
      </c>
      <c r="H3" s="14" t="s">
        <v>5601</v>
      </c>
      <c r="I3" s="14" t="s">
        <v>2458</v>
      </c>
      <c r="J3" s="33" t="s">
        <v>7110</v>
      </c>
      <c r="K3" s="68">
        <v>0</v>
      </c>
      <c r="L3" s="68">
        <v>0</v>
      </c>
      <c r="M3" s="68" t="s">
        <v>8915</v>
      </c>
      <c r="N3" s="68">
        <v>0</v>
      </c>
      <c r="O3" s="68">
        <v>0</v>
      </c>
      <c r="P3" s="198" t="s">
        <v>5605</v>
      </c>
    </row>
    <row r="4" spans="1:16" ht="18.75" hidden="1">
      <c r="A4" s="13" t="s">
        <v>2594</v>
      </c>
      <c r="B4" s="12" t="s">
        <v>2618</v>
      </c>
      <c r="C4" s="12" t="s">
        <v>2646</v>
      </c>
      <c r="D4" s="12" t="s">
        <v>2616</v>
      </c>
      <c r="E4" s="12" t="str">
        <f t="shared" ref="E4:E18" si="1">MID(D4,1,2)</f>
        <v>95</v>
      </c>
      <c r="F4" s="14">
        <v>700000</v>
      </c>
      <c r="G4" s="67" t="s">
        <v>5609</v>
      </c>
      <c r="H4" s="14" t="s">
        <v>5601</v>
      </c>
      <c r="I4" s="14" t="s">
        <v>2458</v>
      </c>
      <c r="J4" s="33" t="s">
        <v>7110</v>
      </c>
      <c r="K4" s="68">
        <v>0</v>
      </c>
      <c r="L4" s="68">
        <v>0</v>
      </c>
      <c r="M4" s="68" t="s">
        <v>8915</v>
      </c>
      <c r="N4" s="68">
        <v>0</v>
      </c>
      <c r="O4" s="68">
        <v>0</v>
      </c>
      <c r="P4" s="198" t="s">
        <v>5610</v>
      </c>
    </row>
    <row r="5" spans="1:16" ht="18.75" hidden="1">
      <c r="A5" s="13" t="s">
        <v>2595</v>
      </c>
      <c r="B5" s="12" t="s">
        <v>2609</v>
      </c>
      <c r="C5" s="12" t="s">
        <v>2647</v>
      </c>
      <c r="D5" s="12" t="s">
        <v>2608</v>
      </c>
      <c r="E5" s="12" t="str">
        <f t="shared" si="1"/>
        <v>95</v>
      </c>
      <c r="F5" s="14">
        <v>997610</v>
      </c>
      <c r="G5" s="67" t="s">
        <v>5604</v>
      </c>
      <c r="H5" s="14" t="s">
        <v>5601</v>
      </c>
      <c r="I5" s="14" t="s">
        <v>2458</v>
      </c>
      <c r="J5" s="33" t="s">
        <v>7110</v>
      </c>
      <c r="K5" s="68">
        <v>0</v>
      </c>
      <c r="L5" s="68">
        <v>0</v>
      </c>
      <c r="M5" s="68" t="s">
        <v>8915</v>
      </c>
      <c r="N5" s="68">
        <v>0</v>
      </c>
      <c r="O5" s="68">
        <v>0</v>
      </c>
      <c r="P5" s="198" t="s">
        <v>5605</v>
      </c>
    </row>
    <row r="6" spans="1:16" ht="18.75" hidden="1">
      <c r="A6" s="13" t="s">
        <v>2596</v>
      </c>
      <c r="B6" s="12" t="s">
        <v>2614</v>
      </c>
      <c r="C6" s="12" t="s">
        <v>2648</v>
      </c>
      <c r="D6" s="12" t="s">
        <v>2615</v>
      </c>
      <c r="E6" s="12" t="str">
        <f t="shared" si="1"/>
        <v>95</v>
      </c>
      <c r="F6" s="14">
        <v>1497000</v>
      </c>
      <c r="G6" s="67" t="s">
        <v>5604</v>
      </c>
      <c r="H6" s="14" t="s">
        <v>5601</v>
      </c>
      <c r="I6" s="14" t="s">
        <v>2458</v>
      </c>
      <c r="J6" s="33" t="s">
        <v>7110</v>
      </c>
      <c r="K6" s="68">
        <v>0</v>
      </c>
      <c r="L6" s="68">
        <v>0</v>
      </c>
      <c r="M6" s="68" t="s">
        <v>8915</v>
      </c>
      <c r="N6" s="68">
        <v>0</v>
      </c>
      <c r="O6" s="68">
        <v>0</v>
      </c>
      <c r="P6" s="198" t="s">
        <v>5605</v>
      </c>
    </row>
    <row r="7" spans="1:16" ht="18.75" hidden="1">
      <c r="A7" s="13" t="s">
        <v>2597</v>
      </c>
      <c r="B7" s="12" t="s">
        <v>2611</v>
      </c>
      <c r="C7" s="12" t="s">
        <v>2649</v>
      </c>
      <c r="D7" s="12" t="s">
        <v>2613</v>
      </c>
      <c r="E7" s="12" t="str">
        <f t="shared" si="1"/>
        <v>95</v>
      </c>
      <c r="F7" s="14">
        <v>37756</v>
      </c>
      <c r="G7" s="67" t="s">
        <v>5604</v>
      </c>
      <c r="H7" s="14" t="s">
        <v>5601</v>
      </c>
      <c r="I7" s="14" t="s">
        <v>2458</v>
      </c>
      <c r="J7" s="33" t="s">
        <v>7110</v>
      </c>
      <c r="K7" s="68">
        <v>0</v>
      </c>
      <c r="L7" s="68">
        <v>0</v>
      </c>
      <c r="M7" s="68" t="s">
        <v>8915</v>
      </c>
      <c r="N7" s="68">
        <v>0</v>
      </c>
      <c r="O7" s="68">
        <v>0</v>
      </c>
      <c r="P7" s="198" t="s">
        <v>5605</v>
      </c>
    </row>
    <row r="8" spans="1:16" ht="18.75" hidden="1">
      <c r="A8" s="13" t="s">
        <v>2598</v>
      </c>
      <c r="B8" s="12" t="s">
        <v>2618</v>
      </c>
      <c r="C8" s="12" t="s">
        <v>2650</v>
      </c>
      <c r="D8" s="12" t="s">
        <v>2614</v>
      </c>
      <c r="E8" s="12" t="str">
        <f t="shared" si="1"/>
        <v>95</v>
      </c>
      <c r="F8" s="14">
        <v>1005590</v>
      </c>
      <c r="G8" s="67" t="s">
        <v>5604</v>
      </c>
      <c r="H8" s="14" t="s">
        <v>5601</v>
      </c>
      <c r="I8" s="14" t="s">
        <v>2458</v>
      </c>
      <c r="J8" s="33" t="s">
        <v>7110</v>
      </c>
      <c r="K8" s="68">
        <v>0</v>
      </c>
      <c r="L8" s="68">
        <v>0</v>
      </c>
      <c r="M8" s="68" t="s">
        <v>8915</v>
      </c>
      <c r="N8" s="68">
        <v>0</v>
      </c>
      <c r="O8" s="68">
        <v>0</v>
      </c>
      <c r="P8" s="198" t="s">
        <v>5605</v>
      </c>
    </row>
    <row r="9" spans="1:16" ht="18.75" hidden="1">
      <c r="A9" s="13" t="s">
        <v>2599</v>
      </c>
      <c r="B9" s="12" t="s">
        <v>2612</v>
      </c>
      <c r="C9" s="12" t="s">
        <v>2651</v>
      </c>
      <c r="D9" s="12" t="s">
        <v>2611</v>
      </c>
      <c r="E9" s="12" t="str">
        <f t="shared" si="1"/>
        <v>95</v>
      </c>
      <c r="F9" s="14">
        <v>2000000</v>
      </c>
      <c r="G9" s="67" t="s">
        <v>5604</v>
      </c>
      <c r="H9" s="14" t="s">
        <v>5601</v>
      </c>
      <c r="I9" s="14" t="s">
        <v>2458</v>
      </c>
      <c r="J9" s="33" t="s">
        <v>7110</v>
      </c>
      <c r="K9" s="68">
        <v>0</v>
      </c>
      <c r="L9" s="68">
        <v>0</v>
      </c>
      <c r="M9" s="68" t="s">
        <v>8915</v>
      </c>
      <c r="N9" s="68">
        <v>0</v>
      </c>
      <c r="O9" s="68">
        <v>0</v>
      </c>
      <c r="P9" s="198" t="s">
        <v>5605</v>
      </c>
    </row>
    <row r="10" spans="1:16" ht="18.75" hidden="1">
      <c r="A10" s="13" t="s">
        <v>2600</v>
      </c>
      <c r="B10" s="12" t="s">
        <v>2612</v>
      </c>
      <c r="C10" s="12" t="s">
        <v>2650</v>
      </c>
      <c r="D10" s="12" t="s">
        <v>2614</v>
      </c>
      <c r="E10" s="12" t="str">
        <f t="shared" si="1"/>
        <v>95</v>
      </c>
      <c r="F10" s="14">
        <v>500020</v>
      </c>
      <c r="G10" s="67" t="s">
        <v>5604</v>
      </c>
      <c r="H10" s="14" t="s">
        <v>5601</v>
      </c>
      <c r="I10" s="14" t="s">
        <v>2458</v>
      </c>
      <c r="J10" s="33" t="s">
        <v>7110</v>
      </c>
      <c r="K10" s="68">
        <v>0</v>
      </c>
      <c r="L10" s="68">
        <v>0</v>
      </c>
      <c r="M10" s="68" t="s">
        <v>8915</v>
      </c>
      <c r="N10" s="68">
        <v>0</v>
      </c>
      <c r="O10" s="68">
        <v>0</v>
      </c>
      <c r="P10" s="198" t="s">
        <v>5605</v>
      </c>
    </row>
    <row r="11" spans="1:16" ht="18.75" hidden="1">
      <c r="A11" s="13" t="s">
        <v>2601</v>
      </c>
      <c r="B11" s="12" t="s">
        <v>2615</v>
      </c>
      <c r="C11" s="12" t="s">
        <v>2656</v>
      </c>
      <c r="D11" s="12" t="s">
        <v>2613</v>
      </c>
      <c r="E11" s="12" t="str">
        <f t="shared" si="1"/>
        <v>95</v>
      </c>
      <c r="F11" s="14">
        <v>2839343</v>
      </c>
      <c r="G11" s="67" t="s">
        <v>5604</v>
      </c>
      <c r="H11" s="14" t="s">
        <v>5601</v>
      </c>
      <c r="I11" s="14" t="s">
        <v>2458</v>
      </c>
      <c r="J11" s="33" t="s">
        <v>7110</v>
      </c>
      <c r="K11" s="68">
        <v>0</v>
      </c>
      <c r="L11" s="68">
        <v>0</v>
      </c>
      <c r="M11" s="68" t="s">
        <v>8915</v>
      </c>
      <c r="N11" s="68">
        <v>0</v>
      </c>
      <c r="O11" s="68">
        <v>0</v>
      </c>
      <c r="P11" s="198" t="s">
        <v>5606</v>
      </c>
    </row>
    <row r="12" spans="1:16" ht="18.75" hidden="1">
      <c r="A12" s="13" t="s">
        <v>2602</v>
      </c>
      <c r="B12" s="12" t="s">
        <v>2614</v>
      </c>
      <c r="C12" s="12" t="s">
        <v>2648</v>
      </c>
      <c r="D12" s="12" t="s">
        <v>2615</v>
      </c>
      <c r="E12" s="12" t="str">
        <f t="shared" si="1"/>
        <v>95</v>
      </c>
      <c r="F12" s="14">
        <v>3000</v>
      </c>
      <c r="G12" s="67" t="s">
        <v>5604</v>
      </c>
      <c r="H12" s="14" t="s">
        <v>5601</v>
      </c>
      <c r="I12" s="14" t="s">
        <v>2458</v>
      </c>
      <c r="J12" s="33" t="s">
        <v>7110</v>
      </c>
      <c r="K12" s="68">
        <v>0</v>
      </c>
      <c r="L12" s="68">
        <v>0</v>
      </c>
      <c r="M12" s="68" t="s">
        <v>8915</v>
      </c>
      <c r="N12" s="68">
        <v>0</v>
      </c>
      <c r="O12" s="68">
        <v>0</v>
      </c>
      <c r="P12" s="198" t="s">
        <v>5605</v>
      </c>
    </row>
    <row r="13" spans="1:16" ht="18.75" hidden="1">
      <c r="A13" s="13" t="s">
        <v>2603</v>
      </c>
      <c r="B13" s="12" t="s">
        <v>2617</v>
      </c>
      <c r="C13" s="12" t="s">
        <v>2649</v>
      </c>
      <c r="D13" s="12" t="s">
        <v>2613</v>
      </c>
      <c r="E13" s="12" t="str">
        <f t="shared" si="1"/>
        <v>95</v>
      </c>
      <c r="F13" s="14">
        <v>962244</v>
      </c>
      <c r="G13" s="67" t="s">
        <v>5604</v>
      </c>
      <c r="H13" s="14" t="s">
        <v>5601</v>
      </c>
      <c r="I13" s="14" t="s">
        <v>2458</v>
      </c>
      <c r="J13" s="33" t="s">
        <v>7110</v>
      </c>
      <c r="K13" s="68">
        <v>0</v>
      </c>
      <c r="L13" s="68">
        <v>0</v>
      </c>
      <c r="M13" s="68" t="s">
        <v>8915</v>
      </c>
      <c r="N13" s="68">
        <v>0</v>
      </c>
      <c r="O13" s="68">
        <v>0</v>
      </c>
      <c r="P13" s="198" t="s">
        <v>5605</v>
      </c>
    </row>
    <row r="14" spans="1:16" ht="18.75" hidden="1">
      <c r="A14" s="13" t="s">
        <v>2604</v>
      </c>
      <c r="B14" s="12" t="s">
        <v>2619</v>
      </c>
      <c r="C14" s="12" t="s">
        <v>2660</v>
      </c>
      <c r="D14" s="12" t="s">
        <v>2611</v>
      </c>
      <c r="E14" s="12" t="str">
        <f t="shared" si="1"/>
        <v>95</v>
      </c>
      <c r="F14" s="14">
        <v>493980</v>
      </c>
      <c r="G14" s="67" t="s">
        <v>5604</v>
      </c>
      <c r="H14" s="14" t="s">
        <v>5601</v>
      </c>
      <c r="I14" s="14" t="s">
        <v>2458</v>
      </c>
      <c r="J14" s="33" t="s">
        <v>7110</v>
      </c>
      <c r="K14" s="68">
        <v>0</v>
      </c>
      <c r="L14" s="68">
        <v>0</v>
      </c>
      <c r="M14" s="68" t="s">
        <v>8915</v>
      </c>
      <c r="N14" s="68">
        <v>0</v>
      </c>
      <c r="O14" s="68">
        <v>0</v>
      </c>
      <c r="P14" s="198" t="s">
        <v>5605</v>
      </c>
    </row>
    <row r="15" spans="1:16" ht="18.75" hidden="1">
      <c r="A15" s="13" t="s">
        <v>2605</v>
      </c>
      <c r="B15" s="12" t="s">
        <v>2612</v>
      </c>
      <c r="C15" s="12" t="s">
        <v>2661</v>
      </c>
      <c r="D15" s="12" t="s">
        <v>2615</v>
      </c>
      <c r="E15" s="12" t="str">
        <f t="shared" si="1"/>
        <v>95</v>
      </c>
      <c r="F15" s="14">
        <v>88970</v>
      </c>
      <c r="G15" s="67" t="s">
        <v>5607</v>
      </c>
      <c r="H15" s="14" t="s">
        <v>5601</v>
      </c>
      <c r="I15" s="14" t="s">
        <v>2458</v>
      </c>
      <c r="J15" s="33" t="s">
        <v>7110</v>
      </c>
      <c r="K15" s="68">
        <v>0</v>
      </c>
      <c r="L15" s="68">
        <v>0</v>
      </c>
      <c r="M15" s="68" t="s">
        <v>8915</v>
      </c>
      <c r="N15" s="68">
        <v>0</v>
      </c>
      <c r="O15" s="68">
        <v>0</v>
      </c>
      <c r="P15" s="198" t="s">
        <v>5608</v>
      </c>
    </row>
    <row r="16" spans="1:16" ht="18.75" hidden="1">
      <c r="A16" s="13" t="s">
        <v>2605</v>
      </c>
      <c r="B16" s="12" t="s">
        <v>2612</v>
      </c>
      <c r="C16" s="12" t="s">
        <v>2662</v>
      </c>
      <c r="D16" s="12" t="s">
        <v>2610</v>
      </c>
      <c r="E16" s="12" t="str">
        <f t="shared" si="1"/>
        <v>95</v>
      </c>
      <c r="F16" s="14">
        <v>208380</v>
      </c>
      <c r="G16" s="67" t="s">
        <v>5607</v>
      </c>
      <c r="H16" s="14" t="s">
        <v>5601</v>
      </c>
      <c r="I16" s="14" t="s">
        <v>2458</v>
      </c>
      <c r="J16" s="33" t="s">
        <v>7110</v>
      </c>
      <c r="K16" s="68">
        <v>0</v>
      </c>
      <c r="L16" s="68">
        <v>0</v>
      </c>
      <c r="M16" s="68" t="s">
        <v>8915</v>
      </c>
      <c r="N16" s="68">
        <v>0</v>
      </c>
      <c r="O16" s="68">
        <v>0</v>
      </c>
      <c r="P16" s="198" t="s">
        <v>5608</v>
      </c>
    </row>
    <row r="17" spans="1:16" ht="18.75" hidden="1">
      <c r="A17" s="13" t="s">
        <v>2606</v>
      </c>
      <c r="B17" s="12" t="s">
        <v>2612</v>
      </c>
      <c r="C17" s="12" t="s">
        <v>2661</v>
      </c>
      <c r="D17" s="12" t="s">
        <v>2615</v>
      </c>
      <c r="E17" s="12" t="str">
        <f t="shared" si="1"/>
        <v>95</v>
      </c>
      <c r="F17" s="14">
        <v>493842</v>
      </c>
      <c r="G17" s="67" t="s">
        <v>5607</v>
      </c>
      <c r="H17" s="14" t="s">
        <v>5601</v>
      </c>
      <c r="I17" s="14" t="s">
        <v>2458</v>
      </c>
      <c r="J17" s="33" t="s">
        <v>7110</v>
      </c>
      <c r="K17" s="68">
        <v>0</v>
      </c>
      <c r="L17" s="68">
        <v>0</v>
      </c>
      <c r="M17" s="68" t="s">
        <v>8915</v>
      </c>
      <c r="N17" s="68">
        <v>0</v>
      </c>
      <c r="O17" s="68">
        <v>0</v>
      </c>
      <c r="P17" s="198" t="s">
        <v>5608</v>
      </c>
    </row>
    <row r="18" spans="1:16" ht="18.75" hidden="1">
      <c r="A18" s="13" t="s">
        <v>2607</v>
      </c>
      <c r="B18" s="12" t="s">
        <v>2612</v>
      </c>
      <c r="C18" s="12" t="s">
        <v>2662</v>
      </c>
      <c r="D18" s="12" t="s">
        <v>2610</v>
      </c>
      <c r="E18" s="12" t="str">
        <f t="shared" si="1"/>
        <v>95</v>
      </c>
      <c r="F18" s="14">
        <v>791620</v>
      </c>
      <c r="G18" s="67" t="s">
        <v>5607</v>
      </c>
      <c r="H18" s="14" t="s">
        <v>5601</v>
      </c>
      <c r="I18" s="14" t="s">
        <v>2458</v>
      </c>
      <c r="J18" s="33" t="s">
        <v>7110</v>
      </c>
      <c r="K18" s="68">
        <v>0</v>
      </c>
      <c r="L18" s="68">
        <v>0</v>
      </c>
      <c r="M18" s="68" t="s">
        <v>8915</v>
      </c>
      <c r="N18" s="68">
        <v>0</v>
      </c>
      <c r="O18" s="68">
        <v>0</v>
      </c>
      <c r="P18" s="198" t="s">
        <v>5608</v>
      </c>
    </row>
    <row r="19" spans="1:16" ht="18.75" hidden="1">
      <c r="A19" s="13" t="s">
        <v>2684</v>
      </c>
      <c r="B19" s="12" t="s">
        <v>2752</v>
      </c>
      <c r="C19" s="12" t="s">
        <v>2766</v>
      </c>
      <c r="D19" s="12" t="s">
        <v>2609</v>
      </c>
      <c r="E19" s="12" t="str">
        <f t="shared" ref="E19:E20" si="2">MID(D19,1,2)</f>
        <v>95</v>
      </c>
      <c r="F19" s="14">
        <v>102740</v>
      </c>
      <c r="G19" s="67" t="s">
        <v>5609</v>
      </c>
      <c r="H19" s="14" t="s">
        <v>5601</v>
      </c>
      <c r="I19" s="14" t="s">
        <v>2458</v>
      </c>
      <c r="J19" s="33" t="s">
        <v>7110</v>
      </c>
      <c r="K19" s="68">
        <v>0</v>
      </c>
      <c r="L19" s="68">
        <v>0</v>
      </c>
      <c r="M19" s="68" t="s">
        <v>8915</v>
      </c>
      <c r="N19" s="68">
        <v>0</v>
      </c>
      <c r="O19" s="68">
        <v>0</v>
      </c>
      <c r="P19" s="198" t="s">
        <v>5614</v>
      </c>
    </row>
    <row r="20" spans="1:16" ht="18.75" hidden="1">
      <c r="A20" s="13" t="s">
        <v>2683</v>
      </c>
      <c r="B20" s="12" t="s">
        <v>2749</v>
      </c>
      <c r="C20" s="12" t="s">
        <v>2769</v>
      </c>
      <c r="D20" s="12" t="s">
        <v>2616</v>
      </c>
      <c r="E20" s="12" t="str">
        <f t="shared" si="2"/>
        <v>95</v>
      </c>
      <c r="F20" s="14">
        <v>75100</v>
      </c>
      <c r="G20" s="67" t="s">
        <v>5609</v>
      </c>
      <c r="H20" s="14" t="s">
        <v>5601</v>
      </c>
      <c r="I20" s="14" t="s">
        <v>2458</v>
      </c>
      <c r="J20" s="33" t="s">
        <v>7110</v>
      </c>
      <c r="K20" s="68">
        <v>0</v>
      </c>
      <c r="L20" s="68">
        <v>0</v>
      </c>
      <c r="M20" s="68" t="s">
        <v>8915</v>
      </c>
      <c r="N20" s="68">
        <v>0</v>
      </c>
      <c r="O20" s="68">
        <v>0</v>
      </c>
      <c r="P20" s="198" t="s">
        <v>5610</v>
      </c>
    </row>
    <row r="21" spans="1:16" ht="18.75" hidden="1">
      <c r="A21" s="13" t="s">
        <v>2685</v>
      </c>
      <c r="B21" s="12" t="s">
        <v>2619</v>
      </c>
      <c r="C21" s="12" t="s">
        <v>2769</v>
      </c>
      <c r="D21" s="12" t="s">
        <v>2616</v>
      </c>
      <c r="E21" s="12" t="str">
        <f t="shared" ref="E21:E40" si="3">MID(D21,1,2)</f>
        <v>95</v>
      </c>
      <c r="F21" s="14">
        <v>172730</v>
      </c>
      <c r="G21" s="67" t="s">
        <v>5609</v>
      </c>
      <c r="H21" s="14" t="s">
        <v>5601</v>
      </c>
      <c r="I21" s="14" t="s">
        <v>2458</v>
      </c>
      <c r="J21" s="33" t="s">
        <v>7110</v>
      </c>
      <c r="K21" s="68">
        <v>0</v>
      </c>
      <c r="L21" s="68">
        <v>0</v>
      </c>
      <c r="M21" s="68" t="s">
        <v>8915</v>
      </c>
      <c r="N21" s="68">
        <v>0</v>
      </c>
      <c r="O21" s="68">
        <v>0</v>
      </c>
      <c r="P21" s="198" t="s">
        <v>5610</v>
      </c>
    </row>
    <row r="22" spans="1:16" ht="18.75" hidden="1">
      <c r="A22" s="13" t="s">
        <v>2686</v>
      </c>
      <c r="B22" s="12" t="s">
        <v>2618</v>
      </c>
      <c r="C22" s="12" t="s">
        <v>2769</v>
      </c>
      <c r="D22" s="12" t="s">
        <v>2616</v>
      </c>
      <c r="E22" s="12" t="str">
        <f t="shared" si="3"/>
        <v>95</v>
      </c>
      <c r="F22" s="14">
        <v>25100</v>
      </c>
      <c r="G22" s="67" t="s">
        <v>5609</v>
      </c>
      <c r="H22" s="14" t="s">
        <v>5601</v>
      </c>
      <c r="I22" s="14" t="s">
        <v>2458</v>
      </c>
      <c r="J22" s="33" t="s">
        <v>7110</v>
      </c>
      <c r="K22" s="68">
        <v>0</v>
      </c>
      <c r="L22" s="68">
        <v>0</v>
      </c>
      <c r="M22" s="68" t="s">
        <v>8915</v>
      </c>
      <c r="N22" s="68">
        <v>0</v>
      </c>
      <c r="O22" s="68">
        <v>0</v>
      </c>
      <c r="P22" s="198" t="s">
        <v>5610</v>
      </c>
    </row>
    <row r="23" spans="1:16" ht="18.75" hidden="1">
      <c r="A23" s="13" t="s">
        <v>2686</v>
      </c>
      <c r="B23" s="12" t="s">
        <v>2618</v>
      </c>
      <c r="C23" s="12" t="s">
        <v>2773</v>
      </c>
      <c r="D23" s="12" t="s">
        <v>2614</v>
      </c>
      <c r="E23" s="12" t="str">
        <f t="shared" si="3"/>
        <v>95</v>
      </c>
      <c r="F23" s="14">
        <v>48740</v>
      </c>
      <c r="G23" s="67" t="s">
        <v>5604</v>
      </c>
      <c r="H23" s="14" t="s">
        <v>5601</v>
      </c>
      <c r="I23" s="14" t="s">
        <v>2458</v>
      </c>
      <c r="J23" s="33" t="s">
        <v>7110</v>
      </c>
      <c r="K23" s="68">
        <v>0</v>
      </c>
      <c r="L23" s="68">
        <v>0</v>
      </c>
      <c r="M23" s="68" t="s">
        <v>8915</v>
      </c>
      <c r="N23" s="68">
        <v>0</v>
      </c>
      <c r="O23" s="68">
        <v>0</v>
      </c>
      <c r="P23" s="198" t="s">
        <v>5605</v>
      </c>
    </row>
    <row r="24" spans="1:16" ht="18.75" hidden="1">
      <c r="A24" s="13" t="s">
        <v>2687</v>
      </c>
      <c r="B24" s="12" t="s">
        <v>2754</v>
      </c>
      <c r="C24" s="12" t="s">
        <v>2769</v>
      </c>
      <c r="D24" s="12" t="s">
        <v>2616</v>
      </c>
      <c r="E24" s="12" t="str">
        <f t="shared" si="3"/>
        <v>95</v>
      </c>
      <c r="F24" s="14">
        <v>50290</v>
      </c>
      <c r="G24" s="67" t="s">
        <v>5609</v>
      </c>
      <c r="H24" s="14" t="s">
        <v>5601</v>
      </c>
      <c r="I24" s="14" t="s">
        <v>2458</v>
      </c>
      <c r="J24" s="33" t="s">
        <v>7110</v>
      </c>
      <c r="K24" s="68">
        <v>0</v>
      </c>
      <c r="L24" s="68">
        <v>0</v>
      </c>
      <c r="M24" s="68" t="s">
        <v>8915</v>
      </c>
      <c r="N24" s="68">
        <v>0</v>
      </c>
      <c r="O24" s="68">
        <v>0</v>
      </c>
      <c r="P24" s="198" t="s">
        <v>5610</v>
      </c>
    </row>
    <row r="25" spans="1:16" ht="18.75" hidden="1">
      <c r="A25" s="13" t="s">
        <v>2687</v>
      </c>
      <c r="B25" s="12" t="s">
        <v>2754</v>
      </c>
      <c r="C25" s="12" t="s">
        <v>2773</v>
      </c>
      <c r="D25" s="12" t="s">
        <v>2614</v>
      </c>
      <c r="E25" s="12" t="str">
        <f t="shared" si="3"/>
        <v>95</v>
      </c>
      <c r="F25" s="14">
        <v>25690</v>
      </c>
      <c r="G25" s="67" t="s">
        <v>5604</v>
      </c>
      <c r="H25" s="14" t="s">
        <v>5601</v>
      </c>
      <c r="I25" s="14" t="s">
        <v>2458</v>
      </c>
      <c r="J25" s="33" t="s">
        <v>7110</v>
      </c>
      <c r="K25" s="68">
        <v>0</v>
      </c>
      <c r="L25" s="68">
        <v>0</v>
      </c>
      <c r="M25" s="68" t="s">
        <v>8915</v>
      </c>
      <c r="N25" s="68">
        <v>0</v>
      </c>
      <c r="O25" s="68">
        <v>0</v>
      </c>
      <c r="P25" s="198" t="s">
        <v>5605</v>
      </c>
    </row>
    <row r="26" spans="1:16" ht="18.75" hidden="1">
      <c r="A26" s="13" t="s">
        <v>2688</v>
      </c>
      <c r="B26" s="12" t="s">
        <v>2609</v>
      </c>
      <c r="C26" s="12" t="s">
        <v>2769</v>
      </c>
      <c r="D26" s="12" t="s">
        <v>2616</v>
      </c>
      <c r="E26" s="12" t="str">
        <f t="shared" si="3"/>
        <v>95</v>
      </c>
      <c r="F26" s="14">
        <v>151210</v>
      </c>
      <c r="G26" s="67" t="s">
        <v>5609</v>
      </c>
      <c r="H26" s="14" t="s">
        <v>5601</v>
      </c>
      <c r="I26" s="14" t="s">
        <v>2458</v>
      </c>
      <c r="J26" s="33" t="s">
        <v>7110</v>
      </c>
      <c r="K26" s="68">
        <v>0</v>
      </c>
      <c r="L26" s="68">
        <v>0</v>
      </c>
      <c r="M26" s="68" t="s">
        <v>8915</v>
      </c>
      <c r="N26" s="68">
        <v>0</v>
      </c>
      <c r="O26" s="68">
        <v>0</v>
      </c>
      <c r="P26" s="198" t="s">
        <v>5610</v>
      </c>
    </row>
    <row r="27" spans="1:16" ht="18.75" hidden="1">
      <c r="A27" s="13" t="s">
        <v>2689</v>
      </c>
      <c r="B27" s="12" t="s">
        <v>2750</v>
      </c>
      <c r="C27" s="12" t="s">
        <v>2769</v>
      </c>
      <c r="D27" s="12" t="s">
        <v>2616</v>
      </c>
      <c r="E27" s="12" t="str">
        <f t="shared" si="3"/>
        <v>95</v>
      </c>
      <c r="F27" s="14">
        <v>25290</v>
      </c>
      <c r="G27" s="67" t="s">
        <v>5609</v>
      </c>
      <c r="H27" s="14" t="s">
        <v>5601</v>
      </c>
      <c r="I27" s="14" t="s">
        <v>2458</v>
      </c>
      <c r="J27" s="33" t="s">
        <v>7110</v>
      </c>
      <c r="K27" s="68">
        <v>0</v>
      </c>
      <c r="L27" s="68">
        <v>0</v>
      </c>
      <c r="M27" s="68" t="s">
        <v>8915</v>
      </c>
      <c r="N27" s="68">
        <v>0</v>
      </c>
      <c r="O27" s="68">
        <v>0</v>
      </c>
      <c r="P27" s="198" t="s">
        <v>5610</v>
      </c>
    </row>
    <row r="28" spans="1:16" ht="18.75" hidden="1">
      <c r="A28" s="13" t="s">
        <v>2690</v>
      </c>
      <c r="B28" s="12" t="s">
        <v>2749</v>
      </c>
      <c r="C28" s="12" t="s">
        <v>2650</v>
      </c>
      <c r="D28" s="12" t="s">
        <v>2614</v>
      </c>
      <c r="E28" s="12" t="str">
        <f t="shared" si="3"/>
        <v>95</v>
      </c>
      <c r="F28" s="14">
        <v>159138</v>
      </c>
      <c r="G28" s="67" t="s">
        <v>5604</v>
      </c>
      <c r="H28" s="14" t="s">
        <v>5601</v>
      </c>
      <c r="I28" s="14" t="s">
        <v>2458</v>
      </c>
      <c r="J28" s="33" t="s">
        <v>7110</v>
      </c>
      <c r="K28" s="68">
        <v>0</v>
      </c>
      <c r="L28" s="68">
        <v>0</v>
      </c>
      <c r="M28" s="68" t="s">
        <v>8915</v>
      </c>
      <c r="N28" s="68">
        <v>0</v>
      </c>
      <c r="O28" s="68">
        <v>0</v>
      </c>
      <c r="P28" s="198" t="s">
        <v>5605</v>
      </c>
    </row>
    <row r="29" spans="1:16" ht="18.75" hidden="1">
      <c r="A29" s="13" t="s">
        <v>2691</v>
      </c>
      <c r="B29" s="12" t="s">
        <v>2755</v>
      </c>
      <c r="C29" s="12" t="s">
        <v>2778</v>
      </c>
      <c r="D29" s="12" t="s">
        <v>2617</v>
      </c>
      <c r="E29" s="12" t="str">
        <f t="shared" si="3"/>
        <v>95</v>
      </c>
      <c r="F29" s="14">
        <v>123195</v>
      </c>
      <c r="G29" s="67" t="s">
        <v>5607</v>
      </c>
      <c r="H29" s="14" t="s">
        <v>5601</v>
      </c>
      <c r="I29" s="14" t="s">
        <v>2458</v>
      </c>
      <c r="J29" s="33" t="s">
        <v>7110</v>
      </c>
      <c r="K29" s="68">
        <v>0</v>
      </c>
      <c r="L29" s="68">
        <v>0</v>
      </c>
      <c r="M29" s="68" t="s">
        <v>8915</v>
      </c>
      <c r="N29" s="68">
        <v>0</v>
      </c>
      <c r="O29" s="68">
        <v>0</v>
      </c>
      <c r="P29" s="198" t="s">
        <v>5608</v>
      </c>
    </row>
    <row r="30" spans="1:16" ht="18.75" hidden="1">
      <c r="A30" s="13" t="s">
        <v>2693</v>
      </c>
      <c r="B30" s="12" t="s">
        <v>2753</v>
      </c>
      <c r="C30" s="12" t="s">
        <v>2779</v>
      </c>
      <c r="D30" s="12" t="s">
        <v>2754</v>
      </c>
      <c r="E30" s="12" t="str">
        <f t="shared" si="3"/>
        <v>95</v>
      </c>
      <c r="F30" s="14">
        <v>500000</v>
      </c>
      <c r="G30" s="67" t="s">
        <v>5607</v>
      </c>
      <c r="H30" s="14" t="s">
        <v>5601</v>
      </c>
      <c r="I30" s="14" t="s">
        <v>2458</v>
      </c>
      <c r="J30" s="33" t="s">
        <v>7110</v>
      </c>
      <c r="K30" s="68">
        <v>0</v>
      </c>
      <c r="L30" s="68">
        <v>0</v>
      </c>
      <c r="M30" s="68" t="s">
        <v>8915</v>
      </c>
      <c r="N30" s="68">
        <v>0</v>
      </c>
      <c r="O30" s="68">
        <v>0</v>
      </c>
      <c r="P30" s="198" t="s">
        <v>5608</v>
      </c>
    </row>
    <row r="31" spans="1:16" ht="18.75" hidden="1">
      <c r="A31" s="13" t="s">
        <v>2693</v>
      </c>
      <c r="B31" s="12" t="s">
        <v>2753</v>
      </c>
      <c r="C31" s="12" t="s">
        <v>2781</v>
      </c>
      <c r="D31" s="12" t="s">
        <v>2754</v>
      </c>
      <c r="E31" s="12" t="str">
        <f t="shared" si="3"/>
        <v>95</v>
      </c>
      <c r="F31" s="14">
        <v>476800</v>
      </c>
      <c r="G31" s="67" t="s">
        <v>5607</v>
      </c>
      <c r="H31" s="14" t="s">
        <v>5601</v>
      </c>
      <c r="I31" s="14" t="s">
        <v>2458</v>
      </c>
      <c r="J31" s="33" t="s">
        <v>7110</v>
      </c>
      <c r="K31" s="68">
        <v>0</v>
      </c>
      <c r="L31" s="68">
        <v>0</v>
      </c>
      <c r="M31" s="68" t="s">
        <v>8915</v>
      </c>
      <c r="N31" s="68">
        <v>0</v>
      </c>
      <c r="O31" s="68">
        <v>0</v>
      </c>
      <c r="P31" s="198" t="s">
        <v>5608</v>
      </c>
    </row>
    <row r="32" spans="1:16" ht="18.75" hidden="1">
      <c r="A32" s="13" t="s">
        <v>2694</v>
      </c>
      <c r="B32" s="12" t="s">
        <v>2749</v>
      </c>
      <c r="C32" s="12" t="s">
        <v>2782</v>
      </c>
      <c r="D32" s="12" t="s">
        <v>2609</v>
      </c>
      <c r="E32" s="12" t="str">
        <f t="shared" si="3"/>
        <v>95</v>
      </c>
      <c r="F32" s="14">
        <v>1488460</v>
      </c>
      <c r="G32" s="67" t="s">
        <v>5604</v>
      </c>
      <c r="H32" s="14" t="s">
        <v>5601</v>
      </c>
      <c r="I32" s="14" t="s">
        <v>2458</v>
      </c>
      <c r="J32" s="33" t="s">
        <v>7110</v>
      </c>
      <c r="K32" s="68">
        <v>0</v>
      </c>
      <c r="L32" s="68">
        <v>0</v>
      </c>
      <c r="M32" s="68" t="s">
        <v>8915</v>
      </c>
      <c r="N32" s="68">
        <v>0</v>
      </c>
      <c r="O32" s="68">
        <v>0</v>
      </c>
      <c r="P32" s="198" t="s">
        <v>5605</v>
      </c>
    </row>
    <row r="33" spans="1:16" ht="18.75" hidden="1">
      <c r="A33" s="13" t="s">
        <v>2695</v>
      </c>
      <c r="B33" s="12" t="s">
        <v>2755</v>
      </c>
      <c r="C33" s="12" t="s">
        <v>2783</v>
      </c>
      <c r="D33" s="12" t="s">
        <v>2751</v>
      </c>
      <c r="E33" s="12" t="str">
        <f t="shared" si="3"/>
        <v>95</v>
      </c>
      <c r="F33" s="14">
        <v>438011</v>
      </c>
      <c r="G33" s="67" t="s">
        <v>5604</v>
      </c>
      <c r="H33" s="14" t="s">
        <v>5601</v>
      </c>
      <c r="I33" s="14" t="s">
        <v>2458</v>
      </c>
      <c r="J33" s="33" t="s">
        <v>7110</v>
      </c>
      <c r="K33" s="68">
        <v>0</v>
      </c>
      <c r="L33" s="68">
        <v>0</v>
      </c>
      <c r="M33" s="68" t="s">
        <v>8915</v>
      </c>
      <c r="N33" s="68">
        <v>0</v>
      </c>
      <c r="O33" s="68">
        <v>0</v>
      </c>
      <c r="P33" s="198" t="s">
        <v>5618</v>
      </c>
    </row>
    <row r="34" spans="1:16" ht="18.75" hidden="1">
      <c r="A34" s="13" t="s">
        <v>2692</v>
      </c>
      <c r="B34" s="12" t="s">
        <v>2755</v>
      </c>
      <c r="C34" s="12" t="s">
        <v>2784</v>
      </c>
      <c r="D34" s="12" t="s">
        <v>2617</v>
      </c>
      <c r="E34" s="12" t="str">
        <f t="shared" si="3"/>
        <v>95</v>
      </c>
      <c r="F34" s="14">
        <v>257100</v>
      </c>
      <c r="G34" s="67" t="s">
        <v>5611</v>
      </c>
      <c r="H34" s="14" t="s">
        <v>5601</v>
      </c>
      <c r="I34" s="14" t="s">
        <v>2458</v>
      </c>
      <c r="J34" s="33" t="s">
        <v>7110</v>
      </c>
      <c r="K34" s="68">
        <v>0</v>
      </c>
      <c r="L34" s="68">
        <v>0</v>
      </c>
      <c r="M34" s="68" t="s">
        <v>8915</v>
      </c>
      <c r="N34" s="68">
        <v>0</v>
      </c>
      <c r="O34" s="68">
        <v>0</v>
      </c>
      <c r="P34" s="198" t="s">
        <v>5612</v>
      </c>
    </row>
    <row r="35" spans="1:16" ht="18.75" hidden="1">
      <c r="A35" s="13" t="s">
        <v>2696</v>
      </c>
      <c r="B35" s="12" t="s">
        <v>2755</v>
      </c>
      <c r="C35" s="12" t="s">
        <v>2785</v>
      </c>
      <c r="D35" s="12" t="s">
        <v>2619</v>
      </c>
      <c r="E35" s="12" t="str">
        <f t="shared" si="3"/>
        <v>95</v>
      </c>
      <c r="F35" s="14">
        <v>500000</v>
      </c>
      <c r="G35" s="67" t="s">
        <v>5611</v>
      </c>
      <c r="H35" s="14" t="s">
        <v>5601</v>
      </c>
      <c r="I35" s="14" t="s">
        <v>2458</v>
      </c>
      <c r="J35" s="33" t="s">
        <v>7110</v>
      </c>
      <c r="K35" s="68">
        <v>0</v>
      </c>
      <c r="L35" s="68">
        <v>0</v>
      </c>
      <c r="M35" s="68" t="s">
        <v>8915</v>
      </c>
      <c r="N35" s="68">
        <v>0</v>
      </c>
      <c r="O35" s="68">
        <v>0</v>
      </c>
      <c r="P35" s="198" t="s">
        <v>5612</v>
      </c>
    </row>
    <row r="36" spans="1:16" ht="18.75" hidden="1">
      <c r="A36" s="13" t="s">
        <v>2697</v>
      </c>
      <c r="B36" s="12" t="s">
        <v>2755</v>
      </c>
      <c r="C36" s="12" t="s">
        <v>2786</v>
      </c>
      <c r="D36" s="12" t="s">
        <v>2610</v>
      </c>
      <c r="E36" s="12" t="str">
        <f t="shared" si="3"/>
        <v>95</v>
      </c>
      <c r="F36" s="14">
        <v>3340</v>
      </c>
      <c r="G36" s="67" t="s">
        <v>5609</v>
      </c>
      <c r="H36" s="14" t="s">
        <v>5601</v>
      </c>
      <c r="I36" s="14" t="s">
        <v>2458</v>
      </c>
      <c r="J36" s="33" t="s">
        <v>7110</v>
      </c>
      <c r="K36" s="68">
        <v>0</v>
      </c>
      <c r="L36" s="68">
        <v>0</v>
      </c>
      <c r="M36" s="68" t="s">
        <v>8915</v>
      </c>
      <c r="N36" s="68">
        <v>0</v>
      </c>
      <c r="O36" s="68">
        <v>0</v>
      </c>
      <c r="P36" s="198" t="s">
        <v>5610</v>
      </c>
    </row>
    <row r="37" spans="1:16" ht="18.75" hidden="1">
      <c r="A37" s="13" t="s">
        <v>2697</v>
      </c>
      <c r="B37" s="12" t="s">
        <v>2755</v>
      </c>
      <c r="C37" s="12" t="s">
        <v>2787</v>
      </c>
      <c r="D37" s="12" t="s">
        <v>2610</v>
      </c>
      <c r="E37" s="12" t="str">
        <f t="shared" si="3"/>
        <v>95</v>
      </c>
      <c r="F37" s="14">
        <v>999660</v>
      </c>
      <c r="G37" s="67" t="s">
        <v>5609</v>
      </c>
      <c r="H37" s="14" t="s">
        <v>5601</v>
      </c>
      <c r="I37" s="14" t="s">
        <v>2458</v>
      </c>
      <c r="J37" s="33" t="s">
        <v>7110</v>
      </c>
      <c r="K37" s="68">
        <v>0</v>
      </c>
      <c r="L37" s="68">
        <v>0</v>
      </c>
      <c r="M37" s="68" t="s">
        <v>8915</v>
      </c>
      <c r="N37" s="68">
        <v>0</v>
      </c>
      <c r="O37" s="68">
        <v>0</v>
      </c>
      <c r="P37" s="198" t="s">
        <v>5610</v>
      </c>
    </row>
    <row r="38" spans="1:16" ht="18.75" hidden="1">
      <c r="A38" s="13" t="s">
        <v>2698</v>
      </c>
      <c r="B38" s="12" t="s">
        <v>2756</v>
      </c>
      <c r="C38" s="12" t="s">
        <v>2778</v>
      </c>
      <c r="D38" s="12" t="s">
        <v>2617</v>
      </c>
      <c r="E38" s="12" t="str">
        <f t="shared" si="3"/>
        <v>95</v>
      </c>
      <c r="F38" s="14">
        <v>353782</v>
      </c>
      <c r="G38" s="67" t="s">
        <v>5607</v>
      </c>
      <c r="H38" s="14" t="s">
        <v>5601</v>
      </c>
      <c r="I38" s="14" t="s">
        <v>2458</v>
      </c>
      <c r="J38" s="33" t="s">
        <v>7110</v>
      </c>
      <c r="K38" s="68">
        <v>0</v>
      </c>
      <c r="L38" s="68">
        <v>0</v>
      </c>
      <c r="M38" s="68" t="s">
        <v>8915</v>
      </c>
      <c r="N38" s="68">
        <v>0</v>
      </c>
      <c r="O38" s="68">
        <v>0</v>
      </c>
      <c r="P38" s="198" t="s">
        <v>5608</v>
      </c>
    </row>
    <row r="39" spans="1:16" ht="18.75" hidden="1">
      <c r="A39" s="13" t="s">
        <v>2700</v>
      </c>
      <c r="B39" s="12" t="s">
        <v>2755</v>
      </c>
      <c r="C39" s="12" t="s">
        <v>2784</v>
      </c>
      <c r="D39" s="12" t="s">
        <v>2617</v>
      </c>
      <c r="E39" s="12" t="str">
        <f t="shared" si="3"/>
        <v>95</v>
      </c>
      <c r="F39" s="14">
        <v>45860</v>
      </c>
      <c r="G39" s="67" t="s">
        <v>5611</v>
      </c>
      <c r="H39" s="14" t="s">
        <v>5601</v>
      </c>
      <c r="I39" s="14" t="s">
        <v>2458</v>
      </c>
      <c r="J39" s="33" t="s">
        <v>7110</v>
      </c>
      <c r="K39" s="68">
        <v>0</v>
      </c>
      <c r="L39" s="68">
        <v>0</v>
      </c>
      <c r="M39" s="68" t="s">
        <v>8915</v>
      </c>
      <c r="N39" s="68">
        <v>0</v>
      </c>
      <c r="O39" s="68">
        <v>0</v>
      </c>
      <c r="P39" s="198" t="s">
        <v>5612</v>
      </c>
    </row>
    <row r="40" spans="1:16" ht="18.75" hidden="1">
      <c r="A40" s="13" t="s">
        <v>2701</v>
      </c>
      <c r="B40" s="12" t="s">
        <v>2757</v>
      </c>
      <c r="C40" s="12" t="s">
        <v>2788</v>
      </c>
      <c r="D40" s="12" t="s">
        <v>2612</v>
      </c>
      <c r="E40" s="12" t="str">
        <f t="shared" si="3"/>
        <v>95</v>
      </c>
      <c r="F40" s="14">
        <v>497625</v>
      </c>
      <c r="G40" s="67" t="s">
        <v>5607</v>
      </c>
      <c r="H40" s="14" t="s">
        <v>5601</v>
      </c>
      <c r="I40" s="14" t="s">
        <v>2458</v>
      </c>
      <c r="J40" s="33" t="s">
        <v>7110</v>
      </c>
      <c r="K40" s="68">
        <v>0</v>
      </c>
      <c r="L40" s="68">
        <v>0</v>
      </c>
      <c r="M40" s="68" t="s">
        <v>8915</v>
      </c>
      <c r="N40" s="68">
        <v>0</v>
      </c>
      <c r="O40" s="68">
        <v>0</v>
      </c>
      <c r="P40" s="198" t="s">
        <v>5608</v>
      </c>
    </row>
    <row r="41" spans="1:16" ht="18.75" hidden="1">
      <c r="A41" s="13" t="s">
        <v>2702</v>
      </c>
      <c r="B41" s="12" t="s">
        <v>2749</v>
      </c>
      <c r="C41" s="12" t="s">
        <v>2789</v>
      </c>
      <c r="D41" s="12" t="s">
        <v>2611</v>
      </c>
      <c r="E41" s="12" t="str">
        <f t="shared" ref="E41:E94" si="4">MID(D41,1,2)</f>
        <v>95</v>
      </c>
      <c r="F41" s="14">
        <v>496950</v>
      </c>
      <c r="G41" s="67" t="s">
        <v>5607</v>
      </c>
      <c r="H41" s="14" t="s">
        <v>5601</v>
      </c>
      <c r="I41" s="14" t="s">
        <v>2458</v>
      </c>
      <c r="J41" s="33" t="s">
        <v>7110</v>
      </c>
      <c r="K41" s="68">
        <v>0</v>
      </c>
      <c r="L41" s="68">
        <v>0</v>
      </c>
      <c r="M41" s="68" t="s">
        <v>8915</v>
      </c>
      <c r="N41" s="68">
        <v>0</v>
      </c>
      <c r="O41" s="68">
        <v>0</v>
      </c>
      <c r="P41" s="198" t="s">
        <v>5608</v>
      </c>
    </row>
    <row r="42" spans="1:16" ht="18.75" hidden="1">
      <c r="A42" s="13" t="s">
        <v>2703</v>
      </c>
      <c r="B42" s="12" t="s">
        <v>2755</v>
      </c>
      <c r="C42" s="12" t="s">
        <v>2781</v>
      </c>
      <c r="D42" s="12" t="s">
        <v>2754</v>
      </c>
      <c r="E42" s="12" t="str">
        <f t="shared" si="4"/>
        <v>95</v>
      </c>
      <c r="F42" s="14">
        <v>30000</v>
      </c>
      <c r="G42" s="67" t="s">
        <v>5607</v>
      </c>
      <c r="H42" s="14" t="s">
        <v>5601</v>
      </c>
      <c r="I42" s="14" t="s">
        <v>2458</v>
      </c>
      <c r="J42" s="33" t="s">
        <v>7110</v>
      </c>
      <c r="K42" s="68">
        <v>0</v>
      </c>
      <c r="L42" s="68">
        <v>0</v>
      </c>
      <c r="M42" s="68" t="s">
        <v>8915</v>
      </c>
      <c r="N42" s="68">
        <v>0</v>
      </c>
      <c r="O42" s="68">
        <v>0</v>
      </c>
      <c r="P42" s="198" t="s">
        <v>5608</v>
      </c>
    </row>
    <row r="43" spans="1:16" ht="18.75" hidden="1">
      <c r="A43" s="13" t="s">
        <v>2704</v>
      </c>
      <c r="B43" s="12" t="s">
        <v>2751</v>
      </c>
      <c r="C43" s="12" t="s">
        <v>2643</v>
      </c>
      <c r="D43" s="12" t="s">
        <v>2610</v>
      </c>
      <c r="E43" s="12" t="str">
        <f t="shared" si="4"/>
        <v>95</v>
      </c>
      <c r="F43" s="14">
        <v>492822</v>
      </c>
      <c r="G43" s="67" t="s">
        <v>5604</v>
      </c>
      <c r="H43" s="14" t="s">
        <v>5601</v>
      </c>
      <c r="I43" s="14" t="s">
        <v>2458</v>
      </c>
      <c r="J43" s="33" t="s">
        <v>7110</v>
      </c>
      <c r="K43" s="68">
        <v>0</v>
      </c>
      <c r="L43" s="68">
        <v>0</v>
      </c>
      <c r="M43" s="68" t="s">
        <v>8915</v>
      </c>
      <c r="N43" s="68">
        <v>0</v>
      </c>
      <c r="O43" s="68">
        <v>0</v>
      </c>
      <c r="P43" s="198" t="s">
        <v>5605</v>
      </c>
    </row>
    <row r="44" spans="1:16" ht="18.75" hidden="1">
      <c r="A44" s="13" t="s">
        <v>2698</v>
      </c>
      <c r="B44" s="12" t="s">
        <v>2756</v>
      </c>
      <c r="C44" s="12" t="s">
        <v>2790</v>
      </c>
      <c r="D44" s="12" t="s">
        <v>2617</v>
      </c>
      <c r="E44" s="12" t="str">
        <f t="shared" si="4"/>
        <v>95</v>
      </c>
      <c r="F44" s="14">
        <v>142253</v>
      </c>
      <c r="G44" s="67" t="s">
        <v>5607</v>
      </c>
      <c r="H44" s="14" t="s">
        <v>5601</v>
      </c>
      <c r="I44" s="14" t="s">
        <v>2458</v>
      </c>
      <c r="J44" s="33" t="s">
        <v>7110</v>
      </c>
      <c r="K44" s="68">
        <v>0</v>
      </c>
      <c r="L44" s="68">
        <v>0</v>
      </c>
      <c r="M44" s="68" t="s">
        <v>8915</v>
      </c>
      <c r="N44" s="68">
        <v>0</v>
      </c>
      <c r="O44" s="68">
        <v>0</v>
      </c>
      <c r="P44" s="198" t="s">
        <v>5608</v>
      </c>
    </row>
    <row r="45" spans="1:16" ht="18.75" hidden="1">
      <c r="A45" s="13" t="s">
        <v>2703</v>
      </c>
      <c r="B45" s="12" t="s">
        <v>2755</v>
      </c>
      <c r="C45" s="12" t="s">
        <v>2778</v>
      </c>
      <c r="D45" s="12" t="s">
        <v>2617</v>
      </c>
      <c r="E45" s="12" t="str">
        <f t="shared" si="4"/>
        <v>95</v>
      </c>
      <c r="F45" s="14">
        <v>7336</v>
      </c>
      <c r="G45" s="67" t="s">
        <v>5607</v>
      </c>
      <c r="H45" s="14" t="s">
        <v>5601</v>
      </c>
      <c r="I45" s="14" t="s">
        <v>2458</v>
      </c>
      <c r="J45" s="33" t="s">
        <v>7110</v>
      </c>
      <c r="K45" s="68">
        <v>0</v>
      </c>
      <c r="L45" s="68">
        <v>0</v>
      </c>
      <c r="M45" s="68" t="s">
        <v>8915</v>
      </c>
      <c r="N45" s="68">
        <v>0</v>
      </c>
      <c r="O45" s="68">
        <v>0</v>
      </c>
      <c r="P45" s="198" t="s">
        <v>5608</v>
      </c>
    </row>
    <row r="46" spans="1:16" ht="18.75" hidden="1">
      <c r="A46" s="13" t="s">
        <v>2705</v>
      </c>
      <c r="B46" s="12" t="s">
        <v>2750</v>
      </c>
      <c r="C46" s="12" t="s">
        <v>2661</v>
      </c>
      <c r="D46" s="12" t="s">
        <v>2615</v>
      </c>
      <c r="E46" s="12" t="str">
        <f t="shared" si="4"/>
        <v>95</v>
      </c>
      <c r="F46" s="14">
        <v>395660</v>
      </c>
      <c r="G46" s="67" t="s">
        <v>5607</v>
      </c>
      <c r="H46" s="14" t="s">
        <v>5601</v>
      </c>
      <c r="I46" s="14" t="s">
        <v>2458</v>
      </c>
      <c r="J46" s="33" t="s">
        <v>7110</v>
      </c>
      <c r="K46" s="68">
        <v>0</v>
      </c>
      <c r="L46" s="68">
        <v>0</v>
      </c>
      <c r="M46" s="68" t="s">
        <v>8915</v>
      </c>
      <c r="N46" s="68">
        <v>0</v>
      </c>
      <c r="O46" s="68">
        <v>0</v>
      </c>
      <c r="P46" s="198" t="s">
        <v>5608</v>
      </c>
    </row>
    <row r="47" spans="1:16" ht="18.75" hidden="1">
      <c r="A47" s="13" t="s">
        <v>2706</v>
      </c>
      <c r="B47" s="12" t="s">
        <v>2750</v>
      </c>
      <c r="C47" s="12" t="s">
        <v>2643</v>
      </c>
      <c r="D47" s="12" t="s">
        <v>2610</v>
      </c>
      <c r="E47" s="12" t="str">
        <f t="shared" si="4"/>
        <v>95</v>
      </c>
      <c r="F47" s="14">
        <v>490434</v>
      </c>
      <c r="G47" s="67" t="s">
        <v>5604</v>
      </c>
      <c r="H47" s="14" t="s">
        <v>5601</v>
      </c>
      <c r="I47" s="14" t="s">
        <v>2458</v>
      </c>
      <c r="J47" s="33" t="s">
        <v>7110</v>
      </c>
      <c r="K47" s="68">
        <v>0</v>
      </c>
      <c r="L47" s="68">
        <v>0</v>
      </c>
      <c r="M47" s="68" t="s">
        <v>8915</v>
      </c>
      <c r="N47" s="68">
        <v>0</v>
      </c>
      <c r="O47" s="68">
        <v>0</v>
      </c>
      <c r="P47" s="198" t="s">
        <v>5605</v>
      </c>
    </row>
    <row r="48" spans="1:16" ht="18.75" hidden="1">
      <c r="A48" s="13" t="s">
        <v>2707</v>
      </c>
      <c r="B48" s="12" t="s">
        <v>2755</v>
      </c>
      <c r="C48" s="12" t="s">
        <v>2791</v>
      </c>
      <c r="D48" s="12" t="s">
        <v>2612</v>
      </c>
      <c r="E48" s="12" t="str">
        <f t="shared" si="4"/>
        <v>95</v>
      </c>
      <c r="F48" s="14">
        <v>259809</v>
      </c>
      <c r="G48" s="67" t="s">
        <v>5607</v>
      </c>
      <c r="H48" s="14" t="s">
        <v>5601</v>
      </c>
      <c r="I48" s="14" t="s">
        <v>2458</v>
      </c>
      <c r="J48" s="33" t="s">
        <v>7110</v>
      </c>
      <c r="K48" s="68">
        <v>0</v>
      </c>
      <c r="L48" s="68">
        <v>0</v>
      </c>
      <c r="M48" s="68" t="s">
        <v>8915</v>
      </c>
      <c r="N48" s="68">
        <v>0</v>
      </c>
      <c r="O48" s="68">
        <v>0</v>
      </c>
      <c r="P48" s="198" t="s">
        <v>5608</v>
      </c>
    </row>
    <row r="49" spans="1:16" ht="18.75" hidden="1">
      <c r="A49" s="13" t="s">
        <v>2708</v>
      </c>
      <c r="B49" s="12" t="s">
        <v>2756</v>
      </c>
      <c r="C49" s="12" t="s">
        <v>2792</v>
      </c>
      <c r="D49" s="12" t="s">
        <v>2619</v>
      </c>
      <c r="E49" s="12" t="str">
        <f t="shared" si="4"/>
        <v>95</v>
      </c>
      <c r="F49" s="14">
        <v>212220</v>
      </c>
      <c r="G49" s="67" t="s">
        <v>5604</v>
      </c>
      <c r="H49" s="14" t="s">
        <v>5601</v>
      </c>
      <c r="I49" s="14" t="s">
        <v>2458</v>
      </c>
      <c r="J49" s="33" t="s">
        <v>7110</v>
      </c>
      <c r="K49" s="68">
        <v>0</v>
      </c>
      <c r="L49" s="68">
        <v>0</v>
      </c>
      <c r="M49" s="68" t="s">
        <v>8915</v>
      </c>
      <c r="N49" s="68">
        <v>0</v>
      </c>
      <c r="O49" s="68">
        <v>0</v>
      </c>
      <c r="P49" s="198" t="s">
        <v>5605</v>
      </c>
    </row>
    <row r="50" spans="1:16" ht="18.75" hidden="1">
      <c r="A50" s="13" t="s">
        <v>2709</v>
      </c>
      <c r="B50" s="12" t="s">
        <v>2755</v>
      </c>
      <c r="C50" s="12" t="s">
        <v>2793</v>
      </c>
      <c r="D50" s="12" t="s">
        <v>2751</v>
      </c>
      <c r="E50" s="12" t="str">
        <f t="shared" si="4"/>
        <v>95</v>
      </c>
      <c r="F50" s="14">
        <v>973761</v>
      </c>
      <c r="G50" s="67" t="s">
        <v>5604</v>
      </c>
      <c r="H50" s="14" t="s">
        <v>5601</v>
      </c>
      <c r="I50" s="14" t="s">
        <v>2458</v>
      </c>
      <c r="J50" s="33" t="e">
        <f>VLOOKUP(C50,شرکتها!A:B,2,FALSE)</f>
        <v>#N/A</v>
      </c>
      <c r="K50" s="68">
        <v>0</v>
      </c>
      <c r="L50" s="68">
        <v>0</v>
      </c>
      <c r="M50" s="68" t="s">
        <v>8915</v>
      </c>
      <c r="N50" s="68">
        <v>0</v>
      </c>
      <c r="O50" s="68">
        <v>0</v>
      </c>
      <c r="P50" s="198" t="s">
        <v>5613</v>
      </c>
    </row>
    <row r="51" spans="1:16" ht="18.75" hidden="1">
      <c r="A51" s="13" t="s">
        <v>2705</v>
      </c>
      <c r="B51" s="12" t="s">
        <v>2750</v>
      </c>
      <c r="C51" s="12" t="s">
        <v>2794</v>
      </c>
      <c r="D51" s="12" t="s">
        <v>2610</v>
      </c>
      <c r="E51" s="12" t="str">
        <f t="shared" si="4"/>
        <v>95</v>
      </c>
      <c r="F51" s="14">
        <v>303900</v>
      </c>
      <c r="G51" s="67" t="s">
        <v>5607</v>
      </c>
      <c r="H51" s="14" t="s">
        <v>5601</v>
      </c>
      <c r="I51" s="14" t="s">
        <v>2458</v>
      </c>
      <c r="J51" s="33" t="s">
        <v>7110</v>
      </c>
      <c r="K51" s="68">
        <v>0</v>
      </c>
      <c r="L51" s="68">
        <v>0</v>
      </c>
      <c r="M51" s="68" t="s">
        <v>8915</v>
      </c>
      <c r="N51" s="68">
        <v>0</v>
      </c>
      <c r="O51" s="68">
        <v>0</v>
      </c>
      <c r="P51" s="198" t="s">
        <v>5608</v>
      </c>
    </row>
    <row r="52" spans="1:16" ht="18.75" hidden="1">
      <c r="A52" s="13" t="s">
        <v>2710</v>
      </c>
      <c r="B52" s="12" t="s">
        <v>2757</v>
      </c>
      <c r="C52" s="12" t="s">
        <v>2795</v>
      </c>
      <c r="D52" s="12" t="s">
        <v>2751</v>
      </c>
      <c r="E52" s="12" t="str">
        <f t="shared" si="4"/>
        <v>95</v>
      </c>
      <c r="F52" s="14">
        <v>986640</v>
      </c>
      <c r="G52" s="67" t="s">
        <v>5607</v>
      </c>
      <c r="H52" s="14" t="s">
        <v>5601</v>
      </c>
      <c r="I52" s="14" t="s">
        <v>2458</v>
      </c>
      <c r="J52" s="33" t="s">
        <v>7110</v>
      </c>
      <c r="K52" s="68">
        <v>0</v>
      </c>
      <c r="L52" s="68">
        <v>0</v>
      </c>
      <c r="M52" s="68" t="s">
        <v>8915</v>
      </c>
      <c r="N52" s="68">
        <v>0</v>
      </c>
      <c r="O52" s="68">
        <v>0</v>
      </c>
      <c r="P52" s="198" t="s">
        <v>5608</v>
      </c>
    </row>
    <row r="53" spans="1:16" ht="18.75" hidden="1">
      <c r="A53" s="13" t="s">
        <v>2711</v>
      </c>
      <c r="B53" s="12" t="s">
        <v>2755</v>
      </c>
      <c r="C53" s="12" t="s">
        <v>2785</v>
      </c>
      <c r="D53" s="12" t="s">
        <v>2619</v>
      </c>
      <c r="E53" s="12" t="str">
        <f t="shared" si="4"/>
        <v>95</v>
      </c>
      <c r="F53" s="14">
        <v>1000000</v>
      </c>
      <c r="G53" s="67" t="s">
        <v>5611</v>
      </c>
      <c r="H53" s="14" t="s">
        <v>5601</v>
      </c>
      <c r="I53" s="14" t="s">
        <v>2458</v>
      </c>
      <c r="J53" s="33" t="s">
        <v>7110</v>
      </c>
      <c r="K53" s="68">
        <v>0</v>
      </c>
      <c r="L53" s="68">
        <v>0</v>
      </c>
      <c r="M53" s="68" t="s">
        <v>8915</v>
      </c>
      <c r="N53" s="68">
        <v>0</v>
      </c>
      <c r="O53" s="68">
        <v>0</v>
      </c>
      <c r="P53" s="198" t="s">
        <v>5612</v>
      </c>
    </row>
    <row r="54" spans="1:16" ht="18.75" hidden="1">
      <c r="A54" s="13" t="s">
        <v>2712</v>
      </c>
      <c r="B54" s="12" t="s">
        <v>2752</v>
      </c>
      <c r="C54" s="12" t="s">
        <v>2796</v>
      </c>
      <c r="D54" s="12" t="s">
        <v>2754</v>
      </c>
      <c r="E54" s="12" t="str">
        <f t="shared" si="4"/>
        <v>95</v>
      </c>
      <c r="F54" s="14">
        <v>300000</v>
      </c>
      <c r="G54" s="67" t="s">
        <v>5604</v>
      </c>
      <c r="H54" s="14" t="s">
        <v>5601</v>
      </c>
      <c r="I54" s="14" t="s">
        <v>2458</v>
      </c>
      <c r="J54" s="33" t="e">
        <f>VLOOKUP(C54,شرکتها!A:B,2,FALSE)</f>
        <v>#N/A</v>
      </c>
      <c r="K54" s="68">
        <v>0</v>
      </c>
      <c r="L54" s="68">
        <v>0</v>
      </c>
      <c r="M54" s="68" t="s">
        <v>8915</v>
      </c>
      <c r="N54" s="68">
        <v>0</v>
      </c>
      <c r="O54" s="68">
        <v>0</v>
      </c>
      <c r="P54" s="198" t="s">
        <v>5613</v>
      </c>
    </row>
    <row r="55" spans="1:16" ht="18.75" hidden="1">
      <c r="A55" s="13" t="s">
        <v>2713</v>
      </c>
      <c r="B55" s="12" t="s">
        <v>2755</v>
      </c>
      <c r="C55" s="12" t="s">
        <v>2797</v>
      </c>
      <c r="D55" s="12" t="s">
        <v>2754</v>
      </c>
      <c r="E55" s="12" t="str">
        <f t="shared" si="4"/>
        <v>95</v>
      </c>
      <c r="F55" s="14">
        <v>300000</v>
      </c>
      <c r="G55" s="67" t="s">
        <v>5604</v>
      </c>
      <c r="H55" s="14" t="s">
        <v>5601</v>
      </c>
      <c r="I55" s="14" t="s">
        <v>2458</v>
      </c>
      <c r="J55" s="33" t="e">
        <f>VLOOKUP(C55,شرکتها!A:B,2,FALSE)</f>
        <v>#N/A</v>
      </c>
      <c r="K55" s="68">
        <v>0</v>
      </c>
      <c r="L55" s="68">
        <v>0</v>
      </c>
      <c r="M55" s="68" t="s">
        <v>8915</v>
      </c>
      <c r="N55" s="68">
        <v>0</v>
      </c>
      <c r="O55" s="68">
        <v>0</v>
      </c>
      <c r="P55" s="198" t="s">
        <v>5613</v>
      </c>
    </row>
    <row r="56" spans="1:16" ht="18.75" hidden="1">
      <c r="A56" s="13" t="s">
        <v>2714</v>
      </c>
      <c r="B56" s="12" t="s">
        <v>2757</v>
      </c>
      <c r="C56" s="12" t="s">
        <v>2788</v>
      </c>
      <c r="D56" s="12" t="s">
        <v>2612</v>
      </c>
      <c r="E56" s="12" t="str">
        <f t="shared" si="4"/>
        <v>95</v>
      </c>
      <c r="F56" s="14">
        <v>495980</v>
      </c>
      <c r="G56" s="67" t="s">
        <v>5607</v>
      </c>
      <c r="H56" s="14" t="s">
        <v>5601</v>
      </c>
      <c r="I56" s="14" t="s">
        <v>2458</v>
      </c>
      <c r="J56" s="33" t="s">
        <v>7110</v>
      </c>
      <c r="K56" s="68">
        <v>0</v>
      </c>
      <c r="L56" s="68">
        <v>0</v>
      </c>
      <c r="M56" s="68" t="s">
        <v>8915</v>
      </c>
      <c r="N56" s="68">
        <v>0</v>
      </c>
      <c r="O56" s="68">
        <v>0</v>
      </c>
      <c r="P56" s="198" t="s">
        <v>5608</v>
      </c>
    </row>
    <row r="57" spans="1:16" ht="18.75" hidden="1">
      <c r="A57" s="13" t="s">
        <v>2691</v>
      </c>
      <c r="B57" s="12" t="s">
        <v>2755</v>
      </c>
      <c r="C57" s="12" t="s">
        <v>2798</v>
      </c>
      <c r="D57" s="12" t="s">
        <v>2612</v>
      </c>
      <c r="E57" s="12" t="str">
        <f t="shared" si="4"/>
        <v>95</v>
      </c>
      <c r="F57" s="14">
        <v>475605</v>
      </c>
      <c r="G57" s="67" t="s">
        <v>5607</v>
      </c>
      <c r="H57" s="14" t="s">
        <v>5601</v>
      </c>
      <c r="I57" s="14" t="s">
        <v>2458</v>
      </c>
      <c r="J57" s="33" t="s">
        <v>7110</v>
      </c>
      <c r="K57" s="68">
        <v>0</v>
      </c>
      <c r="L57" s="68">
        <v>0</v>
      </c>
      <c r="M57" s="68" t="s">
        <v>8915</v>
      </c>
      <c r="N57" s="68">
        <v>0</v>
      </c>
      <c r="O57" s="68">
        <v>0</v>
      </c>
      <c r="P57" s="198" t="s">
        <v>5608</v>
      </c>
    </row>
    <row r="58" spans="1:16" ht="18.75" hidden="1">
      <c r="A58" s="13" t="s">
        <v>2715</v>
      </c>
      <c r="B58" s="12" t="s">
        <v>2749</v>
      </c>
      <c r="C58" s="12" t="s">
        <v>2651</v>
      </c>
      <c r="D58" s="12" t="s">
        <v>2611</v>
      </c>
      <c r="E58" s="12" t="str">
        <f t="shared" si="4"/>
        <v>95</v>
      </c>
      <c r="F58" s="14">
        <v>500000</v>
      </c>
      <c r="G58" s="67" t="s">
        <v>5604</v>
      </c>
      <c r="H58" s="14" t="s">
        <v>5601</v>
      </c>
      <c r="I58" s="14" t="s">
        <v>2458</v>
      </c>
      <c r="J58" s="33" t="s">
        <v>7110</v>
      </c>
      <c r="K58" s="68">
        <v>0</v>
      </c>
      <c r="L58" s="68">
        <v>0</v>
      </c>
      <c r="M58" s="68" t="s">
        <v>8915</v>
      </c>
      <c r="N58" s="68">
        <v>0</v>
      </c>
      <c r="O58" s="68">
        <v>0</v>
      </c>
      <c r="P58" s="198" t="s">
        <v>5605</v>
      </c>
    </row>
    <row r="59" spans="1:16" ht="18.75" hidden="1">
      <c r="A59" s="13" t="s">
        <v>2710</v>
      </c>
      <c r="B59" s="12" t="s">
        <v>2757</v>
      </c>
      <c r="C59" s="12" t="s">
        <v>2788</v>
      </c>
      <c r="D59" s="12" t="s">
        <v>2612</v>
      </c>
      <c r="E59" s="12" t="str">
        <f t="shared" si="4"/>
        <v>95</v>
      </c>
      <c r="F59" s="14">
        <v>6395</v>
      </c>
      <c r="G59" s="67" t="s">
        <v>5607</v>
      </c>
      <c r="H59" s="14" t="s">
        <v>5601</v>
      </c>
      <c r="I59" s="14" t="s">
        <v>2458</v>
      </c>
      <c r="J59" s="33" t="s">
        <v>7110</v>
      </c>
      <c r="K59" s="68">
        <v>0</v>
      </c>
      <c r="L59" s="68">
        <v>0</v>
      </c>
      <c r="M59" s="68" t="s">
        <v>8915</v>
      </c>
      <c r="N59" s="68">
        <v>0</v>
      </c>
      <c r="O59" s="68">
        <v>0</v>
      </c>
      <c r="P59" s="198" t="s">
        <v>5608</v>
      </c>
    </row>
    <row r="60" spans="1:16" ht="18.75" hidden="1">
      <c r="A60" s="13" t="s">
        <v>2716</v>
      </c>
      <c r="B60" s="12" t="s">
        <v>2752</v>
      </c>
      <c r="C60" s="12" t="s">
        <v>2799</v>
      </c>
      <c r="D60" s="12" t="s">
        <v>2611</v>
      </c>
      <c r="E60" s="12" t="str">
        <f t="shared" si="4"/>
        <v>95</v>
      </c>
      <c r="F60" s="14">
        <v>496775</v>
      </c>
      <c r="G60" s="67" t="s">
        <v>5607</v>
      </c>
      <c r="H60" s="14" t="s">
        <v>5601</v>
      </c>
      <c r="I60" s="14" t="s">
        <v>2458</v>
      </c>
      <c r="J60" s="33" t="s">
        <v>7110</v>
      </c>
      <c r="K60" s="68">
        <v>0</v>
      </c>
      <c r="L60" s="68">
        <v>0</v>
      </c>
      <c r="M60" s="68" t="s">
        <v>8915</v>
      </c>
      <c r="N60" s="68">
        <v>0</v>
      </c>
      <c r="O60" s="68">
        <v>0</v>
      </c>
      <c r="P60" s="198" t="s">
        <v>5608</v>
      </c>
    </row>
    <row r="61" spans="1:16" ht="18.75" hidden="1">
      <c r="A61" s="13" t="s">
        <v>2712</v>
      </c>
      <c r="B61" s="12" t="s">
        <v>2752</v>
      </c>
      <c r="C61" s="12" t="s">
        <v>2797</v>
      </c>
      <c r="D61" s="12" t="s">
        <v>2754</v>
      </c>
      <c r="E61" s="12" t="str">
        <f t="shared" si="4"/>
        <v>95</v>
      </c>
      <c r="F61" s="14">
        <v>700000</v>
      </c>
      <c r="G61" s="67" t="s">
        <v>5604</v>
      </c>
      <c r="H61" s="14" t="s">
        <v>5601</v>
      </c>
      <c r="I61" s="14" t="s">
        <v>2458</v>
      </c>
      <c r="J61" s="33" t="e">
        <f>VLOOKUP(C61,شرکتها!A:B,2,FALSE)</f>
        <v>#N/A</v>
      </c>
      <c r="K61" s="68">
        <v>0</v>
      </c>
      <c r="L61" s="68">
        <v>0</v>
      </c>
      <c r="M61" s="68" t="s">
        <v>8915</v>
      </c>
      <c r="N61" s="68">
        <v>0</v>
      </c>
      <c r="O61" s="68">
        <v>0</v>
      </c>
      <c r="P61" s="198" t="s">
        <v>5613</v>
      </c>
    </row>
    <row r="62" spans="1:16" ht="18.75" hidden="1">
      <c r="A62" s="13" t="s">
        <v>2717</v>
      </c>
      <c r="B62" s="12" t="s">
        <v>2755</v>
      </c>
      <c r="C62" s="12" t="s">
        <v>2800</v>
      </c>
      <c r="D62" s="12" t="s">
        <v>2751</v>
      </c>
      <c r="E62" s="12" t="str">
        <f t="shared" si="4"/>
        <v>95</v>
      </c>
      <c r="F62" s="14">
        <v>494310</v>
      </c>
      <c r="G62" s="67" t="s">
        <v>5604</v>
      </c>
      <c r="H62" s="14" t="s">
        <v>5601</v>
      </c>
      <c r="I62" s="14" t="s">
        <v>2458</v>
      </c>
      <c r="J62" s="33" t="e">
        <f>VLOOKUP(C62,شرکتها!A:B,2,FALSE)</f>
        <v>#N/A</v>
      </c>
      <c r="K62" s="68">
        <v>0</v>
      </c>
      <c r="L62" s="68">
        <v>0</v>
      </c>
      <c r="M62" s="68" t="s">
        <v>8915</v>
      </c>
      <c r="N62" s="68">
        <v>0</v>
      </c>
      <c r="O62" s="68">
        <v>0</v>
      </c>
      <c r="P62" s="198" t="s">
        <v>5613</v>
      </c>
    </row>
    <row r="63" spans="1:16" ht="18.75" hidden="1">
      <c r="A63" s="13" t="s">
        <v>2718</v>
      </c>
      <c r="B63" s="12" t="s">
        <v>2755</v>
      </c>
      <c r="C63" s="12" t="s">
        <v>2791</v>
      </c>
      <c r="D63" s="12" t="s">
        <v>2612</v>
      </c>
      <c r="E63" s="12" t="str">
        <f t="shared" si="4"/>
        <v>95</v>
      </c>
      <c r="F63" s="14">
        <v>399490</v>
      </c>
      <c r="G63" s="67" t="s">
        <v>5607</v>
      </c>
      <c r="H63" s="14" t="s">
        <v>5601</v>
      </c>
      <c r="I63" s="14" t="s">
        <v>2458</v>
      </c>
      <c r="J63" s="33" t="s">
        <v>7110</v>
      </c>
      <c r="K63" s="68">
        <v>0</v>
      </c>
      <c r="L63" s="68">
        <v>0</v>
      </c>
      <c r="M63" s="68" t="s">
        <v>8915</v>
      </c>
      <c r="N63" s="68">
        <v>0</v>
      </c>
      <c r="O63" s="68">
        <v>0</v>
      </c>
      <c r="P63" s="198" t="s">
        <v>5608</v>
      </c>
    </row>
    <row r="64" spans="1:16" ht="18.75" hidden="1">
      <c r="A64" s="13" t="s">
        <v>2719</v>
      </c>
      <c r="B64" s="12" t="s">
        <v>2757</v>
      </c>
      <c r="C64" s="12" t="s">
        <v>2801</v>
      </c>
      <c r="D64" s="12" t="s">
        <v>2617</v>
      </c>
      <c r="E64" s="12" t="str">
        <f t="shared" si="4"/>
        <v>95</v>
      </c>
      <c r="F64" s="14">
        <v>414600</v>
      </c>
      <c r="G64" s="67" t="s">
        <v>5611</v>
      </c>
      <c r="H64" s="14" t="s">
        <v>5601</v>
      </c>
      <c r="I64" s="14" t="s">
        <v>2458</v>
      </c>
      <c r="J64" s="33" t="s">
        <v>7110</v>
      </c>
      <c r="K64" s="68">
        <v>0</v>
      </c>
      <c r="L64" s="68">
        <v>0</v>
      </c>
      <c r="M64" s="68" t="s">
        <v>8915</v>
      </c>
      <c r="N64" s="68">
        <v>0</v>
      </c>
      <c r="O64" s="68">
        <v>0</v>
      </c>
      <c r="P64" s="198" t="s">
        <v>5612</v>
      </c>
    </row>
    <row r="65" spans="1:16" ht="18.75" hidden="1">
      <c r="A65" s="13" t="s">
        <v>2720</v>
      </c>
      <c r="B65" s="12" t="s">
        <v>2749</v>
      </c>
      <c r="C65" s="12" t="s">
        <v>2650</v>
      </c>
      <c r="D65" s="12" t="s">
        <v>2614</v>
      </c>
      <c r="E65" s="12" t="str">
        <f t="shared" si="4"/>
        <v>95</v>
      </c>
      <c r="F65" s="14">
        <v>1006342</v>
      </c>
      <c r="G65" s="67" t="s">
        <v>5604</v>
      </c>
      <c r="H65" s="14" t="s">
        <v>5601</v>
      </c>
      <c r="I65" s="14" t="s">
        <v>2458</v>
      </c>
      <c r="J65" s="33" t="s">
        <v>7110</v>
      </c>
      <c r="K65" s="68">
        <v>0</v>
      </c>
      <c r="L65" s="68">
        <v>0</v>
      </c>
      <c r="M65" s="68" t="s">
        <v>8915</v>
      </c>
      <c r="N65" s="68">
        <v>0</v>
      </c>
      <c r="O65" s="68">
        <v>0</v>
      </c>
      <c r="P65" s="198" t="s">
        <v>5605</v>
      </c>
    </row>
    <row r="66" spans="1:16" ht="18.75" hidden="1">
      <c r="A66" s="13" t="s">
        <v>2721</v>
      </c>
      <c r="B66" s="12" t="s">
        <v>2756</v>
      </c>
      <c r="C66" s="12" t="s">
        <v>2799</v>
      </c>
      <c r="D66" s="12" t="s">
        <v>2611</v>
      </c>
      <c r="E66" s="12" t="str">
        <f t="shared" si="4"/>
        <v>95</v>
      </c>
      <c r="F66" s="14">
        <v>129393</v>
      </c>
      <c r="G66" s="67" t="s">
        <v>5607</v>
      </c>
      <c r="H66" s="14" t="s">
        <v>5601</v>
      </c>
      <c r="I66" s="14" t="s">
        <v>2458</v>
      </c>
      <c r="J66" s="33" t="s">
        <v>7110</v>
      </c>
      <c r="K66" s="68">
        <v>0</v>
      </c>
      <c r="L66" s="68">
        <v>0</v>
      </c>
      <c r="M66" s="68" t="s">
        <v>8915</v>
      </c>
      <c r="N66" s="68">
        <v>0</v>
      </c>
      <c r="O66" s="68">
        <v>0</v>
      </c>
      <c r="P66" s="198" t="s">
        <v>5608</v>
      </c>
    </row>
    <row r="67" spans="1:16" ht="18.75" hidden="1">
      <c r="A67" s="13" t="s">
        <v>2719</v>
      </c>
      <c r="B67" s="12" t="s">
        <v>2757</v>
      </c>
      <c r="C67" s="12" t="s">
        <v>2802</v>
      </c>
      <c r="D67" s="12" t="s">
        <v>2617</v>
      </c>
      <c r="E67" s="12" t="str">
        <f t="shared" si="4"/>
        <v>95</v>
      </c>
      <c r="F67" s="14">
        <v>373260</v>
      </c>
      <c r="G67" s="67" t="s">
        <v>5611</v>
      </c>
      <c r="H67" s="14" t="s">
        <v>5601</v>
      </c>
      <c r="I67" s="14" t="s">
        <v>2458</v>
      </c>
      <c r="J67" s="33" t="s">
        <v>7110</v>
      </c>
      <c r="K67" s="68">
        <v>0</v>
      </c>
      <c r="L67" s="68">
        <v>0</v>
      </c>
      <c r="M67" s="68" t="s">
        <v>8915</v>
      </c>
      <c r="N67" s="68">
        <v>0</v>
      </c>
      <c r="O67" s="68">
        <v>0</v>
      </c>
      <c r="P67" s="198" t="s">
        <v>5612</v>
      </c>
    </row>
    <row r="68" spans="1:16" ht="18.75" hidden="1">
      <c r="A68" s="13" t="s">
        <v>2719</v>
      </c>
      <c r="B68" s="12" t="s">
        <v>2757</v>
      </c>
      <c r="C68" s="12" t="s">
        <v>2784</v>
      </c>
      <c r="D68" s="12" t="s">
        <v>2617</v>
      </c>
      <c r="E68" s="12" t="str">
        <f t="shared" si="4"/>
        <v>95</v>
      </c>
      <c r="F68" s="14">
        <v>188940</v>
      </c>
      <c r="G68" s="67" t="s">
        <v>5611</v>
      </c>
      <c r="H68" s="14" t="s">
        <v>5601</v>
      </c>
      <c r="I68" s="14" t="s">
        <v>2458</v>
      </c>
      <c r="J68" s="33" t="s">
        <v>7110</v>
      </c>
      <c r="K68" s="68">
        <v>0</v>
      </c>
      <c r="L68" s="68">
        <v>0</v>
      </c>
      <c r="M68" s="68" t="s">
        <v>8915</v>
      </c>
      <c r="N68" s="68">
        <v>0</v>
      </c>
      <c r="O68" s="68">
        <v>0</v>
      </c>
      <c r="P68" s="198" t="s">
        <v>5612</v>
      </c>
    </row>
    <row r="69" spans="1:16" ht="18.75" hidden="1">
      <c r="A69" s="13" t="s">
        <v>2695</v>
      </c>
      <c r="B69" s="12" t="s">
        <v>2755</v>
      </c>
      <c r="C69" s="12" t="s">
        <v>2642</v>
      </c>
      <c r="D69" s="12" t="s">
        <v>2611</v>
      </c>
      <c r="E69" s="12" t="str">
        <f t="shared" si="4"/>
        <v>95</v>
      </c>
      <c r="F69" s="14">
        <v>58529</v>
      </c>
      <c r="G69" s="67" t="s">
        <v>5604</v>
      </c>
      <c r="H69" s="14" t="s">
        <v>5601</v>
      </c>
      <c r="I69" s="14" t="s">
        <v>2458</v>
      </c>
      <c r="J69" s="33" t="s">
        <v>7110</v>
      </c>
      <c r="K69" s="68">
        <v>0</v>
      </c>
      <c r="L69" s="68">
        <v>0</v>
      </c>
      <c r="M69" s="68" t="s">
        <v>8915</v>
      </c>
      <c r="N69" s="68">
        <v>0</v>
      </c>
      <c r="O69" s="68">
        <v>0</v>
      </c>
      <c r="P69" s="198" t="s">
        <v>5605</v>
      </c>
    </row>
    <row r="70" spans="1:16" ht="18.75" hidden="1">
      <c r="A70" s="13" t="s">
        <v>2700</v>
      </c>
      <c r="B70" s="12" t="s">
        <v>2755</v>
      </c>
      <c r="C70" s="12" t="s">
        <v>2781</v>
      </c>
      <c r="D70" s="12" t="s">
        <v>2754</v>
      </c>
      <c r="E70" s="12" t="str">
        <f t="shared" si="4"/>
        <v>95</v>
      </c>
      <c r="F70" s="14">
        <v>449640</v>
      </c>
      <c r="G70" s="67" t="s">
        <v>5607</v>
      </c>
      <c r="H70" s="14" t="s">
        <v>5601</v>
      </c>
      <c r="I70" s="14" t="s">
        <v>2458</v>
      </c>
      <c r="J70" s="33" t="s">
        <v>7110</v>
      </c>
      <c r="K70" s="68">
        <v>0</v>
      </c>
      <c r="L70" s="68">
        <v>0</v>
      </c>
      <c r="M70" s="68" t="s">
        <v>8915</v>
      </c>
      <c r="N70" s="68">
        <v>0</v>
      </c>
      <c r="O70" s="68">
        <v>0</v>
      </c>
      <c r="P70" s="198" t="s">
        <v>5608</v>
      </c>
    </row>
    <row r="71" spans="1:16" ht="18.75" hidden="1">
      <c r="A71" s="13" t="s">
        <v>2722</v>
      </c>
      <c r="B71" s="12" t="s">
        <v>2756</v>
      </c>
      <c r="C71" s="12" t="s">
        <v>2792</v>
      </c>
      <c r="D71" s="12" t="s">
        <v>2619</v>
      </c>
      <c r="E71" s="12" t="str">
        <f t="shared" si="4"/>
        <v>95</v>
      </c>
      <c r="F71" s="14">
        <v>239035</v>
      </c>
      <c r="G71" s="67" t="s">
        <v>5604</v>
      </c>
      <c r="H71" s="14" t="s">
        <v>5601</v>
      </c>
      <c r="I71" s="14" t="s">
        <v>2458</v>
      </c>
      <c r="J71" s="33" t="s">
        <v>7110</v>
      </c>
      <c r="K71" s="68">
        <v>0</v>
      </c>
      <c r="L71" s="68">
        <v>0</v>
      </c>
      <c r="M71" s="68" t="s">
        <v>8915</v>
      </c>
      <c r="N71" s="68">
        <v>0</v>
      </c>
      <c r="O71" s="68">
        <v>0</v>
      </c>
      <c r="P71" s="198" t="s">
        <v>5605</v>
      </c>
    </row>
    <row r="72" spans="1:16" ht="18.75" hidden="1">
      <c r="A72" s="13" t="s">
        <v>2723</v>
      </c>
      <c r="B72" s="12" t="s">
        <v>2751</v>
      </c>
      <c r="C72" s="12" t="s">
        <v>2785</v>
      </c>
      <c r="D72" s="12" t="s">
        <v>2619</v>
      </c>
      <c r="E72" s="12" t="str">
        <f t="shared" si="4"/>
        <v>95</v>
      </c>
      <c r="F72" s="14">
        <v>300000</v>
      </c>
      <c r="G72" s="67" t="s">
        <v>5611</v>
      </c>
      <c r="H72" s="14" t="s">
        <v>5601</v>
      </c>
      <c r="I72" s="14" t="s">
        <v>2458</v>
      </c>
      <c r="J72" s="33" t="s">
        <v>7110</v>
      </c>
      <c r="K72" s="68">
        <v>0</v>
      </c>
      <c r="L72" s="68">
        <v>0</v>
      </c>
      <c r="M72" s="68" t="s">
        <v>8915</v>
      </c>
      <c r="N72" s="68">
        <v>0</v>
      </c>
      <c r="O72" s="68">
        <v>0</v>
      </c>
      <c r="P72" s="198" t="s">
        <v>5612</v>
      </c>
    </row>
    <row r="73" spans="1:16" ht="18.75" hidden="1">
      <c r="A73" s="13" t="s">
        <v>2724</v>
      </c>
      <c r="B73" s="12" t="s">
        <v>2752</v>
      </c>
      <c r="C73" s="12" t="s">
        <v>2643</v>
      </c>
      <c r="D73" s="12" t="s">
        <v>2610</v>
      </c>
      <c r="E73" s="12" t="str">
        <f t="shared" si="4"/>
        <v>95</v>
      </c>
      <c r="F73" s="14">
        <v>51932</v>
      </c>
      <c r="G73" s="67" t="s">
        <v>5604</v>
      </c>
      <c r="H73" s="14" t="s">
        <v>5601</v>
      </c>
      <c r="I73" s="14" t="s">
        <v>2458</v>
      </c>
      <c r="J73" s="33" t="s">
        <v>7110</v>
      </c>
      <c r="K73" s="68">
        <v>0</v>
      </c>
      <c r="L73" s="68">
        <v>0</v>
      </c>
      <c r="M73" s="68" t="s">
        <v>8915</v>
      </c>
      <c r="N73" s="68">
        <v>0</v>
      </c>
      <c r="O73" s="68">
        <v>0</v>
      </c>
      <c r="P73" s="198" t="s">
        <v>5605</v>
      </c>
    </row>
    <row r="74" spans="1:16" ht="18.75" hidden="1">
      <c r="A74" s="13" t="s">
        <v>2725</v>
      </c>
      <c r="B74" s="12" t="s">
        <v>2758</v>
      </c>
      <c r="C74" s="12" t="s">
        <v>2803</v>
      </c>
      <c r="D74" s="12" t="s">
        <v>2612</v>
      </c>
      <c r="E74" s="12" t="str">
        <f t="shared" si="4"/>
        <v>95</v>
      </c>
      <c r="F74" s="14">
        <v>995890</v>
      </c>
      <c r="G74" s="67" t="s">
        <v>5607</v>
      </c>
      <c r="H74" s="14" t="s">
        <v>5601</v>
      </c>
      <c r="I74" s="14" t="s">
        <v>2458</v>
      </c>
      <c r="J74" s="33" t="s">
        <v>7110</v>
      </c>
      <c r="K74" s="68">
        <v>0</v>
      </c>
      <c r="L74" s="68">
        <v>0</v>
      </c>
      <c r="M74" s="68" t="s">
        <v>8915</v>
      </c>
      <c r="N74" s="68">
        <v>0</v>
      </c>
      <c r="O74" s="68">
        <v>0</v>
      </c>
      <c r="P74" s="198" t="s">
        <v>5608</v>
      </c>
    </row>
    <row r="75" spans="1:16" ht="18.75" hidden="1">
      <c r="A75" s="13" t="s">
        <v>2726</v>
      </c>
      <c r="B75" s="12" t="s">
        <v>2758</v>
      </c>
      <c r="C75" s="12" t="s">
        <v>2778</v>
      </c>
      <c r="D75" s="12" t="s">
        <v>2617</v>
      </c>
      <c r="E75" s="12" t="str">
        <f t="shared" si="4"/>
        <v>95</v>
      </c>
      <c r="F75" s="14">
        <v>497443</v>
      </c>
      <c r="G75" s="67" t="s">
        <v>5607</v>
      </c>
      <c r="H75" s="14" t="s">
        <v>5601</v>
      </c>
      <c r="I75" s="14" t="s">
        <v>2458</v>
      </c>
      <c r="J75" s="33" t="s">
        <v>7110</v>
      </c>
      <c r="K75" s="68">
        <v>0</v>
      </c>
      <c r="L75" s="68">
        <v>0</v>
      </c>
      <c r="M75" s="68" t="s">
        <v>8915</v>
      </c>
      <c r="N75" s="68">
        <v>0</v>
      </c>
      <c r="O75" s="68">
        <v>0</v>
      </c>
      <c r="P75" s="198" t="s">
        <v>5608</v>
      </c>
    </row>
    <row r="76" spans="1:16" ht="18.75" hidden="1">
      <c r="A76" s="13" t="s">
        <v>2727</v>
      </c>
      <c r="B76" s="12" t="s">
        <v>2752</v>
      </c>
      <c r="C76" s="12" t="s">
        <v>2799</v>
      </c>
      <c r="D76" s="12" t="s">
        <v>2611</v>
      </c>
      <c r="E76" s="12" t="str">
        <f t="shared" si="4"/>
        <v>95</v>
      </c>
      <c r="F76" s="14">
        <v>300420</v>
      </c>
      <c r="G76" s="67" t="s">
        <v>5607</v>
      </c>
      <c r="H76" s="14" t="s">
        <v>5601</v>
      </c>
      <c r="I76" s="14" t="s">
        <v>2458</v>
      </c>
      <c r="J76" s="33" t="s">
        <v>7110</v>
      </c>
      <c r="K76" s="68">
        <v>0</v>
      </c>
      <c r="L76" s="68">
        <v>0</v>
      </c>
      <c r="M76" s="68" t="s">
        <v>8915</v>
      </c>
      <c r="N76" s="68">
        <v>0</v>
      </c>
      <c r="O76" s="68">
        <v>0</v>
      </c>
      <c r="P76" s="198" t="s">
        <v>5608</v>
      </c>
    </row>
    <row r="77" spans="1:16" ht="18.75" hidden="1">
      <c r="A77" s="13" t="s">
        <v>2728</v>
      </c>
      <c r="B77" s="12" t="s">
        <v>2750</v>
      </c>
      <c r="C77" s="12" t="s">
        <v>2785</v>
      </c>
      <c r="D77" s="12" t="s">
        <v>2619</v>
      </c>
      <c r="E77" s="12" t="str">
        <f t="shared" si="4"/>
        <v>95</v>
      </c>
      <c r="F77" s="14">
        <v>900000</v>
      </c>
      <c r="G77" s="67" t="s">
        <v>5611</v>
      </c>
      <c r="H77" s="14" t="s">
        <v>5601</v>
      </c>
      <c r="I77" s="14" t="s">
        <v>2458</v>
      </c>
      <c r="J77" s="33" t="s">
        <v>7110</v>
      </c>
      <c r="K77" s="68">
        <v>0</v>
      </c>
      <c r="L77" s="68">
        <v>0</v>
      </c>
      <c r="M77" s="68" t="s">
        <v>8915</v>
      </c>
      <c r="N77" s="68">
        <v>0</v>
      </c>
      <c r="O77" s="68">
        <v>0</v>
      </c>
      <c r="P77" s="198" t="s">
        <v>5612</v>
      </c>
    </row>
    <row r="78" spans="1:16" ht="18.75" hidden="1">
      <c r="A78" s="13" t="s">
        <v>2724</v>
      </c>
      <c r="B78" s="12" t="s">
        <v>2752</v>
      </c>
      <c r="C78" s="12" t="s">
        <v>2804</v>
      </c>
      <c r="D78" s="12" t="s">
        <v>2611</v>
      </c>
      <c r="E78" s="12" t="str">
        <f t="shared" si="4"/>
        <v>95</v>
      </c>
      <c r="F78" s="14">
        <v>241687</v>
      </c>
      <c r="G78" s="67" t="s">
        <v>5604</v>
      </c>
      <c r="H78" s="14" t="s">
        <v>5601</v>
      </c>
      <c r="I78" s="14" t="s">
        <v>2458</v>
      </c>
      <c r="J78" s="33" t="s">
        <v>7110</v>
      </c>
      <c r="K78" s="68">
        <v>0</v>
      </c>
      <c r="L78" s="68">
        <v>0</v>
      </c>
      <c r="M78" s="68" t="s">
        <v>8915</v>
      </c>
      <c r="N78" s="68">
        <v>0</v>
      </c>
      <c r="O78" s="68">
        <v>0</v>
      </c>
      <c r="P78" s="198" t="s">
        <v>5605</v>
      </c>
    </row>
    <row r="79" spans="1:16" ht="18.75" hidden="1">
      <c r="A79" s="13" t="s">
        <v>2721</v>
      </c>
      <c r="B79" s="12" t="s">
        <v>2756</v>
      </c>
      <c r="C79" s="12" t="s">
        <v>2790</v>
      </c>
      <c r="D79" s="12" t="s">
        <v>2617</v>
      </c>
      <c r="E79" s="12" t="str">
        <f t="shared" si="4"/>
        <v>95</v>
      </c>
      <c r="F79" s="14">
        <v>857747</v>
      </c>
      <c r="G79" s="67" t="s">
        <v>5607</v>
      </c>
      <c r="H79" s="14" t="s">
        <v>5601</v>
      </c>
      <c r="I79" s="14" t="s">
        <v>2458</v>
      </c>
      <c r="J79" s="33" t="s">
        <v>7110</v>
      </c>
      <c r="K79" s="68">
        <v>0</v>
      </c>
      <c r="L79" s="68">
        <v>0</v>
      </c>
      <c r="M79" s="68" t="s">
        <v>8915</v>
      </c>
      <c r="N79" s="68">
        <v>0</v>
      </c>
      <c r="O79" s="68">
        <v>0</v>
      </c>
      <c r="P79" s="198" t="s">
        <v>5608</v>
      </c>
    </row>
    <row r="80" spans="1:16" ht="18.75" hidden="1">
      <c r="A80" s="13" t="s">
        <v>2729</v>
      </c>
      <c r="B80" s="12" t="s">
        <v>2750</v>
      </c>
      <c r="C80" s="12" t="s">
        <v>2794</v>
      </c>
      <c r="D80" s="12" t="s">
        <v>2610</v>
      </c>
      <c r="E80" s="12" t="str">
        <f t="shared" si="4"/>
        <v>95</v>
      </c>
      <c r="F80" s="14">
        <v>696100</v>
      </c>
      <c r="G80" s="67" t="s">
        <v>5607</v>
      </c>
      <c r="H80" s="14" t="s">
        <v>5601</v>
      </c>
      <c r="I80" s="14" t="s">
        <v>2458</v>
      </c>
      <c r="J80" s="33" t="s">
        <v>7110</v>
      </c>
      <c r="K80" s="68">
        <v>0</v>
      </c>
      <c r="L80" s="68">
        <v>0</v>
      </c>
      <c r="M80" s="68" t="s">
        <v>8915</v>
      </c>
      <c r="N80" s="68">
        <v>0</v>
      </c>
      <c r="O80" s="68">
        <v>0</v>
      </c>
      <c r="P80" s="198" t="s">
        <v>5608</v>
      </c>
    </row>
    <row r="81" spans="1:16" ht="18.75" hidden="1">
      <c r="A81" s="13" t="s">
        <v>2730</v>
      </c>
      <c r="B81" s="12" t="s">
        <v>2751</v>
      </c>
      <c r="C81" s="12" t="s">
        <v>2792</v>
      </c>
      <c r="D81" s="12" t="s">
        <v>2619</v>
      </c>
      <c r="E81" s="12" t="str">
        <f t="shared" si="4"/>
        <v>95</v>
      </c>
      <c r="F81" s="14">
        <v>12142</v>
      </c>
      <c r="G81" s="67" t="s">
        <v>5604</v>
      </c>
      <c r="H81" s="14" t="s">
        <v>5601</v>
      </c>
      <c r="I81" s="14" t="s">
        <v>2458</v>
      </c>
      <c r="J81" s="33" t="s">
        <v>7110</v>
      </c>
      <c r="K81" s="68">
        <v>0</v>
      </c>
      <c r="L81" s="68">
        <v>0</v>
      </c>
      <c r="M81" s="68" t="s">
        <v>8915</v>
      </c>
      <c r="N81" s="68">
        <v>0</v>
      </c>
      <c r="O81" s="68">
        <v>0</v>
      </c>
      <c r="P81" s="198" t="s">
        <v>5605</v>
      </c>
    </row>
    <row r="82" spans="1:16" ht="18.75" hidden="1">
      <c r="A82" s="13" t="s">
        <v>2731</v>
      </c>
      <c r="B82" s="12" t="s">
        <v>2757</v>
      </c>
      <c r="C82" s="12" t="s">
        <v>2806</v>
      </c>
      <c r="D82" s="12" t="s">
        <v>2751</v>
      </c>
      <c r="E82" s="12" t="str">
        <f t="shared" si="4"/>
        <v>95</v>
      </c>
      <c r="F82" s="14">
        <v>500000</v>
      </c>
      <c r="G82" s="67" t="s">
        <v>5607</v>
      </c>
      <c r="H82" s="14" t="s">
        <v>5601</v>
      </c>
      <c r="I82" s="14" t="s">
        <v>2458</v>
      </c>
      <c r="J82" s="33" t="s">
        <v>7110</v>
      </c>
      <c r="K82" s="68">
        <v>0</v>
      </c>
      <c r="L82" s="68">
        <v>0</v>
      </c>
      <c r="M82" s="68" t="s">
        <v>8915</v>
      </c>
      <c r="N82" s="68">
        <v>0</v>
      </c>
      <c r="O82" s="68">
        <v>0</v>
      </c>
      <c r="P82" s="198" t="s">
        <v>5608</v>
      </c>
    </row>
    <row r="83" spans="1:16" ht="18.75" hidden="1">
      <c r="A83" s="13" t="s">
        <v>2731</v>
      </c>
      <c r="B83" s="12" t="s">
        <v>2757</v>
      </c>
      <c r="C83" s="12" t="s">
        <v>2807</v>
      </c>
      <c r="D83" s="12" t="s">
        <v>2751</v>
      </c>
      <c r="E83" s="12" t="str">
        <f t="shared" si="4"/>
        <v>95</v>
      </c>
      <c r="F83" s="14">
        <v>98975</v>
      </c>
      <c r="G83" s="67" t="s">
        <v>5607</v>
      </c>
      <c r="H83" s="14" t="s">
        <v>5601</v>
      </c>
      <c r="I83" s="14" t="s">
        <v>2458</v>
      </c>
      <c r="J83" s="33" t="s">
        <v>7110</v>
      </c>
      <c r="K83" s="68">
        <v>0</v>
      </c>
      <c r="L83" s="68">
        <v>0</v>
      </c>
      <c r="M83" s="68" t="s">
        <v>8915</v>
      </c>
      <c r="N83" s="68">
        <v>0</v>
      </c>
      <c r="O83" s="68">
        <v>0</v>
      </c>
      <c r="P83" s="198" t="s">
        <v>5608</v>
      </c>
    </row>
    <row r="84" spans="1:16" ht="18.75" hidden="1">
      <c r="A84" s="13" t="s">
        <v>2732</v>
      </c>
      <c r="B84" s="12" t="s">
        <v>2755</v>
      </c>
      <c r="C84" s="12" t="s">
        <v>2791</v>
      </c>
      <c r="D84" s="12" t="s">
        <v>2612</v>
      </c>
      <c r="E84" s="12" t="str">
        <f t="shared" si="4"/>
        <v>95</v>
      </c>
      <c r="F84" s="14">
        <v>199365</v>
      </c>
      <c r="G84" s="67" t="s">
        <v>5607</v>
      </c>
      <c r="H84" s="14" t="s">
        <v>5601</v>
      </c>
      <c r="I84" s="14" t="s">
        <v>2458</v>
      </c>
      <c r="J84" s="33" t="s">
        <v>7110</v>
      </c>
      <c r="K84" s="68">
        <v>0</v>
      </c>
      <c r="L84" s="68">
        <v>0</v>
      </c>
      <c r="M84" s="68" t="s">
        <v>8915</v>
      </c>
      <c r="N84" s="68">
        <v>0</v>
      </c>
      <c r="O84" s="68">
        <v>0</v>
      </c>
      <c r="P84" s="198" t="s">
        <v>5608</v>
      </c>
    </row>
    <row r="85" spans="1:16" ht="18.75" hidden="1">
      <c r="A85" s="13" t="s">
        <v>2733</v>
      </c>
      <c r="B85" s="12" t="s">
        <v>2755</v>
      </c>
      <c r="C85" s="12" t="s">
        <v>2804</v>
      </c>
      <c r="D85" s="12" t="s">
        <v>2611</v>
      </c>
      <c r="E85" s="12" t="str">
        <f t="shared" si="4"/>
        <v>95</v>
      </c>
      <c r="F85" s="14">
        <v>996240</v>
      </c>
      <c r="G85" s="67" t="s">
        <v>5604</v>
      </c>
      <c r="H85" s="14" t="s">
        <v>5601</v>
      </c>
      <c r="I85" s="14" t="s">
        <v>2458</v>
      </c>
      <c r="J85" s="33" t="s">
        <v>7110</v>
      </c>
      <c r="K85" s="68">
        <v>0</v>
      </c>
      <c r="L85" s="68">
        <v>0</v>
      </c>
      <c r="M85" s="68" t="s">
        <v>8915</v>
      </c>
      <c r="N85" s="68">
        <v>0</v>
      </c>
      <c r="O85" s="68">
        <v>0</v>
      </c>
      <c r="P85" s="198" t="s">
        <v>5605</v>
      </c>
    </row>
    <row r="86" spans="1:16" ht="18.75" hidden="1">
      <c r="A86" s="13" t="s">
        <v>2734</v>
      </c>
      <c r="B86" s="12" t="s">
        <v>2752</v>
      </c>
      <c r="C86" s="12" t="s">
        <v>2661</v>
      </c>
      <c r="D86" s="12" t="s">
        <v>2615</v>
      </c>
      <c r="E86" s="12" t="str">
        <f t="shared" si="4"/>
        <v>95</v>
      </c>
      <c r="F86" s="14">
        <v>21528</v>
      </c>
      <c r="G86" s="67" t="s">
        <v>5607</v>
      </c>
      <c r="H86" s="14" t="s">
        <v>5601</v>
      </c>
      <c r="I86" s="14" t="s">
        <v>2458</v>
      </c>
      <c r="J86" s="33" t="s">
        <v>7110</v>
      </c>
      <c r="K86" s="68">
        <v>0</v>
      </c>
      <c r="L86" s="68">
        <v>0</v>
      </c>
      <c r="M86" s="68" t="s">
        <v>8915</v>
      </c>
      <c r="N86" s="68">
        <v>0</v>
      </c>
      <c r="O86" s="68">
        <v>0</v>
      </c>
      <c r="P86" s="198" t="s">
        <v>5608</v>
      </c>
    </row>
    <row r="87" spans="1:16" ht="18.75" hidden="1">
      <c r="A87" s="13" t="s">
        <v>2734</v>
      </c>
      <c r="B87" s="12" t="s">
        <v>2752</v>
      </c>
      <c r="C87" s="12" t="s">
        <v>2799</v>
      </c>
      <c r="D87" s="12" t="s">
        <v>2611</v>
      </c>
      <c r="E87" s="12" t="str">
        <f t="shared" si="4"/>
        <v>95</v>
      </c>
      <c r="F87" s="14">
        <v>73412</v>
      </c>
      <c r="G87" s="67" t="s">
        <v>5607</v>
      </c>
      <c r="H87" s="14" t="s">
        <v>5601</v>
      </c>
      <c r="I87" s="14" t="s">
        <v>2458</v>
      </c>
      <c r="J87" s="33" t="s">
        <v>7110</v>
      </c>
      <c r="K87" s="68">
        <v>0</v>
      </c>
      <c r="L87" s="68">
        <v>0</v>
      </c>
      <c r="M87" s="68" t="s">
        <v>8915</v>
      </c>
      <c r="N87" s="68">
        <v>0</v>
      </c>
      <c r="O87" s="68">
        <v>0</v>
      </c>
      <c r="P87" s="198" t="s">
        <v>5608</v>
      </c>
    </row>
    <row r="88" spans="1:16" ht="18.75" hidden="1">
      <c r="A88" s="13" t="s">
        <v>2735</v>
      </c>
      <c r="B88" s="12" t="s">
        <v>2755</v>
      </c>
      <c r="C88" s="12" t="s">
        <v>2808</v>
      </c>
      <c r="D88" s="12" t="s">
        <v>2609</v>
      </c>
      <c r="E88" s="12" t="str">
        <f t="shared" si="4"/>
        <v>95</v>
      </c>
      <c r="F88" s="14">
        <v>220342</v>
      </c>
      <c r="G88" s="67" t="s">
        <v>5604</v>
      </c>
      <c r="H88" s="14" t="s">
        <v>5601</v>
      </c>
      <c r="I88" s="14" t="s">
        <v>2458</v>
      </c>
      <c r="J88" s="33" t="s">
        <v>7110</v>
      </c>
      <c r="K88" s="68">
        <v>0</v>
      </c>
      <c r="L88" s="68">
        <v>0</v>
      </c>
      <c r="M88" s="68" t="s">
        <v>8915</v>
      </c>
      <c r="N88" s="68">
        <v>0</v>
      </c>
      <c r="O88" s="68">
        <v>0</v>
      </c>
      <c r="P88" s="198" t="s">
        <v>5605</v>
      </c>
    </row>
    <row r="89" spans="1:16" ht="18.75" hidden="1">
      <c r="A89" s="13" t="s">
        <v>2736</v>
      </c>
      <c r="B89" s="12" t="s">
        <v>2755</v>
      </c>
      <c r="C89" s="12" t="s">
        <v>2791</v>
      </c>
      <c r="D89" s="12" t="s">
        <v>2612</v>
      </c>
      <c r="E89" s="12" t="str">
        <f t="shared" si="4"/>
        <v>95</v>
      </c>
      <c r="F89" s="14">
        <v>198470</v>
      </c>
      <c r="G89" s="67" t="s">
        <v>5607</v>
      </c>
      <c r="H89" s="14" t="s">
        <v>5601</v>
      </c>
      <c r="I89" s="14" t="s">
        <v>2458</v>
      </c>
      <c r="J89" s="33" t="s">
        <v>7110</v>
      </c>
      <c r="K89" s="68">
        <v>0</v>
      </c>
      <c r="L89" s="68">
        <v>0</v>
      </c>
      <c r="M89" s="68" t="s">
        <v>8915</v>
      </c>
      <c r="N89" s="68">
        <v>0</v>
      </c>
      <c r="O89" s="68">
        <v>0</v>
      </c>
      <c r="P89" s="198" t="s">
        <v>5608</v>
      </c>
    </row>
    <row r="90" spans="1:16" ht="18.75" hidden="1">
      <c r="A90" s="13" t="s">
        <v>2737</v>
      </c>
      <c r="B90" s="12" t="s">
        <v>2758</v>
      </c>
      <c r="C90" s="12" t="s">
        <v>2782</v>
      </c>
      <c r="D90" s="12" t="s">
        <v>2609</v>
      </c>
      <c r="E90" s="12" t="str">
        <f t="shared" si="4"/>
        <v>95</v>
      </c>
      <c r="F90" s="14">
        <v>646540</v>
      </c>
      <c r="G90" s="67" t="s">
        <v>5604</v>
      </c>
      <c r="H90" s="14" t="s">
        <v>5601</v>
      </c>
      <c r="I90" s="14" t="s">
        <v>2458</v>
      </c>
      <c r="J90" s="33" t="s">
        <v>7110</v>
      </c>
      <c r="K90" s="68">
        <v>0</v>
      </c>
      <c r="L90" s="68">
        <v>0</v>
      </c>
      <c r="M90" s="68" t="s">
        <v>8915</v>
      </c>
      <c r="N90" s="68">
        <v>0</v>
      </c>
      <c r="O90" s="68">
        <v>0</v>
      </c>
      <c r="P90" s="198" t="s">
        <v>5605</v>
      </c>
    </row>
    <row r="91" spans="1:16" ht="18.75" hidden="1">
      <c r="A91" s="13" t="s">
        <v>2710</v>
      </c>
      <c r="B91" s="12" t="s">
        <v>2757</v>
      </c>
      <c r="C91" s="12" t="s">
        <v>2798</v>
      </c>
      <c r="D91" s="12" t="s">
        <v>2612</v>
      </c>
      <c r="E91" s="12" t="str">
        <f t="shared" si="4"/>
        <v>95</v>
      </c>
      <c r="F91" s="14">
        <v>6585</v>
      </c>
      <c r="G91" s="67" t="s">
        <v>5607</v>
      </c>
      <c r="H91" s="14" t="s">
        <v>5601</v>
      </c>
      <c r="I91" s="14" t="s">
        <v>2458</v>
      </c>
      <c r="J91" s="33" t="s">
        <v>7110</v>
      </c>
      <c r="K91" s="68">
        <v>0</v>
      </c>
      <c r="L91" s="68">
        <v>0</v>
      </c>
      <c r="M91" s="68" t="s">
        <v>8915</v>
      </c>
      <c r="N91" s="68">
        <v>0</v>
      </c>
      <c r="O91" s="68">
        <v>0</v>
      </c>
      <c r="P91" s="198" t="s">
        <v>5608</v>
      </c>
    </row>
    <row r="92" spans="1:16" ht="18.75" hidden="1">
      <c r="A92" s="13" t="s">
        <v>2738</v>
      </c>
      <c r="B92" s="12" t="s">
        <v>2749</v>
      </c>
      <c r="C92" s="12" t="s">
        <v>2789</v>
      </c>
      <c r="D92" s="12" t="s">
        <v>2611</v>
      </c>
      <c r="E92" s="12" t="str">
        <f t="shared" si="4"/>
        <v>95</v>
      </c>
      <c r="F92" s="14">
        <v>298650</v>
      </c>
      <c r="G92" s="67" t="s">
        <v>5607</v>
      </c>
      <c r="H92" s="14" t="s">
        <v>5601</v>
      </c>
      <c r="I92" s="14" t="s">
        <v>2458</v>
      </c>
      <c r="J92" s="33" t="s">
        <v>7110</v>
      </c>
      <c r="K92" s="68">
        <v>0</v>
      </c>
      <c r="L92" s="68">
        <v>0</v>
      </c>
      <c r="M92" s="68" t="s">
        <v>8915</v>
      </c>
      <c r="N92" s="68">
        <v>0</v>
      </c>
      <c r="O92" s="68">
        <v>0</v>
      </c>
      <c r="P92" s="198" t="s">
        <v>5608</v>
      </c>
    </row>
    <row r="93" spans="1:16" ht="18.75" hidden="1">
      <c r="A93" s="13" t="s">
        <v>2734</v>
      </c>
      <c r="B93" s="12" t="s">
        <v>2752</v>
      </c>
      <c r="C93" s="12" t="s">
        <v>2789</v>
      </c>
      <c r="D93" s="12" t="s">
        <v>2611</v>
      </c>
      <c r="E93" s="12" t="str">
        <f t="shared" si="4"/>
        <v>95</v>
      </c>
      <c r="F93" s="14">
        <v>204400</v>
      </c>
      <c r="G93" s="67" t="s">
        <v>5607</v>
      </c>
      <c r="H93" s="14" t="s">
        <v>5601</v>
      </c>
      <c r="I93" s="14" t="s">
        <v>2458</v>
      </c>
      <c r="J93" s="33" t="s">
        <v>7110</v>
      </c>
      <c r="K93" s="68">
        <v>0</v>
      </c>
      <c r="L93" s="68">
        <v>0</v>
      </c>
      <c r="M93" s="68" t="s">
        <v>8915</v>
      </c>
      <c r="N93" s="68">
        <v>0</v>
      </c>
      <c r="O93" s="68">
        <v>0</v>
      </c>
      <c r="P93" s="198" t="s">
        <v>5608</v>
      </c>
    </row>
    <row r="94" spans="1:16" ht="18.75" hidden="1">
      <c r="A94" s="13" t="s">
        <v>2730</v>
      </c>
      <c r="B94" s="12" t="s">
        <v>2751</v>
      </c>
      <c r="C94" s="12" t="s">
        <v>2650</v>
      </c>
      <c r="D94" s="12" t="s">
        <v>2614</v>
      </c>
      <c r="E94" s="12" t="str">
        <f t="shared" si="4"/>
        <v>95</v>
      </c>
      <c r="F94" s="14">
        <v>328910</v>
      </c>
      <c r="G94" s="67" t="s">
        <v>5604</v>
      </c>
      <c r="H94" s="14" t="s">
        <v>5601</v>
      </c>
      <c r="I94" s="14" t="s">
        <v>2458</v>
      </c>
      <c r="J94" s="33" t="s">
        <v>7110</v>
      </c>
      <c r="K94" s="68">
        <v>0</v>
      </c>
      <c r="L94" s="68">
        <v>0</v>
      </c>
      <c r="M94" s="68" t="s">
        <v>8915</v>
      </c>
      <c r="N94" s="68">
        <v>0</v>
      </c>
      <c r="O94" s="68">
        <v>0</v>
      </c>
      <c r="P94" s="198" t="s">
        <v>5605</v>
      </c>
    </row>
    <row r="95" spans="1:16" ht="18.75" hidden="1">
      <c r="A95" s="13" t="s">
        <v>2735</v>
      </c>
      <c r="B95" s="12" t="s">
        <v>2755</v>
      </c>
      <c r="C95" s="12" t="s">
        <v>2792</v>
      </c>
      <c r="D95" s="12" t="s">
        <v>2619</v>
      </c>
      <c r="E95" s="12" t="str">
        <f t="shared" ref="E95:E117" si="5">MID(D95,1,2)</f>
        <v>95</v>
      </c>
      <c r="F95" s="14">
        <v>138211</v>
      </c>
      <c r="G95" s="67" t="s">
        <v>5604</v>
      </c>
      <c r="H95" s="14" t="s">
        <v>5601</v>
      </c>
      <c r="I95" s="14" t="s">
        <v>2458</v>
      </c>
      <c r="J95" s="33" t="s">
        <v>7110</v>
      </c>
      <c r="K95" s="68">
        <v>0</v>
      </c>
      <c r="L95" s="68">
        <v>0</v>
      </c>
      <c r="M95" s="68" t="s">
        <v>8915</v>
      </c>
      <c r="N95" s="68">
        <v>0</v>
      </c>
      <c r="O95" s="68">
        <v>0</v>
      </c>
      <c r="P95" s="198" t="s">
        <v>5605</v>
      </c>
    </row>
    <row r="96" spans="1:16" ht="18.75" hidden="1">
      <c r="A96" s="13" t="s">
        <v>2737</v>
      </c>
      <c r="B96" s="12" t="s">
        <v>2758</v>
      </c>
      <c r="C96" s="12" t="s">
        <v>2804</v>
      </c>
      <c r="D96" s="12" t="s">
        <v>2611</v>
      </c>
      <c r="E96" s="12" t="str">
        <f t="shared" si="5"/>
        <v>95</v>
      </c>
      <c r="F96" s="14">
        <v>332370</v>
      </c>
      <c r="G96" s="67" t="s">
        <v>5604</v>
      </c>
      <c r="H96" s="14" t="s">
        <v>5601</v>
      </c>
      <c r="I96" s="14" t="s">
        <v>2458</v>
      </c>
      <c r="J96" s="33" t="s">
        <v>7110</v>
      </c>
      <c r="K96" s="68">
        <v>0</v>
      </c>
      <c r="L96" s="68">
        <v>0</v>
      </c>
      <c r="M96" s="68" t="s">
        <v>8915</v>
      </c>
      <c r="N96" s="68">
        <v>0</v>
      </c>
      <c r="O96" s="68">
        <v>0</v>
      </c>
      <c r="P96" s="198" t="s">
        <v>5605</v>
      </c>
    </row>
    <row r="97" spans="1:16" ht="18.75" hidden="1">
      <c r="A97" s="13" t="s">
        <v>2739</v>
      </c>
      <c r="B97" s="12" t="s">
        <v>2755</v>
      </c>
      <c r="C97" s="12" t="s">
        <v>2804</v>
      </c>
      <c r="D97" s="12" t="s">
        <v>2611</v>
      </c>
      <c r="E97" s="12" t="str">
        <f t="shared" si="5"/>
        <v>95</v>
      </c>
      <c r="F97" s="14">
        <v>488336</v>
      </c>
      <c r="G97" s="67" t="s">
        <v>5604</v>
      </c>
      <c r="H97" s="14" t="s">
        <v>5601</v>
      </c>
      <c r="I97" s="14" t="s">
        <v>2458</v>
      </c>
      <c r="J97" s="33" t="s">
        <v>7110</v>
      </c>
      <c r="K97" s="68">
        <v>0</v>
      </c>
      <c r="L97" s="68">
        <v>0</v>
      </c>
      <c r="M97" s="68" t="s">
        <v>8915</v>
      </c>
      <c r="N97" s="68">
        <v>0</v>
      </c>
      <c r="O97" s="68">
        <v>0</v>
      </c>
      <c r="P97" s="198" t="s">
        <v>5605</v>
      </c>
    </row>
    <row r="98" spans="1:16" ht="18.75" hidden="1">
      <c r="A98" s="13" t="s">
        <v>2740</v>
      </c>
      <c r="B98" s="12" t="s">
        <v>2755</v>
      </c>
      <c r="C98" s="12" t="s">
        <v>2809</v>
      </c>
      <c r="D98" s="12" t="s">
        <v>2611</v>
      </c>
      <c r="E98" s="12" t="str">
        <f t="shared" si="5"/>
        <v>95</v>
      </c>
      <c r="F98" s="14">
        <v>984231</v>
      </c>
      <c r="G98" s="67" t="s">
        <v>5604</v>
      </c>
      <c r="H98" s="14" t="s">
        <v>5601</v>
      </c>
      <c r="I98" s="14" t="s">
        <v>2458</v>
      </c>
      <c r="J98" s="33" t="s">
        <v>7110</v>
      </c>
      <c r="K98" s="68">
        <v>0</v>
      </c>
      <c r="L98" s="68">
        <v>0</v>
      </c>
      <c r="M98" s="68" t="s">
        <v>8915</v>
      </c>
      <c r="N98" s="68">
        <v>0</v>
      </c>
      <c r="O98" s="68">
        <v>0</v>
      </c>
      <c r="P98" s="198" t="s">
        <v>5605</v>
      </c>
    </row>
    <row r="99" spans="1:16" ht="18.75" hidden="1">
      <c r="A99" s="13" t="s">
        <v>2741</v>
      </c>
      <c r="B99" s="12" t="s">
        <v>2757</v>
      </c>
      <c r="C99" s="12" t="s">
        <v>2793</v>
      </c>
      <c r="D99" s="12" t="s">
        <v>2751</v>
      </c>
      <c r="E99" s="12" t="str">
        <f t="shared" si="5"/>
        <v>95</v>
      </c>
      <c r="F99" s="14">
        <v>995560</v>
      </c>
      <c r="G99" s="67" t="s">
        <v>5604</v>
      </c>
      <c r="H99" s="14" t="s">
        <v>5601</v>
      </c>
      <c r="I99" s="14" t="s">
        <v>2458</v>
      </c>
      <c r="J99" s="33" t="e">
        <f>VLOOKUP(C99,شرکتها!A:B,2,FALSE)</f>
        <v>#N/A</v>
      </c>
      <c r="K99" s="68">
        <v>0</v>
      </c>
      <c r="L99" s="68">
        <v>0</v>
      </c>
      <c r="M99" s="68" t="s">
        <v>8915</v>
      </c>
      <c r="N99" s="68">
        <v>0</v>
      </c>
      <c r="O99" s="68">
        <v>0</v>
      </c>
      <c r="P99" s="198" t="s">
        <v>5613</v>
      </c>
    </row>
    <row r="100" spans="1:16" ht="18.75" hidden="1">
      <c r="A100" s="13" t="s">
        <v>2699</v>
      </c>
      <c r="B100" s="12" t="s">
        <v>2756</v>
      </c>
      <c r="C100" s="12" t="s">
        <v>2642</v>
      </c>
      <c r="D100" s="12" t="s">
        <v>2611</v>
      </c>
      <c r="E100" s="12" t="str">
        <f t="shared" si="5"/>
        <v>95</v>
      </c>
      <c r="F100" s="14">
        <v>468680</v>
      </c>
      <c r="G100" s="67" t="s">
        <v>5604</v>
      </c>
      <c r="H100" s="14" t="s">
        <v>5601</v>
      </c>
      <c r="I100" s="14" t="s">
        <v>2458</v>
      </c>
      <c r="J100" s="33" t="s">
        <v>7110</v>
      </c>
      <c r="K100" s="68">
        <v>0</v>
      </c>
      <c r="L100" s="68">
        <v>0</v>
      </c>
      <c r="M100" s="68" t="s">
        <v>8915</v>
      </c>
      <c r="N100" s="68">
        <v>0</v>
      </c>
      <c r="O100" s="68">
        <v>0</v>
      </c>
      <c r="P100" s="198" t="s">
        <v>5605</v>
      </c>
    </row>
    <row r="101" spans="1:16" ht="18.75" hidden="1">
      <c r="A101" s="13" t="s">
        <v>2742</v>
      </c>
      <c r="B101" s="12" t="s">
        <v>2757</v>
      </c>
      <c r="C101" s="12" t="s">
        <v>2810</v>
      </c>
      <c r="D101" s="12" t="s">
        <v>2751</v>
      </c>
      <c r="E101" s="12" t="str">
        <f t="shared" si="5"/>
        <v>95</v>
      </c>
      <c r="F101" s="14">
        <v>997670</v>
      </c>
      <c r="G101" s="67" t="s">
        <v>5607</v>
      </c>
      <c r="H101" s="14" t="s">
        <v>5601</v>
      </c>
      <c r="I101" s="14" t="s">
        <v>2458</v>
      </c>
      <c r="J101" s="33" t="s">
        <v>7110</v>
      </c>
      <c r="K101" s="68">
        <v>0</v>
      </c>
      <c r="L101" s="68">
        <v>0</v>
      </c>
      <c r="M101" s="68" t="s">
        <v>8915</v>
      </c>
      <c r="N101" s="68">
        <v>0</v>
      </c>
      <c r="O101" s="68">
        <v>0</v>
      </c>
      <c r="P101" s="198" t="s">
        <v>5608</v>
      </c>
    </row>
    <row r="102" spans="1:16" ht="18.75" hidden="1">
      <c r="A102" s="13" t="s">
        <v>2743</v>
      </c>
      <c r="B102" s="12" t="s">
        <v>2749</v>
      </c>
      <c r="C102" s="12" t="s">
        <v>2811</v>
      </c>
      <c r="D102" s="12" t="s">
        <v>2609</v>
      </c>
      <c r="E102" s="12" t="str">
        <f t="shared" si="5"/>
        <v>95</v>
      </c>
      <c r="F102" s="14">
        <v>905119</v>
      </c>
      <c r="G102" s="67" t="s">
        <v>5604</v>
      </c>
      <c r="H102" s="14" t="s">
        <v>5601</v>
      </c>
      <c r="I102" s="14" t="s">
        <v>2458</v>
      </c>
      <c r="J102" s="33" t="e">
        <f>VLOOKUP(C102,شرکتها!A:B,2,FALSE)</f>
        <v>#N/A</v>
      </c>
      <c r="K102" s="68">
        <v>0</v>
      </c>
      <c r="L102" s="68">
        <v>0</v>
      </c>
      <c r="M102" s="68" t="s">
        <v>8915</v>
      </c>
      <c r="N102" s="68">
        <v>0</v>
      </c>
      <c r="O102" s="68">
        <v>0</v>
      </c>
      <c r="P102" s="198" t="s">
        <v>5613</v>
      </c>
    </row>
    <row r="103" spans="1:16" ht="18.75" hidden="1">
      <c r="A103" s="13" t="s">
        <v>2744</v>
      </c>
      <c r="B103" s="12" t="s">
        <v>2756</v>
      </c>
      <c r="C103" s="12" t="s">
        <v>2792</v>
      </c>
      <c r="D103" s="12" t="s">
        <v>2619</v>
      </c>
      <c r="E103" s="12" t="str">
        <f t="shared" si="5"/>
        <v>95</v>
      </c>
      <c r="F103" s="14">
        <v>398392</v>
      </c>
      <c r="G103" s="67" t="s">
        <v>5604</v>
      </c>
      <c r="H103" s="14" t="s">
        <v>5601</v>
      </c>
      <c r="I103" s="14" t="s">
        <v>2458</v>
      </c>
      <c r="J103" s="33" t="s">
        <v>7110</v>
      </c>
      <c r="K103" s="68">
        <v>0</v>
      </c>
      <c r="L103" s="68">
        <v>0</v>
      </c>
      <c r="M103" s="68" t="s">
        <v>8915</v>
      </c>
      <c r="N103" s="68">
        <v>0</v>
      </c>
      <c r="O103" s="68">
        <v>0</v>
      </c>
      <c r="P103" s="198" t="s">
        <v>5605</v>
      </c>
    </row>
    <row r="104" spans="1:16" ht="18.75" hidden="1">
      <c r="A104" s="13" t="s">
        <v>2745</v>
      </c>
      <c r="B104" s="12" t="s">
        <v>2758</v>
      </c>
      <c r="C104" s="12" t="s">
        <v>2797</v>
      </c>
      <c r="D104" s="12" t="s">
        <v>2754</v>
      </c>
      <c r="E104" s="12" t="str">
        <f t="shared" si="5"/>
        <v>95</v>
      </c>
      <c r="F104" s="14">
        <v>23560</v>
      </c>
      <c r="G104" s="67" t="s">
        <v>5604</v>
      </c>
      <c r="H104" s="14" t="s">
        <v>5601</v>
      </c>
      <c r="I104" s="14" t="s">
        <v>2458</v>
      </c>
      <c r="J104" s="33" t="e">
        <f>VLOOKUP(C104,شرکتها!A:B,2,FALSE)</f>
        <v>#N/A</v>
      </c>
      <c r="K104" s="68">
        <v>0</v>
      </c>
      <c r="L104" s="68">
        <v>0</v>
      </c>
      <c r="M104" s="68" t="s">
        <v>8915</v>
      </c>
      <c r="N104" s="68">
        <v>0</v>
      </c>
      <c r="O104" s="68">
        <v>0</v>
      </c>
      <c r="P104" s="198" t="s">
        <v>5613</v>
      </c>
    </row>
    <row r="105" spans="1:16" ht="18.75" hidden="1">
      <c r="A105" s="13" t="s">
        <v>2746</v>
      </c>
      <c r="B105" s="12" t="s">
        <v>2752</v>
      </c>
      <c r="C105" s="12" t="s">
        <v>2804</v>
      </c>
      <c r="D105" s="12" t="s">
        <v>2611</v>
      </c>
      <c r="E105" s="12" t="str">
        <f t="shared" si="5"/>
        <v>95</v>
      </c>
      <c r="F105" s="14">
        <v>205244</v>
      </c>
      <c r="G105" s="67" t="s">
        <v>5604</v>
      </c>
      <c r="H105" s="14" t="s">
        <v>5601</v>
      </c>
      <c r="I105" s="14" t="s">
        <v>2458</v>
      </c>
      <c r="J105" s="33" t="s">
        <v>7110</v>
      </c>
      <c r="K105" s="68">
        <v>0</v>
      </c>
      <c r="L105" s="68">
        <v>0</v>
      </c>
      <c r="M105" s="68" t="s">
        <v>8915</v>
      </c>
      <c r="N105" s="68">
        <v>0</v>
      </c>
      <c r="O105" s="68">
        <v>0</v>
      </c>
      <c r="P105" s="198" t="s">
        <v>5605</v>
      </c>
    </row>
    <row r="106" spans="1:16" ht="18.75" hidden="1">
      <c r="A106" s="13" t="s">
        <v>2747</v>
      </c>
      <c r="B106" s="12" t="s">
        <v>2750</v>
      </c>
      <c r="C106" s="12" t="s">
        <v>2643</v>
      </c>
      <c r="D106" s="12" t="s">
        <v>2610</v>
      </c>
      <c r="E106" s="12" t="str">
        <f t="shared" si="5"/>
        <v>95</v>
      </c>
      <c r="F106" s="14">
        <v>489096</v>
      </c>
      <c r="G106" s="67" t="s">
        <v>5604</v>
      </c>
      <c r="H106" s="14" t="s">
        <v>5601</v>
      </c>
      <c r="I106" s="14" t="s">
        <v>2458</v>
      </c>
      <c r="J106" s="33" t="s">
        <v>7110</v>
      </c>
      <c r="K106" s="68">
        <v>0</v>
      </c>
      <c r="L106" s="68">
        <v>0</v>
      </c>
      <c r="M106" s="68" t="s">
        <v>8915</v>
      </c>
      <c r="N106" s="68">
        <v>0</v>
      </c>
      <c r="O106" s="68">
        <v>0</v>
      </c>
      <c r="P106" s="198" t="s">
        <v>5605</v>
      </c>
    </row>
    <row r="107" spans="1:16" ht="18.75" hidden="1">
      <c r="A107" s="13" t="s">
        <v>2745</v>
      </c>
      <c r="B107" s="12" t="s">
        <v>2758</v>
      </c>
      <c r="C107" s="12" t="s">
        <v>2812</v>
      </c>
      <c r="D107" s="12" t="s">
        <v>2612</v>
      </c>
      <c r="E107" s="12" t="str">
        <f t="shared" si="5"/>
        <v>95</v>
      </c>
      <c r="F107" s="14">
        <v>1000000</v>
      </c>
      <c r="G107" s="67" t="s">
        <v>5604</v>
      </c>
      <c r="H107" s="14" t="s">
        <v>5601</v>
      </c>
      <c r="I107" s="14" t="s">
        <v>2458</v>
      </c>
      <c r="J107" s="33" t="e">
        <f>VLOOKUP(C107,شرکتها!A:B,2,FALSE)</f>
        <v>#N/A</v>
      </c>
      <c r="K107" s="68">
        <v>0</v>
      </c>
      <c r="L107" s="68">
        <v>0</v>
      </c>
      <c r="M107" s="68" t="s">
        <v>8915</v>
      </c>
      <c r="N107" s="68">
        <v>0</v>
      </c>
      <c r="O107" s="68">
        <v>0</v>
      </c>
      <c r="P107" s="198" t="s">
        <v>5613</v>
      </c>
    </row>
    <row r="108" spans="1:16" ht="18.75" hidden="1">
      <c r="A108" s="13" t="s">
        <v>2745</v>
      </c>
      <c r="B108" s="12" t="s">
        <v>2758</v>
      </c>
      <c r="C108" s="12" t="s">
        <v>2813</v>
      </c>
      <c r="D108" s="12" t="s">
        <v>2753</v>
      </c>
      <c r="E108" s="12" t="str">
        <f t="shared" si="5"/>
        <v>95</v>
      </c>
      <c r="F108" s="14">
        <v>976440</v>
      </c>
      <c r="G108" s="67" t="s">
        <v>5604</v>
      </c>
      <c r="H108" s="14" t="s">
        <v>5601</v>
      </c>
      <c r="I108" s="14" t="s">
        <v>2458</v>
      </c>
      <c r="J108" s="33" t="e">
        <f>VLOOKUP(C108,شرکتها!A:B,2,FALSE)</f>
        <v>#N/A</v>
      </c>
      <c r="K108" s="68">
        <v>0</v>
      </c>
      <c r="L108" s="68">
        <v>0</v>
      </c>
      <c r="M108" s="68" t="s">
        <v>8915</v>
      </c>
      <c r="N108" s="68">
        <v>0</v>
      </c>
      <c r="O108" s="68">
        <v>0</v>
      </c>
      <c r="P108" s="198" t="s">
        <v>5613</v>
      </c>
    </row>
    <row r="109" spans="1:16" ht="18.75" hidden="1">
      <c r="A109" s="13" t="s">
        <v>2700</v>
      </c>
      <c r="B109" s="12" t="s">
        <v>2755</v>
      </c>
      <c r="C109" s="12" t="s">
        <v>2814</v>
      </c>
      <c r="D109" s="12" t="s">
        <v>2617</v>
      </c>
      <c r="E109" s="12" t="str">
        <f t="shared" si="5"/>
        <v>95</v>
      </c>
      <c r="F109" s="14">
        <v>500000</v>
      </c>
      <c r="G109" s="67" t="s">
        <v>5611</v>
      </c>
      <c r="H109" s="14" t="s">
        <v>5601</v>
      </c>
      <c r="I109" s="14" t="s">
        <v>2458</v>
      </c>
      <c r="J109" s="33" t="s">
        <v>7110</v>
      </c>
      <c r="K109" s="68">
        <v>0</v>
      </c>
      <c r="L109" s="68">
        <v>0</v>
      </c>
      <c r="M109" s="68" t="s">
        <v>8915</v>
      </c>
      <c r="N109" s="68">
        <v>0</v>
      </c>
      <c r="O109" s="68">
        <v>0</v>
      </c>
      <c r="P109" s="198" t="s">
        <v>5612</v>
      </c>
    </row>
    <row r="110" spans="1:16" ht="18.75" hidden="1">
      <c r="A110" s="13" t="s">
        <v>2726</v>
      </c>
      <c r="B110" s="12" t="s">
        <v>2758</v>
      </c>
      <c r="C110" s="12" t="s">
        <v>2798</v>
      </c>
      <c r="D110" s="12" t="s">
        <v>2612</v>
      </c>
      <c r="E110" s="12" t="str">
        <f t="shared" si="5"/>
        <v>95</v>
      </c>
      <c r="F110" s="14">
        <v>402537</v>
      </c>
      <c r="G110" s="67" t="s">
        <v>5607</v>
      </c>
      <c r="H110" s="14" t="s">
        <v>5601</v>
      </c>
      <c r="I110" s="14" t="s">
        <v>2458</v>
      </c>
      <c r="J110" s="33" t="s">
        <v>7110</v>
      </c>
      <c r="K110" s="68">
        <v>0</v>
      </c>
      <c r="L110" s="68">
        <v>0</v>
      </c>
      <c r="M110" s="68" t="s">
        <v>8915</v>
      </c>
      <c r="N110" s="68">
        <v>0</v>
      </c>
      <c r="O110" s="68">
        <v>0</v>
      </c>
      <c r="P110" s="198" t="s">
        <v>5608</v>
      </c>
    </row>
    <row r="111" spans="1:16" ht="18.75" hidden="1">
      <c r="A111" s="13" t="s">
        <v>2748</v>
      </c>
      <c r="B111" s="12" t="s">
        <v>2755</v>
      </c>
      <c r="C111" s="12" t="s">
        <v>2815</v>
      </c>
      <c r="D111" s="12" t="s">
        <v>2753</v>
      </c>
      <c r="E111" s="12" t="str">
        <f t="shared" si="5"/>
        <v>95</v>
      </c>
      <c r="F111" s="14">
        <v>2794634</v>
      </c>
      <c r="G111" s="67" t="s">
        <v>5604</v>
      </c>
      <c r="H111" s="14" t="s">
        <v>5601</v>
      </c>
      <c r="I111" s="14" t="s">
        <v>2458</v>
      </c>
      <c r="J111" s="33" t="s">
        <v>7110</v>
      </c>
      <c r="K111" s="68">
        <v>0</v>
      </c>
      <c r="L111" s="68">
        <v>0</v>
      </c>
      <c r="M111" s="68" t="s">
        <v>8915</v>
      </c>
      <c r="N111" s="68">
        <v>0</v>
      </c>
      <c r="O111" s="68">
        <v>0</v>
      </c>
      <c r="P111" s="198" t="s">
        <v>5615</v>
      </c>
    </row>
    <row r="112" spans="1:16" ht="18.75" hidden="1">
      <c r="A112" s="13" t="s">
        <v>2818</v>
      </c>
      <c r="B112" s="12" t="s">
        <v>2852</v>
      </c>
      <c r="C112" s="12" t="s">
        <v>2872</v>
      </c>
      <c r="D112" s="12" t="s">
        <v>2864</v>
      </c>
      <c r="E112" s="12" t="str">
        <f t="shared" si="5"/>
        <v>95</v>
      </c>
      <c r="F112" s="14">
        <v>24140</v>
      </c>
      <c r="G112" s="67" t="s">
        <v>5609</v>
      </c>
      <c r="H112" s="14" t="s">
        <v>5601</v>
      </c>
      <c r="I112" s="14" t="s">
        <v>2458</v>
      </c>
      <c r="J112" s="33" t="s">
        <v>7110</v>
      </c>
      <c r="K112" s="68">
        <v>0</v>
      </c>
      <c r="L112" s="68">
        <v>0</v>
      </c>
      <c r="M112" s="68" t="s">
        <v>8915</v>
      </c>
      <c r="N112" s="68">
        <v>0</v>
      </c>
      <c r="O112" s="68">
        <v>0</v>
      </c>
      <c r="P112" s="198" t="s">
        <v>5614</v>
      </c>
    </row>
    <row r="113" spans="1:16" ht="18.75" hidden="1">
      <c r="A113" s="13" t="s">
        <v>2819</v>
      </c>
      <c r="B113" s="12" t="s">
        <v>2854</v>
      </c>
      <c r="C113" s="12" t="s">
        <v>2766</v>
      </c>
      <c r="D113" s="12" t="s">
        <v>2609</v>
      </c>
      <c r="E113" s="12" t="str">
        <f t="shared" si="5"/>
        <v>95</v>
      </c>
      <c r="F113" s="14">
        <v>121120</v>
      </c>
      <c r="G113" s="67" t="s">
        <v>5609</v>
      </c>
      <c r="H113" s="14" t="s">
        <v>5601</v>
      </c>
      <c r="I113" s="14" t="s">
        <v>2458</v>
      </c>
      <c r="J113" s="33" t="s">
        <v>7110</v>
      </c>
      <c r="K113" s="68">
        <v>0</v>
      </c>
      <c r="L113" s="68">
        <v>0</v>
      </c>
      <c r="M113" s="68" t="s">
        <v>8915</v>
      </c>
      <c r="N113" s="68">
        <v>0</v>
      </c>
      <c r="O113" s="68">
        <v>0</v>
      </c>
      <c r="P113" s="198" t="s">
        <v>5614</v>
      </c>
    </row>
    <row r="114" spans="1:16" ht="18.75" hidden="1">
      <c r="A114" s="13" t="s">
        <v>2820</v>
      </c>
      <c r="B114" s="12" t="s">
        <v>2757</v>
      </c>
      <c r="C114" s="12" t="s">
        <v>2766</v>
      </c>
      <c r="D114" s="12" t="s">
        <v>2609</v>
      </c>
      <c r="E114" s="12" t="str">
        <f t="shared" si="5"/>
        <v>95</v>
      </c>
      <c r="F114" s="14">
        <v>23400</v>
      </c>
      <c r="G114" s="67" t="s">
        <v>5609</v>
      </c>
      <c r="H114" s="14" t="s">
        <v>5601</v>
      </c>
      <c r="I114" s="14" t="s">
        <v>2458</v>
      </c>
      <c r="J114" s="33" t="s">
        <v>7110</v>
      </c>
      <c r="K114" s="68">
        <v>0</v>
      </c>
      <c r="L114" s="68">
        <v>0</v>
      </c>
      <c r="M114" s="68" t="s">
        <v>8915</v>
      </c>
      <c r="N114" s="68">
        <v>0</v>
      </c>
      <c r="O114" s="68">
        <v>0</v>
      </c>
      <c r="P114" s="198" t="s">
        <v>5614</v>
      </c>
    </row>
    <row r="115" spans="1:16" ht="18.75" hidden="1">
      <c r="A115" s="13" t="s">
        <v>2821</v>
      </c>
      <c r="B115" s="12" t="s">
        <v>2854</v>
      </c>
      <c r="C115" s="12" t="s">
        <v>2880</v>
      </c>
      <c r="D115" s="12" t="s">
        <v>2753</v>
      </c>
      <c r="E115" s="12" t="str">
        <f t="shared" si="5"/>
        <v>95</v>
      </c>
      <c r="F115" s="14">
        <v>151360</v>
      </c>
      <c r="G115" s="67" t="s">
        <v>5611</v>
      </c>
      <c r="H115" s="14" t="s">
        <v>5601</v>
      </c>
      <c r="I115" s="14" t="s">
        <v>2458</v>
      </c>
      <c r="J115" s="33" t="s">
        <v>7110</v>
      </c>
      <c r="K115" s="68">
        <v>0</v>
      </c>
      <c r="L115" s="68">
        <v>0</v>
      </c>
      <c r="M115" s="68" t="s">
        <v>8915</v>
      </c>
      <c r="N115" s="68">
        <v>0</v>
      </c>
      <c r="O115" s="68">
        <v>0</v>
      </c>
      <c r="P115" s="198" t="s">
        <v>5612</v>
      </c>
    </row>
    <row r="116" spans="1:16" ht="18.75" hidden="1">
      <c r="A116" s="13" t="s">
        <v>2822</v>
      </c>
      <c r="B116" s="12" t="s">
        <v>2857</v>
      </c>
      <c r="C116" s="12" t="s">
        <v>2881</v>
      </c>
      <c r="D116" s="12" t="s">
        <v>2753</v>
      </c>
      <c r="E116" s="12" t="str">
        <f t="shared" si="5"/>
        <v>95</v>
      </c>
      <c r="F116" s="14">
        <v>46840</v>
      </c>
      <c r="G116" s="67" t="s">
        <v>5611</v>
      </c>
      <c r="H116" s="14" t="s">
        <v>5601</v>
      </c>
      <c r="I116" s="14" t="s">
        <v>2458</v>
      </c>
      <c r="J116" s="33" t="s">
        <v>7110</v>
      </c>
      <c r="K116" s="68">
        <v>0</v>
      </c>
      <c r="L116" s="68">
        <v>0</v>
      </c>
      <c r="M116" s="68" t="s">
        <v>8915</v>
      </c>
      <c r="N116" s="68">
        <v>0</v>
      </c>
      <c r="O116" s="68">
        <v>0</v>
      </c>
      <c r="P116" s="198" t="s">
        <v>5612</v>
      </c>
    </row>
    <row r="117" spans="1:16" ht="18.75" hidden="1">
      <c r="A117" s="13" t="s">
        <v>2823</v>
      </c>
      <c r="B117" s="12" t="s">
        <v>2853</v>
      </c>
      <c r="C117" s="12" t="s">
        <v>2872</v>
      </c>
      <c r="D117" s="12" t="s">
        <v>2864</v>
      </c>
      <c r="E117" s="12" t="str">
        <f t="shared" si="5"/>
        <v>95</v>
      </c>
      <c r="F117" s="14">
        <v>95580</v>
      </c>
      <c r="G117" s="67" t="s">
        <v>5609</v>
      </c>
      <c r="H117" s="14" t="s">
        <v>5601</v>
      </c>
      <c r="I117" s="14" t="s">
        <v>2458</v>
      </c>
      <c r="J117" s="33" t="s">
        <v>7110</v>
      </c>
      <c r="K117" s="68">
        <v>0</v>
      </c>
      <c r="L117" s="68">
        <v>0</v>
      </c>
      <c r="M117" s="68" t="s">
        <v>8915</v>
      </c>
      <c r="N117" s="68">
        <v>0</v>
      </c>
      <c r="O117" s="68">
        <v>0</v>
      </c>
      <c r="P117" s="198" t="s">
        <v>5614</v>
      </c>
    </row>
    <row r="118" spans="1:16" ht="18.75" hidden="1">
      <c r="A118" s="13" t="s">
        <v>2825</v>
      </c>
      <c r="B118" s="12" t="s">
        <v>2862</v>
      </c>
      <c r="C118" s="12" t="s">
        <v>2880</v>
      </c>
      <c r="D118" s="12" t="s">
        <v>2753</v>
      </c>
      <c r="E118" s="12" t="str">
        <f t="shared" ref="E118:E139" si="6">MID(D118,1,2)</f>
        <v>95</v>
      </c>
      <c r="F118" s="14">
        <v>73250</v>
      </c>
      <c r="G118" s="67" t="s">
        <v>5611</v>
      </c>
      <c r="H118" s="14" t="s">
        <v>5601</v>
      </c>
      <c r="I118" s="14" t="s">
        <v>2458</v>
      </c>
      <c r="J118" s="33" t="s">
        <v>7110</v>
      </c>
      <c r="K118" s="68">
        <v>0</v>
      </c>
      <c r="L118" s="68">
        <v>0</v>
      </c>
      <c r="M118" s="68" t="s">
        <v>8915</v>
      </c>
      <c r="N118" s="68">
        <v>0</v>
      </c>
      <c r="O118" s="68">
        <v>0</v>
      </c>
      <c r="P118" s="198" t="s">
        <v>5612</v>
      </c>
    </row>
    <row r="119" spans="1:16" ht="18.75" hidden="1">
      <c r="A119" s="13" t="s">
        <v>2826</v>
      </c>
      <c r="B119" s="12" t="s">
        <v>2863</v>
      </c>
      <c r="C119" s="12" t="s">
        <v>2766</v>
      </c>
      <c r="D119" s="12" t="s">
        <v>2609</v>
      </c>
      <c r="E119" s="12" t="str">
        <f t="shared" si="6"/>
        <v>95</v>
      </c>
      <c r="F119" s="14">
        <v>69020</v>
      </c>
      <c r="G119" s="67" t="s">
        <v>5609</v>
      </c>
      <c r="H119" s="14" t="s">
        <v>5601</v>
      </c>
      <c r="I119" s="14" t="s">
        <v>2458</v>
      </c>
      <c r="J119" s="33" t="s">
        <v>7110</v>
      </c>
      <c r="K119" s="68">
        <v>0</v>
      </c>
      <c r="L119" s="68">
        <v>0</v>
      </c>
      <c r="M119" s="68" t="s">
        <v>8915</v>
      </c>
      <c r="N119" s="68">
        <v>0</v>
      </c>
      <c r="O119" s="68">
        <v>0</v>
      </c>
      <c r="P119" s="198" t="s">
        <v>5614</v>
      </c>
    </row>
    <row r="120" spans="1:16" ht="18.75" hidden="1">
      <c r="A120" s="13" t="s">
        <v>2828</v>
      </c>
      <c r="B120" s="12" t="s">
        <v>2853</v>
      </c>
      <c r="C120" s="12" t="s">
        <v>2881</v>
      </c>
      <c r="D120" s="12" t="s">
        <v>2753</v>
      </c>
      <c r="E120" s="12" t="str">
        <f t="shared" si="6"/>
        <v>95</v>
      </c>
      <c r="F120" s="14">
        <v>94500</v>
      </c>
      <c r="G120" s="67" t="s">
        <v>5611</v>
      </c>
      <c r="H120" s="14" t="s">
        <v>5601</v>
      </c>
      <c r="I120" s="14" t="s">
        <v>2458</v>
      </c>
      <c r="J120" s="33" t="s">
        <v>7110</v>
      </c>
      <c r="K120" s="68">
        <v>0</v>
      </c>
      <c r="L120" s="68">
        <v>0</v>
      </c>
      <c r="M120" s="68" t="s">
        <v>8915</v>
      </c>
      <c r="N120" s="68">
        <v>0</v>
      </c>
      <c r="O120" s="68">
        <v>0</v>
      </c>
      <c r="P120" s="198" t="s">
        <v>5612</v>
      </c>
    </row>
    <row r="121" spans="1:16" ht="18.75" hidden="1">
      <c r="A121" s="13" t="s">
        <v>2820</v>
      </c>
      <c r="B121" s="12" t="s">
        <v>2757</v>
      </c>
      <c r="C121" s="12" t="s">
        <v>2886</v>
      </c>
      <c r="D121" s="12" t="s">
        <v>2756</v>
      </c>
      <c r="E121" s="12" t="str">
        <f t="shared" si="6"/>
        <v>95</v>
      </c>
      <c r="F121" s="14">
        <v>23360</v>
      </c>
      <c r="G121" s="67" t="s">
        <v>5609</v>
      </c>
      <c r="H121" s="14" t="s">
        <v>5601</v>
      </c>
      <c r="I121" s="14" t="s">
        <v>2458</v>
      </c>
      <c r="J121" s="33" t="s">
        <v>7110</v>
      </c>
      <c r="K121" s="68">
        <v>0</v>
      </c>
      <c r="L121" s="68">
        <v>0</v>
      </c>
      <c r="M121" s="68" t="s">
        <v>8915</v>
      </c>
      <c r="N121" s="68">
        <v>0</v>
      </c>
      <c r="O121" s="68">
        <v>0</v>
      </c>
      <c r="P121" s="198" t="s">
        <v>5614</v>
      </c>
    </row>
    <row r="122" spans="1:16" ht="18.75" hidden="1">
      <c r="A122" s="13" t="s">
        <v>2828</v>
      </c>
      <c r="B122" s="12" t="s">
        <v>2853</v>
      </c>
      <c r="C122" s="12" t="s">
        <v>2872</v>
      </c>
      <c r="D122" s="12" t="s">
        <v>2864</v>
      </c>
      <c r="E122" s="12" t="str">
        <f t="shared" si="6"/>
        <v>95</v>
      </c>
      <c r="F122" s="14">
        <v>23340</v>
      </c>
      <c r="G122" s="67" t="s">
        <v>5609</v>
      </c>
      <c r="H122" s="14" t="s">
        <v>5601</v>
      </c>
      <c r="I122" s="14" t="s">
        <v>2458</v>
      </c>
      <c r="J122" s="33" t="s">
        <v>7110</v>
      </c>
      <c r="K122" s="68">
        <v>0</v>
      </c>
      <c r="L122" s="68">
        <v>0</v>
      </c>
      <c r="M122" s="68" t="s">
        <v>8915</v>
      </c>
      <c r="N122" s="68">
        <v>0</v>
      </c>
      <c r="O122" s="68">
        <v>0</v>
      </c>
      <c r="P122" s="198" t="s">
        <v>5614</v>
      </c>
    </row>
    <row r="123" spans="1:16" ht="18.75" hidden="1">
      <c r="A123" s="13" t="s">
        <v>2817</v>
      </c>
      <c r="B123" s="12" t="s">
        <v>2851</v>
      </c>
      <c r="C123" s="12" t="s">
        <v>2773</v>
      </c>
      <c r="D123" s="12" t="s">
        <v>2614</v>
      </c>
      <c r="E123" s="12" t="str">
        <f t="shared" si="6"/>
        <v>95</v>
      </c>
      <c r="F123" s="14">
        <v>48340</v>
      </c>
      <c r="G123" s="67" t="s">
        <v>5604</v>
      </c>
      <c r="H123" s="14" t="s">
        <v>5601</v>
      </c>
      <c r="I123" s="14" t="s">
        <v>2458</v>
      </c>
      <c r="J123" s="33" t="s">
        <v>7110</v>
      </c>
      <c r="K123" s="68">
        <v>0</v>
      </c>
      <c r="L123" s="68">
        <v>0</v>
      </c>
      <c r="M123" s="68" t="s">
        <v>8915</v>
      </c>
      <c r="N123" s="68">
        <v>0</v>
      </c>
      <c r="O123" s="68">
        <v>0</v>
      </c>
      <c r="P123" s="198" t="s">
        <v>5605</v>
      </c>
    </row>
    <row r="124" spans="1:16" ht="18.75" hidden="1">
      <c r="A124" s="13" t="s">
        <v>2825</v>
      </c>
      <c r="B124" s="12" t="s">
        <v>2862</v>
      </c>
      <c r="C124" s="12" t="s">
        <v>2773</v>
      </c>
      <c r="D124" s="12" t="s">
        <v>2614</v>
      </c>
      <c r="E124" s="12" t="str">
        <f t="shared" si="6"/>
        <v>95</v>
      </c>
      <c r="F124" s="14">
        <v>49560</v>
      </c>
      <c r="G124" s="67" t="s">
        <v>5604</v>
      </c>
      <c r="H124" s="14" t="s">
        <v>5601</v>
      </c>
      <c r="I124" s="14" t="s">
        <v>2458</v>
      </c>
      <c r="J124" s="33" t="s">
        <v>7110</v>
      </c>
      <c r="K124" s="68">
        <v>0</v>
      </c>
      <c r="L124" s="68">
        <v>0</v>
      </c>
      <c r="M124" s="68" t="s">
        <v>8915</v>
      </c>
      <c r="N124" s="68">
        <v>0</v>
      </c>
      <c r="O124" s="68">
        <v>0</v>
      </c>
      <c r="P124" s="198" t="s">
        <v>5605</v>
      </c>
    </row>
    <row r="125" spans="1:16" ht="18.75" hidden="1">
      <c r="A125" s="13" t="s">
        <v>2829</v>
      </c>
      <c r="B125" s="12" t="s">
        <v>2851</v>
      </c>
      <c r="C125" s="12" t="s">
        <v>2886</v>
      </c>
      <c r="D125" s="12" t="s">
        <v>2756</v>
      </c>
      <c r="E125" s="12" t="str">
        <f t="shared" si="6"/>
        <v>95</v>
      </c>
      <c r="F125" s="14">
        <v>75480</v>
      </c>
      <c r="G125" s="67" t="s">
        <v>5609</v>
      </c>
      <c r="H125" s="14" t="s">
        <v>5601</v>
      </c>
      <c r="I125" s="14" t="s">
        <v>2458</v>
      </c>
      <c r="J125" s="33" t="s">
        <v>7110</v>
      </c>
      <c r="K125" s="68">
        <v>0</v>
      </c>
      <c r="L125" s="68">
        <v>0</v>
      </c>
      <c r="M125" s="68" t="s">
        <v>8915</v>
      </c>
      <c r="N125" s="68">
        <v>0</v>
      </c>
      <c r="O125" s="68">
        <v>0</v>
      </c>
      <c r="P125" s="198" t="s">
        <v>5614</v>
      </c>
    </row>
    <row r="126" spans="1:16" ht="18.75" hidden="1">
      <c r="A126" s="13" t="s">
        <v>2830</v>
      </c>
      <c r="B126" s="12" t="s">
        <v>2865</v>
      </c>
      <c r="C126" s="12" t="s">
        <v>2889</v>
      </c>
      <c r="D126" s="12" t="s">
        <v>2754</v>
      </c>
      <c r="E126" s="12" t="str">
        <f t="shared" si="6"/>
        <v>95</v>
      </c>
      <c r="F126" s="14">
        <v>48520</v>
      </c>
      <c r="G126" s="67" t="s">
        <v>5611</v>
      </c>
      <c r="H126" s="14" t="s">
        <v>5601</v>
      </c>
      <c r="I126" s="14" t="s">
        <v>2458</v>
      </c>
      <c r="J126" s="33" t="s">
        <v>7110</v>
      </c>
      <c r="K126" s="68">
        <v>0</v>
      </c>
      <c r="L126" s="68">
        <v>0</v>
      </c>
      <c r="M126" s="68" t="s">
        <v>8915</v>
      </c>
      <c r="N126" s="68">
        <v>0</v>
      </c>
      <c r="O126" s="68">
        <v>0</v>
      </c>
      <c r="P126" s="198" t="s">
        <v>5612</v>
      </c>
    </row>
    <row r="127" spans="1:16" ht="18.75" hidden="1">
      <c r="A127" s="13" t="s">
        <v>2827</v>
      </c>
      <c r="B127" s="12" t="s">
        <v>2864</v>
      </c>
      <c r="C127" s="12" t="s">
        <v>2880</v>
      </c>
      <c r="D127" s="12" t="s">
        <v>2753</v>
      </c>
      <c r="E127" s="12" t="str">
        <f t="shared" si="6"/>
        <v>95</v>
      </c>
      <c r="F127" s="14">
        <v>146670</v>
      </c>
      <c r="G127" s="67" t="s">
        <v>5611</v>
      </c>
      <c r="H127" s="14" t="s">
        <v>5601</v>
      </c>
      <c r="I127" s="14" t="s">
        <v>2458</v>
      </c>
      <c r="J127" s="33" t="s">
        <v>7110</v>
      </c>
      <c r="K127" s="68">
        <v>0</v>
      </c>
      <c r="L127" s="68">
        <v>0</v>
      </c>
      <c r="M127" s="68" t="s">
        <v>8915</v>
      </c>
      <c r="N127" s="68">
        <v>0</v>
      </c>
      <c r="O127" s="68">
        <v>0</v>
      </c>
      <c r="P127" s="198" t="s">
        <v>5612</v>
      </c>
    </row>
    <row r="128" spans="1:16" ht="18.75" hidden="1">
      <c r="A128" s="13" t="s">
        <v>2831</v>
      </c>
      <c r="B128" s="12" t="s">
        <v>2866</v>
      </c>
      <c r="C128" s="12" t="s">
        <v>2872</v>
      </c>
      <c r="D128" s="12" t="s">
        <v>2864</v>
      </c>
      <c r="E128" s="12" t="str">
        <f t="shared" si="6"/>
        <v>95</v>
      </c>
      <c r="F128" s="14">
        <v>23960</v>
      </c>
      <c r="G128" s="67" t="s">
        <v>5609</v>
      </c>
      <c r="H128" s="14" t="s">
        <v>5601</v>
      </c>
      <c r="I128" s="14" t="s">
        <v>2458</v>
      </c>
      <c r="J128" s="33" t="s">
        <v>7110</v>
      </c>
      <c r="K128" s="68">
        <v>0</v>
      </c>
      <c r="L128" s="68">
        <v>0</v>
      </c>
      <c r="M128" s="68" t="s">
        <v>8915</v>
      </c>
      <c r="N128" s="68">
        <v>0</v>
      </c>
      <c r="O128" s="68">
        <v>0</v>
      </c>
      <c r="P128" s="198" t="s">
        <v>5614</v>
      </c>
    </row>
    <row r="129" spans="1:16" ht="18.75" hidden="1">
      <c r="A129" s="13" t="s">
        <v>2831</v>
      </c>
      <c r="B129" s="12" t="s">
        <v>2866</v>
      </c>
      <c r="C129" s="12" t="s">
        <v>2890</v>
      </c>
      <c r="D129" s="12" t="s">
        <v>2865</v>
      </c>
      <c r="E129" s="12" t="str">
        <f t="shared" si="6"/>
        <v>95</v>
      </c>
      <c r="F129" s="14">
        <v>47280</v>
      </c>
      <c r="G129" s="67" t="s">
        <v>5611</v>
      </c>
      <c r="H129" s="14" t="s">
        <v>5601</v>
      </c>
      <c r="I129" s="14" t="s">
        <v>2458</v>
      </c>
      <c r="J129" s="33" t="s">
        <v>7110</v>
      </c>
      <c r="K129" s="68">
        <v>0</v>
      </c>
      <c r="L129" s="68">
        <v>0</v>
      </c>
      <c r="M129" s="68" t="s">
        <v>8915</v>
      </c>
      <c r="N129" s="68">
        <v>0</v>
      </c>
      <c r="O129" s="68">
        <v>0</v>
      </c>
      <c r="P129" s="198" t="s">
        <v>5619</v>
      </c>
    </row>
    <row r="130" spans="1:16" ht="18.75" hidden="1">
      <c r="A130" s="13" t="s">
        <v>2832</v>
      </c>
      <c r="B130" s="12" t="s">
        <v>2755</v>
      </c>
      <c r="C130" s="12" t="s">
        <v>2889</v>
      </c>
      <c r="D130" s="12" t="s">
        <v>2754</v>
      </c>
      <c r="E130" s="12" t="str">
        <f t="shared" si="6"/>
        <v>95</v>
      </c>
      <c r="F130" s="14">
        <v>92440</v>
      </c>
      <c r="G130" s="67" t="s">
        <v>5611</v>
      </c>
      <c r="H130" s="14" t="s">
        <v>5601</v>
      </c>
      <c r="I130" s="14" t="s">
        <v>2458</v>
      </c>
      <c r="J130" s="33" t="s">
        <v>7110</v>
      </c>
      <c r="K130" s="68">
        <v>0</v>
      </c>
      <c r="L130" s="68">
        <v>0</v>
      </c>
      <c r="M130" s="68" t="s">
        <v>8915</v>
      </c>
      <c r="N130" s="68">
        <v>0</v>
      </c>
      <c r="O130" s="68">
        <v>0</v>
      </c>
      <c r="P130" s="198" t="s">
        <v>5612</v>
      </c>
    </row>
    <row r="131" spans="1:16" ht="18.75" hidden="1">
      <c r="A131" s="13" t="s">
        <v>2824</v>
      </c>
      <c r="B131" s="12" t="s">
        <v>2861</v>
      </c>
      <c r="C131" s="12" t="s">
        <v>2773</v>
      </c>
      <c r="D131" s="12" t="s">
        <v>2614</v>
      </c>
      <c r="E131" s="12" t="str">
        <f t="shared" si="6"/>
        <v>95</v>
      </c>
      <c r="F131" s="14">
        <v>75800</v>
      </c>
      <c r="G131" s="67" t="s">
        <v>5604</v>
      </c>
      <c r="H131" s="14" t="s">
        <v>5601</v>
      </c>
      <c r="I131" s="14" t="s">
        <v>2458</v>
      </c>
      <c r="J131" s="33" t="s">
        <v>7110</v>
      </c>
      <c r="K131" s="68">
        <v>0</v>
      </c>
      <c r="L131" s="68">
        <v>0</v>
      </c>
      <c r="M131" s="68" t="s">
        <v>8915</v>
      </c>
      <c r="N131" s="68">
        <v>0</v>
      </c>
      <c r="O131" s="68">
        <v>0</v>
      </c>
      <c r="P131" s="198" t="s">
        <v>5605</v>
      </c>
    </row>
    <row r="132" spans="1:16" ht="18.75" hidden="1">
      <c r="A132" s="13" t="s">
        <v>2833</v>
      </c>
      <c r="B132" s="12" t="s">
        <v>2851</v>
      </c>
      <c r="C132" s="12" t="s">
        <v>2886</v>
      </c>
      <c r="D132" s="12" t="s">
        <v>2756</v>
      </c>
      <c r="E132" s="12" t="str">
        <f t="shared" si="6"/>
        <v>95</v>
      </c>
      <c r="F132" s="14">
        <v>73560</v>
      </c>
      <c r="G132" s="67" t="s">
        <v>5609</v>
      </c>
      <c r="H132" s="14" t="s">
        <v>5601</v>
      </c>
      <c r="I132" s="14" t="s">
        <v>2458</v>
      </c>
      <c r="J132" s="33" t="s">
        <v>7110</v>
      </c>
      <c r="K132" s="68">
        <v>0</v>
      </c>
      <c r="L132" s="68">
        <v>0</v>
      </c>
      <c r="M132" s="68" t="s">
        <v>8915</v>
      </c>
      <c r="N132" s="68">
        <v>0</v>
      </c>
      <c r="O132" s="68">
        <v>0</v>
      </c>
      <c r="P132" s="198" t="s">
        <v>5614</v>
      </c>
    </row>
    <row r="133" spans="1:16" ht="18.75" hidden="1">
      <c r="A133" s="13" t="s">
        <v>2834</v>
      </c>
      <c r="B133" s="12" t="s">
        <v>2865</v>
      </c>
      <c r="C133" s="12" t="s">
        <v>2872</v>
      </c>
      <c r="D133" s="12" t="s">
        <v>2864</v>
      </c>
      <c r="E133" s="12" t="str">
        <f t="shared" si="6"/>
        <v>95</v>
      </c>
      <c r="F133" s="14">
        <v>46380</v>
      </c>
      <c r="G133" s="67" t="s">
        <v>5609</v>
      </c>
      <c r="H133" s="14" t="s">
        <v>5601</v>
      </c>
      <c r="I133" s="14" t="s">
        <v>2458</v>
      </c>
      <c r="J133" s="33" t="s">
        <v>7110</v>
      </c>
      <c r="K133" s="68">
        <v>0</v>
      </c>
      <c r="L133" s="68">
        <v>0</v>
      </c>
      <c r="M133" s="68" t="s">
        <v>8915</v>
      </c>
      <c r="N133" s="68">
        <v>0</v>
      </c>
      <c r="O133" s="68">
        <v>0</v>
      </c>
      <c r="P133" s="198" t="s">
        <v>5614</v>
      </c>
    </row>
    <row r="134" spans="1:16" ht="18.75" hidden="1">
      <c r="A134" s="13" t="s">
        <v>2835</v>
      </c>
      <c r="B134" s="12" t="s">
        <v>2857</v>
      </c>
      <c r="C134" s="12" t="s">
        <v>2886</v>
      </c>
      <c r="D134" s="12" t="s">
        <v>2756</v>
      </c>
      <c r="E134" s="12" t="str">
        <f t="shared" si="6"/>
        <v>95</v>
      </c>
      <c r="F134" s="14">
        <v>24840</v>
      </c>
      <c r="G134" s="67" t="s">
        <v>5609</v>
      </c>
      <c r="H134" s="14" t="s">
        <v>5601</v>
      </c>
      <c r="I134" s="14" t="s">
        <v>2458</v>
      </c>
      <c r="J134" s="33" t="s">
        <v>7110</v>
      </c>
      <c r="K134" s="68">
        <v>0</v>
      </c>
      <c r="L134" s="68">
        <v>0</v>
      </c>
      <c r="M134" s="68" t="s">
        <v>8915</v>
      </c>
      <c r="N134" s="68">
        <v>0</v>
      </c>
      <c r="O134" s="68">
        <v>0</v>
      </c>
      <c r="P134" s="198" t="s">
        <v>5614</v>
      </c>
    </row>
    <row r="135" spans="1:16" ht="18.75" hidden="1">
      <c r="A135" s="13" t="s">
        <v>2835</v>
      </c>
      <c r="B135" s="12" t="s">
        <v>2857</v>
      </c>
      <c r="C135" s="12" t="s">
        <v>2872</v>
      </c>
      <c r="D135" s="12" t="s">
        <v>2864</v>
      </c>
      <c r="E135" s="12" t="str">
        <f t="shared" si="6"/>
        <v>95</v>
      </c>
      <c r="F135" s="14">
        <v>68340</v>
      </c>
      <c r="G135" s="67" t="s">
        <v>5609</v>
      </c>
      <c r="H135" s="14" t="s">
        <v>5601</v>
      </c>
      <c r="I135" s="14" t="s">
        <v>2458</v>
      </c>
      <c r="J135" s="33" t="s">
        <v>7110</v>
      </c>
      <c r="K135" s="68">
        <v>0</v>
      </c>
      <c r="L135" s="68">
        <v>0</v>
      </c>
      <c r="M135" s="68" t="s">
        <v>8915</v>
      </c>
      <c r="N135" s="68">
        <v>0</v>
      </c>
      <c r="O135" s="68">
        <v>0</v>
      </c>
      <c r="P135" s="198" t="s">
        <v>5614</v>
      </c>
    </row>
    <row r="136" spans="1:16" ht="18.75" hidden="1">
      <c r="A136" s="13" t="s">
        <v>2836</v>
      </c>
      <c r="B136" s="12" t="s">
        <v>2757</v>
      </c>
      <c r="C136" s="12" t="s">
        <v>2886</v>
      </c>
      <c r="D136" s="12" t="s">
        <v>2756</v>
      </c>
      <c r="E136" s="12" t="str">
        <f t="shared" si="6"/>
        <v>95</v>
      </c>
      <c r="F136" s="14">
        <v>24580</v>
      </c>
      <c r="G136" s="67" t="s">
        <v>5609</v>
      </c>
      <c r="H136" s="14" t="s">
        <v>5601</v>
      </c>
      <c r="I136" s="14" t="s">
        <v>2458</v>
      </c>
      <c r="J136" s="33" t="s">
        <v>7110</v>
      </c>
      <c r="K136" s="68">
        <v>0</v>
      </c>
      <c r="L136" s="68">
        <v>0</v>
      </c>
      <c r="M136" s="68" t="s">
        <v>8915</v>
      </c>
      <c r="N136" s="68">
        <v>0</v>
      </c>
      <c r="O136" s="68">
        <v>0</v>
      </c>
      <c r="P136" s="198" t="s">
        <v>5614</v>
      </c>
    </row>
    <row r="137" spans="1:16" ht="18.75" hidden="1">
      <c r="A137" s="13" t="s">
        <v>2837</v>
      </c>
      <c r="B137" s="12" t="s">
        <v>2866</v>
      </c>
      <c r="C137" s="12" t="s">
        <v>2881</v>
      </c>
      <c r="D137" s="12" t="s">
        <v>2753</v>
      </c>
      <c r="E137" s="12" t="str">
        <f t="shared" si="6"/>
        <v>95</v>
      </c>
      <c r="F137" s="14">
        <v>57160</v>
      </c>
      <c r="G137" s="67" t="s">
        <v>5611</v>
      </c>
      <c r="H137" s="14" t="s">
        <v>5601</v>
      </c>
      <c r="I137" s="14" t="s">
        <v>2458</v>
      </c>
      <c r="J137" s="33" t="s">
        <v>7110</v>
      </c>
      <c r="K137" s="68">
        <v>0</v>
      </c>
      <c r="L137" s="68">
        <v>0</v>
      </c>
      <c r="M137" s="68" t="s">
        <v>8915</v>
      </c>
      <c r="N137" s="68">
        <v>0</v>
      </c>
      <c r="O137" s="68">
        <v>0</v>
      </c>
      <c r="P137" s="198" t="s">
        <v>5612</v>
      </c>
    </row>
    <row r="138" spans="1:16" ht="18.75" hidden="1">
      <c r="A138" s="13" t="s">
        <v>2838</v>
      </c>
      <c r="B138" s="12" t="s">
        <v>2860</v>
      </c>
      <c r="C138" s="12" t="s">
        <v>2886</v>
      </c>
      <c r="D138" s="12" t="s">
        <v>2756</v>
      </c>
      <c r="E138" s="12" t="str">
        <f t="shared" si="6"/>
        <v>95</v>
      </c>
      <c r="F138" s="14">
        <v>24560</v>
      </c>
      <c r="G138" s="67" t="s">
        <v>5609</v>
      </c>
      <c r="H138" s="14" t="s">
        <v>5601</v>
      </c>
      <c r="I138" s="14" t="s">
        <v>2458</v>
      </c>
      <c r="J138" s="33" t="s">
        <v>7110</v>
      </c>
      <c r="K138" s="68">
        <v>0</v>
      </c>
      <c r="L138" s="68">
        <v>0</v>
      </c>
      <c r="M138" s="68" t="s">
        <v>8915</v>
      </c>
      <c r="N138" s="68">
        <v>0</v>
      </c>
      <c r="O138" s="68">
        <v>0</v>
      </c>
      <c r="P138" s="198" t="s">
        <v>5614</v>
      </c>
    </row>
    <row r="139" spans="1:16" ht="18.75" hidden="1">
      <c r="A139" s="13" t="s">
        <v>2839</v>
      </c>
      <c r="B139" s="12" t="s">
        <v>2758</v>
      </c>
      <c r="C139" s="12" t="s">
        <v>2886</v>
      </c>
      <c r="D139" s="12" t="s">
        <v>2756</v>
      </c>
      <c r="E139" s="12" t="str">
        <f t="shared" si="6"/>
        <v>95</v>
      </c>
      <c r="F139" s="14">
        <v>116900</v>
      </c>
      <c r="G139" s="67" t="s">
        <v>5609</v>
      </c>
      <c r="H139" s="14" t="s">
        <v>5601</v>
      </c>
      <c r="I139" s="14" t="s">
        <v>2458</v>
      </c>
      <c r="J139" s="33" t="s">
        <v>7110</v>
      </c>
      <c r="K139" s="68">
        <v>0</v>
      </c>
      <c r="L139" s="68">
        <v>0</v>
      </c>
      <c r="M139" s="68" t="s">
        <v>8915</v>
      </c>
      <c r="N139" s="68">
        <v>0</v>
      </c>
      <c r="O139" s="68">
        <v>0</v>
      </c>
      <c r="P139" s="198" t="s">
        <v>5614</v>
      </c>
    </row>
    <row r="140" spans="1:16" ht="18.75" hidden="1">
      <c r="A140" s="13" t="s">
        <v>2840</v>
      </c>
      <c r="B140" s="12" t="s">
        <v>2859</v>
      </c>
      <c r="C140" s="12" t="s">
        <v>2886</v>
      </c>
      <c r="D140" s="12" t="s">
        <v>2756</v>
      </c>
      <c r="E140" s="12" t="str">
        <f t="shared" ref="E140:E156" si="7">MID(D140,1,2)</f>
        <v>95</v>
      </c>
      <c r="F140" s="14">
        <v>23320</v>
      </c>
      <c r="G140" s="67" t="s">
        <v>5609</v>
      </c>
      <c r="H140" s="14" t="s">
        <v>5601</v>
      </c>
      <c r="I140" s="14" t="s">
        <v>2458</v>
      </c>
      <c r="J140" s="33" t="s">
        <v>7110</v>
      </c>
      <c r="K140" s="68">
        <v>0</v>
      </c>
      <c r="L140" s="68">
        <v>0</v>
      </c>
      <c r="M140" s="68" t="s">
        <v>8915</v>
      </c>
      <c r="N140" s="68">
        <v>0</v>
      </c>
      <c r="O140" s="68">
        <v>0</v>
      </c>
      <c r="P140" s="198" t="s">
        <v>5614</v>
      </c>
    </row>
    <row r="141" spans="1:16" ht="18.75" hidden="1">
      <c r="A141" s="13" t="s">
        <v>2840</v>
      </c>
      <c r="B141" s="12" t="s">
        <v>2859</v>
      </c>
      <c r="C141" s="12" t="s">
        <v>2872</v>
      </c>
      <c r="D141" s="12" t="s">
        <v>2864</v>
      </c>
      <c r="E141" s="12" t="str">
        <f t="shared" si="7"/>
        <v>95</v>
      </c>
      <c r="F141" s="14">
        <v>24160</v>
      </c>
      <c r="G141" s="67" t="s">
        <v>5609</v>
      </c>
      <c r="H141" s="14" t="s">
        <v>5601</v>
      </c>
      <c r="I141" s="14" t="s">
        <v>2458</v>
      </c>
      <c r="J141" s="33" t="s">
        <v>7110</v>
      </c>
      <c r="K141" s="68">
        <v>0</v>
      </c>
      <c r="L141" s="68">
        <v>0</v>
      </c>
      <c r="M141" s="68" t="s">
        <v>8915</v>
      </c>
      <c r="N141" s="68">
        <v>0</v>
      </c>
      <c r="O141" s="68">
        <v>0</v>
      </c>
      <c r="P141" s="198" t="s">
        <v>5614</v>
      </c>
    </row>
    <row r="142" spans="1:16" ht="18.75" hidden="1">
      <c r="A142" s="13" t="s">
        <v>2841</v>
      </c>
      <c r="B142" s="12" t="s">
        <v>2852</v>
      </c>
      <c r="C142" s="12" t="s">
        <v>2886</v>
      </c>
      <c r="D142" s="12" t="s">
        <v>2756</v>
      </c>
      <c r="E142" s="12" t="str">
        <f t="shared" si="7"/>
        <v>95</v>
      </c>
      <c r="F142" s="14">
        <v>25000</v>
      </c>
      <c r="G142" s="67" t="s">
        <v>5609</v>
      </c>
      <c r="H142" s="14" t="s">
        <v>5601</v>
      </c>
      <c r="I142" s="14" t="s">
        <v>2458</v>
      </c>
      <c r="J142" s="33" t="s">
        <v>7110</v>
      </c>
      <c r="K142" s="68">
        <v>0</v>
      </c>
      <c r="L142" s="68">
        <v>0</v>
      </c>
      <c r="M142" s="68" t="s">
        <v>8915</v>
      </c>
      <c r="N142" s="68">
        <v>0</v>
      </c>
      <c r="O142" s="68">
        <v>0</v>
      </c>
      <c r="P142" s="198" t="s">
        <v>5614</v>
      </c>
    </row>
    <row r="143" spans="1:16" ht="18.75" hidden="1">
      <c r="A143" s="13" t="s">
        <v>2842</v>
      </c>
      <c r="B143" s="12" t="s">
        <v>2865</v>
      </c>
      <c r="C143" s="12" t="s">
        <v>2872</v>
      </c>
      <c r="D143" s="12" t="s">
        <v>2864</v>
      </c>
      <c r="E143" s="12" t="str">
        <f t="shared" si="7"/>
        <v>95</v>
      </c>
      <c r="F143" s="14">
        <v>24580</v>
      </c>
      <c r="G143" s="67" t="s">
        <v>5609</v>
      </c>
      <c r="H143" s="14" t="s">
        <v>5601</v>
      </c>
      <c r="I143" s="14" t="s">
        <v>2458</v>
      </c>
      <c r="J143" s="33" t="s">
        <v>7110</v>
      </c>
      <c r="K143" s="68">
        <v>0</v>
      </c>
      <c r="L143" s="68">
        <v>0</v>
      </c>
      <c r="M143" s="68" t="s">
        <v>8915</v>
      </c>
      <c r="N143" s="68">
        <v>0</v>
      </c>
      <c r="O143" s="68">
        <v>0</v>
      </c>
      <c r="P143" s="198" t="s">
        <v>5614</v>
      </c>
    </row>
    <row r="144" spans="1:16" ht="18.75" hidden="1">
      <c r="A144" s="13" t="s">
        <v>2843</v>
      </c>
      <c r="B144" s="12" t="s">
        <v>2863</v>
      </c>
      <c r="C144" s="12" t="s">
        <v>2889</v>
      </c>
      <c r="D144" s="12" t="s">
        <v>2754</v>
      </c>
      <c r="E144" s="12" t="str">
        <f t="shared" si="7"/>
        <v>95</v>
      </c>
      <c r="F144" s="14">
        <v>69680</v>
      </c>
      <c r="G144" s="67" t="s">
        <v>5611</v>
      </c>
      <c r="H144" s="14" t="s">
        <v>5601</v>
      </c>
      <c r="I144" s="14" t="s">
        <v>2458</v>
      </c>
      <c r="J144" s="33" t="s">
        <v>7110</v>
      </c>
      <c r="K144" s="68">
        <v>0</v>
      </c>
      <c r="L144" s="68">
        <v>0</v>
      </c>
      <c r="M144" s="68" t="s">
        <v>8915</v>
      </c>
      <c r="N144" s="68">
        <v>0</v>
      </c>
      <c r="O144" s="68">
        <v>0</v>
      </c>
      <c r="P144" s="198" t="s">
        <v>5612</v>
      </c>
    </row>
    <row r="145" spans="1:16" ht="18.75" hidden="1">
      <c r="A145" s="13" t="s">
        <v>2837</v>
      </c>
      <c r="B145" s="12" t="s">
        <v>2866</v>
      </c>
      <c r="C145" s="12" t="s">
        <v>2889</v>
      </c>
      <c r="D145" s="12" t="s">
        <v>2754</v>
      </c>
      <c r="E145" s="12" t="str">
        <f t="shared" si="7"/>
        <v>95</v>
      </c>
      <c r="F145" s="14">
        <v>12370</v>
      </c>
      <c r="G145" s="67" t="s">
        <v>5611</v>
      </c>
      <c r="H145" s="14" t="s">
        <v>5601</v>
      </c>
      <c r="I145" s="14" t="s">
        <v>2458</v>
      </c>
      <c r="J145" s="33" t="s">
        <v>7110</v>
      </c>
      <c r="K145" s="68">
        <v>0</v>
      </c>
      <c r="L145" s="68">
        <v>0</v>
      </c>
      <c r="M145" s="68" t="s">
        <v>8915</v>
      </c>
      <c r="N145" s="68">
        <v>0</v>
      </c>
      <c r="O145" s="68">
        <v>0</v>
      </c>
      <c r="P145" s="198" t="s">
        <v>5612</v>
      </c>
    </row>
    <row r="146" spans="1:16" ht="18.75" hidden="1">
      <c r="A146" s="13" t="s">
        <v>2844</v>
      </c>
      <c r="B146" s="12" t="s">
        <v>2866</v>
      </c>
      <c r="C146" s="12" t="s">
        <v>2889</v>
      </c>
      <c r="D146" s="12" t="s">
        <v>2754</v>
      </c>
      <c r="E146" s="12" t="str">
        <f t="shared" si="7"/>
        <v>95</v>
      </c>
      <c r="F146" s="14">
        <v>72840</v>
      </c>
      <c r="G146" s="67" t="s">
        <v>5611</v>
      </c>
      <c r="H146" s="14" t="s">
        <v>5601</v>
      </c>
      <c r="I146" s="14" t="s">
        <v>2458</v>
      </c>
      <c r="J146" s="33" t="s">
        <v>7110</v>
      </c>
      <c r="K146" s="68">
        <v>0</v>
      </c>
      <c r="L146" s="68">
        <v>0</v>
      </c>
      <c r="M146" s="68" t="s">
        <v>8915</v>
      </c>
      <c r="N146" s="68">
        <v>0</v>
      </c>
      <c r="O146" s="68">
        <v>0</v>
      </c>
      <c r="P146" s="198" t="s">
        <v>5612</v>
      </c>
    </row>
    <row r="147" spans="1:16" ht="18.75" hidden="1">
      <c r="A147" s="13" t="s">
        <v>2845</v>
      </c>
      <c r="B147" s="12" t="s">
        <v>2867</v>
      </c>
      <c r="C147" s="12" t="s">
        <v>2773</v>
      </c>
      <c r="D147" s="12" t="s">
        <v>2614</v>
      </c>
      <c r="E147" s="12" t="str">
        <f t="shared" si="7"/>
        <v>95</v>
      </c>
      <c r="F147" s="14">
        <v>100200</v>
      </c>
      <c r="G147" s="67" t="s">
        <v>5604</v>
      </c>
      <c r="H147" s="14" t="s">
        <v>5601</v>
      </c>
      <c r="I147" s="14" t="s">
        <v>2458</v>
      </c>
      <c r="J147" s="33" t="s">
        <v>7110</v>
      </c>
      <c r="K147" s="68">
        <v>0</v>
      </c>
      <c r="L147" s="68">
        <v>0</v>
      </c>
      <c r="M147" s="68" t="s">
        <v>8915</v>
      </c>
      <c r="N147" s="68">
        <v>0</v>
      </c>
      <c r="O147" s="68">
        <v>0</v>
      </c>
      <c r="P147" s="198" t="s">
        <v>5605</v>
      </c>
    </row>
    <row r="148" spans="1:16" ht="18.75" hidden="1">
      <c r="A148" s="13" t="s">
        <v>2817</v>
      </c>
      <c r="B148" s="12" t="s">
        <v>2851</v>
      </c>
      <c r="C148" s="12" t="s">
        <v>2895</v>
      </c>
      <c r="D148" s="12" t="s">
        <v>2863</v>
      </c>
      <c r="E148" s="12" t="str">
        <f t="shared" si="7"/>
        <v>95</v>
      </c>
      <c r="F148" s="14">
        <v>197660</v>
      </c>
      <c r="G148" s="67" t="s">
        <v>5611</v>
      </c>
      <c r="H148" s="14" t="s">
        <v>5601</v>
      </c>
      <c r="I148" s="14" t="s">
        <v>2458</v>
      </c>
      <c r="J148" s="33" t="s">
        <v>7110</v>
      </c>
      <c r="K148" s="68">
        <v>0</v>
      </c>
      <c r="L148" s="68">
        <v>0</v>
      </c>
      <c r="M148" s="68" t="s">
        <v>8915</v>
      </c>
      <c r="N148" s="68">
        <v>0</v>
      </c>
      <c r="O148" s="68">
        <v>0</v>
      </c>
      <c r="P148" s="198" t="s">
        <v>5612</v>
      </c>
    </row>
    <row r="149" spans="1:16" ht="18.75" hidden="1">
      <c r="A149" s="13" t="s">
        <v>2840</v>
      </c>
      <c r="B149" s="12" t="s">
        <v>2859</v>
      </c>
      <c r="C149" s="12" t="s">
        <v>2881</v>
      </c>
      <c r="D149" s="12" t="s">
        <v>2753</v>
      </c>
      <c r="E149" s="12" t="str">
        <f t="shared" si="7"/>
        <v>95</v>
      </c>
      <c r="F149" s="14">
        <v>140320</v>
      </c>
      <c r="G149" s="67" t="s">
        <v>5611</v>
      </c>
      <c r="H149" s="14" t="s">
        <v>5601</v>
      </c>
      <c r="I149" s="14" t="s">
        <v>2458</v>
      </c>
      <c r="J149" s="33" t="s">
        <v>7110</v>
      </c>
      <c r="K149" s="68">
        <v>0</v>
      </c>
      <c r="L149" s="68">
        <v>0</v>
      </c>
      <c r="M149" s="68" t="s">
        <v>8915</v>
      </c>
      <c r="N149" s="68">
        <v>0</v>
      </c>
      <c r="O149" s="68">
        <v>0</v>
      </c>
      <c r="P149" s="198" t="s">
        <v>5612</v>
      </c>
    </row>
    <row r="150" spans="1:16" ht="18.75" hidden="1">
      <c r="A150" s="13" t="s">
        <v>2841</v>
      </c>
      <c r="B150" s="12" t="s">
        <v>2852</v>
      </c>
      <c r="C150" s="12" t="s">
        <v>2881</v>
      </c>
      <c r="D150" s="12" t="s">
        <v>2753</v>
      </c>
      <c r="E150" s="12" t="str">
        <f t="shared" si="7"/>
        <v>95</v>
      </c>
      <c r="F150" s="14">
        <v>91050</v>
      </c>
      <c r="G150" s="67" t="s">
        <v>5611</v>
      </c>
      <c r="H150" s="14" t="s">
        <v>5601</v>
      </c>
      <c r="I150" s="14" t="s">
        <v>2458</v>
      </c>
      <c r="J150" s="33" t="s">
        <v>7110</v>
      </c>
      <c r="K150" s="68">
        <v>0</v>
      </c>
      <c r="L150" s="68">
        <v>0</v>
      </c>
      <c r="M150" s="68" t="s">
        <v>8915</v>
      </c>
      <c r="N150" s="68">
        <v>0</v>
      </c>
      <c r="O150" s="68">
        <v>0</v>
      </c>
      <c r="P150" s="198" t="s">
        <v>5612</v>
      </c>
    </row>
    <row r="151" spans="1:16" ht="18.75" hidden="1">
      <c r="A151" s="13" t="s">
        <v>2842</v>
      </c>
      <c r="B151" s="12" t="s">
        <v>2865</v>
      </c>
      <c r="C151" s="12" t="s">
        <v>2881</v>
      </c>
      <c r="D151" s="12" t="s">
        <v>2753</v>
      </c>
      <c r="E151" s="12" t="str">
        <f t="shared" si="7"/>
        <v>95</v>
      </c>
      <c r="F151" s="14">
        <v>70130</v>
      </c>
      <c r="G151" s="67" t="s">
        <v>5611</v>
      </c>
      <c r="H151" s="14" t="s">
        <v>5601</v>
      </c>
      <c r="I151" s="14" t="s">
        <v>2458</v>
      </c>
      <c r="J151" s="33" t="s">
        <v>7110</v>
      </c>
      <c r="K151" s="68">
        <v>0</v>
      </c>
      <c r="L151" s="68">
        <v>0</v>
      </c>
      <c r="M151" s="68" t="s">
        <v>8915</v>
      </c>
      <c r="N151" s="68">
        <v>0</v>
      </c>
      <c r="O151" s="68">
        <v>0</v>
      </c>
      <c r="P151" s="198" t="s">
        <v>5612</v>
      </c>
    </row>
    <row r="152" spans="1:16" ht="18.75" hidden="1">
      <c r="A152" s="13" t="s">
        <v>2846</v>
      </c>
      <c r="B152" s="12" t="s">
        <v>2864</v>
      </c>
      <c r="C152" s="12" t="s">
        <v>2886</v>
      </c>
      <c r="D152" s="12" t="s">
        <v>2756</v>
      </c>
      <c r="E152" s="12" t="str">
        <f t="shared" si="7"/>
        <v>95</v>
      </c>
      <c r="F152" s="14">
        <v>71320</v>
      </c>
      <c r="G152" s="67" t="s">
        <v>5609</v>
      </c>
      <c r="H152" s="14" t="s">
        <v>5601</v>
      </c>
      <c r="I152" s="14" t="s">
        <v>2458</v>
      </c>
      <c r="J152" s="33" t="s">
        <v>7110</v>
      </c>
      <c r="K152" s="68">
        <v>0</v>
      </c>
      <c r="L152" s="68">
        <v>0</v>
      </c>
      <c r="M152" s="68" t="s">
        <v>8915</v>
      </c>
      <c r="N152" s="68">
        <v>0</v>
      </c>
      <c r="O152" s="68">
        <v>0</v>
      </c>
      <c r="P152" s="198" t="s">
        <v>5614</v>
      </c>
    </row>
    <row r="153" spans="1:16" ht="18.75" hidden="1">
      <c r="A153" s="13" t="s">
        <v>2847</v>
      </c>
      <c r="B153" s="12" t="s">
        <v>2868</v>
      </c>
      <c r="C153" s="12" t="s">
        <v>2889</v>
      </c>
      <c r="D153" s="12" t="s">
        <v>2754</v>
      </c>
      <c r="E153" s="12" t="str">
        <f t="shared" si="7"/>
        <v>95</v>
      </c>
      <c r="F153" s="14">
        <v>50490</v>
      </c>
      <c r="G153" s="67" t="s">
        <v>5611</v>
      </c>
      <c r="H153" s="14" t="s">
        <v>5601</v>
      </c>
      <c r="I153" s="14" t="s">
        <v>2458</v>
      </c>
      <c r="J153" s="33" t="s">
        <v>7110</v>
      </c>
      <c r="K153" s="68">
        <v>0</v>
      </c>
      <c r="L153" s="68">
        <v>0</v>
      </c>
      <c r="M153" s="68" t="s">
        <v>8915</v>
      </c>
      <c r="N153" s="68">
        <v>0</v>
      </c>
      <c r="O153" s="68">
        <v>0</v>
      </c>
      <c r="P153" s="198" t="s">
        <v>5612</v>
      </c>
    </row>
    <row r="154" spans="1:16" ht="18.75" hidden="1">
      <c r="A154" s="13" t="s">
        <v>2848</v>
      </c>
      <c r="B154" s="12" t="s">
        <v>2756</v>
      </c>
      <c r="C154" s="12" t="s">
        <v>2889</v>
      </c>
      <c r="D154" s="12" t="s">
        <v>2754</v>
      </c>
      <c r="E154" s="12" t="str">
        <f t="shared" si="7"/>
        <v>95</v>
      </c>
      <c r="F154" s="14">
        <v>90980</v>
      </c>
      <c r="G154" s="67" t="s">
        <v>5611</v>
      </c>
      <c r="H154" s="14" t="s">
        <v>5601</v>
      </c>
      <c r="I154" s="14" t="s">
        <v>2458</v>
      </c>
      <c r="J154" s="33" t="s">
        <v>7110</v>
      </c>
      <c r="K154" s="68">
        <v>0</v>
      </c>
      <c r="L154" s="68">
        <v>0</v>
      </c>
      <c r="M154" s="68" t="s">
        <v>8915</v>
      </c>
      <c r="N154" s="68">
        <v>0</v>
      </c>
      <c r="O154" s="68">
        <v>0</v>
      </c>
      <c r="P154" s="198" t="s">
        <v>5612</v>
      </c>
    </row>
    <row r="155" spans="1:16" ht="18.75" hidden="1">
      <c r="A155" s="13" t="s">
        <v>2848</v>
      </c>
      <c r="B155" s="12" t="s">
        <v>2756</v>
      </c>
      <c r="C155" s="12" t="s">
        <v>2766</v>
      </c>
      <c r="D155" s="12" t="s">
        <v>2609</v>
      </c>
      <c r="E155" s="12" t="str">
        <f t="shared" si="7"/>
        <v>95</v>
      </c>
      <c r="F155" s="14">
        <v>98660</v>
      </c>
      <c r="G155" s="67" t="s">
        <v>5609</v>
      </c>
      <c r="H155" s="14" t="s">
        <v>5601</v>
      </c>
      <c r="I155" s="14" t="s">
        <v>2458</v>
      </c>
      <c r="J155" s="33" t="s">
        <v>7110</v>
      </c>
      <c r="K155" s="68">
        <v>0</v>
      </c>
      <c r="L155" s="68">
        <v>0</v>
      </c>
      <c r="M155" s="68" t="s">
        <v>8915</v>
      </c>
      <c r="N155" s="68">
        <v>0</v>
      </c>
      <c r="O155" s="68">
        <v>0</v>
      </c>
      <c r="P155" s="198" t="s">
        <v>5614</v>
      </c>
    </row>
    <row r="156" spans="1:16" ht="18.75" hidden="1">
      <c r="A156" s="13" t="s">
        <v>2849</v>
      </c>
      <c r="B156" s="12" t="s">
        <v>2869</v>
      </c>
      <c r="C156" s="12" t="s">
        <v>2880</v>
      </c>
      <c r="D156" s="12" t="s">
        <v>2753</v>
      </c>
      <c r="E156" s="12" t="str">
        <f t="shared" si="7"/>
        <v>95</v>
      </c>
      <c r="F156" s="14">
        <v>122760</v>
      </c>
      <c r="G156" s="67" t="s">
        <v>5611</v>
      </c>
      <c r="H156" s="14" t="s">
        <v>5601</v>
      </c>
      <c r="I156" s="14" t="s">
        <v>2458</v>
      </c>
      <c r="J156" s="33" t="s">
        <v>7110</v>
      </c>
      <c r="K156" s="68">
        <v>0</v>
      </c>
      <c r="L156" s="68">
        <v>0</v>
      </c>
      <c r="M156" s="68" t="s">
        <v>8915</v>
      </c>
      <c r="N156" s="68">
        <v>0</v>
      </c>
      <c r="O156" s="68">
        <v>0</v>
      </c>
      <c r="P156" s="198" t="s">
        <v>5612</v>
      </c>
    </row>
    <row r="157" spans="1:16" ht="18.75" hidden="1">
      <c r="A157" s="13" t="s">
        <v>2850</v>
      </c>
      <c r="B157" s="12" t="s">
        <v>2854</v>
      </c>
      <c r="C157" s="12" t="s">
        <v>2766</v>
      </c>
      <c r="D157" s="12" t="s">
        <v>2609</v>
      </c>
      <c r="E157" s="12" t="str">
        <f t="shared" ref="E157:E176" si="8">MID(D157,1,2)</f>
        <v>95</v>
      </c>
      <c r="F157" s="14">
        <v>50100</v>
      </c>
      <c r="G157" s="67" t="s">
        <v>5609</v>
      </c>
      <c r="H157" s="14" t="s">
        <v>5601</v>
      </c>
      <c r="I157" s="14" t="s">
        <v>2458</v>
      </c>
      <c r="J157" s="33" t="s">
        <v>7110</v>
      </c>
      <c r="K157" s="68">
        <v>0</v>
      </c>
      <c r="L157" s="68">
        <v>0</v>
      </c>
      <c r="M157" s="68" t="s">
        <v>8915</v>
      </c>
      <c r="N157" s="68">
        <v>0</v>
      </c>
      <c r="O157" s="68">
        <v>0</v>
      </c>
      <c r="P157" s="198" t="s">
        <v>5614</v>
      </c>
    </row>
    <row r="158" spans="1:16" ht="18.75" hidden="1">
      <c r="A158" s="13" t="s">
        <v>2900</v>
      </c>
      <c r="B158" s="12" t="s">
        <v>3040</v>
      </c>
      <c r="C158" s="12" t="s">
        <v>2872</v>
      </c>
      <c r="D158" s="12" t="s">
        <v>2864</v>
      </c>
      <c r="E158" s="12" t="str">
        <f t="shared" si="8"/>
        <v>95</v>
      </c>
      <c r="F158" s="14">
        <v>50580</v>
      </c>
      <c r="G158" s="67" t="s">
        <v>5609</v>
      </c>
      <c r="H158" s="14" t="s">
        <v>5601</v>
      </c>
      <c r="I158" s="14" t="s">
        <v>2458</v>
      </c>
      <c r="J158" s="33" t="s">
        <v>7110</v>
      </c>
      <c r="K158" s="68">
        <v>0</v>
      </c>
      <c r="L158" s="68">
        <v>0</v>
      </c>
      <c r="M158" s="68" t="s">
        <v>8915</v>
      </c>
      <c r="N158" s="68">
        <v>0</v>
      </c>
      <c r="O158" s="68">
        <v>0</v>
      </c>
      <c r="P158" s="198" t="s">
        <v>5614</v>
      </c>
    </row>
    <row r="159" spans="1:16" ht="18.75" hidden="1">
      <c r="A159" s="13" t="s">
        <v>2899</v>
      </c>
      <c r="B159" s="12" t="s">
        <v>3041</v>
      </c>
      <c r="C159" s="12" t="s">
        <v>2890</v>
      </c>
      <c r="D159" s="12" t="s">
        <v>2865</v>
      </c>
      <c r="E159" s="12" t="str">
        <f t="shared" si="8"/>
        <v>95</v>
      </c>
      <c r="F159" s="14">
        <v>22190</v>
      </c>
      <c r="G159" s="67" t="s">
        <v>5611</v>
      </c>
      <c r="H159" s="14" t="s">
        <v>5601</v>
      </c>
      <c r="I159" s="14" t="s">
        <v>2458</v>
      </c>
      <c r="J159" s="33" t="s">
        <v>7110</v>
      </c>
      <c r="K159" s="68">
        <v>0</v>
      </c>
      <c r="L159" s="68">
        <v>0</v>
      </c>
      <c r="M159" s="68" t="s">
        <v>8915</v>
      </c>
      <c r="N159" s="68">
        <v>0</v>
      </c>
      <c r="O159" s="68">
        <v>0</v>
      </c>
      <c r="P159" s="198" t="s">
        <v>5619</v>
      </c>
    </row>
    <row r="160" spans="1:16" ht="18.75" hidden="1">
      <c r="A160" s="13" t="s">
        <v>2899</v>
      </c>
      <c r="B160" s="12" t="s">
        <v>3041</v>
      </c>
      <c r="C160" s="12" t="s">
        <v>3052</v>
      </c>
      <c r="D160" s="12" t="s">
        <v>2865</v>
      </c>
      <c r="E160" s="12" t="str">
        <f t="shared" si="8"/>
        <v>95</v>
      </c>
      <c r="F160" s="14">
        <v>50200</v>
      </c>
      <c r="G160" s="67" t="s">
        <v>5611</v>
      </c>
      <c r="H160" s="14" t="s">
        <v>5601</v>
      </c>
      <c r="I160" s="14" t="s">
        <v>2458</v>
      </c>
      <c r="J160" s="33" t="s">
        <v>7110</v>
      </c>
      <c r="K160" s="68">
        <v>0</v>
      </c>
      <c r="L160" s="68">
        <v>0</v>
      </c>
      <c r="M160" s="68" t="s">
        <v>8915</v>
      </c>
      <c r="N160" s="68">
        <v>0</v>
      </c>
      <c r="O160" s="68">
        <v>0</v>
      </c>
      <c r="P160" s="198" t="s">
        <v>5619</v>
      </c>
    </row>
    <row r="161" spans="1:16" ht="18.75" hidden="1">
      <c r="A161" s="13" t="s">
        <v>2901</v>
      </c>
      <c r="B161" s="12" t="s">
        <v>3040</v>
      </c>
      <c r="C161" s="12" t="s">
        <v>2872</v>
      </c>
      <c r="D161" s="12" t="s">
        <v>2864</v>
      </c>
      <c r="E161" s="12" t="str">
        <f t="shared" si="8"/>
        <v>95</v>
      </c>
      <c r="F161" s="14">
        <v>75500</v>
      </c>
      <c r="G161" s="67" t="s">
        <v>5609</v>
      </c>
      <c r="H161" s="14" t="s">
        <v>5601</v>
      </c>
      <c r="I161" s="14" t="s">
        <v>2458</v>
      </c>
      <c r="J161" s="33" t="s">
        <v>7110</v>
      </c>
      <c r="K161" s="68">
        <v>0</v>
      </c>
      <c r="L161" s="68">
        <v>0</v>
      </c>
      <c r="M161" s="68" t="s">
        <v>8915</v>
      </c>
      <c r="N161" s="68">
        <v>0</v>
      </c>
      <c r="O161" s="68">
        <v>0</v>
      </c>
      <c r="P161" s="198" t="s">
        <v>5614</v>
      </c>
    </row>
    <row r="162" spans="1:16" ht="18.75" hidden="1">
      <c r="A162" s="13" t="s">
        <v>2902</v>
      </c>
      <c r="B162" s="12" t="s">
        <v>3042</v>
      </c>
      <c r="C162" s="12" t="s">
        <v>2890</v>
      </c>
      <c r="D162" s="12" t="s">
        <v>2865</v>
      </c>
      <c r="E162" s="12" t="str">
        <f t="shared" si="8"/>
        <v>95</v>
      </c>
      <c r="F162" s="14">
        <v>170680</v>
      </c>
      <c r="G162" s="67" t="s">
        <v>5611</v>
      </c>
      <c r="H162" s="14" t="s">
        <v>5601</v>
      </c>
      <c r="I162" s="14" t="s">
        <v>2458</v>
      </c>
      <c r="J162" s="33" t="s">
        <v>7110</v>
      </c>
      <c r="K162" s="68">
        <v>0</v>
      </c>
      <c r="L162" s="68">
        <v>0</v>
      </c>
      <c r="M162" s="68" t="s">
        <v>8915</v>
      </c>
      <c r="N162" s="68">
        <v>0</v>
      </c>
      <c r="O162" s="68">
        <v>0</v>
      </c>
      <c r="P162" s="198" t="s">
        <v>5619</v>
      </c>
    </row>
    <row r="163" spans="1:16" ht="18.75" hidden="1">
      <c r="A163" s="13" t="s">
        <v>2902</v>
      </c>
      <c r="B163" s="12" t="s">
        <v>3042</v>
      </c>
      <c r="C163" s="12" t="s">
        <v>3052</v>
      </c>
      <c r="D163" s="12" t="s">
        <v>2865</v>
      </c>
      <c r="E163" s="12" t="str">
        <f t="shared" si="8"/>
        <v>95</v>
      </c>
      <c r="F163" s="14">
        <v>25380</v>
      </c>
      <c r="G163" s="67" t="s">
        <v>5611</v>
      </c>
      <c r="H163" s="14" t="s">
        <v>5601</v>
      </c>
      <c r="I163" s="14" t="s">
        <v>2458</v>
      </c>
      <c r="J163" s="33" t="s">
        <v>7110</v>
      </c>
      <c r="K163" s="68">
        <v>0</v>
      </c>
      <c r="L163" s="68">
        <v>0</v>
      </c>
      <c r="M163" s="68" t="s">
        <v>8915</v>
      </c>
      <c r="N163" s="68">
        <v>0</v>
      </c>
      <c r="O163" s="68">
        <v>0</v>
      </c>
      <c r="P163" s="198" t="s">
        <v>5619</v>
      </c>
    </row>
    <row r="164" spans="1:16" ht="18.75" hidden="1">
      <c r="A164" s="13" t="s">
        <v>2901</v>
      </c>
      <c r="B164" s="12" t="s">
        <v>3040</v>
      </c>
      <c r="C164" s="12" t="s">
        <v>2889</v>
      </c>
      <c r="D164" s="12" t="s">
        <v>2754</v>
      </c>
      <c r="E164" s="12" t="str">
        <f t="shared" si="8"/>
        <v>95</v>
      </c>
      <c r="F164" s="14">
        <v>22460</v>
      </c>
      <c r="G164" s="67" t="s">
        <v>5611</v>
      </c>
      <c r="H164" s="14" t="s">
        <v>5601</v>
      </c>
      <c r="I164" s="14" t="s">
        <v>2458</v>
      </c>
      <c r="J164" s="33" t="s">
        <v>7110</v>
      </c>
      <c r="K164" s="68">
        <v>0</v>
      </c>
      <c r="L164" s="68">
        <v>0</v>
      </c>
      <c r="M164" s="68" t="s">
        <v>8915</v>
      </c>
      <c r="N164" s="68">
        <v>0</v>
      </c>
      <c r="O164" s="68">
        <v>0</v>
      </c>
      <c r="P164" s="198" t="s">
        <v>5612</v>
      </c>
    </row>
    <row r="165" spans="1:16" ht="18.75" hidden="1">
      <c r="A165" s="13" t="s">
        <v>2903</v>
      </c>
      <c r="B165" s="12" t="s">
        <v>3044</v>
      </c>
      <c r="C165" s="12" t="s">
        <v>3053</v>
      </c>
      <c r="D165" s="12" t="s">
        <v>2612</v>
      </c>
      <c r="E165" s="12" t="str">
        <f t="shared" si="8"/>
        <v>95</v>
      </c>
      <c r="F165" s="14">
        <v>92480</v>
      </c>
      <c r="G165" s="67" t="s">
        <v>5607</v>
      </c>
      <c r="H165" s="14" t="s">
        <v>5601</v>
      </c>
      <c r="I165" s="14" t="s">
        <v>2458</v>
      </c>
      <c r="J165" s="33" t="s">
        <v>7110</v>
      </c>
      <c r="K165" s="68">
        <v>0</v>
      </c>
      <c r="L165" s="68">
        <v>0</v>
      </c>
      <c r="M165" s="68" t="s">
        <v>8915</v>
      </c>
      <c r="N165" s="68">
        <v>0</v>
      </c>
      <c r="O165" s="68">
        <v>0</v>
      </c>
      <c r="P165" s="198" t="s">
        <v>5608</v>
      </c>
    </row>
    <row r="166" spans="1:16" ht="18.75" hidden="1">
      <c r="A166" s="13" t="s">
        <v>2904</v>
      </c>
      <c r="B166" s="12" t="s">
        <v>3046</v>
      </c>
      <c r="C166" s="12" t="s">
        <v>3053</v>
      </c>
      <c r="D166" s="12" t="s">
        <v>2612</v>
      </c>
      <c r="E166" s="12" t="str">
        <f t="shared" si="8"/>
        <v>95</v>
      </c>
      <c r="F166" s="14">
        <v>117920</v>
      </c>
      <c r="G166" s="67" t="s">
        <v>5607</v>
      </c>
      <c r="H166" s="14" t="s">
        <v>5601</v>
      </c>
      <c r="I166" s="14" t="s">
        <v>2458</v>
      </c>
      <c r="J166" s="33" t="s">
        <v>7110</v>
      </c>
      <c r="K166" s="68">
        <v>0</v>
      </c>
      <c r="L166" s="68">
        <v>0</v>
      </c>
      <c r="M166" s="68" t="s">
        <v>8915</v>
      </c>
      <c r="N166" s="68">
        <v>0</v>
      </c>
      <c r="O166" s="68">
        <v>0</v>
      </c>
      <c r="P166" s="198" t="s">
        <v>5608</v>
      </c>
    </row>
    <row r="167" spans="1:16" ht="18.75" hidden="1">
      <c r="A167" s="13" t="s">
        <v>2905</v>
      </c>
      <c r="B167" s="12" t="s">
        <v>3045</v>
      </c>
      <c r="C167" s="12" t="s">
        <v>3052</v>
      </c>
      <c r="D167" s="12" t="s">
        <v>2865</v>
      </c>
      <c r="E167" s="12" t="str">
        <f t="shared" si="8"/>
        <v>95</v>
      </c>
      <c r="F167" s="14">
        <v>24620</v>
      </c>
      <c r="G167" s="67" t="s">
        <v>5611</v>
      </c>
      <c r="H167" s="14" t="s">
        <v>5601</v>
      </c>
      <c r="I167" s="14" t="s">
        <v>2458</v>
      </c>
      <c r="J167" s="33" t="s">
        <v>7110</v>
      </c>
      <c r="K167" s="68">
        <v>0</v>
      </c>
      <c r="L167" s="68">
        <v>0</v>
      </c>
      <c r="M167" s="68" t="s">
        <v>8915</v>
      </c>
      <c r="N167" s="68">
        <v>0</v>
      </c>
      <c r="O167" s="68">
        <v>0</v>
      </c>
      <c r="P167" s="198" t="s">
        <v>5619</v>
      </c>
    </row>
    <row r="168" spans="1:16" ht="18.75" hidden="1">
      <c r="A168" s="13" t="s">
        <v>2906</v>
      </c>
      <c r="B168" s="12" t="s">
        <v>3047</v>
      </c>
      <c r="C168" s="12" t="s">
        <v>3052</v>
      </c>
      <c r="D168" s="12" t="s">
        <v>2865</v>
      </c>
      <c r="E168" s="12" t="str">
        <f t="shared" si="8"/>
        <v>95</v>
      </c>
      <c r="F168" s="14">
        <v>49420</v>
      </c>
      <c r="G168" s="67" t="s">
        <v>5611</v>
      </c>
      <c r="H168" s="14" t="s">
        <v>5601</v>
      </c>
      <c r="I168" s="14" t="s">
        <v>2458</v>
      </c>
      <c r="J168" s="33" t="s">
        <v>7110</v>
      </c>
      <c r="K168" s="68">
        <v>0</v>
      </c>
      <c r="L168" s="68">
        <v>0</v>
      </c>
      <c r="M168" s="68" t="s">
        <v>8915</v>
      </c>
      <c r="N168" s="68">
        <v>0</v>
      </c>
      <c r="O168" s="68">
        <v>0</v>
      </c>
      <c r="P168" s="198" t="s">
        <v>5619</v>
      </c>
    </row>
    <row r="169" spans="1:16" ht="18.75" hidden="1">
      <c r="A169" s="13" t="s">
        <v>2907</v>
      </c>
      <c r="B169" s="12" t="s">
        <v>3046</v>
      </c>
      <c r="C169" s="12" t="s">
        <v>2890</v>
      </c>
      <c r="D169" s="12" t="s">
        <v>2865</v>
      </c>
      <c r="E169" s="12" t="str">
        <f t="shared" si="8"/>
        <v>95</v>
      </c>
      <c r="F169" s="14">
        <v>47380</v>
      </c>
      <c r="G169" s="67" t="s">
        <v>5611</v>
      </c>
      <c r="H169" s="14" t="s">
        <v>5601</v>
      </c>
      <c r="I169" s="14" t="s">
        <v>2458</v>
      </c>
      <c r="J169" s="33" t="s">
        <v>7110</v>
      </c>
      <c r="K169" s="68">
        <v>0</v>
      </c>
      <c r="L169" s="68">
        <v>0</v>
      </c>
      <c r="M169" s="68" t="s">
        <v>8915</v>
      </c>
      <c r="N169" s="68">
        <v>0</v>
      </c>
      <c r="O169" s="68">
        <v>0</v>
      </c>
      <c r="P169" s="198" t="s">
        <v>5619</v>
      </c>
    </row>
    <row r="170" spans="1:16" ht="18.75" hidden="1">
      <c r="A170" s="13" t="s">
        <v>2908</v>
      </c>
      <c r="B170" s="12" t="s">
        <v>3048</v>
      </c>
      <c r="C170" s="12" t="s">
        <v>2890</v>
      </c>
      <c r="D170" s="12" t="s">
        <v>2865</v>
      </c>
      <c r="E170" s="12" t="str">
        <f t="shared" si="8"/>
        <v>95</v>
      </c>
      <c r="F170" s="14">
        <v>49300</v>
      </c>
      <c r="G170" s="67" t="s">
        <v>5611</v>
      </c>
      <c r="H170" s="14" t="s">
        <v>5601</v>
      </c>
      <c r="I170" s="14" t="s">
        <v>2458</v>
      </c>
      <c r="J170" s="33" t="s">
        <v>7110</v>
      </c>
      <c r="K170" s="68">
        <v>0</v>
      </c>
      <c r="L170" s="68">
        <v>0</v>
      </c>
      <c r="M170" s="68" t="s">
        <v>8915</v>
      </c>
      <c r="N170" s="68">
        <v>0</v>
      </c>
      <c r="O170" s="68">
        <v>0</v>
      </c>
      <c r="P170" s="198" t="s">
        <v>5619</v>
      </c>
    </row>
    <row r="171" spans="1:16" ht="18.75" hidden="1">
      <c r="A171" s="13" t="s">
        <v>2909</v>
      </c>
      <c r="B171" s="12" t="s">
        <v>3049</v>
      </c>
      <c r="C171" s="12" t="s">
        <v>2889</v>
      </c>
      <c r="D171" s="12" t="s">
        <v>2754</v>
      </c>
      <c r="E171" s="12" t="str">
        <f t="shared" si="8"/>
        <v>95</v>
      </c>
      <c r="F171" s="14">
        <v>50520</v>
      </c>
      <c r="G171" s="67" t="s">
        <v>5611</v>
      </c>
      <c r="H171" s="14" t="s">
        <v>5601</v>
      </c>
      <c r="I171" s="14" t="s">
        <v>2458</v>
      </c>
      <c r="J171" s="33" t="s">
        <v>7110</v>
      </c>
      <c r="K171" s="68">
        <v>0</v>
      </c>
      <c r="L171" s="68">
        <v>0</v>
      </c>
      <c r="M171" s="68" t="s">
        <v>8915</v>
      </c>
      <c r="N171" s="68">
        <v>0</v>
      </c>
      <c r="O171" s="68">
        <v>0</v>
      </c>
      <c r="P171" s="198" t="s">
        <v>5612</v>
      </c>
    </row>
    <row r="172" spans="1:16" ht="18.75" hidden="1">
      <c r="A172" s="13" t="s">
        <v>2910</v>
      </c>
      <c r="B172" s="12" t="s">
        <v>3044</v>
      </c>
      <c r="C172" s="12" t="s">
        <v>3053</v>
      </c>
      <c r="D172" s="12" t="s">
        <v>2612</v>
      </c>
      <c r="E172" s="12" t="str">
        <f t="shared" si="8"/>
        <v>95</v>
      </c>
      <c r="F172" s="14">
        <v>74880</v>
      </c>
      <c r="G172" s="67" t="s">
        <v>5607</v>
      </c>
      <c r="H172" s="14" t="s">
        <v>5601</v>
      </c>
      <c r="I172" s="14" t="s">
        <v>2458</v>
      </c>
      <c r="J172" s="33" t="s">
        <v>7110</v>
      </c>
      <c r="K172" s="68">
        <v>0</v>
      </c>
      <c r="L172" s="68">
        <v>0</v>
      </c>
      <c r="M172" s="68" t="s">
        <v>8915</v>
      </c>
      <c r="N172" s="68">
        <v>0</v>
      </c>
      <c r="O172" s="68">
        <v>0</v>
      </c>
      <c r="P172" s="198" t="s">
        <v>5608</v>
      </c>
    </row>
    <row r="173" spans="1:16" ht="18.75" hidden="1">
      <c r="A173" s="13" t="s">
        <v>2911</v>
      </c>
      <c r="B173" s="12" t="s">
        <v>3040</v>
      </c>
      <c r="C173" s="12" t="s">
        <v>2889</v>
      </c>
      <c r="D173" s="12" t="s">
        <v>2754</v>
      </c>
      <c r="E173" s="12" t="str">
        <f t="shared" si="8"/>
        <v>95</v>
      </c>
      <c r="F173" s="14">
        <v>92680</v>
      </c>
      <c r="G173" s="67" t="s">
        <v>5611</v>
      </c>
      <c r="H173" s="14" t="s">
        <v>5601</v>
      </c>
      <c r="I173" s="14" t="s">
        <v>2458</v>
      </c>
      <c r="J173" s="33" t="s">
        <v>7110</v>
      </c>
      <c r="K173" s="68">
        <v>0</v>
      </c>
      <c r="L173" s="68">
        <v>0</v>
      </c>
      <c r="M173" s="68" t="s">
        <v>8915</v>
      </c>
      <c r="N173" s="68">
        <v>0</v>
      </c>
      <c r="O173" s="68">
        <v>0</v>
      </c>
      <c r="P173" s="198" t="s">
        <v>5612</v>
      </c>
    </row>
    <row r="174" spans="1:16" ht="18.75" hidden="1">
      <c r="A174" s="13" t="s">
        <v>2912</v>
      </c>
      <c r="B174" s="12" t="s">
        <v>3049</v>
      </c>
      <c r="C174" s="12" t="s">
        <v>2889</v>
      </c>
      <c r="D174" s="12" t="s">
        <v>2754</v>
      </c>
      <c r="E174" s="12" t="str">
        <f t="shared" si="8"/>
        <v>95</v>
      </c>
      <c r="F174" s="14">
        <v>46940</v>
      </c>
      <c r="G174" s="67" t="s">
        <v>5611</v>
      </c>
      <c r="H174" s="14" t="s">
        <v>5601</v>
      </c>
      <c r="I174" s="14" t="s">
        <v>2458</v>
      </c>
      <c r="J174" s="33" t="s">
        <v>7110</v>
      </c>
      <c r="K174" s="68">
        <v>0</v>
      </c>
      <c r="L174" s="68">
        <v>0</v>
      </c>
      <c r="M174" s="68" t="s">
        <v>8915</v>
      </c>
      <c r="N174" s="68">
        <v>0</v>
      </c>
      <c r="O174" s="68">
        <v>0</v>
      </c>
      <c r="P174" s="198" t="s">
        <v>5612</v>
      </c>
    </row>
    <row r="175" spans="1:16" ht="18.75" hidden="1">
      <c r="A175" s="13" t="s">
        <v>2913</v>
      </c>
      <c r="B175" s="12" t="s">
        <v>3044</v>
      </c>
      <c r="C175" s="12" t="s">
        <v>2889</v>
      </c>
      <c r="D175" s="12" t="s">
        <v>2754</v>
      </c>
      <c r="E175" s="12" t="str">
        <f t="shared" si="8"/>
        <v>95</v>
      </c>
      <c r="F175" s="14">
        <v>71860</v>
      </c>
      <c r="G175" s="67" t="s">
        <v>5611</v>
      </c>
      <c r="H175" s="14" t="s">
        <v>5601</v>
      </c>
      <c r="I175" s="14" t="s">
        <v>2458</v>
      </c>
      <c r="J175" s="33" t="s">
        <v>7110</v>
      </c>
      <c r="K175" s="68">
        <v>0</v>
      </c>
      <c r="L175" s="68">
        <v>0</v>
      </c>
      <c r="M175" s="68" t="s">
        <v>8915</v>
      </c>
      <c r="N175" s="68">
        <v>0</v>
      </c>
      <c r="O175" s="68">
        <v>0</v>
      </c>
      <c r="P175" s="198" t="s">
        <v>5612</v>
      </c>
    </row>
    <row r="176" spans="1:16" ht="18.75" hidden="1">
      <c r="A176" s="13" t="s">
        <v>2914</v>
      </c>
      <c r="B176" s="12" t="s">
        <v>3049</v>
      </c>
      <c r="C176" s="12" t="s">
        <v>2890</v>
      </c>
      <c r="D176" s="12" t="s">
        <v>2865</v>
      </c>
      <c r="E176" s="12" t="str">
        <f t="shared" si="8"/>
        <v>95</v>
      </c>
      <c r="F176" s="14">
        <v>95420</v>
      </c>
      <c r="G176" s="67" t="s">
        <v>5611</v>
      </c>
      <c r="H176" s="14" t="s">
        <v>5601</v>
      </c>
      <c r="I176" s="14" t="s">
        <v>2458</v>
      </c>
      <c r="J176" s="33" t="s">
        <v>7110</v>
      </c>
      <c r="K176" s="68">
        <v>0</v>
      </c>
      <c r="L176" s="68">
        <v>0</v>
      </c>
      <c r="M176" s="68" t="s">
        <v>8915</v>
      </c>
      <c r="N176" s="68">
        <v>0</v>
      </c>
      <c r="O176" s="68">
        <v>0</v>
      </c>
      <c r="P176" s="198" t="s">
        <v>5619</v>
      </c>
    </row>
    <row r="177" spans="1:16" ht="18.75" hidden="1">
      <c r="A177" s="13" t="s">
        <v>2915</v>
      </c>
      <c r="B177" s="12" t="s">
        <v>3048</v>
      </c>
      <c r="C177" s="12" t="s">
        <v>3053</v>
      </c>
      <c r="D177" s="12" t="s">
        <v>2612</v>
      </c>
      <c r="E177" s="12" t="str">
        <f t="shared" ref="E177:E216" si="9">MID(D177,1,2)</f>
        <v>95</v>
      </c>
      <c r="F177" s="14">
        <v>75580</v>
      </c>
      <c r="G177" s="67" t="s">
        <v>5607</v>
      </c>
      <c r="H177" s="14" t="s">
        <v>5601</v>
      </c>
      <c r="I177" s="14" t="s">
        <v>2458</v>
      </c>
      <c r="J177" s="33" t="s">
        <v>7110</v>
      </c>
      <c r="K177" s="68">
        <v>0</v>
      </c>
      <c r="L177" s="68">
        <v>0</v>
      </c>
      <c r="M177" s="68" t="s">
        <v>8915</v>
      </c>
      <c r="N177" s="68">
        <v>0</v>
      </c>
      <c r="O177" s="68">
        <v>0</v>
      </c>
      <c r="P177" s="198" t="s">
        <v>5608</v>
      </c>
    </row>
    <row r="178" spans="1:16" ht="18.75" hidden="1">
      <c r="A178" s="13" t="s">
        <v>2917</v>
      </c>
      <c r="B178" s="12" t="s">
        <v>3040</v>
      </c>
      <c r="C178" s="12" t="s">
        <v>3060</v>
      </c>
      <c r="D178" s="12" t="s">
        <v>2754</v>
      </c>
      <c r="E178" s="12" t="str">
        <f t="shared" si="9"/>
        <v>95</v>
      </c>
      <c r="F178" s="14">
        <v>640000</v>
      </c>
      <c r="G178" s="67" t="s">
        <v>5611</v>
      </c>
      <c r="H178" s="14" t="s">
        <v>5601</v>
      </c>
      <c r="I178" s="14" t="s">
        <v>2458</v>
      </c>
      <c r="J178" s="33" t="s">
        <v>7110</v>
      </c>
      <c r="K178" s="68">
        <v>0</v>
      </c>
      <c r="L178" s="68">
        <v>0</v>
      </c>
      <c r="M178" s="68" t="s">
        <v>8915</v>
      </c>
      <c r="N178" s="68">
        <v>0</v>
      </c>
      <c r="O178" s="68">
        <v>0</v>
      </c>
      <c r="P178" s="198" t="s">
        <v>5612</v>
      </c>
    </row>
    <row r="179" spans="1:16" ht="18.75" hidden="1">
      <c r="A179" s="13" t="s">
        <v>2918</v>
      </c>
      <c r="B179" s="12" t="s">
        <v>2863</v>
      </c>
      <c r="C179" s="12" t="s">
        <v>2800</v>
      </c>
      <c r="D179" s="12" t="s">
        <v>2751</v>
      </c>
      <c r="E179" s="12" t="str">
        <f t="shared" si="9"/>
        <v>95</v>
      </c>
      <c r="F179" s="14">
        <v>505250</v>
      </c>
      <c r="G179" s="67" t="s">
        <v>5604</v>
      </c>
      <c r="H179" s="14" t="s">
        <v>5601</v>
      </c>
      <c r="I179" s="14" t="s">
        <v>2458</v>
      </c>
      <c r="J179" s="33" t="e">
        <f>VLOOKUP(C179,شرکتها!A:B,2,FALSE)</f>
        <v>#N/A</v>
      </c>
      <c r="K179" s="68">
        <v>0</v>
      </c>
      <c r="L179" s="68">
        <v>0</v>
      </c>
      <c r="M179" s="68" t="s">
        <v>8915</v>
      </c>
      <c r="N179" s="68">
        <v>0</v>
      </c>
      <c r="O179" s="68">
        <v>0</v>
      </c>
      <c r="P179" s="198" t="s">
        <v>5613</v>
      </c>
    </row>
    <row r="180" spans="1:16" ht="18.75" hidden="1">
      <c r="A180" s="13" t="s">
        <v>2919</v>
      </c>
      <c r="B180" s="12" t="s">
        <v>2858</v>
      </c>
      <c r="C180" s="12" t="s">
        <v>3061</v>
      </c>
      <c r="D180" s="12" t="s">
        <v>2758</v>
      </c>
      <c r="E180" s="12" t="str">
        <f t="shared" si="9"/>
        <v>95</v>
      </c>
      <c r="F180" s="14">
        <v>195072</v>
      </c>
      <c r="G180" s="67" t="s">
        <v>5604</v>
      </c>
      <c r="H180" s="14" t="s">
        <v>5601</v>
      </c>
      <c r="I180" s="14" t="s">
        <v>2458</v>
      </c>
      <c r="J180" s="33" t="s">
        <v>7110</v>
      </c>
      <c r="K180" s="68">
        <v>0</v>
      </c>
      <c r="L180" s="68">
        <v>0</v>
      </c>
      <c r="M180" s="68" t="s">
        <v>8915</v>
      </c>
      <c r="N180" s="68">
        <v>0</v>
      </c>
      <c r="O180" s="68">
        <v>0</v>
      </c>
      <c r="P180" s="198" t="s">
        <v>5613</v>
      </c>
    </row>
    <row r="181" spans="1:16" ht="18.75" hidden="1">
      <c r="A181" s="13" t="s">
        <v>2920</v>
      </c>
      <c r="B181" s="12" t="s">
        <v>2856</v>
      </c>
      <c r="C181" s="12" t="s">
        <v>2797</v>
      </c>
      <c r="D181" s="12" t="s">
        <v>2754</v>
      </c>
      <c r="E181" s="12" t="str">
        <f t="shared" si="9"/>
        <v>95</v>
      </c>
      <c r="F181" s="14">
        <v>176440</v>
      </c>
      <c r="G181" s="67" t="s">
        <v>5604</v>
      </c>
      <c r="H181" s="14" t="s">
        <v>5601</v>
      </c>
      <c r="I181" s="14" t="s">
        <v>2458</v>
      </c>
      <c r="J181" s="33" t="e">
        <f>VLOOKUP(C181,شرکتها!A:B,2,FALSE)</f>
        <v>#N/A</v>
      </c>
      <c r="K181" s="68">
        <v>0</v>
      </c>
      <c r="L181" s="68">
        <v>0</v>
      </c>
      <c r="M181" s="68" t="s">
        <v>8915</v>
      </c>
      <c r="N181" s="68">
        <v>0</v>
      </c>
      <c r="O181" s="68">
        <v>0</v>
      </c>
      <c r="P181" s="198" t="s">
        <v>5613</v>
      </c>
    </row>
    <row r="182" spans="1:16" ht="18.75" hidden="1">
      <c r="A182" s="13" t="s">
        <v>2920</v>
      </c>
      <c r="B182" s="12" t="s">
        <v>2856</v>
      </c>
      <c r="C182" s="12" t="s">
        <v>3063</v>
      </c>
      <c r="D182" s="12" t="s">
        <v>2758</v>
      </c>
      <c r="E182" s="12" t="str">
        <f t="shared" si="9"/>
        <v>95</v>
      </c>
      <c r="F182" s="14">
        <v>797080</v>
      </c>
      <c r="G182" s="67" t="s">
        <v>5604</v>
      </c>
      <c r="H182" s="14" t="s">
        <v>5601</v>
      </c>
      <c r="I182" s="14" t="s">
        <v>2458</v>
      </c>
      <c r="J182" s="33" t="e">
        <f>VLOOKUP(C182,شرکتها!A:B,2,FALSE)</f>
        <v>#N/A</v>
      </c>
      <c r="K182" s="68">
        <v>0</v>
      </c>
      <c r="L182" s="68">
        <v>0</v>
      </c>
      <c r="M182" s="68" t="s">
        <v>8915</v>
      </c>
      <c r="N182" s="68">
        <v>0</v>
      </c>
      <c r="O182" s="68">
        <v>0</v>
      </c>
      <c r="P182" s="198" t="s">
        <v>5613</v>
      </c>
    </row>
    <row r="183" spans="1:16" ht="18.75" hidden="1">
      <c r="A183" s="13" t="s">
        <v>2921</v>
      </c>
      <c r="B183" s="12" t="s">
        <v>3040</v>
      </c>
      <c r="C183" s="12" t="s">
        <v>3064</v>
      </c>
      <c r="D183" s="12" t="s">
        <v>2612</v>
      </c>
      <c r="E183" s="12" t="str">
        <f t="shared" si="9"/>
        <v>95</v>
      </c>
      <c r="F183" s="14">
        <v>138732</v>
      </c>
      <c r="G183" s="67" t="s">
        <v>5611</v>
      </c>
      <c r="H183" s="14" t="s">
        <v>5601</v>
      </c>
      <c r="I183" s="14" t="s">
        <v>2458</v>
      </c>
      <c r="J183" s="33" t="s">
        <v>7110</v>
      </c>
      <c r="K183" s="68">
        <v>0</v>
      </c>
      <c r="L183" s="68">
        <v>0</v>
      </c>
      <c r="M183" s="68" t="s">
        <v>8915</v>
      </c>
      <c r="N183" s="68">
        <v>0</v>
      </c>
      <c r="O183" s="68">
        <v>0</v>
      </c>
      <c r="P183" s="198" t="s">
        <v>5612</v>
      </c>
    </row>
    <row r="184" spans="1:16" ht="18.75" hidden="1">
      <c r="A184" s="13" t="s">
        <v>2922</v>
      </c>
      <c r="B184" s="12" t="s">
        <v>2857</v>
      </c>
      <c r="C184" s="12" t="s">
        <v>3065</v>
      </c>
      <c r="D184" s="12" t="s">
        <v>2751</v>
      </c>
      <c r="E184" s="12" t="str">
        <f t="shared" si="9"/>
        <v>95</v>
      </c>
      <c r="F184" s="14">
        <v>1327484</v>
      </c>
      <c r="G184" s="67" t="s">
        <v>5607</v>
      </c>
      <c r="H184" s="14" t="s">
        <v>5601</v>
      </c>
      <c r="I184" s="14" t="s">
        <v>2458</v>
      </c>
      <c r="J184" s="33" t="s">
        <v>7110</v>
      </c>
      <c r="K184" s="68">
        <v>0</v>
      </c>
      <c r="L184" s="68">
        <v>0</v>
      </c>
      <c r="M184" s="68" t="s">
        <v>8915</v>
      </c>
      <c r="N184" s="68">
        <v>0</v>
      </c>
      <c r="O184" s="68">
        <v>0</v>
      </c>
      <c r="P184" s="198" t="s">
        <v>5608</v>
      </c>
    </row>
    <row r="185" spans="1:16" ht="18.75" hidden="1">
      <c r="A185" s="13" t="s">
        <v>2917</v>
      </c>
      <c r="B185" s="12" t="s">
        <v>3040</v>
      </c>
      <c r="C185" s="12" t="s">
        <v>3064</v>
      </c>
      <c r="D185" s="12" t="s">
        <v>2612</v>
      </c>
      <c r="E185" s="12" t="str">
        <f t="shared" si="9"/>
        <v>95</v>
      </c>
      <c r="F185" s="14">
        <v>210060</v>
      </c>
      <c r="G185" s="67" t="s">
        <v>5611</v>
      </c>
      <c r="H185" s="14" t="s">
        <v>5601</v>
      </c>
      <c r="I185" s="14" t="s">
        <v>2458</v>
      </c>
      <c r="J185" s="33" t="s">
        <v>7110</v>
      </c>
      <c r="K185" s="68">
        <v>0</v>
      </c>
      <c r="L185" s="68">
        <v>0</v>
      </c>
      <c r="M185" s="68" t="s">
        <v>8915</v>
      </c>
      <c r="N185" s="68">
        <v>0</v>
      </c>
      <c r="O185" s="68">
        <v>0</v>
      </c>
      <c r="P185" s="198" t="s">
        <v>5612</v>
      </c>
    </row>
    <row r="186" spans="1:16" ht="18.75" hidden="1">
      <c r="A186" s="13" t="s">
        <v>2923</v>
      </c>
      <c r="B186" s="12" t="s">
        <v>3043</v>
      </c>
      <c r="C186" s="12" t="s">
        <v>3066</v>
      </c>
      <c r="D186" s="12" t="s">
        <v>2754</v>
      </c>
      <c r="E186" s="12" t="str">
        <f t="shared" si="9"/>
        <v>95</v>
      </c>
      <c r="F186" s="14">
        <v>260767</v>
      </c>
      <c r="G186" s="67" t="s">
        <v>5611</v>
      </c>
      <c r="H186" s="14" t="s">
        <v>5601</v>
      </c>
      <c r="I186" s="14" t="s">
        <v>2458</v>
      </c>
      <c r="J186" s="33" t="s">
        <v>7110</v>
      </c>
      <c r="K186" s="68">
        <v>0</v>
      </c>
      <c r="L186" s="68">
        <v>0</v>
      </c>
      <c r="M186" s="68" t="s">
        <v>8915</v>
      </c>
      <c r="N186" s="68">
        <v>0</v>
      </c>
      <c r="O186" s="68">
        <v>0</v>
      </c>
      <c r="P186" s="198" t="s">
        <v>5612</v>
      </c>
    </row>
    <row r="187" spans="1:16" ht="18.75" hidden="1">
      <c r="A187" s="13" t="s">
        <v>2922</v>
      </c>
      <c r="B187" s="12" t="s">
        <v>2857</v>
      </c>
      <c r="C187" s="12" t="s">
        <v>3067</v>
      </c>
      <c r="D187" s="12" t="s">
        <v>2751</v>
      </c>
      <c r="E187" s="12" t="str">
        <f t="shared" si="9"/>
        <v>95</v>
      </c>
      <c r="F187" s="14">
        <v>670786</v>
      </c>
      <c r="G187" s="67" t="s">
        <v>5607</v>
      </c>
      <c r="H187" s="14" t="s">
        <v>5601</v>
      </c>
      <c r="I187" s="14" t="s">
        <v>2458</v>
      </c>
      <c r="J187" s="33" t="s">
        <v>7110</v>
      </c>
      <c r="K187" s="68">
        <v>0</v>
      </c>
      <c r="L187" s="68">
        <v>0</v>
      </c>
      <c r="M187" s="68" t="s">
        <v>8915</v>
      </c>
      <c r="N187" s="68">
        <v>0</v>
      </c>
      <c r="O187" s="68">
        <v>0</v>
      </c>
      <c r="P187" s="198" t="s">
        <v>5608</v>
      </c>
    </row>
    <row r="188" spans="1:16" ht="18.75" hidden="1">
      <c r="A188" s="13" t="s">
        <v>2924</v>
      </c>
      <c r="B188" s="12" t="s">
        <v>2860</v>
      </c>
      <c r="C188" s="12" t="s">
        <v>3068</v>
      </c>
      <c r="D188" s="12" t="s">
        <v>2868</v>
      </c>
      <c r="E188" s="12" t="str">
        <f t="shared" si="9"/>
        <v>95</v>
      </c>
      <c r="F188" s="14">
        <v>375720</v>
      </c>
      <c r="G188" s="67" t="s">
        <v>5604</v>
      </c>
      <c r="H188" s="14" t="s">
        <v>5601</v>
      </c>
      <c r="I188" s="14" t="s">
        <v>2458</v>
      </c>
      <c r="J188" s="33" t="s">
        <v>7110</v>
      </c>
      <c r="K188" s="68">
        <v>0</v>
      </c>
      <c r="L188" s="68">
        <v>0</v>
      </c>
      <c r="M188" s="68" t="s">
        <v>8915</v>
      </c>
      <c r="N188" s="68">
        <v>0</v>
      </c>
      <c r="O188" s="68">
        <v>0</v>
      </c>
      <c r="P188" s="198" t="s">
        <v>5613</v>
      </c>
    </row>
    <row r="189" spans="1:16" ht="18.75" hidden="1">
      <c r="A189" s="13" t="s">
        <v>2925</v>
      </c>
      <c r="B189" s="12" t="s">
        <v>3048</v>
      </c>
      <c r="C189" s="12" t="s">
        <v>2785</v>
      </c>
      <c r="D189" s="12" t="s">
        <v>2619</v>
      </c>
      <c r="E189" s="12" t="str">
        <f t="shared" si="9"/>
        <v>95</v>
      </c>
      <c r="F189" s="14">
        <v>1360</v>
      </c>
      <c r="G189" s="67" t="s">
        <v>5611</v>
      </c>
      <c r="H189" s="14" t="s">
        <v>5601</v>
      </c>
      <c r="I189" s="14" t="s">
        <v>2458</v>
      </c>
      <c r="J189" s="33" t="s">
        <v>7110</v>
      </c>
      <c r="K189" s="68">
        <v>0</v>
      </c>
      <c r="L189" s="68">
        <v>0</v>
      </c>
      <c r="M189" s="68" t="s">
        <v>8915</v>
      </c>
      <c r="N189" s="68">
        <v>0</v>
      </c>
      <c r="O189" s="68">
        <v>0</v>
      </c>
      <c r="P189" s="198" t="s">
        <v>5612</v>
      </c>
    </row>
    <row r="190" spans="1:16" ht="18.75" hidden="1">
      <c r="A190" s="13" t="s">
        <v>2920</v>
      </c>
      <c r="B190" s="12" t="s">
        <v>2856</v>
      </c>
      <c r="C190" s="12" t="s">
        <v>2813</v>
      </c>
      <c r="D190" s="12" t="s">
        <v>2753</v>
      </c>
      <c r="E190" s="12" t="str">
        <f t="shared" si="9"/>
        <v>95</v>
      </c>
      <c r="F190" s="14">
        <v>23480</v>
      </c>
      <c r="G190" s="67" t="s">
        <v>5604</v>
      </c>
      <c r="H190" s="14" t="s">
        <v>5601</v>
      </c>
      <c r="I190" s="14" t="s">
        <v>2458</v>
      </c>
      <c r="J190" s="33" t="e">
        <f>VLOOKUP(C190,شرکتها!A:B,2,FALSE)</f>
        <v>#N/A</v>
      </c>
      <c r="K190" s="68">
        <v>0</v>
      </c>
      <c r="L190" s="68">
        <v>0</v>
      </c>
      <c r="M190" s="68" t="s">
        <v>8915</v>
      </c>
      <c r="N190" s="68">
        <v>0</v>
      </c>
      <c r="O190" s="68">
        <v>0</v>
      </c>
      <c r="P190" s="198" t="s">
        <v>5613</v>
      </c>
    </row>
    <row r="191" spans="1:16" ht="18.75" hidden="1">
      <c r="A191" s="13" t="s">
        <v>2918</v>
      </c>
      <c r="B191" s="12" t="s">
        <v>2863</v>
      </c>
      <c r="C191" s="12" t="s">
        <v>2811</v>
      </c>
      <c r="D191" s="12" t="s">
        <v>2609</v>
      </c>
      <c r="E191" s="12" t="str">
        <f t="shared" si="9"/>
        <v>95</v>
      </c>
      <c r="F191" s="14">
        <v>482660</v>
      </c>
      <c r="G191" s="67" t="s">
        <v>5604</v>
      </c>
      <c r="H191" s="14" t="s">
        <v>5601</v>
      </c>
      <c r="I191" s="14" t="s">
        <v>2458</v>
      </c>
      <c r="J191" s="33" t="e">
        <f>VLOOKUP(C191,شرکتها!A:B,2,FALSE)</f>
        <v>#N/A</v>
      </c>
      <c r="K191" s="68">
        <v>0</v>
      </c>
      <c r="L191" s="68">
        <v>0</v>
      </c>
      <c r="M191" s="68" t="s">
        <v>8915</v>
      </c>
      <c r="N191" s="68">
        <v>0</v>
      </c>
      <c r="O191" s="68">
        <v>0</v>
      </c>
      <c r="P191" s="198" t="s">
        <v>5613</v>
      </c>
    </row>
    <row r="192" spans="1:16" ht="18.75" hidden="1">
      <c r="A192" s="13" t="s">
        <v>2917</v>
      </c>
      <c r="B192" s="12" t="s">
        <v>3040</v>
      </c>
      <c r="C192" s="12" t="s">
        <v>3069</v>
      </c>
      <c r="D192" s="12" t="s">
        <v>2619</v>
      </c>
      <c r="E192" s="12" t="str">
        <f t="shared" si="9"/>
        <v>95</v>
      </c>
      <c r="F192" s="14">
        <v>645920</v>
      </c>
      <c r="G192" s="67" t="s">
        <v>5611</v>
      </c>
      <c r="H192" s="14" t="s">
        <v>5601</v>
      </c>
      <c r="I192" s="14" t="s">
        <v>2458</v>
      </c>
      <c r="J192" s="33" t="s">
        <v>7110</v>
      </c>
      <c r="K192" s="68">
        <v>0</v>
      </c>
      <c r="L192" s="68">
        <v>0</v>
      </c>
      <c r="M192" s="68" t="s">
        <v>8915</v>
      </c>
      <c r="N192" s="68">
        <v>0</v>
      </c>
      <c r="O192" s="68">
        <v>0</v>
      </c>
      <c r="P192" s="198" t="s">
        <v>5612</v>
      </c>
    </row>
    <row r="193" spans="1:16" ht="18.75" hidden="1">
      <c r="A193" s="13" t="s">
        <v>2926</v>
      </c>
      <c r="B193" s="12" t="s">
        <v>3049</v>
      </c>
      <c r="C193" s="12" t="s">
        <v>3070</v>
      </c>
      <c r="D193" s="12" t="s">
        <v>2754</v>
      </c>
      <c r="E193" s="12" t="str">
        <f t="shared" si="9"/>
        <v>95</v>
      </c>
      <c r="F193" s="14">
        <v>70878</v>
      </c>
      <c r="G193" s="67" t="s">
        <v>5611</v>
      </c>
      <c r="H193" s="14" t="s">
        <v>5601</v>
      </c>
      <c r="I193" s="14" t="s">
        <v>2458</v>
      </c>
      <c r="J193" s="33" t="s">
        <v>7110</v>
      </c>
      <c r="K193" s="68">
        <v>0</v>
      </c>
      <c r="L193" s="68">
        <v>0</v>
      </c>
      <c r="M193" s="68" t="s">
        <v>8915</v>
      </c>
      <c r="N193" s="68">
        <v>0</v>
      </c>
      <c r="O193" s="68">
        <v>0</v>
      </c>
      <c r="P193" s="198" t="s">
        <v>5612</v>
      </c>
    </row>
    <row r="194" spans="1:16" ht="18.75" hidden="1">
      <c r="A194" s="13" t="s">
        <v>2923</v>
      </c>
      <c r="B194" s="12" t="s">
        <v>3043</v>
      </c>
      <c r="C194" s="12" t="s">
        <v>3071</v>
      </c>
      <c r="D194" s="12" t="s">
        <v>2867</v>
      </c>
      <c r="E194" s="12" t="str">
        <f t="shared" si="9"/>
        <v>95</v>
      </c>
      <c r="F194" s="14">
        <v>732773</v>
      </c>
      <c r="G194" s="67" t="s">
        <v>5611</v>
      </c>
      <c r="H194" s="14" t="s">
        <v>5601</v>
      </c>
      <c r="I194" s="14" t="s">
        <v>2458</v>
      </c>
      <c r="J194" s="33" t="s">
        <v>7110</v>
      </c>
      <c r="K194" s="68">
        <v>0</v>
      </c>
      <c r="L194" s="68">
        <v>0</v>
      </c>
      <c r="M194" s="68" t="s">
        <v>8915</v>
      </c>
      <c r="N194" s="68">
        <v>0</v>
      </c>
      <c r="O194" s="68">
        <v>0</v>
      </c>
      <c r="P194" s="198" t="s">
        <v>5612</v>
      </c>
    </row>
    <row r="195" spans="1:16" ht="18.75" hidden="1">
      <c r="A195" s="13" t="s">
        <v>2927</v>
      </c>
      <c r="B195" s="12" t="s">
        <v>2857</v>
      </c>
      <c r="C195" s="12" t="s">
        <v>3072</v>
      </c>
      <c r="D195" s="12" t="s">
        <v>2751</v>
      </c>
      <c r="E195" s="12" t="str">
        <f t="shared" si="9"/>
        <v>95</v>
      </c>
      <c r="F195" s="14">
        <v>1000000</v>
      </c>
      <c r="G195" s="67" t="s">
        <v>5607</v>
      </c>
      <c r="H195" s="14" t="s">
        <v>5601</v>
      </c>
      <c r="I195" s="14" t="s">
        <v>2458</v>
      </c>
      <c r="J195" s="33" t="s">
        <v>7110</v>
      </c>
      <c r="K195" s="68">
        <v>0</v>
      </c>
      <c r="L195" s="68">
        <v>0</v>
      </c>
      <c r="M195" s="68" t="s">
        <v>8915</v>
      </c>
      <c r="N195" s="68">
        <v>0</v>
      </c>
      <c r="O195" s="68">
        <v>0</v>
      </c>
      <c r="P195" s="198" t="s">
        <v>5608</v>
      </c>
    </row>
    <row r="196" spans="1:16" ht="18.75" hidden="1">
      <c r="A196" s="13" t="s">
        <v>2928</v>
      </c>
      <c r="B196" s="12" t="s">
        <v>2852</v>
      </c>
      <c r="C196" s="12" t="s">
        <v>3074</v>
      </c>
      <c r="D196" s="12" t="s">
        <v>2867</v>
      </c>
      <c r="E196" s="12" t="str">
        <f t="shared" si="9"/>
        <v>95</v>
      </c>
      <c r="F196" s="14">
        <v>400000</v>
      </c>
      <c r="G196" s="67" t="s">
        <v>5611</v>
      </c>
      <c r="H196" s="14" t="s">
        <v>5601</v>
      </c>
      <c r="I196" s="14" t="s">
        <v>2458</v>
      </c>
      <c r="J196" s="33" t="s">
        <v>7110</v>
      </c>
      <c r="K196" s="68">
        <v>0</v>
      </c>
      <c r="L196" s="68">
        <v>0</v>
      </c>
      <c r="M196" s="68" t="s">
        <v>8915</v>
      </c>
      <c r="N196" s="68">
        <v>0</v>
      </c>
      <c r="O196" s="68">
        <v>0</v>
      </c>
      <c r="P196" s="198" t="s">
        <v>5612</v>
      </c>
    </row>
    <row r="197" spans="1:16" ht="18.75" hidden="1">
      <c r="A197" s="13" t="s">
        <v>2928</v>
      </c>
      <c r="B197" s="12" t="s">
        <v>2852</v>
      </c>
      <c r="C197" s="12" t="s">
        <v>3066</v>
      </c>
      <c r="D197" s="12" t="s">
        <v>2754</v>
      </c>
      <c r="E197" s="12" t="str">
        <f t="shared" si="9"/>
        <v>95</v>
      </c>
      <c r="F197" s="14">
        <v>352987</v>
      </c>
      <c r="G197" s="67" t="s">
        <v>5611</v>
      </c>
      <c r="H197" s="14" t="s">
        <v>5601</v>
      </c>
      <c r="I197" s="14" t="s">
        <v>2458</v>
      </c>
      <c r="J197" s="33" t="s">
        <v>7110</v>
      </c>
      <c r="K197" s="68">
        <v>0</v>
      </c>
      <c r="L197" s="68">
        <v>0</v>
      </c>
      <c r="M197" s="68" t="s">
        <v>8915</v>
      </c>
      <c r="N197" s="68">
        <v>0</v>
      </c>
      <c r="O197" s="68">
        <v>0</v>
      </c>
      <c r="P197" s="198" t="s">
        <v>5612</v>
      </c>
    </row>
    <row r="198" spans="1:16" ht="18.75" hidden="1">
      <c r="A198" s="13" t="s">
        <v>2928</v>
      </c>
      <c r="B198" s="12" t="s">
        <v>2852</v>
      </c>
      <c r="C198" s="12" t="s">
        <v>3075</v>
      </c>
      <c r="D198" s="12" t="s">
        <v>2616</v>
      </c>
      <c r="E198" s="12" t="str">
        <f t="shared" si="9"/>
        <v>95</v>
      </c>
      <c r="F198" s="14">
        <v>239473</v>
      </c>
      <c r="G198" s="67" t="s">
        <v>5609</v>
      </c>
      <c r="H198" s="14" t="s">
        <v>5601</v>
      </c>
      <c r="I198" s="14" t="s">
        <v>2458</v>
      </c>
      <c r="J198" s="33" t="s">
        <v>7110</v>
      </c>
      <c r="K198" s="68">
        <v>0</v>
      </c>
      <c r="L198" s="68">
        <v>0</v>
      </c>
      <c r="M198" s="68" t="s">
        <v>8915</v>
      </c>
      <c r="N198" s="68">
        <v>0</v>
      </c>
      <c r="O198" s="68">
        <v>0</v>
      </c>
      <c r="P198" s="198" t="s">
        <v>5610</v>
      </c>
    </row>
    <row r="199" spans="1:16" ht="18.75" hidden="1">
      <c r="A199" s="13" t="s">
        <v>2929</v>
      </c>
      <c r="B199" s="12" t="s">
        <v>2854</v>
      </c>
      <c r="C199" s="12" t="s">
        <v>3076</v>
      </c>
      <c r="D199" s="12" t="s">
        <v>2751</v>
      </c>
      <c r="E199" s="12" t="str">
        <f t="shared" si="9"/>
        <v>95</v>
      </c>
      <c r="F199" s="14">
        <v>98308</v>
      </c>
      <c r="G199" s="67" t="s">
        <v>5607</v>
      </c>
      <c r="H199" s="14" t="s">
        <v>5601</v>
      </c>
      <c r="I199" s="14" t="s">
        <v>2458</v>
      </c>
      <c r="J199" s="33" t="s">
        <v>7110</v>
      </c>
      <c r="K199" s="68">
        <v>0</v>
      </c>
      <c r="L199" s="68">
        <v>0</v>
      </c>
      <c r="M199" s="68" t="s">
        <v>8915</v>
      </c>
      <c r="N199" s="68">
        <v>0</v>
      </c>
      <c r="O199" s="68">
        <v>0</v>
      </c>
      <c r="P199" s="198" t="s">
        <v>5608</v>
      </c>
    </row>
    <row r="200" spans="1:16" ht="18.75" hidden="1">
      <c r="A200" s="13" t="s">
        <v>2924</v>
      </c>
      <c r="B200" s="12" t="s">
        <v>2860</v>
      </c>
      <c r="C200" s="12" t="s">
        <v>3077</v>
      </c>
      <c r="D200" s="12" t="s">
        <v>2862</v>
      </c>
      <c r="E200" s="12" t="str">
        <f t="shared" si="9"/>
        <v>95</v>
      </c>
      <c r="F200" s="14">
        <v>500000</v>
      </c>
      <c r="G200" s="67" t="s">
        <v>5604</v>
      </c>
      <c r="H200" s="14" t="s">
        <v>5601</v>
      </c>
      <c r="I200" s="14" t="s">
        <v>2458</v>
      </c>
      <c r="J200" s="33" t="e">
        <f>VLOOKUP(C200,شرکتها!A:B,2,FALSE)</f>
        <v>#N/A</v>
      </c>
      <c r="K200" s="68">
        <v>0</v>
      </c>
      <c r="L200" s="68">
        <v>0</v>
      </c>
      <c r="M200" s="68" t="s">
        <v>8915</v>
      </c>
      <c r="N200" s="68">
        <v>0</v>
      </c>
      <c r="O200" s="68">
        <v>0</v>
      </c>
      <c r="P200" s="198" t="s">
        <v>5613</v>
      </c>
    </row>
    <row r="201" spans="1:16" ht="18.75" hidden="1">
      <c r="A201" s="13" t="s">
        <v>2930</v>
      </c>
      <c r="B201" s="12" t="s">
        <v>2863</v>
      </c>
      <c r="C201" s="12" t="s">
        <v>3075</v>
      </c>
      <c r="D201" s="12" t="s">
        <v>2616</v>
      </c>
      <c r="E201" s="12" t="str">
        <f t="shared" si="9"/>
        <v>95</v>
      </c>
      <c r="F201" s="14">
        <v>100000</v>
      </c>
      <c r="G201" s="67" t="s">
        <v>5609</v>
      </c>
      <c r="H201" s="14" t="s">
        <v>5601</v>
      </c>
      <c r="I201" s="14" t="s">
        <v>2458</v>
      </c>
      <c r="J201" s="33" t="s">
        <v>7110</v>
      </c>
      <c r="K201" s="68">
        <v>0</v>
      </c>
      <c r="L201" s="68">
        <v>0</v>
      </c>
      <c r="M201" s="68" t="s">
        <v>8915</v>
      </c>
      <c r="N201" s="68">
        <v>0</v>
      </c>
      <c r="O201" s="68">
        <v>0</v>
      </c>
      <c r="P201" s="198" t="s">
        <v>5610</v>
      </c>
    </row>
    <row r="202" spans="1:16" ht="18.75" hidden="1">
      <c r="A202" s="13" t="s">
        <v>2931</v>
      </c>
      <c r="B202" s="12" t="s">
        <v>2867</v>
      </c>
      <c r="C202" s="12" t="s">
        <v>3078</v>
      </c>
      <c r="D202" s="12" t="s">
        <v>2751</v>
      </c>
      <c r="E202" s="12" t="str">
        <f t="shared" si="9"/>
        <v>95</v>
      </c>
      <c r="F202" s="14">
        <v>665072</v>
      </c>
      <c r="G202" s="67" t="s">
        <v>5607</v>
      </c>
      <c r="H202" s="14" t="s">
        <v>5601</v>
      </c>
      <c r="I202" s="14" t="s">
        <v>2458</v>
      </c>
      <c r="J202" s="33" t="s">
        <v>7110</v>
      </c>
      <c r="K202" s="68">
        <v>0</v>
      </c>
      <c r="L202" s="68">
        <v>0</v>
      </c>
      <c r="M202" s="68" t="s">
        <v>8915</v>
      </c>
      <c r="N202" s="68">
        <v>0</v>
      </c>
      <c r="O202" s="68">
        <v>0</v>
      </c>
      <c r="P202" s="198" t="s">
        <v>5608</v>
      </c>
    </row>
    <row r="203" spans="1:16" ht="18.75" hidden="1">
      <c r="A203" s="13" t="s">
        <v>2932</v>
      </c>
      <c r="B203" s="12" t="s">
        <v>2862</v>
      </c>
      <c r="C203" s="12" t="s">
        <v>2810</v>
      </c>
      <c r="D203" s="12" t="s">
        <v>2751</v>
      </c>
      <c r="E203" s="12" t="str">
        <f t="shared" si="9"/>
        <v>95</v>
      </c>
      <c r="F203" s="14">
        <v>548726</v>
      </c>
      <c r="G203" s="67" t="s">
        <v>5607</v>
      </c>
      <c r="H203" s="14" t="s">
        <v>5601</v>
      </c>
      <c r="I203" s="14" t="s">
        <v>2458</v>
      </c>
      <c r="J203" s="33" t="s">
        <v>7110</v>
      </c>
      <c r="K203" s="68">
        <v>0</v>
      </c>
      <c r="L203" s="68">
        <v>0</v>
      </c>
      <c r="M203" s="68" t="s">
        <v>8915</v>
      </c>
      <c r="N203" s="68">
        <v>0</v>
      </c>
      <c r="O203" s="68">
        <v>0</v>
      </c>
      <c r="P203" s="198" t="s">
        <v>5608</v>
      </c>
    </row>
    <row r="204" spans="1:16" ht="18.75" hidden="1">
      <c r="A204" s="13" t="s">
        <v>2925</v>
      </c>
      <c r="B204" s="12" t="s">
        <v>3048</v>
      </c>
      <c r="C204" s="12" t="s">
        <v>3079</v>
      </c>
      <c r="D204" s="12" t="s">
        <v>2857</v>
      </c>
      <c r="E204" s="12" t="str">
        <f t="shared" si="9"/>
        <v>95</v>
      </c>
      <c r="F204" s="14">
        <v>998640</v>
      </c>
      <c r="G204" s="67" t="s">
        <v>5616</v>
      </c>
      <c r="H204" s="14" t="s">
        <v>5601</v>
      </c>
      <c r="I204" s="14" t="s">
        <v>2458</v>
      </c>
      <c r="J204" s="33" t="s">
        <v>7110</v>
      </c>
      <c r="K204" s="68">
        <v>0</v>
      </c>
      <c r="L204" s="68">
        <v>0</v>
      </c>
      <c r="M204" s="68" t="s">
        <v>8915</v>
      </c>
      <c r="N204" s="68">
        <v>0</v>
      </c>
      <c r="O204" s="68">
        <v>0</v>
      </c>
      <c r="P204" s="198" t="s">
        <v>5617</v>
      </c>
    </row>
    <row r="205" spans="1:16" ht="18.75" hidden="1">
      <c r="A205" s="13" t="s">
        <v>2933</v>
      </c>
      <c r="B205" s="12" t="s">
        <v>3046</v>
      </c>
      <c r="C205" s="12" t="s">
        <v>3080</v>
      </c>
      <c r="D205" s="12" t="s">
        <v>2609</v>
      </c>
      <c r="E205" s="12" t="str">
        <f t="shared" si="9"/>
        <v>95</v>
      </c>
      <c r="F205" s="14">
        <v>338111</v>
      </c>
      <c r="G205" s="67" t="s">
        <v>5604</v>
      </c>
      <c r="H205" s="14" t="s">
        <v>5601</v>
      </c>
      <c r="I205" s="14" t="s">
        <v>2458</v>
      </c>
      <c r="J205" s="33" t="e">
        <f>VLOOKUP(C205,شرکتها!A:B,2,FALSE)</f>
        <v>#N/A</v>
      </c>
      <c r="K205" s="68">
        <v>0</v>
      </c>
      <c r="L205" s="68">
        <v>0</v>
      </c>
      <c r="M205" s="68" t="s">
        <v>8915</v>
      </c>
      <c r="N205" s="68">
        <v>0</v>
      </c>
      <c r="O205" s="68">
        <v>0</v>
      </c>
      <c r="P205" s="198" t="s">
        <v>5613</v>
      </c>
    </row>
    <row r="206" spans="1:16" ht="18.75" hidden="1">
      <c r="A206" s="13" t="s">
        <v>2934</v>
      </c>
      <c r="B206" s="12" t="s">
        <v>3047</v>
      </c>
      <c r="C206" s="12" t="s">
        <v>3081</v>
      </c>
      <c r="D206" s="12" t="s">
        <v>2855</v>
      </c>
      <c r="E206" s="12" t="str">
        <f t="shared" si="9"/>
        <v>95</v>
      </c>
      <c r="F206" s="14">
        <v>1000000</v>
      </c>
      <c r="G206" s="67" t="s">
        <v>5609</v>
      </c>
      <c r="H206" s="14" t="s">
        <v>5601</v>
      </c>
      <c r="I206" s="14" t="s">
        <v>2458</v>
      </c>
      <c r="J206" s="33" t="s">
        <v>7110</v>
      </c>
      <c r="K206" s="68">
        <v>0</v>
      </c>
      <c r="L206" s="68">
        <v>0</v>
      </c>
      <c r="M206" s="68" t="s">
        <v>8915</v>
      </c>
      <c r="N206" s="68">
        <v>0</v>
      </c>
      <c r="O206" s="68">
        <v>0</v>
      </c>
      <c r="P206" s="198" t="s">
        <v>5614</v>
      </c>
    </row>
    <row r="207" spans="1:16" ht="18.75" hidden="1">
      <c r="A207" s="13" t="s">
        <v>2916</v>
      </c>
      <c r="B207" s="12" t="s">
        <v>3050</v>
      </c>
      <c r="C207" s="12" t="s">
        <v>3082</v>
      </c>
      <c r="D207" s="12" t="s">
        <v>2863</v>
      </c>
      <c r="E207" s="12" t="str">
        <f t="shared" si="9"/>
        <v>95</v>
      </c>
      <c r="F207" s="14">
        <v>425270</v>
      </c>
      <c r="G207" s="67" t="s">
        <v>5607</v>
      </c>
      <c r="H207" s="14" t="s">
        <v>5601</v>
      </c>
      <c r="I207" s="14" t="s">
        <v>2458</v>
      </c>
      <c r="J207" s="33" t="s">
        <v>7110</v>
      </c>
      <c r="K207" s="68">
        <v>0</v>
      </c>
      <c r="L207" s="68">
        <v>0</v>
      </c>
      <c r="M207" s="68" t="s">
        <v>8915</v>
      </c>
      <c r="N207" s="68">
        <v>0</v>
      </c>
      <c r="O207" s="68">
        <v>0</v>
      </c>
      <c r="P207" s="198" t="s">
        <v>5608</v>
      </c>
    </row>
    <row r="208" spans="1:16" ht="18.75" hidden="1">
      <c r="A208" s="13" t="s">
        <v>2924</v>
      </c>
      <c r="B208" s="12" t="s">
        <v>2860</v>
      </c>
      <c r="C208" s="12" t="s">
        <v>2811</v>
      </c>
      <c r="D208" s="12" t="s">
        <v>2609</v>
      </c>
      <c r="E208" s="12" t="str">
        <f t="shared" si="9"/>
        <v>95</v>
      </c>
      <c r="F208" s="14">
        <v>114750</v>
      </c>
      <c r="G208" s="67" t="s">
        <v>5604</v>
      </c>
      <c r="H208" s="14" t="s">
        <v>5601</v>
      </c>
      <c r="I208" s="14" t="s">
        <v>2458</v>
      </c>
      <c r="J208" s="33" t="e">
        <f>VLOOKUP(C208,شرکتها!A:B,2,FALSE)</f>
        <v>#N/A</v>
      </c>
      <c r="K208" s="68">
        <v>0</v>
      </c>
      <c r="L208" s="68">
        <v>0</v>
      </c>
      <c r="M208" s="68" t="s">
        <v>8915</v>
      </c>
      <c r="N208" s="68">
        <v>0</v>
      </c>
      <c r="O208" s="68">
        <v>0</v>
      </c>
      <c r="P208" s="198" t="s">
        <v>5613</v>
      </c>
    </row>
    <row r="209" spans="1:16" ht="18.75" hidden="1">
      <c r="A209" s="13" t="s">
        <v>2926</v>
      </c>
      <c r="B209" s="12" t="s">
        <v>3049</v>
      </c>
      <c r="C209" s="12" t="s">
        <v>3083</v>
      </c>
      <c r="D209" s="12" t="s">
        <v>2619</v>
      </c>
      <c r="E209" s="12" t="str">
        <f t="shared" si="9"/>
        <v>95</v>
      </c>
      <c r="F209" s="14">
        <v>77342</v>
      </c>
      <c r="G209" s="67" t="s">
        <v>5611</v>
      </c>
      <c r="H209" s="14" t="s">
        <v>5601</v>
      </c>
      <c r="I209" s="14" t="s">
        <v>2458</v>
      </c>
      <c r="J209" s="33" t="s">
        <v>7110</v>
      </c>
      <c r="K209" s="68">
        <v>0</v>
      </c>
      <c r="L209" s="68">
        <v>0</v>
      </c>
      <c r="M209" s="68" t="s">
        <v>8915</v>
      </c>
      <c r="N209" s="68">
        <v>0</v>
      </c>
      <c r="O209" s="68">
        <v>0</v>
      </c>
      <c r="P209" s="198" t="s">
        <v>5612</v>
      </c>
    </row>
    <row r="210" spans="1:16" ht="18.75" hidden="1">
      <c r="A210" s="13" t="s">
        <v>2935</v>
      </c>
      <c r="B210" s="12" t="s">
        <v>2853</v>
      </c>
      <c r="C210" s="12" t="s">
        <v>3084</v>
      </c>
      <c r="D210" s="12" t="s">
        <v>2862</v>
      </c>
      <c r="E210" s="12" t="str">
        <f t="shared" si="9"/>
        <v>95</v>
      </c>
      <c r="F210" s="14">
        <v>998000</v>
      </c>
      <c r="G210" s="67" t="s">
        <v>5616</v>
      </c>
      <c r="H210" s="14" t="s">
        <v>5601</v>
      </c>
      <c r="I210" s="14" t="s">
        <v>2458</v>
      </c>
      <c r="J210" s="33" t="s">
        <v>7110</v>
      </c>
      <c r="K210" s="68">
        <v>0</v>
      </c>
      <c r="L210" s="68">
        <v>0</v>
      </c>
      <c r="M210" s="68" t="s">
        <v>8915</v>
      </c>
      <c r="N210" s="68">
        <v>0</v>
      </c>
      <c r="O210" s="68">
        <v>0</v>
      </c>
      <c r="P210" s="198" t="s">
        <v>5617</v>
      </c>
    </row>
    <row r="211" spans="1:16" ht="18.75" hidden="1">
      <c r="A211" s="13" t="s">
        <v>2932</v>
      </c>
      <c r="B211" s="12" t="s">
        <v>2862</v>
      </c>
      <c r="C211" s="12" t="s">
        <v>3085</v>
      </c>
      <c r="D211" s="12" t="s">
        <v>2751</v>
      </c>
      <c r="E211" s="12" t="str">
        <f t="shared" si="9"/>
        <v>95</v>
      </c>
      <c r="F211" s="14">
        <v>447344</v>
      </c>
      <c r="G211" s="67" t="s">
        <v>5607</v>
      </c>
      <c r="H211" s="14" t="s">
        <v>5601</v>
      </c>
      <c r="I211" s="14" t="s">
        <v>2458</v>
      </c>
      <c r="J211" s="33" t="s">
        <v>7110</v>
      </c>
      <c r="K211" s="68">
        <v>0</v>
      </c>
      <c r="L211" s="68">
        <v>0</v>
      </c>
      <c r="M211" s="68" t="s">
        <v>8915</v>
      </c>
      <c r="N211" s="68">
        <v>0</v>
      </c>
      <c r="O211" s="68">
        <v>0</v>
      </c>
      <c r="P211" s="198" t="s">
        <v>5608</v>
      </c>
    </row>
    <row r="212" spans="1:16" ht="18.75" hidden="1">
      <c r="A212" s="13" t="s">
        <v>2936</v>
      </c>
      <c r="B212" s="12" t="s">
        <v>3041</v>
      </c>
      <c r="C212" s="12" t="s">
        <v>3077</v>
      </c>
      <c r="D212" s="12" t="s">
        <v>2862</v>
      </c>
      <c r="E212" s="12" t="str">
        <f t="shared" si="9"/>
        <v>95</v>
      </c>
      <c r="F212" s="14">
        <v>500000</v>
      </c>
      <c r="G212" s="67" t="s">
        <v>5604</v>
      </c>
      <c r="H212" s="14" t="s">
        <v>5601</v>
      </c>
      <c r="I212" s="14" t="s">
        <v>2458</v>
      </c>
      <c r="J212" s="33" t="e">
        <f>VLOOKUP(C212,شرکتها!A:B,2,FALSE)</f>
        <v>#N/A</v>
      </c>
      <c r="K212" s="68">
        <v>0</v>
      </c>
      <c r="L212" s="68">
        <v>0</v>
      </c>
      <c r="M212" s="68" t="s">
        <v>8915</v>
      </c>
      <c r="N212" s="68">
        <v>0</v>
      </c>
      <c r="O212" s="68">
        <v>0</v>
      </c>
      <c r="P212" s="198" t="s">
        <v>5613</v>
      </c>
    </row>
    <row r="213" spans="1:16" ht="18.75" hidden="1">
      <c r="A213" s="13" t="s">
        <v>2929</v>
      </c>
      <c r="B213" s="12" t="s">
        <v>2854</v>
      </c>
      <c r="C213" s="12" t="s">
        <v>3086</v>
      </c>
      <c r="D213" s="12" t="s">
        <v>2751</v>
      </c>
      <c r="E213" s="12" t="str">
        <f t="shared" si="9"/>
        <v>95</v>
      </c>
      <c r="F213" s="14">
        <v>396237</v>
      </c>
      <c r="G213" s="67" t="s">
        <v>5607</v>
      </c>
      <c r="H213" s="14" t="s">
        <v>5601</v>
      </c>
      <c r="I213" s="14" t="s">
        <v>2458</v>
      </c>
      <c r="J213" s="33" t="s">
        <v>7110</v>
      </c>
      <c r="K213" s="68">
        <v>0</v>
      </c>
      <c r="L213" s="68">
        <v>0</v>
      </c>
      <c r="M213" s="68" t="s">
        <v>8915</v>
      </c>
      <c r="N213" s="68">
        <v>0</v>
      </c>
      <c r="O213" s="68">
        <v>0</v>
      </c>
      <c r="P213" s="198" t="s">
        <v>5608</v>
      </c>
    </row>
    <row r="214" spans="1:16" ht="18.75" hidden="1">
      <c r="A214" s="13" t="s">
        <v>2931</v>
      </c>
      <c r="B214" s="12" t="s">
        <v>2867</v>
      </c>
      <c r="C214" s="12" t="s">
        <v>3086</v>
      </c>
      <c r="D214" s="12" t="s">
        <v>2751</v>
      </c>
      <c r="E214" s="12" t="str">
        <f t="shared" si="9"/>
        <v>95</v>
      </c>
      <c r="F214" s="14">
        <v>52308</v>
      </c>
      <c r="G214" s="67" t="s">
        <v>5607</v>
      </c>
      <c r="H214" s="14" t="s">
        <v>5601</v>
      </c>
      <c r="I214" s="14" t="s">
        <v>2458</v>
      </c>
      <c r="J214" s="33" t="s">
        <v>7110</v>
      </c>
      <c r="K214" s="68">
        <v>0</v>
      </c>
      <c r="L214" s="68">
        <v>0</v>
      </c>
      <c r="M214" s="68" t="s">
        <v>8915</v>
      </c>
      <c r="N214" s="68">
        <v>0</v>
      </c>
      <c r="O214" s="68">
        <v>0</v>
      </c>
      <c r="P214" s="198" t="s">
        <v>5608</v>
      </c>
    </row>
    <row r="215" spans="1:16" ht="18.75" hidden="1">
      <c r="A215" s="13" t="s">
        <v>2937</v>
      </c>
      <c r="B215" s="12" t="s">
        <v>3048</v>
      </c>
      <c r="C215" s="12" t="s">
        <v>3061</v>
      </c>
      <c r="D215" s="12" t="s">
        <v>2758</v>
      </c>
      <c r="E215" s="12" t="str">
        <f t="shared" si="9"/>
        <v>95</v>
      </c>
      <c r="F215" s="14">
        <v>388634</v>
      </c>
      <c r="G215" s="67" t="s">
        <v>5604</v>
      </c>
      <c r="H215" s="14" t="s">
        <v>5601</v>
      </c>
      <c r="I215" s="14" t="s">
        <v>2458</v>
      </c>
      <c r="J215" s="33" t="s">
        <v>7110</v>
      </c>
      <c r="K215" s="68">
        <v>0</v>
      </c>
      <c r="L215" s="68">
        <v>0</v>
      </c>
      <c r="M215" s="68" t="s">
        <v>8915</v>
      </c>
      <c r="N215" s="68">
        <v>0</v>
      </c>
      <c r="O215" s="68">
        <v>0</v>
      </c>
      <c r="P215" s="198" t="s">
        <v>5613</v>
      </c>
    </row>
    <row r="216" spans="1:16" ht="18.75" hidden="1">
      <c r="A216" s="13" t="s">
        <v>2938</v>
      </c>
      <c r="B216" s="12" t="s">
        <v>2853</v>
      </c>
      <c r="C216" s="12" t="s">
        <v>3087</v>
      </c>
      <c r="D216" s="12" t="s">
        <v>2863</v>
      </c>
      <c r="E216" s="12" t="str">
        <f t="shared" si="9"/>
        <v>95</v>
      </c>
      <c r="F216" s="14">
        <v>1000000</v>
      </c>
      <c r="G216" s="67" t="s">
        <v>5607</v>
      </c>
      <c r="H216" s="14" t="s">
        <v>5601</v>
      </c>
      <c r="I216" s="14" t="s">
        <v>2458</v>
      </c>
      <c r="J216" s="33" t="s">
        <v>7110</v>
      </c>
      <c r="K216" s="68">
        <v>0</v>
      </c>
      <c r="L216" s="68">
        <v>0</v>
      </c>
      <c r="M216" s="68" t="s">
        <v>8915</v>
      </c>
      <c r="N216" s="68">
        <v>0</v>
      </c>
      <c r="O216" s="68">
        <v>0</v>
      </c>
      <c r="P216" s="198" t="s">
        <v>5608</v>
      </c>
    </row>
    <row r="217" spans="1:16" ht="18.75" hidden="1">
      <c r="A217" s="13" t="s">
        <v>2939</v>
      </c>
      <c r="B217" s="12" t="s">
        <v>3049</v>
      </c>
      <c r="C217" s="12" t="s">
        <v>3066</v>
      </c>
      <c r="D217" s="12" t="s">
        <v>2754</v>
      </c>
      <c r="E217" s="12" t="str">
        <f t="shared" ref="E217:E273" si="10">MID(D217,1,2)</f>
        <v>95</v>
      </c>
      <c r="F217" s="14">
        <v>386246</v>
      </c>
      <c r="G217" s="67" t="s">
        <v>5611</v>
      </c>
      <c r="H217" s="14" t="s">
        <v>5601</v>
      </c>
      <c r="I217" s="14" t="s">
        <v>2458</v>
      </c>
      <c r="J217" s="33" t="s">
        <v>7110</v>
      </c>
      <c r="K217" s="68">
        <v>0</v>
      </c>
      <c r="L217" s="68">
        <v>0</v>
      </c>
      <c r="M217" s="68" t="s">
        <v>8915</v>
      </c>
      <c r="N217" s="68">
        <v>0</v>
      </c>
      <c r="O217" s="68">
        <v>0</v>
      </c>
      <c r="P217" s="198" t="s">
        <v>5612</v>
      </c>
    </row>
    <row r="218" spans="1:16" ht="18.75" hidden="1">
      <c r="A218" s="13" t="s">
        <v>2940</v>
      </c>
      <c r="B218" s="12" t="s">
        <v>3041</v>
      </c>
      <c r="C218" s="12" t="s">
        <v>3088</v>
      </c>
      <c r="D218" s="12" t="s">
        <v>2758</v>
      </c>
      <c r="E218" s="12" t="str">
        <f t="shared" si="10"/>
        <v>95</v>
      </c>
      <c r="F218" s="14">
        <v>21397</v>
      </c>
      <c r="G218" s="67" t="s">
        <v>5604</v>
      </c>
      <c r="H218" s="14" t="s">
        <v>5601</v>
      </c>
      <c r="I218" s="14" t="s">
        <v>2458</v>
      </c>
      <c r="J218" s="33" t="s">
        <v>7110</v>
      </c>
      <c r="K218" s="68">
        <v>0</v>
      </c>
      <c r="L218" s="68">
        <v>0</v>
      </c>
      <c r="M218" s="68" t="s">
        <v>8915</v>
      </c>
      <c r="N218" s="68">
        <v>0</v>
      </c>
      <c r="O218" s="68">
        <v>0</v>
      </c>
      <c r="P218" s="198" t="s">
        <v>5618</v>
      </c>
    </row>
    <row r="219" spans="1:16" ht="18.75" hidden="1">
      <c r="A219" s="13" t="s">
        <v>2926</v>
      </c>
      <c r="B219" s="12" t="s">
        <v>3049</v>
      </c>
      <c r="C219" s="12" t="s">
        <v>3064</v>
      </c>
      <c r="D219" s="12" t="s">
        <v>2612</v>
      </c>
      <c r="E219" s="12" t="str">
        <f t="shared" si="10"/>
        <v>95</v>
      </c>
      <c r="F219" s="14">
        <v>11208</v>
      </c>
      <c r="G219" s="67" t="s">
        <v>5611</v>
      </c>
      <c r="H219" s="14" t="s">
        <v>5601</v>
      </c>
      <c r="I219" s="14" t="s">
        <v>2458</v>
      </c>
      <c r="J219" s="33" t="s">
        <v>7110</v>
      </c>
      <c r="K219" s="68">
        <v>0</v>
      </c>
      <c r="L219" s="68">
        <v>0</v>
      </c>
      <c r="M219" s="68" t="s">
        <v>8915</v>
      </c>
      <c r="N219" s="68">
        <v>0</v>
      </c>
      <c r="O219" s="68">
        <v>0</v>
      </c>
      <c r="P219" s="198" t="s">
        <v>5612</v>
      </c>
    </row>
    <row r="220" spans="1:16" ht="18.75" hidden="1">
      <c r="A220" s="13" t="s">
        <v>2940</v>
      </c>
      <c r="B220" s="12" t="s">
        <v>3041</v>
      </c>
      <c r="C220" s="12" t="s">
        <v>3089</v>
      </c>
      <c r="D220" s="12" t="s">
        <v>2758</v>
      </c>
      <c r="E220" s="12" t="str">
        <f t="shared" si="10"/>
        <v>95</v>
      </c>
      <c r="F220" s="14">
        <v>229544</v>
      </c>
      <c r="G220" s="67" t="s">
        <v>5604</v>
      </c>
      <c r="H220" s="14" t="s">
        <v>5601</v>
      </c>
      <c r="I220" s="14" t="s">
        <v>2458</v>
      </c>
      <c r="J220" s="33" t="s">
        <v>7110</v>
      </c>
      <c r="K220" s="68">
        <v>0</v>
      </c>
      <c r="L220" s="68">
        <v>0</v>
      </c>
      <c r="M220" s="68" t="s">
        <v>8915</v>
      </c>
      <c r="N220" s="68">
        <v>0</v>
      </c>
      <c r="O220" s="68">
        <v>0</v>
      </c>
      <c r="P220" s="198" t="s">
        <v>5618</v>
      </c>
    </row>
    <row r="221" spans="1:16" ht="18.75" hidden="1">
      <c r="A221" s="13" t="s">
        <v>2941</v>
      </c>
      <c r="B221" s="12" t="s">
        <v>2855</v>
      </c>
      <c r="C221" s="12" t="s">
        <v>3090</v>
      </c>
      <c r="D221" s="12" t="s">
        <v>2752</v>
      </c>
      <c r="E221" s="12" t="str">
        <f t="shared" si="10"/>
        <v>95</v>
      </c>
      <c r="F221" s="14">
        <v>1500000</v>
      </c>
      <c r="G221" s="67" t="s">
        <v>5607</v>
      </c>
      <c r="H221" s="14" t="s">
        <v>5601</v>
      </c>
      <c r="I221" s="14" t="s">
        <v>2458</v>
      </c>
      <c r="J221" s="33" t="s">
        <v>7110</v>
      </c>
      <c r="K221" s="68">
        <v>0</v>
      </c>
      <c r="L221" s="68">
        <v>0</v>
      </c>
      <c r="M221" s="68" t="s">
        <v>8915</v>
      </c>
      <c r="N221" s="68">
        <v>0</v>
      </c>
      <c r="O221" s="68">
        <v>0</v>
      </c>
      <c r="P221" s="198" t="s">
        <v>5608</v>
      </c>
    </row>
    <row r="222" spans="1:16" ht="18.75" hidden="1">
      <c r="A222" s="13" t="s">
        <v>2941</v>
      </c>
      <c r="B222" s="12" t="s">
        <v>2855</v>
      </c>
      <c r="C222" s="12" t="s">
        <v>3091</v>
      </c>
      <c r="D222" s="12" t="s">
        <v>2752</v>
      </c>
      <c r="E222" s="12" t="str">
        <f t="shared" si="10"/>
        <v>95</v>
      </c>
      <c r="F222" s="14">
        <v>489320</v>
      </c>
      <c r="G222" s="67" t="s">
        <v>5607</v>
      </c>
      <c r="H222" s="14" t="s">
        <v>5601</v>
      </c>
      <c r="I222" s="14" t="s">
        <v>2458</v>
      </c>
      <c r="J222" s="33" t="s">
        <v>7110</v>
      </c>
      <c r="K222" s="68">
        <v>0</v>
      </c>
      <c r="L222" s="68">
        <v>0</v>
      </c>
      <c r="M222" s="68" t="s">
        <v>8915</v>
      </c>
      <c r="N222" s="68">
        <v>0</v>
      </c>
      <c r="O222" s="68">
        <v>0</v>
      </c>
      <c r="P222" s="198" t="s">
        <v>5608</v>
      </c>
    </row>
    <row r="223" spans="1:16" ht="18.75" hidden="1">
      <c r="A223" s="13" t="s">
        <v>2942</v>
      </c>
      <c r="B223" s="12" t="s">
        <v>2865</v>
      </c>
      <c r="C223" s="12" t="s">
        <v>3092</v>
      </c>
      <c r="D223" s="12" t="s">
        <v>2754</v>
      </c>
      <c r="E223" s="12" t="str">
        <f t="shared" si="10"/>
        <v>95</v>
      </c>
      <c r="F223" s="14">
        <v>998250</v>
      </c>
      <c r="G223" s="67" t="s">
        <v>5607</v>
      </c>
      <c r="H223" s="14" t="s">
        <v>5601</v>
      </c>
      <c r="I223" s="14" t="s">
        <v>2458</v>
      </c>
      <c r="J223" s="33" t="s">
        <v>7110</v>
      </c>
      <c r="K223" s="68">
        <v>0</v>
      </c>
      <c r="L223" s="68">
        <v>0</v>
      </c>
      <c r="M223" s="68" t="s">
        <v>8915</v>
      </c>
      <c r="N223" s="68">
        <v>0</v>
      </c>
      <c r="O223" s="68">
        <v>0</v>
      </c>
      <c r="P223" s="198" t="s">
        <v>5608</v>
      </c>
    </row>
    <row r="224" spans="1:16" ht="18.75" hidden="1">
      <c r="A224" s="13" t="s">
        <v>2940</v>
      </c>
      <c r="B224" s="12" t="s">
        <v>3041</v>
      </c>
      <c r="C224" s="12" t="s">
        <v>3093</v>
      </c>
      <c r="D224" s="12" t="s">
        <v>2609</v>
      </c>
      <c r="E224" s="12" t="str">
        <f t="shared" si="10"/>
        <v>95</v>
      </c>
      <c r="F224" s="14">
        <v>21356</v>
      </c>
      <c r="G224" s="67" t="s">
        <v>5604</v>
      </c>
      <c r="H224" s="14" t="s">
        <v>5601</v>
      </c>
      <c r="I224" s="14" t="s">
        <v>2458</v>
      </c>
      <c r="J224" s="33" t="s">
        <v>7110</v>
      </c>
      <c r="K224" s="68">
        <v>0</v>
      </c>
      <c r="L224" s="68">
        <v>0</v>
      </c>
      <c r="M224" s="68" t="s">
        <v>8915</v>
      </c>
      <c r="N224" s="68">
        <v>0</v>
      </c>
      <c r="O224" s="68">
        <v>0</v>
      </c>
      <c r="P224" s="198" t="s">
        <v>5605</v>
      </c>
    </row>
    <row r="225" spans="1:16" ht="18.75" hidden="1">
      <c r="A225" s="13" t="s">
        <v>2943</v>
      </c>
      <c r="B225" s="12" t="s">
        <v>2858</v>
      </c>
      <c r="C225" s="12" t="s">
        <v>3091</v>
      </c>
      <c r="D225" s="12" t="s">
        <v>2752</v>
      </c>
      <c r="E225" s="12" t="str">
        <f t="shared" si="10"/>
        <v>95</v>
      </c>
      <c r="F225" s="14">
        <v>199535</v>
      </c>
      <c r="G225" s="67" t="s">
        <v>5607</v>
      </c>
      <c r="H225" s="14" t="s">
        <v>5601</v>
      </c>
      <c r="I225" s="14" t="s">
        <v>2458</v>
      </c>
      <c r="J225" s="33" t="s">
        <v>7110</v>
      </c>
      <c r="K225" s="68">
        <v>0</v>
      </c>
      <c r="L225" s="68">
        <v>0</v>
      </c>
      <c r="M225" s="68" t="s">
        <v>8915</v>
      </c>
      <c r="N225" s="68">
        <v>0</v>
      </c>
      <c r="O225" s="68">
        <v>0</v>
      </c>
      <c r="P225" s="198" t="s">
        <v>5608</v>
      </c>
    </row>
    <row r="226" spans="1:16" ht="18.75" hidden="1">
      <c r="A226" s="13" t="s">
        <v>2944</v>
      </c>
      <c r="B226" s="12" t="s">
        <v>2857</v>
      </c>
      <c r="C226" s="12" t="s">
        <v>3090</v>
      </c>
      <c r="D226" s="12" t="s">
        <v>2752</v>
      </c>
      <c r="E226" s="12" t="str">
        <f t="shared" si="10"/>
        <v>95</v>
      </c>
      <c r="F226" s="14">
        <v>199330</v>
      </c>
      <c r="G226" s="67" t="s">
        <v>5607</v>
      </c>
      <c r="H226" s="14" t="s">
        <v>5601</v>
      </c>
      <c r="I226" s="14" t="s">
        <v>2458</v>
      </c>
      <c r="J226" s="33" t="s">
        <v>7110</v>
      </c>
      <c r="K226" s="68">
        <v>0</v>
      </c>
      <c r="L226" s="68">
        <v>0</v>
      </c>
      <c r="M226" s="68" t="s">
        <v>8915</v>
      </c>
      <c r="N226" s="68">
        <v>0</v>
      </c>
      <c r="O226" s="68">
        <v>0</v>
      </c>
      <c r="P226" s="198" t="s">
        <v>5608</v>
      </c>
    </row>
    <row r="227" spans="1:16" ht="18.75" hidden="1">
      <c r="A227" s="13" t="s">
        <v>2944</v>
      </c>
      <c r="B227" s="12" t="s">
        <v>2857</v>
      </c>
      <c r="C227" s="12" t="s">
        <v>3091</v>
      </c>
      <c r="D227" s="12" t="s">
        <v>2752</v>
      </c>
      <c r="E227" s="12" t="str">
        <f t="shared" si="10"/>
        <v>95</v>
      </c>
      <c r="F227" s="14">
        <v>796740</v>
      </c>
      <c r="G227" s="67" t="s">
        <v>5607</v>
      </c>
      <c r="H227" s="14" t="s">
        <v>5601</v>
      </c>
      <c r="I227" s="14" t="s">
        <v>2458</v>
      </c>
      <c r="J227" s="33" t="s">
        <v>7110</v>
      </c>
      <c r="K227" s="68">
        <v>0</v>
      </c>
      <c r="L227" s="68">
        <v>0</v>
      </c>
      <c r="M227" s="68" t="s">
        <v>8915</v>
      </c>
      <c r="N227" s="68">
        <v>0</v>
      </c>
      <c r="O227" s="68">
        <v>0</v>
      </c>
      <c r="P227" s="198" t="s">
        <v>5608</v>
      </c>
    </row>
    <row r="228" spans="1:16" ht="18.75" hidden="1">
      <c r="A228" s="13" t="s">
        <v>2945</v>
      </c>
      <c r="B228" s="12" t="s">
        <v>3044</v>
      </c>
      <c r="C228" s="12" t="s">
        <v>3094</v>
      </c>
      <c r="D228" s="12" t="s">
        <v>2756</v>
      </c>
      <c r="E228" s="12" t="str">
        <f t="shared" si="10"/>
        <v>95</v>
      </c>
      <c r="F228" s="14">
        <v>43163</v>
      </c>
      <c r="G228" s="67" t="s">
        <v>5607</v>
      </c>
      <c r="H228" s="14" t="s">
        <v>5601</v>
      </c>
      <c r="I228" s="14" t="s">
        <v>2458</v>
      </c>
      <c r="J228" s="33" t="s">
        <v>7110</v>
      </c>
      <c r="K228" s="68">
        <v>0</v>
      </c>
      <c r="L228" s="68">
        <v>0</v>
      </c>
      <c r="M228" s="68" t="s">
        <v>8915</v>
      </c>
      <c r="N228" s="68">
        <v>0</v>
      </c>
      <c r="O228" s="68">
        <v>0</v>
      </c>
      <c r="P228" s="198" t="s">
        <v>5608</v>
      </c>
    </row>
    <row r="229" spans="1:16" ht="18.75" hidden="1">
      <c r="A229" s="13" t="s">
        <v>2946</v>
      </c>
      <c r="B229" s="12" t="s">
        <v>3043</v>
      </c>
      <c r="C229" s="12" t="s">
        <v>3095</v>
      </c>
      <c r="D229" s="12" t="s">
        <v>2855</v>
      </c>
      <c r="E229" s="12" t="str">
        <f t="shared" si="10"/>
        <v>95</v>
      </c>
      <c r="F229" s="14">
        <v>1500000</v>
      </c>
      <c r="G229" s="67" t="s">
        <v>5604</v>
      </c>
      <c r="H229" s="14" t="s">
        <v>5601</v>
      </c>
      <c r="I229" s="14" t="s">
        <v>2458</v>
      </c>
      <c r="J229" s="33" t="s">
        <v>7110</v>
      </c>
      <c r="K229" s="68">
        <v>0</v>
      </c>
      <c r="L229" s="68">
        <v>0</v>
      </c>
      <c r="M229" s="68" t="s">
        <v>8915</v>
      </c>
      <c r="N229" s="68">
        <v>0</v>
      </c>
      <c r="O229" s="68">
        <v>0</v>
      </c>
      <c r="P229" s="198" t="s">
        <v>5618</v>
      </c>
    </row>
    <row r="230" spans="1:16" ht="18.75" hidden="1">
      <c r="A230" s="13" t="s">
        <v>2946</v>
      </c>
      <c r="B230" s="12" t="s">
        <v>3043</v>
      </c>
      <c r="C230" s="12" t="s">
        <v>3096</v>
      </c>
      <c r="D230" s="12" t="s">
        <v>2853</v>
      </c>
      <c r="E230" s="12" t="str">
        <f t="shared" si="10"/>
        <v>95</v>
      </c>
      <c r="F230" s="14">
        <v>545580</v>
      </c>
      <c r="G230" s="67" t="s">
        <v>5604</v>
      </c>
      <c r="H230" s="14" t="s">
        <v>5601</v>
      </c>
      <c r="I230" s="14" t="s">
        <v>2458</v>
      </c>
      <c r="J230" s="33" t="s">
        <v>7110</v>
      </c>
      <c r="K230" s="68">
        <v>0</v>
      </c>
      <c r="L230" s="68">
        <v>0</v>
      </c>
      <c r="M230" s="68" t="s">
        <v>8915</v>
      </c>
      <c r="N230" s="68">
        <v>0</v>
      </c>
      <c r="O230" s="68">
        <v>0</v>
      </c>
      <c r="P230" s="198" t="s">
        <v>5618</v>
      </c>
    </row>
    <row r="231" spans="1:16" ht="18.75" hidden="1">
      <c r="A231" s="13" t="s">
        <v>2928</v>
      </c>
      <c r="B231" s="12" t="s">
        <v>2852</v>
      </c>
      <c r="C231" s="12" t="s">
        <v>3098</v>
      </c>
      <c r="D231" s="12" t="s">
        <v>2749</v>
      </c>
      <c r="E231" s="12" t="str">
        <f t="shared" si="10"/>
        <v>95</v>
      </c>
      <c r="F231" s="14">
        <v>299260</v>
      </c>
      <c r="G231" s="67" t="s">
        <v>5611</v>
      </c>
      <c r="H231" s="14" t="s">
        <v>5601</v>
      </c>
      <c r="I231" s="14" t="s">
        <v>2458</v>
      </c>
      <c r="J231" s="33" t="s">
        <v>7110</v>
      </c>
      <c r="K231" s="68">
        <v>0</v>
      </c>
      <c r="L231" s="68">
        <v>0</v>
      </c>
      <c r="M231" s="68" t="s">
        <v>8915</v>
      </c>
      <c r="N231" s="68">
        <v>0</v>
      </c>
      <c r="O231" s="68">
        <v>0</v>
      </c>
      <c r="P231" s="198" t="s">
        <v>5612</v>
      </c>
    </row>
    <row r="232" spans="1:16" ht="18.75" hidden="1">
      <c r="A232" s="13" t="s">
        <v>2928</v>
      </c>
      <c r="B232" s="12" t="s">
        <v>2852</v>
      </c>
      <c r="C232" s="12" t="s">
        <v>2802</v>
      </c>
      <c r="D232" s="12" t="s">
        <v>2617</v>
      </c>
      <c r="E232" s="12" t="str">
        <f t="shared" si="10"/>
        <v>95</v>
      </c>
      <c r="F232" s="14">
        <v>324340</v>
      </c>
      <c r="G232" s="67" t="s">
        <v>5611</v>
      </c>
      <c r="H232" s="14" t="s">
        <v>5601</v>
      </c>
      <c r="I232" s="14" t="s">
        <v>2458</v>
      </c>
      <c r="J232" s="33" t="s">
        <v>7110</v>
      </c>
      <c r="K232" s="68">
        <v>0</v>
      </c>
      <c r="L232" s="68">
        <v>0</v>
      </c>
      <c r="M232" s="68" t="s">
        <v>8915</v>
      </c>
      <c r="N232" s="68">
        <v>0</v>
      </c>
      <c r="O232" s="68">
        <v>0</v>
      </c>
      <c r="P232" s="198" t="s">
        <v>5612</v>
      </c>
    </row>
    <row r="233" spans="1:16" ht="18.75" hidden="1">
      <c r="A233" s="13" t="s">
        <v>2947</v>
      </c>
      <c r="B233" s="12" t="s">
        <v>2866</v>
      </c>
      <c r="C233" s="12" t="s">
        <v>2804</v>
      </c>
      <c r="D233" s="12" t="s">
        <v>2611</v>
      </c>
      <c r="E233" s="12" t="str">
        <f t="shared" si="10"/>
        <v>95</v>
      </c>
      <c r="F233" s="14">
        <v>255391</v>
      </c>
      <c r="G233" s="67" t="s">
        <v>5604</v>
      </c>
      <c r="H233" s="14" t="s">
        <v>5601</v>
      </c>
      <c r="I233" s="14" t="s">
        <v>2458</v>
      </c>
      <c r="J233" s="33" t="s">
        <v>7110</v>
      </c>
      <c r="K233" s="68">
        <v>0</v>
      </c>
      <c r="L233" s="68">
        <v>0</v>
      </c>
      <c r="M233" s="68" t="s">
        <v>8915</v>
      </c>
      <c r="N233" s="68">
        <v>0</v>
      </c>
      <c r="O233" s="68">
        <v>0</v>
      </c>
      <c r="P233" s="198" t="s">
        <v>5605</v>
      </c>
    </row>
    <row r="234" spans="1:16" ht="18.75" hidden="1">
      <c r="A234" s="13" t="s">
        <v>2948</v>
      </c>
      <c r="B234" s="12" t="s">
        <v>2868</v>
      </c>
      <c r="C234" s="12" t="s">
        <v>3099</v>
      </c>
      <c r="D234" s="12" t="s">
        <v>2862</v>
      </c>
      <c r="E234" s="12" t="str">
        <f t="shared" si="10"/>
        <v>95</v>
      </c>
      <c r="F234" s="14">
        <v>1599560</v>
      </c>
      <c r="G234" s="67" t="s">
        <v>5611</v>
      </c>
      <c r="H234" s="14" t="s">
        <v>5601</v>
      </c>
      <c r="I234" s="14" t="s">
        <v>2458</v>
      </c>
      <c r="J234" s="33" t="s">
        <v>7110</v>
      </c>
      <c r="K234" s="68">
        <v>0</v>
      </c>
      <c r="L234" s="68">
        <v>0</v>
      </c>
      <c r="M234" s="68" t="s">
        <v>8915</v>
      </c>
      <c r="N234" s="68">
        <v>0</v>
      </c>
      <c r="O234" s="68">
        <v>0</v>
      </c>
      <c r="P234" s="198" t="s">
        <v>5612</v>
      </c>
    </row>
    <row r="235" spans="1:16" ht="18.75" hidden="1">
      <c r="A235" s="13" t="s">
        <v>2936</v>
      </c>
      <c r="B235" s="12" t="s">
        <v>3041</v>
      </c>
      <c r="C235" s="12" t="s">
        <v>3068</v>
      </c>
      <c r="D235" s="12" t="s">
        <v>2868</v>
      </c>
      <c r="E235" s="12" t="str">
        <f t="shared" si="10"/>
        <v>95</v>
      </c>
      <c r="F235" s="14">
        <v>68920</v>
      </c>
      <c r="G235" s="67" t="s">
        <v>5604</v>
      </c>
      <c r="H235" s="14" t="s">
        <v>5601</v>
      </c>
      <c r="I235" s="14" t="s">
        <v>2458</v>
      </c>
      <c r="J235" s="33" t="s">
        <v>7110</v>
      </c>
      <c r="K235" s="68">
        <v>0</v>
      </c>
      <c r="L235" s="68">
        <v>0</v>
      </c>
      <c r="M235" s="68" t="s">
        <v>8915</v>
      </c>
      <c r="N235" s="68">
        <v>0</v>
      </c>
      <c r="O235" s="68">
        <v>0</v>
      </c>
      <c r="P235" s="198" t="s">
        <v>5613</v>
      </c>
    </row>
    <row r="236" spans="1:16" ht="18.75" hidden="1">
      <c r="A236" s="13" t="s">
        <v>2928</v>
      </c>
      <c r="B236" s="12" t="s">
        <v>2852</v>
      </c>
      <c r="C236" s="12" t="s">
        <v>3100</v>
      </c>
      <c r="D236" s="12" t="s">
        <v>2862</v>
      </c>
      <c r="E236" s="12" t="str">
        <f t="shared" si="10"/>
        <v>95</v>
      </c>
      <c r="F236" s="14">
        <v>374940</v>
      </c>
      <c r="G236" s="67" t="s">
        <v>5611</v>
      </c>
      <c r="H236" s="14" t="s">
        <v>5601</v>
      </c>
      <c r="I236" s="14" t="s">
        <v>2458</v>
      </c>
      <c r="J236" s="33" t="s">
        <v>7110</v>
      </c>
      <c r="K236" s="68">
        <v>0</v>
      </c>
      <c r="L236" s="68">
        <v>0</v>
      </c>
      <c r="M236" s="68" t="s">
        <v>8915</v>
      </c>
      <c r="N236" s="68">
        <v>0</v>
      </c>
      <c r="O236" s="68">
        <v>0</v>
      </c>
      <c r="P236" s="198" t="s">
        <v>5612</v>
      </c>
    </row>
    <row r="237" spans="1:16" ht="18.75" hidden="1">
      <c r="A237" s="13" t="s">
        <v>2949</v>
      </c>
      <c r="B237" s="12" t="s">
        <v>2869</v>
      </c>
      <c r="C237" s="12" t="s">
        <v>3101</v>
      </c>
      <c r="D237" s="12" t="s">
        <v>2754</v>
      </c>
      <c r="E237" s="12" t="str">
        <f t="shared" si="10"/>
        <v>95</v>
      </c>
      <c r="F237" s="14">
        <v>12960</v>
      </c>
      <c r="G237" s="67" t="s">
        <v>5616</v>
      </c>
      <c r="H237" s="14" t="s">
        <v>5601</v>
      </c>
      <c r="I237" s="14" t="s">
        <v>2458</v>
      </c>
      <c r="J237" s="33" t="s">
        <v>7110</v>
      </c>
      <c r="K237" s="68">
        <v>0</v>
      </c>
      <c r="L237" s="68">
        <v>0</v>
      </c>
      <c r="M237" s="68" t="s">
        <v>8915</v>
      </c>
      <c r="N237" s="68">
        <v>0</v>
      </c>
      <c r="O237" s="68">
        <v>0</v>
      </c>
      <c r="P237" s="198" t="s">
        <v>5617</v>
      </c>
    </row>
    <row r="238" spans="1:16" ht="18.75" hidden="1">
      <c r="A238" s="13" t="s">
        <v>2950</v>
      </c>
      <c r="B238" s="12" t="s">
        <v>3047</v>
      </c>
      <c r="C238" s="12" t="s">
        <v>3102</v>
      </c>
      <c r="D238" s="12" t="s">
        <v>2857</v>
      </c>
      <c r="E238" s="12" t="str">
        <f t="shared" si="10"/>
        <v>95</v>
      </c>
      <c r="F238" s="14">
        <v>1000000</v>
      </c>
      <c r="G238" s="67" t="s">
        <v>5616</v>
      </c>
      <c r="H238" s="14" t="s">
        <v>5601</v>
      </c>
      <c r="I238" s="14" t="s">
        <v>2458</v>
      </c>
      <c r="J238" s="33" t="s">
        <v>7110</v>
      </c>
      <c r="K238" s="68">
        <v>0</v>
      </c>
      <c r="L238" s="68">
        <v>0</v>
      </c>
      <c r="M238" s="68" t="s">
        <v>8915</v>
      </c>
      <c r="N238" s="68">
        <v>0</v>
      </c>
      <c r="O238" s="68">
        <v>0</v>
      </c>
      <c r="P238" s="198" t="s">
        <v>5617</v>
      </c>
    </row>
    <row r="239" spans="1:16" ht="18.75" hidden="1">
      <c r="A239" s="13" t="s">
        <v>2951</v>
      </c>
      <c r="B239" s="12" t="s">
        <v>2855</v>
      </c>
      <c r="C239" s="12" t="s">
        <v>3085</v>
      </c>
      <c r="D239" s="12" t="s">
        <v>2751</v>
      </c>
      <c r="E239" s="12" t="str">
        <f t="shared" si="10"/>
        <v>95</v>
      </c>
      <c r="F239" s="14">
        <v>657516</v>
      </c>
      <c r="G239" s="67" t="s">
        <v>5607</v>
      </c>
      <c r="H239" s="14" t="s">
        <v>5601</v>
      </c>
      <c r="I239" s="14" t="s">
        <v>2458</v>
      </c>
      <c r="J239" s="33" t="s">
        <v>7110</v>
      </c>
      <c r="K239" s="68">
        <v>0</v>
      </c>
      <c r="L239" s="68">
        <v>0</v>
      </c>
      <c r="M239" s="68" t="s">
        <v>8915</v>
      </c>
      <c r="N239" s="68">
        <v>0</v>
      </c>
      <c r="O239" s="68">
        <v>0</v>
      </c>
      <c r="P239" s="198" t="s">
        <v>5608</v>
      </c>
    </row>
    <row r="240" spans="1:16" ht="18.75" hidden="1">
      <c r="A240" s="13" t="s">
        <v>2952</v>
      </c>
      <c r="B240" s="12" t="s">
        <v>3047</v>
      </c>
      <c r="C240" s="12" t="s">
        <v>3061</v>
      </c>
      <c r="D240" s="12" t="s">
        <v>2758</v>
      </c>
      <c r="E240" s="12" t="str">
        <f t="shared" si="10"/>
        <v>95</v>
      </c>
      <c r="F240" s="14">
        <v>386752</v>
      </c>
      <c r="G240" s="67" t="s">
        <v>5604</v>
      </c>
      <c r="H240" s="14" t="s">
        <v>5601</v>
      </c>
      <c r="I240" s="14" t="s">
        <v>2458</v>
      </c>
      <c r="J240" s="33" t="s">
        <v>7110</v>
      </c>
      <c r="K240" s="68">
        <v>0</v>
      </c>
      <c r="L240" s="68">
        <v>0</v>
      </c>
      <c r="M240" s="68" t="s">
        <v>8915</v>
      </c>
      <c r="N240" s="68">
        <v>0</v>
      </c>
      <c r="O240" s="68">
        <v>0</v>
      </c>
      <c r="P240" s="198" t="s">
        <v>5613</v>
      </c>
    </row>
    <row r="241" spans="1:16" ht="18.75" hidden="1">
      <c r="A241" s="13" t="s">
        <v>2953</v>
      </c>
      <c r="B241" s="12" t="s">
        <v>2870</v>
      </c>
      <c r="C241" s="12" t="s">
        <v>3103</v>
      </c>
      <c r="D241" s="12" t="s">
        <v>2751</v>
      </c>
      <c r="E241" s="12" t="str">
        <f t="shared" si="10"/>
        <v>95</v>
      </c>
      <c r="F241" s="14">
        <v>40</v>
      </c>
      <c r="G241" s="67" t="s">
        <v>5607</v>
      </c>
      <c r="H241" s="14" t="s">
        <v>5601</v>
      </c>
      <c r="I241" s="14" t="s">
        <v>2458</v>
      </c>
      <c r="J241" s="33" t="s">
        <v>7110</v>
      </c>
      <c r="K241" s="68">
        <v>0</v>
      </c>
      <c r="L241" s="68">
        <v>0</v>
      </c>
      <c r="M241" s="68" t="s">
        <v>8915</v>
      </c>
      <c r="N241" s="68">
        <v>0</v>
      </c>
      <c r="O241" s="68">
        <v>0</v>
      </c>
      <c r="P241" s="198" t="s">
        <v>5608</v>
      </c>
    </row>
    <row r="242" spans="1:16" ht="18.75" hidden="1">
      <c r="A242" s="13" t="s">
        <v>2930</v>
      </c>
      <c r="B242" s="12" t="s">
        <v>2863</v>
      </c>
      <c r="C242" s="12" t="s">
        <v>2786</v>
      </c>
      <c r="D242" s="12" t="s">
        <v>2610</v>
      </c>
      <c r="E242" s="12" t="str">
        <f t="shared" si="10"/>
        <v>95</v>
      </c>
      <c r="F242" s="14">
        <v>903000</v>
      </c>
      <c r="G242" s="67" t="s">
        <v>5609</v>
      </c>
      <c r="H242" s="14" t="s">
        <v>5601</v>
      </c>
      <c r="I242" s="14" t="s">
        <v>2458</v>
      </c>
      <c r="J242" s="33" t="s">
        <v>7110</v>
      </c>
      <c r="K242" s="68">
        <v>0</v>
      </c>
      <c r="L242" s="68">
        <v>0</v>
      </c>
      <c r="M242" s="68" t="s">
        <v>8915</v>
      </c>
      <c r="N242" s="68">
        <v>0</v>
      </c>
      <c r="O242" s="68">
        <v>0</v>
      </c>
      <c r="P242" s="198" t="s">
        <v>5610</v>
      </c>
    </row>
    <row r="243" spans="1:16" ht="18.75" hidden="1">
      <c r="A243" s="13" t="s">
        <v>2953</v>
      </c>
      <c r="B243" s="12" t="s">
        <v>2870</v>
      </c>
      <c r="C243" s="12" t="s">
        <v>3104</v>
      </c>
      <c r="D243" s="12" t="s">
        <v>2751</v>
      </c>
      <c r="E243" s="12" t="str">
        <f t="shared" si="10"/>
        <v>95</v>
      </c>
      <c r="F243" s="14">
        <v>8150</v>
      </c>
      <c r="G243" s="67" t="s">
        <v>5607</v>
      </c>
      <c r="H243" s="14" t="s">
        <v>5601</v>
      </c>
      <c r="I243" s="14" t="s">
        <v>2458</v>
      </c>
      <c r="J243" s="33" t="s">
        <v>7110</v>
      </c>
      <c r="K243" s="68">
        <v>0</v>
      </c>
      <c r="L243" s="68">
        <v>0</v>
      </c>
      <c r="M243" s="68" t="s">
        <v>8915</v>
      </c>
      <c r="N243" s="68">
        <v>0</v>
      </c>
      <c r="O243" s="68">
        <v>0</v>
      </c>
      <c r="P243" s="198" t="s">
        <v>5608</v>
      </c>
    </row>
    <row r="244" spans="1:16" ht="18.75" hidden="1">
      <c r="A244" s="13" t="s">
        <v>2945</v>
      </c>
      <c r="B244" s="12" t="s">
        <v>3044</v>
      </c>
      <c r="C244" s="12" t="s">
        <v>3105</v>
      </c>
      <c r="D244" s="12" t="s">
        <v>2757</v>
      </c>
      <c r="E244" s="12" t="str">
        <f t="shared" si="10"/>
        <v>95</v>
      </c>
      <c r="F244" s="14">
        <v>456097</v>
      </c>
      <c r="G244" s="67" t="s">
        <v>5607</v>
      </c>
      <c r="H244" s="14" t="s">
        <v>5601</v>
      </c>
      <c r="I244" s="14" t="s">
        <v>2458</v>
      </c>
      <c r="J244" s="33" t="s">
        <v>7110</v>
      </c>
      <c r="K244" s="68">
        <v>0</v>
      </c>
      <c r="L244" s="68">
        <v>0</v>
      </c>
      <c r="M244" s="68" t="s">
        <v>8915</v>
      </c>
      <c r="N244" s="68">
        <v>0</v>
      </c>
      <c r="O244" s="68">
        <v>0</v>
      </c>
      <c r="P244" s="198" t="s">
        <v>5608</v>
      </c>
    </row>
    <row r="245" spans="1:16" ht="18.75" hidden="1">
      <c r="A245" s="13" t="s">
        <v>2954</v>
      </c>
      <c r="B245" s="12" t="s">
        <v>3044</v>
      </c>
      <c r="C245" s="12" t="s">
        <v>3106</v>
      </c>
      <c r="D245" s="12" t="s">
        <v>2853</v>
      </c>
      <c r="E245" s="12" t="str">
        <f t="shared" si="10"/>
        <v>95</v>
      </c>
      <c r="F245" s="14">
        <v>590650</v>
      </c>
      <c r="G245" s="67" t="s">
        <v>5620</v>
      </c>
      <c r="H245" s="14" t="s">
        <v>5601</v>
      </c>
      <c r="I245" s="14" t="s">
        <v>2458</v>
      </c>
      <c r="J245" s="33" t="s">
        <v>7110</v>
      </c>
      <c r="K245" s="68">
        <v>0</v>
      </c>
      <c r="L245" s="68">
        <v>0</v>
      </c>
      <c r="M245" s="68" t="s">
        <v>8915</v>
      </c>
      <c r="N245" s="68">
        <v>0</v>
      </c>
      <c r="O245" s="68">
        <v>0</v>
      </c>
      <c r="P245" s="198" t="s">
        <v>5621</v>
      </c>
    </row>
    <row r="246" spans="1:16" ht="18.75" hidden="1">
      <c r="A246" s="13" t="s">
        <v>2955</v>
      </c>
      <c r="B246" s="12" t="s">
        <v>3047</v>
      </c>
      <c r="C246" s="12" t="s">
        <v>3065</v>
      </c>
      <c r="D246" s="12" t="s">
        <v>2751</v>
      </c>
      <c r="E246" s="12" t="str">
        <f t="shared" si="10"/>
        <v>95</v>
      </c>
      <c r="F246" s="14">
        <v>672516</v>
      </c>
      <c r="G246" s="67" t="s">
        <v>5607</v>
      </c>
      <c r="H246" s="14" t="s">
        <v>5601</v>
      </c>
      <c r="I246" s="14" t="s">
        <v>2458</v>
      </c>
      <c r="J246" s="33" t="s">
        <v>7110</v>
      </c>
      <c r="K246" s="68">
        <v>0</v>
      </c>
      <c r="L246" s="68">
        <v>0</v>
      </c>
      <c r="M246" s="68" t="s">
        <v>8915</v>
      </c>
      <c r="N246" s="68">
        <v>0</v>
      </c>
      <c r="O246" s="68">
        <v>0</v>
      </c>
      <c r="P246" s="198" t="s">
        <v>5608</v>
      </c>
    </row>
    <row r="247" spans="1:16" ht="18.75" hidden="1">
      <c r="A247" s="13" t="s">
        <v>2955</v>
      </c>
      <c r="B247" s="12" t="s">
        <v>3047</v>
      </c>
      <c r="C247" s="12" t="s">
        <v>3108</v>
      </c>
      <c r="D247" s="12" t="s">
        <v>2751</v>
      </c>
      <c r="E247" s="12" t="str">
        <f t="shared" si="10"/>
        <v>95</v>
      </c>
      <c r="F247" s="14">
        <v>1328364</v>
      </c>
      <c r="G247" s="67" t="s">
        <v>5607</v>
      </c>
      <c r="H247" s="14" t="s">
        <v>5601</v>
      </c>
      <c r="I247" s="14" t="s">
        <v>2458</v>
      </c>
      <c r="J247" s="33" t="s">
        <v>7110</v>
      </c>
      <c r="K247" s="68">
        <v>0</v>
      </c>
      <c r="L247" s="68">
        <v>0</v>
      </c>
      <c r="M247" s="68" t="s">
        <v>8915</v>
      </c>
      <c r="N247" s="68">
        <v>0</v>
      </c>
      <c r="O247" s="68">
        <v>0</v>
      </c>
      <c r="P247" s="198" t="s">
        <v>5608</v>
      </c>
    </row>
    <row r="248" spans="1:16" ht="18.75" hidden="1">
      <c r="A248" s="13" t="s">
        <v>2956</v>
      </c>
      <c r="B248" s="12" t="s">
        <v>2868</v>
      </c>
      <c r="C248" s="12" t="s">
        <v>3109</v>
      </c>
      <c r="D248" s="12" t="s">
        <v>2861</v>
      </c>
      <c r="E248" s="12" t="str">
        <f t="shared" si="10"/>
        <v>95</v>
      </c>
      <c r="F248" s="14">
        <v>578924</v>
      </c>
      <c r="G248" s="67" t="s">
        <v>5604</v>
      </c>
      <c r="H248" s="14" t="s">
        <v>5601</v>
      </c>
      <c r="I248" s="14" t="s">
        <v>2458</v>
      </c>
      <c r="J248" s="33" t="s">
        <v>7110</v>
      </c>
      <c r="K248" s="68">
        <v>0</v>
      </c>
      <c r="L248" s="68">
        <v>0</v>
      </c>
      <c r="M248" s="68" t="s">
        <v>8915</v>
      </c>
      <c r="N248" s="68">
        <v>0</v>
      </c>
      <c r="O248" s="68">
        <v>0</v>
      </c>
      <c r="P248" s="198" t="s">
        <v>5613</v>
      </c>
    </row>
    <row r="249" spans="1:16" ht="18.75" hidden="1">
      <c r="A249" s="13" t="s">
        <v>2957</v>
      </c>
      <c r="B249" s="12" t="s">
        <v>2869</v>
      </c>
      <c r="C249" s="12" t="s">
        <v>3076</v>
      </c>
      <c r="D249" s="12" t="s">
        <v>2751</v>
      </c>
      <c r="E249" s="12" t="str">
        <f t="shared" si="10"/>
        <v>95</v>
      </c>
      <c r="F249" s="14">
        <v>27720</v>
      </c>
      <c r="G249" s="67" t="s">
        <v>5607</v>
      </c>
      <c r="H249" s="14" t="s">
        <v>5601</v>
      </c>
      <c r="I249" s="14" t="s">
        <v>2458</v>
      </c>
      <c r="J249" s="33" t="s">
        <v>7110</v>
      </c>
      <c r="K249" s="68">
        <v>0</v>
      </c>
      <c r="L249" s="68">
        <v>0</v>
      </c>
      <c r="M249" s="68" t="s">
        <v>8915</v>
      </c>
      <c r="N249" s="68">
        <v>0</v>
      </c>
      <c r="O249" s="68">
        <v>0</v>
      </c>
      <c r="P249" s="198" t="s">
        <v>5608</v>
      </c>
    </row>
    <row r="250" spans="1:16" ht="18.75" hidden="1">
      <c r="A250" s="13" t="s">
        <v>2958</v>
      </c>
      <c r="B250" s="12" t="s">
        <v>2869</v>
      </c>
      <c r="C250" s="12" t="s">
        <v>3101</v>
      </c>
      <c r="D250" s="12" t="s">
        <v>2754</v>
      </c>
      <c r="E250" s="12" t="str">
        <f t="shared" si="10"/>
        <v>95</v>
      </c>
      <c r="F250" s="14">
        <v>1000000</v>
      </c>
      <c r="G250" s="67" t="s">
        <v>5616</v>
      </c>
      <c r="H250" s="14" t="s">
        <v>5601</v>
      </c>
      <c r="I250" s="14" t="s">
        <v>2458</v>
      </c>
      <c r="J250" s="33" t="s">
        <v>7110</v>
      </c>
      <c r="K250" s="68">
        <v>0</v>
      </c>
      <c r="L250" s="68">
        <v>0</v>
      </c>
      <c r="M250" s="68" t="s">
        <v>8915</v>
      </c>
      <c r="N250" s="68">
        <v>0</v>
      </c>
      <c r="O250" s="68">
        <v>0</v>
      </c>
      <c r="P250" s="198" t="s">
        <v>5617</v>
      </c>
    </row>
    <row r="251" spans="1:16" ht="18.75" hidden="1">
      <c r="A251" s="13" t="s">
        <v>2959</v>
      </c>
      <c r="B251" s="12" t="s">
        <v>2862</v>
      </c>
      <c r="C251" s="12" t="s">
        <v>2798</v>
      </c>
      <c r="D251" s="12" t="s">
        <v>2612</v>
      </c>
      <c r="E251" s="12" t="str">
        <f t="shared" si="10"/>
        <v>95</v>
      </c>
      <c r="F251" s="14">
        <v>115273</v>
      </c>
      <c r="G251" s="67" t="s">
        <v>5607</v>
      </c>
      <c r="H251" s="14" t="s">
        <v>5601</v>
      </c>
      <c r="I251" s="14" t="s">
        <v>2458</v>
      </c>
      <c r="J251" s="33" t="s">
        <v>7110</v>
      </c>
      <c r="K251" s="68">
        <v>0</v>
      </c>
      <c r="L251" s="68">
        <v>0</v>
      </c>
      <c r="M251" s="68" t="s">
        <v>8915</v>
      </c>
      <c r="N251" s="68">
        <v>0</v>
      </c>
      <c r="O251" s="68">
        <v>0</v>
      </c>
      <c r="P251" s="198" t="s">
        <v>5608</v>
      </c>
    </row>
    <row r="252" spans="1:16" ht="18.75" hidden="1">
      <c r="A252" s="13" t="s">
        <v>2940</v>
      </c>
      <c r="B252" s="12" t="s">
        <v>3041</v>
      </c>
      <c r="C252" s="12" t="s">
        <v>3110</v>
      </c>
      <c r="D252" s="12" t="s">
        <v>2862</v>
      </c>
      <c r="E252" s="12" t="str">
        <f t="shared" si="10"/>
        <v>95</v>
      </c>
      <c r="F252" s="14">
        <v>127921</v>
      </c>
      <c r="G252" s="67" t="s">
        <v>5604</v>
      </c>
      <c r="H252" s="14" t="s">
        <v>5601</v>
      </c>
      <c r="I252" s="14" t="s">
        <v>2458</v>
      </c>
      <c r="J252" s="33" t="s">
        <v>7110</v>
      </c>
      <c r="K252" s="68">
        <v>0</v>
      </c>
      <c r="L252" s="68">
        <v>0</v>
      </c>
      <c r="M252" s="68" t="s">
        <v>8915</v>
      </c>
      <c r="N252" s="68">
        <v>0</v>
      </c>
      <c r="O252" s="68">
        <v>0</v>
      </c>
      <c r="P252" s="198" t="s">
        <v>5618</v>
      </c>
    </row>
    <row r="253" spans="1:16" ht="18.75" hidden="1">
      <c r="A253" s="13" t="s">
        <v>2960</v>
      </c>
      <c r="B253" s="12" t="s">
        <v>2863</v>
      </c>
      <c r="C253" s="12" t="s">
        <v>3104</v>
      </c>
      <c r="D253" s="12" t="s">
        <v>2751</v>
      </c>
      <c r="E253" s="12" t="str">
        <f t="shared" si="10"/>
        <v>95</v>
      </c>
      <c r="F253" s="14">
        <v>991850</v>
      </c>
      <c r="G253" s="67" t="s">
        <v>5607</v>
      </c>
      <c r="H253" s="14" t="s">
        <v>5601</v>
      </c>
      <c r="I253" s="14" t="s">
        <v>2458</v>
      </c>
      <c r="J253" s="33" t="s">
        <v>7110</v>
      </c>
      <c r="K253" s="68">
        <v>0</v>
      </c>
      <c r="L253" s="68">
        <v>0</v>
      </c>
      <c r="M253" s="68" t="s">
        <v>8915</v>
      </c>
      <c r="N253" s="68">
        <v>0</v>
      </c>
      <c r="O253" s="68">
        <v>0</v>
      </c>
      <c r="P253" s="198" t="s">
        <v>5608</v>
      </c>
    </row>
    <row r="254" spans="1:16" ht="18.75" hidden="1">
      <c r="A254" s="13" t="s">
        <v>2961</v>
      </c>
      <c r="B254" s="12" t="s">
        <v>3046</v>
      </c>
      <c r="C254" s="12" t="s">
        <v>3108</v>
      </c>
      <c r="D254" s="12" t="s">
        <v>2751</v>
      </c>
      <c r="E254" s="12" t="str">
        <f t="shared" si="10"/>
        <v>95</v>
      </c>
      <c r="F254" s="14">
        <v>18318</v>
      </c>
      <c r="G254" s="67" t="s">
        <v>5607</v>
      </c>
      <c r="H254" s="14" t="s">
        <v>5601</v>
      </c>
      <c r="I254" s="14" t="s">
        <v>2458</v>
      </c>
      <c r="J254" s="33" t="s">
        <v>7110</v>
      </c>
      <c r="K254" s="68">
        <v>0</v>
      </c>
      <c r="L254" s="68">
        <v>0</v>
      </c>
      <c r="M254" s="68" t="s">
        <v>8915</v>
      </c>
      <c r="N254" s="68">
        <v>0</v>
      </c>
      <c r="O254" s="68">
        <v>0</v>
      </c>
      <c r="P254" s="198" t="s">
        <v>5608</v>
      </c>
    </row>
    <row r="255" spans="1:16" ht="18.75" hidden="1">
      <c r="A255" s="13" t="s">
        <v>2962</v>
      </c>
      <c r="B255" s="12" t="s">
        <v>2862</v>
      </c>
      <c r="C255" s="12" t="s">
        <v>2809</v>
      </c>
      <c r="D255" s="12" t="s">
        <v>2611</v>
      </c>
      <c r="E255" s="12" t="str">
        <f t="shared" si="10"/>
        <v>95</v>
      </c>
      <c r="F255" s="14">
        <v>15149</v>
      </c>
      <c r="G255" s="67" t="s">
        <v>5604</v>
      </c>
      <c r="H255" s="14" t="s">
        <v>5601</v>
      </c>
      <c r="I255" s="14" t="s">
        <v>2458</v>
      </c>
      <c r="J255" s="33" t="s">
        <v>7110</v>
      </c>
      <c r="K255" s="68">
        <v>0</v>
      </c>
      <c r="L255" s="68">
        <v>0</v>
      </c>
      <c r="M255" s="68" t="s">
        <v>8915</v>
      </c>
      <c r="N255" s="68">
        <v>0</v>
      </c>
      <c r="O255" s="68">
        <v>0</v>
      </c>
      <c r="P255" s="198" t="s">
        <v>5605</v>
      </c>
    </row>
    <row r="256" spans="1:16" ht="18.75" hidden="1">
      <c r="A256" s="13" t="s">
        <v>2961</v>
      </c>
      <c r="B256" s="12" t="s">
        <v>3046</v>
      </c>
      <c r="C256" s="12" t="s">
        <v>3111</v>
      </c>
      <c r="D256" s="12" t="s">
        <v>2865</v>
      </c>
      <c r="E256" s="12" t="str">
        <f t="shared" si="10"/>
        <v>95</v>
      </c>
      <c r="F256" s="14">
        <v>499960</v>
      </c>
      <c r="G256" s="67" t="s">
        <v>5611</v>
      </c>
      <c r="H256" s="14" t="s">
        <v>5601</v>
      </c>
      <c r="I256" s="14" t="s">
        <v>2458</v>
      </c>
      <c r="J256" s="33" t="s">
        <v>7110</v>
      </c>
      <c r="K256" s="68">
        <v>0</v>
      </c>
      <c r="L256" s="68">
        <v>0</v>
      </c>
      <c r="M256" s="68" t="s">
        <v>8915</v>
      </c>
      <c r="N256" s="68">
        <v>0</v>
      </c>
      <c r="O256" s="68">
        <v>0</v>
      </c>
      <c r="P256" s="198" t="s">
        <v>5619</v>
      </c>
    </row>
    <row r="257" spans="1:16" ht="18.75" hidden="1">
      <c r="A257" s="13" t="s">
        <v>2963</v>
      </c>
      <c r="B257" s="12" t="s">
        <v>2860</v>
      </c>
      <c r="C257" s="12" t="s">
        <v>3078</v>
      </c>
      <c r="D257" s="12" t="s">
        <v>2751</v>
      </c>
      <c r="E257" s="12" t="str">
        <f t="shared" si="10"/>
        <v>95</v>
      </c>
      <c r="F257" s="14">
        <v>310928</v>
      </c>
      <c r="G257" s="67" t="s">
        <v>5607</v>
      </c>
      <c r="H257" s="14" t="s">
        <v>5601</v>
      </c>
      <c r="I257" s="14" t="s">
        <v>2458</v>
      </c>
      <c r="J257" s="33" t="s">
        <v>7110</v>
      </c>
      <c r="K257" s="68">
        <v>0</v>
      </c>
      <c r="L257" s="68">
        <v>0</v>
      </c>
      <c r="M257" s="68" t="s">
        <v>8915</v>
      </c>
      <c r="N257" s="68">
        <v>0</v>
      </c>
      <c r="O257" s="68">
        <v>0</v>
      </c>
      <c r="P257" s="198" t="s">
        <v>5608</v>
      </c>
    </row>
    <row r="258" spans="1:16" ht="18.75" hidden="1">
      <c r="A258" s="13" t="s">
        <v>2964</v>
      </c>
      <c r="B258" s="12" t="s">
        <v>2861</v>
      </c>
      <c r="C258" s="12" t="s">
        <v>2804</v>
      </c>
      <c r="D258" s="12" t="s">
        <v>2611</v>
      </c>
      <c r="E258" s="12" t="str">
        <f t="shared" si="10"/>
        <v>95</v>
      </c>
      <c r="F258" s="14">
        <v>31953</v>
      </c>
      <c r="G258" s="67" t="s">
        <v>5604</v>
      </c>
      <c r="H258" s="14" t="s">
        <v>5601</v>
      </c>
      <c r="I258" s="14" t="s">
        <v>2458</v>
      </c>
      <c r="J258" s="33" t="s">
        <v>7110</v>
      </c>
      <c r="K258" s="68">
        <v>0</v>
      </c>
      <c r="L258" s="68">
        <v>0</v>
      </c>
      <c r="M258" s="68" t="s">
        <v>8915</v>
      </c>
      <c r="N258" s="68">
        <v>0</v>
      </c>
      <c r="O258" s="68">
        <v>0</v>
      </c>
      <c r="P258" s="198" t="s">
        <v>5605</v>
      </c>
    </row>
    <row r="259" spans="1:16" ht="18.75" hidden="1">
      <c r="A259" s="13" t="s">
        <v>2959</v>
      </c>
      <c r="B259" s="12" t="s">
        <v>2862</v>
      </c>
      <c r="C259" s="12" t="s">
        <v>3112</v>
      </c>
      <c r="D259" s="12" t="s">
        <v>2618</v>
      </c>
      <c r="E259" s="12" t="str">
        <f t="shared" si="10"/>
        <v>95</v>
      </c>
      <c r="F259" s="14">
        <v>580000</v>
      </c>
      <c r="G259" s="67" t="s">
        <v>5607</v>
      </c>
      <c r="H259" s="14" t="s">
        <v>5601</v>
      </c>
      <c r="I259" s="14" t="s">
        <v>2458</v>
      </c>
      <c r="J259" s="33" t="s">
        <v>7110</v>
      </c>
      <c r="K259" s="68">
        <v>0</v>
      </c>
      <c r="L259" s="68">
        <v>0</v>
      </c>
      <c r="M259" s="68" t="s">
        <v>8915</v>
      </c>
      <c r="N259" s="68">
        <v>0</v>
      </c>
      <c r="O259" s="68">
        <v>0</v>
      </c>
      <c r="P259" s="198" t="s">
        <v>5608</v>
      </c>
    </row>
    <row r="260" spans="1:16" ht="18.75" hidden="1">
      <c r="A260" s="13" t="s">
        <v>2963</v>
      </c>
      <c r="B260" s="12" t="s">
        <v>2860</v>
      </c>
      <c r="C260" s="12" t="s">
        <v>3113</v>
      </c>
      <c r="D260" s="12" t="s">
        <v>2752</v>
      </c>
      <c r="E260" s="12" t="str">
        <f t="shared" si="10"/>
        <v>95</v>
      </c>
      <c r="F260" s="14">
        <v>164602</v>
      </c>
      <c r="G260" s="67" t="s">
        <v>5607</v>
      </c>
      <c r="H260" s="14" t="s">
        <v>5601</v>
      </c>
      <c r="I260" s="14" t="s">
        <v>2458</v>
      </c>
      <c r="J260" s="33" t="s">
        <v>7110</v>
      </c>
      <c r="K260" s="68">
        <v>0</v>
      </c>
      <c r="L260" s="68">
        <v>0</v>
      </c>
      <c r="M260" s="68" t="s">
        <v>8915</v>
      </c>
      <c r="N260" s="68">
        <v>0</v>
      </c>
      <c r="O260" s="68">
        <v>0</v>
      </c>
      <c r="P260" s="198" t="s">
        <v>5608</v>
      </c>
    </row>
    <row r="261" spans="1:16" ht="18.75" hidden="1">
      <c r="A261" s="13" t="s">
        <v>2965</v>
      </c>
      <c r="B261" s="12" t="s">
        <v>3051</v>
      </c>
      <c r="C261" s="12" t="s">
        <v>3096</v>
      </c>
      <c r="D261" s="12" t="s">
        <v>2853</v>
      </c>
      <c r="E261" s="12" t="str">
        <f t="shared" si="10"/>
        <v>95</v>
      </c>
      <c r="F261" s="14">
        <v>780164</v>
      </c>
      <c r="G261" s="67" t="s">
        <v>5604</v>
      </c>
      <c r="H261" s="14" t="s">
        <v>5601</v>
      </c>
      <c r="I261" s="14" t="s">
        <v>2458</v>
      </c>
      <c r="J261" s="33" t="s">
        <v>7110</v>
      </c>
      <c r="K261" s="68">
        <v>0</v>
      </c>
      <c r="L261" s="68">
        <v>0</v>
      </c>
      <c r="M261" s="68" t="s">
        <v>8915</v>
      </c>
      <c r="N261" s="68">
        <v>0</v>
      </c>
      <c r="O261" s="68">
        <v>0</v>
      </c>
      <c r="P261" s="198" t="s">
        <v>5618</v>
      </c>
    </row>
    <row r="262" spans="1:16" ht="18.75" hidden="1">
      <c r="A262" s="13" t="s">
        <v>2966</v>
      </c>
      <c r="B262" s="12" t="s">
        <v>2861</v>
      </c>
      <c r="C262" s="12" t="s">
        <v>2783</v>
      </c>
      <c r="D262" s="12" t="s">
        <v>2751</v>
      </c>
      <c r="E262" s="12" t="str">
        <f t="shared" si="10"/>
        <v>95</v>
      </c>
      <c r="F262" s="14">
        <v>989835</v>
      </c>
      <c r="G262" s="67" t="s">
        <v>5604</v>
      </c>
      <c r="H262" s="14" t="s">
        <v>5601</v>
      </c>
      <c r="I262" s="14" t="s">
        <v>2458</v>
      </c>
      <c r="J262" s="33" t="s">
        <v>7110</v>
      </c>
      <c r="K262" s="68">
        <v>0</v>
      </c>
      <c r="L262" s="68">
        <v>0</v>
      </c>
      <c r="M262" s="68" t="s">
        <v>8915</v>
      </c>
      <c r="N262" s="68">
        <v>0</v>
      </c>
      <c r="O262" s="68">
        <v>0</v>
      </c>
      <c r="P262" s="198" t="s">
        <v>5618</v>
      </c>
    </row>
    <row r="263" spans="1:16" ht="18.75" hidden="1">
      <c r="A263" s="13" t="s">
        <v>2967</v>
      </c>
      <c r="B263" s="12" t="s">
        <v>2868</v>
      </c>
      <c r="C263" s="12" t="s">
        <v>3114</v>
      </c>
      <c r="D263" s="12" t="s">
        <v>2753</v>
      </c>
      <c r="E263" s="12" t="str">
        <f t="shared" si="10"/>
        <v>95</v>
      </c>
      <c r="F263" s="14">
        <v>399520</v>
      </c>
      <c r="G263" s="67" t="s">
        <v>5611</v>
      </c>
      <c r="H263" s="14" t="s">
        <v>5601</v>
      </c>
      <c r="I263" s="14" t="s">
        <v>2458</v>
      </c>
      <c r="J263" s="33" t="s">
        <v>7110</v>
      </c>
      <c r="K263" s="68">
        <v>0</v>
      </c>
      <c r="L263" s="68">
        <v>0</v>
      </c>
      <c r="M263" s="68" t="s">
        <v>8915</v>
      </c>
      <c r="N263" s="68">
        <v>0</v>
      </c>
      <c r="O263" s="68">
        <v>0</v>
      </c>
      <c r="P263" s="198" t="s">
        <v>5612</v>
      </c>
    </row>
    <row r="264" spans="1:16" ht="18.75" hidden="1">
      <c r="A264" s="13" t="s">
        <v>2967</v>
      </c>
      <c r="B264" s="12" t="s">
        <v>2868</v>
      </c>
      <c r="C264" s="12" t="s">
        <v>3075</v>
      </c>
      <c r="D264" s="12" t="s">
        <v>2616</v>
      </c>
      <c r="E264" s="12" t="str">
        <f t="shared" si="10"/>
        <v>95</v>
      </c>
      <c r="F264" s="14">
        <v>56045</v>
      </c>
      <c r="G264" s="67" t="s">
        <v>5609</v>
      </c>
      <c r="H264" s="14" t="s">
        <v>5601</v>
      </c>
      <c r="I264" s="14" t="s">
        <v>2458</v>
      </c>
      <c r="J264" s="33" t="s">
        <v>7110</v>
      </c>
      <c r="K264" s="68">
        <v>0</v>
      </c>
      <c r="L264" s="68">
        <v>0</v>
      </c>
      <c r="M264" s="68" t="s">
        <v>8915</v>
      </c>
      <c r="N264" s="68">
        <v>0</v>
      </c>
      <c r="O264" s="68">
        <v>0</v>
      </c>
      <c r="P264" s="198" t="s">
        <v>5610</v>
      </c>
    </row>
    <row r="265" spans="1:16" ht="18.75" hidden="1">
      <c r="A265" s="13" t="s">
        <v>2968</v>
      </c>
      <c r="B265" s="12" t="s">
        <v>2856</v>
      </c>
      <c r="C265" s="12" t="s">
        <v>3115</v>
      </c>
      <c r="D265" s="12" t="s">
        <v>2869</v>
      </c>
      <c r="E265" s="12" t="str">
        <f t="shared" si="10"/>
        <v>95</v>
      </c>
      <c r="F265" s="14">
        <v>800000</v>
      </c>
      <c r="G265" s="67" t="s">
        <v>5604</v>
      </c>
      <c r="H265" s="14" t="s">
        <v>5601</v>
      </c>
      <c r="I265" s="14" t="s">
        <v>2458</v>
      </c>
      <c r="J265" s="33" t="s">
        <v>7110</v>
      </c>
      <c r="K265" s="68">
        <v>0</v>
      </c>
      <c r="L265" s="68">
        <v>0</v>
      </c>
      <c r="M265" s="68" t="s">
        <v>8915</v>
      </c>
      <c r="N265" s="68">
        <v>0</v>
      </c>
      <c r="O265" s="68">
        <v>0</v>
      </c>
      <c r="P265" s="198" t="s">
        <v>5618</v>
      </c>
    </row>
    <row r="266" spans="1:16" ht="18.75" hidden="1">
      <c r="A266" s="13" t="s">
        <v>2953</v>
      </c>
      <c r="B266" s="12" t="s">
        <v>2870</v>
      </c>
      <c r="C266" s="12" t="s">
        <v>2795</v>
      </c>
      <c r="D266" s="12" t="s">
        <v>2751</v>
      </c>
      <c r="E266" s="12" t="str">
        <f t="shared" si="10"/>
        <v>95</v>
      </c>
      <c r="F266" s="14">
        <v>13360</v>
      </c>
      <c r="G266" s="67" t="s">
        <v>5607</v>
      </c>
      <c r="H266" s="14" t="s">
        <v>5601</v>
      </c>
      <c r="I266" s="14" t="s">
        <v>2458</v>
      </c>
      <c r="J266" s="33" t="s">
        <v>7110</v>
      </c>
      <c r="K266" s="68">
        <v>0</v>
      </c>
      <c r="L266" s="68">
        <v>0</v>
      </c>
      <c r="M266" s="68" t="s">
        <v>8915</v>
      </c>
      <c r="N266" s="68">
        <v>0</v>
      </c>
      <c r="O266" s="68">
        <v>0</v>
      </c>
      <c r="P266" s="198" t="s">
        <v>5608</v>
      </c>
    </row>
    <row r="267" spans="1:16" ht="18.75" hidden="1">
      <c r="A267" s="13" t="s">
        <v>2970</v>
      </c>
      <c r="B267" s="12" t="s">
        <v>3050</v>
      </c>
      <c r="C267" s="12" t="s">
        <v>3061</v>
      </c>
      <c r="D267" s="12" t="s">
        <v>2758</v>
      </c>
      <c r="E267" s="12" t="str">
        <f t="shared" si="10"/>
        <v>95</v>
      </c>
      <c r="F267" s="14">
        <v>486020</v>
      </c>
      <c r="G267" s="67" t="s">
        <v>5604</v>
      </c>
      <c r="H267" s="14" t="s">
        <v>5601</v>
      </c>
      <c r="I267" s="14" t="s">
        <v>2458</v>
      </c>
      <c r="J267" s="33" t="s">
        <v>7110</v>
      </c>
      <c r="K267" s="68">
        <v>0</v>
      </c>
      <c r="L267" s="68">
        <v>0</v>
      </c>
      <c r="M267" s="68" t="s">
        <v>8915</v>
      </c>
      <c r="N267" s="68">
        <v>0</v>
      </c>
      <c r="O267" s="68">
        <v>0</v>
      </c>
      <c r="P267" s="198" t="s">
        <v>5613</v>
      </c>
    </row>
    <row r="268" spans="1:16" ht="18.75" hidden="1">
      <c r="A268" s="13" t="s">
        <v>2971</v>
      </c>
      <c r="B268" s="12" t="s">
        <v>2870</v>
      </c>
      <c r="C268" s="12" t="s">
        <v>3103</v>
      </c>
      <c r="D268" s="12" t="s">
        <v>2751</v>
      </c>
      <c r="E268" s="12" t="str">
        <f t="shared" si="10"/>
        <v>95</v>
      </c>
      <c r="F268" s="14">
        <v>999960</v>
      </c>
      <c r="G268" s="67" t="s">
        <v>5607</v>
      </c>
      <c r="H268" s="14" t="s">
        <v>5601</v>
      </c>
      <c r="I268" s="14" t="s">
        <v>2458</v>
      </c>
      <c r="J268" s="33" t="s">
        <v>7110</v>
      </c>
      <c r="K268" s="68">
        <v>0</v>
      </c>
      <c r="L268" s="68">
        <v>0</v>
      </c>
      <c r="M268" s="68" t="s">
        <v>8915</v>
      </c>
      <c r="N268" s="68">
        <v>0</v>
      </c>
      <c r="O268" s="68">
        <v>0</v>
      </c>
      <c r="P268" s="198" t="s">
        <v>5608</v>
      </c>
    </row>
    <row r="269" spans="1:16" ht="18.75" hidden="1">
      <c r="A269" s="13" t="s">
        <v>2972</v>
      </c>
      <c r="B269" s="12" t="s">
        <v>2863</v>
      </c>
      <c r="C269" s="12" t="s">
        <v>2783</v>
      </c>
      <c r="D269" s="12" t="s">
        <v>2751</v>
      </c>
      <c r="E269" s="12" t="str">
        <f t="shared" si="10"/>
        <v>95</v>
      </c>
      <c r="F269" s="14">
        <v>490350</v>
      </c>
      <c r="G269" s="67" t="s">
        <v>5604</v>
      </c>
      <c r="H269" s="14" t="s">
        <v>5601</v>
      </c>
      <c r="I269" s="14" t="s">
        <v>2458</v>
      </c>
      <c r="J269" s="33" t="s">
        <v>7110</v>
      </c>
      <c r="K269" s="68">
        <v>0</v>
      </c>
      <c r="L269" s="68">
        <v>0</v>
      </c>
      <c r="M269" s="68" t="s">
        <v>8915</v>
      </c>
      <c r="N269" s="68">
        <v>0</v>
      </c>
      <c r="O269" s="68">
        <v>0</v>
      </c>
      <c r="P269" s="198" t="s">
        <v>5618</v>
      </c>
    </row>
    <row r="270" spans="1:16" ht="18.75" hidden="1">
      <c r="A270" s="13" t="s">
        <v>2973</v>
      </c>
      <c r="B270" s="12" t="s">
        <v>2866</v>
      </c>
      <c r="C270" s="12" t="s">
        <v>2785</v>
      </c>
      <c r="D270" s="12" t="s">
        <v>2619</v>
      </c>
      <c r="E270" s="12" t="str">
        <f t="shared" si="10"/>
        <v>95</v>
      </c>
      <c r="F270" s="14">
        <v>30500</v>
      </c>
      <c r="G270" s="67" t="s">
        <v>5611</v>
      </c>
      <c r="H270" s="14" t="s">
        <v>5601</v>
      </c>
      <c r="I270" s="14" t="s">
        <v>2458</v>
      </c>
      <c r="J270" s="33" t="s">
        <v>7110</v>
      </c>
      <c r="K270" s="68">
        <v>0</v>
      </c>
      <c r="L270" s="68">
        <v>0</v>
      </c>
      <c r="M270" s="68" t="s">
        <v>8915</v>
      </c>
      <c r="N270" s="68">
        <v>0</v>
      </c>
      <c r="O270" s="68">
        <v>0</v>
      </c>
      <c r="P270" s="198" t="s">
        <v>5612</v>
      </c>
    </row>
    <row r="271" spans="1:16" ht="18.75" hidden="1">
      <c r="A271" s="13" t="s">
        <v>2957</v>
      </c>
      <c r="B271" s="12" t="s">
        <v>2869</v>
      </c>
      <c r="C271" s="12" t="s">
        <v>3116</v>
      </c>
      <c r="D271" s="12" t="s">
        <v>2751</v>
      </c>
      <c r="E271" s="12" t="str">
        <f t="shared" si="10"/>
        <v>95</v>
      </c>
      <c r="F271" s="14">
        <v>1000000</v>
      </c>
      <c r="G271" s="67" t="s">
        <v>5607</v>
      </c>
      <c r="H271" s="14" t="s">
        <v>5601</v>
      </c>
      <c r="I271" s="14" t="s">
        <v>2458</v>
      </c>
      <c r="J271" s="33" t="s">
        <v>7110</v>
      </c>
      <c r="K271" s="68">
        <v>0</v>
      </c>
      <c r="L271" s="68">
        <v>0</v>
      </c>
      <c r="M271" s="68" t="s">
        <v>8915</v>
      </c>
      <c r="N271" s="68">
        <v>0</v>
      </c>
      <c r="O271" s="68">
        <v>0</v>
      </c>
      <c r="P271" s="198" t="s">
        <v>5608</v>
      </c>
    </row>
    <row r="272" spans="1:16" ht="18.75" hidden="1">
      <c r="A272" s="13" t="s">
        <v>2974</v>
      </c>
      <c r="B272" s="12" t="s">
        <v>2863</v>
      </c>
      <c r="C272" s="12" t="s">
        <v>3117</v>
      </c>
      <c r="D272" s="12" t="s">
        <v>2609</v>
      </c>
      <c r="E272" s="12" t="str">
        <f t="shared" si="10"/>
        <v>95</v>
      </c>
      <c r="F272" s="14">
        <v>192888</v>
      </c>
      <c r="G272" s="67" t="s">
        <v>5604</v>
      </c>
      <c r="H272" s="14" t="s">
        <v>5601</v>
      </c>
      <c r="I272" s="14" t="s">
        <v>2458</v>
      </c>
      <c r="J272" s="33" t="s">
        <v>7110</v>
      </c>
      <c r="K272" s="68">
        <v>0</v>
      </c>
      <c r="L272" s="68">
        <v>0</v>
      </c>
      <c r="M272" s="68" t="s">
        <v>8915</v>
      </c>
      <c r="N272" s="68">
        <v>0</v>
      </c>
      <c r="O272" s="68">
        <v>0</v>
      </c>
      <c r="P272" s="198" t="s">
        <v>5605</v>
      </c>
    </row>
    <row r="273" spans="1:16" ht="18.75" hidden="1">
      <c r="A273" s="13" t="s">
        <v>2975</v>
      </c>
      <c r="B273" s="12" t="s">
        <v>2867</v>
      </c>
      <c r="C273" s="12" t="s">
        <v>2783</v>
      </c>
      <c r="D273" s="12" t="s">
        <v>2751</v>
      </c>
      <c r="E273" s="12" t="str">
        <f t="shared" si="10"/>
        <v>95</v>
      </c>
      <c r="F273" s="14">
        <v>74692</v>
      </c>
      <c r="G273" s="67" t="s">
        <v>5604</v>
      </c>
      <c r="H273" s="14" t="s">
        <v>5601</v>
      </c>
      <c r="I273" s="14" t="s">
        <v>2458</v>
      </c>
      <c r="J273" s="33" t="s">
        <v>7110</v>
      </c>
      <c r="K273" s="68">
        <v>0</v>
      </c>
      <c r="L273" s="68">
        <v>0</v>
      </c>
      <c r="M273" s="68" t="s">
        <v>8915</v>
      </c>
      <c r="N273" s="68">
        <v>0</v>
      </c>
      <c r="O273" s="68">
        <v>0</v>
      </c>
      <c r="P273" s="198" t="s">
        <v>5618</v>
      </c>
    </row>
    <row r="274" spans="1:16" ht="18.75" hidden="1">
      <c r="A274" s="13" t="s">
        <v>2959</v>
      </c>
      <c r="B274" s="12" t="s">
        <v>2862</v>
      </c>
      <c r="C274" s="12" t="s">
        <v>2803</v>
      </c>
      <c r="D274" s="12" t="s">
        <v>2612</v>
      </c>
      <c r="E274" s="12" t="str">
        <f t="shared" ref="E274:E335" si="11">MID(D274,1,2)</f>
        <v>95</v>
      </c>
      <c r="F274" s="14">
        <v>4110</v>
      </c>
      <c r="G274" s="67" t="s">
        <v>5607</v>
      </c>
      <c r="H274" s="14" t="s">
        <v>5601</v>
      </c>
      <c r="I274" s="14" t="s">
        <v>2458</v>
      </c>
      <c r="J274" s="33" t="s">
        <v>7110</v>
      </c>
      <c r="K274" s="68">
        <v>0</v>
      </c>
      <c r="L274" s="68">
        <v>0</v>
      </c>
      <c r="M274" s="68" t="s">
        <v>8915</v>
      </c>
      <c r="N274" s="68">
        <v>0</v>
      </c>
      <c r="O274" s="68">
        <v>0</v>
      </c>
      <c r="P274" s="198" t="s">
        <v>5608</v>
      </c>
    </row>
    <row r="275" spans="1:16" ht="18.75" hidden="1">
      <c r="A275" s="13" t="s">
        <v>2976</v>
      </c>
      <c r="B275" s="12" t="s">
        <v>2862</v>
      </c>
      <c r="C275" s="12" t="s">
        <v>2793</v>
      </c>
      <c r="D275" s="12" t="s">
        <v>2751</v>
      </c>
      <c r="E275" s="12" t="str">
        <f t="shared" si="11"/>
        <v>95</v>
      </c>
      <c r="F275" s="14">
        <v>495860</v>
      </c>
      <c r="G275" s="67" t="s">
        <v>5604</v>
      </c>
      <c r="H275" s="14" t="s">
        <v>5601</v>
      </c>
      <c r="I275" s="14" t="s">
        <v>2458</v>
      </c>
      <c r="J275" s="33" t="e">
        <f>VLOOKUP(C275,شرکتها!A:B,2,FALSE)</f>
        <v>#N/A</v>
      </c>
      <c r="K275" s="68">
        <v>0</v>
      </c>
      <c r="L275" s="68">
        <v>0</v>
      </c>
      <c r="M275" s="68" t="s">
        <v>8915</v>
      </c>
      <c r="N275" s="68">
        <v>0</v>
      </c>
      <c r="O275" s="68">
        <v>0</v>
      </c>
      <c r="P275" s="198" t="s">
        <v>5613</v>
      </c>
    </row>
    <row r="276" spans="1:16" ht="18.75" hidden="1">
      <c r="A276" s="13" t="s">
        <v>2977</v>
      </c>
      <c r="B276" s="12" t="s">
        <v>3048</v>
      </c>
      <c r="C276" s="12" t="s">
        <v>3063</v>
      </c>
      <c r="D276" s="12" t="s">
        <v>2758</v>
      </c>
      <c r="E276" s="12" t="str">
        <f t="shared" si="11"/>
        <v>95</v>
      </c>
      <c r="F276" s="14">
        <v>398000</v>
      </c>
      <c r="G276" s="67" t="s">
        <v>5604</v>
      </c>
      <c r="H276" s="14" t="s">
        <v>5601</v>
      </c>
      <c r="I276" s="14" t="s">
        <v>2458</v>
      </c>
      <c r="J276" s="33" t="e">
        <f>VLOOKUP(C276,شرکتها!A:B,2,FALSE)</f>
        <v>#N/A</v>
      </c>
      <c r="K276" s="68">
        <v>0</v>
      </c>
      <c r="L276" s="68">
        <v>0</v>
      </c>
      <c r="M276" s="68" t="s">
        <v>8915</v>
      </c>
      <c r="N276" s="68">
        <v>0</v>
      </c>
      <c r="O276" s="68">
        <v>0</v>
      </c>
      <c r="P276" s="198" t="s">
        <v>5613</v>
      </c>
    </row>
    <row r="277" spans="1:16" ht="18.75" hidden="1">
      <c r="A277" s="13" t="s">
        <v>2978</v>
      </c>
      <c r="B277" s="12" t="s">
        <v>2860</v>
      </c>
      <c r="C277" s="12" t="s">
        <v>3068</v>
      </c>
      <c r="D277" s="12" t="s">
        <v>2868</v>
      </c>
      <c r="E277" s="12" t="str">
        <f t="shared" si="11"/>
        <v>95</v>
      </c>
      <c r="F277" s="14">
        <v>54440</v>
      </c>
      <c r="G277" s="67" t="s">
        <v>5604</v>
      </c>
      <c r="H277" s="14" t="s">
        <v>5601</v>
      </c>
      <c r="I277" s="14" t="s">
        <v>2458</v>
      </c>
      <c r="J277" s="33" t="s">
        <v>7110</v>
      </c>
      <c r="K277" s="68">
        <v>0</v>
      </c>
      <c r="L277" s="68">
        <v>0</v>
      </c>
      <c r="M277" s="68" t="s">
        <v>8915</v>
      </c>
      <c r="N277" s="68">
        <v>0</v>
      </c>
      <c r="O277" s="68">
        <v>0</v>
      </c>
      <c r="P277" s="198" t="s">
        <v>5613</v>
      </c>
    </row>
    <row r="278" spans="1:16" ht="18.75" hidden="1">
      <c r="A278" s="13" t="s">
        <v>2979</v>
      </c>
      <c r="B278" s="12" t="s">
        <v>2860</v>
      </c>
      <c r="C278" s="12" t="s">
        <v>3063</v>
      </c>
      <c r="D278" s="12" t="s">
        <v>2758</v>
      </c>
      <c r="E278" s="12" t="str">
        <f t="shared" si="11"/>
        <v>95</v>
      </c>
      <c r="F278" s="14">
        <v>998000</v>
      </c>
      <c r="G278" s="67" t="s">
        <v>5604</v>
      </c>
      <c r="H278" s="14" t="s">
        <v>5601</v>
      </c>
      <c r="I278" s="14" t="s">
        <v>2458</v>
      </c>
      <c r="J278" s="33" t="e">
        <f>VLOOKUP(C278,شرکتها!A:B,2,FALSE)</f>
        <v>#N/A</v>
      </c>
      <c r="K278" s="68">
        <v>0</v>
      </c>
      <c r="L278" s="68">
        <v>0</v>
      </c>
      <c r="M278" s="68" t="s">
        <v>8915</v>
      </c>
      <c r="N278" s="68">
        <v>0</v>
      </c>
      <c r="O278" s="68">
        <v>0</v>
      </c>
      <c r="P278" s="198" t="s">
        <v>5613</v>
      </c>
    </row>
    <row r="279" spans="1:16" ht="18.75" hidden="1">
      <c r="A279" s="13" t="s">
        <v>2980</v>
      </c>
      <c r="B279" s="12" t="s">
        <v>2860</v>
      </c>
      <c r="C279" s="12" t="s">
        <v>3109</v>
      </c>
      <c r="D279" s="12" t="s">
        <v>2861</v>
      </c>
      <c r="E279" s="12" t="str">
        <f t="shared" si="11"/>
        <v>95</v>
      </c>
      <c r="F279" s="14">
        <v>100700</v>
      </c>
      <c r="G279" s="67" t="s">
        <v>5604</v>
      </c>
      <c r="H279" s="14" t="s">
        <v>5601</v>
      </c>
      <c r="I279" s="14" t="s">
        <v>2458</v>
      </c>
      <c r="J279" s="33" t="s">
        <v>7110</v>
      </c>
      <c r="K279" s="68">
        <v>0</v>
      </c>
      <c r="L279" s="68">
        <v>0</v>
      </c>
      <c r="M279" s="68" t="s">
        <v>8915</v>
      </c>
      <c r="N279" s="68">
        <v>0</v>
      </c>
      <c r="O279" s="68">
        <v>0</v>
      </c>
      <c r="P279" s="198" t="s">
        <v>5613</v>
      </c>
    </row>
    <row r="280" spans="1:16" ht="18.75" hidden="1">
      <c r="A280" s="13" t="s">
        <v>2964</v>
      </c>
      <c r="B280" s="12" t="s">
        <v>2861</v>
      </c>
      <c r="C280" s="12" t="s">
        <v>3117</v>
      </c>
      <c r="D280" s="12" t="s">
        <v>2609</v>
      </c>
      <c r="E280" s="12" t="str">
        <f t="shared" si="11"/>
        <v>95</v>
      </c>
      <c r="F280" s="14">
        <v>417854</v>
      </c>
      <c r="G280" s="67" t="s">
        <v>5604</v>
      </c>
      <c r="H280" s="14" t="s">
        <v>5601</v>
      </c>
      <c r="I280" s="14" t="s">
        <v>2458</v>
      </c>
      <c r="J280" s="33" t="s">
        <v>7110</v>
      </c>
      <c r="K280" s="68">
        <v>0</v>
      </c>
      <c r="L280" s="68">
        <v>0</v>
      </c>
      <c r="M280" s="68" t="s">
        <v>8915</v>
      </c>
      <c r="N280" s="68">
        <v>0</v>
      </c>
      <c r="O280" s="68">
        <v>0</v>
      </c>
      <c r="P280" s="198" t="s">
        <v>5605</v>
      </c>
    </row>
    <row r="281" spans="1:16" ht="18.75" hidden="1">
      <c r="A281" s="13" t="s">
        <v>2981</v>
      </c>
      <c r="B281" s="12" t="s">
        <v>2854</v>
      </c>
      <c r="C281" s="12" t="s">
        <v>3117</v>
      </c>
      <c r="D281" s="12" t="s">
        <v>2609</v>
      </c>
      <c r="E281" s="12" t="str">
        <f t="shared" si="11"/>
        <v>95</v>
      </c>
      <c r="F281" s="14">
        <v>486676</v>
      </c>
      <c r="G281" s="67" t="s">
        <v>5604</v>
      </c>
      <c r="H281" s="14" t="s">
        <v>5601</v>
      </c>
      <c r="I281" s="14" t="s">
        <v>2458</v>
      </c>
      <c r="J281" s="33" t="s">
        <v>7110</v>
      </c>
      <c r="K281" s="68">
        <v>0</v>
      </c>
      <c r="L281" s="68">
        <v>0</v>
      </c>
      <c r="M281" s="68" t="s">
        <v>8915</v>
      </c>
      <c r="N281" s="68">
        <v>0</v>
      </c>
      <c r="O281" s="68">
        <v>0</v>
      </c>
      <c r="P281" s="198" t="s">
        <v>5605</v>
      </c>
    </row>
    <row r="282" spans="1:16" ht="18.75" hidden="1">
      <c r="A282" s="13" t="s">
        <v>2982</v>
      </c>
      <c r="B282" s="12" t="s">
        <v>2859</v>
      </c>
      <c r="C282" s="12" t="s">
        <v>2786</v>
      </c>
      <c r="D282" s="12" t="s">
        <v>2610</v>
      </c>
      <c r="E282" s="12" t="str">
        <f t="shared" si="11"/>
        <v>95</v>
      </c>
      <c r="F282" s="14">
        <v>93660</v>
      </c>
      <c r="G282" s="67" t="s">
        <v>5609</v>
      </c>
      <c r="H282" s="14" t="s">
        <v>5601</v>
      </c>
      <c r="I282" s="14" t="s">
        <v>2458</v>
      </c>
      <c r="J282" s="33" t="s">
        <v>7110</v>
      </c>
      <c r="K282" s="68">
        <v>0</v>
      </c>
      <c r="L282" s="68">
        <v>0</v>
      </c>
      <c r="M282" s="68" t="s">
        <v>8915</v>
      </c>
      <c r="N282" s="68">
        <v>0</v>
      </c>
      <c r="O282" s="68">
        <v>0</v>
      </c>
      <c r="P282" s="198" t="s">
        <v>5610</v>
      </c>
    </row>
    <row r="283" spans="1:16" ht="18.75" hidden="1">
      <c r="A283" s="13" t="s">
        <v>2982</v>
      </c>
      <c r="B283" s="12" t="s">
        <v>2859</v>
      </c>
      <c r="C283" s="12" t="s">
        <v>3118</v>
      </c>
      <c r="D283" s="12" t="s">
        <v>2612</v>
      </c>
      <c r="E283" s="12" t="str">
        <f t="shared" si="11"/>
        <v>95</v>
      </c>
      <c r="F283" s="14">
        <v>1912190</v>
      </c>
      <c r="G283" s="67" t="s">
        <v>5609</v>
      </c>
      <c r="H283" s="14" t="s">
        <v>5601</v>
      </c>
      <c r="I283" s="14" t="s">
        <v>2458</v>
      </c>
      <c r="J283" s="33" t="s">
        <v>7110</v>
      </c>
      <c r="K283" s="68">
        <v>0</v>
      </c>
      <c r="L283" s="68">
        <v>0</v>
      </c>
      <c r="M283" s="68" t="s">
        <v>8915</v>
      </c>
      <c r="N283" s="68">
        <v>0</v>
      </c>
      <c r="O283" s="68">
        <v>0</v>
      </c>
      <c r="P283" s="198" t="s">
        <v>5614</v>
      </c>
    </row>
    <row r="284" spans="1:16" ht="18.75" hidden="1">
      <c r="A284" s="13" t="s">
        <v>2965</v>
      </c>
      <c r="B284" s="12" t="s">
        <v>3051</v>
      </c>
      <c r="C284" s="12" t="s">
        <v>3119</v>
      </c>
      <c r="D284" s="12" t="s">
        <v>2853</v>
      </c>
      <c r="E284" s="12" t="str">
        <f t="shared" si="11"/>
        <v>95</v>
      </c>
      <c r="F284" s="14">
        <v>500000</v>
      </c>
      <c r="G284" s="67" t="s">
        <v>5604</v>
      </c>
      <c r="H284" s="14" t="s">
        <v>5601</v>
      </c>
      <c r="I284" s="14" t="s">
        <v>2458</v>
      </c>
      <c r="J284" s="33" t="s">
        <v>7110</v>
      </c>
      <c r="K284" s="68">
        <v>0</v>
      </c>
      <c r="L284" s="68">
        <v>0</v>
      </c>
      <c r="M284" s="68" t="s">
        <v>8915</v>
      </c>
      <c r="N284" s="68">
        <v>0</v>
      </c>
      <c r="O284" s="68">
        <v>0</v>
      </c>
      <c r="P284" s="198" t="s">
        <v>5618</v>
      </c>
    </row>
    <row r="285" spans="1:16" ht="18.75" hidden="1">
      <c r="A285" s="13" t="s">
        <v>2965</v>
      </c>
      <c r="B285" s="12" t="s">
        <v>3051</v>
      </c>
      <c r="C285" s="12" t="s">
        <v>3117</v>
      </c>
      <c r="D285" s="12" t="s">
        <v>2609</v>
      </c>
      <c r="E285" s="12" t="str">
        <f t="shared" si="11"/>
        <v>95</v>
      </c>
      <c r="F285" s="14">
        <v>187653</v>
      </c>
      <c r="G285" s="67" t="s">
        <v>5604</v>
      </c>
      <c r="H285" s="14" t="s">
        <v>5601</v>
      </c>
      <c r="I285" s="14" t="s">
        <v>2458</v>
      </c>
      <c r="J285" s="33" t="s">
        <v>7110</v>
      </c>
      <c r="K285" s="68">
        <v>0</v>
      </c>
      <c r="L285" s="68">
        <v>0</v>
      </c>
      <c r="M285" s="68" t="s">
        <v>8915</v>
      </c>
      <c r="N285" s="68">
        <v>0</v>
      </c>
      <c r="O285" s="68">
        <v>0</v>
      </c>
      <c r="P285" s="198" t="s">
        <v>5605</v>
      </c>
    </row>
    <row r="286" spans="1:16" ht="18.75" hidden="1">
      <c r="A286" s="13" t="s">
        <v>2983</v>
      </c>
      <c r="B286" s="12" t="s">
        <v>2857</v>
      </c>
      <c r="C286" s="12" t="s">
        <v>3117</v>
      </c>
      <c r="D286" s="12" t="s">
        <v>2609</v>
      </c>
      <c r="E286" s="12" t="str">
        <f t="shared" si="11"/>
        <v>95</v>
      </c>
      <c r="F286" s="14">
        <v>487950</v>
      </c>
      <c r="G286" s="67" t="s">
        <v>5604</v>
      </c>
      <c r="H286" s="14" t="s">
        <v>5601</v>
      </c>
      <c r="I286" s="14" t="s">
        <v>2458</v>
      </c>
      <c r="J286" s="33" t="s">
        <v>7110</v>
      </c>
      <c r="K286" s="68">
        <v>0</v>
      </c>
      <c r="L286" s="68">
        <v>0</v>
      </c>
      <c r="M286" s="68" t="s">
        <v>8915</v>
      </c>
      <c r="N286" s="68">
        <v>0</v>
      </c>
      <c r="O286" s="68">
        <v>0</v>
      </c>
      <c r="P286" s="198" t="s">
        <v>5605</v>
      </c>
    </row>
    <row r="287" spans="1:16" ht="18.75" hidden="1">
      <c r="A287" s="13" t="s">
        <v>2984</v>
      </c>
      <c r="B287" s="12" t="s">
        <v>2860</v>
      </c>
      <c r="C287" s="12" t="s">
        <v>3117</v>
      </c>
      <c r="D287" s="12" t="s">
        <v>2609</v>
      </c>
      <c r="E287" s="12" t="str">
        <f t="shared" si="11"/>
        <v>95</v>
      </c>
      <c r="F287" s="14">
        <v>486687</v>
      </c>
      <c r="G287" s="67" t="s">
        <v>5604</v>
      </c>
      <c r="H287" s="14" t="s">
        <v>5601</v>
      </c>
      <c r="I287" s="14" t="s">
        <v>2458</v>
      </c>
      <c r="J287" s="33" t="s">
        <v>7110</v>
      </c>
      <c r="K287" s="68">
        <v>0</v>
      </c>
      <c r="L287" s="68">
        <v>0</v>
      </c>
      <c r="M287" s="68" t="s">
        <v>8915</v>
      </c>
      <c r="N287" s="68">
        <v>0</v>
      </c>
      <c r="O287" s="68">
        <v>0</v>
      </c>
      <c r="P287" s="198" t="s">
        <v>5605</v>
      </c>
    </row>
    <row r="288" spans="1:16" ht="18.75" hidden="1">
      <c r="A288" s="13" t="s">
        <v>2985</v>
      </c>
      <c r="B288" s="12" t="s">
        <v>3041</v>
      </c>
      <c r="C288" s="12" t="s">
        <v>3121</v>
      </c>
      <c r="D288" s="12" t="s">
        <v>3047</v>
      </c>
      <c r="E288" s="12" t="str">
        <f t="shared" si="11"/>
        <v>95</v>
      </c>
      <c r="F288" s="14">
        <v>601940</v>
      </c>
      <c r="G288" s="67" t="s">
        <v>5616</v>
      </c>
      <c r="H288" s="14" t="s">
        <v>5601</v>
      </c>
      <c r="I288" s="14" t="s">
        <v>2458</v>
      </c>
      <c r="J288" s="33" t="s">
        <v>7110</v>
      </c>
      <c r="K288" s="68">
        <v>0</v>
      </c>
      <c r="L288" s="68">
        <v>0</v>
      </c>
      <c r="M288" s="68" t="s">
        <v>8915</v>
      </c>
      <c r="N288" s="68">
        <v>0</v>
      </c>
      <c r="O288" s="68">
        <v>0</v>
      </c>
      <c r="P288" s="198" t="s">
        <v>5617</v>
      </c>
    </row>
    <row r="289" spans="1:16" ht="18.75" hidden="1">
      <c r="A289" s="13" t="s">
        <v>2951</v>
      </c>
      <c r="B289" s="12" t="s">
        <v>2855</v>
      </c>
      <c r="C289" s="12" t="s">
        <v>3067</v>
      </c>
      <c r="D289" s="12" t="s">
        <v>2751</v>
      </c>
      <c r="E289" s="12" t="str">
        <f t="shared" si="11"/>
        <v>95</v>
      </c>
      <c r="F289" s="14">
        <v>1329214</v>
      </c>
      <c r="G289" s="67" t="s">
        <v>5607</v>
      </c>
      <c r="H289" s="14" t="s">
        <v>5601</v>
      </c>
      <c r="I289" s="14" t="s">
        <v>2458</v>
      </c>
      <c r="J289" s="33" t="s">
        <v>7110</v>
      </c>
      <c r="K289" s="68">
        <v>0</v>
      </c>
      <c r="L289" s="68">
        <v>0</v>
      </c>
      <c r="M289" s="68" t="s">
        <v>8915</v>
      </c>
      <c r="N289" s="68">
        <v>0</v>
      </c>
      <c r="O289" s="68">
        <v>0</v>
      </c>
      <c r="P289" s="198" t="s">
        <v>5608</v>
      </c>
    </row>
    <row r="290" spans="1:16" ht="18.75" hidden="1">
      <c r="A290" s="13" t="s">
        <v>2986</v>
      </c>
      <c r="B290" s="12" t="s">
        <v>2851</v>
      </c>
      <c r="C290" s="12" t="s">
        <v>2801</v>
      </c>
      <c r="D290" s="12" t="s">
        <v>2617</v>
      </c>
      <c r="E290" s="12" t="str">
        <f t="shared" si="11"/>
        <v>95</v>
      </c>
      <c r="F290" s="14">
        <v>55108</v>
      </c>
      <c r="G290" s="67" t="s">
        <v>5611</v>
      </c>
      <c r="H290" s="14" t="s">
        <v>5601</v>
      </c>
      <c r="I290" s="14" t="s">
        <v>2458</v>
      </c>
      <c r="J290" s="33" t="s">
        <v>7110</v>
      </c>
      <c r="K290" s="68">
        <v>0</v>
      </c>
      <c r="L290" s="68">
        <v>0</v>
      </c>
      <c r="M290" s="68" t="s">
        <v>8915</v>
      </c>
      <c r="N290" s="68">
        <v>0</v>
      </c>
      <c r="O290" s="68">
        <v>0</v>
      </c>
      <c r="P290" s="198" t="s">
        <v>5612</v>
      </c>
    </row>
    <row r="291" spans="1:16" ht="18.75" hidden="1">
      <c r="A291" s="13" t="s">
        <v>2986</v>
      </c>
      <c r="B291" s="12" t="s">
        <v>2851</v>
      </c>
      <c r="C291" s="12" t="s">
        <v>3075</v>
      </c>
      <c r="D291" s="12" t="s">
        <v>2616</v>
      </c>
      <c r="E291" s="12" t="str">
        <f t="shared" si="11"/>
        <v>95</v>
      </c>
      <c r="F291" s="14">
        <v>163742</v>
      </c>
      <c r="G291" s="67" t="s">
        <v>5609</v>
      </c>
      <c r="H291" s="14" t="s">
        <v>5601</v>
      </c>
      <c r="I291" s="14" t="s">
        <v>2458</v>
      </c>
      <c r="J291" s="33" t="s">
        <v>7110</v>
      </c>
      <c r="K291" s="68">
        <v>0</v>
      </c>
      <c r="L291" s="68">
        <v>0</v>
      </c>
      <c r="M291" s="68" t="s">
        <v>8915</v>
      </c>
      <c r="N291" s="68">
        <v>0</v>
      </c>
      <c r="O291" s="68">
        <v>0</v>
      </c>
      <c r="P291" s="198" t="s">
        <v>5610</v>
      </c>
    </row>
    <row r="292" spans="1:16" ht="18.75" hidden="1">
      <c r="A292" s="13" t="s">
        <v>2969</v>
      </c>
      <c r="B292" s="12" t="s">
        <v>3044</v>
      </c>
      <c r="C292" s="12" t="s">
        <v>3094</v>
      </c>
      <c r="D292" s="12" t="s">
        <v>2756</v>
      </c>
      <c r="E292" s="12" t="str">
        <f t="shared" si="11"/>
        <v>95</v>
      </c>
      <c r="F292" s="14">
        <v>1000180</v>
      </c>
      <c r="G292" s="67" t="s">
        <v>5607</v>
      </c>
      <c r="H292" s="14" t="s">
        <v>5601</v>
      </c>
      <c r="I292" s="14" t="s">
        <v>2458</v>
      </c>
      <c r="J292" s="33" t="s">
        <v>7110</v>
      </c>
      <c r="K292" s="68">
        <v>0</v>
      </c>
      <c r="L292" s="68">
        <v>0</v>
      </c>
      <c r="M292" s="68" t="s">
        <v>8915</v>
      </c>
      <c r="N292" s="68">
        <v>0</v>
      </c>
      <c r="O292" s="68">
        <v>0</v>
      </c>
      <c r="P292" s="198" t="s">
        <v>5608</v>
      </c>
    </row>
    <row r="293" spans="1:16" ht="18.75" hidden="1">
      <c r="A293" s="13" t="s">
        <v>2967</v>
      </c>
      <c r="B293" s="12" t="s">
        <v>2868</v>
      </c>
      <c r="C293" s="12" t="s">
        <v>2781</v>
      </c>
      <c r="D293" s="12" t="s">
        <v>2754</v>
      </c>
      <c r="E293" s="12" t="str">
        <f t="shared" si="11"/>
        <v>95</v>
      </c>
      <c r="F293" s="14">
        <v>43560</v>
      </c>
      <c r="G293" s="67" t="s">
        <v>5607</v>
      </c>
      <c r="H293" s="14" t="s">
        <v>5601</v>
      </c>
      <c r="I293" s="14" t="s">
        <v>2458</v>
      </c>
      <c r="J293" s="33" t="s">
        <v>7110</v>
      </c>
      <c r="K293" s="68">
        <v>0</v>
      </c>
      <c r="L293" s="68">
        <v>0</v>
      </c>
      <c r="M293" s="68" t="s">
        <v>8915</v>
      </c>
      <c r="N293" s="68">
        <v>0</v>
      </c>
      <c r="O293" s="68">
        <v>0</v>
      </c>
      <c r="P293" s="198" t="s">
        <v>5608</v>
      </c>
    </row>
    <row r="294" spans="1:16" ht="18.75" hidden="1">
      <c r="A294" s="13" t="s">
        <v>2962</v>
      </c>
      <c r="B294" s="12" t="s">
        <v>2862</v>
      </c>
      <c r="C294" s="12" t="s">
        <v>3122</v>
      </c>
      <c r="D294" s="12" t="s">
        <v>2611</v>
      </c>
      <c r="E294" s="12" t="str">
        <f t="shared" si="11"/>
        <v>95</v>
      </c>
      <c r="F294" s="14">
        <v>973580</v>
      </c>
      <c r="G294" s="67" t="s">
        <v>5604</v>
      </c>
      <c r="H294" s="14" t="s">
        <v>5601</v>
      </c>
      <c r="I294" s="14" t="s">
        <v>2458</v>
      </c>
      <c r="J294" s="33" t="s">
        <v>7110</v>
      </c>
      <c r="K294" s="68">
        <v>0</v>
      </c>
      <c r="L294" s="68">
        <v>0</v>
      </c>
      <c r="M294" s="68" t="s">
        <v>8915</v>
      </c>
      <c r="N294" s="68">
        <v>0</v>
      </c>
      <c r="O294" s="68">
        <v>0</v>
      </c>
      <c r="P294" s="198" t="s">
        <v>5605</v>
      </c>
    </row>
    <row r="295" spans="1:16" ht="18.75" hidden="1">
      <c r="A295" s="13" t="s">
        <v>2987</v>
      </c>
      <c r="B295" s="12" t="s">
        <v>2858</v>
      </c>
      <c r="C295" s="12" t="s">
        <v>3084</v>
      </c>
      <c r="D295" s="12" t="s">
        <v>2862</v>
      </c>
      <c r="E295" s="12" t="str">
        <f t="shared" si="11"/>
        <v>95</v>
      </c>
      <c r="F295" s="14">
        <v>997000</v>
      </c>
      <c r="G295" s="67" t="s">
        <v>5616</v>
      </c>
      <c r="H295" s="14" t="s">
        <v>5601</v>
      </c>
      <c r="I295" s="14" t="s">
        <v>2458</v>
      </c>
      <c r="J295" s="33" t="s">
        <v>7110</v>
      </c>
      <c r="K295" s="68">
        <v>0</v>
      </c>
      <c r="L295" s="68">
        <v>0</v>
      </c>
      <c r="M295" s="68" t="s">
        <v>8915</v>
      </c>
      <c r="N295" s="68">
        <v>0</v>
      </c>
      <c r="O295" s="68">
        <v>0</v>
      </c>
      <c r="P295" s="198" t="s">
        <v>5617</v>
      </c>
    </row>
    <row r="296" spans="1:16" ht="18.75" hidden="1">
      <c r="A296" s="13" t="s">
        <v>2988</v>
      </c>
      <c r="B296" s="12" t="s">
        <v>2856</v>
      </c>
      <c r="C296" s="12" t="s">
        <v>3123</v>
      </c>
      <c r="D296" s="12" t="s">
        <v>2752</v>
      </c>
      <c r="E296" s="12" t="str">
        <f t="shared" si="11"/>
        <v>95</v>
      </c>
      <c r="F296" s="14">
        <v>998520</v>
      </c>
      <c r="G296" s="67" t="s">
        <v>5607</v>
      </c>
      <c r="H296" s="14" t="s">
        <v>5601</v>
      </c>
      <c r="I296" s="14" t="s">
        <v>2458</v>
      </c>
      <c r="J296" s="33" t="s">
        <v>7110</v>
      </c>
      <c r="K296" s="68">
        <v>0</v>
      </c>
      <c r="L296" s="68">
        <v>0</v>
      </c>
      <c r="M296" s="68" t="s">
        <v>8915</v>
      </c>
      <c r="N296" s="68">
        <v>0</v>
      </c>
      <c r="O296" s="68">
        <v>0</v>
      </c>
      <c r="P296" s="198" t="s">
        <v>5608</v>
      </c>
    </row>
    <row r="297" spans="1:16" ht="18.75" hidden="1">
      <c r="A297" s="13" t="s">
        <v>2989</v>
      </c>
      <c r="B297" s="12" t="s">
        <v>2859</v>
      </c>
      <c r="C297" s="12" t="s">
        <v>3124</v>
      </c>
      <c r="D297" s="12" t="s">
        <v>2752</v>
      </c>
      <c r="E297" s="12" t="str">
        <f t="shared" si="11"/>
        <v>95</v>
      </c>
      <c r="F297" s="14">
        <v>7830</v>
      </c>
      <c r="G297" s="67" t="s">
        <v>5607</v>
      </c>
      <c r="H297" s="14" t="s">
        <v>5601</v>
      </c>
      <c r="I297" s="14" t="s">
        <v>2458</v>
      </c>
      <c r="J297" s="33" t="s">
        <v>7110</v>
      </c>
      <c r="K297" s="68">
        <v>0</v>
      </c>
      <c r="L297" s="68">
        <v>0</v>
      </c>
      <c r="M297" s="68" t="s">
        <v>8915</v>
      </c>
      <c r="N297" s="68">
        <v>0</v>
      </c>
      <c r="O297" s="68">
        <v>0</v>
      </c>
      <c r="P297" s="198" t="s">
        <v>5608</v>
      </c>
    </row>
    <row r="298" spans="1:16" ht="18.75" hidden="1">
      <c r="A298" s="13" t="s">
        <v>2990</v>
      </c>
      <c r="B298" s="12" t="s">
        <v>2869</v>
      </c>
      <c r="C298" s="12" t="s">
        <v>3101</v>
      </c>
      <c r="D298" s="12" t="s">
        <v>2754</v>
      </c>
      <c r="E298" s="12" t="str">
        <f t="shared" si="11"/>
        <v>95</v>
      </c>
      <c r="F298" s="14">
        <v>498300</v>
      </c>
      <c r="G298" s="67" t="s">
        <v>5616</v>
      </c>
      <c r="H298" s="14" t="s">
        <v>5601</v>
      </c>
      <c r="I298" s="14" t="s">
        <v>2458</v>
      </c>
      <c r="J298" s="33" t="s">
        <v>7110</v>
      </c>
      <c r="K298" s="68">
        <v>0</v>
      </c>
      <c r="L298" s="68">
        <v>0</v>
      </c>
      <c r="M298" s="68" t="s">
        <v>8915</v>
      </c>
      <c r="N298" s="68">
        <v>0</v>
      </c>
      <c r="O298" s="68">
        <v>0</v>
      </c>
      <c r="P298" s="198" t="s">
        <v>5617</v>
      </c>
    </row>
    <row r="299" spans="1:16" ht="18.75" hidden="1">
      <c r="A299" s="13" t="s">
        <v>2991</v>
      </c>
      <c r="B299" s="12" t="s">
        <v>2857</v>
      </c>
      <c r="C299" s="12" t="s">
        <v>3124</v>
      </c>
      <c r="D299" s="12" t="s">
        <v>2752</v>
      </c>
      <c r="E299" s="12" t="str">
        <f t="shared" si="11"/>
        <v>95</v>
      </c>
      <c r="F299" s="14">
        <v>27468</v>
      </c>
      <c r="G299" s="67" t="s">
        <v>5607</v>
      </c>
      <c r="H299" s="14" t="s">
        <v>5601</v>
      </c>
      <c r="I299" s="14" t="s">
        <v>2458</v>
      </c>
      <c r="J299" s="33" t="s">
        <v>7110</v>
      </c>
      <c r="K299" s="68">
        <v>0</v>
      </c>
      <c r="L299" s="68">
        <v>0</v>
      </c>
      <c r="M299" s="68" t="s">
        <v>8915</v>
      </c>
      <c r="N299" s="68">
        <v>0</v>
      </c>
      <c r="O299" s="68">
        <v>0</v>
      </c>
      <c r="P299" s="198" t="s">
        <v>5608</v>
      </c>
    </row>
    <row r="300" spans="1:16" ht="18.75" hidden="1">
      <c r="A300" s="13" t="s">
        <v>2992</v>
      </c>
      <c r="B300" s="12" t="s">
        <v>2856</v>
      </c>
      <c r="C300" s="12" t="s">
        <v>3113</v>
      </c>
      <c r="D300" s="12" t="s">
        <v>2752</v>
      </c>
      <c r="E300" s="12" t="str">
        <f t="shared" si="11"/>
        <v>95</v>
      </c>
      <c r="F300" s="14">
        <v>100860</v>
      </c>
      <c r="G300" s="67" t="s">
        <v>5607</v>
      </c>
      <c r="H300" s="14" t="s">
        <v>5601</v>
      </c>
      <c r="I300" s="14" t="s">
        <v>2458</v>
      </c>
      <c r="J300" s="33" t="s">
        <v>7110</v>
      </c>
      <c r="K300" s="68">
        <v>0</v>
      </c>
      <c r="L300" s="68">
        <v>0</v>
      </c>
      <c r="M300" s="68" t="s">
        <v>8915</v>
      </c>
      <c r="N300" s="68">
        <v>0</v>
      </c>
      <c r="O300" s="68">
        <v>0</v>
      </c>
      <c r="P300" s="198" t="s">
        <v>5608</v>
      </c>
    </row>
    <row r="301" spans="1:16" ht="18.75" hidden="1">
      <c r="A301" s="13" t="s">
        <v>2991</v>
      </c>
      <c r="B301" s="12" t="s">
        <v>2857</v>
      </c>
      <c r="C301" s="12" t="s">
        <v>3125</v>
      </c>
      <c r="D301" s="12" t="s">
        <v>2752</v>
      </c>
      <c r="E301" s="12" t="str">
        <f t="shared" si="11"/>
        <v>95</v>
      </c>
      <c r="F301" s="14">
        <v>19785</v>
      </c>
      <c r="G301" s="67" t="s">
        <v>5607</v>
      </c>
      <c r="H301" s="14" t="s">
        <v>5601</v>
      </c>
      <c r="I301" s="14" t="s">
        <v>2458</v>
      </c>
      <c r="J301" s="33" t="s">
        <v>7110</v>
      </c>
      <c r="K301" s="68">
        <v>0</v>
      </c>
      <c r="L301" s="68">
        <v>0</v>
      </c>
      <c r="M301" s="68" t="s">
        <v>8915</v>
      </c>
      <c r="N301" s="68">
        <v>0</v>
      </c>
      <c r="O301" s="68">
        <v>0</v>
      </c>
      <c r="P301" s="198" t="s">
        <v>5608</v>
      </c>
    </row>
    <row r="302" spans="1:16" ht="18.75" hidden="1">
      <c r="A302" s="13" t="s">
        <v>2991</v>
      </c>
      <c r="B302" s="12" t="s">
        <v>2857</v>
      </c>
      <c r="C302" s="12" t="s">
        <v>3094</v>
      </c>
      <c r="D302" s="12" t="s">
        <v>2756</v>
      </c>
      <c r="E302" s="12" t="str">
        <f t="shared" si="11"/>
        <v>95</v>
      </c>
      <c r="F302" s="14">
        <v>155697</v>
      </c>
      <c r="G302" s="67" t="s">
        <v>5607</v>
      </c>
      <c r="H302" s="14" t="s">
        <v>5601</v>
      </c>
      <c r="I302" s="14" t="s">
        <v>2458</v>
      </c>
      <c r="J302" s="33" t="s">
        <v>7110</v>
      </c>
      <c r="K302" s="68">
        <v>0</v>
      </c>
      <c r="L302" s="68">
        <v>0</v>
      </c>
      <c r="M302" s="68" t="s">
        <v>8915</v>
      </c>
      <c r="N302" s="68">
        <v>0</v>
      </c>
      <c r="O302" s="68">
        <v>0</v>
      </c>
      <c r="P302" s="198" t="s">
        <v>5608</v>
      </c>
    </row>
    <row r="303" spans="1:16" ht="18.75" hidden="1">
      <c r="A303" s="13" t="s">
        <v>2931</v>
      </c>
      <c r="B303" s="12" t="s">
        <v>2867</v>
      </c>
      <c r="C303" s="12" t="s">
        <v>2807</v>
      </c>
      <c r="D303" s="12" t="s">
        <v>2751</v>
      </c>
      <c r="E303" s="12" t="str">
        <f t="shared" si="11"/>
        <v>95</v>
      </c>
      <c r="F303" s="14">
        <v>1300</v>
      </c>
      <c r="G303" s="67" t="s">
        <v>5607</v>
      </c>
      <c r="H303" s="14" t="s">
        <v>5601</v>
      </c>
      <c r="I303" s="14" t="s">
        <v>2458</v>
      </c>
      <c r="J303" s="33" t="s">
        <v>7110</v>
      </c>
      <c r="K303" s="68">
        <v>0</v>
      </c>
      <c r="L303" s="68">
        <v>0</v>
      </c>
      <c r="M303" s="68" t="s">
        <v>8915</v>
      </c>
      <c r="N303" s="68">
        <v>0</v>
      </c>
      <c r="O303" s="68">
        <v>0</v>
      </c>
      <c r="P303" s="198" t="s">
        <v>5608</v>
      </c>
    </row>
    <row r="304" spans="1:16" ht="18.75" hidden="1">
      <c r="A304" s="13" t="s">
        <v>2993</v>
      </c>
      <c r="B304" s="12" t="s">
        <v>3048</v>
      </c>
      <c r="C304" s="12" t="s">
        <v>3126</v>
      </c>
      <c r="D304" s="12" t="s">
        <v>3048</v>
      </c>
      <c r="E304" s="12" t="str">
        <f t="shared" si="11"/>
        <v>95</v>
      </c>
      <c r="F304" s="14">
        <v>2845231</v>
      </c>
      <c r="G304" s="67" t="s">
        <v>5604</v>
      </c>
      <c r="H304" s="14" t="s">
        <v>5601</v>
      </c>
      <c r="I304" s="14" t="s">
        <v>2458</v>
      </c>
      <c r="J304" s="33" t="s">
        <v>7110</v>
      </c>
      <c r="K304" s="68">
        <v>0</v>
      </c>
      <c r="L304" s="68">
        <v>0</v>
      </c>
      <c r="M304" s="68" t="s">
        <v>8915</v>
      </c>
      <c r="N304" s="68">
        <v>0</v>
      </c>
      <c r="O304" s="68">
        <v>0</v>
      </c>
      <c r="P304" s="198" t="s">
        <v>5615</v>
      </c>
    </row>
    <row r="305" spans="1:16" ht="18.75" hidden="1">
      <c r="A305" s="13" t="s">
        <v>2994</v>
      </c>
      <c r="B305" s="12" t="s">
        <v>2861</v>
      </c>
      <c r="C305" s="12" t="s">
        <v>2804</v>
      </c>
      <c r="D305" s="12" t="s">
        <v>2611</v>
      </c>
      <c r="E305" s="12" t="str">
        <f t="shared" si="11"/>
        <v>95</v>
      </c>
      <c r="F305" s="14">
        <v>447730</v>
      </c>
      <c r="G305" s="67" t="s">
        <v>5604</v>
      </c>
      <c r="H305" s="14" t="s">
        <v>5601</v>
      </c>
      <c r="I305" s="14" t="s">
        <v>2458</v>
      </c>
      <c r="J305" s="33" t="s">
        <v>7110</v>
      </c>
      <c r="K305" s="68">
        <v>0</v>
      </c>
      <c r="L305" s="68">
        <v>0</v>
      </c>
      <c r="M305" s="68" t="s">
        <v>8915</v>
      </c>
      <c r="N305" s="68">
        <v>0</v>
      </c>
      <c r="O305" s="68">
        <v>0</v>
      </c>
      <c r="P305" s="198" t="s">
        <v>5605</v>
      </c>
    </row>
    <row r="306" spans="1:16" ht="18.75" hidden="1">
      <c r="A306" s="13" t="s">
        <v>2995</v>
      </c>
      <c r="B306" s="12" t="s">
        <v>2862</v>
      </c>
      <c r="C306" s="12" t="s">
        <v>3075</v>
      </c>
      <c r="D306" s="12" t="s">
        <v>2616</v>
      </c>
      <c r="E306" s="12" t="str">
        <f t="shared" si="11"/>
        <v>95</v>
      </c>
      <c r="F306" s="14">
        <v>240240</v>
      </c>
      <c r="G306" s="67" t="s">
        <v>5609</v>
      </c>
      <c r="H306" s="14" t="s">
        <v>5601</v>
      </c>
      <c r="I306" s="14" t="s">
        <v>2458</v>
      </c>
      <c r="J306" s="33" t="s">
        <v>7110</v>
      </c>
      <c r="K306" s="68">
        <v>0</v>
      </c>
      <c r="L306" s="68">
        <v>0</v>
      </c>
      <c r="M306" s="68" t="s">
        <v>8915</v>
      </c>
      <c r="N306" s="68">
        <v>0</v>
      </c>
      <c r="O306" s="68">
        <v>0</v>
      </c>
      <c r="P306" s="198" t="s">
        <v>5610</v>
      </c>
    </row>
    <row r="307" spans="1:16" ht="18.75" hidden="1">
      <c r="A307" s="13" t="s">
        <v>2996</v>
      </c>
      <c r="B307" s="12" t="s">
        <v>2864</v>
      </c>
      <c r="C307" s="12" t="s">
        <v>2801</v>
      </c>
      <c r="D307" s="12" t="s">
        <v>2617</v>
      </c>
      <c r="E307" s="12" t="str">
        <f t="shared" si="11"/>
        <v>95</v>
      </c>
      <c r="F307" s="14">
        <v>37932</v>
      </c>
      <c r="G307" s="67" t="s">
        <v>5611</v>
      </c>
      <c r="H307" s="14" t="s">
        <v>5601</v>
      </c>
      <c r="I307" s="14" t="s">
        <v>2458</v>
      </c>
      <c r="J307" s="33" t="s">
        <v>7110</v>
      </c>
      <c r="K307" s="68">
        <v>0</v>
      </c>
      <c r="L307" s="68">
        <v>0</v>
      </c>
      <c r="M307" s="68" t="s">
        <v>8915</v>
      </c>
      <c r="N307" s="68">
        <v>0</v>
      </c>
      <c r="O307" s="68">
        <v>0</v>
      </c>
      <c r="P307" s="198" t="s">
        <v>5612</v>
      </c>
    </row>
    <row r="308" spans="1:16" ht="18.75" hidden="1">
      <c r="A308" s="13" t="s">
        <v>2997</v>
      </c>
      <c r="B308" s="12" t="s">
        <v>2860</v>
      </c>
      <c r="C308" s="12" t="s">
        <v>3127</v>
      </c>
      <c r="D308" s="12" t="s">
        <v>2757</v>
      </c>
      <c r="E308" s="12" t="str">
        <f t="shared" si="11"/>
        <v>95</v>
      </c>
      <c r="F308" s="14">
        <v>990090</v>
      </c>
      <c r="G308" s="67" t="s">
        <v>5604</v>
      </c>
      <c r="H308" s="14" t="s">
        <v>5601</v>
      </c>
      <c r="I308" s="14" t="s">
        <v>2458</v>
      </c>
      <c r="J308" s="33" t="s">
        <v>7110</v>
      </c>
      <c r="K308" s="68">
        <v>0</v>
      </c>
      <c r="L308" s="68">
        <v>0</v>
      </c>
      <c r="M308" s="68" t="s">
        <v>8915</v>
      </c>
      <c r="N308" s="68">
        <v>0</v>
      </c>
      <c r="O308" s="68">
        <v>0</v>
      </c>
      <c r="P308" s="198" t="s">
        <v>5613</v>
      </c>
    </row>
    <row r="309" spans="1:16" ht="18.75" hidden="1">
      <c r="A309" s="13" t="s">
        <v>2957</v>
      </c>
      <c r="B309" s="12" t="s">
        <v>2869</v>
      </c>
      <c r="C309" s="12" t="s">
        <v>3128</v>
      </c>
      <c r="D309" s="12" t="s">
        <v>2751</v>
      </c>
      <c r="E309" s="12" t="str">
        <f t="shared" si="11"/>
        <v>95</v>
      </c>
      <c r="F309" s="14">
        <v>126255</v>
      </c>
      <c r="G309" s="67" t="s">
        <v>5607</v>
      </c>
      <c r="H309" s="14" t="s">
        <v>5601</v>
      </c>
      <c r="I309" s="14" t="s">
        <v>2458</v>
      </c>
      <c r="J309" s="33" t="s">
        <v>7110</v>
      </c>
      <c r="K309" s="68">
        <v>0</v>
      </c>
      <c r="L309" s="68">
        <v>0</v>
      </c>
      <c r="M309" s="68" t="s">
        <v>8915</v>
      </c>
      <c r="N309" s="68">
        <v>0</v>
      </c>
      <c r="O309" s="68">
        <v>0</v>
      </c>
      <c r="P309" s="198" t="s">
        <v>5608</v>
      </c>
    </row>
    <row r="310" spans="1:16" ht="18.75" hidden="1">
      <c r="A310" s="13" t="s">
        <v>2953</v>
      </c>
      <c r="B310" s="12" t="s">
        <v>2870</v>
      </c>
      <c r="C310" s="12" t="s">
        <v>3128</v>
      </c>
      <c r="D310" s="12" t="s">
        <v>2751</v>
      </c>
      <c r="E310" s="12" t="str">
        <f t="shared" si="11"/>
        <v>95</v>
      </c>
      <c r="F310" s="14">
        <v>374660</v>
      </c>
      <c r="G310" s="67" t="s">
        <v>5607</v>
      </c>
      <c r="H310" s="14" t="s">
        <v>5601</v>
      </c>
      <c r="I310" s="14" t="s">
        <v>2458</v>
      </c>
      <c r="J310" s="33" t="s">
        <v>7110</v>
      </c>
      <c r="K310" s="68">
        <v>0</v>
      </c>
      <c r="L310" s="68">
        <v>0</v>
      </c>
      <c r="M310" s="68" t="s">
        <v>8915</v>
      </c>
      <c r="N310" s="68">
        <v>0</v>
      </c>
      <c r="O310" s="68">
        <v>0</v>
      </c>
      <c r="P310" s="198" t="s">
        <v>5608</v>
      </c>
    </row>
    <row r="311" spans="1:16" ht="18.75" hidden="1">
      <c r="A311" s="13" t="s">
        <v>2998</v>
      </c>
      <c r="B311" s="12" t="s">
        <v>2857</v>
      </c>
      <c r="C311" s="12" t="s">
        <v>3090</v>
      </c>
      <c r="D311" s="12" t="s">
        <v>2752</v>
      </c>
      <c r="E311" s="12" t="str">
        <f t="shared" si="11"/>
        <v>95</v>
      </c>
      <c r="F311" s="14">
        <v>300670</v>
      </c>
      <c r="G311" s="67" t="s">
        <v>5607</v>
      </c>
      <c r="H311" s="14" t="s">
        <v>5601</v>
      </c>
      <c r="I311" s="14" t="s">
        <v>2458</v>
      </c>
      <c r="J311" s="33" t="s">
        <v>7110</v>
      </c>
      <c r="K311" s="68">
        <v>0</v>
      </c>
      <c r="L311" s="68">
        <v>0</v>
      </c>
      <c r="M311" s="68" t="s">
        <v>8915</v>
      </c>
      <c r="N311" s="68">
        <v>0</v>
      </c>
      <c r="O311" s="68">
        <v>0</v>
      </c>
      <c r="P311" s="198" t="s">
        <v>5608</v>
      </c>
    </row>
    <row r="312" spans="1:16" ht="18.75" hidden="1">
      <c r="A312" s="13" t="s">
        <v>2999</v>
      </c>
      <c r="B312" s="12" t="s">
        <v>2856</v>
      </c>
      <c r="C312" s="12" t="s">
        <v>3113</v>
      </c>
      <c r="D312" s="12" t="s">
        <v>2752</v>
      </c>
      <c r="E312" s="12" t="str">
        <f t="shared" si="11"/>
        <v>95</v>
      </c>
      <c r="F312" s="14">
        <v>496590</v>
      </c>
      <c r="G312" s="67" t="s">
        <v>5607</v>
      </c>
      <c r="H312" s="14" t="s">
        <v>5601</v>
      </c>
      <c r="I312" s="14" t="s">
        <v>2458</v>
      </c>
      <c r="J312" s="33" t="s">
        <v>7110</v>
      </c>
      <c r="K312" s="68">
        <v>0</v>
      </c>
      <c r="L312" s="68">
        <v>0</v>
      </c>
      <c r="M312" s="68" t="s">
        <v>8915</v>
      </c>
      <c r="N312" s="68">
        <v>0</v>
      </c>
      <c r="O312" s="68">
        <v>0</v>
      </c>
      <c r="P312" s="198" t="s">
        <v>5608</v>
      </c>
    </row>
    <row r="313" spans="1:16" ht="18.75" hidden="1">
      <c r="A313" s="13" t="s">
        <v>2957</v>
      </c>
      <c r="B313" s="12" t="s">
        <v>2869</v>
      </c>
      <c r="C313" s="12" t="s">
        <v>3086</v>
      </c>
      <c r="D313" s="12" t="s">
        <v>2751</v>
      </c>
      <c r="E313" s="12" t="str">
        <f t="shared" si="11"/>
        <v>95</v>
      </c>
      <c r="F313" s="14">
        <v>51455</v>
      </c>
      <c r="G313" s="67" t="s">
        <v>5607</v>
      </c>
      <c r="H313" s="14" t="s">
        <v>5601</v>
      </c>
      <c r="I313" s="14" t="s">
        <v>2458</v>
      </c>
      <c r="J313" s="33" t="s">
        <v>7110</v>
      </c>
      <c r="K313" s="68">
        <v>0</v>
      </c>
      <c r="L313" s="68">
        <v>0</v>
      </c>
      <c r="M313" s="68" t="s">
        <v>8915</v>
      </c>
      <c r="N313" s="68">
        <v>0</v>
      </c>
      <c r="O313" s="68">
        <v>0</v>
      </c>
      <c r="P313" s="198" t="s">
        <v>5608</v>
      </c>
    </row>
    <row r="314" spans="1:16" ht="18.75" hidden="1">
      <c r="A314" s="13" t="s">
        <v>2975</v>
      </c>
      <c r="B314" s="12" t="s">
        <v>2867</v>
      </c>
      <c r="C314" s="12" t="s">
        <v>3129</v>
      </c>
      <c r="D314" s="12" t="s">
        <v>2758</v>
      </c>
      <c r="E314" s="12" t="str">
        <f t="shared" si="11"/>
        <v>95</v>
      </c>
      <c r="F314" s="14">
        <v>120062</v>
      </c>
      <c r="G314" s="67" t="s">
        <v>5604</v>
      </c>
      <c r="H314" s="14" t="s">
        <v>5601</v>
      </c>
      <c r="I314" s="14" t="s">
        <v>2458</v>
      </c>
      <c r="J314" s="33" t="s">
        <v>7110</v>
      </c>
      <c r="K314" s="68">
        <v>0</v>
      </c>
      <c r="L314" s="68">
        <v>0</v>
      </c>
      <c r="M314" s="68" t="s">
        <v>8915</v>
      </c>
      <c r="N314" s="68">
        <v>0</v>
      </c>
      <c r="O314" s="68">
        <v>0</v>
      </c>
      <c r="P314" s="198" t="s">
        <v>5618</v>
      </c>
    </row>
    <row r="315" spans="1:16" ht="18.75" hidden="1">
      <c r="A315" s="13" t="s">
        <v>3000</v>
      </c>
      <c r="B315" s="12" t="s">
        <v>2862</v>
      </c>
      <c r="C315" s="12" t="s">
        <v>2810</v>
      </c>
      <c r="D315" s="12" t="s">
        <v>2751</v>
      </c>
      <c r="E315" s="12" t="str">
        <f t="shared" si="11"/>
        <v>95</v>
      </c>
      <c r="F315" s="14">
        <v>397370</v>
      </c>
      <c r="G315" s="67" t="s">
        <v>5607</v>
      </c>
      <c r="H315" s="14" t="s">
        <v>5601</v>
      </c>
      <c r="I315" s="14" t="s">
        <v>2458</v>
      </c>
      <c r="J315" s="33" t="s">
        <v>7110</v>
      </c>
      <c r="K315" s="68">
        <v>0</v>
      </c>
      <c r="L315" s="68">
        <v>0</v>
      </c>
      <c r="M315" s="68" t="s">
        <v>8915</v>
      </c>
      <c r="N315" s="68">
        <v>0</v>
      </c>
      <c r="O315" s="68">
        <v>0</v>
      </c>
      <c r="P315" s="198" t="s">
        <v>5608</v>
      </c>
    </row>
    <row r="316" spans="1:16" ht="18.75" hidden="1">
      <c r="A316" s="13" t="s">
        <v>2996</v>
      </c>
      <c r="B316" s="12" t="s">
        <v>2864</v>
      </c>
      <c r="C316" s="12" t="s">
        <v>2778</v>
      </c>
      <c r="D316" s="12" t="s">
        <v>2617</v>
      </c>
      <c r="E316" s="12" t="str">
        <f t="shared" si="11"/>
        <v>95</v>
      </c>
      <c r="F316" s="14">
        <v>18244</v>
      </c>
      <c r="G316" s="67" t="s">
        <v>5607</v>
      </c>
      <c r="H316" s="14" t="s">
        <v>5601</v>
      </c>
      <c r="I316" s="14" t="s">
        <v>2458</v>
      </c>
      <c r="J316" s="33" t="s">
        <v>7110</v>
      </c>
      <c r="K316" s="68">
        <v>0</v>
      </c>
      <c r="L316" s="68">
        <v>0</v>
      </c>
      <c r="M316" s="68" t="s">
        <v>8915</v>
      </c>
      <c r="N316" s="68">
        <v>0</v>
      </c>
      <c r="O316" s="68">
        <v>0</v>
      </c>
      <c r="P316" s="198" t="s">
        <v>5608</v>
      </c>
    </row>
    <row r="317" spans="1:16" ht="18.75" hidden="1">
      <c r="A317" s="13" t="s">
        <v>3001</v>
      </c>
      <c r="B317" s="12" t="s">
        <v>2851</v>
      </c>
      <c r="C317" s="12" t="s">
        <v>3130</v>
      </c>
      <c r="D317" s="12" t="s">
        <v>2755</v>
      </c>
      <c r="E317" s="12" t="str">
        <f t="shared" si="11"/>
        <v>95</v>
      </c>
      <c r="F317" s="14">
        <v>998000</v>
      </c>
      <c r="G317" s="67" t="s">
        <v>5616</v>
      </c>
      <c r="H317" s="14" t="s">
        <v>5601</v>
      </c>
      <c r="I317" s="14" t="s">
        <v>2458</v>
      </c>
      <c r="J317" s="33" t="s">
        <v>7110</v>
      </c>
      <c r="K317" s="68">
        <v>0</v>
      </c>
      <c r="L317" s="68">
        <v>0</v>
      </c>
      <c r="M317" s="68" t="s">
        <v>8915</v>
      </c>
      <c r="N317" s="68">
        <v>0</v>
      </c>
      <c r="O317" s="68">
        <v>0</v>
      </c>
      <c r="P317" s="198" t="s">
        <v>5617</v>
      </c>
    </row>
    <row r="318" spans="1:16" ht="18.75" hidden="1">
      <c r="A318" s="13" t="s">
        <v>3002</v>
      </c>
      <c r="B318" s="12" t="s">
        <v>2866</v>
      </c>
      <c r="C318" s="12" t="s">
        <v>3131</v>
      </c>
      <c r="D318" s="12" t="s">
        <v>2755</v>
      </c>
      <c r="E318" s="12" t="str">
        <f t="shared" si="11"/>
        <v>95</v>
      </c>
      <c r="F318" s="14">
        <v>1000000</v>
      </c>
      <c r="G318" s="67" t="s">
        <v>5616</v>
      </c>
      <c r="H318" s="14" t="s">
        <v>5601</v>
      </c>
      <c r="I318" s="14" t="s">
        <v>2458</v>
      </c>
      <c r="J318" s="33" t="s">
        <v>7110</v>
      </c>
      <c r="K318" s="68">
        <v>0</v>
      </c>
      <c r="L318" s="68">
        <v>0</v>
      </c>
      <c r="M318" s="68" t="s">
        <v>8915</v>
      </c>
      <c r="N318" s="68">
        <v>0</v>
      </c>
      <c r="O318" s="68">
        <v>0</v>
      </c>
      <c r="P318" s="198" t="s">
        <v>5617</v>
      </c>
    </row>
    <row r="319" spans="1:16" ht="18.75" hidden="1">
      <c r="A319" s="13" t="s">
        <v>2986</v>
      </c>
      <c r="B319" s="12" t="s">
        <v>2851</v>
      </c>
      <c r="C319" s="12" t="s">
        <v>2784</v>
      </c>
      <c r="D319" s="12" t="s">
        <v>2617</v>
      </c>
      <c r="E319" s="12" t="str">
        <f t="shared" si="11"/>
        <v>95</v>
      </c>
      <c r="F319" s="14">
        <v>83100</v>
      </c>
      <c r="G319" s="67" t="s">
        <v>5611</v>
      </c>
      <c r="H319" s="14" t="s">
        <v>5601</v>
      </c>
      <c r="I319" s="14" t="s">
        <v>2458</v>
      </c>
      <c r="J319" s="33" t="s">
        <v>7110</v>
      </c>
      <c r="K319" s="68">
        <v>0</v>
      </c>
      <c r="L319" s="68">
        <v>0</v>
      </c>
      <c r="M319" s="68" t="s">
        <v>8915</v>
      </c>
      <c r="N319" s="68">
        <v>0</v>
      </c>
      <c r="O319" s="68">
        <v>0</v>
      </c>
      <c r="P319" s="198" t="s">
        <v>5612</v>
      </c>
    </row>
    <row r="320" spans="1:16" ht="18.75" hidden="1">
      <c r="A320" s="13" t="s">
        <v>3003</v>
      </c>
      <c r="B320" s="12" t="s">
        <v>2856</v>
      </c>
      <c r="C320" s="12" t="s">
        <v>3113</v>
      </c>
      <c r="D320" s="12" t="s">
        <v>2752</v>
      </c>
      <c r="E320" s="12" t="str">
        <f t="shared" si="11"/>
        <v>95</v>
      </c>
      <c r="F320" s="14">
        <v>237948</v>
      </c>
      <c r="G320" s="67" t="s">
        <v>5607</v>
      </c>
      <c r="H320" s="14" t="s">
        <v>5601</v>
      </c>
      <c r="I320" s="14" t="s">
        <v>2458</v>
      </c>
      <c r="J320" s="33" t="s">
        <v>7110</v>
      </c>
      <c r="K320" s="68">
        <v>0</v>
      </c>
      <c r="L320" s="68">
        <v>0</v>
      </c>
      <c r="M320" s="68" t="s">
        <v>8915</v>
      </c>
      <c r="N320" s="68">
        <v>0</v>
      </c>
      <c r="O320" s="68">
        <v>0</v>
      </c>
      <c r="P320" s="198" t="s">
        <v>5608</v>
      </c>
    </row>
    <row r="321" spans="1:16" ht="18.75" hidden="1">
      <c r="A321" s="13" t="s">
        <v>3004</v>
      </c>
      <c r="B321" s="12" t="s">
        <v>2859</v>
      </c>
      <c r="C321" s="12" t="s">
        <v>3123</v>
      </c>
      <c r="D321" s="12" t="s">
        <v>2752</v>
      </c>
      <c r="E321" s="12" t="str">
        <f t="shared" si="11"/>
        <v>95</v>
      </c>
      <c r="F321" s="14">
        <v>1480</v>
      </c>
      <c r="G321" s="67" t="s">
        <v>5607</v>
      </c>
      <c r="H321" s="14" t="s">
        <v>5601</v>
      </c>
      <c r="I321" s="14" t="s">
        <v>2458</v>
      </c>
      <c r="J321" s="33" t="s">
        <v>7110</v>
      </c>
      <c r="K321" s="68">
        <v>0</v>
      </c>
      <c r="L321" s="68">
        <v>0</v>
      </c>
      <c r="M321" s="68" t="s">
        <v>8915</v>
      </c>
      <c r="N321" s="68">
        <v>0</v>
      </c>
      <c r="O321" s="68">
        <v>0</v>
      </c>
      <c r="P321" s="198" t="s">
        <v>5608</v>
      </c>
    </row>
    <row r="322" spans="1:16" ht="18.75" hidden="1">
      <c r="A322" s="13" t="s">
        <v>3004</v>
      </c>
      <c r="B322" s="12" t="s">
        <v>2859</v>
      </c>
      <c r="C322" s="12" t="s">
        <v>3124</v>
      </c>
      <c r="D322" s="12" t="s">
        <v>2752</v>
      </c>
      <c r="E322" s="12" t="str">
        <f t="shared" si="11"/>
        <v>95</v>
      </c>
      <c r="F322" s="14">
        <v>799870</v>
      </c>
      <c r="G322" s="67" t="s">
        <v>5607</v>
      </c>
      <c r="H322" s="14" t="s">
        <v>5601</v>
      </c>
      <c r="I322" s="14" t="s">
        <v>2458</v>
      </c>
      <c r="J322" s="33" t="s">
        <v>7110</v>
      </c>
      <c r="K322" s="68">
        <v>0</v>
      </c>
      <c r="L322" s="68">
        <v>0</v>
      </c>
      <c r="M322" s="68" t="s">
        <v>8915</v>
      </c>
      <c r="N322" s="68">
        <v>0</v>
      </c>
      <c r="O322" s="68">
        <v>0</v>
      </c>
      <c r="P322" s="198" t="s">
        <v>5608</v>
      </c>
    </row>
    <row r="323" spans="1:16" ht="18.75" hidden="1">
      <c r="A323" s="13" t="s">
        <v>3003</v>
      </c>
      <c r="B323" s="12" t="s">
        <v>2856</v>
      </c>
      <c r="C323" s="12" t="s">
        <v>3124</v>
      </c>
      <c r="D323" s="12" t="s">
        <v>2752</v>
      </c>
      <c r="E323" s="12" t="str">
        <f t="shared" si="11"/>
        <v>95</v>
      </c>
      <c r="F323" s="14">
        <v>164692</v>
      </c>
      <c r="G323" s="67" t="s">
        <v>5607</v>
      </c>
      <c r="H323" s="14" t="s">
        <v>5601</v>
      </c>
      <c r="I323" s="14" t="s">
        <v>2458</v>
      </c>
      <c r="J323" s="33" t="s">
        <v>7110</v>
      </c>
      <c r="K323" s="68">
        <v>0</v>
      </c>
      <c r="L323" s="68">
        <v>0</v>
      </c>
      <c r="M323" s="68" t="s">
        <v>8915</v>
      </c>
      <c r="N323" s="68">
        <v>0</v>
      </c>
      <c r="O323" s="68">
        <v>0</v>
      </c>
      <c r="P323" s="198" t="s">
        <v>5608</v>
      </c>
    </row>
    <row r="324" spans="1:16" ht="18.75" hidden="1">
      <c r="A324" s="13" t="s">
        <v>3005</v>
      </c>
      <c r="B324" s="12" t="s">
        <v>3048</v>
      </c>
      <c r="C324" s="12" t="s">
        <v>3132</v>
      </c>
      <c r="D324" s="12" t="s">
        <v>3048</v>
      </c>
      <c r="E324" s="12" t="str">
        <f t="shared" si="11"/>
        <v>95</v>
      </c>
      <c r="F324" s="14">
        <v>999349</v>
      </c>
      <c r="G324" s="67" t="s">
        <v>5604</v>
      </c>
      <c r="H324" s="14" t="s">
        <v>5601</v>
      </c>
      <c r="I324" s="14" t="s">
        <v>2458</v>
      </c>
      <c r="J324" s="33" t="s">
        <v>7110</v>
      </c>
      <c r="K324" s="68">
        <v>0</v>
      </c>
      <c r="L324" s="68">
        <v>0</v>
      </c>
      <c r="M324" s="68" t="s">
        <v>8915</v>
      </c>
      <c r="N324" s="68">
        <v>0</v>
      </c>
      <c r="O324" s="68">
        <v>0</v>
      </c>
      <c r="P324" s="198" t="s">
        <v>5615</v>
      </c>
    </row>
    <row r="325" spans="1:16" ht="18.75" hidden="1">
      <c r="A325" s="13" t="s">
        <v>3006</v>
      </c>
      <c r="B325" s="12" t="s">
        <v>3048</v>
      </c>
      <c r="C325" s="12" t="s">
        <v>3084</v>
      </c>
      <c r="D325" s="12" t="s">
        <v>2862</v>
      </c>
      <c r="E325" s="12" t="str">
        <f t="shared" si="11"/>
        <v>95</v>
      </c>
      <c r="F325" s="14">
        <v>4900</v>
      </c>
      <c r="G325" s="67" t="s">
        <v>5616</v>
      </c>
      <c r="H325" s="14" t="s">
        <v>5601</v>
      </c>
      <c r="I325" s="14" t="s">
        <v>2458</v>
      </c>
      <c r="J325" s="33" t="s">
        <v>7110</v>
      </c>
      <c r="K325" s="68">
        <v>0</v>
      </c>
      <c r="L325" s="68">
        <v>0</v>
      </c>
      <c r="M325" s="68" t="s">
        <v>8915</v>
      </c>
      <c r="N325" s="68">
        <v>0</v>
      </c>
      <c r="O325" s="68">
        <v>0</v>
      </c>
      <c r="P325" s="198" t="s">
        <v>5617</v>
      </c>
    </row>
    <row r="326" spans="1:16" ht="18.75" hidden="1">
      <c r="A326" s="13" t="s">
        <v>3007</v>
      </c>
      <c r="B326" s="12" t="s">
        <v>2870</v>
      </c>
      <c r="C326" s="12" t="s">
        <v>3101</v>
      </c>
      <c r="D326" s="12" t="s">
        <v>2754</v>
      </c>
      <c r="E326" s="12" t="str">
        <f t="shared" si="11"/>
        <v>95</v>
      </c>
      <c r="F326" s="14">
        <v>1487000</v>
      </c>
      <c r="G326" s="67" t="s">
        <v>5616</v>
      </c>
      <c r="H326" s="14" t="s">
        <v>5601</v>
      </c>
      <c r="I326" s="14" t="s">
        <v>2458</v>
      </c>
      <c r="J326" s="33" t="s">
        <v>7110</v>
      </c>
      <c r="K326" s="68">
        <v>0</v>
      </c>
      <c r="L326" s="68">
        <v>0</v>
      </c>
      <c r="M326" s="68" t="s">
        <v>8915</v>
      </c>
      <c r="N326" s="68">
        <v>0</v>
      </c>
      <c r="O326" s="68">
        <v>0</v>
      </c>
      <c r="P326" s="198" t="s">
        <v>5617</v>
      </c>
    </row>
    <row r="327" spans="1:16" ht="18.75" hidden="1">
      <c r="A327" s="13" t="s">
        <v>3008</v>
      </c>
      <c r="B327" s="12" t="s">
        <v>2861</v>
      </c>
      <c r="C327" s="12" t="s">
        <v>2810</v>
      </c>
      <c r="D327" s="12" t="s">
        <v>2751</v>
      </c>
      <c r="E327" s="12" t="str">
        <f t="shared" si="11"/>
        <v>95</v>
      </c>
      <c r="F327" s="14">
        <v>54494</v>
      </c>
      <c r="G327" s="67" t="s">
        <v>5607</v>
      </c>
      <c r="H327" s="14" t="s">
        <v>5601</v>
      </c>
      <c r="I327" s="14" t="s">
        <v>2458</v>
      </c>
      <c r="J327" s="33" t="s">
        <v>7110</v>
      </c>
      <c r="K327" s="68">
        <v>0</v>
      </c>
      <c r="L327" s="68">
        <v>0</v>
      </c>
      <c r="M327" s="68" t="s">
        <v>8915</v>
      </c>
      <c r="N327" s="68">
        <v>0</v>
      </c>
      <c r="O327" s="68">
        <v>0</v>
      </c>
      <c r="P327" s="198" t="s">
        <v>5608</v>
      </c>
    </row>
    <row r="328" spans="1:16" ht="18.75" hidden="1">
      <c r="A328" s="13" t="s">
        <v>3009</v>
      </c>
      <c r="B328" s="12" t="s">
        <v>2868</v>
      </c>
      <c r="C328" s="12" t="s">
        <v>2811</v>
      </c>
      <c r="D328" s="12" t="s">
        <v>2609</v>
      </c>
      <c r="E328" s="12" t="str">
        <f t="shared" si="11"/>
        <v>95</v>
      </c>
      <c r="F328" s="14">
        <v>495871</v>
      </c>
      <c r="G328" s="67" t="s">
        <v>5604</v>
      </c>
      <c r="H328" s="14" t="s">
        <v>5601</v>
      </c>
      <c r="I328" s="14" t="s">
        <v>2458</v>
      </c>
      <c r="J328" s="33" t="e">
        <f>VLOOKUP(C328,شرکتها!A:B,2,FALSE)</f>
        <v>#N/A</v>
      </c>
      <c r="K328" s="68">
        <v>0</v>
      </c>
      <c r="L328" s="68">
        <v>0</v>
      </c>
      <c r="M328" s="68" t="s">
        <v>8915</v>
      </c>
      <c r="N328" s="68">
        <v>0</v>
      </c>
      <c r="O328" s="68">
        <v>0</v>
      </c>
      <c r="P328" s="198" t="s">
        <v>5613</v>
      </c>
    </row>
    <row r="329" spans="1:16" ht="18.75" hidden="1">
      <c r="A329" s="13" t="s">
        <v>3010</v>
      </c>
      <c r="B329" s="12" t="s">
        <v>2864</v>
      </c>
      <c r="C329" s="12" t="s">
        <v>3133</v>
      </c>
      <c r="D329" s="12" t="s">
        <v>2756</v>
      </c>
      <c r="E329" s="12" t="str">
        <f t="shared" si="11"/>
        <v>95</v>
      </c>
      <c r="F329" s="14">
        <v>44880</v>
      </c>
      <c r="G329" s="67" t="s">
        <v>5604</v>
      </c>
      <c r="H329" s="14" t="s">
        <v>5601</v>
      </c>
      <c r="I329" s="14" t="s">
        <v>2458</v>
      </c>
      <c r="J329" s="33" t="s">
        <v>7110</v>
      </c>
      <c r="K329" s="68">
        <v>0</v>
      </c>
      <c r="L329" s="68">
        <v>0</v>
      </c>
      <c r="M329" s="68" t="s">
        <v>8915</v>
      </c>
      <c r="N329" s="68">
        <v>0</v>
      </c>
      <c r="O329" s="68">
        <v>0</v>
      </c>
      <c r="P329" s="198" t="s">
        <v>5618</v>
      </c>
    </row>
    <row r="330" spans="1:16" ht="18.75" hidden="1">
      <c r="A330" s="13" t="s">
        <v>3010</v>
      </c>
      <c r="B330" s="12" t="s">
        <v>2864</v>
      </c>
      <c r="C330" s="12" t="s">
        <v>3134</v>
      </c>
      <c r="D330" s="12" t="s">
        <v>2868</v>
      </c>
      <c r="E330" s="12" t="str">
        <f t="shared" si="11"/>
        <v>95</v>
      </c>
      <c r="F330" s="14">
        <v>455000</v>
      </c>
      <c r="G330" s="67" t="s">
        <v>5604</v>
      </c>
      <c r="H330" s="14" t="s">
        <v>5601</v>
      </c>
      <c r="I330" s="14" t="s">
        <v>2458</v>
      </c>
      <c r="J330" s="33" t="s">
        <v>7110</v>
      </c>
      <c r="K330" s="68">
        <v>0</v>
      </c>
      <c r="L330" s="68">
        <v>0</v>
      </c>
      <c r="M330" s="68" t="s">
        <v>8915</v>
      </c>
      <c r="N330" s="68">
        <v>0</v>
      </c>
      <c r="O330" s="68">
        <v>0</v>
      </c>
      <c r="P330" s="198" t="s">
        <v>5618</v>
      </c>
    </row>
    <row r="331" spans="1:16" ht="18.75" hidden="1">
      <c r="A331" s="13" t="s">
        <v>3011</v>
      </c>
      <c r="B331" s="12" t="s">
        <v>2863</v>
      </c>
      <c r="C331" s="12" t="s">
        <v>3133</v>
      </c>
      <c r="D331" s="12" t="s">
        <v>2756</v>
      </c>
      <c r="E331" s="12" t="str">
        <f t="shared" si="11"/>
        <v>95</v>
      </c>
      <c r="F331" s="14">
        <v>1955120</v>
      </c>
      <c r="G331" s="67" t="s">
        <v>5604</v>
      </c>
      <c r="H331" s="14" t="s">
        <v>5601</v>
      </c>
      <c r="I331" s="14" t="s">
        <v>2458</v>
      </c>
      <c r="J331" s="33" t="s">
        <v>7110</v>
      </c>
      <c r="K331" s="68">
        <v>0</v>
      </c>
      <c r="L331" s="68">
        <v>0</v>
      </c>
      <c r="M331" s="68" t="s">
        <v>8915</v>
      </c>
      <c r="N331" s="68">
        <v>0</v>
      </c>
      <c r="O331" s="68">
        <v>0</v>
      </c>
      <c r="P331" s="198" t="s">
        <v>5618</v>
      </c>
    </row>
    <row r="332" spans="1:16" ht="18.75" hidden="1">
      <c r="A332" s="13" t="s">
        <v>3012</v>
      </c>
      <c r="B332" s="12" t="s">
        <v>2857</v>
      </c>
      <c r="C332" s="12" t="s">
        <v>3135</v>
      </c>
      <c r="D332" s="12" t="s">
        <v>2869</v>
      </c>
      <c r="E332" s="12" t="str">
        <f t="shared" si="11"/>
        <v>95</v>
      </c>
      <c r="F332" s="14">
        <v>24480</v>
      </c>
      <c r="G332" s="67" t="s">
        <v>5604</v>
      </c>
      <c r="H332" s="14" t="s">
        <v>5601</v>
      </c>
      <c r="I332" s="14" t="s">
        <v>2458</v>
      </c>
      <c r="J332" s="33" t="s">
        <v>7110</v>
      </c>
      <c r="K332" s="68">
        <v>0</v>
      </c>
      <c r="L332" s="68">
        <v>0</v>
      </c>
      <c r="M332" s="68" t="s">
        <v>8915</v>
      </c>
      <c r="N332" s="68">
        <v>0</v>
      </c>
      <c r="O332" s="68">
        <v>0</v>
      </c>
      <c r="P332" s="198" t="s">
        <v>5618</v>
      </c>
    </row>
    <row r="333" spans="1:16" ht="18.75" hidden="1">
      <c r="A333" s="13" t="s">
        <v>3014</v>
      </c>
      <c r="B333" s="12" t="s">
        <v>2853</v>
      </c>
      <c r="C333" s="12" t="s">
        <v>3078</v>
      </c>
      <c r="D333" s="12" t="s">
        <v>2751</v>
      </c>
      <c r="E333" s="12" t="str">
        <f t="shared" si="11"/>
        <v>95</v>
      </c>
      <c r="F333" s="14">
        <v>24000</v>
      </c>
      <c r="G333" s="67" t="s">
        <v>5607</v>
      </c>
      <c r="H333" s="14" t="s">
        <v>5601</v>
      </c>
      <c r="I333" s="14" t="s">
        <v>2458</v>
      </c>
      <c r="J333" s="33" t="s">
        <v>7110</v>
      </c>
      <c r="K333" s="68">
        <v>0</v>
      </c>
      <c r="L333" s="68">
        <v>0</v>
      </c>
      <c r="M333" s="68" t="s">
        <v>8915</v>
      </c>
      <c r="N333" s="68">
        <v>0</v>
      </c>
      <c r="O333" s="68">
        <v>0</v>
      </c>
      <c r="P333" s="198" t="s">
        <v>5608</v>
      </c>
    </row>
    <row r="334" spans="1:16" ht="18.75" hidden="1">
      <c r="A334" s="13" t="s">
        <v>3004</v>
      </c>
      <c r="B334" s="12" t="s">
        <v>2859</v>
      </c>
      <c r="C334" s="12" t="s">
        <v>3137</v>
      </c>
      <c r="D334" s="12" t="s">
        <v>2751</v>
      </c>
      <c r="E334" s="12" t="str">
        <f t="shared" si="11"/>
        <v>95</v>
      </c>
      <c r="F334" s="14">
        <v>1000000</v>
      </c>
      <c r="G334" s="67" t="s">
        <v>5607</v>
      </c>
      <c r="H334" s="14" t="s">
        <v>5601</v>
      </c>
      <c r="I334" s="14" t="s">
        <v>2458</v>
      </c>
      <c r="J334" s="33" t="s">
        <v>7110</v>
      </c>
      <c r="K334" s="68">
        <v>0</v>
      </c>
      <c r="L334" s="68">
        <v>0</v>
      </c>
      <c r="M334" s="68" t="s">
        <v>8915</v>
      </c>
      <c r="N334" s="68">
        <v>0</v>
      </c>
      <c r="O334" s="68">
        <v>0</v>
      </c>
      <c r="P334" s="198" t="s">
        <v>5608</v>
      </c>
    </row>
    <row r="335" spans="1:16" ht="18.75" hidden="1">
      <c r="A335" s="13" t="s">
        <v>3015</v>
      </c>
      <c r="B335" s="12" t="s">
        <v>2855</v>
      </c>
      <c r="C335" s="12" t="s">
        <v>3117</v>
      </c>
      <c r="D335" s="12" t="s">
        <v>2609</v>
      </c>
      <c r="E335" s="12" t="str">
        <f t="shared" si="11"/>
        <v>95</v>
      </c>
      <c r="F335" s="14">
        <v>486584</v>
      </c>
      <c r="G335" s="67" t="s">
        <v>5604</v>
      </c>
      <c r="H335" s="14" t="s">
        <v>5601</v>
      </c>
      <c r="I335" s="14" t="s">
        <v>2458</v>
      </c>
      <c r="J335" s="33" t="s">
        <v>7110</v>
      </c>
      <c r="K335" s="68">
        <v>0</v>
      </c>
      <c r="L335" s="68">
        <v>0</v>
      </c>
      <c r="M335" s="68" t="s">
        <v>8915</v>
      </c>
      <c r="N335" s="68">
        <v>0</v>
      </c>
      <c r="O335" s="68">
        <v>0</v>
      </c>
      <c r="P335" s="198" t="s">
        <v>5605</v>
      </c>
    </row>
    <row r="336" spans="1:16" ht="18.75" hidden="1">
      <c r="A336" s="13" t="s">
        <v>3016</v>
      </c>
      <c r="B336" s="12" t="s">
        <v>2864</v>
      </c>
      <c r="C336" s="12" t="s">
        <v>3117</v>
      </c>
      <c r="D336" s="12" t="s">
        <v>2609</v>
      </c>
      <c r="E336" s="12" t="str">
        <f t="shared" ref="E336:E386" si="12">MID(D336,1,2)</f>
        <v>95</v>
      </c>
      <c r="F336" s="14">
        <v>489328</v>
      </c>
      <c r="G336" s="67" t="s">
        <v>5604</v>
      </c>
      <c r="H336" s="14" t="s">
        <v>5601</v>
      </c>
      <c r="I336" s="14" t="s">
        <v>2458</v>
      </c>
      <c r="J336" s="33" t="s">
        <v>7110</v>
      </c>
      <c r="K336" s="68">
        <v>0</v>
      </c>
      <c r="L336" s="68">
        <v>0</v>
      </c>
      <c r="M336" s="68" t="s">
        <v>8915</v>
      </c>
      <c r="N336" s="68">
        <v>0</v>
      </c>
      <c r="O336" s="68">
        <v>0</v>
      </c>
      <c r="P336" s="198" t="s">
        <v>5605</v>
      </c>
    </row>
    <row r="337" spans="1:16" ht="18.75" hidden="1">
      <c r="A337" s="13" t="s">
        <v>3014</v>
      </c>
      <c r="B337" s="12" t="s">
        <v>2853</v>
      </c>
      <c r="C337" s="12" t="s">
        <v>3125</v>
      </c>
      <c r="D337" s="12" t="s">
        <v>2752</v>
      </c>
      <c r="E337" s="12" t="str">
        <f t="shared" si="12"/>
        <v>95</v>
      </c>
      <c r="F337" s="14">
        <v>979995</v>
      </c>
      <c r="G337" s="67" t="s">
        <v>5607</v>
      </c>
      <c r="H337" s="14" t="s">
        <v>5601</v>
      </c>
      <c r="I337" s="14" t="s">
        <v>2458</v>
      </c>
      <c r="J337" s="33" t="s">
        <v>7110</v>
      </c>
      <c r="K337" s="68">
        <v>0</v>
      </c>
      <c r="L337" s="68">
        <v>0</v>
      </c>
      <c r="M337" s="68" t="s">
        <v>8915</v>
      </c>
      <c r="N337" s="68">
        <v>0</v>
      </c>
      <c r="O337" s="68">
        <v>0</v>
      </c>
      <c r="P337" s="198" t="s">
        <v>5608</v>
      </c>
    </row>
    <row r="338" spans="1:16" ht="18.75" hidden="1">
      <c r="A338" s="13" t="s">
        <v>3012</v>
      </c>
      <c r="B338" s="12" t="s">
        <v>2857</v>
      </c>
      <c r="C338" s="12" t="s">
        <v>3093</v>
      </c>
      <c r="D338" s="12" t="s">
        <v>2609</v>
      </c>
      <c r="E338" s="12" t="str">
        <f t="shared" si="12"/>
        <v>95</v>
      </c>
      <c r="F338" s="14">
        <v>284257</v>
      </c>
      <c r="G338" s="67" t="s">
        <v>5604</v>
      </c>
      <c r="H338" s="14" t="s">
        <v>5601</v>
      </c>
      <c r="I338" s="14" t="s">
        <v>2458</v>
      </c>
      <c r="J338" s="33" t="s">
        <v>7110</v>
      </c>
      <c r="K338" s="68">
        <v>0</v>
      </c>
      <c r="L338" s="68">
        <v>0</v>
      </c>
      <c r="M338" s="68" t="s">
        <v>8915</v>
      </c>
      <c r="N338" s="68">
        <v>0</v>
      </c>
      <c r="O338" s="68">
        <v>0</v>
      </c>
      <c r="P338" s="198" t="s">
        <v>5605</v>
      </c>
    </row>
    <row r="339" spans="1:16" ht="18.75" hidden="1">
      <c r="A339" s="13" t="s">
        <v>3013</v>
      </c>
      <c r="B339" s="12" t="s">
        <v>2867</v>
      </c>
      <c r="C339" s="12" t="s">
        <v>3138</v>
      </c>
      <c r="D339" s="12" t="s">
        <v>2751</v>
      </c>
      <c r="E339" s="12" t="str">
        <f t="shared" si="12"/>
        <v>95</v>
      </c>
      <c r="F339" s="14">
        <v>800000</v>
      </c>
      <c r="G339" s="67" t="s">
        <v>5607</v>
      </c>
      <c r="H339" s="14" t="s">
        <v>5601</v>
      </c>
      <c r="I339" s="14" t="s">
        <v>2458</v>
      </c>
      <c r="J339" s="33" t="s">
        <v>7110</v>
      </c>
      <c r="K339" s="68">
        <v>0</v>
      </c>
      <c r="L339" s="68">
        <v>0</v>
      </c>
      <c r="M339" s="68" t="s">
        <v>8915</v>
      </c>
      <c r="N339" s="68">
        <v>0</v>
      </c>
      <c r="O339" s="68">
        <v>0</v>
      </c>
      <c r="P339" s="198" t="s">
        <v>5608</v>
      </c>
    </row>
    <row r="340" spans="1:16" ht="18.75" hidden="1">
      <c r="A340" s="13" t="s">
        <v>3012</v>
      </c>
      <c r="B340" s="12" t="s">
        <v>2857</v>
      </c>
      <c r="C340" s="12" t="s">
        <v>3088</v>
      </c>
      <c r="D340" s="12" t="s">
        <v>2758</v>
      </c>
      <c r="E340" s="12" t="str">
        <f t="shared" si="12"/>
        <v>95</v>
      </c>
      <c r="F340" s="14">
        <v>176587</v>
      </c>
      <c r="G340" s="67" t="s">
        <v>5604</v>
      </c>
      <c r="H340" s="14" t="s">
        <v>5601</v>
      </c>
      <c r="I340" s="14" t="s">
        <v>2458</v>
      </c>
      <c r="J340" s="33" t="s">
        <v>7110</v>
      </c>
      <c r="K340" s="68">
        <v>0</v>
      </c>
      <c r="L340" s="68">
        <v>0</v>
      </c>
      <c r="M340" s="68" t="s">
        <v>8915</v>
      </c>
      <c r="N340" s="68">
        <v>0</v>
      </c>
      <c r="O340" s="68">
        <v>0</v>
      </c>
      <c r="P340" s="198" t="s">
        <v>5618</v>
      </c>
    </row>
    <row r="341" spans="1:16" ht="18.75" hidden="1">
      <c r="A341" s="13" t="s">
        <v>3017</v>
      </c>
      <c r="B341" s="12" t="s">
        <v>2861</v>
      </c>
      <c r="C341" s="12" t="s">
        <v>2783</v>
      </c>
      <c r="D341" s="12" t="s">
        <v>2751</v>
      </c>
      <c r="E341" s="12" t="str">
        <f t="shared" si="12"/>
        <v>95</v>
      </c>
      <c r="F341" s="14">
        <v>884</v>
      </c>
      <c r="G341" s="67" t="s">
        <v>5604</v>
      </c>
      <c r="H341" s="14" t="s">
        <v>5601</v>
      </c>
      <c r="I341" s="14" t="s">
        <v>2458</v>
      </c>
      <c r="J341" s="33" t="s">
        <v>7110</v>
      </c>
      <c r="K341" s="68">
        <v>0</v>
      </c>
      <c r="L341" s="68">
        <v>0</v>
      </c>
      <c r="M341" s="68" t="s">
        <v>8915</v>
      </c>
      <c r="N341" s="68">
        <v>0</v>
      </c>
      <c r="O341" s="68">
        <v>0</v>
      </c>
      <c r="P341" s="198" t="s">
        <v>5618</v>
      </c>
    </row>
    <row r="342" spans="1:16" ht="18.75" hidden="1">
      <c r="A342" s="13" t="s">
        <v>2949</v>
      </c>
      <c r="B342" s="12" t="s">
        <v>2869</v>
      </c>
      <c r="C342" s="12" t="s">
        <v>3130</v>
      </c>
      <c r="D342" s="12" t="s">
        <v>2755</v>
      </c>
      <c r="E342" s="12" t="str">
        <f t="shared" si="12"/>
        <v>95</v>
      </c>
      <c r="F342" s="14">
        <v>476040</v>
      </c>
      <c r="G342" s="67" t="s">
        <v>5616</v>
      </c>
      <c r="H342" s="14" t="s">
        <v>5601</v>
      </c>
      <c r="I342" s="14" t="s">
        <v>2458</v>
      </c>
      <c r="J342" s="33" t="s">
        <v>7110</v>
      </c>
      <c r="K342" s="68">
        <v>0</v>
      </c>
      <c r="L342" s="68">
        <v>0</v>
      </c>
      <c r="M342" s="68" t="s">
        <v>8915</v>
      </c>
      <c r="N342" s="68">
        <v>0</v>
      </c>
      <c r="O342" s="68">
        <v>0</v>
      </c>
      <c r="P342" s="198" t="s">
        <v>5617</v>
      </c>
    </row>
    <row r="343" spans="1:16" ht="18.75" hidden="1">
      <c r="A343" s="13" t="s">
        <v>3017</v>
      </c>
      <c r="B343" s="12" t="s">
        <v>2861</v>
      </c>
      <c r="C343" s="12" t="s">
        <v>3093</v>
      </c>
      <c r="D343" s="12" t="s">
        <v>2609</v>
      </c>
      <c r="E343" s="12" t="str">
        <f t="shared" si="12"/>
        <v>95</v>
      </c>
      <c r="F343" s="14">
        <v>486235</v>
      </c>
      <c r="G343" s="67" t="s">
        <v>5604</v>
      </c>
      <c r="H343" s="14" t="s">
        <v>5601</v>
      </c>
      <c r="I343" s="14" t="s">
        <v>2458</v>
      </c>
      <c r="J343" s="33" t="s">
        <v>7110</v>
      </c>
      <c r="K343" s="68">
        <v>0</v>
      </c>
      <c r="L343" s="68">
        <v>0</v>
      </c>
      <c r="M343" s="68" t="s">
        <v>8915</v>
      </c>
      <c r="N343" s="68">
        <v>0</v>
      </c>
      <c r="O343" s="68">
        <v>0</v>
      </c>
      <c r="P343" s="198" t="s">
        <v>5605</v>
      </c>
    </row>
    <row r="344" spans="1:16" ht="18.75" hidden="1">
      <c r="A344" s="13" t="s">
        <v>3018</v>
      </c>
      <c r="B344" s="12" t="s">
        <v>2864</v>
      </c>
      <c r="C344" s="12" t="s">
        <v>3085</v>
      </c>
      <c r="D344" s="12" t="s">
        <v>2751</v>
      </c>
      <c r="E344" s="12" t="str">
        <f t="shared" si="12"/>
        <v>95</v>
      </c>
      <c r="F344" s="14">
        <v>399220</v>
      </c>
      <c r="G344" s="67" t="s">
        <v>5607</v>
      </c>
      <c r="H344" s="14" t="s">
        <v>5601</v>
      </c>
      <c r="I344" s="14" t="s">
        <v>2458</v>
      </c>
      <c r="J344" s="33" t="s">
        <v>7110</v>
      </c>
      <c r="K344" s="68">
        <v>0</v>
      </c>
      <c r="L344" s="68">
        <v>0</v>
      </c>
      <c r="M344" s="68" t="s">
        <v>8915</v>
      </c>
      <c r="N344" s="68">
        <v>0</v>
      </c>
      <c r="O344" s="68">
        <v>0</v>
      </c>
      <c r="P344" s="198" t="s">
        <v>5608</v>
      </c>
    </row>
    <row r="345" spans="1:16" ht="18.75" hidden="1">
      <c r="A345" s="13" t="s">
        <v>3008</v>
      </c>
      <c r="B345" s="12" t="s">
        <v>2861</v>
      </c>
      <c r="C345" s="12" t="s">
        <v>2791</v>
      </c>
      <c r="D345" s="12" t="s">
        <v>2612</v>
      </c>
      <c r="E345" s="12" t="str">
        <f t="shared" si="12"/>
        <v>95</v>
      </c>
      <c r="F345" s="14">
        <v>942866</v>
      </c>
      <c r="G345" s="67" t="s">
        <v>5607</v>
      </c>
      <c r="H345" s="14" t="s">
        <v>5601</v>
      </c>
      <c r="I345" s="14" t="s">
        <v>2458</v>
      </c>
      <c r="J345" s="33" t="s">
        <v>7110</v>
      </c>
      <c r="K345" s="68">
        <v>0</v>
      </c>
      <c r="L345" s="68">
        <v>0</v>
      </c>
      <c r="M345" s="68" t="s">
        <v>8915</v>
      </c>
      <c r="N345" s="68">
        <v>0</v>
      </c>
      <c r="O345" s="68">
        <v>0</v>
      </c>
      <c r="P345" s="198" t="s">
        <v>5608</v>
      </c>
    </row>
    <row r="346" spans="1:16" ht="18.75" hidden="1">
      <c r="A346" s="13" t="s">
        <v>2989</v>
      </c>
      <c r="B346" s="12" t="s">
        <v>2859</v>
      </c>
      <c r="C346" s="12" t="s">
        <v>3139</v>
      </c>
      <c r="D346" s="12" t="s">
        <v>2752</v>
      </c>
      <c r="E346" s="12" t="str">
        <f t="shared" si="12"/>
        <v>95</v>
      </c>
      <c r="F346" s="14">
        <v>1000000</v>
      </c>
      <c r="G346" s="67" t="s">
        <v>5607</v>
      </c>
      <c r="H346" s="14" t="s">
        <v>5601</v>
      </c>
      <c r="I346" s="14" t="s">
        <v>2458</v>
      </c>
      <c r="J346" s="33" t="s">
        <v>7110</v>
      </c>
      <c r="K346" s="68">
        <v>0</v>
      </c>
      <c r="L346" s="68">
        <v>0</v>
      </c>
      <c r="M346" s="68" t="s">
        <v>8915</v>
      </c>
      <c r="N346" s="68">
        <v>0</v>
      </c>
      <c r="O346" s="68">
        <v>0</v>
      </c>
      <c r="P346" s="198" t="s">
        <v>5608</v>
      </c>
    </row>
    <row r="347" spans="1:16" ht="18.75" hidden="1">
      <c r="A347" s="13" t="s">
        <v>3019</v>
      </c>
      <c r="B347" s="12" t="s">
        <v>2870</v>
      </c>
      <c r="C347" s="12" t="s">
        <v>2783</v>
      </c>
      <c r="D347" s="12" t="s">
        <v>2751</v>
      </c>
      <c r="E347" s="12" t="str">
        <f t="shared" si="12"/>
        <v>95</v>
      </c>
      <c r="F347" s="14">
        <v>4088</v>
      </c>
      <c r="G347" s="67" t="s">
        <v>5604</v>
      </c>
      <c r="H347" s="14" t="s">
        <v>5601</v>
      </c>
      <c r="I347" s="14" t="s">
        <v>2458</v>
      </c>
      <c r="J347" s="33" t="s">
        <v>7110</v>
      </c>
      <c r="K347" s="68">
        <v>0</v>
      </c>
      <c r="L347" s="68">
        <v>0</v>
      </c>
      <c r="M347" s="68" t="s">
        <v>8915</v>
      </c>
      <c r="N347" s="68">
        <v>0</v>
      </c>
      <c r="O347" s="68">
        <v>0</v>
      </c>
      <c r="P347" s="198" t="s">
        <v>5618</v>
      </c>
    </row>
    <row r="348" spans="1:16" ht="18.75" hidden="1">
      <c r="A348" s="13" t="s">
        <v>3020</v>
      </c>
      <c r="B348" s="12" t="s">
        <v>2870</v>
      </c>
      <c r="C348" s="12" t="s">
        <v>2793</v>
      </c>
      <c r="D348" s="12" t="s">
        <v>2751</v>
      </c>
      <c r="E348" s="12" t="str">
        <f t="shared" si="12"/>
        <v>95</v>
      </c>
      <c r="F348" s="14">
        <v>34819</v>
      </c>
      <c r="G348" s="67" t="s">
        <v>5604</v>
      </c>
      <c r="H348" s="14" t="s">
        <v>5601</v>
      </c>
      <c r="I348" s="14" t="s">
        <v>2458</v>
      </c>
      <c r="J348" s="33" t="e">
        <f>VLOOKUP(C348,شرکتها!A:B,2,FALSE)</f>
        <v>#N/A</v>
      </c>
      <c r="K348" s="68">
        <v>0</v>
      </c>
      <c r="L348" s="68">
        <v>0</v>
      </c>
      <c r="M348" s="68" t="s">
        <v>8915</v>
      </c>
      <c r="N348" s="68">
        <v>0</v>
      </c>
      <c r="O348" s="68">
        <v>0</v>
      </c>
      <c r="P348" s="198" t="s">
        <v>5613</v>
      </c>
    </row>
    <row r="349" spans="1:16" ht="18.75" hidden="1">
      <c r="A349" s="13" t="s">
        <v>3020</v>
      </c>
      <c r="B349" s="12" t="s">
        <v>2870</v>
      </c>
      <c r="C349" s="12" t="s">
        <v>3109</v>
      </c>
      <c r="D349" s="12" t="s">
        <v>2861</v>
      </c>
      <c r="E349" s="12" t="str">
        <f t="shared" si="12"/>
        <v>95</v>
      </c>
      <c r="F349" s="14">
        <v>463251</v>
      </c>
      <c r="G349" s="67" t="s">
        <v>5604</v>
      </c>
      <c r="H349" s="14" t="s">
        <v>5601</v>
      </c>
      <c r="I349" s="14" t="s">
        <v>2458</v>
      </c>
      <c r="J349" s="33" t="s">
        <v>7110</v>
      </c>
      <c r="K349" s="68">
        <v>0</v>
      </c>
      <c r="L349" s="68">
        <v>0</v>
      </c>
      <c r="M349" s="68" t="s">
        <v>8915</v>
      </c>
      <c r="N349" s="68">
        <v>0</v>
      </c>
      <c r="O349" s="68">
        <v>0</v>
      </c>
      <c r="P349" s="198" t="s">
        <v>5613</v>
      </c>
    </row>
    <row r="350" spans="1:16" ht="18.75" hidden="1">
      <c r="A350" s="13" t="s">
        <v>3021</v>
      </c>
      <c r="B350" s="12" t="s">
        <v>2860</v>
      </c>
      <c r="C350" s="12" t="s">
        <v>3115</v>
      </c>
      <c r="D350" s="12" t="s">
        <v>2869</v>
      </c>
      <c r="E350" s="12" t="str">
        <f t="shared" si="12"/>
        <v>95</v>
      </c>
      <c r="F350" s="14">
        <v>100230</v>
      </c>
      <c r="G350" s="67" t="s">
        <v>5604</v>
      </c>
      <c r="H350" s="14" t="s">
        <v>5601</v>
      </c>
      <c r="I350" s="14" t="s">
        <v>2458</v>
      </c>
      <c r="J350" s="33" t="s">
        <v>7110</v>
      </c>
      <c r="K350" s="68">
        <v>0</v>
      </c>
      <c r="L350" s="68">
        <v>0</v>
      </c>
      <c r="M350" s="68" t="s">
        <v>8915</v>
      </c>
      <c r="N350" s="68">
        <v>0</v>
      </c>
      <c r="O350" s="68">
        <v>0</v>
      </c>
      <c r="P350" s="198" t="s">
        <v>5618</v>
      </c>
    </row>
    <row r="351" spans="1:16" ht="18.75" hidden="1">
      <c r="A351" s="13" t="s">
        <v>3022</v>
      </c>
      <c r="B351" s="12" t="s">
        <v>2863</v>
      </c>
      <c r="C351" s="12" t="s">
        <v>3128</v>
      </c>
      <c r="D351" s="12" t="s">
        <v>2751</v>
      </c>
      <c r="E351" s="12" t="str">
        <f t="shared" si="12"/>
        <v>95</v>
      </c>
      <c r="F351" s="14">
        <v>199620</v>
      </c>
      <c r="G351" s="67" t="s">
        <v>5607</v>
      </c>
      <c r="H351" s="14" t="s">
        <v>5601</v>
      </c>
      <c r="I351" s="14" t="s">
        <v>2458</v>
      </c>
      <c r="J351" s="33" t="s">
        <v>7110</v>
      </c>
      <c r="K351" s="68">
        <v>0</v>
      </c>
      <c r="L351" s="68">
        <v>0</v>
      </c>
      <c r="M351" s="68" t="s">
        <v>8915</v>
      </c>
      <c r="N351" s="68">
        <v>0</v>
      </c>
      <c r="O351" s="68">
        <v>0</v>
      </c>
      <c r="P351" s="198" t="s">
        <v>5608</v>
      </c>
    </row>
    <row r="352" spans="1:16" ht="18.75" hidden="1">
      <c r="A352" s="13" t="s">
        <v>3019</v>
      </c>
      <c r="B352" s="12" t="s">
        <v>2870</v>
      </c>
      <c r="C352" s="12" t="s">
        <v>3140</v>
      </c>
      <c r="D352" s="12" t="s">
        <v>2758</v>
      </c>
      <c r="E352" s="12" t="str">
        <f t="shared" si="12"/>
        <v>95</v>
      </c>
      <c r="F352" s="14">
        <v>289098</v>
      </c>
      <c r="G352" s="67" t="s">
        <v>5604</v>
      </c>
      <c r="H352" s="14" t="s">
        <v>5601</v>
      </c>
      <c r="I352" s="14" t="s">
        <v>2458</v>
      </c>
      <c r="J352" s="33" t="s">
        <v>7110</v>
      </c>
      <c r="K352" s="68">
        <v>0</v>
      </c>
      <c r="L352" s="68">
        <v>0</v>
      </c>
      <c r="M352" s="68" t="s">
        <v>8915</v>
      </c>
      <c r="N352" s="68">
        <v>0</v>
      </c>
      <c r="O352" s="68">
        <v>0</v>
      </c>
      <c r="P352" s="198" t="s">
        <v>5618</v>
      </c>
    </row>
    <row r="353" spans="1:16" ht="18.75" hidden="1">
      <c r="A353" s="13" t="s">
        <v>2968</v>
      </c>
      <c r="B353" s="12" t="s">
        <v>2856</v>
      </c>
      <c r="C353" s="12" t="s">
        <v>3083</v>
      </c>
      <c r="D353" s="12" t="s">
        <v>2619</v>
      </c>
      <c r="E353" s="12" t="str">
        <f t="shared" si="12"/>
        <v>95</v>
      </c>
      <c r="F353" s="14">
        <v>196270</v>
      </c>
      <c r="G353" s="67" t="s">
        <v>5611</v>
      </c>
      <c r="H353" s="14" t="s">
        <v>5601</v>
      </c>
      <c r="I353" s="14" t="s">
        <v>2458</v>
      </c>
      <c r="J353" s="33" t="s">
        <v>7110</v>
      </c>
      <c r="K353" s="68">
        <v>0</v>
      </c>
      <c r="L353" s="68">
        <v>0</v>
      </c>
      <c r="M353" s="68" t="s">
        <v>8915</v>
      </c>
      <c r="N353" s="68">
        <v>0</v>
      </c>
      <c r="O353" s="68">
        <v>0</v>
      </c>
      <c r="P353" s="198" t="s">
        <v>5612</v>
      </c>
    </row>
    <row r="354" spans="1:16" ht="18.75" hidden="1">
      <c r="A354" s="13" t="s">
        <v>3023</v>
      </c>
      <c r="B354" s="12" t="s">
        <v>2858</v>
      </c>
      <c r="C354" s="12" t="s">
        <v>3141</v>
      </c>
      <c r="D354" s="12" t="s">
        <v>2863</v>
      </c>
      <c r="E354" s="12" t="str">
        <f t="shared" si="12"/>
        <v>95</v>
      </c>
      <c r="F354" s="14">
        <v>350000</v>
      </c>
      <c r="G354" s="67" t="s">
        <v>5604</v>
      </c>
      <c r="H354" s="14" t="s">
        <v>5601</v>
      </c>
      <c r="I354" s="14" t="s">
        <v>2458</v>
      </c>
      <c r="J354" s="33" t="e">
        <f>VLOOKUP(C354,شرکتها!A:B,2,FALSE)</f>
        <v>#N/A</v>
      </c>
      <c r="K354" s="68">
        <v>0</v>
      </c>
      <c r="L354" s="68">
        <v>0</v>
      </c>
      <c r="M354" s="68" t="s">
        <v>8915</v>
      </c>
      <c r="N354" s="68">
        <v>0</v>
      </c>
      <c r="O354" s="68">
        <v>0</v>
      </c>
      <c r="P354" s="198" t="s">
        <v>5613</v>
      </c>
    </row>
    <row r="355" spans="1:16" ht="18.75" hidden="1">
      <c r="A355" s="13" t="s">
        <v>3024</v>
      </c>
      <c r="B355" s="12" t="s">
        <v>2868</v>
      </c>
      <c r="C355" s="12" t="s">
        <v>3117</v>
      </c>
      <c r="D355" s="12" t="s">
        <v>2609</v>
      </c>
      <c r="E355" s="12" t="str">
        <f t="shared" si="12"/>
        <v>95</v>
      </c>
      <c r="F355" s="14">
        <v>196871</v>
      </c>
      <c r="G355" s="67" t="s">
        <v>5604</v>
      </c>
      <c r="H355" s="14" t="s">
        <v>5601</v>
      </c>
      <c r="I355" s="14" t="s">
        <v>2458</v>
      </c>
      <c r="J355" s="33" t="s">
        <v>7110</v>
      </c>
      <c r="K355" s="68">
        <v>0</v>
      </c>
      <c r="L355" s="68">
        <v>0</v>
      </c>
      <c r="M355" s="68" t="s">
        <v>8915</v>
      </c>
      <c r="N355" s="68">
        <v>0</v>
      </c>
      <c r="O355" s="68">
        <v>0</v>
      </c>
      <c r="P355" s="198" t="s">
        <v>5605</v>
      </c>
    </row>
    <row r="356" spans="1:16" ht="18.75" hidden="1">
      <c r="A356" s="13" t="s">
        <v>3025</v>
      </c>
      <c r="B356" s="12" t="s">
        <v>2866</v>
      </c>
      <c r="C356" s="12" t="s">
        <v>3142</v>
      </c>
      <c r="D356" s="12" t="s">
        <v>2858</v>
      </c>
      <c r="E356" s="12" t="str">
        <f t="shared" si="12"/>
        <v>95</v>
      </c>
      <c r="F356" s="14">
        <v>964180</v>
      </c>
      <c r="G356" s="67" t="s">
        <v>5604</v>
      </c>
      <c r="H356" s="14" t="s">
        <v>5601</v>
      </c>
      <c r="I356" s="14" t="s">
        <v>2458</v>
      </c>
      <c r="J356" s="33" t="s">
        <v>7110</v>
      </c>
      <c r="K356" s="68">
        <v>0</v>
      </c>
      <c r="L356" s="68">
        <v>0</v>
      </c>
      <c r="M356" s="68" t="s">
        <v>8915</v>
      </c>
      <c r="N356" s="68">
        <v>0</v>
      </c>
      <c r="O356" s="68">
        <v>0</v>
      </c>
      <c r="P356" s="198" t="s">
        <v>5615</v>
      </c>
    </row>
    <row r="357" spans="1:16" ht="18.75" hidden="1">
      <c r="A357" s="13" t="s">
        <v>3026</v>
      </c>
      <c r="B357" s="12" t="s">
        <v>2860</v>
      </c>
      <c r="C357" s="12" t="s">
        <v>3093</v>
      </c>
      <c r="D357" s="12" t="s">
        <v>2609</v>
      </c>
      <c r="E357" s="12" t="str">
        <f t="shared" si="12"/>
        <v>95</v>
      </c>
      <c r="F357" s="14">
        <v>28610</v>
      </c>
      <c r="G357" s="67" t="s">
        <v>5604</v>
      </c>
      <c r="H357" s="14" t="s">
        <v>5601</v>
      </c>
      <c r="I357" s="14" t="s">
        <v>2458</v>
      </c>
      <c r="J357" s="33" t="s">
        <v>7110</v>
      </c>
      <c r="K357" s="68">
        <v>0</v>
      </c>
      <c r="L357" s="68">
        <v>0</v>
      </c>
      <c r="M357" s="68" t="s">
        <v>8915</v>
      </c>
      <c r="N357" s="68">
        <v>0</v>
      </c>
      <c r="O357" s="68">
        <v>0</v>
      </c>
      <c r="P357" s="198" t="s">
        <v>5605</v>
      </c>
    </row>
    <row r="358" spans="1:16" ht="18.75" hidden="1">
      <c r="A358" s="13" t="s">
        <v>3026</v>
      </c>
      <c r="B358" s="12" t="s">
        <v>2860</v>
      </c>
      <c r="C358" s="12" t="s">
        <v>3129</v>
      </c>
      <c r="D358" s="12" t="s">
        <v>2758</v>
      </c>
      <c r="E358" s="12" t="str">
        <f t="shared" si="12"/>
        <v>95</v>
      </c>
      <c r="F358" s="14">
        <v>363215</v>
      </c>
      <c r="G358" s="67" t="s">
        <v>5604</v>
      </c>
      <c r="H358" s="14" t="s">
        <v>5601</v>
      </c>
      <c r="I358" s="14" t="s">
        <v>2458</v>
      </c>
      <c r="J358" s="33" t="s">
        <v>7110</v>
      </c>
      <c r="K358" s="68">
        <v>0</v>
      </c>
      <c r="L358" s="68">
        <v>0</v>
      </c>
      <c r="M358" s="68" t="s">
        <v>8915</v>
      </c>
      <c r="N358" s="68">
        <v>0</v>
      </c>
      <c r="O358" s="68">
        <v>0</v>
      </c>
      <c r="P358" s="198" t="s">
        <v>5618</v>
      </c>
    </row>
    <row r="359" spans="1:16" ht="18.75" hidden="1">
      <c r="A359" s="13" t="s">
        <v>3026</v>
      </c>
      <c r="B359" s="12" t="s">
        <v>2860</v>
      </c>
      <c r="C359" s="12" t="s">
        <v>3122</v>
      </c>
      <c r="D359" s="12" t="s">
        <v>2611</v>
      </c>
      <c r="E359" s="12" t="str">
        <f t="shared" si="12"/>
        <v>95</v>
      </c>
      <c r="F359" s="14">
        <v>11360</v>
      </c>
      <c r="G359" s="67" t="s">
        <v>5604</v>
      </c>
      <c r="H359" s="14" t="s">
        <v>5601</v>
      </c>
      <c r="I359" s="14" t="s">
        <v>2458</v>
      </c>
      <c r="J359" s="33" t="s">
        <v>7110</v>
      </c>
      <c r="K359" s="68">
        <v>0</v>
      </c>
      <c r="L359" s="68">
        <v>0</v>
      </c>
      <c r="M359" s="68" t="s">
        <v>8915</v>
      </c>
      <c r="N359" s="68">
        <v>0</v>
      </c>
      <c r="O359" s="68">
        <v>0</v>
      </c>
      <c r="P359" s="198" t="s">
        <v>5605</v>
      </c>
    </row>
    <row r="360" spans="1:16" ht="18.75" hidden="1">
      <c r="A360" s="13" t="s">
        <v>3026</v>
      </c>
      <c r="B360" s="12" t="s">
        <v>2860</v>
      </c>
      <c r="C360" s="12" t="s">
        <v>3135</v>
      </c>
      <c r="D360" s="12" t="s">
        <v>2869</v>
      </c>
      <c r="E360" s="12" t="str">
        <f t="shared" si="12"/>
        <v>95</v>
      </c>
      <c r="F360" s="14">
        <v>475380</v>
      </c>
      <c r="G360" s="67" t="s">
        <v>5604</v>
      </c>
      <c r="H360" s="14" t="s">
        <v>5601</v>
      </c>
      <c r="I360" s="14" t="s">
        <v>2458</v>
      </c>
      <c r="J360" s="33" t="s">
        <v>7110</v>
      </c>
      <c r="K360" s="68">
        <v>0</v>
      </c>
      <c r="L360" s="68">
        <v>0</v>
      </c>
      <c r="M360" s="68" t="s">
        <v>8915</v>
      </c>
      <c r="N360" s="68">
        <v>0</v>
      </c>
      <c r="O360" s="68">
        <v>0</v>
      </c>
      <c r="P360" s="198" t="s">
        <v>5618</v>
      </c>
    </row>
    <row r="361" spans="1:16" ht="18.75" hidden="1">
      <c r="A361" s="13" t="s">
        <v>3027</v>
      </c>
      <c r="B361" s="12" t="s">
        <v>2869</v>
      </c>
      <c r="C361" s="12" t="s">
        <v>3069</v>
      </c>
      <c r="D361" s="12" t="s">
        <v>2619</v>
      </c>
      <c r="E361" s="12" t="str">
        <f t="shared" si="12"/>
        <v>95</v>
      </c>
      <c r="F361" s="14">
        <v>184080</v>
      </c>
      <c r="G361" s="67" t="s">
        <v>5611</v>
      </c>
      <c r="H361" s="14" t="s">
        <v>5601</v>
      </c>
      <c r="I361" s="14" t="s">
        <v>2458</v>
      </c>
      <c r="J361" s="33" t="s">
        <v>7110</v>
      </c>
      <c r="K361" s="68">
        <v>0</v>
      </c>
      <c r="L361" s="68">
        <v>0</v>
      </c>
      <c r="M361" s="68" t="s">
        <v>8915</v>
      </c>
      <c r="N361" s="68">
        <v>0</v>
      </c>
      <c r="O361" s="68">
        <v>0</v>
      </c>
      <c r="P361" s="198" t="s">
        <v>5612</v>
      </c>
    </row>
    <row r="362" spans="1:16" ht="18.75" hidden="1">
      <c r="A362" s="13" t="s">
        <v>2973</v>
      </c>
      <c r="B362" s="12" t="s">
        <v>2866</v>
      </c>
      <c r="C362" s="12" t="s">
        <v>3131</v>
      </c>
      <c r="D362" s="12" t="s">
        <v>2755</v>
      </c>
      <c r="E362" s="12" t="str">
        <f t="shared" si="12"/>
        <v>95</v>
      </c>
      <c r="F362" s="14">
        <v>969500</v>
      </c>
      <c r="G362" s="67" t="s">
        <v>5616</v>
      </c>
      <c r="H362" s="14" t="s">
        <v>5601</v>
      </c>
      <c r="I362" s="14" t="s">
        <v>2458</v>
      </c>
      <c r="J362" s="33" t="s">
        <v>7110</v>
      </c>
      <c r="K362" s="68">
        <v>0</v>
      </c>
      <c r="L362" s="68">
        <v>0</v>
      </c>
      <c r="M362" s="68" t="s">
        <v>8915</v>
      </c>
      <c r="N362" s="68">
        <v>0</v>
      </c>
      <c r="O362" s="68">
        <v>0</v>
      </c>
      <c r="P362" s="198" t="s">
        <v>5617</v>
      </c>
    </row>
    <row r="363" spans="1:16" ht="18.75" hidden="1">
      <c r="A363" s="13" t="s">
        <v>3027</v>
      </c>
      <c r="B363" s="12" t="s">
        <v>2869</v>
      </c>
      <c r="C363" s="12" t="s">
        <v>2647</v>
      </c>
      <c r="D363" s="12" t="s">
        <v>2608</v>
      </c>
      <c r="E363" s="12" t="str">
        <f t="shared" si="12"/>
        <v>95</v>
      </c>
      <c r="F363" s="14">
        <v>2390</v>
      </c>
      <c r="G363" s="67" t="s">
        <v>5604</v>
      </c>
      <c r="H363" s="14" t="s">
        <v>5601</v>
      </c>
      <c r="I363" s="14" t="s">
        <v>2458</v>
      </c>
      <c r="J363" s="33" t="s">
        <v>7110</v>
      </c>
      <c r="K363" s="68">
        <v>0</v>
      </c>
      <c r="L363" s="68">
        <v>0</v>
      </c>
      <c r="M363" s="68" t="s">
        <v>8915</v>
      </c>
      <c r="N363" s="68">
        <v>0</v>
      </c>
      <c r="O363" s="68">
        <v>0</v>
      </c>
      <c r="P363" s="198" t="s">
        <v>5605</v>
      </c>
    </row>
    <row r="364" spans="1:16" ht="18.75" hidden="1">
      <c r="A364" s="13" t="s">
        <v>3028</v>
      </c>
      <c r="B364" s="12" t="s">
        <v>2862</v>
      </c>
      <c r="C364" s="12" t="s">
        <v>2785</v>
      </c>
      <c r="D364" s="12" t="s">
        <v>2619</v>
      </c>
      <c r="E364" s="12" t="str">
        <f t="shared" si="12"/>
        <v>95</v>
      </c>
      <c r="F364" s="14">
        <v>100120</v>
      </c>
      <c r="G364" s="67" t="s">
        <v>5611</v>
      </c>
      <c r="H364" s="14" t="s">
        <v>5601</v>
      </c>
      <c r="I364" s="14" t="s">
        <v>2458</v>
      </c>
      <c r="J364" s="33" t="s">
        <v>7110</v>
      </c>
      <c r="K364" s="68">
        <v>0</v>
      </c>
      <c r="L364" s="68">
        <v>0</v>
      </c>
      <c r="M364" s="68" t="s">
        <v>8915</v>
      </c>
      <c r="N364" s="68">
        <v>0</v>
      </c>
      <c r="O364" s="68">
        <v>0</v>
      </c>
      <c r="P364" s="198" t="s">
        <v>5612</v>
      </c>
    </row>
    <row r="365" spans="1:16" ht="18.75" hidden="1">
      <c r="A365" s="13" t="s">
        <v>3029</v>
      </c>
      <c r="B365" s="12" t="s">
        <v>2870</v>
      </c>
      <c r="C365" s="12" t="s">
        <v>3127</v>
      </c>
      <c r="D365" s="12" t="s">
        <v>2757</v>
      </c>
      <c r="E365" s="12" t="str">
        <f t="shared" si="12"/>
        <v>95</v>
      </c>
      <c r="F365" s="14">
        <v>990660</v>
      </c>
      <c r="G365" s="67" t="s">
        <v>5604</v>
      </c>
      <c r="H365" s="14" t="s">
        <v>5601</v>
      </c>
      <c r="I365" s="14" t="s">
        <v>2458</v>
      </c>
      <c r="J365" s="33" t="s">
        <v>7110</v>
      </c>
      <c r="K365" s="68">
        <v>0</v>
      </c>
      <c r="L365" s="68">
        <v>0</v>
      </c>
      <c r="M365" s="68" t="s">
        <v>8915</v>
      </c>
      <c r="N365" s="68">
        <v>0</v>
      </c>
      <c r="O365" s="68">
        <v>0</v>
      </c>
      <c r="P365" s="198" t="s">
        <v>5613</v>
      </c>
    </row>
    <row r="366" spans="1:16" ht="18.75" hidden="1">
      <c r="A366" s="13" t="s">
        <v>3023</v>
      </c>
      <c r="B366" s="12" t="s">
        <v>2858</v>
      </c>
      <c r="C366" s="12" t="s">
        <v>3061</v>
      </c>
      <c r="D366" s="12" t="s">
        <v>2758</v>
      </c>
      <c r="E366" s="12" t="str">
        <f t="shared" si="12"/>
        <v>95</v>
      </c>
      <c r="F366" s="14">
        <v>115327</v>
      </c>
      <c r="G366" s="67" t="s">
        <v>5604</v>
      </c>
      <c r="H366" s="14" t="s">
        <v>5601</v>
      </c>
      <c r="I366" s="14" t="s">
        <v>2458</v>
      </c>
      <c r="J366" s="33" t="s">
        <v>7110</v>
      </c>
      <c r="K366" s="68">
        <v>0</v>
      </c>
      <c r="L366" s="68">
        <v>0</v>
      </c>
      <c r="M366" s="68" t="s">
        <v>8915</v>
      </c>
      <c r="N366" s="68">
        <v>0</v>
      </c>
      <c r="O366" s="68">
        <v>0</v>
      </c>
      <c r="P366" s="198" t="s">
        <v>5613</v>
      </c>
    </row>
    <row r="367" spans="1:16" ht="18.75" hidden="1">
      <c r="A367" s="13" t="s">
        <v>3030</v>
      </c>
      <c r="B367" s="12" t="s">
        <v>3050</v>
      </c>
      <c r="C367" s="12" t="s">
        <v>3130</v>
      </c>
      <c r="D367" s="12" t="s">
        <v>2755</v>
      </c>
      <c r="E367" s="12" t="str">
        <f t="shared" si="12"/>
        <v>95</v>
      </c>
      <c r="F367" s="14">
        <v>997000</v>
      </c>
      <c r="G367" s="67" t="s">
        <v>5616</v>
      </c>
      <c r="H367" s="14" t="s">
        <v>5601</v>
      </c>
      <c r="I367" s="14" t="s">
        <v>2458</v>
      </c>
      <c r="J367" s="33" t="s">
        <v>7110</v>
      </c>
      <c r="K367" s="68">
        <v>0</v>
      </c>
      <c r="L367" s="68">
        <v>0</v>
      </c>
      <c r="M367" s="68" t="s">
        <v>8915</v>
      </c>
      <c r="N367" s="68">
        <v>0</v>
      </c>
      <c r="O367" s="68">
        <v>0</v>
      </c>
      <c r="P367" s="198" t="s">
        <v>5617</v>
      </c>
    </row>
    <row r="368" spans="1:16" ht="18.75" hidden="1">
      <c r="A368" s="13" t="s">
        <v>2991</v>
      </c>
      <c r="B368" s="12" t="s">
        <v>2857</v>
      </c>
      <c r="C368" s="12" t="s">
        <v>3143</v>
      </c>
      <c r="D368" s="12" t="s">
        <v>2751</v>
      </c>
      <c r="E368" s="12" t="str">
        <f t="shared" si="12"/>
        <v>95</v>
      </c>
      <c r="F368" s="14">
        <v>300000</v>
      </c>
      <c r="G368" s="67" t="s">
        <v>5607</v>
      </c>
      <c r="H368" s="14" t="s">
        <v>5601</v>
      </c>
      <c r="I368" s="14" t="s">
        <v>2458</v>
      </c>
      <c r="J368" s="33" t="s">
        <v>7110</v>
      </c>
      <c r="K368" s="68">
        <v>0</v>
      </c>
      <c r="L368" s="68">
        <v>0</v>
      </c>
      <c r="M368" s="68" t="s">
        <v>8915</v>
      </c>
      <c r="N368" s="68">
        <v>0</v>
      </c>
      <c r="O368" s="68">
        <v>0</v>
      </c>
      <c r="P368" s="198" t="s">
        <v>5608</v>
      </c>
    </row>
    <row r="369" spans="1:16" ht="18.75" hidden="1">
      <c r="A369" s="13" t="s">
        <v>3027</v>
      </c>
      <c r="B369" s="12" t="s">
        <v>2869</v>
      </c>
      <c r="C369" s="12" t="s">
        <v>3070</v>
      </c>
      <c r="D369" s="12" t="s">
        <v>2754</v>
      </c>
      <c r="E369" s="12" t="str">
        <f t="shared" si="12"/>
        <v>95</v>
      </c>
      <c r="F369" s="14">
        <v>28502</v>
      </c>
      <c r="G369" s="67" t="s">
        <v>5611</v>
      </c>
      <c r="H369" s="14" t="s">
        <v>5601</v>
      </c>
      <c r="I369" s="14" t="s">
        <v>2458</v>
      </c>
      <c r="J369" s="33" t="s">
        <v>7110</v>
      </c>
      <c r="K369" s="68">
        <v>0</v>
      </c>
      <c r="L369" s="68">
        <v>0</v>
      </c>
      <c r="M369" s="68" t="s">
        <v>8915</v>
      </c>
      <c r="N369" s="68">
        <v>0</v>
      </c>
      <c r="O369" s="68">
        <v>0</v>
      </c>
      <c r="P369" s="198" t="s">
        <v>5612</v>
      </c>
    </row>
    <row r="370" spans="1:16" ht="18.75" hidden="1">
      <c r="A370" s="13" t="s">
        <v>3031</v>
      </c>
      <c r="B370" s="12" t="s">
        <v>3046</v>
      </c>
      <c r="C370" s="12" t="s">
        <v>3093</v>
      </c>
      <c r="D370" s="12" t="s">
        <v>2609</v>
      </c>
      <c r="E370" s="12" t="str">
        <f t="shared" si="12"/>
        <v>95</v>
      </c>
      <c r="F370" s="14">
        <v>662092</v>
      </c>
      <c r="G370" s="67" t="s">
        <v>5604</v>
      </c>
      <c r="H370" s="14" t="s">
        <v>5601</v>
      </c>
      <c r="I370" s="14" t="s">
        <v>2458</v>
      </c>
      <c r="J370" s="33" t="s">
        <v>7110</v>
      </c>
      <c r="K370" s="68">
        <v>0</v>
      </c>
      <c r="L370" s="68">
        <v>0</v>
      </c>
      <c r="M370" s="68" t="s">
        <v>8915</v>
      </c>
      <c r="N370" s="68">
        <v>0</v>
      </c>
      <c r="O370" s="68">
        <v>0</v>
      </c>
      <c r="P370" s="198" t="s">
        <v>5605</v>
      </c>
    </row>
    <row r="371" spans="1:16" ht="18.75" hidden="1">
      <c r="A371" s="13" t="s">
        <v>3032</v>
      </c>
      <c r="B371" s="12" t="s">
        <v>2862</v>
      </c>
      <c r="C371" s="12" t="s">
        <v>3085</v>
      </c>
      <c r="D371" s="12" t="s">
        <v>2751</v>
      </c>
      <c r="E371" s="12" t="str">
        <f t="shared" si="12"/>
        <v>95</v>
      </c>
      <c r="F371" s="14">
        <v>495920</v>
      </c>
      <c r="G371" s="67" t="s">
        <v>5607</v>
      </c>
      <c r="H371" s="14" t="s">
        <v>5601</v>
      </c>
      <c r="I371" s="14" t="s">
        <v>2458</v>
      </c>
      <c r="J371" s="33" t="s">
        <v>7110</v>
      </c>
      <c r="K371" s="68">
        <v>0</v>
      </c>
      <c r="L371" s="68">
        <v>0</v>
      </c>
      <c r="M371" s="68" t="s">
        <v>8915</v>
      </c>
      <c r="N371" s="68">
        <v>0</v>
      </c>
      <c r="O371" s="68">
        <v>0</v>
      </c>
      <c r="P371" s="198" t="s">
        <v>5608</v>
      </c>
    </row>
    <row r="372" spans="1:16" ht="18.75" hidden="1">
      <c r="A372" s="13" t="s">
        <v>3033</v>
      </c>
      <c r="B372" s="12" t="s">
        <v>2862</v>
      </c>
      <c r="C372" s="12" t="s">
        <v>3076</v>
      </c>
      <c r="D372" s="12" t="s">
        <v>2751</v>
      </c>
      <c r="E372" s="12" t="str">
        <f t="shared" si="12"/>
        <v>95</v>
      </c>
      <c r="F372" s="14">
        <v>373972</v>
      </c>
      <c r="G372" s="67" t="s">
        <v>5607</v>
      </c>
      <c r="H372" s="14" t="s">
        <v>5601</v>
      </c>
      <c r="I372" s="14" t="s">
        <v>2458</v>
      </c>
      <c r="J372" s="33" t="s">
        <v>7110</v>
      </c>
      <c r="K372" s="68">
        <v>0</v>
      </c>
      <c r="L372" s="68">
        <v>0</v>
      </c>
      <c r="M372" s="68" t="s">
        <v>8915</v>
      </c>
      <c r="N372" s="68">
        <v>0</v>
      </c>
      <c r="O372" s="68">
        <v>0</v>
      </c>
      <c r="P372" s="198" t="s">
        <v>5608</v>
      </c>
    </row>
    <row r="373" spans="1:16" ht="18.75" hidden="1">
      <c r="A373" s="13" t="s">
        <v>3034</v>
      </c>
      <c r="B373" s="12" t="s">
        <v>2852</v>
      </c>
      <c r="C373" s="12" t="s">
        <v>3117</v>
      </c>
      <c r="D373" s="12" t="s">
        <v>2609</v>
      </c>
      <c r="E373" s="12" t="str">
        <f t="shared" si="12"/>
        <v>95</v>
      </c>
      <c r="F373" s="14">
        <v>485736</v>
      </c>
      <c r="G373" s="67" t="s">
        <v>5604</v>
      </c>
      <c r="H373" s="14" t="s">
        <v>5601</v>
      </c>
      <c r="I373" s="14" t="s">
        <v>2458</v>
      </c>
      <c r="J373" s="33" t="s">
        <v>7110</v>
      </c>
      <c r="K373" s="68">
        <v>0</v>
      </c>
      <c r="L373" s="68">
        <v>0</v>
      </c>
      <c r="M373" s="68" t="s">
        <v>8915</v>
      </c>
      <c r="N373" s="68">
        <v>0</v>
      </c>
      <c r="O373" s="68">
        <v>0</v>
      </c>
      <c r="P373" s="198" t="s">
        <v>5605</v>
      </c>
    </row>
    <row r="374" spans="1:16" ht="18.75" hidden="1">
      <c r="A374" s="13" t="s">
        <v>3035</v>
      </c>
      <c r="B374" s="12" t="s">
        <v>2869</v>
      </c>
      <c r="C374" s="12" t="s">
        <v>3109</v>
      </c>
      <c r="D374" s="12" t="s">
        <v>2861</v>
      </c>
      <c r="E374" s="12" t="str">
        <f t="shared" si="12"/>
        <v>95</v>
      </c>
      <c r="F374" s="14">
        <v>997222</v>
      </c>
      <c r="G374" s="67" t="s">
        <v>5604</v>
      </c>
      <c r="H374" s="14" t="s">
        <v>5601</v>
      </c>
      <c r="I374" s="14" t="s">
        <v>2458</v>
      </c>
      <c r="J374" s="33" t="s">
        <v>7110</v>
      </c>
      <c r="K374" s="68">
        <v>0</v>
      </c>
      <c r="L374" s="68">
        <v>0</v>
      </c>
      <c r="M374" s="68" t="s">
        <v>8915</v>
      </c>
      <c r="N374" s="68">
        <v>0</v>
      </c>
      <c r="O374" s="68">
        <v>0</v>
      </c>
      <c r="P374" s="198" t="s">
        <v>5613</v>
      </c>
    </row>
    <row r="375" spans="1:16" ht="18.75" hidden="1">
      <c r="A375" s="13" t="s">
        <v>3036</v>
      </c>
      <c r="B375" s="12" t="s">
        <v>2869</v>
      </c>
      <c r="C375" s="12" t="s">
        <v>3117</v>
      </c>
      <c r="D375" s="12" t="s">
        <v>2609</v>
      </c>
      <c r="E375" s="12" t="str">
        <f t="shared" si="12"/>
        <v>95</v>
      </c>
      <c r="F375" s="14">
        <v>196773</v>
      </c>
      <c r="G375" s="67" t="s">
        <v>5604</v>
      </c>
      <c r="H375" s="14" t="s">
        <v>5601</v>
      </c>
      <c r="I375" s="14" t="s">
        <v>2458</v>
      </c>
      <c r="J375" s="33" t="s">
        <v>7110</v>
      </c>
      <c r="K375" s="68">
        <v>0</v>
      </c>
      <c r="L375" s="68">
        <v>0</v>
      </c>
      <c r="M375" s="68" t="s">
        <v>8915</v>
      </c>
      <c r="N375" s="68">
        <v>0</v>
      </c>
      <c r="O375" s="68">
        <v>0</v>
      </c>
      <c r="P375" s="198" t="s">
        <v>5605</v>
      </c>
    </row>
    <row r="376" spans="1:16" ht="18.75" hidden="1">
      <c r="A376" s="13" t="s">
        <v>3031</v>
      </c>
      <c r="B376" s="12" t="s">
        <v>3046</v>
      </c>
      <c r="C376" s="12" t="s">
        <v>3110</v>
      </c>
      <c r="D376" s="12" t="s">
        <v>2862</v>
      </c>
      <c r="E376" s="12" t="str">
        <f t="shared" si="12"/>
        <v>95</v>
      </c>
      <c r="F376" s="14">
        <v>273742</v>
      </c>
      <c r="G376" s="67" t="s">
        <v>5604</v>
      </c>
      <c r="H376" s="14" t="s">
        <v>5601</v>
      </c>
      <c r="I376" s="14" t="s">
        <v>2458</v>
      </c>
      <c r="J376" s="33" t="s">
        <v>7110</v>
      </c>
      <c r="K376" s="68">
        <v>0</v>
      </c>
      <c r="L376" s="68">
        <v>0</v>
      </c>
      <c r="M376" s="68" t="s">
        <v>8915</v>
      </c>
      <c r="N376" s="68">
        <v>0</v>
      </c>
      <c r="O376" s="68">
        <v>0</v>
      </c>
      <c r="P376" s="198" t="s">
        <v>5618</v>
      </c>
    </row>
    <row r="377" spans="1:16" ht="18.75" hidden="1">
      <c r="A377" s="13" t="s">
        <v>3031</v>
      </c>
      <c r="B377" s="12" t="s">
        <v>3046</v>
      </c>
      <c r="C377" s="12" t="s">
        <v>3089</v>
      </c>
      <c r="D377" s="12" t="s">
        <v>2758</v>
      </c>
      <c r="E377" s="12" t="str">
        <f t="shared" si="12"/>
        <v>95</v>
      </c>
      <c r="F377" s="14">
        <v>41361</v>
      </c>
      <c r="G377" s="67" t="s">
        <v>5604</v>
      </c>
      <c r="H377" s="14" t="s">
        <v>5601</v>
      </c>
      <c r="I377" s="14" t="s">
        <v>2458</v>
      </c>
      <c r="J377" s="33" t="s">
        <v>7110</v>
      </c>
      <c r="K377" s="68">
        <v>0</v>
      </c>
      <c r="L377" s="68">
        <v>0</v>
      </c>
      <c r="M377" s="68" t="s">
        <v>8915</v>
      </c>
      <c r="N377" s="68">
        <v>0</v>
      </c>
      <c r="O377" s="68">
        <v>0</v>
      </c>
      <c r="P377" s="198" t="s">
        <v>5618</v>
      </c>
    </row>
    <row r="378" spans="1:16" ht="18.75" hidden="1">
      <c r="A378" s="13" t="s">
        <v>3032</v>
      </c>
      <c r="B378" s="12" t="s">
        <v>2862</v>
      </c>
      <c r="C378" s="12" t="s">
        <v>2810</v>
      </c>
      <c r="D378" s="12" t="s">
        <v>2751</v>
      </c>
      <c r="E378" s="12" t="str">
        <f t="shared" si="12"/>
        <v>95</v>
      </c>
      <c r="F378" s="14">
        <v>1740</v>
      </c>
      <c r="G378" s="67" t="s">
        <v>5607</v>
      </c>
      <c r="H378" s="14" t="s">
        <v>5601</v>
      </c>
      <c r="I378" s="14" t="s">
        <v>2458</v>
      </c>
      <c r="J378" s="33" t="s">
        <v>7110</v>
      </c>
      <c r="K378" s="68">
        <v>0</v>
      </c>
      <c r="L378" s="68">
        <v>0</v>
      </c>
      <c r="M378" s="68" t="s">
        <v>8915</v>
      </c>
      <c r="N378" s="68">
        <v>0</v>
      </c>
      <c r="O378" s="68">
        <v>0</v>
      </c>
      <c r="P378" s="198" t="s">
        <v>5608</v>
      </c>
    </row>
    <row r="379" spans="1:16" ht="18.75" hidden="1">
      <c r="A379" s="13" t="s">
        <v>3037</v>
      </c>
      <c r="B379" s="12" t="s">
        <v>2863</v>
      </c>
      <c r="C379" s="12" t="s">
        <v>3128</v>
      </c>
      <c r="D379" s="12" t="s">
        <v>2751</v>
      </c>
      <c r="E379" s="12" t="str">
        <f t="shared" si="12"/>
        <v>95</v>
      </c>
      <c r="F379" s="14">
        <v>299465</v>
      </c>
      <c r="G379" s="67" t="s">
        <v>5607</v>
      </c>
      <c r="H379" s="14" t="s">
        <v>5601</v>
      </c>
      <c r="I379" s="14" t="s">
        <v>2458</v>
      </c>
      <c r="J379" s="33" t="s">
        <v>7110</v>
      </c>
      <c r="K379" s="68">
        <v>0</v>
      </c>
      <c r="L379" s="68">
        <v>0</v>
      </c>
      <c r="M379" s="68" t="s">
        <v>8915</v>
      </c>
      <c r="N379" s="68">
        <v>0</v>
      </c>
      <c r="O379" s="68">
        <v>0</v>
      </c>
      <c r="P379" s="198" t="s">
        <v>5608</v>
      </c>
    </row>
    <row r="380" spans="1:16" ht="18.75" hidden="1">
      <c r="A380" s="13" t="s">
        <v>2959</v>
      </c>
      <c r="B380" s="12" t="s">
        <v>2862</v>
      </c>
      <c r="C380" s="12" t="s">
        <v>2807</v>
      </c>
      <c r="D380" s="12" t="s">
        <v>2751</v>
      </c>
      <c r="E380" s="12" t="str">
        <f t="shared" si="12"/>
        <v>95</v>
      </c>
      <c r="F380" s="14">
        <v>294367</v>
      </c>
      <c r="G380" s="67" t="s">
        <v>5607</v>
      </c>
      <c r="H380" s="14" t="s">
        <v>5601</v>
      </c>
      <c r="I380" s="14" t="s">
        <v>2458</v>
      </c>
      <c r="J380" s="33" t="s">
        <v>7110</v>
      </c>
      <c r="K380" s="68">
        <v>0</v>
      </c>
      <c r="L380" s="68">
        <v>0</v>
      </c>
      <c r="M380" s="68" t="s">
        <v>8915</v>
      </c>
      <c r="N380" s="68">
        <v>0</v>
      </c>
      <c r="O380" s="68">
        <v>0</v>
      </c>
      <c r="P380" s="198" t="s">
        <v>5608</v>
      </c>
    </row>
    <row r="381" spans="1:16" ht="18.75" hidden="1">
      <c r="A381" s="13" t="s">
        <v>3021</v>
      </c>
      <c r="B381" s="12" t="s">
        <v>2860</v>
      </c>
      <c r="C381" s="12" t="s">
        <v>2808</v>
      </c>
      <c r="D381" s="12" t="s">
        <v>2609</v>
      </c>
      <c r="E381" s="12" t="str">
        <f t="shared" si="12"/>
        <v>95</v>
      </c>
      <c r="F381" s="14">
        <v>660</v>
      </c>
      <c r="G381" s="67" t="s">
        <v>5604</v>
      </c>
      <c r="H381" s="14" t="s">
        <v>5601</v>
      </c>
      <c r="I381" s="14" t="s">
        <v>2458</v>
      </c>
      <c r="J381" s="33" t="s">
        <v>7110</v>
      </c>
      <c r="K381" s="68">
        <v>0</v>
      </c>
      <c r="L381" s="68">
        <v>0</v>
      </c>
      <c r="M381" s="68" t="s">
        <v>8915</v>
      </c>
      <c r="N381" s="68">
        <v>0</v>
      </c>
      <c r="O381" s="68">
        <v>0</v>
      </c>
      <c r="P381" s="198" t="s">
        <v>5605</v>
      </c>
    </row>
    <row r="382" spans="1:16" ht="18.75" hidden="1">
      <c r="A382" s="13" t="s">
        <v>3038</v>
      </c>
      <c r="B382" s="12" t="s">
        <v>3043</v>
      </c>
      <c r="C382" s="12" t="s">
        <v>3121</v>
      </c>
      <c r="D382" s="12" t="s">
        <v>3047</v>
      </c>
      <c r="E382" s="12" t="str">
        <f t="shared" si="12"/>
        <v>95</v>
      </c>
      <c r="F382" s="14">
        <v>1494670</v>
      </c>
      <c r="G382" s="67" t="s">
        <v>5616</v>
      </c>
      <c r="H382" s="14" t="s">
        <v>5601</v>
      </c>
      <c r="I382" s="14" t="s">
        <v>2458</v>
      </c>
      <c r="J382" s="33" t="s">
        <v>7110</v>
      </c>
      <c r="K382" s="68">
        <v>0</v>
      </c>
      <c r="L382" s="68">
        <v>0</v>
      </c>
      <c r="M382" s="68" t="s">
        <v>8915</v>
      </c>
      <c r="N382" s="68">
        <v>0</v>
      </c>
      <c r="O382" s="68">
        <v>0</v>
      </c>
      <c r="P382" s="198" t="s">
        <v>5617</v>
      </c>
    </row>
    <row r="383" spans="1:16" ht="18.75" hidden="1">
      <c r="A383" s="13" t="s">
        <v>3039</v>
      </c>
      <c r="B383" s="12" t="s">
        <v>3043</v>
      </c>
      <c r="C383" s="12" t="s">
        <v>3121</v>
      </c>
      <c r="D383" s="12" t="s">
        <v>3047</v>
      </c>
      <c r="E383" s="12" t="str">
        <f t="shared" si="12"/>
        <v>95</v>
      </c>
      <c r="F383" s="14">
        <v>301240</v>
      </c>
      <c r="G383" s="67" t="s">
        <v>5616</v>
      </c>
      <c r="H383" s="14" t="s">
        <v>5601</v>
      </c>
      <c r="I383" s="14" t="s">
        <v>2458</v>
      </c>
      <c r="J383" s="33" t="s">
        <v>7110</v>
      </c>
      <c r="K383" s="68">
        <v>0</v>
      </c>
      <c r="L383" s="68">
        <v>0</v>
      </c>
      <c r="M383" s="68" t="s">
        <v>8915</v>
      </c>
      <c r="N383" s="68">
        <v>0</v>
      </c>
      <c r="O383" s="68">
        <v>0</v>
      </c>
      <c r="P383" s="198" t="s">
        <v>5617</v>
      </c>
    </row>
    <row r="384" spans="1:16" ht="18.75" hidden="1">
      <c r="A384" s="13" t="s">
        <v>3006</v>
      </c>
      <c r="B384" s="12" t="s">
        <v>3048</v>
      </c>
      <c r="C384" s="12" t="s">
        <v>3130</v>
      </c>
      <c r="D384" s="12" t="s">
        <v>2755</v>
      </c>
      <c r="E384" s="12" t="str">
        <f t="shared" si="12"/>
        <v>95</v>
      </c>
      <c r="F384" s="14">
        <v>483700</v>
      </c>
      <c r="G384" s="67" t="s">
        <v>5616</v>
      </c>
      <c r="H384" s="14" t="s">
        <v>5601</v>
      </c>
      <c r="I384" s="14" t="s">
        <v>2458</v>
      </c>
      <c r="J384" s="33" t="s">
        <v>7110</v>
      </c>
      <c r="K384" s="68">
        <v>0</v>
      </c>
      <c r="L384" s="68">
        <v>0</v>
      </c>
      <c r="M384" s="68" t="s">
        <v>8915</v>
      </c>
      <c r="N384" s="68">
        <v>0</v>
      </c>
      <c r="O384" s="68">
        <v>0</v>
      </c>
      <c r="P384" s="198" t="s">
        <v>5617</v>
      </c>
    </row>
    <row r="385" spans="1:16" ht="18.75" hidden="1">
      <c r="A385" s="13" t="s">
        <v>3027</v>
      </c>
      <c r="B385" s="12" t="s">
        <v>2869</v>
      </c>
      <c r="C385" s="12" t="s">
        <v>2808</v>
      </c>
      <c r="D385" s="12" t="s">
        <v>2609</v>
      </c>
      <c r="E385" s="12" t="str">
        <f t="shared" si="12"/>
        <v>95</v>
      </c>
      <c r="F385" s="14">
        <v>278998</v>
      </c>
      <c r="G385" s="67" t="s">
        <v>5604</v>
      </c>
      <c r="H385" s="14" t="s">
        <v>5601</v>
      </c>
      <c r="I385" s="14" t="s">
        <v>2458</v>
      </c>
      <c r="J385" s="33" t="s">
        <v>7110</v>
      </c>
      <c r="K385" s="68">
        <v>0</v>
      </c>
      <c r="L385" s="68">
        <v>0</v>
      </c>
      <c r="M385" s="68" t="s">
        <v>8915</v>
      </c>
      <c r="N385" s="68">
        <v>0</v>
      </c>
      <c r="O385" s="68">
        <v>0</v>
      </c>
      <c r="P385" s="198" t="s">
        <v>5605</v>
      </c>
    </row>
    <row r="386" spans="1:16" ht="18.75" hidden="1">
      <c r="A386" s="13" t="s">
        <v>3028</v>
      </c>
      <c r="B386" s="12" t="s">
        <v>2862</v>
      </c>
      <c r="C386" s="12" t="s">
        <v>2646</v>
      </c>
      <c r="D386" s="12" t="s">
        <v>2616</v>
      </c>
      <c r="E386" s="12" t="str">
        <f t="shared" si="12"/>
        <v>95</v>
      </c>
      <c r="F386" s="14">
        <v>799880</v>
      </c>
      <c r="G386" s="67" t="s">
        <v>5609</v>
      </c>
      <c r="H386" s="14" t="s">
        <v>5601</v>
      </c>
      <c r="I386" s="14" t="s">
        <v>2458</v>
      </c>
      <c r="J386" s="33" t="s">
        <v>7110</v>
      </c>
      <c r="K386" s="68">
        <v>0</v>
      </c>
      <c r="L386" s="68">
        <v>0</v>
      </c>
      <c r="M386" s="68" t="s">
        <v>8915</v>
      </c>
      <c r="N386" s="68">
        <v>0</v>
      </c>
      <c r="O386" s="68">
        <v>0</v>
      </c>
      <c r="P386" s="198" t="s">
        <v>5610</v>
      </c>
    </row>
    <row r="387" spans="1:16" ht="18.75" hidden="1">
      <c r="A387" s="13" t="s">
        <v>3033</v>
      </c>
      <c r="B387" s="12" t="s">
        <v>2862</v>
      </c>
      <c r="C387" s="12" t="s">
        <v>2807</v>
      </c>
      <c r="D387" s="12" t="s">
        <v>2751</v>
      </c>
      <c r="E387" s="12" t="str">
        <f t="shared" ref="E387:E436" si="13">MID(D387,1,2)</f>
        <v>95</v>
      </c>
      <c r="F387" s="14">
        <v>105358</v>
      </c>
      <c r="G387" s="67" t="s">
        <v>5607</v>
      </c>
      <c r="H387" s="14" t="s">
        <v>5601</v>
      </c>
      <c r="I387" s="14" t="s">
        <v>2458</v>
      </c>
      <c r="J387" s="33" t="s">
        <v>7110</v>
      </c>
      <c r="K387" s="68">
        <v>0</v>
      </c>
      <c r="L387" s="68">
        <v>0</v>
      </c>
      <c r="M387" s="68" t="s">
        <v>8915</v>
      </c>
      <c r="N387" s="68">
        <v>0</v>
      </c>
      <c r="O387" s="68">
        <v>0</v>
      </c>
      <c r="P387" s="198" t="s">
        <v>5608</v>
      </c>
    </row>
    <row r="388" spans="1:16" ht="18.75" hidden="1">
      <c r="A388" s="13" t="s">
        <v>3144</v>
      </c>
      <c r="B388" s="12" t="s">
        <v>3045</v>
      </c>
      <c r="C388" s="12" t="s">
        <v>3173</v>
      </c>
      <c r="D388" s="12" t="s">
        <v>3051</v>
      </c>
      <c r="E388" s="12" t="str">
        <f t="shared" si="13"/>
        <v>95</v>
      </c>
      <c r="F388" s="14">
        <v>1188255</v>
      </c>
      <c r="G388" s="67" t="s">
        <v>5604</v>
      </c>
      <c r="H388" s="14" t="s">
        <v>5601</v>
      </c>
      <c r="I388" s="14" t="s">
        <v>2458</v>
      </c>
      <c r="J388" s="33" t="s">
        <v>7110</v>
      </c>
      <c r="K388" s="68">
        <v>0</v>
      </c>
      <c r="L388" s="68">
        <v>0</v>
      </c>
      <c r="M388" s="68" t="s">
        <v>8915</v>
      </c>
      <c r="N388" s="68">
        <v>0</v>
      </c>
      <c r="O388" s="68">
        <v>0</v>
      </c>
      <c r="P388" s="198" t="s">
        <v>5615</v>
      </c>
    </row>
    <row r="389" spans="1:16" ht="18.75" hidden="1">
      <c r="A389" s="13" t="s">
        <v>3145</v>
      </c>
      <c r="B389" s="12" t="s">
        <v>3164</v>
      </c>
      <c r="C389" s="12" t="s">
        <v>3174</v>
      </c>
      <c r="D389" s="12" t="s">
        <v>2851</v>
      </c>
      <c r="E389" s="12" t="str">
        <f t="shared" si="13"/>
        <v>95</v>
      </c>
      <c r="F389" s="14">
        <v>153320</v>
      </c>
      <c r="G389" s="67" t="s">
        <v>5611</v>
      </c>
      <c r="H389" s="14" t="s">
        <v>5601</v>
      </c>
      <c r="I389" s="14" t="s">
        <v>2458</v>
      </c>
      <c r="J389" s="33" t="s">
        <v>7110</v>
      </c>
      <c r="K389" s="68">
        <v>0</v>
      </c>
      <c r="L389" s="68">
        <v>0</v>
      </c>
      <c r="M389" s="68" t="s">
        <v>8915</v>
      </c>
      <c r="N389" s="68">
        <v>0</v>
      </c>
      <c r="O389" s="68">
        <v>0</v>
      </c>
      <c r="P389" s="198" t="s">
        <v>5619</v>
      </c>
    </row>
    <row r="390" spans="1:16" ht="18.75" hidden="1">
      <c r="A390" s="13" t="s">
        <v>3146</v>
      </c>
      <c r="B390" s="12" t="s">
        <v>3165</v>
      </c>
      <c r="C390" s="12" t="s">
        <v>3175</v>
      </c>
      <c r="D390" s="12" t="s">
        <v>2860</v>
      </c>
      <c r="E390" s="12" t="str">
        <f t="shared" si="13"/>
        <v>95</v>
      </c>
      <c r="F390" s="14">
        <v>322400</v>
      </c>
      <c r="G390" s="67" t="s">
        <v>5611</v>
      </c>
      <c r="H390" s="14" t="s">
        <v>5601</v>
      </c>
      <c r="I390" s="14" t="s">
        <v>2458</v>
      </c>
      <c r="J390" s="33" t="s">
        <v>7110</v>
      </c>
      <c r="K390" s="68">
        <v>0</v>
      </c>
      <c r="L390" s="68">
        <v>0</v>
      </c>
      <c r="M390" s="68" t="s">
        <v>8915</v>
      </c>
      <c r="N390" s="68">
        <v>0</v>
      </c>
      <c r="O390" s="68">
        <v>0</v>
      </c>
      <c r="P390" s="198" t="s">
        <v>5612</v>
      </c>
    </row>
    <row r="391" spans="1:16" ht="18.75" hidden="1">
      <c r="A391" s="13" t="s">
        <v>3146</v>
      </c>
      <c r="B391" s="12" t="s">
        <v>3165</v>
      </c>
      <c r="C391" s="12" t="s">
        <v>3176</v>
      </c>
      <c r="D391" s="12" t="s">
        <v>2860</v>
      </c>
      <c r="E391" s="12" t="str">
        <f t="shared" si="13"/>
        <v>95</v>
      </c>
      <c r="F391" s="14">
        <v>957020</v>
      </c>
      <c r="G391" s="67" t="s">
        <v>5611</v>
      </c>
      <c r="H391" s="14" t="s">
        <v>5601</v>
      </c>
      <c r="I391" s="14" t="s">
        <v>2458</v>
      </c>
      <c r="J391" s="33" t="s">
        <v>7110</v>
      </c>
      <c r="K391" s="68">
        <v>0</v>
      </c>
      <c r="L391" s="68">
        <v>0</v>
      </c>
      <c r="M391" s="68" t="s">
        <v>8915</v>
      </c>
      <c r="N391" s="68">
        <v>0</v>
      </c>
      <c r="O391" s="68">
        <v>0</v>
      </c>
      <c r="P391" s="198" t="s">
        <v>5612</v>
      </c>
    </row>
    <row r="392" spans="1:16" ht="18.75" hidden="1">
      <c r="A392" s="13" t="s">
        <v>3147</v>
      </c>
      <c r="B392" s="12" t="s">
        <v>3166</v>
      </c>
      <c r="C392" s="12" t="s">
        <v>3177</v>
      </c>
      <c r="D392" s="12" t="s">
        <v>3165</v>
      </c>
      <c r="E392" s="12" t="str">
        <f t="shared" si="13"/>
        <v>95</v>
      </c>
      <c r="F392" s="14">
        <v>89840</v>
      </c>
      <c r="G392" s="67" t="s">
        <v>5611</v>
      </c>
      <c r="H392" s="14" t="s">
        <v>5601</v>
      </c>
      <c r="I392" s="14" t="s">
        <v>2458</v>
      </c>
      <c r="J392" s="33" t="s">
        <v>7110</v>
      </c>
      <c r="K392" s="68">
        <v>0</v>
      </c>
      <c r="L392" s="68">
        <v>0</v>
      </c>
      <c r="M392" s="68" t="s">
        <v>8915</v>
      </c>
      <c r="N392" s="68">
        <v>0</v>
      </c>
      <c r="O392" s="68">
        <v>0</v>
      </c>
      <c r="P392" s="198" t="s">
        <v>5619</v>
      </c>
    </row>
    <row r="393" spans="1:16" ht="18.75" hidden="1">
      <c r="A393" s="13" t="s">
        <v>3146</v>
      </c>
      <c r="B393" s="12" t="s">
        <v>3165</v>
      </c>
      <c r="C393" s="12" t="s">
        <v>3178</v>
      </c>
      <c r="D393" s="12" t="s">
        <v>2860</v>
      </c>
      <c r="E393" s="12" t="str">
        <f t="shared" si="13"/>
        <v>95</v>
      </c>
      <c r="F393" s="14">
        <v>198180</v>
      </c>
      <c r="G393" s="67" t="s">
        <v>5611</v>
      </c>
      <c r="H393" s="14" t="s">
        <v>5601</v>
      </c>
      <c r="I393" s="14" t="s">
        <v>2458</v>
      </c>
      <c r="J393" s="33" t="s">
        <v>7110</v>
      </c>
      <c r="K393" s="68">
        <v>0</v>
      </c>
      <c r="L393" s="68">
        <v>0</v>
      </c>
      <c r="M393" s="68" t="s">
        <v>8915</v>
      </c>
      <c r="N393" s="68">
        <v>0</v>
      </c>
      <c r="O393" s="68">
        <v>0</v>
      </c>
      <c r="P393" s="198" t="s">
        <v>5612</v>
      </c>
    </row>
    <row r="394" spans="1:16" ht="18.75" hidden="1">
      <c r="A394" s="13" t="s">
        <v>3147</v>
      </c>
      <c r="B394" s="12" t="s">
        <v>3166</v>
      </c>
      <c r="C394" s="12" t="s">
        <v>3179</v>
      </c>
      <c r="D394" s="12" t="s">
        <v>3165</v>
      </c>
      <c r="E394" s="12" t="str">
        <f t="shared" si="13"/>
        <v>95</v>
      </c>
      <c r="F394" s="14">
        <v>2999100</v>
      </c>
      <c r="G394" s="67" t="s">
        <v>5611</v>
      </c>
      <c r="H394" s="14" t="s">
        <v>5601</v>
      </c>
      <c r="I394" s="14" t="s">
        <v>2458</v>
      </c>
      <c r="J394" s="33" t="s">
        <v>7110</v>
      </c>
      <c r="K394" s="68">
        <v>0</v>
      </c>
      <c r="L394" s="68">
        <v>0</v>
      </c>
      <c r="M394" s="68" t="s">
        <v>8915</v>
      </c>
      <c r="N394" s="68">
        <v>0</v>
      </c>
      <c r="O394" s="68">
        <v>0</v>
      </c>
      <c r="P394" s="198" t="s">
        <v>5619</v>
      </c>
    </row>
    <row r="395" spans="1:16" ht="18.75" hidden="1">
      <c r="A395" s="13" t="s">
        <v>3145</v>
      </c>
      <c r="B395" s="12" t="s">
        <v>3164</v>
      </c>
      <c r="C395" s="12" t="s">
        <v>3176</v>
      </c>
      <c r="D395" s="12" t="s">
        <v>2860</v>
      </c>
      <c r="E395" s="12" t="str">
        <f t="shared" si="13"/>
        <v>95</v>
      </c>
      <c r="F395" s="14">
        <v>443980</v>
      </c>
      <c r="G395" s="67" t="s">
        <v>5611</v>
      </c>
      <c r="H395" s="14" t="s">
        <v>5601</v>
      </c>
      <c r="I395" s="14" t="s">
        <v>2458</v>
      </c>
      <c r="J395" s="33" t="s">
        <v>7110</v>
      </c>
      <c r="K395" s="68">
        <v>0</v>
      </c>
      <c r="L395" s="68">
        <v>0</v>
      </c>
      <c r="M395" s="68" t="s">
        <v>8915</v>
      </c>
      <c r="N395" s="68">
        <v>0</v>
      </c>
      <c r="O395" s="68">
        <v>0</v>
      </c>
      <c r="P395" s="198" t="s">
        <v>5612</v>
      </c>
    </row>
    <row r="396" spans="1:16" ht="18.75" hidden="1">
      <c r="A396" s="13" t="s">
        <v>3146</v>
      </c>
      <c r="B396" s="12" t="s">
        <v>3165</v>
      </c>
      <c r="C396" s="12" t="s">
        <v>3180</v>
      </c>
      <c r="D396" s="12" t="s">
        <v>2864</v>
      </c>
      <c r="E396" s="12" t="str">
        <f t="shared" si="13"/>
        <v>95</v>
      </c>
      <c r="F396" s="14">
        <v>499100</v>
      </c>
      <c r="G396" s="67" t="s">
        <v>5611</v>
      </c>
      <c r="H396" s="14" t="s">
        <v>5601</v>
      </c>
      <c r="I396" s="14" t="s">
        <v>2458</v>
      </c>
      <c r="J396" s="33" t="s">
        <v>7110</v>
      </c>
      <c r="K396" s="68">
        <v>0</v>
      </c>
      <c r="L396" s="68">
        <v>0</v>
      </c>
      <c r="M396" s="68" t="s">
        <v>8915</v>
      </c>
      <c r="N396" s="68">
        <v>0</v>
      </c>
      <c r="O396" s="68">
        <v>0</v>
      </c>
      <c r="P396" s="198" t="s">
        <v>5612</v>
      </c>
    </row>
    <row r="397" spans="1:16" ht="18.75" hidden="1">
      <c r="A397" s="13" t="s">
        <v>3148</v>
      </c>
      <c r="B397" s="12" t="s">
        <v>3167</v>
      </c>
      <c r="C397" s="12" t="s">
        <v>3063</v>
      </c>
      <c r="D397" s="12" t="s">
        <v>2758</v>
      </c>
      <c r="E397" s="12" t="str">
        <f t="shared" si="13"/>
        <v>95</v>
      </c>
      <c r="F397" s="14">
        <v>305580</v>
      </c>
      <c r="G397" s="67" t="s">
        <v>5604</v>
      </c>
      <c r="H397" s="14" t="s">
        <v>5601</v>
      </c>
      <c r="I397" s="14" t="s">
        <v>2458</v>
      </c>
      <c r="J397" s="33" t="e">
        <f>VLOOKUP(C397,شرکتها!A:B,2,FALSE)</f>
        <v>#N/A</v>
      </c>
      <c r="K397" s="68">
        <v>0</v>
      </c>
      <c r="L397" s="68">
        <v>0</v>
      </c>
      <c r="M397" s="68" t="s">
        <v>8915</v>
      </c>
      <c r="N397" s="68">
        <v>0</v>
      </c>
      <c r="O397" s="68">
        <v>0</v>
      </c>
      <c r="P397" s="198" t="s">
        <v>5613</v>
      </c>
    </row>
    <row r="398" spans="1:16" ht="18.75" hidden="1">
      <c r="A398" s="13" t="s">
        <v>3149</v>
      </c>
      <c r="B398" s="12" t="s">
        <v>3168</v>
      </c>
      <c r="C398" s="12" t="s">
        <v>3121</v>
      </c>
      <c r="D398" s="12" t="s">
        <v>3047</v>
      </c>
      <c r="E398" s="12" t="str">
        <f t="shared" si="13"/>
        <v>95</v>
      </c>
      <c r="F398" s="14">
        <v>289790</v>
      </c>
      <c r="G398" s="67" t="s">
        <v>5616</v>
      </c>
      <c r="H398" s="14" t="s">
        <v>5601</v>
      </c>
      <c r="I398" s="14" t="s">
        <v>2458</v>
      </c>
      <c r="J398" s="33" t="s">
        <v>7110</v>
      </c>
      <c r="K398" s="68">
        <v>0</v>
      </c>
      <c r="L398" s="68">
        <v>0</v>
      </c>
      <c r="M398" s="68" t="s">
        <v>8915</v>
      </c>
      <c r="N398" s="68">
        <v>0</v>
      </c>
      <c r="O398" s="68">
        <v>0</v>
      </c>
      <c r="P398" s="198" t="s">
        <v>5617</v>
      </c>
    </row>
    <row r="399" spans="1:16" ht="18.75" hidden="1">
      <c r="A399" s="13" t="s">
        <v>3150</v>
      </c>
      <c r="B399" s="12" t="s">
        <v>3167</v>
      </c>
      <c r="C399" s="12" t="s">
        <v>3181</v>
      </c>
      <c r="D399" s="12" t="s">
        <v>2754</v>
      </c>
      <c r="E399" s="12" t="str">
        <f t="shared" si="13"/>
        <v>95</v>
      </c>
      <c r="F399" s="14">
        <v>610193</v>
      </c>
      <c r="G399" s="67" t="s">
        <v>5611</v>
      </c>
      <c r="H399" s="14" t="s">
        <v>5601</v>
      </c>
      <c r="I399" s="14" t="s">
        <v>2458</v>
      </c>
      <c r="J399" s="33" t="s">
        <v>7110</v>
      </c>
      <c r="K399" s="68">
        <v>0</v>
      </c>
      <c r="L399" s="68">
        <v>0</v>
      </c>
      <c r="M399" s="68" t="s">
        <v>8915</v>
      </c>
      <c r="N399" s="68">
        <v>0</v>
      </c>
      <c r="O399" s="68">
        <v>0</v>
      </c>
      <c r="P399" s="198" t="s">
        <v>5612</v>
      </c>
    </row>
    <row r="400" spans="1:16" ht="18.75" hidden="1">
      <c r="A400" s="13" t="s">
        <v>3151</v>
      </c>
      <c r="B400" s="12" t="s">
        <v>3169</v>
      </c>
      <c r="C400" s="12" t="s">
        <v>3182</v>
      </c>
      <c r="D400" s="12" t="s">
        <v>2754</v>
      </c>
      <c r="E400" s="12" t="str">
        <f t="shared" si="13"/>
        <v>95</v>
      </c>
      <c r="F400" s="14">
        <v>93250</v>
      </c>
      <c r="G400" s="67" t="s">
        <v>5611</v>
      </c>
      <c r="H400" s="14" t="s">
        <v>5601</v>
      </c>
      <c r="I400" s="14" t="s">
        <v>2458</v>
      </c>
      <c r="J400" s="33" t="s">
        <v>7110</v>
      </c>
      <c r="K400" s="68">
        <v>0</v>
      </c>
      <c r="L400" s="68">
        <v>0</v>
      </c>
      <c r="M400" s="68" t="s">
        <v>8915</v>
      </c>
      <c r="N400" s="68">
        <v>0</v>
      </c>
      <c r="O400" s="68">
        <v>0</v>
      </c>
      <c r="P400" s="198" t="s">
        <v>5612</v>
      </c>
    </row>
    <row r="401" spans="1:16" ht="18.75" hidden="1">
      <c r="A401" s="13" t="s">
        <v>3151</v>
      </c>
      <c r="B401" s="12" t="s">
        <v>3169</v>
      </c>
      <c r="C401" s="12" t="s">
        <v>3181</v>
      </c>
      <c r="D401" s="12" t="s">
        <v>2754</v>
      </c>
      <c r="E401" s="12" t="str">
        <f t="shared" si="13"/>
        <v>95</v>
      </c>
      <c r="F401" s="14">
        <v>256750</v>
      </c>
      <c r="G401" s="67" t="s">
        <v>5611</v>
      </c>
      <c r="H401" s="14" t="s">
        <v>5601</v>
      </c>
      <c r="I401" s="14" t="s">
        <v>2458</v>
      </c>
      <c r="J401" s="33" t="s">
        <v>7110</v>
      </c>
      <c r="K401" s="68">
        <v>0</v>
      </c>
      <c r="L401" s="68">
        <v>0</v>
      </c>
      <c r="M401" s="68" t="s">
        <v>8915</v>
      </c>
      <c r="N401" s="68">
        <v>0</v>
      </c>
      <c r="O401" s="68">
        <v>0</v>
      </c>
      <c r="P401" s="198" t="s">
        <v>5612</v>
      </c>
    </row>
    <row r="402" spans="1:16" ht="18.75" hidden="1">
      <c r="A402" s="13" t="s">
        <v>3150</v>
      </c>
      <c r="B402" s="12" t="s">
        <v>3167</v>
      </c>
      <c r="C402" s="12" t="s">
        <v>3071</v>
      </c>
      <c r="D402" s="12" t="s">
        <v>2867</v>
      </c>
      <c r="E402" s="12" t="str">
        <f t="shared" si="13"/>
        <v>95</v>
      </c>
      <c r="F402" s="14">
        <v>67227</v>
      </c>
      <c r="G402" s="67" t="s">
        <v>5611</v>
      </c>
      <c r="H402" s="14" t="s">
        <v>5601</v>
      </c>
      <c r="I402" s="14" t="s">
        <v>2458</v>
      </c>
      <c r="J402" s="33" t="s">
        <v>7110</v>
      </c>
      <c r="K402" s="68">
        <v>0</v>
      </c>
      <c r="L402" s="68">
        <v>0</v>
      </c>
      <c r="M402" s="68" t="s">
        <v>8915</v>
      </c>
      <c r="N402" s="68">
        <v>0</v>
      </c>
      <c r="O402" s="68">
        <v>0</v>
      </c>
      <c r="P402" s="198" t="s">
        <v>5612</v>
      </c>
    </row>
    <row r="403" spans="1:16" ht="18.75" hidden="1">
      <c r="A403" s="13" t="s">
        <v>3152</v>
      </c>
      <c r="B403" s="12" t="s">
        <v>3169</v>
      </c>
      <c r="C403" s="12" t="s">
        <v>3183</v>
      </c>
      <c r="D403" s="12" t="s">
        <v>3049</v>
      </c>
      <c r="E403" s="12" t="str">
        <f t="shared" si="13"/>
        <v>95</v>
      </c>
      <c r="F403" s="14">
        <v>517576</v>
      </c>
      <c r="G403" s="67" t="s">
        <v>5604</v>
      </c>
      <c r="H403" s="14" t="s">
        <v>5601</v>
      </c>
      <c r="I403" s="14" t="s">
        <v>2458</v>
      </c>
      <c r="J403" s="33" t="s">
        <v>7110</v>
      </c>
      <c r="K403" s="68">
        <v>0</v>
      </c>
      <c r="L403" s="68">
        <v>0</v>
      </c>
      <c r="M403" s="68" t="s">
        <v>8915</v>
      </c>
      <c r="N403" s="68">
        <v>0</v>
      </c>
      <c r="O403" s="68">
        <v>0</v>
      </c>
      <c r="P403" s="198" t="s">
        <v>5618</v>
      </c>
    </row>
    <row r="404" spans="1:16" ht="18.75" hidden="1">
      <c r="A404" s="13" t="s">
        <v>3153</v>
      </c>
      <c r="B404" s="12" t="s">
        <v>3170</v>
      </c>
      <c r="C404" s="12" t="s">
        <v>3184</v>
      </c>
      <c r="D404" s="12" t="s">
        <v>3051</v>
      </c>
      <c r="E404" s="12" t="str">
        <f t="shared" si="13"/>
        <v>95</v>
      </c>
      <c r="F404" s="14">
        <v>496735</v>
      </c>
      <c r="G404" s="67" t="s">
        <v>5604</v>
      </c>
      <c r="H404" s="14" t="s">
        <v>5601</v>
      </c>
      <c r="I404" s="14" t="s">
        <v>2458</v>
      </c>
      <c r="J404" s="33" t="s">
        <v>7110</v>
      </c>
      <c r="K404" s="68">
        <v>0</v>
      </c>
      <c r="L404" s="68">
        <v>0</v>
      </c>
      <c r="M404" s="68" t="s">
        <v>8915</v>
      </c>
      <c r="N404" s="68">
        <v>0</v>
      </c>
      <c r="O404" s="68">
        <v>0</v>
      </c>
      <c r="P404" s="198" t="s">
        <v>5618</v>
      </c>
    </row>
    <row r="405" spans="1:16" ht="18.75" hidden="1">
      <c r="A405" s="13" t="s">
        <v>3147</v>
      </c>
      <c r="B405" s="12" t="s">
        <v>3166</v>
      </c>
      <c r="C405" s="12" t="s">
        <v>3185</v>
      </c>
      <c r="D405" s="12" t="s">
        <v>3165</v>
      </c>
      <c r="E405" s="12" t="str">
        <f t="shared" si="13"/>
        <v>95</v>
      </c>
      <c r="F405" s="14">
        <v>399160</v>
      </c>
      <c r="G405" s="67" t="s">
        <v>5611</v>
      </c>
      <c r="H405" s="14" t="s">
        <v>5601</v>
      </c>
      <c r="I405" s="14" t="s">
        <v>2458</v>
      </c>
      <c r="J405" s="33" t="s">
        <v>7110</v>
      </c>
      <c r="K405" s="68">
        <v>0</v>
      </c>
      <c r="L405" s="68">
        <v>0</v>
      </c>
      <c r="M405" s="68" t="s">
        <v>8915</v>
      </c>
      <c r="N405" s="68">
        <v>0</v>
      </c>
      <c r="O405" s="68">
        <v>0</v>
      </c>
      <c r="P405" s="198" t="s">
        <v>5619</v>
      </c>
    </row>
    <row r="406" spans="1:16" ht="18.75" hidden="1">
      <c r="A406" s="13" t="s">
        <v>3154</v>
      </c>
      <c r="B406" s="12" t="s">
        <v>3169</v>
      </c>
      <c r="C406" s="12" t="s">
        <v>3183</v>
      </c>
      <c r="D406" s="12" t="s">
        <v>3049</v>
      </c>
      <c r="E406" s="12" t="str">
        <f t="shared" si="13"/>
        <v>95</v>
      </c>
      <c r="F406" s="14">
        <v>321565</v>
      </c>
      <c r="G406" s="67" t="s">
        <v>5604</v>
      </c>
      <c r="H406" s="14" t="s">
        <v>5601</v>
      </c>
      <c r="I406" s="14" t="s">
        <v>2458</v>
      </c>
      <c r="J406" s="33" t="s">
        <v>7110</v>
      </c>
      <c r="K406" s="68">
        <v>0</v>
      </c>
      <c r="L406" s="68">
        <v>0</v>
      </c>
      <c r="M406" s="68" t="s">
        <v>8915</v>
      </c>
      <c r="N406" s="68">
        <v>0</v>
      </c>
      <c r="O406" s="68">
        <v>0</v>
      </c>
      <c r="P406" s="198" t="s">
        <v>5618</v>
      </c>
    </row>
    <row r="407" spans="1:16" ht="18.75" hidden="1">
      <c r="A407" s="13" t="s">
        <v>3155</v>
      </c>
      <c r="B407" s="12" t="s">
        <v>3168</v>
      </c>
      <c r="C407" s="12" t="s">
        <v>3083</v>
      </c>
      <c r="D407" s="12" t="s">
        <v>2619</v>
      </c>
      <c r="E407" s="12" t="str">
        <f t="shared" si="13"/>
        <v>95</v>
      </c>
      <c r="F407" s="14">
        <v>10368</v>
      </c>
      <c r="G407" s="67" t="s">
        <v>5611</v>
      </c>
      <c r="H407" s="14" t="s">
        <v>5601</v>
      </c>
      <c r="I407" s="14" t="s">
        <v>2458</v>
      </c>
      <c r="J407" s="33" t="s">
        <v>7110</v>
      </c>
      <c r="K407" s="68">
        <v>0</v>
      </c>
      <c r="L407" s="68">
        <v>0</v>
      </c>
      <c r="M407" s="68" t="s">
        <v>8915</v>
      </c>
      <c r="N407" s="68">
        <v>0</v>
      </c>
      <c r="O407" s="68">
        <v>0</v>
      </c>
      <c r="P407" s="198" t="s">
        <v>5612</v>
      </c>
    </row>
    <row r="408" spans="1:16" ht="18.75" hidden="1">
      <c r="A408" s="13" t="s">
        <v>3155</v>
      </c>
      <c r="B408" s="12" t="s">
        <v>3168</v>
      </c>
      <c r="C408" s="12" t="s">
        <v>3115</v>
      </c>
      <c r="D408" s="12" t="s">
        <v>2869</v>
      </c>
      <c r="E408" s="12" t="str">
        <f t="shared" si="13"/>
        <v>95</v>
      </c>
      <c r="F408" s="14">
        <v>99770</v>
      </c>
      <c r="G408" s="67" t="s">
        <v>5604</v>
      </c>
      <c r="H408" s="14" t="s">
        <v>5601</v>
      </c>
      <c r="I408" s="14" t="s">
        <v>2458</v>
      </c>
      <c r="J408" s="33" t="s">
        <v>7110</v>
      </c>
      <c r="K408" s="68">
        <v>0</v>
      </c>
      <c r="L408" s="68">
        <v>0</v>
      </c>
      <c r="M408" s="68" t="s">
        <v>8915</v>
      </c>
      <c r="N408" s="68">
        <v>0</v>
      </c>
      <c r="O408" s="68">
        <v>0</v>
      </c>
      <c r="P408" s="198" t="s">
        <v>5618</v>
      </c>
    </row>
    <row r="409" spans="1:16" ht="18.75" hidden="1">
      <c r="A409" s="13" t="s">
        <v>3155</v>
      </c>
      <c r="B409" s="12" t="s">
        <v>3168</v>
      </c>
      <c r="C409" s="12" t="s">
        <v>3186</v>
      </c>
      <c r="D409" s="12" t="s">
        <v>2851</v>
      </c>
      <c r="E409" s="12" t="str">
        <f t="shared" si="13"/>
        <v>95</v>
      </c>
      <c r="F409" s="14">
        <v>291352</v>
      </c>
      <c r="G409" s="67" t="s">
        <v>5604</v>
      </c>
      <c r="H409" s="14" t="s">
        <v>5601</v>
      </c>
      <c r="I409" s="14" t="s">
        <v>2458</v>
      </c>
      <c r="J409" s="33" t="s">
        <v>7110</v>
      </c>
      <c r="K409" s="68">
        <v>0</v>
      </c>
      <c r="L409" s="68">
        <v>0</v>
      </c>
      <c r="M409" s="68" t="s">
        <v>8915</v>
      </c>
      <c r="N409" s="68">
        <v>0</v>
      </c>
      <c r="O409" s="68">
        <v>0</v>
      </c>
      <c r="P409" s="198" t="s">
        <v>5618</v>
      </c>
    </row>
    <row r="410" spans="1:16" ht="18.75" hidden="1">
      <c r="A410" s="13" t="s">
        <v>3156</v>
      </c>
      <c r="B410" s="12" t="s">
        <v>3171</v>
      </c>
      <c r="C410" s="12" t="s">
        <v>3187</v>
      </c>
      <c r="D410" s="12" t="s">
        <v>2752</v>
      </c>
      <c r="E410" s="12" t="str">
        <f t="shared" si="13"/>
        <v>95</v>
      </c>
      <c r="F410" s="14">
        <v>396510</v>
      </c>
      <c r="G410" s="67" t="s">
        <v>5607</v>
      </c>
      <c r="H410" s="14" t="s">
        <v>5601</v>
      </c>
      <c r="I410" s="14" t="s">
        <v>2458</v>
      </c>
      <c r="J410" s="33" t="s">
        <v>7110</v>
      </c>
      <c r="K410" s="68">
        <v>0</v>
      </c>
      <c r="L410" s="68">
        <v>0</v>
      </c>
      <c r="M410" s="68" t="s">
        <v>8915</v>
      </c>
      <c r="N410" s="68">
        <v>0</v>
      </c>
      <c r="O410" s="68">
        <v>0</v>
      </c>
      <c r="P410" s="198" t="s">
        <v>5608</v>
      </c>
    </row>
    <row r="411" spans="1:16" ht="18.75" hidden="1">
      <c r="A411" s="13" t="s">
        <v>3157</v>
      </c>
      <c r="B411" s="12" t="s">
        <v>3042</v>
      </c>
      <c r="C411" s="12" t="s">
        <v>3174</v>
      </c>
      <c r="D411" s="12" t="s">
        <v>2851</v>
      </c>
      <c r="E411" s="12" t="str">
        <f t="shared" si="13"/>
        <v>95</v>
      </c>
      <c r="F411" s="14">
        <v>271230</v>
      </c>
      <c r="G411" s="67" t="s">
        <v>5611</v>
      </c>
      <c r="H411" s="14" t="s">
        <v>5601</v>
      </c>
      <c r="I411" s="14" t="s">
        <v>2458</v>
      </c>
      <c r="J411" s="33" t="s">
        <v>7110</v>
      </c>
      <c r="K411" s="68">
        <v>0</v>
      </c>
      <c r="L411" s="68">
        <v>0</v>
      </c>
      <c r="M411" s="68" t="s">
        <v>8915</v>
      </c>
      <c r="N411" s="68">
        <v>0</v>
      </c>
      <c r="O411" s="68">
        <v>0</v>
      </c>
      <c r="P411" s="198" t="s">
        <v>5619</v>
      </c>
    </row>
    <row r="412" spans="1:16" ht="18.75" hidden="1">
      <c r="A412" s="13" t="s">
        <v>3151</v>
      </c>
      <c r="B412" s="12" t="s">
        <v>3169</v>
      </c>
      <c r="C412" s="12" t="s">
        <v>3188</v>
      </c>
      <c r="D412" s="12" t="s">
        <v>3165</v>
      </c>
      <c r="E412" s="12" t="str">
        <f t="shared" si="13"/>
        <v>95</v>
      </c>
      <c r="F412" s="14">
        <v>500000</v>
      </c>
      <c r="G412" s="67" t="s">
        <v>5611</v>
      </c>
      <c r="H412" s="14" t="s">
        <v>5601</v>
      </c>
      <c r="I412" s="14" t="s">
        <v>2458</v>
      </c>
      <c r="J412" s="33" t="s">
        <v>7110</v>
      </c>
      <c r="K412" s="68">
        <v>0</v>
      </c>
      <c r="L412" s="68">
        <v>0</v>
      </c>
      <c r="M412" s="68" t="s">
        <v>8915</v>
      </c>
      <c r="N412" s="68">
        <v>0</v>
      </c>
      <c r="O412" s="68">
        <v>0</v>
      </c>
      <c r="P412" s="198" t="s">
        <v>5619</v>
      </c>
    </row>
    <row r="413" spans="1:16" ht="18.75" hidden="1">
      <c r="A413" s="13" t="s">
        <v>3151</v>
      </c>
      <c r="B413" s="12" t="s">
        <v>3169</v>
      </c>
      <c r="C413" s="12" t="s">
        <v>3177</v>
      </c>
      <c r="D413" s="12" t="s">
        <v>3165</v>
      </c>
      <c r="E413" s="12" t="str">
        <f t="shared" si="13"/>
        <v>95</v>
      </c>
      <c r="F413" s="14">
        <v>822000</v>
      </c>
      <c r="G413" s="67" t="s">
        <v>5611</v>
      </c>
      <c r="H413" s="14" t="s">
        <v>5601</v>
      </c>
      <c r="I413" s="14" t="s">
        <v>2458</v>
      </c>
      <c r="J413" s="33" t="s">
        <v>7110</v>
      </c>
      <c r="K413" s="68">
        <v>0</v>
      </c>
      <c r="L413" s="68">
        <v>0</v>
      </c>
      <c r="M413" s="68" t="s">
        <v>8915</v>
      </c>
      <c r="N413" s="68">
        <v>0</v>
      </c>
      <c r="O413" s="68">
        <v>0</v>
      </c>
      <c r="P413" s="198" t="s">
        <v>5619</v>
      </c>
    </row>
    <row r="414" spans="1:16" ht="18.75" hidden="1">
      <c r="A414" s="13" t="s">
        <v>3158</v>
      </c>
      <c r="B414" s="12" t="s">
        <v>3168</v>
      </c>
      <c r="C414" s="12" t="s">
        <v>3189</v>
      </c>
      <c r="D414" s="12" t="s">
        <v>3051</v>
      </c>
      <c r="E414" s="12" t="str">
        <f t="shared" si="13"/>
        <v>95</v>
      </c>
      <c r="F414" s="14">
        <v>482340</v>
      </c>
      <c r="G414" s="67" t="s">
        <v>5607</v>
      </c>
      <c r="H414" s="14" t="s">
        <v>5601</v>
      </c>
      <c r="I414" s="14" t="s">
        <v>2458</v>
      </c>
      <c r="J414" s="33" t="s">
        <v>7110</v>
      </c>
      <c r="K414" s="68">
        <v>0</v>
      </c>
      <c r="L414" s="68">
        <v>0</v>
      </c>
      <c r="M414" s="68" t="s">
        <v>8915</v>
      </c>
      <c r="N414" s="68">
        <v>0</v>
      </c>
      <c r="O414" s="68">
        <v>0</v>
      </c>
      <c r="P414" s="198" t="s">
        <v>5622</v>
      </c>
    </row>
    <row r="415" spans="1:16" ht="18.75" hidden="1">
      <c r="A415" s="13" t="s">
        <v>3159</v>
      </c>
      <c r="B415" s="12" t="s">
        <v>3172</v>
      </c>
      <c r="C415" s="12" t="s">
        <v>3183</v>
      </c>
      <c r="D415" s="12" t="s">
        <v>3049</v>
      </c>
      <c r="E415" s="12" t="str">
        <f t="shared" si="13"/>
        <v>95</v>
      </c>
      <c r="F415" s="14">
        <v>487772</v>
      </c>
      <c r="G415" s="67" t="s">
        <v>5604</v>
      </c>
      <c r="H415" s="14" t="s">
        <v>5601</v>
      </c>
      <c r="I415" s="14" t="s">
        <v>2458</v>
      </c>
      <c r="J415" s="33" t="s">
        <v>7110</v>
      </c>
      <c r="K415" s="68">
        <v>0</v>
      </c>
      <c r="L415" s="68">
        <v>0</v>
      </c>
      <c r="M415" s="68" t="s">
        <v>8915</v>
      </c>
      <c r="N415" s="68">
        <v>0</v>
      </c>
      <c r="O415" s="68">
        <v>0</v>
      </c>
      <c r="P415" s="198" t="s">
        <v>5618</v>
      </c>
    </row>
    <row r="416" spans="1:16" ht="18.75" hidden="1">
      <c r="A416" s="13" t="s">
        <v>3160</v>
      </c>
      <c r="B416" s="12" t="s">
        <v>3171</v>
      </c>
      <c r="C416" s="12" t="s">
        <v>3176</v>
      </c>
      <c r="D416" s="12" t="s">
        <v>2860</v>
      </c>
      <c r="E416" s="12" t="str">
        <f t="shared" si="13"/>
        <v>95</v>
      </c>
      <c r="F416" s="14">
        <v>99000</v>
      </c>
      <c r="G416" s="67" t="s">
        <v>5611</v>
      </c>
      <c r="H416" s="14" t="s">
        <v>5601</v>
      </c>
      <c r="I416" s="14" t="s">
        <v>2458</v>
      </c>
      <c r="J416" s="33" t="s">
        <v>7110</v>
      </c>
      <c r="K416" s="68">
        <v>0</v>
      </c>
      <c r="L416" s="68">
        <v>0</v>
      </c>
      <c r="M416" s="68" t="s">
        <v>8915</v>
      </c>
      <c r="N416" s="68">
        <v>0</v>
      </c>
      <c r="O416" s="68">
        <v>0</v>
      </c>
      <c r="P416" s="198" t="s">
        <v>5612</v>
      </c>
    </row>
    <row r="417" spans="1:16" ht="18.75" hidden="1">
      <c r="A417" s="13" t="s">
        <v>3161</v>
      </c>
      <c r="B417" s="12" t="s">
        <v>3169</v>
      </c>
      <c r="C417" s="12" t="s">
        <v>3109</v>
      </c>
      <c r="D417" s="12" t="s">
        <v>2861</v>
      </c>
      <c r="E417" s="12" t="str">
        <f t="shared" si="13"/>
        <v>95</v>
      </c>
      <c r="F417" s="14">
        <v>9903</v>
      </c>
      <c r="G417" s="67" t="s">
        <v>5604</v>
      </c>
      <c r="H417" s="14" t="s">
        <v>5601</v>
      </c>
      <c r="I417" s="14" t="s">
        <v>2458</v>
      </c>
      <c r="J417" s="33" t="s">
        <v>7110</v>
      </c>
      <c r="K417" s="68">
        <v>0</v>
      </c>
      <c r="L417" s="68">
        <v>0</v>
      </c>
      <c r="M417" s="68" t="s">
        <v>8915</v>
      </c>
      <c r="N417" s="68">
        <v>0</v>
      </c>
      <c r="O417" s="68">
        <v>0</v>
      </c>
      <c r="P417" s="198" t="s">
        <v>5613</v>
      </c>
    </row>
    <row r="418" spans="1:16" ht="18.75" hidden="1">
      <c r="A418" s="13" t="s">
        <v>3161</v>
      </c>
      <c r="B418" s="12" t="s">
        <v>3169</v>
      </c>
      <c r="C418" s="12" t="s">
        <v>3127</v>
      </c>
      <c r="D418" s="12" t="s">
        <v>2757</v>
      </c>
      <c r="E418" s="12" t="str">
        <f t="shared" si="13"/>
        <v>95</v>
      </c>
      <c r="F418" s="14">
        <v>19250</v>
      </c>
      <c r="G418" s="67" t="s">
        <v>5604</v>
      </c>
      <c r="H418" s="14" t="s">
        <v>5601</v>
      </c>
      <c r="I418" s="14" t="s">
        <v>2458</v>
      </c>
      <c r="J418" s="33" t="s">
        <v>7110</v>
      </c>
      <c r="K418" s="68">
        <v>0</v>
      </c>
      <c r="L418" s="68">
        <v>0</v>
      </c>
      <c r="M418" s="68" t="s">
        <v>8915</v>
      </c>
      <c r="N418" s="68">
        <v>0</v>
      </c>
      <c r="O418" s="68">
        <v>0</v>
      </c>
      <c r="P418" s="198" t="s">
        <v>5613</v>
      </c>
    </row>
    <row r="419" spans="1:16" ht="18.75" hidden="1">
      <c r="A419" s="13" t="s">
        <v>3161</v>
      </c>
      <c r="B419" s="12" t="s">
        <v>3169</v>
      </c>
      <c r="C419" s="12" t="s">
        <v>3061</v>
      </c>
      <c r="D419" s="12" t="s">
        <v>2758</v>
      </c>
      <c r="E419" s="12" t="str">
        <f t="shared" si="13"/>
        <v>95</v>
      </c>
      <c r="F419" s="14">
        <v>422864</v>
      </c>
      <c r="G419" s="67" t="s">
        <v>5604</v>
      </c>
      <c r="H419" s="14" t="s">
        <v>5601</v>
      </c>
      <c r="I419" s="14" t="s">
        <v>2458</v>
      </c>
      <c r="J419" s="33" t="s">
        <v>7110</v>
      </c>
      <c r="K419" s="68">
        <v>0</v>
      </c>
      <c r="L419" s="68">
        <v>0</v>
      </c>
      <c r="M419" s="68" t="s">
        <v>8915</v>
      </c>
      <c r="N419" s="68">
        <v>0</v>
      </c>
      <c r="O419" s="68">
        <v>0</v>
      </c>
      <c r="P419" s="198" t="s">
        <v>5613</v>
      </c>
    </row>
    <row r="420" spans="1:16" ht="18.75" hidden="1">
      <c r="A420" s="13" t="s">
        <v>3162</v>
      </c>
      <c r="B420" s="12" t="s">
        <v>3045</v>
      </c>
      <c r="C420" s="12" t="s">
        <v>3190</v>
      </c>
      <c r="D420" s="12" t="s">
        <v>3051</v>
      </c>
      <c r="E420" s="12" t="str">
        <f t="shared" si="13"/>
        <v>95</v>
      </c>
      <c r="F420" s="14">
        <v>1637364</v>
      </c>
      <c r="G420" s="67" t="s">
        <v>5604</v>
      </c>
      <c r="H420" s="14" t="s">
        <v>5601</v>
      </c>
      <c r="I420" s="14" t="s">
        <v>2458</v>
      </c>
      <c r="J420" s="33" t="s">
        <v>7110</v>
      </c>
      <c r="K420" s="68">
        <v>0</v>
      </c>
      <c r="L420" s="68">
        <v>0</v>
      </c>
      <c r="M420" s="68" t="s">
        <v>8915</v>
      </c>
      <c r="N420" s="68">
        <v>0</v>
      </c>
      <c r="O420" s="68">
        <v>0</v>
      </c>
      <c r="P420" s="198" t="s">
        <v>5623</v>
      </c>
    </row>
    <row r="421" spans="1:16" ht="18.75" hidden="1">
      <c r="A421" s="13" t="s">
        <v>3158</v>
      </c>
      <c r="B421" s="12" t="s">
        <v>3168</v>
      </c>
      <c r="C421" s="12" t="s">
        <v>3091</v>
      </c>
      <c r="D421" s="12" t="s">
        <v>2752</v>
      </c>
      <c r="E421" s="12" t="str">
        <f t="shared" si="13"/>
        <v>95</v>
      </c>
      <c r="F421" s="14">
        <v>514405</v>
      </c>
      <c r="G421" s="67" t="s">
        <v>5607</v>
      </c>
      <c r="H421" s="14" t="s">
        <v>5601</v>
      </c>
      <c r="I421" s="14" t="s">
        <v>2458</v>
      </c>
      <c r="J421" s="33" t="s">
        <v>7110</v>
      </c>
      <c r="K421" s="68">
        <v>0</v>
      </c>
      <c r="L421" s="68">
        <v>0</v>
      </c>
      <c r="M421" s="68" t="s">
        <v>8915</v>
      </c>
      <c r="N421" s="68">
        <v>0</v>
      </c>
      <c r="O421" s="68">
        <v>0</v>
      </c>
      <c r="P421" s="198" t="s">
        <v>5608</v>
      </c>
    </row>
    <row r="422" spans="1:16" ht="18.75" hidden="1">
      <c r="A422" s="13" t="s">
        <v>3154</v>
      </c>
      <c r="B422" s="12" t="s">
        <v>3169</v>
      </c>
      <c r="C422" s="12" t="s">
        <v>3096</v>
      </c>
      <c r="D422" s="12" t="s">
        <v>2853</v>
      </c>
      <c r="E422" s="12" t="str">
        <f t="shared" si="13"/>
        <v>95</v>
      </c>
      <c r="F422" s="14">
        <v>174115</v>
      </c>
      <c r="G422" s="67" t="s">
        <v>5604</v>
      </c>
      <c r="H422" s="14" t="s">
        <v>5601</v>
      </c>
      <c r="I422" s="14" t="s">
        <v>2458</v>
      </c>
      <c r="J422" s="33" t="s">
        <v>7110</v>
      </c>
      <c r="K422" s="68">
        <v>0</v>
      </c>
      <c r="L422" s="68">
        <v>0</v>
      </c>
      <c r="M422" s="68" t="s">
        <v>8915</v>
      </c>
      <c r="N422" s="68">
        <v>0</v>
      </c>
      <c r="O422" s="68">
        <v>0</v>
      </c>
      <c r="P422" s="198" t="s">
        <v>5618</v>
      </c>
    </row>
    <row r="423" spans="1:16" ht="18.75" hidden="1">
      <c r="A423" s="13" t="s">
        <v>3155</v>
      </c>
      <c r="B423" s="12" t="s">
        <v>3168</v>
      </c>
      <c r="C423" s="12" t="s">
        <v>3191</v>
      </c>
      <c r="D423" s="12" t="s">
        <v>2864</v>
      </c>
      <c r="E423" s="12" t="str">
        <f t="shared" si="13"/>
        <v>95</v>
      </c>
      <c r="F423" s="14">
        <v>100000</v>
      </c>
      <c r="G423" s="67" t="s">
        <v>5604</v>
      </c>
      <c r="H423" s="14" t="s">
        <v>5601</v>
      </c>
      <c r="I423" s="14" t="s">
        <v>2458</v>
      </c>
      <c r="J423" s="33" t="s">
        <v>7110</v>
      </c>
      <c r="K423" s="68">
        <v>0</v>
      </c>
      <c r="L423" s="68">
        <v>0</v>
      </c>
      <c r="M423" s="68" t="s">
        <v>8915</v>
      </c>
      <c r="N423" s="68">
        <v>0</v>
      </c>
      <c r="O423" s="68">
        <v>0</v>
      </c>
      <c r="P423" s="198" t="s">
        <v>5618</v>
      </c>
    </row>
    <row r="424" spans="1:16" ht="18.75" hidden="1">
      <c r="A424" s="13" t="s">
        <v>3163</v>
      </c>
      <c r="B424" s="12" t="s">
        <v>3165</v>
      </c>
      <c r="C424" s="12" t="s">
        <v>3192</v>
      </c>
      <c r="D424" s="12" t="s">
        <v>3165</v>
      </c>
      <c r="E424" s="12" t="str">
        <f t="shared" si="13"/>
        <v>95</v>
      </c>
      <c r="F424" s="14">
        <v>1012591</v>
      </c>
      <c r="G424" s="67" t="s">
        <v>5604</v>
      </c>
      <c r="H424" s="14" t="s">
        <v>5601</v>
      </c>
      <c r="I424" s="14" t="s">
        <v>2458</v>
      </c>
      <c r="J424" s="33" t="s">
        <v>7110</v>
      </c>
      <c r="K424" s="68">
        <v>0</v>
      </c>
      <c r="L424" s="68">
        <v>0</v>
      </c>
      <c r="M424" s="68" t="s">
        <v>8915</v>
      </c>
      <c r="N424" s="68">
        <v>0</v>
      </c>
      <c r="O424" s="68">
        <v>0</v>
      </c>
      <c r="P424" s="198" t="s">
        <v>5623</v>
      </c>
    </row>
    <row r="425" spans="1:16" ht="18.75" hidden="1">
      <c r="A425" s="13" t="s">
        <v>3193</v>
      </c>
      <c r="B425" s="12" t="s">
        <v>3172</v>
      </c>
      <c r="C425" s="12" t="s">
        <v>2890</v>
      </c>
      <c r="D425" s="12" t="s">
        <v>2865</v>
      </c>
      <c r="E425" s="12" t="str">
        <f t="shared" si="13"/>
        <v>95</v>
      </c>
      <c r="F425" s="14">
        <v>47860</v>
      </c>
      <c r="G425" s="67" t="s">
        <v>5611</v>
      </c>
      <c r="H425" s="14" t="s">
        <v>5601</v>
      </c>
      <c r="I425" s="14" t="s">
        <v>2458</v>
      </c>
      <c r="J425" s="33" t="s">
        <v>7110</v>
      </c>
      <c r="K425" s="68">
        <v>0</v>
      </c>
      <c r="L425" s="68">
        <v>0</v>
      </c>
      <c r="M425" s="68" t="s">
        <v>8915</v>
      </c>
      <c r="N425" s="68">
        <v>0</v>
      </c>
      <c r="O425" s="68">
        <v>0</v>
      </c>
      <c r="P425" s="198" t="s">
        <v>5619</v>
      </c>
    </row>
    <row r="426" spans="1:16" ht="18.75" hidden="1">
      <c r="A426" s="13" t="s">
        <v>3194</v>
      </c>
      <c r="B426" s="12" t="s">
        <v>3207</v>
      </c>
      <c r="C426" s="12" t="s">
        <v>3052</v>
      </c>
      <c r="D426" s="12" t="s">
        <v>2865</v>
      </c>
      <c r="E426" s="12" t="str">
        <f t="shared" si="13"/>
        <v>95</v>
      </c>
      <c r="F426" s="14">
        <v>24200</v>
      </c>
      <c r="G426" s="67" t="s">
        <v>5611</v>
      </c>
      <c r="H426" s="14" t="s">
        <v>5601</v>
      </c>
      <c r="I426" s="14" t="s">
        <v>2458</v>
      </c>
      <c r="J426" s="33" t="s">
        <v>7110</v>
      </c>
      <c r="K426" s="68">
        <v>0</v>
      </c>
      <c r="L426" s="68">
        <v>0</v>
      </c>
      <c r="M426" s="68" t="s">
        <v>8915</v>
      </c>
      <c r="N426" s="68">
        <v>0</v>
      </c>
      <c r="O426" s="68">
        <v>0</v>
      </c>
      <c r="P426" s="198" t="s">
        <v>5619</v>
      </c>
    </row>
    <row r="427" spans="1:16" ht="18.75" hidden="1">
      <c r="A427" s="13" t="s">
        <v>3195</v>
      </c>
      <c r="B427" s="12" t="s">
        <v>3208</v>
      </c>
      <c r="C427" s="12" t="s">
        <v>3210</v>
      </c>
      <c r="D427" s="12" t="s">
        <v>2619</v>
      </c>
      <c r="E427" s="12" t="str">
        <f t="shared" si="13"/>
        <v>95</v>
      </c>
      <c r="F427" s="14">
        <v>24300</v>
      </c>
      <c r="G427" s="67" t="s">
        <v>5611</v>
      </c>
      <c r="H427" s="14" t="s">
        <v>5601</v>
      </c>
      <c r="I427" s="14" t="s">
        <v>2458</v>
      </c>
      <c r="J427" s="33" t="s">
        <v>7110</v>
      </c>
      <c r="K427" s="68">
        <v>0</v>
      </c>
      <c r="L427" s="68">
        <v>0</v>
      </c>
      <c r="M427" s="68" t="s">
        <v>8915</v>
      </c>
      <c r="N427" s="68">
        <v>0</v>
      </c>
      <c r="O427" s="68">
        <v>0</v>
      </c>
      <c r="P427" s="198" t="s">
        <v>5612</v>
      </c>
    </row>
    <row r="428" spans="1:16" ht="18.75" hidden="1">
      <c r="A428" s="13" t="s">
        <v>3196</v>
      </c>
      <c r="B428" s="12" t="s">
        <v>3207</v>
      </c>
      <c r="C428" s="12" t="s">
        <v>2766</v>
      </c>
      <c r="D428" s="12" t="s">
        <v>2609</v>
      </c>
      <c r="E428" s="12" t="str">
        <f t="shared" si="13"/>
        <v>95</v>
      </c>
      <c r="F428" s="14">
        <v>34960</v>
      </c>
      <c r="G428" s="67" t="s">
        <v>5609</v>
      </c>
      <c r="H428" s="14" t="s">
        <v>5601</v>
      </c>
      <c r="I428" s="14" t="s">
        <v>2458</v>
      </c>
      <c r="J428" s="33" t="s">
        <v>7110</v>
      </c>
      <c r="K428" s="68">
        <v>0</v>
      </c>
      <c r="L428" s="68">
        <v>0</v>
      </c>
      <c r="M428" s="68" t="s">
        <v>8915</v>
      </c>
      <c r="N428" s="68">
        <v>0</v>
      </c>
      <c r="O428" s="68">
        <v>0</v>
      </c>
      <c r="P428" s="198" t="s">
        <v>5614</v>
      </c>
    </row>
    <row r="429" spans="1:16" ht="18.75" hidden="1">
      <c r="A429" s="13" t="s">
        <v>3196</v>
      </c>
      <c r="B429" s="12" t="s">
        <v>3207</v>
      </c>
      <c r="C429" s="12" t="s">
        <v>3052</v>
      </c>
      <c r="D429" s="12" t="s">
        <v>2865</v>
      </c>
      <c r="E429" s="12" t="str">
        <f t="shared" si="13"/>
        <v>95</v>
      </c>
      <c r="F429" s="14">
        <v>45080</v>
      </c>
      <c r="G429" s="67" t="s">
        <v>5611</v>
      </c>
      <c r="H429" s="14" t="s">
        <v>5601</v>
      </c>
      <c r="I429" s="14" t="s">
        <v>2458</v>
      </c>
      <c r="J429" s="33" t="s">
        <v>7110</v>
      </c>
      <c r="K429" s="68">
        <v>0</v>
      </c>
      <c r="L429" s="68">
        <v>0</v>
      </c>
      <c r="M429" s="68" t="s">
        <v>8915</v>
      </c>
      <c r="N429" s="68">
        <v>0</v>
      </c>
      <c r="O429" s="68">
        <v>0</v>
      </c>
      <c r="P429" s="198" t="s">
        <v>5619</v>
      </c>
    </row>
    <row r="430" spans="1:16" ht="18.75" hidden="1">
      <c r="A430" s="13" t="s">
        <v>3197</v>
      </c>
      <c r="B430" s="12" t="s">
        <v>3167</v>
      </c>
      <c r="C430" s="12" t="s">
        <v>2890</v>
      </c>
      <c r="D430" s="12" t="s">
        <v>2865</v>
      </c>
      <c r="E430" s="12" t="str">
        <f t="shared" si="13"/>
        <v>95</v>
      </c>
      <c r="F430" s="14">
        <v>49120</v>
      </c>
      <c r="G430" s="67" t="s">
        <v>5611</v>
      </c>
      <c r="H430" s="14" t="s">
        <v>5601</v>
      </c>
      <c r="I430" s="14" t="s">
        <v>2458</v>
      </c>
      <c r="J430" s="33" t="s">
        <v>7110</v>
      </c>
      <c r="K430" s="68">
        <v>0</v>
      </c>
      <c r="L430" s="68">
        <v>0</v>
      </c>
      <c r="M430" s="68" t="s">
        <v>8915</v>
      </c>
      <c r="N430" s="68">
        <v>0</v>
      </c>
      <c r="O430" s="68">
        <v>0</v>
      </c>
      <c r="P430" s="198" t="s">
        <v>5619</v>
      </c>
    </row>
    <row r="431" spans="1:16" ht="18.75" hidden="1">
      <c r="A431" s="13" t="s">
        <v>3195</v>
      </c>
      <c r="B431" s="12" t="s">
        <v>3208</v>
      </c>
      <c r="C431" s="12" t="s">
        <v>2890</v>
      </c>
      <c r="D431" s="12" t="s">
        <v>2865</v>
      </c>
      <c r="E431" s="12" t="str">
        <f t="shared" si="13"/>
        <v>95</v>
      </c>
      <c r="F431" s="14">
        <v>23140</v>
      </c>
      <c r="G431" s="67" t="s">
        <v>5611</v>
      </c>
      <c r="H431" s="14" t="s">
        <v>5601</v>
      </c>
      <c r="I431" s="14" t="s">
        <v>2458</v>
      </c>
      <c r="J431" s="33" t="s">
        <v>7110</v>
      </c>
      <c r="K431" s="68">
        <v>0</v>
      </c>
      <c r="L431" s="68">
        <v>0</v>
      </c>
      <c r="M431" s="68" t="s">
        <v>8915</v>
      </c>
      <c r="N431" s="68">
        <v>0</v>
      </c>
      <c r="O431" s="68">
        <v>0</v>
      </c>
      <c r="P431" s="198" t="s">
        <v>5619</v>
      </c>
    </row>
    <row r="432" spans="1:16" ht="18.75" hidden="1">
      <c r="A432" s="13" t="s">
        <v>3198</v>
      </c>
      <c r="B432" s="12" t="s">
        <v>3171</v>
      </c>
      <c r="C432" s="12" t="s">
        <v>2889</v>
      </c>
      <c r="D432" s="12" t="s">
        <v>2754</v>
      </c>
      <c r="E432" s="12" t="str">
        <f t="shared" si="13"/>
        <v>95</v>
      </c>
      <c r="F432" s="14">
        <v>116770</v>
      </c>
      <c r="G432" s="67" t="s">
        <v>5611</v>
      </c>
      <c r="H432" s="14" t="s">
        <v>5601</v>
      </c>
      <c r="I432" s="14" t="s">
        <v>2458</v>
      </c>
      <c r="J432" s="33" t="s">
        <v>7110</v>
      </c>
      <c r="K432" s="68">
        <v>0</v>
      </c>
      <c r="L432" s="68">
        <v>0</v>
      </c>
      <c r="M432" s="68" t="s">
        <v>8915</v>
      </c>
      <c r="N432" s="68">
        <v>0</v>
      </c>
      <c r="O432" s="68">
        <v>0</v>
      </c>
      <c r="P432" s="198" t="s">
        <v>5612</v>
      </c>
    </row>
    <row r="433" spans="1:16" ht="18.75" hidden="1">
      <c r="A433" s="13" t="s">
        <v>3199</v>
      </c>
      <c r="B433" s="12" t="s">
        <v>3172</v>
      </c>
      <c r="C433" s="12" t="s">
        <v>2889</v>
      </c>
      <c r="D433" s="12" t="s">
        <v>2754</v>
      </c>
      <c r="E433" s="12" t="str">
        <f t="shared" si="13"/>
        <v>95</v>
      </c>
      <c r="F433" s="14">
        <v>8660</v>
      </c>
      <c r="G433" s="67" t="s">
        <v>5611</v>
      </c>
      <c r="H433" s="14" t="s">
        <v>5601</v>
      </c>
      <c r="I433" s="14" t="s">
        <v>2458</v>
      </c>
      <c r="J433" s="33" t="s">
        <v>7110</v>
      </c>
      <c r="K433" s="68">
        <v>0</v>
      </c>
      <c r="L433" s="68">
        <v>0</v>
      </c>
      <c r="M433" s="68" t="s">
        <v>8915</v>
      </c>
      <c r="N433" s="68">
        <v>0</v>
      </c>
      <c r="O433" s="68">
        <v>0</v>
      </c>
      <c r="P433" s="198" t="s">
        <v>5612</v>
      </c>
    </row>
    <row r="434" spans="1:16" ht="18.75" hidden="1">
      <c r="A434" s="13" t="s">
        <v>3196</v>
      </c>
      <c r="B434" s="12" t="s">
        <v>3207</v>
      </c>
      <c r="C434" s="12" t="s">
        <v>2872</v>
      </c>
      <c r="D434" s="12" t="s">
        <v>2864</v>
      </c>
      <c r="E434" s="12" t="str">
        <f t="shared" si="13"/>
        <v>95</v>
      </c>
      <c r="F434" s="14">
        <v>15000</v>
      </c>
      <c r="G434" s="67" t="s">
        <v>5609</v>
      </c>
      <c r="H434" s="14" t="s">
        <v>5601</v>
      </c>
      <c r="I434" s="14" t="s">
        <v>2458</v>
      </c>
      <c r="J434" s="33" t="s">
        <v>7110</v>
      </c>
      <c r="K434" s="68">
        <v>0</v>
      </c>
      <c r="L434" s="68">
        <v>0</v>
      </c>
      <c r="M434" s="68" t="s">
        <v>8915</v>
      </c>
      <c r="N434" s="68">
        <v>0</v>
      </c>
      <c r="O434" s="68">
        <v>0</v>
      </c>
      <c r="P434" s="198" t="s">
        <v>5614</v>
      </c>
    </row>
    <row r="435" spans="1:16" ht="18.75" hidden="1">
      <c r="A435" s="13" t="s">
        <v>3196</v>
      </c>
      <c r="B435" s="12" t="s">
        <v>3207</v>
      </c>
      <c r="C435" s="12" t="s">
        <v>2886</v>
      </c>
      <c r="D435" s="12" t="s">
        <v>2756</v>
      </c>
      <c r="E435" s="12" t="str">
        <f t="shared" si="13"/>
        <v>95</v>
      </c>
      <c r="F435" s="14">
        <v>17080</v>
      </c>
      <c r="G435" s="67" t="s">
        <v>5609</v>
      </c>
      <c r="H435" s="14" t="s">
        <v>5601</v>
      </c>
      <c r="I435" s="14" t="s">
        <v>2458</v>
      </c>
      <c r="J435" s="33" t="s">
        <v>7110</v>
      </c>
      <c r="K435" s="68">
        <v>0</v>
      </c>
      <c r="L435" s="68">
        <v>0</v>
      </c>
      <c r="M435" s="68" t="s">
        <v>8915</v>
      </c>
      <c r="N435" s="68">
        <v>0</v>
      </c>
      <c r="O435" s="68">
        <v>0</v>
      </c>
      <c r="P435" s="198" t="s">
        <v>5614</v>
      </c>
    </row>
    <row r="436" spans="1:16" ht="18.75" hidden="1">
      <c r="A436" s="13" t="s">
        <v>3200</v>
      </c>
      <c r="B436" s="12" t="s">
        <v>3208</v>
      </c>
      <c r="C436" s="12" t="s">
        <v>2895</v>
      </c>
      <c r="D436" s="12" t="s">
        <v>2863</v>
      </c>
      <c r="E436" s="12" t="str">
        <f t="shared" si="13"/>
        <v>95</v>
      </c>
      <c r="F436" s="14">
        <v>42765</v>
      </c>
      <c r="G436" s="67" t="s">
        <v>5611</v>
      </c>
      <c r="H436" s="14" t="s">
        <v>5601</v>
      </c>
      <c r="I436" s="14" t="s">
        <v>2458</v>
      </c>
      <c r="J436" s="33" t="s">
        <v>7110</v>
      </c>
      <c r="K436" s="68">
        <v>0</v>
      </c>
      <c r="L436" s="68">
        <v>0</v>
      </c>
      <c r="M436" s="68" t="s">
        <v>8915</v>
      </c>
      <c r="N436" s="68">
        <v>0</v>
      </c>
      <c r="O436" s="68">
        <v>0</v>
      </c>
      <c r="P436" s="198" t="s">
        <v>5612</v>
      </c>
    </row>
    <row r="437" spans="1:16" ht="18.75" hidden="1">
      <c r="A437" s="13" t="s">
        <v>3201</v>
      </c>
      <c r="B437" s="12" t="s">
        <v>3165</v>
      </c>
      <c r="C437" s="12" t="s">
        <v>2889</v>
      </c>
      <c r="D437" s="12" t="s">
        <v>2754</v>
      </c>
      <c r="E437" s="12" t="str">
        <f t="shared" ref="E437:E472" si="14">MID(D437,1,2)</f>
        <v>95</v>
      </c>
      <c r="F437" s="14">
        <v>152790</v>
      </c>
      <c r="G437" s="67" t="s">
        <v>5611</v>
      </c>
      <c r="H437" s="14" t="s">
        <v>5601</v>
      </c>
      <c r="I437" s="14" t="s">
        <v>2458</v>
      </c>
      <c r="J437" s="33" t="s">
        <v>7110</v>
      </c>
      <c r="K437" s="68">
        <v>0</v>
      </c>
      <c r="L437" s="68">
        <v>0</v>
      </c>
      <c r="M437" s="68" t="s">
        <v>8915</v>
      </c>
      <c r="N437" s="68">
        <v>0</v>
      </c>
      <c r="O437" s="68">
        <v>0</v>
      </c>
      <c r="P437" s="198" t="s">
        <v>5612</v>
      </c>
    </row>
    <row r="438" spans="1:16" ht="18.75" hidden="1">
      <c r="A438" s="13" t="s">
        <v>3202</v>
      </c>
      <c r="B438" s="12" t="s">
        <v>3209</v>
      </c>
      <c r="C438" s="12" t="s">
        <v>3052</v>
      </c>
      <c r="D438" s="12" t="s">
        <v>2865</v>
      </c>
      <c r="E438" s="12" t="str">
        <f t="shared" si="14"/>
        <v>95</v>
      </c>
      <c r="F438" s="14">
        <v>43420</v>
      </c>
      <c r="G438" s="67" t="s">
        <v>5611</v>
      </c>
      <c r="H438" s="14" t="s">
        <v>5601</v>
      </c>
      <c r="I438" s="14" t="s">
        <v>2458</v>
      </c>
      <c r="J438" s="33" t="s">
        <v>7110</v>
      </c>
      <c r="K438" s="68">
        <v>0</v>
      </c>
      <c r="L438" s="68">
        <v>0</v>
      </c>
      <c r="M438" s="68" t="s">
        <v>8915</v>
      </c>
      <c r="N438" s="68">
        <v>0</v>
      </c>
      <c r="O438" s="68">
        <v>0</v>
      </c>
      <c r="P438" s="198" t="s">
        <v>5619</v>
      </c>
    </row>
    <row r="439" spans="1:16" ht="18.75" hidden="1">
      <c r="A439" s="13" t="s">
        <v>3203</v>
      </c>
      <c r="B439" s="12" t="s">
        <v>3166</v>
      </c>
      <c r="C439" s="12" t="s">
        <v>3210</v>
      </c>
      <c r="D439" s="12" t="s">
        <v>2619</v>
      </c>
      <c r="E439" s="12" t="str">
        <f t="shared" si="14"/>
        <v>95</v>
      </c>
      <c r="F439" s="14">
        <v>7220</v>
      </c>
      <c r="G439" s="67" t="s">
        <v>5611</v>
      </c>
      <c r="H439" s="14" t="s">
        <v>5601</v>
      </c>
      <c r="I439" s="14" t="s">
        <v>2458</v>
      </c>
      <c r="J439" s="33" t="s">
        <v>7110</v>
      </c>
      <c r="K439" s="68">
        <v>0</v>
      </c>
      <c r="L439" s="68">
        <v>0</v>
      </c>
      <c r="M439" s="68" t="s">
        <v>8915</v>
      </c>
      <c r="N439" s="68">
        <v>0</v>
      </c>
      <c r="O439" s="68">
        <v>0</v>
      </c>
      <c r="P439" s="198" t="s">
        <v>5612</v>
      </c>
    </row>
    <row r="440" spans="1:16" ht="18.75" hidden="1">
      <c r="A440" s="13" t="s">
        <v>3203</v>
      </c>
      <c r="B440" s="12" t="s">
        <v>3166</v>
      </c>
      <c r="C440" s="12" t="s">
        <v>3052</v>
      </c>
      <c r="D440" s="12" t="s">
        <v>2865</v>
      </c>
      <c r="E440" s="12" t="str">
        <f t="shared" si="14"/>
        <v>95</v>
      </c>
      <c r="F440" s="14">
        <v>37680</v>
      </c>
      <c r="G440" s="67" t="s">
        <v>5611</v>
      </c>
      <c r="H440" s="14" t="s">
        <v>5601</v>
      </c>
      <c r="I440" s="14" t="s">
        <v>2458</v>
      </c>
      <c r="J440" s="33" t="s">
        <v>7110</v>
      </c>
      <c r="K440" s="68">
        <v>0</v>
      </c>
      <c r="L440" s="68">
        <v>0</v>
      </c>
      <c r="M440" s="68" t="s">
        <v>8915</v>
      </c>
      <c r="N440" s="68">
        <v>0</v>
      </c>
      <c r="O440" s="68">
        <v>0</v>
      </c>
      <c r="P440" s="198" t="s">
        <v>5619</v>
      </c>
    </row>
    <row r="441" spans="1:16" ht="18.75" hidden="1">
      <c r="A441" s="13" t="s">
        <v>3204</v>
      </c>
      <c r="B441" s="12" t="s">
        <v>3165</v>
      </c>
      <c r="C441" s="12" t="s">
        <v>2880</v>
      </c>
      <c r="D441" s="12" t="s">
        <v>2753</v>
      </c>
      <c r="E441" s="12" t="str">
        <f t="shared" si="14"/>
        <v>95</v>
      </c>
      <c r="F441" s="14">
        <v>5170</v>
      </c>
      <c r="G441" s="67" t="s">
        <v>5611</v>
      </c>
      <c r="H441" s="14" t="s">
        <v>5601</v>
      </c>
      <c r="I441" s="14" t="s">
        <v>2458</v>
      </c>
      <c r="J441" s="33" t="s">
        <v>7110</v>
      </c>
      <c r="K441" s="68">
        <v>0</v>
      </c>
      <c r="L441" s="68">
        <v>0</v>
      </c>
      <c r="M441" s="68" t="s">
        <v>8915</v>
      </c>
      <c r="N441" s="68">
        <v>0</v>
      </c>
      <c r="O441" s="68">
        <v>0</v>
      </c>
      <c r="P441" s="198" t="s">
        <v>5612</v>
      </c>
    </row>
    <row r="442" spans="1:16" ht="18.75" hidden="1">
      <c r="A442" s="13" t="s">
        <v>3201</v>
      </c>
      <c r="B442" s="12" t="s">
        <v>3165</v>
      </c>
      <c r="C442" s="12" t="s">
        <v>2890</v>
      </c>
      <c r="D442" s="12" t="s">
        <v>2865</v>
      </c>
      <c r="E442" s="12" t="str">
        <f t="shared" si="14"/>
        <v>95</v>
      </c>
      <c r="F442" s="14">
        <v>19810</v>
      </c>
      <c r="G442" s="67" t="s">
        <v>5611</v>
      </c>
      <c r="H442" s="14" t="s">
        <v>5601</v>
      </c>
      <c r="I442" s="14" t="s">
        <v>2458</v>
      </c>
      <c r="J442" s="33" t="s">
        <v>7110</v>
      </c>
      <c r="K442" s="68">
        <v>0</v>
      </c>
      <c r="L442" s="68">
        <v>0</v>
      </c>
      <c r="M442" s="68" t="s">
        <v>8915</v>
      </c>
      <c r="N442" s="68">
        <v>0</v>
      </c>
      <c r="O442" s="68">
        <v>0</v>
      </c>
      <c r="P442" s="198" t="s">
        <v>5619</v>
      </c>
    </row>
    <row r="443" spans="1:16" ht="18.75" hidden="1">
      <c r="A443" s="13" t="s">
        <v>3202</v>
      </c>
      <c r="B443" s="12" t="s">
        <v>3209</v>
      </c>
      <c r="C443" s="12" t="s">
        <v>2890</v>
      </c>
      <c r="D443" s="12" t="s">
        <v>2865</v>
      </c>
      <c r="E443" s="12" t="str">
        <f t="shared" si="14"/>
        <v>95</v>
      </c>
      <c r="F443" s="14">
        <v>68600</v>
      </c>
      <c r="G443" s="67" t="s">
        <v>5611</v>
      </c>
      <c r="H443" s="14" t="s">
        <v>5601</v>
      </c>
      <c r="I443" s="14" t="s">
        <v>2458</v>
      </c>
      <c r="J443" s="33" t="s">
        <v>7110</v>
      </c>
      <c r="K443" s="68">
        <v>0</v>
      </c>
      <c r="L443" s="68">
        <v>0</v>
      </c>
      <c r="M443" s="68" t="s">
        <v>8915</v>
      </c>
      <c r="N443" s="68">
        <v>0</v>
      </c>
      <c r="O443" s="68">
        <v>0</v>
      </c>
      <c r="P443" s="198" t="s">
        <v>5619</v>
      </c>
    </row>
    <row r="444" spans="1:16" ht="18.75" hidden="1">
      <c r="A444" s="13" t="s">
        <v>3205</v>
      </c>
      <c r="B444" s="12" t="s">
        <v>3165</v>
      </c>
      <c r="C444" s="12" t="s">
        <v>2890</v>
      </c>
      <c r="D444" s="12" t="s">
        <v>2865</v>
      </c>
      <c r="E444" s="12" t="str">
        <f t="shared" si="14"/>
        <v>95</v>
      </c>
      <c r="F444" s="14">
        <v>98600</v>
      </c>
      <c r="G444" s="67" t="s">
        <v>5611</v>
      </c>
      <c r="H444" s="14" t="s">
        <v>5601</v>
      </c>
      <c r="I444" s="14" t="s">
        <v>2458</v>
      </c>
      <c r="J444" s="33" t="s">
        <v>7110</v>
      </c>
      <c r="K444" s="68">
        <v>0</v>
      </c>
      <c r="L444" s="68">
        <v>0</v>
      </c>
      <c r="M444" s="68" t="s">
        <v>8915</v>
      </c>
      <c r="N444" s="68">
        <v>0</v>
      </c>
      <c r="O444" s="68">
        <v>0</v>
      </c>
      <c r="P444" s="198" t="s">
        <v>5619</v>
      </c>
    </row>
    <row r="445" spans="1:16" ht="18.75" hidden="1">
      <c r="A445" s="13" t="s">
        <v>3206</v>
      </c>
      <c r="B445" s="12" t="s">
        <v>3164</v>
      </c>
      <c r="C445" s="12" t="s">
        <v>2890</v>
      </c>
      <c r="D445" s="12" t="s">
        <v>2865</v>
      </c>
      <c r="E445" s="12" t="str">
        <f t="shared" si="14"/>
        <v>95</v>
      </c>
      <c r="F445" s="14">
        <v>47000</v>
      </c>
      <c r="G445" s="67" t="s">
        <v>5611</v>
      </c>
      <c r="H445" s="14" t="s">
        <v>5601</v>
      </c>
      <c r="I445" s="14" t="s">
        <v>2458</v>
      </c>
      <c r="J445" s="33" t="s">
        <v>7110</v>
      </c>
      <c r="K445" s="68">
        <v>0</v>
      </c>
      <c r="L445" s="68">
        <v>0</v>
      </c>
      <c r="M445" s="68" t="s">
        <v>8915</v>
      </c>
      <c r="N445" s="68">
        <v>0</v>
      </c>
      <c r="O445" s="68">
        <v>0</v>
      </c>
      <c r="P445" s="198" t="s">
        <v>5619</v>
      </c>
    </row>
    <row r="446" spans="1:16" ht="18.75" hidden="1">
      <c r="A446" s="13" t="s">
        <v>3203</v>
      </c>
      <c r="B446" s="12" t="s">
        <v>3166</v>
      </c>
      <c r="C446" s="12" t="s">
        <v>2872</v>
      </c>
      <c r="D446" s="12" t="s">
        <v>2864</v>
      </c>
      <c r="E446" s="12" t="str">
        <f t="shared" si="14"/>
        <v>95</v>
      </c>
      <c r="F446" s="14">
        <v>24040</v>
      </c>
      <c r="G446" s="67" t="s">
        <v>5609</v>
      </c>
      <c r="H446" s="14" t="s">
        <v>5601</v>
      </c>
      <c r="I446" s="14" t="s">
        <v>2458</v>
      </c>
      <c r="J446" s="33" t="s">
        <v>7110</v>
      </c>
      <c r="K446" s="68">
        <v>0</v>
      </c>
      <c r="L446" s="68">
        <v>0</v>
      </c>
      <c r="M446" s="68" t="s">
        <v>8915</v>
      </c>
      <c r="N446" s="68">
        <v>0</v>
      </c>
      <c r="O446" s="68">
        <v>0</v>
      </c>
      <c r="P446" s="198" t="s">
        <v>5614</v>
      </c>
    </row>
    <row r="447" spans="1:16" ht="18.75" hidden="1">
      <c r="A447" s="13" t="s">
        <v>3226</v>
      </c>
      <c r="B447" s="12" t="s">
        <v>3241</v>
      </c>
      <c r="C447" s="12" t="s">
        <v>3248</v>
      </c>
      <c r="D447" s="12" t="s">
        <v>3260</v>
      </c>
      <c r="E447" s="12" t="str">
        <f t="shared" si="14"/>
        <v>95</v>
      </c>
      <c r="F447" s="14">
        <v>225620</v>
      </c>
      <c r="G447" s="67" t="s">
        <v>5604</v>
      </c>
      <c r="H447" s="14" t="s">
        <v>5601</v>
      </c>
      <c r="I447" s="14" t="s">
        <v>2458</v>
      </c>
      <c r="J447" s="33" t="s">
        <v>7110</v>
      </c>
      <c r="K447" s="68">
        <v>0</v>
      </c>
      <c r="L447" s="68">
        <v>0</v>
      </c>
      <c r="M447" s="68" t="s">
        <v>8915</v>
      </c>
      <c r="N447" s="68">
        <v>0</v>
      </c>
      <c r="O447" s="68">
        <v>0</v>
      </c>
      <c r="P447" s="198" t="s">
        <v>5618</v>
      </c>
    </row>
    <row r="448" spans="1:16" ht="18.75" hidden="1">
      <c r="A448" s="13" t="s">
        <v>3226</v>
      </c>
      <c r="B448" s="12" t="s">
        <v>3241</v>
      </c>
      <c r="C448" s="12" t="s">
        <v>3249</v>
      </c>
      <c r="D448" s="12" t="s">
        <v>3246</v>
      </c>
      <c r="E448" s="12" t="str">
        <f t="shared" si="14"/>
        <v>95</v>
      </c>
      <c r="F448" s="14">
        <v>42568</v>
      </c>
      <c r="G448" s="67" t="s">
        <v>5604</v>
      </c>
      <c r="H448" s="14" t="s">
        <v>5601</v>
      </c>
      <c r="I448" s="14" t="s">
        <v>2458</v>
      </c>
      <c r="J448" s="33" t="s">
        <v>7110</v>
      </c>
      <c r="K448" s="68">
        <v>0</v>
      </c>
      <c r="L448" s="68">
        <v>0</v>
      </c>
      <c r="M448" s="68" t="s">
        <v>8915</v>
      </c>
      <c r="N448" s="68">
        <v>0</v>
      </c>
      <c r="O448" s="68">
        <v>0</v>
      </c>
      <c r="P448" s="198" t="s">
        <v>5618</v>
      </c>
    </row>
    <row r="449" spans="1:16" ht="18.75" hidden="1">
      <c r="A449" s="13" t="s">
        <v>3226</v>
      </c>
      <c r="B449" s="12" t="s">
        <v>3241</v>
      </c>
      <c r="C449" s="12" t="s">
        <v>3250</v>
      </c>
      <c r="D449" s="12" t="s">
        <v>3242</v>
      </c>
      <c r="E449" s="12" t="str">
        <f t="shared" si="14"/>
        <v>95</v>
      </c>
      <c r="F449" s="14">
        <v>1182083</v>
      </c>
      <c r="G449" s="67" t="s">
        <v>5604</v>
      </c>
      <c r="H449" s="14" t="s">
        <v>5601</v>
      </c>
      <c r="I449" s="14" t="s">
        <v>2458</v>
      </c>
      <c r="J449" s="33" t="s">
        <v>7110</v>
      </c>
      <c r="K449" s="68">
        <v>0</v>
      </c>
      <c r="L449" s="68">
        <v>0</v>
      </c>
      <c r="M449" s="68" t="s">
        <v>8915</v>
      </c>
      <c r="N449" s="68">
        <v>0</v>
      </c>
      <c r="O449" s="68">
        <v>0</v>
      </c>
      <c r="P449" s="198" t="s">
        <v>5618</v>
      </c>
    </row>
    <row r="450" spans="1:16" ht="18.75" hidden="1">
      <c r="A450" s="13" t="s">
        <v>3227</v>
      </c>
      <c r="B450" s="12" t="s">
        <v>3242</v>
      </c>
      <c r="C450" s="12" t="s">
        <v>3248</v>
      </c>
      <c r="D450" s="12" t="s">
        <v>3260</v>
      </c>
      <c r="E450" s="12" t="str">
        <f t="shared" si="14"/>
        <v>95</v>
      </c>
      <c r="F450" s="14">
        <v>298590</v>
      </c>
      <c r="G450" s="67" t="s">
        <v>5604</v>
      </c>
      <c r="H450" s="14" t="s">
        <v>5601</v>
      </c>
      <c r="I450" s="14" t="s">
        <v>2458</v>
      </c>
      <c r="J450" s="33" t="s">
        <v>7110</v>
      </c>
      <c r="K450" s="68">
        <v>0</v>
      </c>
      <c r="L450" s="68">
        <v>0</v>
      </c>
      <c r="M450" s="68" t="s">
        <v>8915</v>
      </c>
      <c r="N450" s="68">
        <v>0</v>
      </c>
      <c r="O450" s="68">
        <v>0</v>
      </c>
      <c r="P450" s="198" t="s">
        <v>5618</v>
      </c>
    </row>
    <row r="451" spans="1:16" ht="18.75" hidden="1">
      <c r="A451" s="13" t="s">
        <v>3228</v>
      </c>
      <c r="B451" s="12" t="s">
        <v>3243</v>
      </c>
      <c r="C451" s="12" t="s">
        <v>3251</v>
      </c>
      <c r="D451" s="12" t="s">
        <v>3243</v>
      </c>
      <c r="E451" s="12" t="str">
        <f t="shared" si="14"/>
        <v>95</v>
      </c>
      <c r="F451" s="14">
        <v>971451</v>
      </c>
      <c r="G451" s="67" t="s">
        <v>5604</v>
      </c>
      <c r="H451" s="14" t="s">
        <v>5601</v>
      </c>
      <c r="I451" s="14" t="s">
        <v>2458</v>
      </c>
      <c r="J451" s="33" t="s">
        <v>7110</v>
      </c>
      <c r="K451" s="68">
        <v>0</v>
      </c>
      <c r="L451" s="68">
        <v>0</v>
      </c>
      <c r="M451" s="68" t="s">
        <v>8915</v>
      </c>
      <c r="N451" s="68">
        <v>0</v>
      </c>
      <c r="O451" s="68">
        <v>0</v>
      </c>
      <c r="P451" s="198" t="s">
        <v>5623</v>
      </c>
    </row>
    <row r="452" spans="1:16" ht="18.75" hidden="1">
      <c r="A452" s="13" t="s">
        <v>3229</v>
      </c>
      <c r="B452" s="12" t="s">
        <v>3208</v>
      </c>
      <c r="C452" s="12" t="s">
        <v>3106</v>
      </c>
      <c r="D452" s="12" t="s">
        <v>2853</v>
      </c>
      <c r="E452" s="12" t="str">
        <f t="shared" si="14"/>
        <v>95</v>
      </c>
      <c r="F452" s="14">
        <v>9350</v>
      </c>
      <c r="G452" s="67" t="s">
        <v>5620</v>
      </c>
      <c r="H452" s="14" t="s">
        <v>5601</v>
      </c>
      <c r="I452" s="14" t="s">
        <v>2458</v>
      </c>
      <c r="J452" s="33" t="s">
        <v>7110</v>
      </c>
      <c r="K452" s="68">
        <v>0</v>
      </c>
      <c r="L452" s="68">
        <v>0</v>
      </c>
      <c r="M452" s="68" t="s">
        <v>8915</v>
      </c>
      <c r="N452" s="68">
        <v>0</v>
      </c>
      <c r="O452" s="68">
        <v>0</v>
      </c>
      <c r="P452" s="198" t="s">
        <v>5621</v>
      </c>
    </row>
    <row r="453" spans="1:16" ht="18.75" hidden="1">
      <c r="A453" s="13" t="s">
        <v>3229</v>
      </c>
      <c r="B453" s="12" t="s">
        <v>3208</v>
      </c>
      <c r="C453" s="12" t="s">
        <v>3252</v>
      </c>
      <c r="D453" s="12" t="s">
        <v>3047</v>
      </c>
      <c r="E453" s="12" t="str">
        <f t="shared" si="14"/>
        <v>95</v>
      </c>
      <c r="F453" s="14">
        <v>1282650</v>
      </c>
      <c r="G453" s="67" t="s">
        <v>5620</v>
      </c>
      <c r="H453" s="14" t="s">
        <v>5601</v>
      </c>
      <c r="I453" s="14" t="s">
        <v>2458</v>
      </c>
      <c r="J453" s="33" t="s">
        <v>7110</v>
      </c>
      <c r="K453" s="68">
        <v>0</v>
      </c>
      <c r="L453" s="68">
        <v>0</v>
      </c>
      <c r="M453" s="68" t="s">
        <v>8915</v>
      </c>
      <c r="N453" s="68">
        <v>0</v>
      </c>
      <c r="O453" s="68">
        <v>0</v>
      </c>
      <c r="P453" s="198" t="s">
        <v>5621</v>
      </c>
    </row>
    <row r="454" spans="1:16" ht="18.75" hidden="1">
      <c r="A454" s="13" t="s">
        <v>3230</v>
      </c>
      <c r="B454" s="12" t="s">
        <v>3242</v>
      </c>
      <c r="C454" s="12" t="s">
        <v>3248</v>
      </c>
      <c r="D454" s="12" t="s">
        <v>3260</v>
      </c>
      <c r="E454" s="12" t="str">
        <f t="shared" si="14"/>
        <v>95</v>
      </c>
      <c r="F454" s="14">
        <v>975790</v>
      </c>
      <c r="G454" s="67" t="s">
        <v>5604</v>
      </c>
      <c r="H454" s="14" t="s">
        <v>5601</v>
      </c>
      <c r="I454" s="14" t="s">
        <v>2458</v>
      </c>
      <c r="J454" s="33" t="s">
        <v>7110</v>
      </c>
      <c r="K454" s="68">
        <v>0</v>
      </c>
      <c r="L454" s="68">
        <v>0</v>
      </c>
      <c r="M454" s="68" t="s">
        <v>8915</v>
      </c>
      <c r="N454" s="68">
        <v>0</v>
      </c>
      <c r="O454" s="68">
        <v>0</v>
      </c>
      <c r="P454" s="198" t="s">
        <v>5618</v>
      </c>
    </row>
    <row r="455" spans="1:16" ht="18.75" hidden="1">
      <c r="A455" s="13" t="s">
        <v>3231</v>
      </c>
      <c r="B455" s="12" t="s">
        <v>3244</v>
      </c>
      <c r="C455" s="12" t="s">
        <v>3253</v>
      </c>
      <c r="D455" s="12" t="s">
        <v>2851</v>
      </c>
      <c r="E455" s="12" t="str">
        <f t="shared" si="14"/>
        <v>95</v>
      </c>
      <c r="F455" s="14">
        <v>587000</v>
      </c>
      <c r="G455" s="67" t="s">
        <v>5611</v>
      </c>
      <c r="H455" s="14" t="s">
        <v>5601</v>
      </c>
      <c r="I455" s="14" t="s">
        <v>2458</v>
      </c>
      <c r="J455" s="33" t="s">
        <v>7110</v>
      </c>
      <c r="K455" s="68">
        <v>0</v>
      </c>
      <c r="L455" s="68">
        <v>0</v>
      </c>
      <c r="M455" s="68" t="s">
        <v>8915</v>
      </c>
      <c r="N455" s="68">
        <v>0</v>
      </c>
      <c r="O455" s="68">
        <v>0</v>
      </c>
      <c r="P455" s="198" t="s">
        <v>5619</v>
      </c>
    </row>
    <row r="456" spans="1:16" ht="18.75" hidden="1">
      <c r="A456" s="13" t="s">
        <v>3227</v>
      </c>
      <c r="B456" s="12" t="s">
        <v>3242</v>
      </c>
      <c r="C456" s="12" t="s">
        <v>3183</v>
      </c>
      <c r="D456" s="12" t="s">
        <v>3049</v>
      </c>
      <c r="E456" s="12" t="str">
        <f t="shared" si="14"/>
        <v>95</v>
      </c>
      <c r="F456" s="14">
        <v>673087</v>
      </c>
      <c r="G456" s="67" t="s">
        <v>5604</v>
      </c>
      <c r="H456" s="14" t="s">
        <v>5601</v>
      </c>
      <c r="I456" s="14" t="s">
        <v>2458</v>
      </c>
      <c r="J456" s="33" t="s">
        <v>7110</v>
      </c>
      <c r="K456" s="68">
        <v>0</v>
      </c>
      <c r="L456" s="68">
        <v>0</v>
      </c>
      <c r="M456" s="68" t="s">
        <v>8915</v>
      </c>
      <c r="N456" s="68">
        <v>0</v>
      </c>
      <c r="O456" s="68">
        <v>0</v>
      </c>
      <c r="P456" s="198" t="s">
        <v>5618</v>
      </c>
    </row>
    <row r="457" spans="1:16" ht="18.75" hidden="1">
      <c r="A457" s="13" t="s">
        <v>3231</v>
      </c>
      <c r="B457" s="12" t="s">
        <v>3244</v>
      </c>
      <c r="C457" s="12" t="s">
        <v>3254</v>
      </c>
      <c r="D457" s="12" t="s">
        <v>3165</v>
      </c>
      <c r="E457" s="12" t="str">
        <f t="shared" si="14"/>
        <v>95</v>
      </c>
      <c r="F457" s="14">
        <v>700000</v>
      </c>
      <c r="G457" s="67" t="s">
        <v>5611</v>
      </c>
      <c r="H457" s="14" t="s">
        <v>5601</v>
      </c>
      <c r="I457" s="14" t="s">
        <v>2458</v>
      </c>
      <c r="J457" s="33" t="s">
        <v>7110</v>
      </c>
      <c r="K457" s="68">
        <v>0</v>
      </c>
      <c r="L457" s="68">
        <v>0</v>
      </c>
      <c r="M457" s="68" t="s">
        <v>8915</v>
      </c>
      <c r="N457" s="68">
        <v>0</v>
      </c>
      <c r="O457" s="68">
        <v>0</v>
      </c>
      <c r="P457" s="198" t="s">
        <v>5619</v>
      </c>
    </row>
    <row r="458" spans="1:16" ht="18.75" hidden="1">
      <c r="A458" s="13" t="s">
        <v>3231</v>
      </c>
      <c r="B458" s="12" t="s">
        <v>3244</v>
      </c>
      <c r="C458" s="12" t="s">
        <v>3255</v>
      </c>
      <c r="D458" s="12" t="s">
        <v>2852</v>
      </c>
      <c r="E458" s="12" t="str">
        <f t="shared" si="14"/>
        <v>95</v>
      </c>
      <c r="F458" s="14">
        <v>435200</v>
      </c>
      <c r="G458" s="67" t="s">
        <v>5611</v>
      </c>
      <c r="H458" s="14" t="s">
        <v>5601</v>
      </c>
      <c r="I458" s="14" t="s">
        <v>2458</v>
      </c>
      <c r="J458" s="33" t="s">
        <v>7110</v>
      </c>
      <c r="K458" s="68">
        <v>0</v>
      </c>
      <c r="L458" s="68">
        <v>0</v>
      </c>
      <c r="M458" s="68" t="s">
        <v>8915</v>
      </c>
      <c r="N458" s="68">
        <v>0</v>
      </c>
      <c r="O458" s="68">
        <v>0</v>
      </c>
      <c r="P458" s="198" t="s">
        <v>5619</v>
      </c>
    </row>
    <row r="459" spans="1:16" ht="18.75" hidden="1">
      <c r="A459" s="13" t="s">
        <v>3231</v>
      </c>
      <c r="B459" s="12" t="s">
        <v>3244</v>
      </c>
      <c r="C459" s="12" t="s">
        <v>3256</v>
      </c>
      <c r="D459" s="12" t="s">
        <v>2855</v>
      </c>
      <c r="E459" s="12" t="str">
        <f t="shared" si="14"/>
        <v>95</v>
      </c>
      <c r="F459" s="14">
        <v>260000</v>
      </c>
      <c r="G459" s="67" t="s">
        <v>5611</v>
      </c>
      <c r="H459" s="14" t="s">
        <v>5601</v>
      </c>
      <c r="I459" s="14" t="s">
        <v>2458</v>
      </c>
      <c r="J459" s="33" t="s">
        <v>7110</v>
      </c>
      <c r="K459" s="68">
        <v>0</v>
      </c>
      <c r="L459" s="68">
        <v>0</v>
      </c>
      <c r="M459" s="68" t="s">
        <v>8915</v>
      </c>
      <c r="N459" s="68">
        <v>0</v>
      </c>
      <c r="O459" s="68">
        <v>0</v>
      </c>
      <c r="P459" s="198" t="s">
        <v>5619</v>
      </c>
    </row>
    <row r="460" spans="1:16" ht="18.75" hidden="1">
      <c r="A460" s="13" t="s">
        <v>3232</v>
      </c>
      <c r="B460" s="12" t="s">
        <v>3208</v>
      </c>
      <c r="C460" s="12" t="s">
        <v>2785</v>
      </c>
      <c r="D460" s="12" t="s">
        <v>2619</v>
      </c>
      <c r="E460" s="12" t="str">
        <f t="shared" si="14"/>
        <v>95</v>
      </c>
      <c r="F460" s="14">
        <v>39600</v>
      </c>
      <c r="G460" s="67" t="s">
        <v>5611</v>
      </c>
      <c r="H460" s="14" t="s">
        <v>5601</v>
      </c>
      <c r="I460" s="14" t="s">
        <v>2458</v>
      </c>
      <c r="J460" s="33" t="s">
        <v>7110</v>
      </c>
      <c r="K460" s="68">
        <v>0</v>
      </c>
      <c r="L460" s="68">
        <v>0</v>
      </c>
      <c r="M460" s="68" t="s">
        <v>8915</v>
      </c>
      <c r="N460" s="68">
        <v>0</v>
      </c>
      <c r="O460" s="68">
        <v>0</v>
      </c>
      <c r="P460" s="198" t="s">
        <v>5612</v>
      </c>
    </row>
    <row r="461" spans="1:16" ht="18.75" hidden="1">
      <c r="A461" s="13" t="s">
        <v>3233</v>
      </c>
      <c r="B461" s="12" t="s">
        <v>3245</v>
      </c>
      <c r="C461" s="12" t="s">
        <v>3257</v>
      </c>
      <c r="D461" s="12" t="s">
        <v>2870</v>
      </c>
      <c r="E461" s="12" t="str">
        <f t="shared" si="14"/>
        <v>95</v>
      </c>
      <c r="F461" s="14">
        <v>396000</v>
      </c>
      <c r="G461" s="67" t="s">
        <v>5611</v>
      </c>
      <c r="H461" s="14" t="s">
        <v>5601</v>
      </c>
      <c r="I461" s="14" t="s">
        <v>2458</v>
      </c>
      <c r="J461" s="33" t="s">
        <v>7110</v>
      </c>
      <c r="K461" s="68">
        <v>0</v>
      </c>
      <c r="L461" s="68">
        <v>0</v>
      </c>
      <c r="M461" s="68" t="s">
        <v>8915</v>
      </c>
      <c r="N461" s="68">
        <v>0</v>
      </c>
      <c r="O461" s="68">
        <v>0</v>
      </c>
      <c r="P461" s="198" t="s">
        <v>5612</v>
      </c>
    </row>
    <row r="462" spans="1:16" ht="18.75" hidden="1">
      <c r="A462" s="13" t="s">
        <v>3234</v>
      </c>
      <c r="B462" s="12" t="s">
        <v>3246</v>
      </c>
      <c r="C462" s="12" t="s">
        <v>3182</v>
      </c>
      <c r="D462" s="12" t="s">
        <v>2754</v>
      </c>
      <c r="E462" s="12" t="str">
        <f t="shared" si="14"/>
        <v>95</v>
      </c>
      <c r="F462" s="14">
        <v>594000</v>
      </c>
      <c r="G462" s="67" t="s">
        <v>5611</v>
      </c>
      <c r="H462" s="14" t="s">
        <v>5601</v>
      </c>
      <c r="I462" s="14" t="s">
        <v>2458</v>
      </c>
      <c r="J462" s="33" t="s">
        <v>7110</v>
      </c>
      <c r="K462" s="68">
        <v>0</v>
      </c>
      <c r="L462" s="68">
        <v>0</v>
      </c>
      <c r="M462" s="68" t="s">
        <v>8915</v>
      </c>
      <c r="N462" s="68">
        <v>0</v>
      </c>
      <c r="O462" s="68">
        <v>0</v>
      </c>
      <c r="P462" s="198" t="s">
        <v>5612</v>
      </c>
    </row>
    <row r="463" spans="1:16" ht="18.75" hidden="1">
      <c r="A463" s="13" t="s">
        <v>3235</v>
      </c>
      <c r="B463" s="12" t="s">
        <v>3246</v>
      </c>
      <c r="C463" s="12" t="s">
        <v>2785</v>
      </c>
      <c r="D463" s="12" t="s">
        <v>2619</v>
      </c>
      <c r="E463" s="12" t="str">
        <f t="shared" si="14"/>
        <v>95</v>
      </c>
      <c r="F463" s="14">
        <v>99000</v>
      </c>
      <c r="G463" s="67" t="s">
        <v>5611</v>
      </c>
      <c r="H463" s="14" t="s">
        <v>5601</v>
      </c>
      <c r="I463" s="14" t="s">
        <v>2458</v>
      </c>
      <c r="J463" s="33" t="s">
        <v>7110</v>
      </c>
      <c r="K463" s="68">
        <v>0</v>
      </c>
      <c r="L463" s="68">
        <v>0</v>
      </c>
      <c r="M463" s="68" t="s">
        <v>8915</v>
      </c>
      <c r="N463" s="68">
        <v>0</v>
      </c>
      <c r="O463" s="68">
        <v>0</v>
      </c>
      <c r="P463" s="198" t="s">
        <v>5612</v>
      </c>
    </row>
    <row r="464" spans="1:16" ht="18.75" hidden="1">
      <c r="A464" s="13" t="s">
        <v>3236</v>
      </c>
      <c r="B464" s="12" t="s">
        <v>3243</v>
      </c>
      <c r="C464" s="12" t="s">
        <v>3249</v>
      </c>
      <c r="D464" s="12" t="s">
        <v>3246</v>
      </c>
      <c r="E464" s="12" t="str">
        <f t="shared" si="14"/>
        <v>95</v>
      </c>
      <c r="F464" s="14">
        <v>979534</v>
      </c>
      <c r="G464" s="67" t="s">
        <v>5604</v>
      </c>
      <c r="H464" s="14" t="s">
        <v>5601</v>
      </c>
      <c r="I464" s="14" t="s">
        <v>2458</v>
      </c>
      <c r="J464" s="33" t="s">
        <v>7110</v>
      </c>
      <c r="K464" s="68">
        <v>0</v>
      </c>
      <c r="L464" s="68">
        <v>0</v>
      </c>
      <c r="M464" s="68" t="s">
        <v>8915</v>
      </c>
      <c r="N464" s="68">
        <v>0</v>
      </c>
      <c r="O464" s="68">
        <v>0</v>
      </c>
      <c r="P464" s="198" t="s">
        <v>5618</v>
      </c>
    </row>
    <row r="465" spans="1:16" ht="18.75" hidden="1">
      <c r="A465" s="13" t="s">
        <v>3237</v>
      </c>
      <c r="B465" s="12" t="s">
        <v>3247</v>
      </c>
      <c r="C465" s="12" t="s">
        <v>3105</v>
      </c>
      <c r="D465" s="12" t="s">
        <v>2757</v>
      </c>
      <c r="E465" s="12" t="str">
        <f t="shared" si="14"/>
        <v>95</v>
      </c>
      <c r="F465" s="14">
        <v>263903</v>
      </c>
      <c r="G465" s="67" t="s">
        <v>5607</v>
      </c>
      <c r="H465" s="14" t="s">
        <v>5601</v>
      </c>
      <c r="I465" s="14" t="s">
        <v>2458</v>
      </c>
      <c r="J465" s="33" t="s">
        <v>7110</v>
      </c>
      <c r="K465" s="68">
        <v>0</v>
      </c>
      <c r="L465" s="68">
        <v>0</v>
      </c>
      <c r="M465" s="68" t="s">
        <v>8915</v>
      </c>
      <c r="N465" s="68">
        <v>0</v>
      </c>
      <c r="O465" s="68">
        <v>0</v>
      </c>
      <c r="P465" s="198" t="s">
        <v>5608</v>
      </c>
    </row>
    <row r="466" spans="1:16" ht="18.75" hidden="1">
      <c r="A466" s="13" t="s">
        <v>3237</v>
      </c>
      <c r="B466" s="12" t="s">
        <v>3247</v>
      </c>
      <c r="C466" s="12" t="s">
        <v>3258</v>
      </c>
      <c r="D466" s="12" t="s">
        <v>2863</v>
      </c>
      <c r="E466" s="12" t="str">
        <f t="shared" si="14"/>
        <v>95</v>
      </c>
      <c r="F466" s="14">
        <v>158287</v>
      </c>
      <c r="G466" s="67" t="s">
        <v>5607</v>
      </c>
      <c r="H466" s="14" t="s">
        <v>5601</v>
      </c>
      <c r="I466" s="14" t="s">
        <v>2458</v>
      </c>
      <c r="J466" s="33" t="s">
        <v>7110</v>
      </c>
      <c r="K466" s="68">
        <v>0</v>
      </c>
      <c r="L466" s="68">
        <v>0</v>
      </c>
      <c r="M466" s="68" t="s">
        <v>8915</v>
      </c>
      <c r="N466" s="68">
        <v>0</v>
      </c>
      <c r="O466" s="68">
        <v>0</v>
      </c>
      <c r="P466" s="198" t="s">
        <v>5608</v>
      </c>
    </row>
    <row r="467" spans="1:16" ht="18.75" hidden="1">
      <c r="A467" s="13" t="s">
        <v>3237</v>
      </c>
      <c r="B467" s="12" t="s">
        <v>3247</v>
      </c>
      <c r="C467" s="12" t="s">
        <v>3082</v>
      </c>
      <c r="D467" s="12" t="s">
        <v>2863</v>
      </c>
      <c r="E467" s="12" t="str">
        <f t="shared" si="14"/>
        <v>95</v>
      </c>
      <c r="F467" s="14">
        <v>74730</v>
      </c>
      <c r="G467" s="67" t="s">
        <v>5607</v>
      </c>
      <c r="H467" s="14" t="s">
        <v>5601</v>
      </c>
      <c r="I467" s="14" t="s">
        <v>2458</v>
      </c>
      <c r="J467" s="33" t="s">
        <v>7110</v>
      </c>
      <c r="K467" s="68">
        <v>0</v>
      </c>
      <c r="L467" s="68">
        <v>0</v>
      </c>
      <c r="M467" s="68" t="s">
        <v>8915</v>
      </c>
      <c r="N467" s="68">
        <v>0</v>
      </c>
      <c r="O467" s="68">
        <v>0</v>
      </c>
      <c r="P467" s="198" t="s">
        <v>5608</v>
      </c>
    </row>
    <row r="468" spans="1:16" ht="18.75" hidden="1">
      <c r="A468" s="13" t="s">
        <v>3237</v>
      </c>
      <c r="B468" s="12" t="s">
        <v>3247</v>
      </c>
      <c r="C468" s="12" t="s">
        <v>3259</v>
      </c>
      <c r="D468" s="12" t="s">
        <v>2754</v>
      </c>
      <c r="E468" s="12" t="str">
        <f t="shared" si="14"/>
        <v>95</v>
      </c>
      <c r="F468" s="14">
        <v>500000</v>
      </c>
      <c r="G468" s="67" t="s">
        <v>5611</v>
      </c>
      <c r="H468" s="14" t="s">
        <v>5601</v>
      </c>
      <c r="I468" s="14" t="s">
        <v>2458</v>
      </c>
      <c r="J468" s="33" t="s">
        <v>7110</v>
      </c>
      <c r="K468" s="68">
        <v>0</v>
      </c>
      <c r="L468" s="68">
        <v>0</v>
      </c>
      <c r="M468" s="68" t="s">
        <v>8915</v>
      </c>
      <c r="N468" s="68">
        <v>0</v>
      </c>
      <c r="O468" s="68">
        <v>0</v>
      </c>
      <c r="P468" s="198" t="s">
        <v>5612</v>
      </c>
    </row>
    <row r="469" spans="1:16" ht="18.75" hidden="1">
      <c r="A469" s="13" t="s">
        <v>3238</v>
      </c>
      <c r="B469" s="12" t="s">
        <v>3242</v>
      </c>
      <c r="C469" s="12" t="s">
        <v>3182</v>
      </c>
      <c r="D469" s="12" t="s">
        <v>2754</v>
      </c>
      <c r="E469" s="12" t="str">
        <f t="shared" si="14"/>
        <v>95</v>
      </c>
      <c r="F469" s="14">
        <v>8084</v>
      </c>
      <c r="G469" s="67" t="s">
        <v>5611</v>
      </c>
      <c r="H469" s="14" t="s">
        <v>5601</v>
      </c>
      <c r="I469" s="14" t="s">
        <v>2458</v>
      </c>
      <c r="J469" s="33" t="s">
        <v>7110</v>
      </c>
      <c r="K469" s="68">
        <v>0</v>
      </c>
      <c r="L469" s="68">
        <v>0</v>
      </c>
      <c r="M469" s="68" t="s">
        <v>8915</v>
      </c>
      <c r="N469" s="68">
        <v>0</v>
      </c>
      <c r="O469" s="68">
        <v>0</v>
      </c>
      <c r="P469" s="198" t="s">
        <v>5612</v>
      </c>
    </row>
    <row r="470" spans="1:16" ht="18.75" hidden="1">
      <c r="A470" s="13" t="s">
        <v>3239</v>
      </c>
      <c r="B470" s="12" t="s">
        <v>3243</v>
      </c>
      <c r="C470" s="12" t="s">
        <v>3249</v>
      </c>
      <c r="D470" s="12" t="s">
        <v>3246</v>
      </c>
      <c r="E470" s="12" t="str">
        <f t="shared" si="14"/>
        <v>95</v>
      </c>
      <c r="F470" s="14">
        <v>977898</v>
      </c>
      <c r="G470" s="67" t="s">
        <v>5604</v>
      </c>
      <c r="H470" s="14" t="s">
        <v>5601</v>
      </c>
      <c r="I470" s="14" t="s">
        <v>2458</v>
      </c>
      <c r="J470" s="33" t="s">
        <v>7110</v>
      </c>
      <c r="K470" s="68">
        <v>0</v>
      </c>
      <c r="L470" s="68">
        <v>0</v>
      </c>
      <c r="M470" s="68" t="s">
        <v>8915</v>
      </c>
      <c r="N470" s="68">
        <v>0</v>
      </c>
      <c r="O470" s="68">
        <v>0</v>
      </c>
      <c r="P470" s="198" t="s">
        <v>5618</v>
      </c>
    </row>
    <row r="471" spans="1:16" ht="18.75" hidden="1">
      <c r="A471" s="13" t="s">
        <v>3240</v>
      </c>
      <c r="B471" s="12" t="s">
        <v>3245</v>
      </c>
      <c r="C471" s="12" t="s">
        <v>3187</v>
      </c>
      <c r="D471" s="12" t="s">
        <v>2752</v>
      </c>
      <c r="E471" s="12" t="str">
        <f t="shared" si="14"/>
        <v>95</v>
      </c>
      <c r="F471" s="14">
        <v>395550</v>
      </c>
      <c r="G471" s="67" t="s">
        <v>5607</v>
      </c>
      <c r="H471" s="14" t="s">
        <v>5601</v>
      </c>
      <c r="I471" s="14" t="s">
        <v>2458</v>
      </c>
      <c r="J471" s="33" t="s">
        <v>7110</v>
      </c>
      <c r="K471" s="68">
        <v>0</v>
      </c>
      <c r="L471" s="68">
        <v>0</v>
      </c>
      <c r="M471" s="68" t="s">
        <v>8915</v>
      </c>
      <c r="N471" s="68">
        <v>0</v>
      </c>
      <c r="O471" s="68">
        <v>0</v>
      </c>
      <c r="P471" s="198" t="s">
        <v>5608</v>
      </c>
    </row>
    <row r="472" spans="1:16" ht="18.75" hidden="1">
      <c r="A472" s="13" t="s">
        <v>3238</v>
      </c>
      <c r="B472" s="12" t="s">
        <v>3242</v>
      </c>
      <c r="C472" s="12" t="s">
        <v>3089</v>
      </c>
      <c r="D472" s="12" t="s">
        <v>2758</v>
      </c>
      <c r="E472" s="12" t="str">
        <f t="shared" si="14"/>
        <v>95</v>
      </c>
      <c r="F472" s="14">
        <v>215216</v>
      </c>
      <c r="G472" s="67" t="s">
        <v>5604</v>
      </c>
      <c r="H472" s="14" t="s">
        <v>5601</v>
      </c>
      <c r="I472" s="14" t="s">
        <v>2458</v>
      </c>
      <c r="J472" s="33" t="s">
        <v>7110</v>
      </c>
      <c r="K472" s="68">
        <v>0</v>
      </c>
      <c r="L472" s="68">
        <v>0</v>
      </c>
      <c r="M472" s="68" t="s">
        <v>8915</v>
      </c>
      <c r="N472" s="68">
        <v>0</v>
      </c>
      <c r="O472" s="68">
        <v>0</v>
      </c>
      <c r="P472" s="198" t="s">
        <v>5618</v>
      </c>
    </row>
    <row r="473" spans="1:16" ht="18.75" hidden="1">
      <c r="A473" s="13" t="s">
        <v>3261</v>
      </c>
      <c r="B473" s="12" t="s">
        <v>3273</v>
      </c>
      <c r="C473" s="12" t="s">
        <v>3283</v>
      </c>
      <c r="D473" s="12" t="s">
        <v>2616</v>
      </c>
      <c r="E473" s="12" t="str">
        <f t="shared" ref="E473:E513" si="15">MID(D473,1,2)</f>
        <v>95</v>
      </c>
      <c r="F473" s="14">
        <v>175100</v>
      </c>
      <c r="G473" s="67" t="s">
        <v>5609</v>
      </c>
      <c r="H473" s="14" t="s">
        <v>5601</v>
      </c>
      <c r="I473" s="14" t="s">
        <v>2458</v>
      </c>
      <c r="J473" s="33" t="s">
        <v>7110</v>
      </c>
      <c r="K473" s="68">
        <v>0</v>
      </c>
      <c r="L473" s="68">
        <v>0</v>
      </c>
      <c r="M473" s="68" t="s">
        <v>8915</v>
      </c>
      <c r="N473" s="68">
        <v>0</v>
      </c>
      <c r="O473" s="68">
        <v>0</v>
      </c>
      <c r="P473" s="198" t="s">
        <v>5610</v>
      </c>
    </row>
    <row r="474" spans="1:16" ht="18.75" hidden="1">
      <c r="A474" s="13" t="s">
        <v>3262</v>
      </c>
      <c r="B474" s="12" t="s">
        <v>3275</v>
      </c>
      <c r="C474" s="12" t="s">
        <v>3283</v>
      </c>
      <c r="D474" s="12" t="s">
        <v>2616</v>
      </c>
      <c r="E474" s="12" t="str">
        <f t="shared" si="15"/>
        <v>95</v>
      </c>
      <c r="F474" s="14">
        <v>24900</v>
      </c>
      <c r="G474" s="67" t="s">
        <v>5609</v>
      </c>
      <c r="H474" s="14" t="s">
        <v>5601</v>
      </c>
      <c r="I474" s="14" t="s">
        <v>2458</v>
      </c>
      <c r="J474" s="33" t="s">
        <v>7110</v>
      </c>
      <c r="K474" s="68">
        <v>0</v>
      </c>
      <c r="L474" s="68">
        <v>0</v>
      </c>
      <c r="M474" s="68" t="s">
        <v>8915</v>
      </c>
      <c r="N474" s="68">
        <v>0</v>
      </c>
      <c r="O474" s="68">
        <v>0</v>
      </c>
      <c r="P474" s="198" t="s">
        <v>5610</v>
      </c>
    </row>
    <row r="475" spans="1:16" ht="18.75" hidden="1">
      <c r="A475" s="13" t="s">
        <v>3263</v>
      </c>
      <c r="B475" s="12" t="s">
        <v>3275</v>
      </c>
      <c r="C475" s="12" t="s">
        <v>3286</v>
      </c>
      <c r="D475" s="12" t="s">
        <v>3278</v>
      </c>
      <c r="E475" s="12" t="str">
        <f t="shared" si="15"/>
        <v>95</v>
      </c>
      <c r="F475" s="14">
        <v>45160</v>
      </c>
      <c r="G475" s="67" t="s">
        <v>5604</v>
      </c>
      <c r="H475" s="14" t="s">
        <v>5601</v>
      </c>
      <c r="I475" s="14" t="s">
        <v>2458</v>
      </c>
      <c r="J475" s="33" t="s">
        <v>7110</v>
      </c>
      <c r="K475" s="68">
        <v>0</v>
      </c>
      <c r="L475" s="68">
        <v>0</v>
      </c>
      <c r="M475" s="68" t="s">
        <v>8915</v>
      </c>
      <c r="N475" s="68">
        <v>0</v>
      </c>
      <c r="O475" s="68">
        <v>0</v>
      </c>
      <c r="P475" s="198" t="s">
        <v>5618</v>
      </c>
    </row>
    <row r="476" spans="1:16" ht="18.75" hidden="1">
      <c r="A476" s="13" t="s">
        <v>3265</v>
      </c>
      <c r="B476" s="12" t="s">
        <v>3279</v>
      </c>
      <c r="C476" s="12" t="s">
        <v>3053</v>
      </c>
      <c r="D476" s="12" t="s">
        <v>2754</v>
      </c>
      <c r="E476" s="12" t="str">
        <f t="shared" si="15"/>
        <v>95</v>
      </c>
      <c r="F476" s="14">
        <v>149040</v>
      </c>
      <c r="G476" s="67" t="s">
        <v>5607</v>
      </c>
      <c r="H476" s="14" t="s">
        <v>5601</v>
      </c>
      <c r="I476" s="14" t="s">
        <v>2458</v>
      </c>
      <c r="J476" s="33" t="s">
        <v>7110</v>
      </c>
      <c r="K476" s="68">
        <v>0</v>
      </c>
      <c r="L476" s="68">
        <v>0</v>
      </c>
      <c r="M476" s="68" t="s">
        <v>8915</v>
      </c>
      <c r="N476" s="68">
        <v>0</v>
      </c>
      <c r="O476" s="68">
        <v>0</v>
      </c>
      <c r="P476" s="198" t="s">
        <v>5608</v>
      </c>
    </row>
    <row r="477" spans="1:16" ht="18.75" hidden="1">
      <c r="A477" s="13" t="s">
        <v>3267</v>
      </c>
      <c r="B477" s="12" t="s">
        <v>3280</v>
      </c>
      <c r="C477" s="12" t="s">
        <v>3053</v>
      </c>
      <c r="D477" s="12" t="s">
        <v>2612</v>
      </c>
      <c r="E477" s="12" t="str">
        <f t="shared" si="15"/>
        <v>95</v>
      </c>
      <c r="F477" s="14">
        <v>73960</v>
      </c>
      <c r="G477" s="67" t="s">
        <v>5607</v>
      </c>
      <c r="H477" s="14" t="s">
        <v>5601</v>
      </c>
      <c r="I477" s="14" t="s">
        <v>2458</v>
      </c>
      <c r="J477" s="33" t="s">
        <v>7110</v>
      </c>
      <c r="K477" s="68">
        <v>0</v>
      </c>
      <c r="L477" s="68">
        <v>0</v>
      </c>
      <c r="M477" s="68" t="s">
        <v>8915</v>
      </c>
      <c r="N477" s="68">
        <v>0</v>
      </c>
      <c r="O477" s="68">
        <v>0</v>
      </c>
      <c r="P477" s="198" t="s">
        <v>5608</v>
      </c>
    </row>
    <row r="478" spans="1:16" ht="18.75" hidden="1">
      <c r="A478" s="13" t="s">
        <v>3268</v>
      </c>
      <c r="B478" s="12" t="s">
        <v>3281</v>
      </c>
      <c r="C478" s="12" t="s">
        <v>3053</v>
      </c>
      <c r="D478" s="12" t="s">
        <v>2612</v>
      </c>
      <c r="E478" s="12" t="str">
        <f t="shared" si="15"/>
        <v>95</v>
      </c>
      <c r="F478" s="14">
        <v>45010</v>
      </c>
      <c r="G478" s="67" t="s">
        <v>5607</v>
      </c>
      <c r="H478" s="14" t="s">
        <v>5601</v>
      </c>
      <c r="I478" s="14" t="s">
        <v>2458</v>
      </c>
      <c r="J478" s="33" t="s">
        <v>7110</v>
      </c>
      <c r="K478" s="68">
        <v>0</v>
      </c>
      <c r="L478" s="68">
        <v>0</v>
      </c>
      <c r="M478" s="68" t="s">
        <v>8915</v>
      </c>
      <c r="N478" s="68">
        <v>0</v>
      </c>
      <c r="O478" s="68">
        <v>0</v>
      </c>
      <c r="P478" s="198" t="s">
        <v>5608</v>
      </c>
    </row>
    <row r="479" spans="1:16" ht="18.75" hidden="1">
      <c r="A479" s="13" t="s">
        <v>3269</v>
      </c>
      <c r="B479" s="12" t="s">
        <v>3278</v>
      </c>
      <c r="C479" s="12" t="s">
        <v>3053</v>
      </c>
      <c r="D479" s="12" t="s">
        <v>2612</v>
      </c>
      <c r="E479" s="12" t="str">
        <f t="shared" si="15"/>
        <v>95</v>
      </c>
      <c r="F479" s="14">
        <v>74680</v>
      </c>
      <c r="G479" s="67" t="s">
        <v>5607</v>
      </c>
      <c r="H479" s="14" t="s">
        <v>5601</v>
      </c>
      <c r="I479" s="14" t="s">
        <v>2458</v>
      </c>
      <c r="J479" s="33" t="s">
        <v>7110</v>
      </c>
      <c r="K479" s="68">
        <v>0</v>
      </c>
      <c r="L479" s="68">
        <v>0</v>
      </c>
      <c r="M479" s="68" t="s">
        <v>8915</v>
      </c>
      <c r="N479" s="68">
        <v>0</v>
      </c>
      <c r="O479" s="68">
        <v>0</v>
      </c>
      <c r="P479" s="198" t="s">
        <v>5608</v>
      </c>
    </row>
    <row r="480" spans="1:16" ht="18.75" hidden="1">
      <c r="A480" s="13" t="s">
        <v>3264</v>
      </c>
      <c r="B480" s="12" t="s">
        <v>3277</v>
      </c>
      <c r="C480" s="12" t="s">
        <v>3053</v>
      </c>
      <c r="D480" s="12" t="s">
        <v>2612</v>
      </c>
      <c r="E480" s="12" t="str">
        <f t="shared" si="15"/>
        <v>95</v>
      </c>
      <c r="F480" s="14">
        <v>11270</v>
      </c>
      <c r="G480" s="67" t="s">
        <v>5607</v>
      </c>
      <c r="H480" s="14" t="s">
        <v>5601</v>
      </c>
      <c r="I480" s="14" t="s">
        <v>2458</v>
      </c>
      <c r="J480" s="33" t="s">
        <v>7110</v>
      </c>
      <c r="K480" s="68">
        <v>0</v>
      </c>
      <c r="L480" s="68">
        <v>0</v>
      </c>
      <c r="M480" s="68" t="s">
        <v>8915</v>
      </c>
      <c r="N480" s="68">
        <v>0</v>
      </c>
      <c r="O480" s="68">
        <v>0</v>
      </c>
      <c r="P480" s="198" t="s">
        <v>5608</v>
      </c>
    </row>
    <row r="481" spans="1:16" ht="18.75" hidden="1">
      <c r="A481" s="13" t="s">
        <v>3266</v>
      </c>
      <c r="B481" s="12" t="s">
        <v>3260</v>
      </c>
      <c r="C481" s="12" t="s">
        <v>3053</v>
      </c>
      <c r="D481" s="12" t="s">
        <v>2612</v>
      </c>
      <c r="E481" s="12" t="str">
        <f t="shared" si="15"/>
        <v>95</v>
      </c>
      <c r="F481" s="14">
        <v>445</v>
      </c>
      <c r="G481" s="67" t="s">
        <v>5607</v>
      </c>
      <c r="H481" s="14" t="s">
        <v>5601</v>
      </c>
      <c r="I481" s="14" t="s">
        <v>2458</v>
      </c>
      <c r="J481" s="33" t="s">
        <v>7110</v>
      </c>
      <c r="K481" s="68">
        <v>0</v>
      </c>
      <c r="L481" s="68">
        <v>0</v>
      </c>
      <c r="M481" s="68" t="s">
        <v>8915</v>
      </c>
      <c r="N481" s="68">
        <v>0</v>
      </c>
      <c r="O481" s="68">
        <v>0</v>
      </c>
      <c r="P481" s="198" t="s">
        <v>5608</v>
      </c>
    </row>
    <row r="482" spans="1:16" ht="18.75" hidden="1">
      <c r="A482" s="13" t="s">
        <v>3270</v>
      </c>
      <c r="B482" s="12" t="s">
        <v>3282</v>
      </c>
      <c r="C482" s="12" t="s">
        <v>3053</v>
      </c>
      <c r="D482" s="12" t="s">
        <v>2612</v>
      </c>
      <c r="E482" s="12" t="str">
        <f t="shared" si="15"/>
        <v>95</v>
      </c>
      <c r="F482" s="14">
        <v>70160</v>
      </c>
      <c r="G482" s="67" t="s">
        <v>5607</v>
      </c>
      <c r="H482" s="14" t="s">
        <v>5601</v>
      </c>
      <c r="I482" s="14" t="s">
        <v>2458</v>
      </c>
      <c r="J482" s="33" t="s">
        <v>7110</v>
      </c>
      <c r="K482" s="68">
        <v>0</v>
      </c>
      <c r="L482" s="68">
        <v>0</v>
      </c>
      <c r="M482" s="68" t="s">
        <v>8915</v>
      </c>
      <c r="N482" s="68">
        <v>0</v>
      </c>
      <c r="O482" s="68">
        <v>0</v>
      </c>
      <c r="P482" s="198" t="s">
        <v>5608</v>
      </c>
    </row>
    <row r="483" spans="1:16" ht="18.75" hidden="1">
      <c r="A483" s="13" t="s">
        <v>3271</v>
      </c>
      <c r="B483" s="12" t="s">
        <v>3274</v>
      </c>
      <c r="C483" s="12" t="s">
        <v>3053</v>
      </c>
      <c r="D483" s="12" t="s">
        <v>2612</v>
      </c>
      <c r="E483" s="12" t="str">
        <f t="shared" si="15"/>
        <v>95</v>
      </c>
      <c r="F483" s="14">
        <v>142960</v>
      </c>
      <c r="G483" s="67" t="s">
        <v>5607</v>
      </c>
      <c r="H483" s="14" t="s">
        <v>5601</v>
      </c>
      <c r="I483" s="14" t="s">
        <v>2458</v>
      </c>
      <c r="J483" s="33" t="s">
        <v>7110</v>
      </c>
      <c r="K483" s="68">
        <v>0</v>
      </c>
      <c r="L483" s="68">
        <v>0</v>
      </c>
      <c r="M483" s="68" t="s">
        <v>8915</v>
      </c>
      <c r="N483" s="68">
        <v>0</v>
      </c>
      <c r="O483" s="68">
        <v>0</v>
      </c>
      <c r="P483" s="198" t="s">
        <v>5608</v>
      </c>
    </row>
    <row r="484" spans="1:16" ht="18.75" hidden="1">
      <c r="A484" s="13" t="s">
        <v>3272</v>
      </c>
      <c r="B484" s="12" t="s">
        <v>3275</v>
      </c>
      <c r="C484" s="12" t="s">
        <v>3053</v>
      </c>
      <c r="D484" s="12" t="s">
        <v>2612</v>
      </c>
      <c r="E484" s="12" t="str">
        <f t="shared" si="15"/>
        <v>95</v>
      </c>
      <c r="F484" s="14">
        <v>51040</v>
      </c>
      <c r="G484" s="67" t="s">
        <v>5607</v>
      </c>
      <c r="H484" s="14" t="s">
        <v>5601</v>
      </c>
      <c r="I484" s="14" t="s">
        <v>2458</v>
      </c>
      <c r="J484" s="33" t="s">
        <v>7110</v>
      </c>
      <c r="K484" s="68">
        <v>0</v>
      </c>
      <c r="L484" s="68">
        <v>0</v>
      </c>
      <c r="M484" s="68" t="s">
        <v>8915</v>
      </c>
      <c r="N484" s="68">
        <v>0</v>
      </c>
      <c r="O484" s="68">
        <v>0</v>
      </c>
      <c r="P484" s="198" t="s">
        <v>5608</v>
      </c>
    </row>
    <row r="485" spans="1:16" ht="18.75" hidden="1">
      <c r="A485" s="13" t="s">
        <v>3293</v>
      </c>
      <c r="B485" s="12" t="s">
        <v>3321</v>
      </c>
      <c r="C485" s="12" t="s">
        <v>3138</v>
      </c>
      <c r="D485" s="12" t="s">
        <v>2751</v>
      </c>
      <c r="E485" s="12" t="str">
        <f t="shared" si="15"/>
        <v>95</v>
      </c>
      <c r="F485" s="14">
        <v>199421</v>
      </c>
      <c r="G485" s="67" t="s">
        <v>5607</v>
      </c>
      <c r="H485" s="14" t="s">
        <v>5601</v>
      </c>
      <c r="I485" s="14" t="s">
        <v>2458</v>
      </c>
      <c r="J485" s="33" t="s">
        <v>7110</v>
      </c>
      <c r="K485" s="68">
        <v>0</v>
      </c>
      <c r="L485" s="68">
        <v>0</v>
      </c>
      <c r="M485" s="68" t="s">
        <v>8915</v>
      </c>
      <c r="N485" s="68">
        <v>0</v>
      </c>
      <c r="O485" s="68">
        <v>0</v>
      </c>
      <c r="P485" s="198" t="s">
        <v>5608</v>
      </c>
    </row>
    <row r="486" spans="1:16" ht="18.75" hidden="1">
      <c r="A486" s="13" t="s">
        <v>3294</v>
      </c>
      <c r="B486" s="12" t="s">
        <v>3322</v>
      </c>
      <c r="C486" s="12" t="s">
        <v>3259</v>
      </c>
      <c r="D486" s="12" t="s">
        <v>2754</v>
      </c>
      <c r="E486" s="12" t="str">
        <f t="shared" si="15"/>
        <v>95</v>
      </c>
      <c r="F486" s="14">
        <v>493500</v>
      </c>
      <c r="G486" s="67" t="s">
        <v>5611</v>
      </c>
      <c r="H486" s="14" t="s">
        <v>5601</v>
      </c>
      <c r="I486" s="14" t="s">
        <v>2458</v>
      </c>
      <c r="J486" s="33" t="s">
        <v>7110</v>
      </c>
      <c r="K486" s="68">
        <v>0</v>
      </c>
      <c r="L486" s="68">
        <v>0</v>
      </c>
      <c r="M486" s="68" t="s">
        <v>8915</v>
      </c>
      <c r="N486" s="68">
        <v>0</v>
      </c>
      <c r="O486" s="68">
        <v>0</v>
      </c>
      <c r="P486" s="198" t="s">
        <v>5612</v>
      </c>
    </row>
    <row r="487" spans="1:16" ht="18.75" hidden="1">
      <c r="A487" s="13" t="s">
        <v>3294</v>
      </c>
      <c r="B487" s="12" t="s">
        <v>3322</v>
      </c>
      <c r="C487" s="12" t="s">
        <v>3329</v>
      </c>
      <c r="D487" s="12" t="s">
        <v>3049</v>
      </c>
      <c r="E487" s="12" t="str">
        <f t="shared" si="15"/>
        <v>95</v>
      </c>
      <c r="F487" s="14">
        <v>3596</v>
      </c>
      <c r="G487" s="67" t="s">
        <v>5611</v>
      </c>
      <c r="H487" s="14" t="s">
        <v>5601</v>
      </c>
      <c r="I487" s="14" t="s">
        <v>2458</v>
      </c>
      <c r="J487" s="33" t="s">
        <v>7110</v>
      </c>
      <c r="K487" s="68">
        <v>0</v>
      </c>
      <c r="L487" s="68">
        <v>0</v>
      </c>
      <c r="M487" s="68" t="s">
        <v>8915</v>
      </c>
      <c r="N487" s="68">
        <v>0</v>
      </c>
      <c r="O487" s="68">
        <v>0</v>
      </c>
      <c r="P487" s="198" t="s">
        <v>5619</v>
      </c>
    </row>
    <row r="488" spans="1:16" ht="18.75" hidden="1">
      <c r="A488" s="13" t="s">
        <v>3295</v>
      </c>
      <c r="B488" s="12" t="s">
        <v>3323</v>
      </c>
      <c r="C488" s="12" t="s">
        <v>3330</v>
      </c>
      <c r="D488" s="12" t="s">
        <v>3275</v>
      </c>
      <c r="E488" s="12" t="str">
        <f t="shared" si="15"/>
        <v>95</v>
      </c>
      <c r="F488" s="14">
        <v>298510</v>
      </c>
      <c r="G488" s="67" t="s">
        <v>5604</v>
      </c>
      <c r="H488" s="14" t="s">
        <v>5601</v>
      </c>
      <c r="I488" s="14" t="s">
        <v>2458</v>
      </c>
      <c r="J488" s="33" t="s">
        <v>7110</v>
      </c>
      <c r="K488" s="68">
        <v>0</v>
      </c>
      <c r="L488" s="68">
        <v>0</v>
      </c>
      <c r="M488" s="68" t="s">
        <v>8915</v>
      </c>
      <c r="N488" s="68">
        <v>0</v>
      </c>
      <c r="O488" s="68">
        <v>0</v>
      </c>
      <c r="P488" s="198" t="s">
        <v>5618</v>
      </c>
    </row>
    <row r="489" spans="1:16" ht="18.75" hidden="1">
      <c r="A489" s="13" t="s">
        <v>3296</v>
      </c>
      <c r="B489" s="12" t="s">
        <v>3275</v>
      </c>
      <c r="C489" s="12" t="s">
        <v>2779</v>
      </c>
      <c r="D489" s="12" t="s">
        <v>2754</v>
      </c>
      <c r="E489" s="12" t="str">
        <f t="shared" si="15"/>
        <v>95</v>
      </c>
      <c r="F489" s="14">
        <v>297990</v>
      </c>
      <c r="G489" s="67" t="s">
        <v>5607</v>
      </c>
      <c r="H489" s="14" t="s">
        <v>5601</v>
      </c>
      <c r="I489" s="14" t="s">
        <v>2458</v>
      </c>
      <c r="J489" s="33" t="s">
        <v>7110</v>
      </c>
      <c r="K489" s="68">
        <v>0</v>
      </c>
      <c r="L489" s="68">
        <v>0</v>
      </c>
      <c r="M489" s="68" t="s">
        <v>8915</v>
      </c>
      <c r="N489" s="68">
        <v>0</v>
      </c>
      <c r="O489" s="68">
        <v>0</v>
      </c>
      <c r="P489" s="198" t="s">
        <v>5608</v>
      </c>
    </row>
    <row r="490" spans="1:16" ht="18.75" hidden="1">
      <c r="A490" s="13" t="s">
        <v>3297</v>
      </c>
      <c r="B490" s="12" t="s">
        <v>3276</v>
      </c>
      <c r="C490" s="12" t="s">
        <v>3175</v>
      </c>
      <c r="D490" s="12" t="s">
        <v>2860</v>
      </c>
      <c r="E490" s="12" t="str">
        <f t="shared" si="15"/>
        <v>95</v>
      </c>
      <c r="F490" s="14">
        <v>2600</v>
      </c>
      <c r="G490" s="67" t="s">
        <v>5611</v>
      </c>
      <c r="H490" s="14" t="s">
        <v>5601</v>
      </c>
      <c r="I490" s="14" t="s">
        <v>2458</v>
      </c>
      <c r="J490" s="33" t="s">
        <v>7110</v>
      </c>
      <c r="K490" s="68">
        <v>0</v>
      </c>
      <c r="L490" s="68">
        <v>0</v>
      </c>
      <c r="M490" s="68" t="s">
        <v>8915</v>
      </c>
      <c r="N490" s="68">
        <v>0</v>
      </c>
      <c r="O490" s="68">
        <v>0</v>
      </c>
      <c r="P490" s="198" t="s">
        <v>5612</v>
      </c>
    </row>
    <row r="491" spans="1:16" ht="18.75" hidden="1">
      <c r="A491" s="13" t="s">
        <v>3298</v>
      </c>
      <c r="B491" s="12" t="s">
        <v>3324</v>
      </c>
      <c r="C491" s="12" t="s">
        <v>3331</v>
      </c>
      <c r="D491" s="12" t="s">
        <v>3320</v>
      </c>
      <c r="E491" s="12" t="str">
        <f t="shared" si="15"/>
        <v>95</v>
      </c>
      <c r="F491" s="14">
        <v>196330</v>
      </c>
      <c r="G491" s="67" t="s">
        <v>5604</v>
      </c>
      <c r="H491" s="14" t="s">
        <v>5601</v>
      </c>
      <c r="I491" s="14" t="s">
        <v>2458</v>
      </c>
      <c r="J491" s="33" t="s">
        <v>7110</v>
      </c>
      <c r="K491" s="68">
        <v>0</v>
      </c>
      <c r="L491" s="68">
        <v>0</v>
      </c>
      <c r="M491" s="68" t="s">
        <v>8915</v>
      </c>
      <c r="N491" s="68">
        <v>0</v>
      </c>
      <c r="O491" s="68">
        <v>0</v>
      </c>
      <c r="P491" s="198" t="s">
        <v>5618</v>
      </c>
    </row>
    <row r="492" spans="1:16" ht="18.75" hidden="1">
      <c r="A492" s="13" t="s">
        <v>3299</v>
      </c>
      <c r="B492" s="12" t="s">
        <v>3321</v>
      </c>
      <c r="C492" s="12" t="s">
        <v>3138</v>
      </c>
      <c r="D492" s="12" t="s">
        <v>2751</v>
      </c>
      <c r="E492" s="12" t="str">
        <f t="shared" si="15"/>
        <v>95</v>
      </c>
      <c r="F492" s="14">
        <v>579</v>
      </c>
      <c r="G492" s="67" t="s">
        <v>5607</v>
      </c>
      <c r="H492" s="14" t="s">
        <v>5601</v>
      </c>
      <c r="I492" s="14" t="s">
        <v>2458</v>
      </c>
      <c r="J492" s="33" t="s">
        <v>7110</v>
      </c>
      <c r="K492" s="68">
        <v>0</v>
      </c>
      <c r="L492" s="68">
        <v>0</v>
      </c>
      <c r="M492" s="68" t="s">
        <v>8915</v>
      </c>
      <c r="N492" s="68">
        <v>0</v>
      </c>
      <c r="O492" s="68">
        <v>0</v>
      </c>
      <c r="P492" s="198" t="s">
        <v>5608</v>
      </c>
    </row>
    <row r="493" spans="1:16" ht="18.75" hidden="1">
      <c r="A493" s="13" t="s">
        <v>3293</v>
      </c>
      <c r="B493" s="12" t="s">
        <v>3321</v>
      </c>
      <c r="C493" s="12" t="s">
        <v>3332</v>
      </c>
      <c r="D493" s="12" t="s">
        <v>3048</v>
      </c>
      <c r="E493" s="12" t="str">
        <f t="shared" si="15"/>
        <v>95</v>
      </c>
      <c r="F493" s="14">
        <v>200000</v>
      </c>
      <c r="G493" s="67" t="s">
        <v>5607</v>
      </c>
      <c r="H493" s="14" t="s">
        <v>5601</v>
      </c>
      <c r="I493" s="14" t="s">
        <v>2458</v>
      </c>
      <c r="J493" s="33" t="s">
        <v>7110</v>
      </c>
      <c r="K493" s="68">
        <v>0</v>
      </c>
      <c r="L493" s="68">
        <v>0</v>
      </c>
      <c r="M493" s="68" t="s">
        <v>8915</v>
      </c>
      <c r="N493" s="68">
        <v>0</v>
      </c>
      <c r="O493" s="68">
        <v>0</v>
      </c>
      <c r="P493" s="198" t="s">
        <v>5622</v>
      </c>
    </row>
    <row r="494" spans="1:16" ht="18.75" hidden="1">
      <c r="A494" s="13" t="s">
        <v>3297</v>
      </c>
      <c r="B494" s="12" t="s">
        <v>3276</v>
      </c>
      <c r="C494" s="12" t="s">
        <v>3255</v>
      </c>
      <c r="D494" s="12" t="s">
        <v>2852</v>
      </c>
      <c r="E494" s="12" t="str">
        <f t="shared" si="15"/>
        <v>95</v>
      </c>
      <c r="F494" s="14">
        <v>1560014</v>
      </c>
      <c r="G494" s="67" t="s">
        <v>5611</v>
      </c>
      <c r="H494" s="14" t="s">
        <v>5601</v>
      </c>
      <c r="I494" s="14" t="s">
        <v>2458</v>
      </c>
      <c r="J494" s="33" t="s">
        <v>7110</v>
      </c>
      <c r="K494" s="68">
        <v>0</v>
      </c>
      <c r="L494" s="68">
        <v>0</v>
      </c>
      <c r="M494" s="68" t="s">
        <v>8915</v>
      </c>
      <c r="N494" s="68">
        <v>0</v>
      </c>
      <c r="O494" s="68">
        <v>0</v>
      </c>
      <c r="P494" s="198" t="s">
        <v>5619</v>
      </c>
    </row>
    <row r="495" spans="1:16" ht="18.75" hidden="1">
      <c r="A495" s="13" t="s">
        <v>3299</v>
      </c>
      <c r="B495" s="12" t="s">
        <v>3321</v>
      </c>
      <c r="C495" s="12" t="s">
        <v>3333</v>
      </c>
      <c r="D495" s="12" t="s">
        <v>2863</v>
      </c>
      <c r="E495" s="12" t="str">
        <f t="shared" si="15"/>
        <v>95</v>
      </c>
      <c r="F495" s="14">
        <v>998780</v>
      </c>
      <c r="G495" s="67" t="s">
        <v>5607</v>
      </c>
      <c r="H495" s="14" t="s">
        <v>5601</v>
      </c>
      <c r="I495" s="14" t="s">
        <v>2458</v>
      </c>
      <c r="J495" s="33" t="s">
        <v>7110</v>
      </c>
      <c r="K495" s="68">
        <v>0</v>
      </c>
      <c r="L495" s="68">
        <v>0</v>
      </c>
      <c r="M495" s="68" t="s">
        <v>8915</v>
      </c>
      <c r="N495" s="68">
        <v>0</v>
      </c>
      <c r="O495" s="68">
        <v>0</v>
      </c>
      <c r="P495" s="198" t="s">
        <v>5608</v>
      </c>
    </row>
    <row r="496" spans="1:16" ht="18.75" hidden="1">
      <c r="A496" s="13" t="s">
        <v>3293</v>
      </c>
      <c r="B496" s="12" t="s">
        <v>3321</v>
      </c>
      <c r="C496" s="12" t="s">
        <v>3334</v>
      </c>
      <c r="D496" s="12" t="s">
        <v>3048</v>
      </c>
      <c r="E496" s="12" t="str">
        <f t="shared" si="15"/>
        <v>95</v>
      </c>
      <c r="F496" s="14">
        <v>100000</v>
      </c>
      <c r="G496" s="67" t="s">
        <v>5607</v>
      </c>
      <c r="H496" s="14" t="s">
        <v>5601</v>
      </c>
      <c r="I496" s="14" t="s">
        <v>2458</v>
      </c>
      <c r="J496" s="33" t="s">
        <v>7110</v>
      </c>
      <c r="K496" s="68">
        <v>0</v>
      </c>
      <c r="L496" s="68">
        <v>0</v>
      </c>
      <c r="M496" s="68" t="s">
        <v>8915</v>
      </c>
      <c r="N496" s="68">
        <v>0</v>
      </c>
      <c r="O496" s="68">
        <v>0</v>
      </c>
      <c r="P496" s="198" t="s">
        <v>5622</v>
      </c>
    </row>
    <row r="497" spans="1:16" ht="18.75" hidden="1">
      <c r="A497" s="13" t="s">
        <v>3300</v>
      </c>
      <c r="B497" s="12" t="s">
        <v>3323</v>
      </c>
      <c r="C497" s="12" t="s">
        <v>3335</v>
      </c>
      <c r="D497" s="12" t="s">
        <v>2862</v>
      </c>
      <c r="E497" s="12" t="str">
        <f t="shared" si="15"/>
        <v>95</v>
      </c>
      <c r="F497" s="14">
        <v>15000</v>
      </c>
      <c r="G497" s="67" t="s">
        <v>5604</v>
      </c>
      <c r="H497" s="14" t="s">
        <v>5601</v>
      </c>
      <c r="I497" s="14" t="s">
        <v>2458</v>
      </c>
      <c r="J497" s="33" t="s">
        <v>7110</v>
      </c>
      <c r="K497" s="68">
        <v>0</v>
      </c>
      <c r="L497" s="68">
        <v>0</v>
      </c>
      <c r="M497" s="68" t="s">
        <v>8915</v>
      </c>
      <c r="N497" s="68">
        <v>0</v>
      </c>
      <c r="O497" s="68">
        <v>0</v>
      </c>
      <c r="P497" s="198" t="s">
        <v>5618</v>
      </c>
    </row>
    <row r="498" spans="1:16" ht="18.75" hidden="1">
      <c r="A498" s="13" t="s">
        <v>3301</v>
      </c>
      <c r="B498" s="12" t="s">
        <v>3278</v>
      </c>
      <c r="C498" s="12" t="s">
        <v>2804</v>
      </c>
      <c r="D498" s="12" t="s">
        <v>2611</v>
      </c>
      <c r="E498" s="12" t="str">
        <f t="shared" si="15"/>
        <v>95</v>
      </c>
      <c r="F498" s="14">
        <v>1049</v>
      </c>
      <c r="G498" s="67" t="s">
        <v>5604</v>
      </c>
      <c r="H498" s="14" t="s">
        <v>5601</v>
      </c>
      <c r="I498" s="14" t="s">
        <v>2458</v>
      </c>
      <c r="J498" s="33" t="s">
        <v>7110</v>
      </c>
      <c r="K498" s="68">
        <v>0</v>
      </c>
      <c r="L498" s="68">
        <v>0</v>
      </c>
      <c r="M498" s="68" t="s">
        <v>8915</v>
      </c>
      <c r="N498" s="68">
        <v>0</v>
      </c>
      <c r="O498" s="68">
        <v>0</v>
      </c>
      <c r="P498" s="198" t="s">
        <v>5605</v>
      </c>
    </row>
    <row r="499" spans="1:16" ht="18.75" hidden="1">
      <c r="A499" s="13" t="s">
        <v>3301</v>
      </c>
      <c r="B499" s="12" t="s">
        <v>3278</v>
      </c>
      <c r="C499" s="12" t="s">
        <v>3336</v>
      </c>
      <c r="D499" s="12" t="s">
        <v>3276</v>
      </c>
      <c r="E499" s="12" t="str">
        <f t="shared" si="15"/>
        <v>95</v>
      </c>
      <c r="F499" s="14">
        <v>1110896</v>
      </c>
      <c r="G499" s="67" t="s">
        <v>5604</v>
      </c>
      <c r="H499" s="14" t="s">
        <v>5601</v>
      </c>
      <c r="I499" s="14" t="s">
        <v>2458</v>
      </c>
      <c r="J499" s="33" t="s">
        <v>7110</v>
      </c>
      <c r="K499" s="68">
        <v>0</v>
      </c>
      <c r="L499" s="68">
        <v>0</v>
      </c>
      <c r="M499" s="68" t="s">
        <v>8915</v>
      </c>
      <c r="N499" s="68">
        <v>0</v>
      </c>
      <c r="O499" s="68">
        <v>0</v>
      </c>
      <c r="P499" s="198" t="s">
        <v>5618</v>
      </c>
    </row>
    <row r="500" spans="1:16" ht="18.75" hidden="1">
      <c r="A500" s="13" t="s">
        <v>3302</v>
      </c>
      <c r="B500" s="12" t="s">
        <v>3280</v>
      </c>
      <c r="C500" s="12" t="s">
        <v>3335</v>
      </c>
      <c r="D500" s="12" t="s">
        <v>2862</v>
      </c>
      <c r="E500" s="12" t="str">
        <f t="shared" si="15"/>
        <v>95</v>
      </c>
      <c r="F500" s="14">
        <v>463455</v>
      </c>
      <c r="G500" s="67" t="s">
        <v>5604</v>
      </c>
      <c r="H500" s="14" t="s">
        <v>5601</v>
      </c>
      <c r="I500" s="14" t="s">
        <v>2458</v>
      </c>
      <c r="J500" s="33" t="s">
        <v>7110</v>
      </c>
      <c r="K500" s="68">
        <v>0</v>
      </c>
      <c r="L500" s="68">
        <v>0</v>
      </c>
      <c r="M500" s="68" t="s">
        <v>8915</v>
      </c>
      <c r="N500" s="68">
        <v>0</v>
      </c>
      <c r="O500" s="68">
        <v>0</v>
      </c>
      <c r="P500" s="198" t="s">
        <v>5618</v>
      </c>
    </row>
    <row r="501" spans="1:16" ht="18.75" hidden="1">
      <c r="A501" s="13" t="s">
        <v>3303</v>
      </c>
      <c r="B501" s="12" t="s">
        <v>3325</v>
      </c>
      <c r="C501" s="12" t="s">
        <v>3337</v>
      </c>
      <c r="D501" s="12" t="s">
        <v>3041</v>
      </c>
      <c r="E501" s="12" t="str">
        <f t="shared" si="15"/>
        <v>95</v>
      </c>
      <c r="F501" s="14">
        <v>1000000</v>
      </c>
      <c r="G501" s="67" t="s">
        <v>5607</v>
      </c>
      <c r="H501" s="14" t="s">
        <v>5601</v>
      </c>
      <c r="I501" s="14" t="s">
        <v>2458</v>
      </c>
      <c r="J501" s="33" t="s">
        <v>7110</v>
      </c>
      <c r="K501" s="68">
        <v>0</v>
      </c>
      <c r="L501" s="68">
        <v>0</v>
      </c>
      <c r="M501" s="68" t="s">
        <v>8915</v>
      </c>
      <c r="N501" s="68">
        <v>0</v>
      </c>
      <c r="O501" s="68">
        <v>0</v>
      </c>
      <c r="P501" s="198" t="s">
        <v>5622</v>
      </c>
    </row>
    <row r="502" spans="1:16" ht="18.75" hidden="1">
      <c r="A502" s="13" t="s">
        <v>3301</v>
      </c>
      <c r="B502" s="12" t="s">
        <v>3278</v>
      </c>
      <c r="C502" s="12" t="s">
        <v>3250</v>
      </c>
      <c r="D502" s="12" t="s">
        <v>3242</v>
      </c>
      <c r="E502" s="12" t="str">
        <f t="shared" si="15"/>
        <v>95</v>
      </c>
      <c r="F502" s="14">
        <v>1352982</v>
      </c>
      <c r="G502" s="67" t="s">
        <v>5604</v>
      </c>
      <c r="H502" s="14" t="s">
        <v>5601</v>
      </c>
      <c r="I502" s="14" t="s">
        <v>2458</v>
      </c>
      <c r="J502" s="33" t="s">
        <v>7110</v>
      </c>
      <c r="K502" s="68">
        <v>0</v>
      </c>
      <c r="L502" s="68">
        <v>0</v>
      </c>
      <c r="M502" s="68" t="s">
        <v>8915</v>
      </c>
      <c r="N502" s="68">
        <v>0</v>
      </c>
      <c r="O502" s="68">
        <v>0</v>
      </c>
      <c r="P502" s="198" t="s">
        <v>5618</v>
      </c>
    </row>
    <row r="503" spans="1:16" ht="18.75" hidden="1">
      <c r="A503" s="13" t="s">
        <v>3303</v>
      </c>
      <c r="B503" s="12" t="s">
        <v>3325</v>
      </c>
      <c r="C503" s="12" t="s">
        <v>3338</v>
      </c>
      <c r="D503" s="12" t="s">
        <v>3051</v>
      </c>
      <c r="E503" s="12" t="str">
        <f t="shared" si="15"/>
        <v>95</v>
      </c>
      <c r="F503" s="14">
        <v>500000</v>
      </c>
      <c r="G503" s="67" t="s">
        <v>5607</v>
      </c>
      <c r="H503" s="14" t="s">
        <v>5601</v>
      </c>
      <c r="I503" s="14" t="s">
        <v>2458</v>
      </c>
      <c r="J503" s="33" t="s">
        <v>7110</v>
      </c>
      <c r="K503" s="68">
        <v>0</v>
      </c>
      <c r="L503" s="68">
        <v>0</v>
      </c>
      <c r="M503" s="68" t="s">
        <v>8915</v>
      </c>
      <c r="N503" s="68">
        <v>0</v>
      </c>
      <c r="O503" s="68">
        <v>0</v>
      </c>
      <c r="P503" s="198" t="s">
        <v>5622</v>
      </c>
    </row>
    <row r="504" spans="1:16" ht="18.75" hidden="1">
      <c r="A504" s="13" t="s">
        <v>3303</v>
      </c>
      <c r="B504" s="12" t="s">
        <v>3325</v>
      </c>
      <c r="C504" s="12" t="s">
        <v>3339</v>
      </c>
      <c r="D504" s="12" t="s">
        <v>3042</v>
      </c>
      <c r="E504" s="12" t="str">
        <f t="shared" si="15"/>
        <v>95</v>
      </c>
      <c r="F504" s="14">
        <v>270539</v>
      </c>
      <c r="G504" s="67" t="s">
        <v>5607</v>
      </c>
      <c r="H504" s="14" t="s">
        <v>5601</v>
      </c>
      <c r="I504" s="14" t="s">
        <v>2458</v>
      </c>
      <c r="J504" s="33" t="s">
        <v>7110</v>
      </c>
      <c r="K504" s="68">
        <v>0</v>
      </c>
      <c r="L504" s="68">
        <v>0</v>
      </c>
      <c r="M504" s="68" t="s">
        <v>8915</v>
      </c>
      <c r="N504" s="68">
        <v>0</v>
      </c>
      <c r="O504" s="68">
        <v>0</v>
      </c>
      <c r="P504" s="198" t="s">
        <v>5622</v>
      </c>
    </row>
    <row r="505" spans="1:16" ht="18.75" hidden="1">
      <c r="A505" s="13" t="s">
        <v>3304</v>
      </c>
      <c r="B505" s="12" t="s">
        <v>3326</v>
      </c>
      <c r="C505" s="12" t="s">
        <v>3340</v>
      </c>
      <c r="D505" s="12" t="s">
        <v>3048</v>
      </c>
      <c r="E505" s="12" t="str">
        <f t="shared" si="15"/>
        <v>95</v>
      </c>
      <c r="F505" s="14">
        <v>289660</v>
      </c>
      <c r="G505" s="67" t="s">
        <v>5607</v>
      </c>
      <c r="H505" s="14" t="s">
        <v>5601</v>
      </c>
      <c r="I505" s="14" t="s">
        <v>2458</v>
      </c>
      <c r="J505" s="33" t="s">
        <v>7110</v>
      </c>
      <c r="K505" s="68">
        <v>0</v>
      </c>
      <c r="L505" s="68">
        <v>0</v>
      </c>
      <c r="M505" s="68" t="s">
        <v>8915</v>
      </c>
      <c r="N505" s="68">
        <v>0</v>
      </c>
      <c r="O505" s="68">
        <v>0</v>
      </c>
      <c r="P505" s="198" t="s">
        <v>5622</v>
      </c>
    </row>
    <row r="506" spans="1:16" ht="18.75" hidden="1">
      <c r="A506" s="13" t="s">
        <v>3304</v>
      </c>
      <c r="B506" s="12" t="s">
        <v>3326</v>
      </c>
      <c r="C506" s="12" t="s">
        <v>3341</v>
      </c>
      <c r="D506" s="12" t="s">
        <v>3048</v>
      </c>
      <c r="E506" s="12" t="str">
        <f t="shared" si="15"/>
        <v>95</v>
      </c>
      <c r="F506" s="14">
        <v>500000</v>
      </c>
      <c r="G506" s="67" t="s">
        <v>5607</v>
      </c>
      <c r="H506" s="14" t="s">
        <v>5601</v>
      </c>
      <c r="I506" s="14" t="s">
        <v>2458</v>
      </c>
      <c r="J506" s="33" t="s">
        <v>7110</v>
      </c>
      <c r="K506" s="68">
        <v>0</v>
      </c>
      <c r="L506" s="68">
        <v>0</v>
      </c>
      <c r="M506" s="68" t="s">
        <v>8915</v>
      </c>
      <c r="N506" s="68">
        <v>0</v>
      </c>
      <c r="O506" s="68">
        <v>0</v>
      </c>
      <c r="P506" s="198" t="s">
        <v>5622</v>
      </c>
    </row>
    <row r="507" spans="1:16" ht="18.75" hidden="1">
      <c r="A507" s="13" t="s">
        <v>3304</v>
      </c>
      <c r="B507" s="12" t="s">
        <v>3326</v>
      </c>
      <c r="C507" s="12" t="s">
        <v>3342</v>
      </c>
      <c r="D507" s="12" t="s">
        <v>3043</v>
      </c>
      <c r="E507" s="12" t="str">
        <f t="shared" si="15"/>
        <v>95</v>
      </c>
      <c r="F507" s="14">
        <v>700000</v>
      </c>
      <c r="G507" s="67" t="s">
        <v>5607</v>
      </c>
      <c r="H507" s="14" t="s">
        <v>5601</v>
      </c>
      <c r="I507" s="14" t="s">
        <v>2458</v>
      </c>
      <c r="J507" s="33" t="s">
        <v>7110</v>
      </c>
      <c r="K507" s="68">
        <v>0</v>
      </c>
      <c r="L507" s="68">
        <v>0</v>
      </c>
      <c r="M507" s="68" t="s">
        <v>8915</v>
      </c>
      <c r="N507" s="68">
        <v>0</v>
      </c>
      <c r="O507" s="68">
        <v>0</v>
      </c>
      <c r="P507" s="198" t="s">
        <v>5622</v>
      </c>
    </row>
    <row r="508" spans="1:16" ht="18.75" hidden="1">
      <c r="A508" s="13" t="s">
        <v>3305</v>
      </c>
      <c r="B508" s="12" t="s">
        <v>3275</v>
      </c>
      <c r="C508" s="12" t="s">
        <v>3343</v>
      </c>
      <c r="D508" s="12" t="s">
        <v>2749</v>
      </c>
      <c r="E508" s="12" t="str">
        <f t="shared" si="15"/>
        <v>95</v>
      </c>
      <c r="F508" s="14">
        <v>488642</v>
      </c>
      <c r="G508" s="67" t="s">
        <v>5609</v>
      </c>
      <c r="H508" s="14" t="s">
        <v>5601</v>
      </c>
      <c r="I508" s="14" t="s">
        <v>2458</v>
      </c>
      <c r="J508" s="33" t="s">
        <v>7110</v>
      </c>
      <c r="K508" s="68">
        <v>0</v>
      </c>
      <c r="L508" s="68">
        <v>0</v>
      </c>
      <c r="M508" s="68" t="s">
        <v>8915</v>
      </c>
      <c r="N508" s="68">
        <v>0</v>
      </c>
      <c r="O508" s="68">
        <v>0</v>
      </c>
      <c r="P508" s="198" t="s">
        <v>5614</v>
      </c>
    </row>
    <row r="509" spans="1:16" ht="18.75" hidden="1">
      <c r="A509" s="13" t="s">
        <v>3300</v>
      </c>
      <c r="B509" s="12" t="s">
        <v>3323</v>
      </c>
      <c r="C509" s="12" t="s">
        <v>3344</v>
      </c>
      <c r="D509" s="12" t="s">
        <v>3043</v>
      </c>
      <c r="E509" s="12" t="str">
        <f t="shared" si="15"/>
        <v>95</v>
      </c>
      <c r="F509" s="14">
        <v>792820</v>
      </c>
      <c r="G509" s="67" t="s">
        <v>5607</v>
      </c>
      <c r="H509" s="14" t="s">
        <v>5601</v>
      </c>
      <c r="I509" s="14" t="s">
        <v>2458</v>
      </c>
      <c r="J509" s="33" t="s">
        <v>7110</v>
      </c>
      <c r="K509" s="68">
        <v>0</v>
      </c>
      <c r="L509" s="68">
        <v>0</v>
      </c>
      <c r="M509" s="68" t="s">
        <v>8915</v>
      </c>
      <c r="N509" s="68">
        <v>0</v>
      </c>
      <c r="O509" s="68">
        <v>0</v>
      </c>
      <c r="P509" s="198" t="s">
        <v>5622</v>
      </c>
    </row>
    <row r="510" spans="1:16" ht="18.75" hidden="1">
      <c r="A510" s="13" t="s">
        <v>3305</v>
      </c>
      <c r="B510" s="12" t="s">
        <v>3275</v>
      </c>
      <c r="C510" s="12" t="s">
        <v>2779</v>
      </c>
      <c r="D510" s="12" t="s">
        <v>2754</v>
      </c>
      <c r="E510" s="12" t="str">
        <f t="shared" si="15"/>
        <v>95</v>
      </c>
      <c r="F510" s="14">
        <v>5160</v>
      </c>
      <c r="G510" s="67" t="s">
        <v>5607</v>
      </c>
      <c r="H510" s="14" t="s">
        <v>5601</v>
      </c>
      <c r="I510" s="14" t="s">
        <v>2458</v>
      </c>
      <c r="J510" s="33" t="s">
        <v>7110</v>
      </c>
      <c r="K510" s="68">
        <v>0</v>
      </c>
      <c r="L510" s="68">
        <v>0</v>
      </c>
      <c r="M510" s="68" t="s">
        <v>8915</v>
      </c>
      <c r="N510" s="68">
        <v>0</v>
      </c>
      <c r="O510" s="68">
        <v>0</v>
      </c>
      <c r="P510" s="198" t="s">
        <v>5608</v>
      </c>
    </row>
    <row r="511" spans="1:16" ht="18.75" hidden="1">
      <c r="A511" s="13" t="s">
        <v>3305</v>
      </c>
      <c r="B511" s="12" t="s">
        <v>3275</v>
      </c>
      <c r="C511" s="12" t="s">
        <v>3255</v>
      </c>
      <c r="D511" s="12" t="s">
        <v>2852</v>
      </c>
      <c r="E511" s="12" t="str">
        <f t="shared" si="15"/>
        <v>95</v>
      </c>
      <c r="F511" s="14">
        <v>99406</v>
      </c>
      <c r="G511" s="67" t="s">
        <v>5611</v>
      </c>
      <c r="H511" s="14" t="s">
        <v>5601</v>
      </c>
      <c r="I511" s="14" t="s">
        <v>2458</v>
      </c>
      <c r="J511" s="33" t="s">
        <v>7110</v>
      </c>
      <c r="K511" s="68">
        <v>0</v>
      </c>
      <c r="L511" s="68">
        <v>0</v>
      </c>
      <c r="M511" s="68" t="s">
        <v>8915</v>
      </c>
      <c r="N511" s="68">
        <v>0</v>
      </c>
      <c r="O511" s="68">
        <v>0</v>
      </c>
      <c r="P511" s="198" t="s">
        <v>5619</v>
      </c>
    </row>
    <row r="512" spans="1:16" ht="18.75" hidden="1">
      <c r="A512" s="13" t="s">
        <v>3306</v>
      </c>
      <c r="B512" s="12" t="s">
        <v>3323</v>
      </c>
      <c r="C512" s="12" t="s">
        <v>3257</v>
      </c>
      <c r="D512" s="12" t="s">
        <v>2870</v>
      </c>
      <c r="E512" s="12" t="str">
        <f t="shared" si="15"/>
        <v>95</v>
      </c>
      <c r="F512" s="14">
        <v>203880</v>
      </c>
      <c r="G512" s="67" t="s">
        <v>5611</v>
      </c>
      <c r="H512" s="14" t="s">
        <v>5601</v>
      </c>
      <c r="I512" s="14" t="s">
        <v>2458</v>
      </c>
      <c r="J512" s="33" t="s">
        <v>7110</v>
      </c>
      <c r="K512" s="68">
        <v>0</v>
      </c>
      <c r="L512" s="68">
        <v>0</v>
      </c>
      <c r="M512" s="68" t="s">
        <v>8915</v>
      </c>
      <c r="N512" s="68">
        <v>0</v>
      </c>
      <c r="O512" s="68">
        <v>0</v>
      </c>
      <c r="P512" s="198" t="s">
        <v>5612</v>
      </c>
    </row>
    <row r="513" spans="1:16" ht="18.75" hidden="1">
      <c r="A513" s="13" t="s">
        <v>3300</v>
      </c>
      <c r="B513" s="12" t="s">
        <v>3323</v>
      </c>
      <c r="C513" s="12" t="s">
        <v>3187</v>
      </c>
      <c r="D513" s="12" t="s">
        <v>2752</v>
      </c>
      <c r="E513" s="12" t="str">
        <f t="shared" si="15"/>
        <v>95</v>
      </c>
      <c r="F513" s="14">
        <v>207180</v>
      </c>
      <c r="G513" s="67" t="s">
        <v>5607</v>
      </c>
      <c r="H513" s="14" t="s">
        <v>5601</v>
      </c>
      <c r="I513" s="14" t="s">
        <v>2458</v>
      </c>
      <c r="J513" s="33" t="s">
        <v>7110</v>
      </c>
      <c r="K513" s="68">
        <v>0</v>
      </c>
      <c r="L513" s="68">
        <v>0</v>
      </c>
      <c r="M513" s="68" t="s">
        <v>8915</v>
      </c>
      <c r="N513" s="68">
        <v>0</v>
      </c>
      <c r="O513" s="68">
        <v>0</v>
      </c>
      <c r="P513" s="198" t="s">
        <v>5608</v>
      </c>
    </row>
    <row r="514" spans="1:16" ht="18.75" hidden="1">
      <c r="A514" s="13" t="s">
        <v>3293</v>
      </c>
      <c r="B514" s="12" t="s">
        <v>3321</v>
      </c>
      <c r="C514" s="12" t="s">
        <v>3345</v>
      </c>
      <c r="D514" s="12" t="s">
        <v>3048</v>
      </c>
      <c r="E514" s="12" t="str">
        <f t="shared" ref="E514:E565" si="16">MID(D514,1,2)</f>
        <v>95</v>
      </c>
      <c r="F514" s="14">
        <v>498209</v>
      </c>
      <c r="G514" s="67" t="s">
        <v>5607</v>
      </c>
      <c r="H514" s="14" t="s">
        <v>5601</v>
      </c>
      <c r="I514" s="14" t="s">
        <v>2458</v>
      </c>
      <c r="J514" s="33" t="s">
        <v>7110</v>
      </c>
      <c r="K514" s="68">
        <v>0</v>
      </c>
      <c r="L514" s="68">
        <v>0</v>
      </c>
      <c r="M514" s="68" t="s">
        <v>8915</v>
      </c>
      <c r="N514" s="68">
        <v>0</v>
      </c>
      <c r="O514" s="68">
        <v>0</v>
      </c>
      <c r="P514" s="198" t="s">
        <v>5622</v>
      </c>
    </row>
    <row r="515" spans="1:16" ht="18.75" hidden="1">
      <c r="A515" s="13" t="s">
        <v>3297</v>
      </c>
      <c r="B515" s="12" t="s">
        <v>3276</v>
      </c>
      <c r="C515" s="12" t="s">
        <v>3070</v>
      </c>
      <c r="D515" s="12" t="s">
        <v>2754</v>
      </c>
      <c r="E515" s="12" t="str">
        <f t="shared" si="16"/>
        <v>95</v>
      </c>
      <c r="F515" s="14">
        <v>2620</v>
      </c>
      <c r="G515" s="67" t="s">
        <v>5611</v>
      </c>
      <c r="H515" s="14" t="s">
        <v>5601</v>
      </c>
      <c r="I515" s="14" t="s">
        <v>2458</v>
      </c>
      <c r="J515" s="33" t="s">
        <v>7110</v>
      </c>
      <c r="K515" s="68">
        <v>0</v>
      </c>
      <c r="L515" s="68">
        <v>0</v>
      </c>
      <c r="M515" s="68" t="s">
        <v>8915</v>
      </c>
      <c r="N515" s="68">
        <v>0</v>
      </c>
      <c r="O515" s="68">
        <v>0</v>
      </c>
      <c r="P515" s="198" t="s">
        <v>5612</v>
      </c>
    </row>
    <row r="516" spans="1:16" ht="18.75" hidden="1">
      <c r="A516" s="13" t="s">
        <v>3297</v>
      </c>
      <c r="B516" s="12" t="s">
        <v>3276</v>
      </c>
      <c r="C516" s="12" t="s">
        <v>2802</v>
      </c>
      <c r="D516" s="12" t="s">
        <v>2617</v>
      </c>
      <c r="E516" s="12" t="str">
        <f t="shared" si="16"/>
        <v>95</v>
      </c>
      <c r="F516" s="14">
        <v>2400</v>
      </c>
      <c r="G516" s="67" t="s">
        <v>5611</v>
      </c>
      <c r="H516" s="14" t="s">
        <v>5601</v>
      </c>
      <c r="I516" s="14" t="s">
        <v>2458</v>
      </c>
      <c r="J516" s="33" t="s">
        <v>7110</v>
      </c>
      <c r="K516" s="68">
        <v>0</v>
      </c>
      <c r="L516" s="68">
        <v>0</v>
      </c>
      <c r="M516" s="68" t="s">
        <v>8915</v>
      </c>
      <c r="N516" s="68">
        <v>0</v>
      </c>
      <c r="O516" s="68">
        <v>0</v>
      </c>
      <c r="P516" s="198" t="s">
        <v>5612</v>
      </c>
    </row>
    <row r="517" spans="1:16" ht="18.75" hidden="1">
      <c r="A517" s="13" t="s">
        <v>3297</v>
      </c>
      <c r="B517" s="12" t="s">
        <v>3276</v>
      </c>
      <c r="C517" s="12" t="s">
        <v>3182</v>
      </c>
      <c r="D517" s="12" t="s">
        <v>2754</v>
      </c>
      <c r="E517" s="12" t="str">
        <f t="shared" si="16"/>
        <v>95</v>
      </c>
      <c r="F517" s="14">
        <v>304666</v>
      </c>
      <c r="G517" s="67" t="s">
        <v>5611</v>
      </c>
      <c r="H517" s="14" t="s">
        <v>5601</v>
      </c>
      <c r="I517" s="14" t="s">
        <v>2458</v>
      </c>
      <c r="J517" s="33" t="s">
        <v>7110</v>
      </c>
      <c r="K517" s="68">
        <v>0</v>
      </c>
      <c r="L517" s="68">
        <v>0</v>
      </c>
      <c r="M517" s="68" t="s">
        <v>8915</v>
      </c>
      <c r="N517" s="68">
        <v>0</v>
      </c>
      <c r="O517" s="68">
        <v>0</v>
      </c>
      <c r="P517" s="198" t="s">
        <v>5612</v>
      </c>
    </row>
    <row r="518" spans="1:16" ht="18.75" hidden="1">
      <c r="A518" s="13" t="s">
        <v>3307</v>
      </c>
      <c r="B518" s="12" t="s">
        <v>3276</v>
      </c>
      <c r="C518" s="12" t="s">
        <v>3258</v>
      </c>
      <c r="D518" s="12" t="s">
        <v>2863</v>
      </c>
      <c r="E518" s="12" t="str">
        <f t="shared" si="16"/>
        <v>95</v>
      </c>
      <c r="F518" s="14">
        <v>341713</v>
      </c>
      <c r="G518" s="67" t="s">
        <v>5607</v>
      </c>
      <c r="H518" s="14" t="s">
        <v>5601</v>
      </c>
      <c r="I518" s="14" t="s">
        <v>2458</v>
      </c>
      <c r="J518" s="33" t="s">
        <v>7110</v>
      </c>
      <c r="K518" s="68">
        <v>0</v>
      </c>
      <c r="L518" s="68">
        <v>0</v>
      </c>
      <c r="M518" s="68" t="s">
        <v>8915</v>
      </c>
      <c r="N518" s="68">
        <v>0</v>
      </c>
      <c r="O518" s="68">
        <v>0</v>
      </c>
      <c r="P518" s="198" t="s">
        <v>5608</v>
      </c>
    </row>
    <row r="519" spans="1:16" ht="18.75" hidden="1">
      <c r="A519" s="13" t="s">
        <v>3307</v>
      </c>
      <c r="B519" s="12" t="s">
        <v>3276</v>
      </c>
      <c r="C519" s="12" t="s">
        <v>3346</v>
      </c>
      <c r="D519" s="12" t="s">
        <v>2863</v>
      </c>
      <c r="E519" s="12" t="str">
        <f t="shared" si="16"/>
        <v>95</v>
      </c>
      <c r="F519" s="14">
        <v>157886</v>
      </c>
      <c r="G519" s="67" t="s">
        <v>5607</v>
      </c>
      <c r="H519" s="14" t="s">
        <v>5601</v>
      </c>
      <c r="I519" s="14" t="s">
        <v>2458</v>
      </c>
      <c r="J519" s="33" t="s">
        <v>7110</v>
      </c>
      <c r="K519" s="68">
        <v>0</v>
      </c>
      <c r="L519" s="68">
        <v>0</v>
      </c>
      <c r="M519" s="68" t="s">
        <v>8915</v>
      </c>
      <c r="N519" s="68">
        <v>0</v>
      </c>
      <c r="O519" s="68">
        <v>0</v>
      </c>
      <c r="P519" s="198" t="s">
        <v>5608</v>
      </c>
    </row>
    <row r="520" spans="1:16" ht="18.75" hidden="1">
      <c r="A520" s="13" t="s">
        <v>3308</v>
      </c>
      <c r="B520" s="12" t="s">
        <v>3324</v>
      </c>
      <c r="C520" s="12" t="s">
        <v>3347</v>
      </c>
      <c r="D520" s="12" t="s">
        <v>2853</v>
      </c>
      <c r="E520" s="12" t="str">
        <f t="shared" si="16"/>
        <v>95</v>
      </c>
      <c r="F520" s="14">
        <v>497750</v>
      </c>
      <c r="G520" s="67" t="s">
        <v>5604</v>
      </c>
      <c r="H520" s="14" t="s">
        <v>5601</v>
      </c>
      <c r="I520" s="14" t="s">
        <v>2458</v>
      </c>
      <c r="J520" s="33" t="s">
        <v>7110</v>
      </c>
      <c r="K520" s="68">
        <v>0</v>
      </c>
      <c r="L520" s="68">
        <v>0</v>
      </c>
      <c r="M520" s="68" t="s">
        <v>8915</v>
      </c>
      <c r="N520" s="68">
        <v>0</v>
      </c>
      <c r="O520" s="68">
        <v>0</v>
      </c>
      <c r="P520" s="198" t="s">
        <v>5618</v>
      </c>
    </row>
    <row r="521" spans="1:16" ht="18.75" hidden="1">
      <c r="A521" s="13" t="s">
        <v>3309</v>
      </c>
      <c r="B521" s="12" t="s">
        <v>3278</v>
      </c>
      <c r="C521" s="12" t="s">
        <v>3348</v>
      </c>
      <c r="D521" s="12" t="s">
        <v>2865</v>
      </c>
      <c r="E521" s="12" t="str">
        <f t="shared" si="16"/>
        <v>95</v>
      </c>
      <c r="F521" s="14">
        <v>497750</v>
      </c>
      <c r="G521" s="67" t="s">
        <v>5611</v>
      </c>
      <c r="H521" s="14" t="s">
        <v>5601</v>
      </c>
      <c r="I521" s="14" t="s">
        <v>2458</v>
      </c>
      <c r="J521" s="33" t="s">
        <v>7110</v>
      </c>
      <c r="K521" s="68">
        <v>0</v>
      </c>
      <c r="L521" s="68">
        <v>0</v>
      </c>
      <c r="M521" s="68" t="s">
        <v>8915</v>
      </c>
      <c r="N521" s="68">
        <v>0</v>
      </c>
      <c r="O521" s="68">
        <v>0</v>
      </c>
      <c r="P521" s="198" t="s">
        <v>5619</v>
      </c>
    </row>
    <row r="522" spans="1:16" ht="18.75" hidden="1">
      <c r="A522" s="13" t="s">
        <v>3310</v>
      </c>
      <c r="B522" s="12" t="s">
        <v>3324</v>
      </c>
      <c r="C522" s="12" t="s">
        <v>3345</v>
      </c>
      <c r="D522" s="12" t="s">
        <v>3048</v>
      </c>
      <c r="E522" s="12" t="str">
        <f t="shared" si="16"/>
        <v>95</v>
      </c>
      <c r="F522" s="14">
        <v>1791</v>
      </c>
      <c r="G522" s="67" t="s">
        <v>5607</v>
      </c>
      <c r="H522" s="14" t="s">
        <v>5601</v>
      </c>
      <c r="I522" s="14" t="s">
        <v>2458</v>
      </c>
      <c r="J522" s="33" t="s">
        <v>7110</v>
      </c>
      <c r="K522" s="68">
        <v>0</v>
      </c>
      <c r="L522" s="68">
        <v>0</v>
      </c>
      <c r="M522" s="68" t="s">
        <v>8915</v>
      </c>
      <c r="N522" s="68">
        <v>0</v>
      </c>
      <c r="O522" s="68">
        <v>0</v>
      </c>
      <c r="P522" s="198" t="s">
        <v>5622</v>
      </c>
    </row>
    <row r="523" spans="1:16" ht="18.75" hidden="1">
      <c r="A523" s="13" t="s">
        <v>3310</v>
      </c>
      <c r="B523" s="12" t="s">
        <v>3324</v>
      </c>
      <c r="C523" s="12" t="s">
        <v>3349</v>
      </c>
      <c r="D523" s="12" t="s">
        <v>3041</v>
      </c>
      <c r="E523" s="12" t="str">
        <f t="shared" si="16"/>
        <v>95</v>
      </c>
      <c r="F523" s="14">
        <v>495069</v>
      </c>
      <c r="G523" s="67" t="s">
        <v>5607</v>
      </c>
      <c r="H523" s="14" t="s">
        <v>5601</v>
      </c>
      <c r="I523" s="14" t="s">
        <v>2458</v>
      </c>
      <c r="J523" s="33" t="s">
        <v>7110</v>
      </c>
      <c r="K523" s="68">
        <v>0</v>
      </c>
      <c r="L523" s="68">
        <v>0</v>
      </c>
      <c r="M523" s="68" t="s">
        <v>8915</v>
      </c>
      <c r="N523" s="68">
        <v>0</v>
      </c>
      <c r="O523" s="68">
        <v>0</v>
      </c>
      <c r="P523" s="198" t="s">
        <v>5622</v>
      </c>
    </row>
    <row r="524" spans="1:16" ht="18.75" hidden="1">
      <c r="A524" s="13" t="s">
        <v>3304</v>
      </c>
      <c r="B524" s="12" t="s">
        <v>3326</v>
      </c>
      <c r="C524" s="12" t="s">
        <v>3349</v>
      </c>
      <c r="D524" s="12" t="s">
        <v>3041</v>
      </c>
      <c r="E524" s="12" t="str">
        <f t="shared" si="16"/>
        <v>95</v>
      </c>
      <c r="F524" s="14">
        <v>26040</v>
      </c>
      <c r="G524" s="67" t="s">
        <v>5607</v>
      </c>
      <c r="H524" s="14" t="s">
        <v>5601</v>
      </c>
      <c r="I524" s="14" t="s">
        <v>2458</v>
      </c>
      <c r="J524" s="33" t="s">
        <v>7110</v>
      </c>
      <c r="K524" s="68">
        <v>0</v>
      </c>
      <c r="L524" s="68">
        <v>0</v>
      </c>
      <c r="M524" s="68" t="s">
        <v>8915</v>
      </c>
      <c r="N524" s="68">
        <v>0</v>
      </c>
      <c r="O524" s="68">
        <v>0</v>
      </c>
      <c r="P524" s="198" t="s">
        <v>5622</v>
      </c>
    </row>
    <row r="525" spans="1:16" ht="18.75" hidden="1">
      <c r="A525" s="13" t="s">
        <v>3306</v>
      </c>
      <c r="B525" s="12" t="s">
        <v>3323</v>
      </c>
      <c r="C525" s="12" t="s">
        <v>3131</v>
      </c>
      <c r="D525" s="12" t="s">
        <v>2755</v>
      </c>
      <c r="E525" s="12" t="str">
        <f t="shared" si="16"/>
        <v>95</v>
      </c>
      <c r="F525" s="14">
        <v>30480</v>
      </c>
      <c r="G525" s="67" t="s">
        <v>5616</v>
      </c>
      <c r="H525" s="14" t="s">
        <v>5601</v>
      </c>
      <c r="I525" s="14" t="s">
        <v>2458</v>
      </c>
      <c r="J525" s="33" t="s">
        <v>7110</v>
      </c>
      <c r="K525" s="68">
        <v>0</v>
      </c>
      <c r="L525" s="68">
        <v>0</v>
      </c>
      <c r="M525" s="68" t="s">
        <v>8915</v>
      </c>
      <c r="N525" s="68">
        <v>0</v>
      </c>
      <c r="O525" s="68">
        <v>0</v>
      </c>
      <c r="P525" s="198" t="s">
        <v>5617</v>
      </c>
    </row>
    <row r="526" spans="1:16" ht="18.75" hidden="1">
      <c r="A526" s="13" t="s">
        <v>3311</v>
      </c>
      <c r="B526" s="12" t="s">
        <v>3273</v>
      </c>
      <c r="C526" s="12" t="s">
        <v>3350</v>
      </c>
      <c r="D526" s="12" t="s">
        <v>2869</v>
      </c>
      <c r="E526" s="12" t="str">
        <f t="shared" si="16"/>
        <v>95</v>
      </c>
      <c r="F526" s="14">
        <v>299900</v>
      </c>
      <c r="G526" s="67" t="s">
        <v>5616</v>
      </c>
      <c r="H526" s="14" t="s">
        <v>5601</v>
      </c>
      <c r="I526" s="14" t="s">
        <v>2458</v>
      </c>
      <c r="J526" s="33" t="s">
        <v>7110</v>
      </c>
      <c r="K526" s="68">
        <v>0</v>
      </c>
      <c r="L526" s="68">
        <v>0</v>
      </c>
      <c r="M526" s="68" t="s">
        <v>8915</v>
      </c>
      <c r="N526" s="68">
        <v>0</v>
      </c>
      <c r="O526" s="68">
        <v>0</v>
      </c>
      <c r="P526" s="198" t="s">
        <v>5617</v>
      </c>
    </row>
    <row r="527" spans="1:16" ht="18.75" hidden="1">
      <c r="A527" s="13" t="s">
        <v>3306</v>
      </c>
      <c r="B527" s="12" t="s">
        <v>3323</v>
      </c>
      <c r="C527" s="12" t="s">
        <v>3343</v>
      </c>
      <c r="D527" s="12" t="s">
        <v>2749</v>
      </c>
      <c r="E527" s="12" t="str">
        <f t="shared" si="16"/>
        <v>95</v>
      </c>
      <c r="F527" s="14">
        <v>132820</v>
      </c>
      <c r="G527" s="67" t="s">
        <v>5609</v>
      </c>
      <c r="H527" s="14" t="s">
        <v>5601</v>
      </c>
      <c r="I527" s="14" t="s">
        <v>2458</v>
      </c>
      <c r="J527" s="33" t="s">
        <v>7110</v>
      </c>
      <c r="K527" s="68">
        <v>0</v>
      </c>
      <c r="L527" s="68">
        <v>0</v>
      </c>
      <c r="M527" s="68" t="s">
        <v>8915</v>
      </c>
      <c r="N527" s="68">
        <v>0</v>
      </c>
      <c r="O527" s="68">
        <v>0</v>
      </c>
      <c r="P527" s="198" t="s">
        <v>5614</v>
      </c>
    </row>
    <row r="528" spans="1:16" ht="18.75" hidden="1">
      <c r="A528" s="13" t="s">
        <v>3312</v>
      </c>
      <c r="B528" s="12" t="s">
        <v>3278</v>
      </c>
      <c r="C528" s="12" t="s">
        <v>2779</v>
      </c>
      <c r="D528" s="12" t="s">
        <v>2754</v>
      </c>
      <c r="E528" s="12" t="str">
        <f t="shared" si="16"/>
        <v>95</v>
      </c>
      <c r="F528" s="14">
        <v>196850</v>
      </c>
      <c r="G528" s="67" t="s">
        <v>5607</v>
      </c>
      <c r="H528" s="14" t="s">
        <v>5601</v>
      </c>
      <c r="I528" s="14" t="s">
        <v>2458</v>
      </c>
      <c r="J528" s="33" t="s">
        <v>7110</v>
      </c>
      <c r="K528" s="68">
        <v>0</v>
      </c>
      <c r="L528" s="68">
        <v>0</v>
      </c>
      <c r="M528" s="68" t="s">
        <v>8915</v>
      </c>
      <c r="N528" s="68">
        <v>0</v>
      </c>
      <c r="O528" s="68">
        <v>0</v>
      </c>
      <c r="P528" s="198" t="s">
        <v>5608</v>
      </c>
    </row>
    <row r="529" spans="1:16" ht="18.75" hidden="1">
      <c r="A529" s="13" t="s">
        <v>3312</v>
      </c>
      <c r="B529" s="12" t="s">
        <v>3278</v>
      </c>
      <c r="C529" s="12" t="s">
        <v>3348</v>
      </c>
      <c r="D529" s="12" t="s">
        <v>2865</v>
      </c>
      <c r="E529" s="12" t="str">
        <f t="shared" si="16"/>
        <v>95</v>
      </c>
      <c r="F529" s="14">
        <v>2250</v>
      </c>
      <c r="G529" s="67" t="s">
        <v>5611</v>
      </c>
      <c r="H529" s="14" t="s">
        <v>5601</v>
      </c>
      <c r="I529" s="14" t="s">
        <v>2458</v>
      </c>
      <c r="J529" s="33" t="s">
        <v>7110</v>
      </c>
      <c r="K529" s="68">
        <v>0</v>
      </c>
      <c r="L529" s="68">
        <v>0</v>
      </c>
      <c r="M529" s="68" t="s">
        <v>8915</v>
      </c>
      <c r="N529" s="68">
        <v>0</v>
      </c>
      <c r="O529" s="68">
        <v>0</v>
      </c>
      <c r="P529" s="198" t="s">
        <v>5619</v>
      </c>
    </row>
    <row r="530" spans="1:16" ht="18.75" hidden="1">
      <c r="A530" s="13" t="s">
        <v>3306</v>
      </c>
      <c r="B530" s="12" t="s">
        <v>3323</v>
      </c>
      <c r="C530" s="12" t="s">
        <v>2785</v>
      </c>
      <c r="D530" s="12" t="s">
        <v>2619</v>
      </c>
      <c r="E530" s="12" t="str">
        <f t="shared" si="16"/>
        <v>95</v>
      </c>
      <c r="F530" s="14">
        <v>28820</v>
      </c>
      <c r="G530" s="67" t="s">
        <v>5611</v>
      </c>
      <c r="H530" s="14" t="s">
        <v>5601</v>
      </c>
      <c r="I530" s="14" t="s">
        <v>2458</v>
      </c>
      <c r="J530" s="33" t="s">
        <v>7110</v>
      </c>
      <c r="K530" s="68">
        <v>0</v>
      </c>
      <c r="L530" s="68">
        <v>0</v>
      </c>
      <c r="M530" s="68" t="s">
        <v>8915</v>
      </c>
      <c r="N530" s="68">
        <v>0</v>
      </c>
      <c r="O530" s="68">
        <v>0</v>
      </c>
      <c r="P530" s="198" t="s">
        <v>5612</v>
      </c>
    </row>
    <row r="531" spans="1:16" ht="18.75" hidden="1">
      <c r="A531" s="13" t="s">
        <v>3313</v>
      </c>
      <c r="B531" s="12" t="s">
        <v>3281</v>
      </c>
      <c r="C531" s="12" t="s">
        <v>3351</v>
      </c>
      <c r="D531" s="12" t="s">
        <v>3278</v>
      </c>
      <c r="E531" s="12" t="str">
        <f t="shared" si="16"/>
        <v>95</v>
      </c>
      <c r="F531" s="14">
        <v>1335000</v>
      </c>
      <c r="G531" s="67" t="s">
        <v>5604</v>
      </c>
      <c r="H531" s="14" t="s">
        <v>5601</v>
      </c>
      <c r="I531" s="14" t="s">
        <v>2458</v>
      </c>
      <c r="J531" s="33" t="s">
        <v>7110</v>
      </c>
      <c r="K531" s="68">
        <v>0</v>
      </c>
      <c r="L531" s="68">
        <v>0</v>
      </c>
      <c r="M531" s="68" t="s">
        <v>8915</v>
      </c>
      <c r="N531" s="68">
        <v>0</v>
      </c>
      <c r="O531" s="68">
        <v>0</v>
      </c>
      <c r="P531" s="198" t="s">
        <v>5623</v>
      </c>
    </row>
    <row r="532" spans="1:16" ht="18.75" hidden="1">
      <c r="A532" s="13" t="s">
        <v>3314</v>
      </c>
      <c r="B532" s="12" t="s">
        <v>3282</v>
      </c>
      <c r="C532" s="12" t="s">
        <v>3352</v>
      </c>
      <c r="D532" s="12" t="s">
        <v>2851</v>
      </c>
      <c r="E532" s="12" t="str">
        <f t="shared" si="16"/>
        <v>95</v>
      </c>
      <c r="F532" s="14">
        <v>520000</v>
      </c>
      <c r="G532" s="67" t="s">
        <v>5611</v>
      </c>
      <c r="H532" s="14" t="s">
        <v>5601</v>
      </c>
      <c r="I532" s="14" t="s">
        <v>2458</v>
      </c>
      <c r="J532" s="33" t="s">
        <v>7110</v>
      </c>
      <c r="K532" s="68">
        <v>0</v>
      </c>
      <c r="L532" s="68">
        <v>0</v>
      </c>
      <c r="M532" s="68" t="s">
        <v>8915</v>
      </c>
      <c r="N532" s="68">
        <v>0</v>
      </c>
      <c r="O532" s="68">
        <v>0</v>
      </c>
      <c r="P532" s="198" t="s">
        <v>5619</v>
      </c>
    </row>
    <row r="533" spans="1:16" ht="18.75" hidden="1">
      <c r="A533" s="13" t="s">
        <v>3303</v>
      </c>
      <c r="B533" s="12" t="s">
        <v>3325</v>
      </c>
      <c r="C533" s="12" t="s">
        <v>3349</v>
      </c>
      <c r="D533" s="12" t="s">
        <v>3041</v>
      </c>
      <c r="E533" s="12" t="str">
        <f t="shared" si="16"/>
        <v>95</v>
      </c>
      <c r="F533" s="14">
        <v>188891</v>
      </c>
      <c r="G533" s="67" t="s">
        <v>5607</v>
      </c>
      <c r="H533" s="14" t="s">
        <v>5601</v>
      </c>
      <c r="I533" s="14" t="s">
        <v>2458</v>
      </c>
      <c r="J533" s="33" t="s">
        <v>7110</v>
      </c>
      <c r="K533" s="68">
        <v>0</v>
      </c>
      <c r="L533" s="68">
        <v>0</v>
      </c>
      <c r="M533" s="68" t="s">
        <v>8915</v>
      </c>
      <c r="N533" s="68">
        <v>0</v>
      </c>
      <c r="O533" s="68">
        <v>0</v>
      </c>
      <c r="P533" s="198" t="s">
        <v>5622</v>
      </c>
    </row>
    <row r="534" spans="1:16" ht="18.75" hidden="1">
      <c r="A534" s="13" t="s">
        <v>3314</v>
      </c>
      <c r="B534" s="12" t="s">
        <v>3282</v>
      </c>
      <c r="C534" s="12" t="s">
        <v>3353</v>
      </c>
      <c r="D534" s="12" t="s">
        <v>2855</v>
      </c>
      <c r="E534" s="12" t="str">
        <f t="shared" si="16"/>
        <v>95</v>
      </c>
      <c r="F534" s="14">
        <v>481990</v>
      </c>
      <c r="G534" s="67" t="s">
        <v>5611</v>
      </c>
      <c r="H534" s="14" t="s">
        <v>5601</v>
      </c>
      <c r="I534" s="14" t="s">
        <v>2458</v>
      </c>
      <c r="J534" s="33" t="s">
        <v>7110</v>
      </c>
      <c r="K534" s="68">
        <v>0</v>
      </c>
      <c r="L534" s="68">
        <v>0</v>
      </c>
      <c r="M534" s="68" t="s">
        <v>8915</v>
      </c>
      <c r="N534" s="68">
        <v>0</v>
      </c>
      <c r="O534" s="68">
        <v>0</v>
      </c>
      <c r="P534" s="198" t="s">
        <v>5619</v>
      </c>
    </row>
    <row r="535" spans="1:16" ht="18.75" hidden="1">
      <c r="A535" s="13" t="s">
        <v>3315</v>
      </c>
      <c r="B535" s="12" t="s">
        <v>3327</v>
      </c>
      <c r="C535" s="12" t="s">
        <v>3354</v>
      </c>
      <c r="D535" s="12" t="s">
        <v>3041</v>
      </c>
      <c r="E535" s="12" t="str">
        <f t="shared" si="16"/>
        <v>95</v>
      </c>
      <c r="F535" s="14">
        <v>99540</v>
      </c>
      <c r="G535" s="67" t="s">
        <v>5611</v>
      </c>
      <c r="H535" s="14" t="s">
        <v>5601</v>
      </c>
      <c r="I535" s="14" t="s">
        <v>2458</v>
      </c>
      <c r="J535" s="33" t="s">
        <v>7110</v>
      </c>
      <c r="K535" s="68">
        <v>0</v>
      </c>
      <c r="L535" s="68">
        <v>0</v>
      </c>
      <c r="M535" s="68" t="s">
        <v>8915</v>
      </c>
      <c r="N535" s="68">
        <v>0</v>
      </c>
      <c r="O535" s="68">
        <v>0</v>
      </c>
      <c r="P535" s="198" t="s">
        <v>5619</v>
      </c>
    </row>
    <row r="536" spans="1:16" ht="18.75" hidden="1">
      <c r="A536" s="13" t="s">
        <v>3315</v>
      </c>
      <c r="B536" s="12" t="s">
        <v>3327</v>
      </c>
      <c r="C536" s="12" t="s">
        <v>3174</v>
      </c>
      <c r="D536" s="12" t="s">
        <v>2851</v>
      </c>
      <c r="E536" s="12" t="str">
        <f t="shared" si="16"/>
        <v>95</v>
      </c>
      <c r="F536" s="14">
        <v>75450</v>
      </c>
      <c r="G536" s="67" t="s">
        <v>5611</v>
      </c>
      <c r="H536" s="14" t="s">
        <v>5601</v>
      </c>
      <c r="I536" s="14" t="s">
        <v>2458</v>
      </c>
      <c r="J536" s="33" t="s">
        <v>7110</v>
      </c>
      <c r="K536" s="68">
        <v>0</v>
      </c>
      <c r="L536" s="68">
        <v>0</v>
      </c>
      <c r="M536" s="68" t="s">
        <v>8915</v>
      </c>
      <c r="N536" s="68">
        <v>0</v>
      </c>
      <c r="O536" s="68">
        <v>0</v>
      </c>
      <c r="P536" s="198" t="s">
        <v>5619</v>
      </c>
    </row>
    <row r="537" spans="1:16" ht="18.75" hidden="1">
      <c r="A537" s="13" t="s">
        <v>3315</v>
      </c>
      <c r="B537" s="12" t="s">
        <v>3327</v>
      </c>
      <c r="C537" s="12" t="s">
        <v>3353</v>
      </c>
      <c r="D537" s="12" t="s">
        <v>2855</v>
      </c>
      <c r="E537" s="12" t="str">
        <f t="shared" si="16"/>
        <v>95</v>
      </c>
      <c r="F537" s="14">
        <v>18010</v>
      </c>
      <c r="G537" s="67" t="s">
        <v>5611</v>
      </c>
      <c r="H537" s="14" t="s">
        <v>5601</v>
      </c>
      <c r="I537" s="14" t="s">
        <v>2458</v>
      </c>
      <c r="J537" s="33" t="s">
        <v>7110</v>
      </c>
      <c r="K537" s="68">
        <v>0</v>
      </c>
      <c r="L537" s="68">
        <v>0</v>
      </c>
      <c r="M537" s="68" t="s">
        <v>8915</v>
      </c>
      <c r="N537" s="68">
        <v>0</v>
      </c>
      <c r="O537" s="68">
        <v>0</v>
      </c>
      <c r="P537" s="198" t="s">
        <v>5619</v>
      </c>
    </row>
    <row r="538" spans="1:16" ht="18.75" hidden="1">
      <c r="A538" s="13" t="s">
        <v>3315</v>
      </c>
      <c r="B538" s="12" t="s">
        <v>3327</v>
      </c>
      <c r="C538" s="12" t="s">
        <v>3259</v>
      </c>
      <c r="D538" s="12" t="s">
        <v>2754</v>
      </c>
      <c r="E538" s="12" t="str">
        <f t="shared" si="16"/>
        <v>95</v>
      </c>
      <c r="F538" s="14">
        <v>6500</v>
      </c>
      <c r="G538" s="67" t="s">
        <v>5611</v>
      </c>
      <c r="H538" s="14" t="s">
        <v>5601</v>
      </c>
      <c r="I538" s="14" t="s">
        <v>2458</v>
      </c>
      <c r="J538" s="33" t="s">
        <v>7110</v>
      </c>
      <c r="K538" s="68">
        <v>0</v>
      </c>
      <c r="L538" s="68">
        <v>0</v>
      </c>
      <c r="M538" s="68" t="s">
        <v>8915</v>
      </c>
      <c r="N538" s="68">
        <v>0</v>
      </c>
      <c r="O538" s="68">
        <v>0</v>
      </c>
      <c r="P538" s="198" t="s">
        <v>5612</v>
      </c>
    </row>
    <row r="539" spans="1:16" ht="18.75" hidden="1">
      <c r="A539" s="13" t="s">
        <v>3307</v>
      </c>
      <c r="B539" s="12" t="s">
        <v>3276</v>
      </c>
      <c r="C539" s="12" t="s">
        <v>3355</v>
      </c>
      <c r="D539" s="12" t="s">
        <v>3051</v>
      </c>
      <c r="E539" s="12" t="str">
        <f t="shared" si="16"/>
        <v>95</v>
      </c>
      <c r="F539" s="14">
        <v>979626</v>
      </c>
      <c r="G539" s="67" t="s">
        <v>5611</v>
      </c>
      <c r="H539" s="14" t="s">
        <v>5601</v>
      </c>
      <c r="I539" s="14" t="s">
        <v>2458</v>
      </c>
      <c r="J539" s="33" t="s">
        <v>7110</v>
      </c>
      <c r="K539" s="68">
        <v>0</v>
      </c>
      <c r="L539" s="68">
        <v>0</v>
      </c>
      <c r="M539" s="68" t="s">
        <v>8915</v>
      </c>
      <c r="N539" s="68">
        <v>0</v>
      </c>
      <c r="O539" s="68">
        <v>0</v>
      </c>
      <c r="P539" s="198" t="s">
        <v>5619</v>
      </c>
    </row>
    <row r="540" spans="1:16" ht="18.75" hidden="1">
      <c r="A540" s="13" t="s">
        <v>3316</v>
      </c>
      <c r="B540" s="12" t="s">
        <v>3324</v>
      </c>
      <c r="C540" s="12" t="s">
        <v>3186</v>
      </c>
      <c r="D540" s="12" t="s">
        <v>2851</v>
      </c>
      <c r="E540" s="12" t="str">
        <f t="shared" si="16"/>
        <v>95</v>
      </c>
      <c r="F540" s="14">
        <v>708648</v>
      </c>
      <c r="G540" s="67" t="s">
        <v>5604</v>
      </c>
      <c r="H540" s="14" t="s">
        <v>5601</v>
      </c>
      <c r="I540" s="14" t="s">
        <v>2458</v>
      </c>
      <c r="J540" s="33" t="s">
        <v>7110</v>
      </c>
      <c r="K540" s="68">
        <v>0</v>
      </c>
      <c r="L540" s="68">
        <v>0</v>
      </c>
      <c r="M540" s="68" t="s">
        <v>8915</v>
      </c>
      <c r="N540" s="68">
        <v>0</v>
      </c>
      <c r="O540" s="68">
        <v>0</v>
      </c>
      <c r="P540" s="198" t="s">
        <v>5618</v>
      </c>
    </row>
    <row r="541" spans="1:16" ht="18.75" hidden="1">
      <c r="A541" s="13" t="s">
        <v>3316</v>
      </c>
      <c r="B541" s="12" t="s">
        <v>3324</v>
      </c>
      <c r="C541" s="12" t="s">
        <v>3347</v>
      </c>
      <c r="D541" s="12" t="s">
        <v>2853</v>
      </c>
      <c r="E541" s="12" t="str">
        <f t="shared" si="16"/>
        <v>95</v>
      </c>
      <c r="F541" s="14">
        <v>87752</v>
      </c>
      <c r="G541" s="67" t="s">
        <v>5604</v>
      </c>
      <c r="H541" s="14" t="s">
        <v>5601</v>
      </c>
      <c r="I541" s="14" t="s">
        <v>2458</v>
      </c>
      <c r="J541" s="33" t="s">
        <v>7110</v>
      </c>
      <c r="K541" s="68">
        <v>0</v>
      </c>
      <c r="L541" s="68">
        <v>0</v>
      </c>
      <c r="M541" s="68" t="s">
        <v>8915</v>
      </c>
      <c r="N541" s="68">
        <v>0</v>
      </c>
      <c r="O541" s="68">
        <v>0</v>
      </c>
      <c r="P541" s="198" t="s">
        <v>5618</v>
      </c>
    </row>
    <row r="542" spans="1:16" ht="18.75" hidden="1">
      <c r="A542" s="13" t="s">
        <v>3318</v>
      </c>
      <c r="B542" s="12" t="s">
        <v>3282</v>
      </c>
      <c r="C542" s="12" t="s">
        <v>3250</v>
      </c>
      <c r="D542" s="12" t="s">
        <v>3242</v>
      </c>
      <c r="E542" s="12" t="str">
        <f t="shared" si="16"/>
        <v>95</v>
      </c>
      <c r="F542" s="14">
        <v>980681</v>
      </c>
      <c r="G542" s="67" t="s">
        <v>5604</v>
      </c>
      <c r="H542" s="14" t="s">
        <v>5601</v>
      </c>
      <c r="I542" s="14" t="s">
        <v>2458</v>
      </c>
      <c r="J542" s="33" t="s">
        <v>7110</v>
      </c>
      <c r="K542" s="68">
        <v>0</v>
      </c>
      <c r="L542" s="68">
        <v>0</v>
      </c>
      <c r="M542" s="68" t="s">
        <v>8915</v>
      </c>
      <c r="N542" s="68">
        <v>0</v>
      </c>
      <c r="O542" s="68">
        <v>0</v>
      </c>
      <c r="P542" s="198" t="s">
        <v>5618</v>
      </c>
    </row>
    <row r="543" spans="1:16" ht="18.75" hidden="1">
      <c r="A543" s="13" t="s">
        <v>3311</v>
      </c>
      <c r="B543" s="12" t="s">
        <v>3273</v>
      </c>
      <c r="C543" s="12" t="s">
        <v>3355</v>
      </c>
      <c r="D543" s="12" t="s">
        <v>3051</v>
      </c>
      <c r="E543" s="12" t="str">
        <f t="shared" si="16"/>
        <v>95</v>
      </c>
      <c r="F543" s="14">
        <v>54520</v>
      </c>
      <c r="G543" s="67" t="s">
        <v>5611</v>
      </c>
      <c r="H543" s="14" t="s">
        <v>5601</v>
      </c>
      <c r="I543" s="14" t="s">
        <v>2458</v>
      </c>
      <c r="J543" s="33" t="s">
        <v>7110</v>
      </c>
      <c r="K543" s="68">
        <v>0</v>
      </c>
      <c r="L543" s="68">
        <v>0</v>
      </c>
      <c r="M543" s="68" t="s">
        <v>8915</v>
      </c>
      <c r="N543" s="68">
        <v>0</v>
      </c>
      <c r="O543" s="68">
        <v>0</v>
      </c>
      <c r="P543" s="198" t="s">
        <v>5619</v>
      </c>
    </row>
    <row r="544" spans="1:16" ht="18.75" hidden="1">
      <c r="A544" s="13" t="s">
        <v>3313</v>
      </c>
      <c r="B544" s="12" t="s">
        <v>3281</v>
      </c>
      <c r="C544" s="12" t="s">
        <v>3356</v>
      </c>
      <c r="D544" s="12" t="s">
        <v>3278</v>
      </c>
      <c r="E544" s="12" t="str">
        <f t="shared" si="16"/>
        <v>95</v>
      </c>
      <c r="F544" s="14">
        <v>837456</v>
      </c>
      <c r="G544" s="67" t="s">
        <v>5604</v>
      </c>
      <c r="H544" s="14" t="s">
        <v>5601</v>
      </c>
      <c r="I544" s="14" t="s">
        <v>2458</v>
      </c>
      <c r="J544" s="33" t="s">
        <v>7110</v>
      </c>
      <c r="K544" s="68">
        <v>0</v>
      </c>
      <c r="L544" s="68">
        <v>0</v>
      </c>
      <c r="M544" s="68" t="s">
        <v>8915</v>
      </c>
      <c r="N544" s="68">
        <v>0</v>
      </c>
      <c r="O544" s="68">
        <v>0</v>
      </c>
      <c r="P544" s="198" t="s">
        <v>5626</v>
      </c>
    </row>
    <row r="545" spans="1:16" ht="18.75" hidden="1">
      <c r="A545" s="13" t="s">
        <v>3317</v>
      </c>
      <c r="B545" s="12" t="s">
        <v>3328</v>
      </c>
      <c r="C545" s="12" t="s">
        <v>3080</v>
      </c>
      <c r="D545" s="12" t="s">
        <v>2609</v>
      </c>
      <c r="E545" s="12" t="str">
        <f t="shared" si="16"/>
        <v>95</v>
      </c>
      <c r="F545" s="14">
        <v>58829</v>
      </c>
      <c r="G545" s="67" t="s">
        <v>5604</v>
      </c>
      <c r="H545" s="14" t="s">
        <v>5601</v>
      </c>
      <c r="I545" s="14" t="s">
        <v>2458</v>
      </c>
      <c r="J545" s="33" t="e">
        <f>VLOOKUP(C545,شرکتها!A:B,2,FALSE)</f>
        <v>#N/A</v>
      </c>
      <c r="K545" s="68">
        <v>0</v>
      </c>
      <c r="L545" s="68">
        <v>0</v>
      </c>
      <c r="M545" s="68" t="s">
        <v>8915</v>
      </c>
      <c r="N545" s="68">
        <v>0</v>
      </c>
      <c r="O545" s="68">
        <v>0</v>
      </c>
      <c r="P545" s="198" t="s">
        <v>5613</v>
      </c>
    </row>
    <row r="546" spans="1:16" ht="18.75" hidden="1">
      <c r="A546" s="13" t="s">
        <v>3319</v>
      </c>
      <c r="B546" s="12" t="s">
        <v>3282</v>
      </c>
      <c r="C546" s="12" t="s">
        <v>3187</v>
      </c>
      <c r="D546" s="12" t="s">
        <v>2752</v>
      </c>
      <c r="E546" s="12" t="str">
        <f t="shared" si="16"/>
        <v>95</v>
      </c>
      <c r="F546" s="14">
        <v>1000760</v>
      </c>
      <c r="G546" s="67" t="s">
        <v>5607</v>
      </c>
      <c r="H546" s="14" t="s">
        <v>5601</v>
      </c>
      <c r="I546" s="14" t="s">
        <v>2458</v>
      </c>
      <c r="J546" s="33" t="s">
        <v>7110</v>
      </c>
      <c r="K546" s="68">
        <v>0</v>
      </c>
      <c r="L546" s="68">
        <v>0</v>
      </c>
      <c r="M546" s="68" t="s">
        <v>8915</v>
      </c>
      <c r="N546" s="68">
        <v>0</v>
      </c>
      <c r="O546" s="68">
        <v>0</v>
      </c>
      <c r="P546" s="198" t="s">
        <v>5608</v>
      </c>
    </row>
    <row r="547" spans="1:16" ht="18.75" hidden="1">
      <c r="A547" s="13" t="s">
        <v>3357</v>
      </c>
      <c r="B547" s="12" t="s">
        <v>3328</v>
      </c>
      <c r="C547" s="12" t="s">
        <v>3210</v>
      </c>
      <c r="D547" s="12" t="s">
        <v>2619</v>
      </c>
      <c r="E547" s="12" t="str">
        <f t="shared" si="16"/>
        <v>95</v>
      </c>
      <c r="F547" s="14">
        <v>22960</v>
      </c>
      <c r="G547" s="67" t="s">
        <v>5611</v>
      </c>
      <c r="H547" s="14" t="s">
        <v>5601</v>
      </c>
      <c r="I547" s="14" t="s">
        <v>2458</v>
      </c>
      <c r="J547" s="33" t="s">
        <v>7110</v>
      </c>
      <c r="K547" s="68">
        <v>0</v>
      </c>
      <c r="L547" s="68">
        <v>0</v>
      </c>
      <c r="M547" s="68" t="s">
        <v>8915</v>
      </c>
      <c r="N547" s="68">
        <v>0</v>
      </c>
      <c r="O547" s="68">
        <v>0</v>
      </c>
      <c r="P547" s="198" t="s">
        <v>5612</v>
      </c>
    </row>
    <row r="548" spans="1:16" ht="18.75" hidden="1">
      <c r="A548" s="13" t="s">
        <v>3358</v>
      </c>
      <c r="B548" s="12" t="s">
        <v>3373</v>
      </c>
      <c r="C548" s="12" t="s">
        <v>2890</v>
      </c>
      <c r="D548" s="12" t="s">
        <v>2865</v>
      </c>
      <c r="E548" s="12" t="str">
        <f t="shared" si="16"/>
        <v>95</v>
      </c>
      <c r="F548" s="14">
        <v>4740</v>
      </c>
      <c r="G548" s="67" t="s">
        <v>5611</v>
      </c>
      <c r="H548" s="14" t="s">
        <v>5601</v>
      </c>
      <c r="I548" s="14" t="s">
        <v>2458</v>
      </c>
      <c r="J548" s="33" t="s">
        <v>7110</v>
      </c>
      <c r="K548" s="68">
        <v>0</v>
      </c>
      <c r="L548" s="68">
        <v>0</v>
      </c>
      <c r="M548" s="68" t="s">
        <v>8915</v>
      </c>
      <c r="N548" s="68">
        <v>0</v>
      </c>
      <c r="O548" s="68">
        <v>0</v>
      </c>
      <c r="P548" s="198" t="s">
        <v>5619</v>
      </c>
    </row>
    <row r="549" spans="1:16" ht="18.75" hidden="1">
      <c r="A549" s="13" t="s">
        <v>3358</v>
      </c>
      <c r="B549" s="12" t="s">
        <v>3373</v>
      </c>
      <c r="C549" s="12" t="s">
        <v>3210</v>
      </c>
      <c r="D549" s="12" t="s">
        <v>2619</v>
      </c>
      <c r="E549" s="12" t="str">
        <f t="shared" si="16"/>
        <v>95</v>
      </c>
      <c r="F549" s="14">
        <v>67280</v>
      </c>
      <c r="G549" s="67" t="s">
        <v>5611</v>
      </c>
      <c r="H549" s="14" t="s">
        <v>5601</v>
      </c>
      <c r="I549" s="14" t="s">
        <v>2458</v>
      </c>
      <c r="J549" s="33" t="s">
        <v>7110</v>
      </c>
      <c r="K549" s="68">
        <v>0</v>
      </c>
      <c r="L549" s="68">
        <v>0</v>
      </c>
      <c r="M549" s="68" t="s">
        <v>8915</v>
      </c>
      <c r="N549" s="68">
        <v>0</v>
      </c>
      <c r="O549" s="68">
        <v>0</v>
      </c>
      <c r="P549" s="198" t="s">
        <v>5612</v>
      </c>
    </row>
    <row r="550" spans="1:16" ht="18.75" hidden="1">
      <c r="A550" s="13" t="s">
        <v>3359</v>
      </c>
      <c r="B550" s="12" t="s">
        <v>3374</v>
      </c>
      <c r="C550" s="12" t="s">
        <v>3381</v>
      </c>
      <c r="D550" s="12" t="s">
        <v>2869</v>
      </c>
      <c r="E550" s="12" t="str">
        <f t="shared" si="16"/>
        <v>95</v>
      </c>
      <c r="F550" s="14">
        <v>85315</v>
      </c>
      <c r="G550" s="67" t="s">
        <v>5611</v>
      </c>
      <c r="H550" s="14" t="s">
        <v>5601</v>
      </c>
      <c r="I550" s="14" t="s">
        <v>2458</v>
      </c>
      <c r="J550" s="33" t="s">
        <v>7110</v>
      </c>
      <c r="K550" s="68">
        <v>0</v>
      </c>
      <c r="L550" s="68">
        <v>0</v>
      </c>
      <c r="M550" s="68" t="s">
        <v>8915</v>
      </c>
      <c r="N550" s="68">
        <v>0</v>
      </c>
      <c r="O550" s="68">
        <v>0</v>
      </c>
      <c r="P550" s="198" t="s">
        <v>5612</v>
      </c>
    </row>
    <row r="551" spans="1:16" ht="18.75" hidden="1">
      <c r="A551" s="13" t="s">
        <v>3359</v>
      </c>
      <c r="B551" s="12" t="s">
        <v>3374</v>
      </c>
      <c r="C551" s="12" t="s">
        <v>3382</v>
      </c>
      <c r="D551" s="12" t="s">
        <v>2754</v>
      </c>
      <c r="E551" s="12" t="str">
        <f t="shared" si="16"/>
        <v>95</v>
      </c>
      <c r="F551" s="14">
        <v>24910</v>
      </c>
      <c r="G551" s="67" t="s">
        <v>5607</v>
      </c>
      <c r="H551" s="14" t="s">
        <v>5601</v>
      </c>
      <c r="I551" s="14" t="s">
        <v>2458</v>
      </c>
      <c r="J551" s="33" t="s">
        <v>7110</v>
      </c>
      <c r="K551" s="68">
        <v>0</v>
      </c>
      <c r="L551" s="68">
        <v>0</v>
      </c>
      <c r="M551" s="68" t="s">
        <v>8915</v>
      </c>
      <c r="N551" s="68">
        <v>0</v>
      </c>
      <c r="O551" s="68">
        <v>0</v>
      </c>
      <c r="P551" s="198" t="s">
        <v>5608</v>
      </c>
    </row>
    <row r="552" spans="1:16" ht="18.75" hidden="1">
      <c r="A552" s="13" t="s">
        <v>3360</v>
      </c>
      <c r="B552" s="12" t="s">
        <v>3375</v>
      </c>
      <c r="C552" s="12" t="s">
        <v>3381</v>
      </c>
      <c r="D552" s="12" t="s">
        <v>2869</v>
      </c>
      <c r="E552" s="12" t="str">
        <f t="shared" si="16"/>
        <v>95</v>
      </c>
      <c r="F552" s="14">
        <v>51695</v>
      </c>
      <c r="G552" s="67" t="s">
        <v>5611</v>
      </c>
      <c r="H552" s="14" t="s">
        <v>5601</v>
      </c>
      <c r="I552" s="14" t="s">
        <v>2458</v>
      </c>
      <c r="J552" s="33" t="s">
        <v>7110</v>
      </c>
      <c r="K552" s="68">
        <v>0</v>
      </c>
      <c r="L552" s="68">
        <v>0</v>
      </c>
      <c r="M552" s="68" t="s">
        <v>8915</v>
      </c>
      <c r="N552" s="68">
        <v>0</v>
      </c>
      <c r="O552" s="68">
        <v>0</v>
      </c>
      <c r="P552" s="198" t="s">
        <v>5612</v>
      </c>
    </row>
    <row r="553" spans="1:16" ht="18.75" hidden="1">
      <c r="A553" s="13" t="s">
        <v>3362</v>
      </c>
      <c r="B553" s="12" t="s">
        <v>3328</v>
      </c>
      <c r="C553" s="12" t="s">
        <v>3381</v>
      </c>
      <c r="D553" s="12" t="s">
        <v>2869</v>
      </c>
      <c r="E553" s="12" t="str">
        <f t="shared" si="16"/>
        <v>95</v>
      </c>
      <c r="F553" s="14">
        <v>49320</v>
      </c>
      <c r="G553" s="67" t="s">
        <v>5611</v>
      </c>
      <c r="H553" s="14" t="s">
        <v>5601</v>
      </c>
      <c r="I553" s="14" t="s">
        <v>2458</v>
      </c>
      <c r="J553" s="33" t="s">
        <v>7110</v>
      </c>
      <c r="K553" s="68">
        <v>0</v>
      </c>
      <c r="L553" s="68">
        <v>0</v>
      </c>
      <c r="M553" s="68" t="s">
        <v>8915</v>
      </c>
      <c r="N553" s="68">
        <v>0</v>
      </c>
      <c r="O553" s="68">
        <v>0</v>
      </c>
      <c r="P553" s="198" t="s">
        <v>5612</v>
      </c>
    </row>
    <row r="554" spans="1:16" ht="18.75" hidden="1">
      <c r="A554" s="13" t="s">
        <v>3360</v>
      </c>
      <c r="B554" s="12" t="s">
        <v>3375</v>
      </c>
      <c r="C554" s="12" t="s">
        <v>2895</v>
      </c>
      <c r="D554" s="12" t="s">
        <v>2863</v>
      </c>
      <c r="E554" s="12" t="str">
        <f t="shared" si="16"/>
        <v>95</v>
      </c>
      <c r="F554" s="14">
        <v>19990</v>
      </c>
      <c r="G554" s="67" t="s">
        <v>5611</v>
      </c>
      <c r="H554" s="14" t="s">
        <v>5601</v>
      </c>
      <c r="I554" s="14" t="s">
        <v>2458</v>
      </c>
      <c r="J554" s="33" t="s">
        <v>7110</v>
      </c>
      <c r="K554" s="68">
        <v>0</v>
      </c>
      <c r="L554" s="68">
        <v>0</v>
      </c>
      <c r="M554" s="68" t="s">
        <v>8915</v>
      </c>
      <c r="N554" s="68">
        <v>0</v>
      </c>
      <c r="O554" s="68">
        <v>0</v>
      </c>
      <c r="P554" s="198" t="s">
        <v>5612</v>
      </c>
    </row>
    <row r="555" spans="1:16" ht="18.75" hidden="1">
      <c r="A555" s="13" t="s">
        <v>3363</v>
      </c>
      <c r="B555" s="12" t="s">
        <v>3323</v>
      </c>
      <c r="C555" s="12" t="s">
        <v>2895</v>
      </c>
      <c r="D555" s="12" t="s">
        <v>2863</v>
      </c>
      <c r="E555" s="12" t="str">
        <f t="shared" si="16"/>
        <v>95</v>
      </c>
      <c r="F555" s="14">
        <v>29585</v>
      </c>
      <c r="G555" s="67" t="s">
        <v>5611</v>
      </c>
      <c r="H555" s="14" t="s">
        <v>5601</v>
      </c>
      <c r="I555" s="14" t="s">
        <v>2458</v>
      </c>
      <c r="J555" s="33" t="s">
        <v>7110</v>
      </c>
      <c r="K555" s="68">
        <v>0</v>
      </c>
      <c r="L555" s="68">
        <v>0</v>
      </c>
      <c r="M555" s="68" t="s">
        <v>8915</v>
      </c>
      <c r="N555" s="68">
        <v>0</v>
      </c>
      <c r="O555" s="68">
        <v>0</v>
      </c>
      <c r="P555" s="198" t="s">
        <v>5612</v>
      </c>
    </row>
    <row r="556" spans="1:16" ht="18.75" hidden="1">
      <c r="A556" s="13" t="s">
        <v>3364</v>
      </c>
      <c r="B556" s="12" t="s">
        <v>3376</v>
      </c>
      <c r="C556" s="12" t="s">
        <v>3382</v>
      </c>
      <c r="D556" s="12" t="s">
        <v>2754</v>
      </c>
      <c r="E556" s="12" t="str">
        <f t="shared" si="16"/>
        <v>95</v>
      </c>
      <c r="F556" s="14">
        <v>24770</v>
      </c>
      <c r="G556" s="67" t="s">
        <v>5607</v>
      </c>
      <c r="H556" s="14" t="s">
        <v>5601</v>
      </c>
      <c r="I556" s="14" t="s">
        <v>2458</v>
      </c>
      <c r="J556" s="33" t="s">
        <v>7110</v>
      </c>
      <c r="K556" s="68">
        <v>0</v>
      </c>
      <c r="L556" s="68">
        <v>0</v>
      </c>
      <c r="M556" s="68" t="s">
        <v>8915</v>
      </c>
      <c r="N556" s="68">
        <v>0</v>
      </c>
      <c r="O556" s="68">
        <v>0</v>
      </c>
      <c r="P556" s="198" t="s">
        <v>5608</v>
      </c>
    </row>
    <row r="557" spans="1:16" ht="18.75" hidden="1">
      <c r="A557" s="13" t="s">
        <v>3366</v>
      </c>
      <c r="B557" s="12" t="s">
        <v>3378</v>
      </c>
      <c r="C557" s="12" t="s">
        <v>3382</v>
      </c>
      <c r="D557" s="12" t="s">
        <v>2754</v>
      </c>
      <c r="E557" s="12" t="str">
        <f t="shared" si="16"/>
        <v>95</v>
      </c>
      <c r="F557" s="14">
        <v>99490</v>
      </c>
      <c r="G557" s="67" t="s">
        <v>5607</v>
      </c>
      <c r="H557" s="14" t="s">
        <v>5601</v>
      </c>
      <c r="I557" s="14" t="s">
        <v>2458</v>
      </c>
      <c r="J557" s="33" t="s">
        <v>7110</v>
      </c>
      <c r="K557" s="68">
        <v>0</v>
      </c>
      <c r="L557" s="68">
        <v>0</v>
      </c>
      <c r="M557" s="68" t="s">
        <v>8915</v>
      </c>
      <c r="N557" s="68">
        <v>0</v>
      </c>
      <c r="O557" s="68">
        <v>0</v>
      </c>
      <c r="P557" s="198" t="s">
        <v>5608</v>
      </c>
    </row>
    <row r="558" spans="1:16" ht="18.75" hidden="1">
      <c r="A558" s="13" t="s">
        <v>3367</v>
      </c>
      <c r="B558" s="12" t="s">
        <v>3375</v>
      </c>
      <c r="C558" s="12" t="s">
        <v>3381</v>
      </c>
      <c r="D558" s="12" t="s">
        <v>2869</v>
      </c>
      <c r="E558" s="12" t="str">
        <f t="shared" si="16"/>
        <v>95</v>
      </c>
      <c r="F558" s="14">
        <v>23670</v>
      </c>
      <c r="G558" s="67" t="s">
        <v>5611</v>
      </c>
      <c r="H558" s="14" t="s">
        <v>5601</v>
      </c>
      <c r="I558" s="14" t="s">
        <v>2458</v>
      </c>
      <c r="J558" s="33" t="s">
        <v>7110</v>
      </c>
      <c r="K558" s="68">
        <v>0</v>
      </c>
      <c r="L558" s="68">
        <v>0</v>
      </c>
      <c r="M558" s="68" t="s">
        <v>8915</v>
      </c>
      <c r="N558" s="68">
        <v>0</v>
      </c>
      <c r="O558" s="68">
        <v>0</v>
      </c>
      <c r="P558" s="198" t="s">
        <v>5612</v>
      </c>
    </row>
    <row r="559" spans="1:16" ht="18.75" hidden="1">
      <c r="A559" s="13" t="s">
        <v>3363</v>
      </c>
      <c r="B559" s="12" t="s">
        <v>3323</v>
      </c>
      <c r="C559" s="12" t="s">
        <v>3053</v>
      </c>
      <c r="D559" s="12" t="s">
        <v>2612</v>
      </c>
      <c r="E559" s="12" t="str">
        <f t="shared" si="16"/>
        <v>95</v>
      </c>
      <c r="F559" s="14">
        <v>20575</v>
      </c>
      <c r="G559" s="67" t="s">
        <v>5607</v>
      </c>
      <c r="H559" s="14" t="s">
        <v>5601</v>
      </c>
      <c r="I559" s="14" t="s">
        <v>2458</v>
      </c>
      <c r="J559" s="33" t="s">
        <v>7110</v>
      </c>
      <c r="K559" s="68">
        <v>0</v>
      </c>
      <c r="L559" s="68">
        <v>0</v>
      </c>
      <c r="M559" s="68" t="s">
        <v>8915</v>
      </c>
      <c r="N559" s="68">
        <v>0</v>
      </c>
      <c r="O559" s="68">
        <v>0</v>
      </c>
      <c r="P559" s="198" t="s">
        <v>5608</v>
      </c>
    </row>
    <row r="560" spans="1:16" ht="18.75" hidden="1">
      <c r="A560" s="13" t="s">
        <v>3369</v>
      </c>
      <c r="B560" s="12" t="s">
        <v>3322</v>
      </c>
      <c r="C560" s="12" t="s">
        <v>3382</v>
      </c>
      <c r="D560" s="12" t="s">
        <v>2754</v>
      </c>
      <c r="E560" s="12" t="str">
        <f t="shared" si="16"/>
        <v>95</v>
      </c>
      <c r="F560" s="14">
        <v>49750</v>
      </c>
      <c r="G560" s="67" t="s">
        <v>5607</v>
      </c>
      <c r="H560" s="14" t="s">
        <v>5601</v>
      </c>
      <c r="I560" s="14" t="s">
        <v>2458</v>
      </c>
      <c r="J560" s="33" t="s">
        <v>7110</v>
      </c>
      <c r="K560" s="68">
        <v>0</v>
      </c>
      <c r="L560" s="68">
        <v>0</v>
      </c>
      <c r="M560" s="68" t="s">
        <v>8915</v>
      </c>
      <c r="N560" s="68">
        <v>0</v>
      </c>
      <c r="O560" s="68">
        <v>0</v>
      </c>
      <c r="P560" s="198" t="s">
        <v>5608</v>
      </c>
    </row>
    <row r="561" spans="1:16" ht="18.75" hidden="1">
      <c r="A561" s="13" t="s">
        <v>3370</v>
      </c>
      <c r="B561" s="12" t="s">
        <v>3325</v>
      </c>
      <c r="C561" s="12" t="s">
        <v>3382</v>
      </c>
      <c r="D561" s="12" t="s">
        <v>2754</v>
      </c>
      <c r="E561" s="12" t="str">
        <f t="shared" si="16"/>
        <v>95</v>
      </c>
      <c r="F561" s="14">
        <v>99210</v>
      </c>
      <c r="G561" s="67" t="s">
        <v>5607</v>
      </c>
      <c r="H561" s="14" t="s">
        <v>5601</v>
      </c>
      <c r="I561" s="14" t="s">
        <v>2458</v>
      </c>
      <c r="J561" s="33" t="s">
        <v>7110</v>
      </c>
      <c r="K561" s="68">
        <v>0</v>
      </c>
      <c r="L561" s="68">
        <v>0</v>
      </c>
      <c r="M561" s="68" t="s">
        <v>8915</v>
      </c>
      <c r="N561" s="68">
        <v>0</v>
      </c>
      <c r="O561" s="68">
        <v>0</v>
      </c>
      <c r="P561" s="198" t="s">
        <v>5608</v>
      </c>
    </row>
    <row r="562" spans="1:16" ht="18.75" hidden="1">
      <c r="A562" s="13" t="s">
        <v>3359</v>
      </c>
      <c r="B562" s="12" t="s">
        <v>3374</v>
      </c>
      <c r="C562" s="12" t="s">
        <v>3384</v>
      </c>
      <c r="D562" s="12" t="s">
        <v>3041</v>
      </c>
      <c r="E562" s="12" t="str">
        <f t="shared" si="16"/>
        <v>95</v>
      </c>
      <c r="F562" s="14">
        <v>110025</v>
      </c>
      <c r="G562" s="67" t="s">
        <v>5611</v>
      </c>
      <c r="H562" s="14" t="s">
        <v>5601</v>
      </c>
      <c r="I562" s="14" t="s">
        <v>2458</v>
      </c>
      <c r="J562" s="33" t="s">
        <v>7110</v>
      </c>
      <c r="K562" s="68">
        <v>0</v>
      </c>
      <c r="L562" s="68">
        <v>0</v>
      </c>
      <c r="M562" s="68" t="s">
        <v>8915</v>
      </c>
      <c r="N562" s="68">
        <v>0</v>
      </c>
      <c r="O562" s="68">
        <v>0</v>
      </c>
      <c r="P562" s="198" t="s">
        <v>5619</v>
      </c>
    </row>
    <row r="563" spans="1:16" ht="18.75" hidden="1">
      <c r="A563" s="13" t="s">
        <v>3361</v>
      </c>
      <c r="B563" s="12" t="s">
        <v>3326</v>
      </c>
      <c r="C563" s="12" t="s">
        <v>3385</v>
      </c>
      <c r="D563" s="12" t="s">
        <v>3320</v>
      </c>
      <c r="E563" s="12" t="str">
        <f t="shared" si="16"/>
        <v>95</v>
      </c>
      <c r="F563" s="14">
        <v>48620</v>
      </c>
      <c r="G563" s="67" t="s">
        <v>5604</v>
      </c>
      <c r="H563" s="14" t="s">
        <v>5601</v>
      </c>
      <c r="I563" s="14" t="s">
        <v>2458</v>
      </c>
      <c r="J563" s="33" t="s">
        <v>7110</v>
      </c>
      <c r="K563" s="68">
        <v>0</v>
      </c>
      <c r="L563" s="68">
        <v>0</v>
      </c>
      <c r="M563" s="68" t="s">
        <v>8915</v>
      </c>
      <c r="N563" s="68">
        <v>0</v>
      </c>
      <c r="O563" s="68">
        <v>0</v>
      </c>
      <c r="P563" s="198" t="s">
        <v>5618</v>
      </c>
    </row>
    <row r="564" spans="1:16" ht="18.75" hidden="1">
      <c r="A564" s="13" t="s">
        <v>3360</v>
      </c>
      <c r="B564" s="12" t="s">
        <v>3375</v>
      </c>
      <c r="C564" s="12" t="s">
        <v>3385</v>
      </c>
      <c r="D564" s="12" t="s">
        <v>3320</v>
      </c>
      <c r="E564" s="12" t="str">
        <f t="shared" si="16"/>
        <v>95</v>
      </c>
      <c r="F564" s="14">
        <v>46710</v>
      </c>
      <c r="G564" s="67" t="s">
        <v>5604</v>
      </c>
      <c r="H564" s="14" t="s">
        <v>5601</v>
      </c>
      <c r="I564" s="14" t="s">
        <v>2458</v>
      </c>
      <c r="J564" s="33" t="s">
        <v>7110</v>
      </c>
      <c r="K564" s="68">
        <v>0</v>
      </c>
      <c r="L564" s="68">
        <v>0</v>
      </c>
      <c r="M564" s="68" t="s">
        <v>8915</v>
      </c>
      <c r="N564" s="68">
        <v>0</v>
      </c>
      <c r="O564" s="68">
        <v>0</v>
      </c>
      <c r="P564" s="198" t="s">
        <v>5618</v>
      </c>
    </row>
    <row r="565" spans="1:16" ht="18.75" hidden="1">
      <c r="A565" s="13" t="s">
        <v>3371</v>
      </c>
      <c r="B565" s="12" t="s">
        <v>3379</v>
      </c>
      <c r="C565" s="12" t="s">
        <v>3384</v>
      </c>
      <c r="D565" s="12" t="s">
        <v>3041</v>
      </c>
      <c r="E565" s="12" t="str">
        <f t="shared" si="16"/>
        <v>95</v>
      </c>
      <c r="F565" s="14">
        <v>24930</v>
      </c>
      <c r="G565" s="67" t="s">
        <v>5611</v>
      </c>
      <c r="H565" s="14" t="s">
        <v>5601</v>
      </c>
      <c r="I565" s="14" t="s">
        <v>2458</v>
      </c>
      <c r="J565" s="33" t="s">
        <v>7110</v>
      </c>
      <c r="K565" s="68">
        <v>0</v>
      </c>
      <c r="L565" s="68">
        <v>0</v>
      </c>
      <c r="M565" s="68" t="s">
        <v>8915</v>
      </c>
      <c r="N565" s="68">
        <v>0</v>
      </c>
      <c r="O565" s="68">
        <v>0</v>
      </c>
      <c r="P565" s="198" t="s">
        <v>5619</v>
      </c>
    </row>
    <row r="566" spans="1:16" ht="18.75" hidden="1">
      <c r="A566" s="13" t="s">
        <v>3372</v>
      </c>
      <c r="B566" s="12" t="s">
        <v>3380</v>
      </c>
      <c r="C566" s="12" t="s">
        <v>3384</v>
      </c>
      <c r="D566" s="12" t="s">
        <v>3041</v>
      </c>
      <c r="E566" s="12" t="str">
        <f t="shared" ref="E566:E573" si="17">MID(D566,1,2)</f>
        <v>95</v>
      </c>
      <c r="F566" s="14">
        <v>25640</v>
      </c>
      <c r="G566" s="67" t="s">
        <v>5611</v>
      </c>
      <c r="H566" s="14" t="s">
        <v>5601</v>
      </c>
      <c r="I566" s="14" t="s">
        <v>2458</v>
      </c>
      <c r="J566" s="33" t="s">
        <v>7110</v>
      </c>
      <c r="K566" s="68">
        <v>0</v>
      </c>
      <c r="L566" s="68">
        <v>0</v>
      </c>
      <c r="M566" s="68" t="s">
        <v>8915</v>
      </c>
      <c r="N566" s="68">
        <v>0</v>
      </c>
      <c r="O566" s="68">
        <v>0</v>
      </c>
      <c r="P566" s="198" t="s">
        <v>5619</v>
      </c>
    </row>
    <row r="567" spans="1:16" ht="18.75" hidden="1">
      <c r="A567" s="13" t="s">
        <v>3365</v>
      </c>
      <c r="B567" s="12" t="s">
        <v>3377</v>
      </c>
      <c r="C567" s="12" t="s">
        <v>3385</v>
      </c>
      <c r="D567" s="12" t="s">
        <v>3320</v>
      </c>
      <c r="E567" s="12" t="str">
        <f t="shared" si="17"/>
        <v>95</v>
      </c>
      <c r="F567" s="14">
        <v>48630</v>
      </c>
      <c r="G567" s="67" t="s">
        <v>5604</v>
      </c>
      <c r="H567" s="14" t="s">
        <v>5601</v>
      </c>
      <c r="I567" s="14" t="s">
        <v>2458</v>
      </c>
      <c r="J567" s="33" t="s">
        <v>7110</v>
      </c>
      <c r="K567" s="68">
        <v>0</v>
      </c>
      <c r="L567" s="68">
        <v>0</v>
      </c>
      <c r="M567" s="68" t="s">
        <v>8915</v>
      </c>
      <c r="N567" s="68">
        <v>0</v>
      </c>
      <c r="O567" s="68">
        <v>0</v>
      </c>
      <c r="P567" s="198" t="s">
        <v>5618</v>
      </c>
    </row>
    <row r="568" spans="1:16" ht="18.75" hidden="1">
      <c r="A568" s="13" t="s">
        <v>3366</v>
      </c>
      <c r="B568" s="12" t="s">
        <v>3378</v>
      </c>
      <c r="C568" s="12" t="s">
        <v>3384</v>
      </c>
      <c r="D568" s="12" t="s">
        <v>3041</v>
      </c>
      <c r="E568" s="12" t="str">
        <f t="shared" si="17"/>
        <v>95</v>
      </c>
      <c r="F568" s="14">
        <v>22985</v>
      </c>
      <c r="G568" s="67" t="s">
        <v>5611</v>
      </c>
      <c r="H568" s="14" t="s">
        <v>5601</v>
      </c>
      <c r="I568" s="14" t="s">
        <v>2458</v>
      </c>
      <c r="J568" s="33" t="s">
        <v>7110</v>
      </c>
      <c r="K568" s="68">
        <v>0</v>
      </c>
      <c r="L568" s="68">
        <v>0</v>
      </c>
      <c r="M568" s="68" t="s">
        <v>8915</v>
      </c>
      <c r="N568" s="68">
        <v>0</v>
      </c>
      <c r="O568" s="68">
        <v>0</v>
      </c>
      <c r="P568" s="198" t="s">
        <v>5619</v>
      </c>
    </row>
    <row r="569" spans="1:16" ht="18.75" hidden="1">
      <c r="A569" s="13" t="s">
        <v>3368</v>
      </c>
      <c r="B569" s="12" t="s">
        <v>3373</v>
      </c>
      <c r="C569" s="12" t="s">
        <v>3385</v>
      </c>
      <c r="D569" s="12" t="s">
        <v>3320</v>
      </c>
      <c r="E569" s="12" t="str">
        <f t="shared" si="17"/>
        <v>95</v>
      </c>
      <c r="F569" s="14">
        <v>22085</v>
      </c>
      <c r="G569" s="67" t="s">
        <v>5604</v>
      </c>
      <c r="H569" s="14" t="s">
        <v>5601</v>
      </c>
      <c r="I569" s="14" t="s">
        <v>2458</v>
      </c>
      <c r="J569" s="33" t="s">
        <v>7110</v>
      </c>
      <c r="K569" s="68">
        <v>0</v>
      </c>
      <c r="L569" s="68">
        <v>0</v>
      </c>
      <c r="M569" s="68" t="s">
        <v>8915</v>
      </c>
      <c r="N569" s="68">
        <v>0</v>
      </c>
      <c r="O569" s="68">
        <v>0</v>
      </c>
      <c r="P569" s="198" t="s">
        <v>5618</v>
      </c>
    </row>
    <row r="570" spans="1:16" ht="18.75" hidden="1">
      <c r="A570" s="13">
        <v>719837</v>
      </c>
      <c r="B570" s="12" t="s">
        <v>2867</v>
      </c>
      <c r="C570" s="12" t="s">
        <v>3386</v>
      </c>
      <c r="D570" s="12" t="s">
        <v>3274</v>
      </c>
      <c r="E570" s="12" t="str">
        <f t="shared" si="17"/>
        <v>95</v>
      </c>
      <c r="F570" s="14">
        <v>254144</v>
      </c>
      <c r="G570" s="67" t="s">
        <v>5624</v>
      </c>
      <c r="H570" s="14" t="s">
        <v>5602</v>
      </c>
      <c r="I570" s="14" t="s">
        <v>2867</v>
      </c>
      <c r="J570" s="33" t="s">
        <v>7110</v>
      </c>
      <c r="K570" s="68">
        <v>0</v>
      </c>
      <c r="L570" s="68">
        <v>0</v>
      </c>
      <c r="M570" s="68" t="s">
        <v>8915</v>
      </c>
      <c r="N570" s="68">
        <v>0</v>
      </c>
      <c r="O570" s="68">
        <v>0</v>
      </c>
      <c r="P570" s="198" t="s">
        <v>5625</v>
      </c>
    </row>
    <row r="571" spans="1:16" ht="18.75" hidden="1">
      <c r="A571" s="13">
        <v>719837</v>
      </c>
      <c r="B571" s="12" t="s">
        <v>2867</v>
      </c>
      <c r="C571" s="12" t="s">
        <v>3387</v>
      </c>
      <c r="D571" s="12" t="s">
        <v>3274</v>
      </c>
      <c r="E571" s="12" t="str">
        <f t="shared" si="17"/>
        <v>95</v>
      </c>
      <c r="F571" s="14">
        <v>275780</v>
      </c>
      <c r="G571" s="67" t="s">
        <v>5624</v>
      </c>
      <c r="H571" s="14" t="s">
        <v>5602</v>
      </c>
      <c r="I571" s="14" t="s">
        <v>2867</v>
      </c>
      <c r="J571" s="33" t="s">
        <v>7110</v>
      </c>
      <c r="K571" s="68">
        <v>0</v>
      </c>
      <c r="L571" s="68">
        <v>0</v>
      </c>
      <c r="M571" s="68" t="s">
        <v>8915</v>
      </c>
      <c r="N571" s="68">
        <v>0</v>
      </c>
      <c r="O571" s="68">
        <v>0</v>
      </c>
      <c r="P571" s="198" t="s">
        <v>5625</v>
      </c>
    </row>
    <row r="572" spans="1:16" ht="18.75" hidden="1">
      <c r="A572" s="13" t="str">
        <f>"50100-7162323"</f>
        <v>50100-7162323</v>
      </c>
      <c r="B572" s="12" t="str">
        <f>"95/01/24"</f>
        <v>95/01/24</v>
      </c>
      <c r="C572" s="12" t="s">
        <v>3388</v>
      </c>
      <c r="D572" s="12" t="str">
        <f>"95/01/23"</f>
        <v>95/01/23</v>
      </c>
      <c r="E572" s="12" t="str">
        <f t="shared" si="17"/>
        <v>95</v>
      </c>
      <c r="F572" s="14">
        <v>1013855</v>
      </c>
      <c r="G572" s="67" t="s">
        <v>5604</v>
      </c>
      <c r="H572" s="14" t="s">
        <v>5601</v>
      </c>
      <c r="I572" s="14" t="s">
        <v>2458</v>
      </c>
      <c r="J572" s="33" t="s">
        <v>7110</v>
      </c>
      <c r="K572" s="68">
        <v>0</v>
      </c>
      <c r="L572" s="68">
        <v>0</v>
      </c>
      <c r="M572" s="68" t="s">
        <v>8915</v>
      </c>
      <c r="N572" s="68">
        <v>0</v>
      </c>
      <c r="O572" s="68">
        <v>0</v>
      </c>
      <c r="P572" s="198" t="s">
        <v>5615</v>
      </c>
    </row>
    <row r="573" spans="1:16" ht="18.75" hidden="1">
      <c r="A573" s="13" t="s">
        <v>3390</v>
      </c>
      <c r="B573" s="12" t="s">
        <v>3397</v>
      </c>
      <c r="C573" s="12" t="s">
        <v>3347</v>
      </c>
      <c r="D573" s="12" t="s">
        <v>2853</v>
      </c>
      <c r="E573" s="12" t="str">
        <f t="shared" si="17"/>
        <v>95</v>
      </c>
      <c r="F573" s="20">
        <v>360260</v>
      </c>
      <c r="G573" s="67" t="s">
        <v>5604</v>
      </c>
      <c r="H573" s="14" t="s">
        <v>5601</v>
      </c>
      <c r="I573" s="14" t="s">
        <v>2458</v>
      </c>
      <c r="J573" s="33" t="s">
        <v>7110</v>
      </c>
      <c r="K573" s="68">
        <v>0</v>
      </c>
      <c r="L573" s="68">
        <v>0</v>
      </c>
      <c r="M573" s="68" t="s">
        <v>8915</v>
      </c>
      <c r="N573" s="68">
        <v>0</v>
      </c>
      <c r="O573" s="68">
        <v>0</v>
      </c>
      <c r="P573" s="198" t="s">
        <v>5618</v>
      </c>
    </row>
    <row r="574" spans="1:16" ht="18.75" hidden="1">
      <c r="A574" s="13" t="str">
        <f>"50100-7654629"</f>
        <v>50100-7654629</v>
      </c>
      <c r="B574" s="12" t="str">
        <f>"95/05/27"</f>
        <v>95/05/27</v>
      </c>
      <c r="C574" s="12" t="s">
        <v>3181</v>
      </c>
      <c r="D574" s="12" t="str">
        <f>"95/01/25"</f>
        <v>95/01/25</v>
      </c>
      <c r="E574" s="12" t="s">
        <v>3420</v>
      </c>
      <c r="F574" s="20">
        <v>133057</v>
      </c>
      <c r="G574" s="67" t="s">
        <v>5611</v>
      </c>
      <c r="H574" s="14" t="s">
        <v>5601</v>
      </c>
      <c r="I574" s="14" t="s">
        <v>2458</v>
      </c>
      <c r="J574" s="33" t="s">
        <v>7110</v>
      </c>
      <c r="K574" s="68">
        <v>0</v>
      </c>
      <c r="L574" s="68">
        <v>0</v>
      </c>
      <c r="M574" s="68" t="s">
        <v>8915</v>
      </c>
      <c r="N574" s="68">
        <v>0</v>
      </c>
      <c r="O574" s="68">
        <v>0</v>
      </c>
      <c r="P574" s="198" t="s">
        <v>5612</v>
      </c>
    </row>
    <row r="575" spans="1:16" ht="18.75" hidden="1">
      <c r="A575" s="13" t="str">
        <f>"50100-7654629"</f>
        <v>50100-7654629</v>
      </c>
      <c r="B575" s="12" t="str">
        <f>"95/05/27"</f>
        <v>95/05/27</v>
      </c>
      <c r="C575" s="12" t="s">
        <v>3401</v>
      </c>
      <c r="D575" s="12" t="str">
        <f>"95/02/20"</f>
        <v>95/02/20</v>
      </c>
      <c r="E575" s="12" t="s">
        <v>3420</v>
      </c>
      <c r="F575" s="20">
        <v>481155</v>
      </c>
      <c r="G575" s="67" t="s">
        <v>5609</v>
      </c>
      <c r="H575" s="14" t="s">
        <v>5601</v>
      </c>
      <c r="I575" s="14" t="s">
        <v>2458</v>
      </c>
      <c r="J575" s="33" t="s">
        <v>7110</v>
      </c>
      <c r="K575" s="68">
        <v>0</v>
      </c>
      <c r="L575" s="68">
        <v>0</v>
      </c>
      <c r="M575" s="68" t="s">
        <v>8915</v>
      </c>
      <c r="N575" s="68">
        <v>0</v>
      </c>
      <c r="O575" s="68">
        <v>0</v>
      </c>
      <c r="P575" s="198" t="s">
        <v>5614</v>
      </c>
    </row>
    <row r="576" spans="1:16" ht="18.75" hidden="1">
      <c r="A576" s="13" t="str">
        <f>"50100-7615780"</f>
        <v>50100-7615780</v>
      </c>
      <c r="B576" s="12" t="str">
        <f>"95/05/17"</f>
        <v>95/05/17</v>
      </c>
      <c r="C576" s="12" t="s">
        <v>3329</v>
      </c>
      <c r="D576" s="12" t="str">
        <f>"95/03/08"</f>
        <v>95/03/08</v>
      </c>
      <c r="E576" s="12" t="s">
        <v>3420</v>
      </c>
      <c r="F576" s="20">
        <v>494960</v>
      </c>
      <c r="G576" s="67" t="s">
        <v>5611</v>
      </c>
      <c r="H576" s="14" t="s">
        <v>5601</v>
      </c>
      <c r="I576" s="14" t="s">
        <v>2458</v>
      </c>
      <c r="J576" s="33" t="s">
        <v>7110</v>
      </c>
      <c r="K576" s="68">
        <v>0</v>
      </c>
      <c r="L576" s="68">
        <v>0</v>
      </c>
      <c r="M576" s="68" t="s">
        <v>8915</v>
      </c>
      <c r="N576" s="68">
        <v>0</v>
      </c>
      <c r="O576" s="68">
        <v>0</v>
      </c>
      <c r="P576" s="198" t="s">
        <v>5619</v>
      </c>
    </row>
    <row r="577" spans="1:16" ht="18.75" hidden="1">
      <c r="A577" s="13" t="str">
        <f>"50100-7654629"</f>
        <v>50100-7654629</v>
      </c>
      <c r="B577" s="12" t="str">
        <f>"95/05/27"</f>
        <v>95/05/27</v>
      </c>
      <c r="C577" s="12" t="s">
        <v>3343</v>
      </c>
      <c r="D577" s="12" t="str">
        <f>"95/01/28"</f>
        <v>95/01/28</v>
      </c>
      <c r="E577" s="12" t="s">
        <v>3420</v>
      </c>
      <c r="F577" s="20">
        <v>378538</v>
      </c>
      <c r="G577" s="67" t="s">
        <v>5609</v>
      </c>
      <c r="H577" s="14" t="s">
        <v>5601</v>
      </c>
      <c r="I577" s="14" t="s">
        <v>2458</v>
      </c>
      <c r="J577" s="33" t="s">
        <v>7110</v>
      </c>
      <c r="K577" s="68">
        <v>0</v>
      </c>
      <c r="L577" s="68">
        <v>0</v>
      </c>
      <c r="M577" s="68" t="s">
        <v>8915</v>
      </c>
      <c r="N577" s="68">
        <v>0</v>
      </c>
      <c r="O577" s="68">
        <v>0</v>
      </c>
      <c r="P577" s="198" t="s">
        <v>5614</v>
      </c>
    </row>
    <row r="578" spans="1:16" ht="18.75" hidden="1">
      <c r="A578" s="13" t="str">
        <f>"50100-7657211"</f>
        <v>50100-7657211</v>
      </c>
      <c r="B578" s="12" t="str">
        <f>"95/05/27"</f>
        <v>95/05/27</v>
      </c>
      <c r="C578" s="12" t="s">
        <v>3402</v>
      </c>
      <c r="D578" s="12" t="str">
        <f>"95/03/16"</f>
        <v>95/03/16</v>
      </c>
      <c r="E578" s="12" t="s">
        <v>3420</v>
      </c>
      <c r="F578" s="20">
        <v>73833</v>
      </c>
      <c r="G578" s="67" t="s">
        <v>5607</v>
      </c>
      <c r="H578" s="14" t="s">
        <v>5601</v>
      </c>
      <c r="I578" s="14" t="s">
        <v>2458</v>
      </c>
      <c r="J578" s="33" t="s">
        <v>7110</v>
      </c>
      <c r="K578" s="68">
        <v>0</v>
      </c>
      <c r="L578" s="68">
        <v>0</v>
      </c>
      <c r="M578" s="68" t="s">
        <v>8915</v>
      </c>
      <c r="N578" s="68">
        <v>0</v>
      </c>
      <c r="O578" s="68">
        <v>0</v>
      </c>
      <c r="P578" s="198" t="s">
        <v>5622</v>
      </c>
    </row>
    <row r="579" spans="1:16" ht="18.75" hidden="1">
      <c r="A579" s="13" t="str">
        <f>"50100-7657211"</f>
        <v>50100-7657211</v>
      </c>
      <c r="B579" s="12" t="str">
        <f>"95/05/27"</f>
        <v>95/05/27</v>
      </c>
      <c r="C579" s="12" t="s">
        <v>3403</v>
      </c>
      <c r="D579" s="12" t="str">
        <f>"95/03/16"</f>
        <v>95/03/16</v>
      </c>
      <c r="E579" s="12" t="s">
        <v>3420</v>
      </c>
      <c r="F579" s="20">
        <v>600000</v>
      </c>
      <c r="G579" s="67" t="s">
        <v>5607</v>
      </c>
      <c r="H579" s="14" t="s">
        <v>5601</v>
      </c>
      <c r="I579" s="14" t="s">
        <v>2458</v>
      </c>
      <c r="J579" s="33" t="s">
        <v>7110</v>
      </c>
      <c r="K579" s="68">
        <v>0</v>
      </c>
      <c r="L579" s="68">
        <v>0</v>
      </c>
      <c r="M579" s="68" t="s">
        <v>8915</v>
      </c>
      <c r="N579" s="68">
        <v>0</v>
      </c>
      <c r="O579" s="68">
        <v>0</v>
      </c>
      <c r="P579" s="198" t="s">
        <v>5622</v>
      </c>
    </row>
    <row r="580" spans="1:16" ht="18.75" hidden="1">
      <c r="A580" s="13" t="str">
        <f>"50100-7617951"</f>
        <v>50100-7617951</v>
      </c>
      <c r="B580" s="12" t="str">
        <f>"95/05/18"</f>
        <v>95/05/18</v>
      </c>
      <c r="C580" s="12" t="s">
        <v>3336</v>
      </c>
      <c r="D580" s="12" t="str">
        <f>"95/04/20"</f>
        <v>95/04/20</v>
      </c>
      <c r="E580" s="12" t="s">
        <v>3420</v>
      </c>
      <c r="F580" s="20">
        <v>191923</v>
      </c>
      <c r="G580" s="67" t="s">
        <v>5604</v>
      </c>
      <c r="H580" s="14" t="s">
        <v>5601</v>
      </c>
      <c r="I580" s="14" t="s">
        <v>2458</v>
      </c>
      <c r="J580" s="33" t="s">
        <v>7110</v>
      </c>
      <c r="K580" s="68">
        <v>0</v>
      </c>
      <c r="L580" s="68">
        <v>0</v>
      </c>
      <c r="M580" s="68" t="s">
        <v>8915</v>
      </c>
      <c r="N580" s="68">
        <v>0</v>
      </c>
      <c r="O580" s="68">
        <v>0</v>
      </c>
      <c r="P580" s="198" t="s">
        <v>5618</v>
      </c>
    </row>
    <row r="581" spans="1:16" ht="18.75" hidden="1">
      <c r="A581" s="13" t="str">
        <f>"50100-7617951"</f>
        <v>50100-7617951</v>
      </c>
      <c r="B581" s="12" t="str">
        <f>"95/05/18"</f>
        <v>95/05/18</v>
      </c>
      <c r="C581" s="12" t="s">
        <v>3404</v>
      </c>
      <c r="D581" s="12" t="str">
        <f>"95/05/03"</f>
        <v>95/05/03</v>
      </c>
      <c r="E581" s="12" t="s">
        <v>3420</v>
      </c>
      <c r="F581" s="20">
        <v>166898</v>
      </c>
      <c r="G581" s="67" t="s">
        <v>5604</v>
      </c>
      <c r="H581" s="14" t="s">
        <v>5601</v>
      </c>
      <c r="I581" s="14" t="s">
        <v>2458</v>
      </c>
      <c r="J581" s="33" t="s">
        <v>7110</v>
      </c>
      <c r="K581" s="68">
        <v>0</v>
      </c>
      <c r="L581" s="68">
        <v>0</v>
      </c>
      <c r="M581" s="68" t="s">
        <v>8915</v>
      </c>
      <c r="N581" s="68">
        <v>0</v>
      </c>
      <c r="O581" s="68">
        <v>0</v>
      </c>
      <c r="P581" s="198" t="s">
        <v>5618</v>
      </c>
    </row>
    <row r="582" spans="1:16" ht="18.75" hidden="1">
      <c r="A582" s="13" t="str">
        <f>"50100-7657211"</f>
        <v>50100-7657211</v>
      </c>
      <c r="B582" s="12" t="str">
        <f>"95/05/27"</f>
        <v>95/05/27</v>
      </c>
      <c r="C582" s="12" t="s">
        <v>3405</v>
      </c>
      <c r="D582" s="12" t="str">
        <f>"95/03/16"</f>
        <v>95/03/16</v>
      </c>
      <c r="E582" s="12" t="s">
        <v>3420</v>
      </c>
      <c r="F582" s="20">
        <v>300000</v>
      </c>
      <c r="G582" s="67" t="s">
        <v>5607</v>
      </c>
      <c r="H582" s="14" t="s">
        <v>5601</v>
      </c>
      <c r="I582" s="14" t="s">
        <v>2458</v>
      </c>
      <c r="J582" s="33" t="s">
        <v>7110</v>
      </c>
      <c r="K582" s="68">
        <v>0</v>
      </c>
      <c r="L582" s="68">
        <v>0</v>
      </c>
      <c r="M582" s="68" t="s">
        <v>8915</v>
      </c>
      <c r="N582" s="68">
        <v>0</v>
      </c>
      <c r="O582" s="68">
        <v>0</v>
      </c>
      <c r="P582" s="198" t="s">
        <v>5622</v>
      </c>
    </row>
    <row r="583" spans="1:16" ht="18.75" hidden="1">
      <c r="A583" s="13" t="str">
        <f>"50100-7617951"</f>
        <v>50100-7617951</v>
      </c>
      <c r="B583" s="12" t="str">
        <f>"95/05/18"</f>
        <v>95/05/18</v>
      </c>
      <c r="C583" s="12" t="s">
        <v>3406</v>
      </c>
      <c r="D583" s="12" t="str">
        <f>"95/05/03"</f>
        <v>95/05/03</v>
      </c>
      <c r="E583" s="12" t="s">
        <v>3420</v>
      </c>
      <c r="F583" s="20">
        <v>621939</v>
      </c>
      <c r="G583" s="67" t="s">
        <v>5604</v>
      </c>
      <c r="H583" s="14" t="s">
        <v>5601</v>
      </c>
      <c r="I583" s="14" t="s">
        <v>2458</v>
      </c>
      <c r="J583" s="33" t="s">
        <v>7110</v>
      </c>
      <c r="K583" s="68">
        <v>0</v>
      </c>
      <c r="L583" s="68">
        <v>0</v>
      </c>
      <c r="M583" s="68" t="s">
        <v>8915</v>
      </c>
      <c r="N583" s="68">
        <v>0</v>
      </c>
      <c r="O583" s="68">
        <v>0</v>
      </c>
      <c r="P583" s="198" t="s">
        <v>5618</v>
      </c>
    </row>
    <row r="584" spans="1:16" ht="18.75" hidden="1">
      <c r="A584" s="13" t="str">
        <f>"50100-7634592"</f>
        <v>50100-7634592</v>
      </c>
      <c r="B584" s="12" t="str">
        <f>"95/05/21"</f>
        <v>95/05/21</v>
      </c>
      <c r="C584" s="12" t="s">
        <v>3407</v>
      </c>
      <c r="D584" s="12" t="str">
        <f>"95/05/13"</f>
        <v>95/05/13</v>
      </c>
      <c r="E584" s="12" t="s">
        <v>3420</v>
      </c>
      <c r="F584" s="20">
        <v>982663</v>
      </c>
      <c r="G584" s="67" t="s">
        <v>5604</v>
      </c>
      <c r="H584" s="14" t="s">
        <v>5601</v>
      </c>
      <c r="I584" s="14" t="s">
        <v>2458</v>
      </c>
      <c r="J584" s="33" t="s">
        <v>7110</v>
      </c>
      <c r="K584" s="68">
        <v>0</v>
      </c>
      <c r="L584" s="68">
        <v>0</v>
      </c>
      <c r="M584" s="68" t="s">
        <v>8915</v>
      </c>
      <c r="N584" s="68">
        <v>0</v>
      </c>
      <c r="O584" s="68">
        <v>0</v>
      </c>
      <c r="P584" s="198" t="s">
        <v>5618</v>
      </c>
    </row>
    <row r="585" spans="1:16" ht="18.75" hidden="1">
      <c r="A585" s="13" t="str">
        <f>"50100-7625891"</f>
        <v>50100-7625891</v>
      </c>
      <c r="B585" s="12" t="str">
        <f>"95/05/19"</f>
        <v>95/05/19</v>
      </c>
      <c r="C585" s="12" t="s">
        <v>3339</v>
      </c>
      <c r="D585" s="12" t="str">
        <f>"95/03/16"</f>
        <v>95/03/16</v>
      </c>
      <c r="E585" s="12" t="s">
        <v>3420</v>
      </c>
      <c r="F585" s="20">
        <v>232006</v>
      </c>
      <c r="G585" s="67" t="s">
        <v>5607</v>
      </c>
      <c r="H585" s="14" t="s">
        <v>5601</v>
      </c>
      <c r="I585" s="14" t="s">
        <v>2458</v>
      </c>
      <c r="J585" s="33" t="s">
        <v>7110</v>
      </c>
      <c r="K585" s="68">
        <v>0</v>
      </c>
      <c r="L585" s="68">
        <v>0</v>
      </c>
      <c r="M585" s="68" t="s">
        <v>8915</v>
      </c>
      <c r="N585" s="68">
        <v>0</v>
      </c>
      <c r="O585" s="68">
        <v>0</v>
      </c>
      <c r="P585" s="198" t="s">
        <v>5622</v>
      </c>
    </row>
    <row r="586" spans="1:16" ht="18.75" hidden="1">
      <c r="A586" s="13" t="str">
        <f>"50100-7657952"</f>
        <v>50100-7657952</v>
      </c>
      <c r="B586" s="12" t="str">
        <f>"95/05/27"</f>
        <v>95/05/27</v>
      </c>
      <c r="C586" s="12" t="s">
        <v>3118</v>
      </c>
      <c r="D586" s="12" t="str">
        <f>"95/01/24"</f>
        <v>95/01/24</v>
      </c>
      <c r="E586" s="12" t="s">
        <v>3420</v>
      </c>
      <c r="F586" s="20">
        <v>60160</v>
      </c>
      <c r="G586" s="67" t="s">
        <v>5609</v>
      </c>
      <c r="H586" s="14" t="s">
        <v>5601</v>
      </c>
      <c r="I586" s="14" t="s">
        <v>2458</v>
      </c>
      <c r="J586" s="33" t="s">
        <v>7110</v>
      </c>
      <c r="K586" s="68">
        <v>0</v>
      </c>
      <c r="L586" s="68">
        <v>0</v>
      </c>
      <c r="M586" s="68" t="s">
        <v>8915</v>
      </c>
      <c r="N586" s="68">
        <v>0</v>
      </c>
      <c r="O586" s="68">
        <v>0</v>
      </c>
      <c r="P586" s="198" t="s">
        <v>5614</v>
      </c>
    </row>
    <row r="587" spans="1:16" ht="18.75" hidden="1">
      <c r="A587" s="13" t="str">
        <f>"50100-7616628"</f>
        <v>50100-7616628</v>
      </c>
      <c r="B587" s="12" t="str">
        <f>"95/05/18"</f>
        <v>95/05/18</v>
      </c>
      <c r="C587" s="12" t="s">
        <v>3404</v>
      </c>
      <c r="D587" s="12" t="str">
        <f>"95/05/03"</f>
        <v>95/05/03</v>
      </c>
      <c r="E587" s="12" t="s">
        <v>3420</v>
      </c>
      <c r="F587" s="20">
        <v>14102</v>
      </c>
      <c r="G587" s="67" t="s">
        <v>5604</v>
      </c>
      <c r="H587" s="14" t="s">
        <v>5601</v>
      </c>
      <c r="I587" s="14" t="s">
        <v>2458</v>
      </c>
      <c r="J587" s="33" t="s">
        <v>7110</v>
      </c>
      <c r="K587" s="68">
        <v>0</v>
      </c>
      <c r="L587" s="68">
        <v>0</v>
      </c>
      <c r="M587" s="68" t="s">
        <v>8915</v>
      </c>
      <c r="N587" s="68">
        <v>0</v>
      </c>
      <c r="O587" s="68">
        <v>0</v>
      </c>
      <c r="P587" s="198" t="s">
        <v>5618</v>
      </c>
    </row>
    <row r="588" spans="1:16" ht="18.75" hidden="1">
      <c r="A588" s="13" t="str">
        <f>"50100-7645510"</f>
        <v>50100-7645510</v>
      </c>
      <c r="B588" s="12" t="str">
        <f>"95/05/25"</f>
        <v>95/05/25</v>
      </c>
      <c r="C588" s="12" t="s">
        <v>3406</v>
      </c>
      <c r="D588" s="12" t="str">
        <f>"95/05/03"</f>
        <v>95/05/03</v>
      </c>
      <c r="E588" s="12" t="s">
        <v>3420</v>
      </c>
      <c r="F588" s="20">
        <v>196171</v>
      </c>
      <c r="G588" s="67" t="s">
        <v>5604</v>
      </c>
      <c r="H588" s="14" t="s">
        <v>5601</v>
      </c>
      <c r="I588" s="14" t="s">
        <v>2458</v>
      </c>
      <c r="J588" s="33" t="s">
        <v>7110</v>
      </c>
      <c r="K588" s="68">
        <v>0</v>
      </c>
      <c r="L588" s="68">
        <v>0</v>
      </c>
      <c r="M588" s="68" t="s">
        <v>8915</v>
      </c>
      <c r="N588" s="68">
        <v>0</v>
      </c>
      <c r="O588" s="68">
        <v>0</v>
      </c>
      <c r="P588" s="198" t="s">
        <v>5618</v>
      </c>
    </row>
    <row r="589" spans="1:16" ht="18.75" hidden="1">
      <c r="A589" s="13" t="str">
        <f>"50100-7616628"</f>
        <v>50100-7616628</v>
      </c>
      <c r="B589" s="12" t="str">
        <f>"95/05/18"</f>
        <v>95/05/18</v>
      </c>
      <c r="C589" s="12" t="s">
        <v>3409</v>
      </c>
      <c r="D589" s="12" t="str">
        <f>"95/05/02"</f>
        <v>95/05/02</v>
      </c>
      <c r="E589" s="12" t="s">
        <v>3420</v>
      </c>
      <c r="F589" s="20">
        <v>998720</v>
      </c>
      <c r="G589" s="67" t="s">
        <v>5604</v>
      </c>
      <c r="H589" s="14" t="s">
        <v>5601</v>
      </c>
      <c r="I589" s="14" t="s">
        <v>2458</v>
      </c>
      <c r="J589" s="33" t="s">
        <v>7110</v>
      </c>
      <c r="K589" s="68">
        <v>0</v>
      </c>
      <c r="L589" s="68">
        <v>0</v>
      </c>
      <c r="M589" s="68" t="s">
        <v>8915</v>
      </c>
      <c r="N589" s="68">
        <v>0</v>
      </c>
      <c r="O589" s="68">
        <v>0</v>
      </c>
      <c r="P589" s="198" t="s">
        <v>5618</v>
      </c>
    </row>
    <row r="590" spans="1:16" ht="18.75" hidden="1">
      <c r="A590" s="13" t="str">
        <f>"50100-7625891"</f>
        <v>50100-7625891</v>
      </c>
      <c r="B590" s="12" t="str">
        <f>"95/05/19"</f>
        <v>95/05/19</v>
      </c>
      <c r="C590" s="12" t="s">
        <v>3402</v>
      </c>
      <c r="D590" s="12" t="str">
        <f>"95/03/16"</f>
        <v>95/03/16</v>
      </c>
      <c r="E590" s="12" t="s">
        <v>3420</v>
      </c>
      <c r="F590" s="20">
        <v>25629</v>
      </c>
      <c r="G590" s="67" t="s">
        <v>5607</v>
      </c>
      <c r="H590" s="14" t="s">
        <v>5601</v>
      </c>
      <c r="I590" s="14" t="s">
        <v>2458</v>
      </c>
      <c r="J590" s="33" t="s">
        <v>7110</v>
      </c>
      <c r="K590" s="68">
        <v>0</v>
      </c>
      <c r="L590" s="68">
        <v>0</v>
      </c>
      <c r="M590" s="68" t="s">
        <v>8915</v>
      </c>
      <c r="N590" s="68">
        <v>0</v>
      </c>
      <c r="O590" s="68">
        <v>0</v>
      </c>
      <c r="P590" s="198" t="s">
        <v>5622</v>
      </c>
    </row>
    <row r="591" spans="1:16" ht="18.75" hidden="1">
      <c r="A591" s="13" t="str">
        <f>"50100-7633948"</f>
        <v>50100-7633948</v>
      </c>
      <c r="B591" s="12" t="str">
        <f>"95/05/21"</f>
        <v>95/05/21</v>
      </c>
      <c r="C591" s="12" t="s">
        <v>3410</v>
      </c>
      <c r="D591" s="12" t="str">
        <f>"95/01/30"</f>
        <v>95/01/30</v>
      </c>
      <c r="E591" s="12" t="s">
        <v>3420</v>
      </c>
      <c r="F591" s="20">
        <v>900000</v>
      </c>
      <c r="G591" s="67" t="s">
        <v>5607</v>
      </c>
      <c r="H591" s="14" t="s">
        <v>5601</v>
      </c>
      <c r="I591" s="14" t="s">
        <v>2458</v>
      </c>
      <c r="J591" s="33" t="s">
        <v>7110</v>
      </c>
      <c r="K591" s="68">
        <v>0</v>
      </c>
      <c r="L591" s="68">
        <v>0</v>
      </c>
      <c r="M591" s="68" t="s">
        <v>8915</v>
      </c>
      <c r="N591" s="68">
        <v>0</v>
      </c>
      <c r="O591" s="68">
        <v>0</v>
      </c>
      <c r="P591" s="198" t="s">
        <v>5608</v>
      </c>
    </row>
    <row r="592" spans="1:16" ht="18.75" hidden="1">
      <c r="A592" s="13" t="str">
        <f>"50100-7657644"</f>
        <v>50100-7657644</v>
      </c>
      <c r="B592" s="12" t="str">
        <f>"95/05/27"</f>
        <v>95/05/27</v>
      </c>
      <c r="C592" s="12" t="s">
        <v>3346</v>
      </c>
      <c r="D592" s="12" t="str">
        <f>"95/02/11"</f>
        <v>95/02/11</v>
      </c>
      <c r="E592" s="12" t="s">
        <v>3420</v>
      </c>
      <c r="F592" s="20">
        <v>14065</v>
      </c>
      <c r="G592" s="67" t="s">
        <v>5607</v>
      </c>
      <c r="H592" s="14" t="s">
        <v>5601</v>
      </c>
      <c r="I592" s="14" t="s">
        <v>2458</v>
      </c>
      <c r="J592" s="33" t="s">
        <v>7110</v>
      </c>
      <c r="K592" s="68">
        <v>0</v>
      </c>
      <c r="L592" s="68">
        <v>0</v>
      </c>
      <c r="M592" s="68" t="s">
        <v>8915</v>
      </c>
      <c r="N592" s="68">
        <v>0</v>
      </c>
      <c r="O592" s="68">
        <v>0</v>
      </c>
      <c r="P592" s="198" t="s">
        <v>5608</v>
      </c>
    </row>
    <row r="593" spans="1:16" ht="18.75" hidden="1">
      <c r="A593" s="13" t="str">
        <f>"50100-7657644"</f>
        <v>50100-7657644</v>
      </c>
      <c r="B593" s="12" t="str">
        <f>"95/05/27"</f>
        <v>95/05/27</v>
      </c>
      <c r="C593" s="12" t="s">
        <v>3402</v>
      </c>
      <c r="D593" s="12" t="str">
        <f>"95/03/16"</f>
        <v>95/03/16</v>
      </c>
      <c r="E593" s="12" t="s">
        <v>3420</v>
      </c>
      <c r="F593" s="20">
        <v>398738</v>
      </c>
      <c r="G593" s="67" t="s">
        <v>5607</v>
      </c>
      <c r="H593" s="14" t="s">
        <v>5601</v>
      </c>
      <c r="I593" s="14" t="s">
        <v>2458</v>
      </c>
      <c r="J593" s="33" t="s">
        <v>7110</v>
      </c>
      <c r="K593" s="68">
        <v>0</v>
      </c>
      <c r="L593" s="68">
        <v>0</v>
      </c>
      <c r="M593" s="68" t="s">
        <v>8915</v>
      </c>
      <c r="N593" s="68">
        <v>0</v>
      </c>
      <c r="O593" s="68">
        <v>0</v>
      </c>
      <c r="P593" s="198" t="s">
        <v>5622</v>
      </c>
    </row>
    <row r="594" spans="1:16" ht="18.75" hidden="1">
      <c r="A594" s="13" t="str">
        <f>"50100-7624099"</f>
        <v>50100-7624099</v>
      </c>
      <c r="B594" s="12" t="str">
        <f>"95/05/19"</f>
        <v>95/05/19</v>
      </c>
      <c r="C594" s="12" t="s">
        <v>3406</v>
      </c>
      <c r="D594" s="12" t="str">
        <f>"95/05/03"</f>
        <v>95/05/03</v>
      </c>
      <c r="E594" s="12" t="s">
        <v>3420</v>
      </c>
      <c r="F594" s="20">
        <v>490780</v>
      </c>
      <c r="G594" s="67" t="s">
        <v>5604</v>
      </c>
      <c r="H594" s="14" t="s">
        <v>5601</v>
      </c>
      <c r="I594" s="14" t="s">
        <v>2458</v>
      </c>
      <c r="J594" s="33" t="s">
        <v>7110</v>
      </c>
      <c r="K594" s="68">
        <v>0</v>
      </c>
      <c r="L594" s="68">
        <v>0</v>
      </c>
      <c r="M594" s="68" t="s">
        <v>8915</v>
      </c>
      <c r="N594" s="68">
        <v>0</v>
      </c>
      <c r="O594" s="68">
        <v>0</v>
      </c>
      <c r="P594" s="198" t="s">
        <v>5618</v>
      </c>
    </row>
    <row r="595" spans="1:16" ht="18.75" hidden="1">
      <c r="A595" s="13" t="str">
        <f>"50100-7650507"</f>
        <v>50100-7650507</v>
      </c>
      <c r="B595" s="12" t="str">
        <f>"95/05/25"</f>
        <v>95/05/25</v>
      </c>
      <c r="C595" s="12" t="s">
        <v>3412</v>
      </c>
      <c r="D595" s="12" t="str">
        <f>"95/05/16"</f>
        <v>95/05/16</v>
      </c>
      <c r="E595" s="12" t="s">
        <v>3420</v>
      </c>
      <c r="F595" s="20">
        <v>515370</v>
      </c>
      <c r="G595" s="67" t="s">
        <v>5604</v>
      </c>
      <c r="H595" s="14" t="s">
        <v>5601</v>
      </c>
      <c r="I595" s="14" t="s">
        <v>2458</v>
      </c>
      <c r="J595" s="33" t="s">
        <v>7110</v>
      </c>
      <c r="K595" s="68">
        <v>0</v>
      </c>
      <c r="L595" s="68">
        <v>0</v>
      </c>
      <c r="M595" s="68" t="s">
        <v>8915</v>
      </c>
      <c r="N595" s="68">
        <v>0</v>
      </c>
      <c r="O595" s="68">
        <v>0</v>
      </c>
      <c r="P595" s="198" t="s">
        <v>5618</v>
      </c>
    </row>
    <row r="596" spans="1:16" ht="18.75" hidden="1">
      <c r="A596" s="13" t="str">
        <f>"50100-7657480"</f>
        <v>50100-7657480</v>
      </c>
      <c r="B596" s="12" t="str">
        <f>"95/05/27"</f>
        <v>95/05/27</v>
      </c>
      <c r="C596" s="12" t="s">
        <v>3413</v>
      </c>
      <c r="D596" s="12" t="str">
        <f>"95/02/22"</f>
        <v>95/02/22</v>
      </c>
      <c r="E596" s="12" t="s">
        <v>3420</v>
      </c>
      <c r="F596" s="20">
        <v>998730</v>
      </c>
      <c r="G596" s="67" t="s">
        <v>5609</v>
      </c>
      <c r="H596" s="14" t="s">
        <v>5601</v>
      </c>
      <c r="I596" s="14" t="s">
        <v>2458</v>
      </c>
      <c r="J596" s="33" t="s">
        <v>7110</v>
      </c>
      <c r="K596" s="68">
        <v>0</v>
      </c>
      <c r="L596" s="68">
        <v>0</v>
      </c>
      <c r="M596" s="68" t="s">
        <v>8915</v>
      </c>
      <c r="N596" s="68">
        <v>0</v>
      </c>
      <c r="O596" s="68">
        <v>0</v>
      </c>
      <c r="P596" s="198" t="s">
        <v>5614</v>
      </c>
    </row>
    <row r="597" spans="1:16" ht="18.75" hidden="1">
      <c r="A597" s="13" t="str">
        <f>"50100-7627475"</f>
        <v>50100-7627475</v>
      </c>
      <c r="B597" s="12" t="str">
        <f>"95/05/21"</f>
        <v>95/05/21</v>
      </c>
      <c r="C597" s="12" t="s">
        <v>3406</v>
      </c>
      <c r="D597" s="12" t="str">
        <f>"95/05/03"</f>
        <v>95/05/03</v>
      </c>
      <c r="E597" s="12" t="s">
        <v>3420</v>
      </c>
      <c r="F597" s="20">
        <v>485407</v>
      </c>
      <c r="G597" s="67" t="s">
        <v>5604</v>
      </c>
      <c r="H597" s="14" t="s">
        <v>5601</v>
      </c>
      <c r="I597" s="14" t="s">
        <v>2458</v>
      </c>
      <c r="J597" s="33" t="s">
        <v>7110</v>
      </c>
      <c r="K597" s="68">
        <v>0</v>
      </c>
      <c r="L597" s="68">
        <v>0</v>
      </c>
      <c r="M597" s="68" t="s">
        <v>8915</v>
      </c>
      <c r="N597" s="68">
        <v>0</v>
      </c>
      <c r="O597" s="68">
        <v>0</v>
      </c>
      <c r="P597" s="198" t="s">
        <v>5618</v>
      </c>
    </row>
    <row r="598" spans="1:16" ht="18.75" hidden="1">
      <c r="A598" s="13" t="str">
        <f>"50100-7624887"</f>
        <v>50100-7624887</v>
      </c>
      <c r="B598" s="12" t="str">
        <f>"95/05/19"</f>
        <v>95/05/19</v>
      </c>
      <c r="C598" s="12" t="s">
        <v>3339</v>
      </c>
      <c r="D598" s="12" t="str">
        <f>"95/03/16"</f>
        <v>95/03/16</v>
      </c>
      <c r="E598" s="12" t="s">
        <v>3420</v>
      </c>
      <c r="F598" s="20">
        <v>497455</v>
      </c>
      <c r="G598" s="67" t="s">
        <v>5607</v>
      </c>
      <c r="H598" s="14" t="s">
        <v>5601</v>
      </c>
      <c r="I598" s="14" t="s">
        <v>2458</v>
      </c>
      <c r="J598" s="33" t="s">
        <v>7110</v>
      </c>
      <c r="K598" s="68">
        <v>0</v>
      </c>
      <c r="L598" s="68">
        <v>0</v>
      </c>
      <c r="M598" s="68" t="s">
        <v>8915</v>
      </c>
      <c r="N598" s="68">
        <v>0</v>
      </c>
      <c r="O598" s="68">
        <v>0</v>
      </c>
      <c r="P598" s="198" t="s">
        <v>5622</v>
      </c>
    </row>
    <row r="599" spans="1:16" ht="18.75" hidden="1">
      <c r="A599" s="13" t="str">
        <f>"50100-7650477"</f>
        <v>50100-7650477</v>
      </c>
      <c r="B599" s="12" t="str">
        <f>"95/05/25"</f>
        <v>95/05/25</v>
      </c>
      <c r="C599" s="12" t="s">
        <v>3412</v>
      </c>
      <c r="D599" s="12" t="str">
        <f>"95/05/16"</f>
        <v>95/05/16</v>
      </c>
      <c r="E599" s="12" t="s">
        <v>3420</v>
      </c>
      <c r="F599" s="20">
        <v>198210</v>
      </c>
      <c r="G599" s="67" t="s">
        <v>5604</v>
      </c>
      <c r="H599" s="14" t="s">
        <v>5601</v>
      </c>
      <c r="I599" s="14" t="s">
        <v>2458</v>
      </c>
      <c r="J599" s="33" t="s">
        <v>7110</v>
      </c>
      <c r="K599" s="68">
        <v>0</v>
      </c>
      <c r="L599" s="68">
        <v>0</v>
      </c>
      <c r="M599" s="68" t="s">
        <v>8915</v>
      </c>
      <c r="N599" s="68">
        <v>0</v>
      </c>
      <c r="O599" s="68">
        <v>0</v>
      </c>
      <c r="P599" s="198" t="s">
        <v>5618</v>
      </c>
    </row>
    <row r="600" spans="1:16" ht="18.75" hidden="1">
      <c r="A600" s="13" t="s">
        <v>3391</v>
      </c>
      <c r="B600" s="12" t="s">
        <v>3399</v>
      </c>
      <c r="C600" s="12" t="s">
        <v>3414</v>
      </c>
      <c r="D600" s="12" t="s">
        <v>3399</v>
      </c>
      <c r="E600" s="12" t="s">
        <v>3420</v>
      </c>
      <c r="F600" s="20">
        <v>1464914</v>
      </c>
      <c r="G600" s="67" t="s">
        <v>5611</v>
      </c>
      <c r="H600" s="14" t="s">
        <v>5601</v>
      </c>
      <c r="I600" s="14" t="s">
        <v>2458</v>
      </c>
      <c r="J600" s="33" t="s">
        <v>7110</v>
      </c>
      <c r="K600" s="68">
        <v>0</v>
      </c>
      <c r="L600" s="68">
        <v>0</v>
      </c>
      <c r="M600" s="68" t="s">
        <v>8915</v>
      </c>
      <c r="N600" s="68">
        <v>0</v>
      </c>
      <c r="O600" s="68">
        <v>0</v>
      </c>
      <c r="P600" s="198" t="s">
        <v>5629</v>
      </c>
    </row>
    <row r="601" spans="1:16" ht="18.75" hidden="1">
      <c r="A601" s="13" t="s">
        <v>3392</v>
      </c>
      <c r="B601" s="12" t="s">
        <v>3400</v>
      </c>
      <c r="C601" s="12" t="s">
        <v>3412</v>
      </c>
      <c r="D601" s="12" t="s">
        <v>3374</v>
      </c>
      <c r="E601" s="12" t="s">
        <v>3420</v>
      </c>
      <c r="F601" s="20">
        <v>286420</v>
      </c>
      <c r="G601" s="67" t="s">
        <v>5604</v>
      </c>
      <c r="H601" s="14" t="s">
        <v>5601</v>
      </c>
      <c r="I601" s="14" t="s">
        <v>2458</v>
      </c>
      <c r="J601" s="33" t="s">
        <v>7110</v>
      </c>
      <c r="K601" s="68">
        <v>0</v>
      </c>
      <c r="L601" s="68">
        <v>0</v>
      </c>
      <c r="M601" s="68" t="s">
        <v>8915</v>
      </c>
      <c r="N601" s="68">
        <v>0</v>
      </c>
      <c r="O601" s="68">
        <v>0</v>
      </c>
      <c r="P601" s="198" t="s">
        <v>5618</v>
      </c>
    </row>
    <row r="602" spans="1:16" ht="18.75" hidden="1">
      <c r="A602" s="13" t="s">
        <v>3393</v>
      </c>
      <c r="B602" s="12" t="s">
        <v>3380</v>
      </c>
      <c r="C602" s="12" t="s">
        <v>3415</v>
      </c>
      <c r="D602" s="12" t="s">
        <v>3398</v>
      </c>
      <c r="E602" s="12" t="s">
        <v>3420</v>
      </c>
      <c r="F602" s="20">
        <v>985195</v>
      </c>
      <c r="G602" s="67" t="s">
        <v>5604</v>
      </c>
      <c r="H602" s="14" t="s">
        <v>5602</v>
      </c>
      <c r="I602" s="14" t="s">
        <v>2458</v>
      </c>
      <c r="J602" s="33" t="s">
        <v>7110</v>
      </c>
      <c r="K602" s="68">
        <v>0</v>
      </c>
      <c r="L602" s="68">
        <v>0</v>
      </c>
      <c r="M602" s="68" t="s">
        <v>8915</v>
      </c>
      <c r="N602" s="68">
        <v>0</v>
      </c>
      <c r="O602" s="68">
        <v>0</v>
      </c>
      <c r="P602" s="198" t="s">
        <v>5628</v>
      </c>
    </row>
    <row r="603" spans="1:16" ht="18.75" hidden="1">
      <c r="A603" s="13" t="s">
        <v>3394</v>
      </c>
      <c r="B603" s="12" t="s">
        <v>3380</v>
      </c>
      <c r="C603" s="12" t="s">
        <v>3416</v>
      </c>
      <c r="D603" s="12" t="s">
        <v>3397</v>
      </c>
      <c r="E603" s="12" t="s">
        <v>3420</v>
      </c>
      <c r="F603" s="20">
        <v>494200</v>
      </c>
      <c r="G603" s="67" t="s">
        <v>5611</v>
      </c>
      <c r="H603" s="14" t="s">
        <v>5602</v>
      </c>
      <c r="I603" s="14" t="s">
        <v>2458</v>
      </c>
      <c r="J603" s="33" t="s">
        <v>7110</v>
      </c>
      <c r="K603" s="68">
        <v>0</v>
      </c>
      <c r="L603" s="68">
        <v>0</v>
      </c>
      <c r="M603" s="68" t="s">
        <v>8915</v>
      </c>
      <c r="N603" s="68">
        <v>0</v>
      </c>
      <c r="O603" s="68">
        <v>0</v>
      </c>
      <c r="P603" s="198" t="s">
        <v>5629</v>
      </c>
    </row>
    <row r="604" spans="1:16" ht="18.75" hidden="1">
      <c r="A604" s="13" t="s">
        <v>3392</v>
      </c>
      <c r="B604" s="12" t="s">
        <v>3400</v>
      </c>
      <c r="C604" s="12" t="s">
        <v>3417</v>
      </c>
      <c r="D604" s="12" t="s">
        <v>3376</v>
      </c>
      <c r="E604" s="12" t="s">
        <v>3420</v>
      </c>
      <c r="F604" s="20">
        <v>190607</v>
      </c>
      <c r="G604" s="67" t="s">
        <v>5604</v>
      </c>
      <c r="H604" s="14" t="s">
        <v>5601</v>
      </c>
      <c r="I604" s="14" t="s">
        <v>2458</v>
      </c>
      <c r="J604" s="33" t="s">
        <v>7110</v>
      </c>
      <c r="K604" s="68">
        <v>0</v>
      </c>
      <c r="L604" s="68">
        <v>0</v>
      </c>
      <c r="M604" s="68" t="s">
        <v>8915</v>
      </c>
      <c r="N604" s="68">
        <v>0</v>
      </c>
      <c r="O604" s="68">
        <v>0</v>
      </c>
      <c r="P604" s="198" t="s">
        <v>5618</v>
      </c>
    </row>
    <row r="605" spans="1:16" ht="18.75" hidden="1">
      <c r="A605" s="13" t="s">
        <v>3395</v>
      </c>
      <c r="B605" s="12" t="s">
        <v>3399</v>
      </c>
      <c r="C605" s="12" t="s">
        <v>3418</v>
      </c>
      <c r="D605" s="12" t="s">
        <v>3379</v>
      </c>
      <c r="E605" s="12" t="s">
        <v>3420</v>
      </c>
      <c r="F605" s="20">
        <v>2247314</v>
      </c>
      <c r="G605" s="67" t="s">
        <v>5604</v>
      </c>
      <c r="H605" s="14" t="s">
        <v>5601</v>
      </c>
      <c r="I605" s="14" t="s">
        <v>2458</v>
      </c>
      <c r="J605" s="33" t="s">
        <v>7110</v>
      </c>
      <c r="K605" s="68">
        <v>0</v>
      </c>
      <c r="L605" s="68">
        <v>0</v>
      </c>
      <c r="M605" s="68" t="s">
        <v>8915</v>
      </c>
      <c r="N605" s="68">
        <v>0</v>
      </c>
      <c r="O605" s="68">
        <v>0</v>
      </c>
      <c r="P605" s="198" t="s">
        <v>5626</v>
      </c>
    </row>
    <row r="606" spans="1:16" ht="18.75" hidden="1">
      <c r="A606" s="13" t="s">
        <v>3396</v>
      </c>
      <c r="B606" s="12" t="s">
        <v>3399</v>
      </c>
      <c r="C606" s="12" t="s">
        <v>3418</v>
      </c>
      <c r="D606" s="12" t="s">
        <v>3379</v>
      </c>
      <c r="E606" s="12" t="s">
        <v>3420</v>
      </c>
      <c r="F606" s="20">
        <v>567724</v>
      </c>
      <c r="G606" s="67" t="s">
        <v>5604</v>
      </c>
      <c r="H606" s="14" t="s">
        <v>5601</v>
      </c>
      <c r="I606" s="14" t="s">
        <v>2458</v>
      </c>
      <c r="J606" s="33" t="s">
        <v>7110</v>
      </c>
      <c r="K606" s="68">
        <v>0</v>
      </c>
      <c r="L606" s="68">
        <v>0</v>
      </c>
      <c r="M606" s="68" t="s">
        <v>8915</v>
      </c>
      <c r="N606" s="68">
        <v>0</v>
      </c>
      <c r="O606" s="68">
        <v>0</v>
      </c>
      <c r="P606" s="198" t="s">
        <v>5626</v>
      </c>
    </row>
    <row r="607" spans="1:16" ht="18.75" hidden="1">
      <c r="A607" s="13" t="str">
        <f>"15100-307571"</f>
        <v>15100-307571</v>
      </c>
      <c r="B607" s="12" t="str">
        <f>"95/05/24"</f>
        <v>95/05/24</v>
      </c>
      <c r="C607" s="12" t="s">
        <v>3419</v>
      </c>
      <c r="D607" s="12" t="str">
        <f>"95/02/22"</f>
        <v>95/02/22</v>
      </c>
      <c r="E607" s="12" t="s">
        <v>3420</v>
      </c>
      <c r="F607" s="20">
        <v>34850</v>
      </c>
      <c r="G607" s="67" t="s">
        <v>5611</v>
      </c>
      <c r="H607" s="14" t="s">
        <v>5601</v>
      </c>
      <c r="I607" s="14" t="s">
        <v>2458</v>
      </c>
      <c r="J607" s="33" t="s">
        <v>7110</v>
      </c>
      <c r="K607" s="68">
        <v>0</v>
      </c>
      <c r="L607" s="68">
        <v>0</v>
      </c>
      <c r="M607" s="68" t="s">
        <v>8915</v>
      </c>
      <c r="N607" s="68">
        <v>0</v>
      </c>
      <c r="O607" s="68">
        <v>0</v>
      </c>
      <c r="P607" s="198" t="s">
        <v>5619</v>
      </c>
    </row>
    <row r="608" spans="1:16" ht="18.75" hidden="1">
      <c r="A608" s="13" t="str">
        <f>"15100-308486"</f>
        <v>15100-308486</v>
      </c>
      <c r="B608" s="12" t="str">
        <f>"95/05/26"</f>
        <v>95/05/26</v>
      </c>
      <c r="C608" s="12" t="s">
        <v>3419</v>
      </c>
      <c r="D608" s="12" t="str">
        <f>"95/02/22"</f>
        <v>95/02/22</v>
      </c>
      <c r="E608" s="12" t="s">
        <v>3420</v>
      </c>
      <c r="F608" s="20">
        <v>303580</v>
      </c>
      <c r="G608" s="67" t="s">
        <v>5611</v>
      </c>
      <c r="H608" s="14" t="s">
        <v>5601</v>
      </c>
      <c r="I608" s="14" t="s">
        <v>2458</v>
      </c>
      <c r="J608" s="33" t="s">
        <v>7110</v>
      </c>
      <c r="K608" s="68">
        <v>0</v>
      </c>
      <c r="L608" s="68">
        <v>0</v>
      </c>
      <c r="M608" s="68" t="s">
        <v>8915</v>
      </c>
      <c r="N608" s="68">
        <v>0</v>
      </c>
      <c r="O608" s="68">
        <v>0</v>
      </c>
      <c r="P608" s="198" t="s">
        <v>5619</v>
      </c>
    </row>
    <row r="609" spans="1:16" ht="18.75" hidden="1">
      <c r="A609" s="13" t="str">
        <f>"15100-307571"</f>
        <v>15100-307571</v>
      </c>
      <c r="B609" s="12" t="str">
        <f>"95/05/24"</f>
        <v>95/05/24</v>
      </c>
      <c r="C609" s="12" t="s">
        <v>3384</v>
      </c>
      <c r="D609" s="12" t="str">
        <f>"95/03/10"</f>
        <v>95/03/10</v>
      </c>
      <c r="E609" s="12" t="s">
        <v>3420</v>
      </c>
      <c r="F609" s="20">
        <v>66420</v>
      </c>
      <c r="G609" s="67" t="s">
        <v>5611</v>
      </c>
      <c r="H609" s="14" t="s">
        <v>5601</v>
      </c>
      <c r="I609" s="14" t="s">
        <v>2458</v>
      </c>
      <c r="J609" s="33" t="s">
        <v>7110</v>
      </c>
      <c r="K609" s="68">
        <v>0</v>
      </c>
      <c r="L609" s="68">
        <v>0</v>
      </c>
      <c r="M609" s="68" t="s">
        <v>8915</v>
      </c>
      <c r="N609" s="68">
        <v>0</v>
      </c>
      <c r="O609" s="68">
        <v>0</v>
      </c>
      <c r="P609" s="198" t="s">
        <v>5619</v>
      </c>
    </row>
    <row r="610" spans="1:16" ht="18.75" hidden="1">
      <c r="A610" s="13" t="str">
        <f>"15100-308065"</f>
        <v>15100-308065</v>
      </c>
      <c r="B610" s="12" t="str">
        <f>"95/05/25"</f>
        <v>95/05/25</v>
      </c>
      <c r="C610" s="12" t="s">
        <v>3210</v>
      </c>
      <c r="D610" s="12" t="str">
        <f>"95/01/21"</f>
        <v>95/01/21</v>
      </c>
      <c r="E610" s="12" t="s">
        <v>3420</v>
      </c>
      <c r="F610" s="20">
        <v>70860</v>
      </c>
      <c r="G610" s="67" t="s">
        <v>5611</v>
      </c>
      <c r="H610" s="14" t="s">
        <v>5601</v>
      </c>
      <c r="I610" s="14" t="s">
        <v>2458</v>
      </c>
      <c r="J610" s="33" t="s">
        <v>7110</v>
      </c>
      <c r="K610" s="68">
        <v>0</v>
      </c>
      <c r="L610" s="68">
        <v>0</v>
      </c>
      <c r="M610" s="68" t="s">
        <v>8915</v>
      </c>
      <c r="N610" s="68">
        <v>0</v>
      </c>
      <c r="O610" s="68">
        <v>0</v>
      </c>
      <c r="P610" s="198" t="s">
        <v>5612</v>
      </c>
    </row>
    <row r="611" spans="1:16" ht="18.75" hidden="1">
      <c r="A611" s="13" t="str">
        <f>"15100-307571"</f>
        <v>15100-307571</v>
      </c>
      <c r="B611" s="12" t="str">
        <f>"95/05/24"</f>
        <v>95/05/24</v>
      </c>
      <c r="C611" s="12" t="s">
        <v>3382</v>
      </c>
      <c r="D611" s="12" t="str">
        <f>"95/01/25"</f>
        <v>95/01/25</v>
      </c>
      <c r="E611" s="12" t="s">
        <v>3420</v>
      </c>
      <c r="F611" s="20">
        <v>70920</v>
      </c>
      <c r="G611" s="67" t="s">
        <v>5607</v>
      </c>
      <c r="H611" s="14" t="s">
        <v>5601</v>
      </c>
      <c r="I611" s="14" t="s">
        <v>2458</v>
      </c>
      <c r="J611" s="33" t="s">
        <v>7110</v>
      </c>
      <c r="K611" s="68">
        <v>0</v>
      </c>
      <c r="L611" s="68">
        <v>0</v>
      </c>
      <c r="M611" s="68" t="s">
        <v>8915</v>
      </c>
      <c r="N611" s="68">
        <v>0</v>
      </c>
      <c r="O611" s="68">
        <v>0</v>
      </c>
      <c r="P611" s="198" t="s">
        <v>5608</v>
      </c>
    </row>
    <row r="612" spans="1:16" ht="18.75" hidden="1">
      <c r="A612" s="13" t="s">
        <v>3422</v>
      </c>
      <c r="B612" s="12" t="s">
        <v>3450</v>
      </c>
      <c r="C612" s="12" t="s">
        <v>3465</v>
      </c>
      <c r="D612" s="12" t="s">
        <v>3454</v>
      </c>
      <c r="E612" s="12" t="s">
        <v>3420</v>
      </c>
      <c r="F612" s="20">
        <v>60320</v>
      </c>
      <c r="G612" s="67" t="s">
        <v>5633</v>
      </c>
      <c r="H612" s="14" t="s">
        <v>5601</v>
      </c>
      <c r="I612" s="14" t="s">
        <v>2458</v>
      </c>
      <c r="J612" s="33" t="s">
        <v>7110</v>
      </c>
      <c r="K612" s="68">
        <v>0</v>
      </c>
      <c r="L612" s="68">
        <v>0</v>
      </c>
      <c r="M612" s="68" t="s">
        <v>8915</v>
      </c>
      <c r="N612" s="68">
        <v>0</v>
      </c>
      <c r="O612" s="68">
        <v>0</v>
      </c>
      <c r="P612" s="198" t="s">
        <v>5634</v>
      </c>
    </row>
    <row r="613" spans="1:16" ht="18.75" hidden="1">
      <c r="A613" s="13" t="s">
        <v>3423</v>
      </c>
      <c r="B613" s="12" t="s">
        <v>3451</v>
      </c>
      <c r="C613" s="12" t="s">
        <v>3466</v>
      </c>
      <c r="D613" s="12" t="s">
        <v>2755</v>
      </c>
      <c r="E613" s="12" t="s">
        <v>3420</v>
      </c>
      <c r="F613" s="20">
        <v>69717</v>
      </c>
      <c r="G613" s="67" t="s">
        <v>5611</v>
      </c>
      <c r="H613" s="14" t="s">
        <v>5601</v>
      </c>
      <c r="I613" s="14" t="s">
        <v>2458</v>
      </c>
      <c r="J613" s="33" t="s">
        <v>7110</v>
      </c>
      <c r="K613" s="68">
        <v>0</v>
      </c>
      <c r="L613" s="68">
        <v>0</v>
      </c>
      <c r="M613" s="68" t="s">
        <v>8915</v>
      </c>
      <c r="N613" s="68">
        <v>0</v>
      </c>
      <c r="O613" s="68">
        <v>0</v>
      </c>
      <c r="P613" s="198" t="s">
        <v>5612</v>
      </c>
    </row>
    <row r="614" spans="1:16" ht="18.75" hidden="1">
      <c r="A614" s="13" t="s">
        <v>3424</v>
      </c>
      <c r="B614" s="12" t="s">
        <v>3452</v>
      </c>
      <c r="C614" s="12" t="s">
        <v>3466</v>
      </c>
      <c r="D614" s="12" t="s">
        <v>2755</v>
      </c>
      <c r="E614" s="12" t="s">
        <v>3420</v>
      </c>
      <c r="F614" s="20">
        <v>90390</v>
      </c>
      <c r="G614" s="67" t="s">
        <v>5611</v>
      </c>
      <c r="H614" s="14" t="s">
        <v>5601</v>
      </c>
      <c r="I614" s="14" t="s">
        <v>2458</v>
      </c>
      <c r="J614" s="33" t="s">
        <v>7110</v>
      </c>
      <c r="K614" s="68">
        <v>0</v>
      </c>
      <c r="L614" s="68">
        <v>0</v>
      </c>
      <c r="M614" s="68" t="s">
        <v>8915</v>
      </c>
      <c r="N614" s="68">
        <v>0</v>
      </c>
      <c r="O614" s="68">
        <v>0</v>
      </c>
      <c r="P614" s="198" t="s">
        <v>5612</v>
      </c>
    </row>
    <row r="615" spans="1:16" ht="18.75" hidden="1">
      <c r="A615" s="13" t="s">
        <v>3424</v>
      </c>
      <c r="B615" s="12" t="s">
        <v>3452</v>
      </c>
      <c r="C615" s="12" t="s">
        <v>3419</v>
      </c>
      <c r="D615" s="12" t="s">
        <v>2855</v>
      </c>
      <c r="E615" s="12" t="s">
        <v>3420</v>
      </c>
      <c r="F615" s="20">
        <v>25470</v>
      </c>
      <c r="G615" s="67" t="s">
        <v>5611</v>
      </c>
      <c r="H615" s="14" t="s">
        <v>5601</v>
      </c>
      <c r="I615" s="14" t="s">
        <v>2458</v>
      </c>
      <c r="J615" s="33" t="s">
        <v>7110</v>
      </c>
      <c r="K615" s="68">
        <v>0</v>
      </c>
      <c r="L615" s="68">
        <v>0</v>
      </c>
      <c r="M615" s="68" t="s">
        <v>8915</v>
      </c>
      <c r="N615" s="68">
        <v>0</v>
      </c>
      <c r="O615" s="68">
        <v>0</v>
      </c>
      <c r="P615" s="198" t="s">
        <v>5619</v>
      </c>
    </row>
    <row r="616" spans="1:16" ht="18.75" hidden="1">
      <c r="A616" s="13" t="s">
        <v>3425</v>
      </c>
      <c r="B616" s="12" t="s">
        <v>3453</v>
      </c>
      <c r="C616" s="12" t="s">
        <v>3419</v>
      </c>
      <c r="D616" s="12" t="s">
        <v>2855</v>
      </c>
      <c r="E616" s="12" t="s">
        <v>3420</v>
      </c>
      <c r="F616" s="20">
        <v>93600</v>
      </c>
      <c r="G616" s="67" t="s">
        <v>5611</v>
      </c>
      <c r="H616" s="14" t="s">
        <v>5601</v>
      </c>
      <c r="I616" s="14" t="s">
        <v>2458</v>
      </c>
      <c r="J616" s="33" t="s">
        <v>7110</v>
      </c>
      <c r="K616" s="68">
        <v>0</v>
      </c>
      <c r="L616" s="68">
        <v>0</v>
      </c>
      <c r="M616" s="68" t="s">
        <v>8915</v>
      </c>
      <c r="N616" s="68">
        <v>0</v>
      </c>
      <c r="O616" s="68">
        <v>0</v>
      </c>
      <c r="P616" s="198" t="s">
        <v>5619</v>
      </c>
    </row>
    <row r="617" spans="1:16" ht="18.75" hidden="1">
      <c r="A617" s="13" t="s">
        <v>3426</v>
      </c>
      <c r="B617" s="12" t="s">
        <v>3454</v>
      </c>
      <c r="C617" s="12" t="s">
        <v>3382</v>
      </c>
      <c r="D617" s="12" t="s">
        <v>2754</v>
      </c>
      <c r="E617" s="12" t="s">
        <v>3420</v>
      </c>
      <c r="F617" s="20">
        <v>73280</v>
      </c>
      <c r="G617" s="67" t="s">
        <v>5607</v>
      </c>
      <c r="H617" s="14" t="s">
        <v>5601</v>
      </c>
      <c r="I617" s="14" t="s">
        <v>2458</v>
      </c>
      <c r="J617" s="33" t="s">
        <v>7110</v>
      </c>
      <c r="K617" s="68">
        <v>0</v>
      </c>
      <c r="L617" s="68">
        <v>0</v>
      </c>
      <c r="M617" s="68" t="s">
        <v>8915</v>
      </c>
      <c r="N617" s="68">
        <v>0</v>
      </c>
      <c r="O617" s="68">
        <v>0</v>
      </c>
      <c r="P617" s="198" t="s">
        <v>5608</v>
      </c>
    </row>
    <row r="618" spans="1:16" ht="18.75" hidden="1">
      <c r="A618" s="13" t="s">
        <v>3427</v>
      </c>
      <c r="B618" s="12" t="s">
        <v>3455</v>
      </c>
      <c r="C618" s="12" t="s">
        <v>3382</v>
      </c>
      <c r="D618" s="12" t="s">
        <v>2754</v>
      </c>
      <c r="E618" s="12" t="s">
        <v>3420</v>
      </c>
      <c r="F618" s="20">
        <v>71160</v>
      </c>
      <c r="G618" s="67" t="s">
        <v>5607</v>
      </c>
      <c r="H618" s="14" t="s">
        <v>5601</v>
      </c>
      <c r="I618" s="14" t="s">
        <v>2458</v>
      </c>
      <c r="J618" s="33" t="s">
        <v>7110</v>
      </c>
      <c r="K618" s="68">
        <v>0</v>
      </c>
      <c r="L618" s="68">
        <v>0</v>
      </c>
      <c r="M618" s="68" t="s">
        <v>8915</v>
      </c>
      <c r="N618" s="68">
        <v>0</v>
      </c>
      <c r="O618" s="68">
        <v>0</v>
      </c>
      <c r="P618" s="198" t="s">
        <v>5608</v>
      </c>
    </row>
    <row r="619" spans="1:16" ht="18.75" hidden="1">
      <c r="A619" s="13" t="s">
        <v>3428</v>
      </c>
      <c r="B619" s="12" t="s">
        <v>3456</v>
      </c>
      <c r="C619" s="12" t="s">
        <v>3382</v>
      </c>
      <c r="D619" s="12" t="s">
        <v>2754</v>
      </c>
      <c r="E619" s="12" t="s">
        <v>3420</v>
      </c>
      <c r="F619" s="20">
        <v>142960</v>
      </c>
      <c r="G619" s="67" t="s">
        <v>5607</v>
      </c>
      <c r="H619" s="14" t="s">
        <v>5601</v>
      </c>
      <c r="I619" s="14" t="s">
        <v>2458</v>
      </c>
      <c r="J619" s="33" t="s">
        <v>7110</v>
      </c>
      <c r="K619" s="68">
        <v>0</v>
      </c>
      <c r="L619" s="68">
        <v>0</v>
      </c>
      <c r="M619" s="68" t="s">
        <v>8915</v>
      </c>
      <c r="N619" s="68">
        <v>0</v>
      </c>
      <c r="O619" s="68">
        <v>0</v>
      </c>
      <c r="P619" s="198" t="s">
        <v>5608</v>
      </c>
    </row>
    <row r="620" spans="1:16" ht="18.75" hidden="1">
      <c r="A620" s="13" t="s">
        <v>3429</v>
      </c>
      <c r="B620" s="12" t="s">
        <v>3457</v>
      </c>
      <c r="C620" s="12" t="s">
        <v>3467</v>
      </c>
      <c r="D620" s="12" t="s">
        <v>2749</v>
      </c>
      <c r="E620" s="12" t="s">
        <v>3420</v>
      </c>
      <c r="F620" s="20">
        <v>498360</v>
      </c>
      <c r="G620" s="67" t="s">
        <v>5609</v>
      </c>
      <c r="H620" s="14" t="s">
        <v>5601</v>
      </c>
      <c r="I620" s="14" t="s">
        <v>2458</v>
      </c>
      <c r="J620" s="33" t="s">
        <v>7110</v>
      </c>
      <c r="K620" s="68">
        <v>0</v>
      </c>
      <c r="L620" s="68">
        <v>0</v>
      </c>
      <c r="M620" s="68" t="s">
        <v>8915</v>
      </c>
      <c r="N620" s="68">
        <v>0</v>
      </c>
      <c r="O620" s="68">
        <v>0</v>
      </c>
      <c r="P620" s="198" t="s">
        <v>5614</v>
      </c>
    </row>
    <row r="621" spans="1:16" ht="18.75" hidden="1">
      <c r="A621" s="13" t="s">
        <v>3430</v>
      </c>
      <c r="B621" s="12" t="s">
        <v>3458</v>
      </c>
      <c r="C621" s="12" t="s">
        <v>3177</v>
      </c>
      <c r="D621" s="12" t="s">
        <v>3165</v>
      </c>
      <c r="E621" s="12" t="s">
        <v>3420</v>
      </c>
      <c r="F621" s="20">
        <v>546</v>
      </c>
      <c r="G621" s="67" t="s">
        <v>5611</v>
      </c>
      <c r="H621" s="14" t="s">
        <v>5601</v>
      </c>
      <c r="I621" s="14" t="s">
        <v>2458</v>
      </c>
      <c r="J621" s="33" t="s">
        <v>7110</v>
      </c>
      <c r="K621" s="68">
        <v>0</v>
      </c>
      <c r="L621" s="68">
        <v>0</v>
      </c>
      <c r="M621" s="68" t="s">
        <v>8915</v>
      </c>
      <c r="N621" s="68">
        <v>0</v>
      </c>
      <c r="O621" s="68">
        <v>0</v>
      </c>
      <c r="P621" s="198" t="s">
        <v>5619</v>
      </c>
    </row>
    <row r="622" spans="1:16" ht="18.75" hidden="1">
      <c r="A622" s="13" t="s">
        <v>3431</v>
      </c>
      <c r="B622" s="12" t="s">
        <v>3454</v>
      </c>
      <c r="C622" s="12" t="s">
        <v>3468</v>
      </c>
      <c r="D622" s="12" t="s">
        <v>3460</v>
      </c>
      <c r="E622" s="12" t="s">
        <v>3420</v>
      </c>
      <c r="F622" s="20">
        <v>196155</v>
      </c>
      <c r="G622" s="67" t="s">
        <v>5638</v>
      </c>
      <c r="H622" s="14" t="s">
        <v>5602</v>
      </c>
      <c r="I622" s="14" t="s">
        <v>2458</v>
      </c>
      <c r="J622" s="33" t="s">
        <v>7110</v>
      </c>
      <c r="K622" s="68">
        <v>0</v>
      </c>
      <c r="L622" s="68">
        <v>0</v>
      </c>
      <c r="M622" s="68" t="s">
        <v>8915</v>
      </c>
      <c r="N622" s="68">
        <v>0</v>
      </c>
      <c r="O622" s="68">
        <v>0</v>
      </c>
      <c r="P622" s="198" t="s">
        <v>5639</v>
      </c>
    </row>
    <row r="623" spans="1:16" ht="18.75" hidden="1">
      <c r="A623" s="13" t="s">
        <v>3432</v>
      </c>
      <c r="B623" s="12" t="s">
        <v>3457</v>
      </c>
      <c r="C623" s="12" t="s">
        <v>3410</v>
      </c>
      <c r="D623" s="12" t="s">
        <v>2752</v>
      </c>
      <c r="E623" s="12" t="s">
        <v>3420</v>
      </c>
      <c r="F623" s="20">
        <v>99320</v>
      </c>
      <c r="G623" s="67" t="s">
        <v>5607</v>
      </c>
      <c r="H623" s="14" t="s">
        <v>5601</v>
      </c>
      <c r="I623" s="14" t="s">
        <v>2458</v>
      </c>
      <c r="J623" s="33" t="s">
        <v>7110</v>
      </c>
      <c r="K623" s="68">
        <v>0</v>
      </c>
      <c r="L623" s="68">
        <v>0</v>
      </c>
      <c r="M623" s="68" t="s">
        <v>8915</v>
      </c>
      <c r="N623" s="68">
        <v>0</v>
      </c>
      <c r="O623" s="68">
        <v>0</v>
      </c>
      <c r="P623" s="198" t="s">
        <v>5608</v>
      </c>
    </row>
    <row r="624" spans="1:16" ht="18.75" hidden="1">
      <c r="A624" s="13" t="s">
        <v>3433</v>
      </c>
      <c r="B624" s="12" t="s">
        <v>3456</v>
      </c>
      <c r="C624" s="12" t="s">
        <v>3469</v>
      </c>
      <c r="D624" s="12" t="s">
        <v>3040</v>
      </c>
      <c r="E624" s="12" t="s">
        <v>3420</v>
      </c>
      <c r="F624" s="20">
        <v>242342</v>
      </c>
      <c r="G624" s="67" t="s">
        <v>5604</v>
      </c>
      <c r="H624" s="14" t="s">
        <v>5601</v>
      </c>
      <c r="I624" s="14" t="s">
        <v>2458</v>
      </c>
      <c r="J624" s="33" t="s">
        <v>7110</v>
      </c>
      <c r="K624" s="68">
        <v>0</v>
      </c>
      <c r="L624" s="68">
        <v>0</v>
      </c>
      <c r="M624" s="68" t="s">
        <v>8915</v>
      </c>
      <c r="N624" s="68">
        <v>0</v>
      </c>
      <c r="O624" s="68">
        <v>0</v>
      </c>
      <c r="P624" s="198" t="s">
        <v>5618</v>
      </c>
    </row>
    <row r="625" spans="1:16" ht="18.75" hidden="1">
      <c r="A625" s="13" t="s">
        <v>3434</v>
      </c>
      <c r="B625" s="12" t="s">
        <v>3459</v>
      </c>
      <c r="C625" s="12" t="s">
        <v>3469</v>
      </c>
      <c r="D625" s="12" t="s">
        <v>3040</v>
      </c>
      <c r="E625" s="12" t="s">
        <v>3420</v>
      </c>
      <c r="F625" s="20">
        <v>58658</v>
      </c>
      <c r="G625" s="67" t="s">
        <v>5604</v>
      </c>
      <c r="H625" s="14" t="s">
        <v>5601</v>
      </c>
      <c r="I625" s="14" t="s">
        <v>2458</v>
      </c>
      <c r="J625" s="33" t="s">
        <v>7110</v>
      </c>
      <c r="K625" s="68">
        <v>0</v>
      </c>
      <c r="L625" s="68">
        <v>0</v>
      </c>
      <c r="M625" s="68" t="s">
        <v>8915</v>
      </c>
      <c r="N625" s="68">
        <v>0</v>
      </c>
      <c r="O625" s="68">
        <v>0</v>
      </c>
      <c r="P625" s="198" t="s">
        <v>5618</v>
      </c>
    </row>
    <row r="626" spans="1:16" ht="18.75" hidden="1">
      <c r="A626" s="13" t="s">
        <v>3434</v>
      </c>
      <c r="B626" s="12" t="s">
        <v>3459</v>
      </c>
      <c r="C626" s="12" t="s">
        <v>3470</v>
      </c>
      <c r="D626" s="12" t="s">
        <v>3047</v>
      </c>
      <c r="E626" s="12" t="s">
        <v>3420</v>
      </c>
      <c r="F626" s="20">
        <v>237882</v>
      </c>
      <c r="G626" s="67" t="s">
        <v>5604</v>
      </c>
      <c r="H626" s="14" t="s">
        <v>5601</v>
      </c>
      <c r="I626" s="14" t="s">
        <v>2458</v>
      </c>
      <c r="J626" s="33" t="s">
        <v>7110</v>
      </c>
      <c r="K626" s="68">
        <v>0</v>
      </c>
      <c r="L626" s="68">
        <v>0</v>
      </c>
      <c r="M626" s="68" t="s">
        <v>8915</v>
      </c>
      <c r="N626" s="68">
        <v>0</v>
      </c>
      <c r="O626" s="68">
        <v>0</v>
      </c>
      <c r="P626" s="198" t="s">
        <v>5618</v>
      </c>
    </row>
    <row r="627" spans="1:16" ht="18.75" hidden="1">
      <c r="A627" s="13" t="s">
        <v>3433</v>
      </c>
      <c r="B627" s="12" t="s">
        <v>3456</v>
      </c>
      <c r="C627" s="12" t="s">
        <v>3347</v>
      </c>
      <c r="D627" s="12" t="s">
        <v>2853</v>
      </c>
      <c r="E627" s="12" t="s">
        <v>3420</v>
      </c>
      <c r="F627" s="20">
        <v>54238</v>
      </c>
      <c r="G627" s="67" t="s">
        <v>5604</v>
      </c>
      <c r="H627" s="14" t="s">
        <v>5601</v>
      </c>
      <c r="I627" s="14" t="s">
        <v>2458</v>
      </c>
      <c r="J627" s="33" t="s">
        <v>7110</v>
      </c>
      <c r="K627" s="68">
        <v>0</v>
      </c>
      <c r="L627" s="68">
        <v>0</v>
      </c>
      <c r="M627" s="68" t="s">
        <v>8915</v>
      </c>
      <c r="N627" s="68">
        <v>0</v>
      </c>
      <c r="O627" s="68">
        <v>0</v>
      </c>
      <c r="P627" s="198" t="s">
        <v>5618</v>
      </c>
    </row>
    <row r="628" spans="1:16" ht="18.75" hidden="1">
      <c r="A628" s="13" t="s">
        <v>3435</v>
      </c>
      <c r="B628" s="12" t="s">
        <v>3456</v>
      </c>
      <c r="C628" s="12" t="s">
        <v>3471</v>
      </c>
      <c r="D628" s="12" t="s">
        <v>3041</v>
      </c>
      <c r="E628" s="12" t="s">
        <v>3420</v>
      </c>
      <c r="F628" s="20">
        <v>137607</v>
      </c>
      <c r="G628" s="67" t="s">
        <v>5607</v>
      </c>
      <c r="H628" s="14" t="s">
        <v>5601</v>
      </c>
      <c r="I628" s="14" t="s">
        <v>2458</v>
      </c>
      <c r="J628" s="33" t="s">
        <v>7110</v>
      </c>
      <c r="K628" s="68">
        <v>0</v>
      </c>
      <c r="L628" s="68">
        <v>0</v>
      </c>
      <c r="M628" s="68" t="s">
        <v>8915</v>
      </c>
      <c r="N628" s="68">
        <v>0</v>
      </c>
      <c r="O628" s="68">
        <v>0</v>
      </c>
      <c r="P628" s="198" t="s">
        <v>5622</v>
      </c>
    </row>
    <row r="629" spans="1:16" ht="18.75" hidden="1">
      <c r="A629" s="13" t="s">
        <v>3436</v>
      </c>
      <c r="B629" s="12" t="s">
        <v>3457</v>
      </c>
      <c r="C629" s="12" t="s">
        <v>3472</v>
      </c>
      <c r="D629" s="12" t="s">
        <v>2852</v>
      </c>
      <c r="E629" s="12" t="s">
        <v>3420</v>
      </c>
      <c r="F629" s="20">
        <v>200000</v>
      </c>
      <c r="G629" s="67" t="s">
        <v>5609</v>
      </c>
      <c r="H629" s="14" t="s">
        <v>5601</v>
      </c>
      <c r="I629" s="14" t="s">
        <v>2458</v>
      </c>
      <c r="J629" s="33" t="s">
        <v>7110</v>
      </c>
      <c r="K629" s="68">
        <v>0</v>
      </c>
      <c r="L629" s="68">
        <v>0</v>
      </c>
      <c r="M629" s="68" t="s">
        <v>8915</v>
      </c>
      <c r="N629" s="68">
        <v>0</v>
      </c>
      <c r="O629" s="68">
        <v>0</v>
      </c>
      <c r="P629" s="198" t="s">
        <v>5614</v>
      </c>
    </row>
    <row r="630" spans="1:16" ht="18.75" hidden="1">
      <c r="A630" s="13" t="s">
        <v>3437</v>
      </c>
      <c r="B630" s="12" t="s">
        <v>3460</v>
      </c>
      <c r="C630" s="12" t="s">
        <v>3473</v>
      </c>
      <c r="D630" s="12" t="s">
        <v>3047</v>
      </c>
      <c r="E630" s="12" t="s">
        <v>3420</v>
      </c>
      <c r="F630" s="20">
        <v>44660</v>
      </c>
      <c r="G630" s="67" t="s">
        <v>5609</v>
      </c>
      <c r="H630" s="14" t="s">
        <v>5601</v>
      </c>
      <c r="I630" s="14" t="s">
        <v>2458</v>
      </c>
      <c r="J630" s="33" t="s">
        <v>7110</v>
      </c>
      <c r="K630" s="68">
        <v>0</v>
      </c>
      <c r="L630" s="68">
        <v>0</v>
      </c>
      <c r="M630" s="68" t="s">
        <v>8915</v>
      </c>
      <c r="N630" s="68">
        <v>0</v>
      </c>
      <c r="O630" s="68">
        <v>0</v>
      </c>
      <c r="P630" s="198" t="s">
        <v>5614</v>
      </c>
    </row>
    <row r="631" spans="1:16" ht="18.75" hidden="1">
      <c r="A631" s="13" t="s">
        <v>3437</v>
      </c>
      <c r="B631" s="12" t="s">
        <v>3460</v>
      </c>
      <c r="C631" s="12" t="s">
        <v>3474</v>
      </c>
      <c r="D631" s="12" t="s">
        <v>3047</v>
      </c>
      <c r="E631" s="12" t="s">
        <v>3420</v>
      </c>
      <c r="F631" s="20">
        <v>278580</v>
      </c>
      <c r="G631" s="67" t="s">
        <v>5609</v>
      </c>
      <c r="H631" s="14" t="s">
        <v>5601</v>
      </c>
      <c r="I631" s="14" t="s">
        <v>2458</v>
      </c>
      <c r="J631" s="33" t="s">
        <v>7110</v>
      </c>
      <c r="K631" s="68">
        <v>0</v>
      </c>
      <c r="L631" s="68">
        <v>0</v>
      </c>
      <c r="M631" s="68" t="s">
        <v>8915</v>
      </c>
      <c r="N631" s="68">
        <v>0</v>
      </c>
      <c r="O631" s="68">
        <v>0</v>
      </c>
      <c r="P631" s="198" t="s">
        <v>5614</v>
      </c>
    </row>
    <row r="632" spans="1:16" ht="18.75" hidden="1">
      <c r="A632" s="13" t="s">
        <v>3438</v>
      </c>
      <c r="B632" s="12" t="s">
        <v>3461</v>
      </c>
      <c r="C632" s="12" t="s">
        <v>3475</v>
      </c>
      <c r="D632" s="12" t="s">
        <v>3462</v>
      </c>
      <c r="E632" s="12" t="s">
        <v>3420</v>
      </c>
      <c r="F632" s="20">
        <v>987935</v>
      </c>
      <c r="G632" s="67" t="s">
        <v>5611</v>
      </c>
      <c r="H632" s="14" t="s">
        <v>5602</v>
      </c>
      <c r="I632" s="14" t="s">
        <v>2458</v>
      </c>
      <c r="J632" s="33" t="s">
        <v>7110</v>
      </c>
      <c r="K632" s="68">
        <v>0</v>
      </c>
      <c r="L632" s="68">
        <v>0</v>
      </c>
      <c r="M632" s="68" t="s">
        <v>8915</v>
      </c>
      <c r="N632" s="68">
        <v>0</v>
      </c>
      <c r="O632" s="68">
        <v>0</v>
      </c>
      <c r="P632" s="198" t="s">
        <v>5629</v>
      </c>
    </row>
    <row r="633" spans="1:16" ht="18.75" hidden="1">
      <c r="A633" s="13" t="s">
        <v>3435</v>
      </c>
      <c r="B633" s="12" t="s">
        <v>3456</v>
      </c>
      <c r="C633" s="12" t="s">
        <v>3108</v>
      </c>
      <c r="D633" s="12" t="s">
        <v>2751</v>
      </c>
      <c r="E633" s="12" t="s">
        <v>3420</v>
      </c>
      <c r="F633" s="20">
        <v>653318</v>
      </c>
      <c r="G633" s="67" t="s">
        <v>5607</v>
      </c>
      <c r="H633" s="14" t="s">
        <v>5601</v>
      </c>
      <c r="I633" s="14" t="s">
        <v>2458</v>
      </c>
      <c r="J633" s="33" t="s">
        <v>7110</v>
      </c>
      <c r="K633" s="68">
        <v>0</v>
      </c>
      <c r="L633" s="68">
        <v>0</v>
      </c>
      <c r="M633" s="68" t="s">
        <v>8915</v>
      </c>
      <c r="N633" s="68">
        <v>0</v>
      </c>
      <c r="O633" s="68">
        <v>0</v>
      </c>
      <c r="P633" s="198" t="s">
        <v>5608</v>
      </c>
    </row>
    <row r="634" spans="1:16" ht="18.75" hidden="1">
      <c r="A634" s="13" t="s">
        <v>3435</v>
      </c>
      <c r="B634" s="12" t="s">
        <v>3456</v>
      </c>
      <c r="C634" s="12" t="s">
        <v>3344</v>
      </c>
      <c r="D634" s="12" t="s">
        <v>3043</v>
      </c>
      <c r="E634" s="12" t="s">
        <v>3420</v>
      </c>
      <c r="F634" s="20">
        <v>207180</v>
      </c>
      <c r="G634" s="67" t="s">
        <v>5607</v>
      </c>
      <c r="H634" s="14" t="s">
        <v>5601</v>
      </c>
      <c r="I634" s="14" t="s">
        <v>2458</v>
      </c>
      <c r="J634" s="33" t="s">
        <v>7110</v>
      </c>
      <c r="K634" s="68">
        <v>0</v>
      </c>
      <c r="L634" s="68">
        <v>0</v>
      </c>
      <c r="M634" s="68" t="s">
        <v>8915</v>
      </c>
      <c r="N634" s="68">
        <v>0</v>
      </c>
      <c r="O634" s="68">
        <v>0</v>
      </c>
      <c r="P634" s="198" t="s">
        <v>5622</v>
      </c>
    </row>
    <row r="635" spans="1:16" ht="18.75" hidden="1">
      <c r="A635" s="13" t="s">
        <v>3437</v>
      </c>
      <c r="B635" s="12" t="s">
        <v>3460</v>
      </c>
      <c r="C635" s="12" t="s">
        <v>3476</v>
      </c>
      <c r="D635" s="12" t="s">
        <v>3242</v>
      </c>
      <c r="E635" s="12" t="s">
        <v>3420</v>
      </c>
      <c r="F635" s="20">
        <v>9040</v>
      </c>
      <c r="G635" s="67" t="s">
        <v>5609</v>
      </c>
      <c r="H635" s="14" t="s">
        <v>5601</v>
      </c>
      <c r="I635" s="14" t="s">
        <v>2458</v>
      </c>
      <c r="J635" s="33" t="s">
        <v>7110</v>
      </c>
      <c r="K635" s="68">
        <v>0</v>
      </c>
      <c r="L635" s="68">
        <v>0</v>
      </c>
      <c r="M635" s="68" t="s">
        <v>8915</v>
      </c>
      <c r="N635" s="68">
        <v>0</v>
      </c>
      <c r="O635" s="68">
        <v>0</v>
      </c>
      <c r="P635" s="198" t="s">
        <v>5614</v>
      </c>
    </row>
    <row r="636" spans="1:16" ht="18.75" hidden="1">
      <c r="A636" s="13" t="s">
        <v>3439</v>
      </c>
      <c r="B636" s="12" t="s">
        <v>3457</v>
      </c>
      <c r="C636" s="12" t="s">
        <v>3477</v>
      </c>
      <c r="D636" s="12" t="s">
        <v>3322</v>
      </c>
      <c r="E636" s="12" t="s">
        <v>3420</v>
      </c>
      <c r="F636" s="20">
        <v>158840</v>
      </c>
      <c r="G636" s="67" t="s">
        <v>5611</v>
      </c>
      <c r="H636" s="14" t="s">
        <v>5601</v>
      </c>
      <c r="I636" s="14" t="s">
        <v>2458</v>
      </c>
      <c r="J636" s="33" t="s">
        <v>7110</v>
      </c>
      <c r="K636" s="68">
        <v>0</v>
      </c>
      <c r="L636" s="68">
        <v>0</v>
      </c>
      <c r="M636" s="68" t="s">
        <v>8915</v>
      </c>
      <c r="N636" s="68">
        <v>0</v>
      </c>
      <c r="O636" s="68">
        <v>0</v>
      </c>
      <c r="P636" s="198" t="s">
        <v>5627</v>
      </c>
    </row>
    <row r="637" spans="1:16" ht="18.75" hidden="1">
      <c r="A637" s="13" t="s">
        <v>3440</v>
      </c>
      <c r="B637" s="12" t="s">
        <v>3462</v>
      </c>
      <c r="C637" s="12" t="s">
        <v>3478</v>
      </c>
      <c r="D637" s="12" t="s">
        <v>3452</v>
      </c>
      <c r="E637" s="12" t="s">
        <v>3420</v>
      </c>
      <c r="F637" s="20">
        <v>295968</v>
      </c>
      <c r="G637" s="67" t="s">
        <v>5604</v>
      </c>
      <c r="H637" s="14" t="s">
        <v>5602</v>
      </c>
      <c r="I637" s="14" t="s">
        <v>2458</v>
      </c>
      <c r="J637" s="33" t="s">
        <v>7110</v>
      </c>
      <c r="K637" s="68">
        <v>0</v>
      </c>
      <c r="L637" s="68">
        <v>0</v>
      </c>
      <c r="M637" s="68" t="s">
        <v>8915</v>
      </c>
      <c r="N637" s="68">
        <v>0</v>
      </c>
      <c r="O637" s="68">
        <v>0</v>
      </c>
      <c r="P637" s="198" t="s">
        <v>5628</v>
      </c>
    </row>
    <row r="638" spans="1:16" ht="18.75" hidden="1">
      <c r="A638" s="13" t="s">
        <v>3441</v>
      </c>
      <c r="B638" s="12" t="s">
        <v>3457</v>
      </c>
      <c r="C638" s="12" t="s">
        <v>3080</v>
      </c>
      <c r="D638" s="12" t="s">
        <v>2609</v>
      </c>
      <c r="E638" s="12" t="s">
        <v>3420</v>
      </c>
      <c r="F638" s="20">
        <v>60225</v>
      </c>
      <c r="G638" s="67" t="s">
        <v>5604</v>
      </c>
      <c r="H638" s="14" t="s">
        <v>5601</v>
      </c>
      <c r="I638" s="14" t="s">
        <v>2458</v>
      </c>
      <c r="J638" s="33" t="e">
        <f>VLOOKUP(C638,شرکتها!A:B,2,FALSE)</f>
        <v>#N/A</v>
      </c>
      <c r="K638" s="68">
        <v>0</v>
      </c>
      <c r="L638" s="68">
        <v>0</v>
      </c>
      <c r="M638" s="68" t="s">
        <v>8915</v>
      </c>
      <c r="N638" s="68">
        <v>0</v>
      </c>
      <c r="O638" s="68">
        <v>0</v>
      </c>
      <c r="P638" s="198" t="s">
        <v>5613</v>
      </c>
    </row>
    <row r="639" spans="1:16" ht="18.75" hidden="1">
      <c r="A639" s="13" t="s">
        <v>3430</v>
      </c>
      <c r="B639" s="12" t="s">
        <v>3458</v>
      </c>
      <c r="C639" s="12" t="s">
        <v>3355</v>
      </c>
      <c r="D639" s="12" t="s">
        <v>3051</v>
      </c>
      <c r="E639" s="12" t="s">
        <v>3420</v>
      </c>
      <c r="F639" s="20">
        <v>494454</v>
      </c>
      <c r="G639" s="67" t="s">
        <v>5611</v>
      </c>
      <c r="H639" s="14" t="s">
        <v>5601</v>
      </c>
      <c r="I639" s="14" t="s">
        <v>2458</v>
      </c>
      <c r="J639" s="33" t="s">
        <v>7110</v>
      </c>
      <c r="K639" s="68">
        <v>0</v>
      </c>
      <c r="L639" s="68">
        <v>0</v>
      </c>
      <c r="M639" s="68" t="s">
        <v>8915</v>
      </c>
      <c r="N639" s="68">
        <v>0</v>
      </c>
      <c r="O639" s="68">
        <v>0</v>
      </c>
      <c r="P639" s="198" t="s">
        <v>5619</v>
      </c>
    </row>
    <row r="640" spans="1:16" ht="18.75" hidden="1">
      <c r="A640" s="13" t="s">
        <v>3442</v>
      </c>
      <c r="B640" s="12" t="s">
        <v>3421</v>
      </c>
      <c r="C640" s="12" t="s">
        <v>3477</v>
      </c>
      <c r="D640" s="12" t="s">
        <v>3322</v>
      </c>
      <c r="E640" s="12" t="s">
        <v>3420</v>
      </c>
      <c r="F640" s="20">
        <v>49776</v>
      </c>
      <c r="G640" s="67" t="s">
        <v>5611</v>
      </c>
      <c r="H640" s="14" t="s">
        <v>5601</v>
      </c>
      <c r="I640" s="14" t="s">
        <v>2458</v>
      </c>
      <c r="J640" s="33" t="s">
        <v>7110</v>
      </c>
      <c r="K640" s="68">
        <v>0</v>
      </c>
      <c r="L640" s="68">
        <v>0</v>
      </c>
      <c r="M640" s="68" t="s">
        <v>8915</v>
      </c>
      <c r="N640" s="68">
        <v>0</v>
      </c>
      <c r="O640" s="68">
        <v>0</v>
      </c>
      <c r="P640" s="198" t="s">
        <v>5627</v>
      </c>
    </row>
    <row r="641" spans="1:16" ht="18.75" hidden="1">
      <c r="A641" s="13" t="s">
        <v>3443</v>
      </c>
      <c r="B641" s="12" t="s">
        <v>3451</v>
      </c>
      <c r="C641" s="12" t="s">
        <v>3479</v>
      </c>
      <c r="D641" s="12" t="s">
        <v>3421</v>
      </c>
      <c r="E641" s="12" t="s">
        <v>3420</v>
      </c>
      <c r="F641" s="20">
        <v>492019</v>
      </c>
      <c r="G641" s="67" t="s">
        <v>5604</v>
      </c>
      <c r="H641" s="14" t="s">
        <v>5602</v>
      </c>
      <c r="I641" s="14" t="s">
        <v>2458</v>
      </c>
      <c r="J641" s="33" t="s">
        <v>7110</v>
      </c>
      <c r="K641" s="68">
        <v>0</v>
      </c>
      <c r="L641" s="68">
        <v>0</v>
      </c>
      <c r="M641" s="68" t="s">
        <v>8915</v>
      </c>
      <c r="N641" s="68">
        <v>0</v>
      </c>
      <c r="O641" s="68">
        <v>0</v>
      </c>
      <c r="P641" s="198" t="s">
        <v>5628</v>
      </c>
    </row>
    <row r="642" spans="1:16" ht="18.75" hidden="1">
      <c r="A642" s="13" t="s">
        <v>3444</v>
      </c>
      <c r="B642" s="12" t="s">
        <v>3458</v>
      </c>
      <c r="C642" s="12" t="s">
        <v>3252</v>
      </c>
      <c r="D642" s="12" t="s">
        <v>3047</v>
      </c>
      <c r="E642" s="12" t="s">
        <v>3420</v>
      </c>
      <c r="F642" s="20">
        <v>198000</v>
      </c>
      <c r="G642" s="67" t="s">
        <v>5620</v>
      </c>
      <c r="H642" s="14" t="s">
        <v>5601</v>
      </c>
      <c r="I642" s="14" t="s">
        <v>2458</v>
      </c>
      <c r="J642" s="33" t="s">
        <v>7110</v>
      </c>
      <c r="K642" s="68">
        <v>0</v>
      </c>
      <c r="L642" s="68">
        <v>0</v>
      </c>
      <c r="M642" s="68" t="s">
        <v>8915</v>
      </c>
      <c r="N642" s="68">
        <v>0</v>
      </c>
      <c r="O642" s="68">
        <v>0</v>
      </c>
      <c r="P642" s="198" t="s">
        <v>5621</v>
      </c>
    </row>
    <row r="643" spans="1:16" ht="18.75" hidden="1">
      <c r="A643" s="13" t="s">
        <v>3445</v>
      </c>
      <c r="B643" s="12" t="s">
        <v>3452</v>
      </c>
      <c r="C643" s="12" t="s">
        <v>3480</v>
      </c>
      <c r="D643" s="12" t="s">
        <v>3460</v>
      </c>
      <c r="E643" s="12" t="s">
        <v>3420</v>
      </c>
      <c r="F643" s="20">
        <v>492260</v>
      </c>
      <c r="G643" s="67" t="s">
        <v>5636</v>
      </c>
      <c r="H643" s="14" t="s">
        <v>5602</v>
      </c>
      <c r="I643" s="14" t="s">
        <v>2458</v>
      </c>
      <c r="J643" s="33" t="s">
        <v>7110</v>
      </c>
      <c r="K643" s="68">
        <v>0</v>
      </c>
      <c r="L643" s="68">
        <v>0</v>
      </c>
      <c r="M643" s="68" t="s">
        <v>8915</v>
      </c>
      <c r="N643" s="68">
        <v>0</v>
      </c>
      <c r="O643" s="68">
        <v>0</v>
      </c>
      <c r="P643" s="198" t="s">
        <v>5637</v>
      </c>
    </row>
    <row r="644" spans="1:16" ht="18.75" hidden="1">
      <c r="A644" s="13" t="s">
        <v>3437</v>
      </c>
      <c r="B644" s="12" t="s">
        <v>3460</v>
      </c>
      <c r="C644" s="12" t="s">
        <v>3481</v>
      </c>
      <c r="D644" s="12" t="s">
        <v>3047</v>
      </c>
      <c r="E644" s="12" t="s">
        <v>3420</v>
      </c>
      <c r="F644" s="20">
        <v>48700</v>
      </c>
      <c r="G644" s="67" t="s">
        <v>5609</v>
      </c>
      <c r="H644" s="14" t="s">
        <v>5601</v>
      </c>
      <c r="I644" s="14" t="s">
        <v>2458</v>
      </c>
      <c r="J644" s="33" t="s">
        <v>7110</v>
      </c>
      <c r="K644" s="68">
        <v>0</v>
      </c>
      <c r="L644" s="68">
        <v>0</v>
      </c>
      <c r="M644" s="68" t="s">
        <v>8915</v>
      </c>
      <c r="N644" s="68">
        <v>0</v>
      </c>
      <c r="O644" s="68">
        <v>0</v>
      </c>
      <c r="P644" s="198" t="s">
        <v>5614</v>
      </c>
    </row>
    <row r="645" spans="1:16" ht="18.75" hidden="1">
      <c r="A645" s="13" t="s">
        <v>3437</v>
      </c>
      <c r="B645" s="12" t="s">
        <v>3460</v>
      </c>
      <c r="C645" s="12" t="s">
        <v>3472</v>
      </c>
      <c r="D645" s="12" t="s">
        <v>2852</v>
      </c>
      <c r="E645" s="12" t="s">
        <v>3420</v>
      </c>
      <c r="F645" s="20">
        <v>119020</v>
      </c>
      <c r="G645" s="67" t="s">
        <v>5609</v>
      </c>
      <c r="H645" s="14" t="s">
        <v>5601</v>
      </c>
      <c r="I645" s="14" t="s">
        <v>2458</v>
      </c>
      <c r="J645" s="33" t="s">
        <v>7110</v>
      </c>
      <c r="K645" s="68">
        <v>0</v>
      </c>
      <c r="L645" s="68">
        <v>0</v>
      </c>
      <c r="M645" s="68" t="s">
        <v>8915</v>
      </c>
      <c r="N645" s="68">
        <v>0</v>
      </c>
      <c r="O645" s="68">
        <v>0</v>
      </c>
      <c r="P645" s="198" t="s">
        <v>5614</v>
      </c>
    </row>
    <row r="646" spans="1:16" ht="18.75" hidden="1">
      <c r="A646" s="13" t="s">
        <v>3446</v>
      </c>
      <c r="B646" s="12" t="s">
        <v>3456</v>
      </c>
      <c r="C646" s="12" t="s">
        <v>3469</v>
      </c>
      <c r="D646" s="12" t="s">
        <v>3040</v>
      </c>
      <c r="E646" s="12" t="s">
        <v>3420</v>
      </c>
      <c r="F646" s="20">
        <v>199000</v>
      </c>
      <c r="G646" s="67" t="s">
        <v>5604</v>
      </c>
      <c r="H646" s="14" t="s">
        <v>5601</v>
      </c>
      <c r="I646" s="14" t="s">
        <v>2458</v>
      </c>
      <c r="J646" s="33" t="s">
        <v>7110</v>
      </c>
      <c r="K646" s="68">
        <v>0</v>
      </c>
      <c r="L646" s="68">
        <v>0</v>
      </c>
      <c r="M646" s="68" t="s">
        <v>8915</v>
      </c>
      <c r="N646" s="68">
        <v>0</v>
      </c>
      <c r="O646" s="68">
        <v>0</v>
      </c>
      <c r="P646" s="198" t="s">
        <v>5618</v>
      </c>
    </row>
    <row r="647" spans="1:16" ht="18.75" hidden="1">
      <c r="A647" s="13" t="s">
        <v>3447</v>
      </c>
      <c r="B647" s="12" t="s">
        <v>3459</v>
      </c>
      <c r="C647" s="12" t="s">
        <v>3470</v>
      </c>
      <c r="D647" s="12" t="s">
        <v>3047</v>
      </c>
      <c r="E647" s="12" t="s">
        <v>3420</v>
      </c>
      <c r="F647" s="20">
        <v>396280</v>
      </c>
      <c r="G647" s="67" t="s">
        <v>5604</v>
      </c>
      <c r="H647" s="14" t="s">
        <v>5601</v>
      </c>
      <c r="I647" s="14" t="s">
        <v>2458</v>
      </c>
      <c r="J647" s="33" t="s">
        <v>7110</v>
      </c>
      <c r="K647" s="68">
        <v>0</v>
      </c>
      <c r="L647" s="68">
        <v>0</v>
      </c>
      <c r="M647" s="68" t="s">
        <v>8915</v>
      </c>
      <c r="N647" s="68">
        <v>0</v>
      </c>
      <c r="O647" s="68">
        <v>0</v>
      </c>
      <c r="P647" s="198" t="s">
        <v>5618</v>
      </c>
    </row>
    <row r="648" spans="1:16" ht="18.75" hidden="1">
      <c r="A648" s="13" t="s">
        <v>3429</v>
      </c>
      <c r="B648" s="12" t="s">
        <v>3457</v>
      </c>
      <c r="C648" s="12" t="s">
        <v>3477</v>
      </c>
      <c r="D648" s="12" t="s">
        <v>3322</v>
      </c>
      <c r="E648" s="12" t="s">
        <v>3420</v>
      </c>
      <c r="F648" s="20">
        <v>57625</v>
      </c>
      <c r="G648" s="67" t="s">
        <v>5611</v>
      </c>
      <c r="H648" s="14" t="s">
        <v>5601</v>
      </c>
      <c r="I648" s="14" t="s">
        <v>2458</v>
      </c>
      <c r="J648" s="33" t="s">
        <v>7110</v>
      </c>
      <c r="K648" s="68">
        <v>0</v>
      </c>
      <c r="L648" s="68">
        <v>0</v>
      </c>
      <c r="M648" s="68" t="s">
        <v>8915</v>
      </c>
      <c r="N648" s="68">
        <v>0</v>
      </c>
      <c r="O648" s="68">
        <v>0</v>
      </c>
      <c r="P648" s="198" t="s">
        <v>5627</v>
      </c>
    </row>
    <row r="649" spans="1:16" ht="18.75" hidden="1">
      <c r="A649" s="13" t="s">
        <v>3429</v>
      </c>
      <c r="B649" s="12" t="s">
        <v>3457</v>
      </c>
      <c r="C649" s="12" t="s">
        <v>3482</v>
      </c>
      <c r="D649" s="12" t="s">
        <v>3377</v>
      </c>
      <c r="E649" s="12" t="s">
        <v>3420</v>
      </c>
      <c r="F649" s="20">
        <v>118940</v>
      </c>
      <c r="G649" s="67" t="s">
        <v>5611</v>
      </c>
      <c r="H649" s="14" t="s">
        <v>5601</v>
      </c>
      <c r="I649" s="14" t="s">
        <v>2458</v>
      </c>
      <c r="J649" s="33" t="s">
        <v>7110</v>
      </c>
      <c r="K649" s="68">
        <v>0</v>
      </c>
      <c r="L649" s="68">
        <v>0</v>
      </c>
      <c r="M649" s="68" t="s">
        <v>8915</v>
      </c>
      <c r="N649" s="68">
        <v>0</v>
      </c>
      <c r="O649" s="68">
        <v>0</v>
      </c>
      <c r="P649" s="198" t="s">
        <v>5627</v>
      </c>
    </row>
    <row r="650" spans="1:16" ht="18.75" hidden="1">
      <c r="A650" s="13" t="s">
        <v>3429</v>
      </c>
      <c r="B650" s="12" t="s">
        <v>3457</v>
      </c>
      <c r="C650" s="12" t="s">
        <v>3401</v>
      </c>
      <c r="D650" s="12" t="s">
        <v>2860</v>
      </c>
      <c r="E650" s="12" t="s">
        <v>3420</v>
      </c>
      <c r="F650" s="20">
        <v>18845</v>
      </c>
      <c r="G650" s="67" t="s">
        <v>5609</v>
      </c>
      <c r="H650" s="14" t="s">
        <v>5601</v>
      </c>
      <c r="I650" s="14" t="s">
        <v>2458</v>
      </c>
      <c r="J650" s="33" t="s">
        <v>7110</v>
      </c>
      <c r="K650" s="68">
        <v>0</v>
      </c>
      <c r="L650" s="68">
        <v>0</v>
      </c>
      <c r="M650" s="68" t="s">
        <v>8915</v>
      </c>
      <c r="N650" s="68">
        <v>0</v>
      </c>
      <c r="O650" s="68">
        <v>0</v>
      </c>
      <c r="P650" s="198" t="s">
        <v>5614</v>
      </c>
    </row>
    <row r="651" spans="1:16" ht="18.75" hidden="1">
      <c r="A651" s="13" t="s">
        <v>3448</v>
      </c>
      <c r="B651" s="12" t="s">
        <v>3463</v>
      </c>
      <c r="C651" s="12" t="s">
        <v>3471</v>
      </c>
      <c r="D651" s="12" t="s">
        <v>3041</v>
      </c>
      <c r="E651" s="12" t="s">
        <v>3420</v>
      </c>
      <c r="F651" s="20">
        <v>499695</v>
      </c>
      <c r="G651" s="67" t="s">
        <v>5607</v>
      </c>
      <c r="H651" s="14" t="s">
        <v>5601</v>
      </c>
      <c r="I651" s="14" t="s">
        <v>2458</v>
      </c>
      <c r="J651" s="33" t="s">
        <v>7110</v>
      </c>
      <c r="K651" s="68">
        <v>0</v>
      </c>
      <c r="L651" s="68">
        <v>0</v>
      </c>
      <c r="M651" s="68" t="s">
        <v>8915</v>
      </c>
      <c r="N651" s="68">
        <v>0</v>
      </c>
      <c r="O651" s="68">
        <v>0</v>
      </c>
      <c r="P651" s="198" t="s">
        <v>5622</v>
      </c>
    </row>
    <row r="652" spans="1:16" ht="18.75" hidden="1">
      <c r="A652" s="13" t="s">
        <v>3449</v>
      </c>
      <c r="B652" s="12" t="s">
        <v>3464</v>
      </c>
      <c r="C652" s="12" t="s">
        <v>3483</v>
      </c>
      <c r="D652" s="12" t="s">
        <v>2852</v>
      </c>
      <c r="E652" s="12" t="s">
        <v>3420</v>
      </c>
      <c r="F652" s="20">
        <v>606540</v>
      </c>
      <c r="G652" s="67" t="s">
        <v>5609</v>
      </c>
      <c r="H652" s="14" t="s">
        <v>5601</v>
      </c>
      <c r="I652" s="14" t="s">
        <v>2458</v>
      </c>
      <c r="J652" s="33" t="s">
        <v>7110</v>
      </c>
      <c r="K652" s="68">
        <v>0</v>
      </c>
      <c r="L652" s="68">
        <v>0</v>
      </c>
      <c r="M652" s="68" t="s">
        <v>8915</v>
      </c>
      <c r="N652" s="68">
        <v>0</v>
      </c>
      <c r="O652" s="68">
        <v>0</v>
      </c>
      <c r="P652" s="198" t="s">
        <v>5614</v>
      </c>
    </row>
    <row r="653" spans="1:16" ht="18.75" hidden="1">
      <c r="A653" s="13" t="s">
        <v>3530</v>
      </c>
      <c r="B653" s="12" t="s">
        <v>3506</v>
      </c>
      <c r="C653" s="12" t="s">
        <v>3382</v>
      </c>
      <c r="D653" s="12" t="s">
        <v>2754</v>
      </c>
      <c r="E653" s="12">
        <v>95</v>
      </c>
      <c r="F653" s="47">
        <v>91300</v>
      </c>
      <c r="G653" s="67" t="s">
        <v>5607</v>
      </c>
      <c r="H653" s="14" t="s">
        <v>5601</v>
      </c>
      <c r="I653" s="14" t="s">
        <v>2458</v>
      </c>
      <c r="J653" s="33" t="s">
        <v>7110</v>
      </c>
      <c r="K653" s="68">
        <v>0</v>
      </c>
      <c r="L653" s="68">
        <v>0</v>
      </c>
      <c r="M653" s="68" t="s">
        <v>8915</v>
      </c>
      <c r="N653" s="68">
        <v>0</v>
      </c>
      <c r="O653" s="68">
        <v>0</v>
      </c>
      <c r="P653" s="198" t="s">
        <v>5608</v>
      </c>
    </row>
    <row r="654" spans="1:16" ht="18.75" hidden="1">
      <c r="A654" s="13" t="s">
        <v>3486</v>
      </c>
      <c r="B654" s="12" t="s">
        <v>3464</v>
      </c>
      <c r="C654" s="12" t="s">
        <v>3510</v>
      </c>
      <c r="D654" s="12" t="s">
        <v>3508</v>
      </c>
      <c r="E654" s="12" t="s">
        <v>3420</v>
      </c>
      <c r="F654" s="20">
        <v>293679</v>
      </c>
      <c r="G654" s="67" t="s">
        <v>5604</v>
      </c>
      <c r="H654" s="14" t="s">
        <v>5602</v>
      </c>
      <c r="I654" s="14" t="s">
        <v>2458</v>
      </c>
      <c r="J654" s="33" t="s">
        <v>7110</v>
      </c>
      <c r="K654" s="68">
        <v>0</v>
      </c>
      <c r="L654" s="68">
        <v>0</v>
      </c>
      <c r="M654" s="68" t="s">
        <v>8915</v>
      </c>
      <c r="N654" s="68">
        <v>0</v>
      </c>
      <c r="O654" s="68">
        <v>0</v>
      </c>
      <c r="P654" s="198" t="s">
        <v>5642</v>
      </c>
    </row>
    <row r="655" spans="1:16" ht="18.75" hidden="1">
      <c r="A655" s="13" t="s">
        <v>3487</v>
      </c>
      <c r="B655" s="12" t="s">
        <v>3464</v>
      </c>
      <c r="C655" s="12" t="s">
        <v>3511</v>
      </c>
      <c r="D655" s="12" t="s">
        <v>3505</v>
      </c>
      <c r="E655" s="12" t="s">
        <v>3420</v>
      </c>
      <c r="F655" s="20">
        <v>489964</v>
      </c>
      <c r="G655" s="67" t="s">
        <v>5616</v>
      </c>
      <c r="H655" s="14" t="s">
        <v>5602</v>
      </c>
      <c r="I655" s="14" t="s">
        <v>2458</v>
      </c>
      <c r="J655" s="33" t="s">
        <v>7110</v>
      </c>
      <c r="K655" s="68">
        <v>0</v>
      </c>
      <c r="L655" s="68">
        <v>0</v>
      </c>
      <c r="M655" s="68" t="s">
        <v>8915</v>
      </c>
      <c r="N655" s="68">
        <v>0</v>
      </c>
      <c r="O655" s="68">
        <v>0</v>
      </c>
      <c r="P655" s="198" t="s">
        <v>5641</v>
      </c>
    </row>
    <row r="656" spans="1:16" ht="18.75" hidden="1">
      <c r="A656" s="13" t="s">
        <v>3488</v>
      </c>
      <c r="B656" s="12" t="s">
        <v>3463</v>
      </c>
      <c r="C656" s="12" t="s">
        <v>3406</v>
      </c>
      <c r="D656" s="12" t="s">
        <v>3323</v>
      </c>
      <c r="E656" s="12" t="s">
        <v>3420</v>
      </c>
      <c r="F656" s="20">
        <v>65674</v>
      </c>
      <c r="G656" s="67" t="s">
        <v>5604</v>
      </c>
      <c r="H656" s="14" t="s">
        <v>5601</v>
      </c>
      <c r="I656" s="14" t="s">
        <v>2458</v>
      </c>
      <c r="J656" s="33" t="s">
        <v>7110</v>
      </c>
      <c r="K656" s="68">
        <v>0</v>
      </c>
      <c r="L656" s="68">
        <v>0</v>
      </c>
      <c r="M656" s="68" t="s">
        <v>8915</v>
      </c>
      <c r="N656" s="68">
        <v>0</v>
      </c>
      <c r="O656" s="68">
        <v>0</v>
      </c>
      <c r="P656" s="198" t="s">
        <v>5618</v>
      </c>
    </row>
    <row r="657" spans="1:16" ht="18.75" hidden="1">
      <c r="A657" s="13" t="s">
        <v>3488</v>
      </c>
      <c r="B657" s="12" t="s">
        <v>3463</v>
      </c>
      <c r="C657" s="12" t="s">
        <v>3512</v>
      </c>
      <c r="D657" s="12" t="s">
        <v>3397</v>
      </c>
      <c r="E657" s="12" t="s">
        <v>3420</v>
      </c>
      <c r="F657" s="20">
        <v>197590</v>
      </c>
      <c r="G657" s="67" t="s">
        <v>5604</v>
      </c>
      <c r="H657" s="14" t="s">
        <v>5601</v>
      </c>
      <c r="I657" s="14" t="s">
        <v>2458</v>
      </c>
      <c r="J657" s="33" t="s">
        <v>7110</v>
      </c>
      <c r="K657" s="68">
        <v>0</v>
      </c>
      <c r="L657" s="68">
        <v>0</v>
      </c>
      <c r="M657" s="68" t="s">
        <v>8915</v>
      </c>
      <c r="N657" s="68">
        <v>0</v>
      </c>
      <c r="O657" s="68">
        <v>0</v>
      </c>
      <c r="P657" s="198" t="s">
        <v>5618</v>
      </c>
    </row>
    <row r="658" spans="1:16" ht="18.75" hidden="1">
      <c r="A658" s="13" t="s">
        <v>3489</v>
      </c>
      <c r="B658" s="12" t="s">
        <v>3504</v>
      </c>
      <c r="C658" s="12" t="s">
        <v>3513</v>
      </c>
      <c r="D658" s="12" t="s">
        <v>2609</v>
      </c>
      <c r="E658" s="12" t="s">
        <v>3420</v>
      </c>
      <c r="F658" s="20">
        <v>299820</v>
      </c>
      <c r="G658" s="67" t="s">
        <v>5609</v>
      </c>
      <c r="H658" s="14" t="s">
        <v>5601</v>
      </c>
      <c r="I658" s="14" t="s">
        <v>2458</v>
      </c>
      <c r="J658" s="33" t="s">
        <v>7110</v>
      </c>
      <c r="K658" s="68">
        <v>0</v>
      </c>
      <c r="L658" s="68">
        <v>0</v>
      </c>
      <c r="M658" s="68" t="s">
        <v>8915</v>
      </c>
      <c r="N658" s="68">
        <v>0</v>
      </c>
      <c r="O658" s="68">
        <v>0</v>
      </c>
      <c r="P658" s="198" t="s">
        <v>5614</v>
      </c>
    </row>
    <row r="659" spans="1:16" ht="18.75" hidden="1">
      <c r="A659" s="13" t="s">
        <v>3490</v>
      </c>
      <c r="B659" s="12" t="s">
        <v>3505</v>
      </c>
      <c r="C659" s="12" t="s">
        <v>3514</v>
      </c>
      <c r="D659" s="12" t="s">
        <v>3528</v>
      </c>
      <c r="E659" s="12" t="s">
        <v>3420</v>
      </c>
      <c r="F659" s="20">
        <v>972871</v>
      </c>
      <c r="G659" s="67" t="s">
        <v>5611</v>
      </c>
      <c r="H659" s="14" t="s">
        <v>5602</v>
      </c>
      <c r="I659" s="14" t="s">
        <v>2458</v>
      </c>
      <c r="J659" s="33" t="s">
        <v>7110</v>
      </c>
      <c r="K659" s="68">
        <v>0</v>
      </c>
      <c r="L659" s="68">
        <v>0</v>
      </c>
      <c r="M659" s="68" t="s">
        <v>8915</v>
      </c>
      <c r="N659" s="68">
        <v>0</v>
      </c>
      <c r="O659" s="68">
        <v>0</v>
      </c>
      <c r="P659" s="198" t="s">
        <v>5630</v>
      </c>
    </row>
    <row r="660" spans="1:16" ht="18.75" hidden="1">
      <c r="A660" s="13" t="s">
        <v>3491</v>
      </c>
      <c r="B660" s="12" t="s">
        <v>3455</v>
      </c>
      <c r="C660" s="12" t="s">
        <v>3515</v>
      </c>
      <c r="D660" s="12" t="s">
        <v>3509</v>
      </c>
      <c r="E660" s="12" t="s">
        <v>3420</v>
      </c>
      <c r="F660" s="20">
        <v>982193</v>
      </c>
      <c r="G660" s="67" t="s">
        <v>5604</v>
      </c>
      <c r="H660" s="14" t="s">
        <v>5602</v>
      </c>
      <c r="I660" s="14" t="s">
        <v>2458</v>
      </c>
      <c r="J660" s="33" t="s">
        <v>7110</v>
      </c>
      <c r="K660" s="68">
        <v>0</v>
      </c>
      <c r="L660" s="68">
        <v>0</v>
      </c>
      <c r="M660" s="68" t="s">
        <v>8915</v>
      </c>
      <c r="N660" s="68">
        <v>0</v>
      </c>
      <c r="O660" s="68">
        <v>0</v>
      </c>
      <c r="P660" s="198" t="s">
        <v>5628</v>
      </c>
    </row>
    <row r="661" spans="1:16" ht="18.75" hidden="1">
      <c r="A661" s="13" t="s">
        <v>3489</v>
      </c>
      <c r="B661" s="12" t="s">
        <v>3504</v>
      </c>
      <c r="C661" s="12" t="s">
        <v>3516</v>
      </c>
      <c r="D661" s="12" t="s">
        <v>2855</v>
      </c>
      <c r="E661" s="12" t="s">
        <v>3420</v>
      </c>
      <c r="F661" s="20">
        <v>1000000</v>
      </c>
      <c r="G661" s="67" t="s">
        <v>5609</v>
      </c>
      <c r="H661" s="14" t="s">
        <v>5601</v>
      </c>
      <c r="I661" s="14" t="s">
        <v>2458</v>
      </c>
      <c r="J661" s="33" t="s">
        <v>7110</v>
      </c>
      <c r="K661" s="68">
        <v>0</v>
      </c>
      <c r="L661" s="68">
        <v>0</v>
      </c>
      <c r="M661" s="68" t="s">
        <v>8915</v>
      </c>
      <c r="N661" s="68">
        <v>0</v>
      </c>
      <c r="O661" s="68">
        <v>0</v>
      </c>
      <c r="P661" s="198" t="s">
        <v>5614</v>
      </c>
    </row>
    <row r="662" spans="1:16" ht="18.75" hidden="1">
      <c r="A662" s="13" t="s">
        <v>3489</v>
      </c>
      <c r="B662" s="12" t="s">
        <v>3504</v>
      </c>
      <c r="C662" s="12" t="s">
        <v>3476</v>
      </c>
      <c r="D662" s="12" t="s">
        <v>3242</v>
      </c>
      <c r="E662" s="12" t="s">
        <v>3420</v>
      </c>
      <c r="F662" s="20">
        <v>100651</v>
      </c>
      <c r="G662" s="67" t="s">
        <v>5609</v>
      </c>
      <c r="H662" s="14" t="s">
        <v>5601</v>
      </c>
      <c r="I662" s="14" t="s">
        <v>2458</v>
      </c>
      <c r="J662" s="33" t="s">
        <v>7110</v>
      </c>
      <c r="K662" s="68">
        <v>0</v>
      </c>
      <c r="L662" s="68">
        <v>0</v>
      </c>
      <c r="M662" s="68" t="s">
        <v>8915</v>
      </c>
      <c r="N662" s="68">
        <v>0</v>
      </c>
      <c r="O662" s="68">
        <v>0</v>
      </c>
      <c r="P662" s="198" t="s">
        <v>5614</v>
      </c>
    </row>
    <row r="663" spans="1:16" ht="18.75" hidden="1">
      <c r="A663" s="13" t="s">
        <v>3492</v>
      </c>
      <c r="B663" s="12" t="s">
        <v>3506</v>
      </c>
      <c r="C663" s="12" t="s">
        <v>3517</v>
      </c>
      <c r="D663" s="12" t="s">
        <v>3508</v>
      </c>
      <c r="E663" s="12" t="s">
        <v>3420</v>
      </c>
      <c r="F663" s="20">
        <v>970302</v>
      </c>
      <c r="G663" s="67" t="s">
        <v>5604</v>
      </c>
      <c r="H663" s="14" t="s">
        <v>5602</v>
      </c>
      <c r="I663" s="14" t="s">
        <v>2458</v>
      </c>
      <c r="J663" s="33" t="s">
        <v>7110</v>
      </c>
      <c r="K663" s="68">
        <v>0</v>
      </c>
      <c r="L663" s="68">
        <v>0</v>
      </c>
      <c r="M663" s="68" t="s">
        <v>8915</v>
      </c>
      <c r="N663" s="68">
        <v>0</v>
      </c>
      <c r="O663" s="68">
        <v>0</v>
      </c>
      <c r="P663" s="198" t="s">
        <v>5628</v>
      </c>
    </row>
    <row r="664" spans="1:16" ht="18.75" hidden="1">
      <c r="A664" s="13" t="s">
        <v>3489</v>
      </c>
      <c r="B664" s="12" t="s">
        <v>3504</v>
      </c>
      <c r="C664" s="12" t="s">
        <v>3346</v>
      </c>
      <c r="D664" s="12" t="s">
        <v>2863</v>
      </c>
      <c r="E664" s="12" t="s">
        <v>3420</v>
      </c>
      <c r="F664" s="20">
        <v>78049</v>
      </c>
      <c r="G664" s="67" t="s">
        <v>5607</v>
      </c>
      <c r="H664" s="14" t="s">
        <v>5601</v>
      </c>
      <c r="I664" s="14" t="s">
        <v>2458</v>
      </c>
      <c r="J664" s="33" t="s">
        <v>7110</v>
      </c>
      <c r="K664" s="68">
        <v>0</v>
      </c>
      <c r="L664" s="68">
        <v>0</v>
      </c>
      <c r="M664" s="68" t="s">
        <v>8915</v>
      </c>
      <c r="N664" s="68">
        <v>0</v>
      </c>
      <c r="O664" s="68">
        <v>0</v>
      </c>
      <c r="P664" s="198" t="s">
        <v>5608</v>
      </c>
    </row>
    <row r="665" spans="1:16" ht="18.75" hidden="1">
      <c r="A665" s="13" t="s">
        <v>3489</v>
      </c>
      <c r="B665" s="12" t="s">
        <v>3504</v>
      </c>
      <c r="C665" s="12" t="s">
        <v>3252</v>
      </c>
      <c r="D665" s="12" t="s">
        <v>3047</v>
      </c>
      <c r="E665" s="12" t="s">
        <v>3420</v>
      </c>
      <c r="F665" s="20">
        <v>17710</v>
      </c>
      <c r="G665" s="67" t="s">
        <v>5620</v>
      </c>
      <c r="H665" s="14" t="s">
        <v>5601</v>
      </c>
      <c r="I665" s="14" t="s">
        <v>2458</v>
      </c>
      <c r="J665" s="33" t="s">
        <v>7110</v>
      </c>
      <c r="K665" s="68">
        <v>0</v>
      </c>
      <c r="L665" s="68">
        <v>0</v>
      </c>
      <c r="M665" s="68" t="s">
        <v>8915</v>
      </c>
      <c r="N665" s="68">
        <v>0</v>
      </c>
      <c r="O665" s="68">
        <v>0</v>
      </c>
      <c r="P665" s="198" t="s">
        <v>5621</v>
      </c>
    </row>
    <row r="666" spans="1:16" ht="18.75" hidden="1">
      <c r="A666" s="13" t="s">
        <v>3493</v>
      </c>
      <c r="B666" s="12" t="s">
        <v>3464</v>
      </c>
      <c r="C666" s="12" t="s">
        <v>3518</v>
      </c>
      <c r="D666" s="12" t="s">
        <v>3508</v>
      </c>
      <c r="E666" s="12" t="s">
        <v>3420</v>
      </c>
      <c r="F666" s="20">
        <v>485257</v>
      </c>
      <c r="G666" s="67" t="s">
        <v>5604</v>
      </c>
      <c r="H666" s="14" t="s">
        <v>5602</v>
      </c>
      <c r="I666" s="14" t="s">
        <v>2458</v>
      </c>
      <c r="J666" s="33" t="s">
        <v>7110</v>
      </c>
      <c r="K666" s="68">
        <v>0</v>
      </c>
      <c r="L666" s="68">
        <v>0</v>
      </c>
      <c r="M666" s="68" t="s">
        <v>8915</v>
      </c>
      <c r="N666" s="68">
        <v>0</v>
      </c>
      <c r="O666" s="68">
        <v>0</v>
      </c>
      <c r="P666" s="198" t="s">
        <v>5642</v>
      </c>
    </row>
    <row r="667" spans="1:16" ht="18.75" hidden="1">
      <c r="A667" s="13" t="s">
        <v>3489</v>
      </c>
      <c r="B667" s="12" t="s">
        <v>3504</v>
      </c>
      <c r="C667" s="12" t="s">
        <v>3092</v>
      </c>
      <c r="D667" s="12" t="s">
        <v>2754</v>
      </c>
      <c r="E667" s="12" t="s">
        <v>3420</v>
      </c>
      <c r="F667" s="20">
        <v>1750</v>
      </c>
      <c r="G667" s="67" t="s">
        <v>5607</v>
      </c>
      <c r="H667" s="14" t="s">
        <v>5601</v>
      </c>
      <c r="I667" s="14" t="s">
        <v>2458</v>
      </c>
      <c r="J667" s="33" t="s">
        <v>7110</v>
      </c>
      <c r="K667" s="68">
        <v>0</v>
      </c>
      <c r="L667" s="68">
        <v>0</v>
      </c>
      <c r="M667" s="68" t="s">
        <v>8915</v>
      </c>
      <c r="N667" s="68">
        <v>0</v>
      </c>
      <c r="O667" s="68">
        <v>0</v>
      </c>
      <c r="P667" s="198" t="s">
        <v>5608</v>
      </c>
    </row>
    <row r="668" spans="1:16" ht="18.75" hidden="1">
      <c r="A668" s="13" t="s">
        <v>3489</v>
      </c>
      <c r="B668" s="12" t="s">
        <v>3504</v>
      </c>
      <c r="C668" s="12" t="s">
        <v>3519</v>
      </c>
      <c r="D668" s="12" t="s">
        <v>2749</v>
      </c>
      <c r="E668" s="12" t="s">
        <v>3420</v>
      </c>
      <c r="F668" s="20">
        <v>499720</v>
      </c>
      <c r="G668" s="67" t="s">
        <v>5607</v>
      </c>
      <c r="H668" s="14" t="s">
        <v>5601</v>
      </c>
      <c r="I668" s="14" t="s">
        <v>2458</v>
      </c>
      <c r="J668" s="33" t="s">
        <v>7110</v>
      </c>
      <c r="K668" s="68">
        <v>0</v>
      </c>
      <c r="L668" s="68">
        <v>0</v>
      </c>
      <c r="M668" s="68" t="s">
        <v>8915</v>
      </c>
      <c r="N668" s="68">
        <v>0</v>
      </c>
      <c r="O668" s="68">
        <v>0</v>
      </c>
      <c r="P668" s="198" t="s">
        <v>5608</v>
      </c>
    </row>
    <row r="669" spans="1:16" ht="18.75" hidden="1">
      <c r="A669" s="13" t="s">
        <v>3488</v>
      </c>
      <c r="B669" s="12" t="s">
        <v>3463</v>
      </c>
      <c r="C669" s="12" t="s">
        <v>3520</v>
      </c>
      <c r="D669" s="12" t="s">
        <v>3458</v>
      </c>
      <c r="E669" s="12" t="s">
        <v>3420</v>
      </c>
      <c r="F669" s="20">
        <v>714549</v>
      </c>
      <c r="G669" s="67" t="s">
        <v>5604</v>
      </c>
      <c r="H669" s="14" t="s">
        <v>5601</v>
      </c>
      <c r="I669" s="14" t="s">
        <v>2458</v>
      </c>
      <c r="J669" s="33" t="s">
        <v>7110</v>
      </c>
      <c r="K669" s="68">
        <v>0</v>
      </c>
      <c r="L669" s="68">
        <v>0</v>
      </c>
      <c r="M669" s="68" t="s">
        <v>8915</v>
      </c>
      <c r="N669" s="68">
        <v>0</v>
      </c>
      <c r="O669" s="68">
        <v>0</v>
      </c>
      <c r="P669" s="198" t="s">
        <v>5618</v>
      </c>
    </row>
    <row r="670" spans="1:16" ht="18.75" hidden="1">
      <c r="A670" s="13" t="s">
        <v>3494</v>
      </c>
      <c r="B670" s="12" t="s">
        <v>3507</v>
      </c>
      <c r="C670" s="12" t="s">
        <v>3521</v>
      </c>
      <c r="D670" s="12" t="s">
        <v>3529</v>
      </c>
      <c r="E670" s="12" t="s">
        <v>3420</v>
      </c>
      <c r="F670" s="20">
        <v>195282</v>
      </c>
      <c r="G670" s="67" t="s">
        <v>5611</v>
      </c>
      <c r="H670" s="14" t="s">
        <v>5602</v>
      </c>
      <c r="I670" s="14" t="s">
        <v>2458</v>
      </c>
      <c r="J670" s="33" t="s">
        <v>7110</v>
      </c>
      <c r="K670" s="68">
        <v>0</v>
      </c>
      <c r="L670" s="68">
        <v>0</v>
      </c>
      <c r="M670" s="68" t="s">
        <v>8915</v>
      </c>
      <c r="N670" s="68">
        <v>0</v>
      </c>
      <c r="O670" s="68">
        <v>0</v>
      </c>
      <c r="P670" s="198" t="s">
        <v>5630</v>
      </c>
    </row>
    <row r="671" spans="1:16" ht="18.75" hidden="1">
      <c r="A671" s="13" t="s">
        <v>3495</v>
      </c>
      <c r="B671" s="12" t="s">
        <v>3504</v>
      </c>
      <c r="C671" s="12" t="s">
        <v>3470</v>
      </c>
      <c r="D671" s="12" t="s">
        <v>3047</v>
      </c>
      <c r="E671" s="12" t="s">
        <v>3420</v>
      </c>
      <c r="F671" s="20">
        <v>365638</v>
      </c>
      <c r="G671" s="67" t="s">
        <v>5604</v>
      </c>
      <c r="H671" s="14" t="s">
        <v>5601</v>
      </c>
      <c r="I671" s="14" t="s">
        <v>2458</v>
      </c>
      <c r="J671" s="33" t="s">
        <v>7110</v>
      </c>
      <c r="K671" s="68">
        <v>0</v>
      </c>
      <c r="L671" s="68">
        <v>0</v>
      </c>
      <c r="M671" s="68" t="s">
        <v>8915</v>
      </c>
      <c r="N671" s="68">
        <v>0</v>
      </c>
      <c r="O671" s="68">
        <v>0</v>
      </c>
      <c r="P671" s="198" t="s">
        <v>5618</v>
      </c>
    </row>
    <row r="672" spans="1:16" ht="18.75" hidden="1">
      <c r="A672" s="13" t="s">
        <v>3495</v>
      </c>
      <c r="B672" s="12" t="s">
        <v>3504</v>
      </c>
      <c r="C672" s="12" t="s">
        <v>3177</v>
      </c>
      <c r="D672" s="12" t="s">
        <v>3165</v>
      </c>
      <c r="E672" s="12" t="s">
        <v>3420</v>
      </c>
      <c r="F672" s="20">
        <v>87134</v>
      </c>
      <c r="G672" s="67" t="s">
        <v>5611</v>
      </c>
      <c r="H672" s="14" t="s">
        <v>5601</v>
      </c>
      <c r="I672" s="14" t="s">
        <v>2458</v>
      </c>
      <c r="J672" s="33" t="s">
        <v>7110</v>
      </c>
      <c r="K672" s="68">
        <v>0</v>
      </c>
      <c r="L672" s="68">
        <v>0</v>
      </c>
      <c r="M672" s="68" t="s">
        <v>8915</v>
      </c>
      <c r="N672" s="68">
        <v>0</v>
      </c>
      <c r="O672" s="68">
        <v>0</v>
      </c>
      <c r="P672" s="198" t="s">
        <v>5619</v>
      </c>
    </row>
    <row r="673" spans="1:16" ht="18.75" hidden="1">
      <c r="A673" s="13" t="s">
        <v>3495</v>
      </c>
      <c r="B673" s="12" t="s">
        <v>3504</v>
      </c>
      <c r="C673" s="12" t="s">
        <v>3134</v>
      </c>
      <c r="D673" s="12" t="s">
        <v>2868</v>
      </c>
      <c r="E673" s="12" t="s">
        <v>3420</v>
      </c>
      <c r="F673" s="20">
        <v>4380</v>
      </c>
      <c r="G673" s="67" t="s">
        <v>5604</v>
      </c>
      <c r="H673" s="14" t="s">
        <v>5601</v>
      </c>
      <c r="I673" s="14" t="s">
        <v>2458</v>
      </c>
      <c r="J673" s="33" t="s">
        <v>7110</v>
      </c>
      <c r="K673" s="68">
        <v>0</v>
      </c>
      <c r="L673" s="68">
        <v>0</v>
      </c>
      <c r="M673" s="68" t="s">
        <v>8915</v>
      </c>
      <c r="N673" s="68">
        <v>0</v>
      </c>
      <c r="O673" s="68">
        <v>0</v>
      </c>
      <c r="P673" s="198" t="s">
        <v>5618</v>
      </c>
    </row>
    <row r="674" spans="1:16" ht="18.75" hidden="1">
      <c r="A674" s="13" t="s">
        <v>3496</v>
      </c>
      <c r="B674" s="12" t="s">
        <v>3455</v>
      </c>
      <c r="C674" s="12" t="s">
        <v>3522</v>
      </c>
      <c r="D674" s="12" t="s">
        <v>3421</v>
      </c>
      <c r="E674" s="12" t="s">
        <v>3420</v>
      </c>
      <c r="F674" s="20">
        <v>1000000</v>
      </c>
      <c r="G674" s="67" t="s">
        <v>5631</v>
      </c>
      <c r="H674" s="14" t="s">
        <v>5601</v>
      </c>
      <c r="I674" s="14" t="s">
        <v>2458</v>
      </c>
      <c r="J674" s="33" t="s">
        <v>7110</v>
      </c>
      <c r="K674" s="68">
        <v>0</v>
      </c>
      <c r="L674" s="68">
        <v>0</v>
      </c>
      <c r="M674" s="68" t="s">
        <v>8915</v>
      </c>
      <c r="N674" s="68">
        <v>0</v>
      </c>
      <c r="O674" s="68">
        <v>0</v>
      </c>
      <c r="P674" s="197" t="s">
        <v>5632</v>
      </c>
    </row>
    <row r="675" spans="1:16" ht="18.75" hidden="1">
      <c r="A675" s="13" t="s">
        <v>3497</v>
      </c>
      <c r="B675" s="12" t="s">
        <v>3506</v>
      </c>
      <c r="C675" s="12" t="s">
        <v>3483</v>
      </c>
      <c r="D675" s="12" t="s">
        <v>2852</v>
      </c>
      <c r="E675" s="12" t="s">
        <v>3420</v>
      </c>
      <c r="F675" s="20">
        <v>300000</v>
      </c>
      <c r="G675" s="67" t="s">
        <v>5609</v>
      </c>
      <c r="H675" s="14" t="s">
        <v>5601</v>
      </c>
      <c r="I675" s="14" t="s">
        <v>2458</v>
      </c>
      <c r="J675" s="33" t="s">
        <v>7110</v>
      </c>
      <c r="K675" s="68">
        <v>0</v>
      </c>
      <c r="L675" s="68">
        <v>0</v>
      </c>
      <c r="M675" s="68" t="s">
        <v>8915</v>
      </c>
      <c r="N675" s="68">
        <v>0</v>
      </c>
      <c r="O675" s="68">
        <v>0</v>
      </c>
      <c r="P675" s="198" t="s">
        <v>5614</v>
      </c>
    </row>
    <row r="676" spans="1:16" ht="18.75" hidden="1">
      <c r="A676" s="13" t="s">
        <v>3495</v>
      </c>
      <c r="B676" s="12" t="s">
        <v>3504</v>
      </c>
      <c r="C676" s="12" t="s">
        <v>3523</v>
      </c>
      <c r="D676" s="12" t="s">
        <v>3040</v>
      </c>
      <c r="E676" s="12" t="s">
        <v>3420</v>
      </c>
      <c r="F676" s="20">
        <v>44358</v>
      </c>
      <c r="G676" s="67" t="s">
        <v>5609</v>
      </c>
      <c r="H676" s="14" t="s">
        <v>5601</v>
      </c>
      <c r="I676" s="14" t="s">
        <v>2458</v>
      </c>
      <c r="J676" s="33" t="s">
        <v>7110</v>
      </c>
      <c r="K676" s="68">
        <v>0</v>
      </c>
      <c r="L676" s="68">
        <v>0</v>
      </c>
      <c r="M676" s="68" t="s">
        <v>8915</v>
      </c>
      <c r="N676" s="68">
        <v>0</v>
      </c>
      <c r="O676" s="68">
        <v>0</v>
      </c>
      <c r="P676" s="198" t="s">
        <v>5614</v>
      </c>
    </row>
    <row r="677" spans="1:16" ht="18.75" hidden="1">
      <c r="A677" s="13" t="s">
        <v>3498</v>
      </c>
      <c r="B677" s="12" t="s">
        <v>3508</v>
      </c>
      <c r="C677" s="12" t="s">
        <v>3524</v>
      </c>
      <c r="D677" s="12" t="s">
        <v>2852</v>
      </c>
      <c r="E677" s="12" t="s">
        <v>3420</v>
      </c>
      <c r="F677" s="20">
        <v>1000000</v>
      </c>
      <c r="G677" s="67" t="s">
        <v>5609</v>
      </c>
      <c r="H677" s="14" t="s">
        <v>5601</v>
      </c>
      <c r="I677" s="14" t="s">
        <v>2458</v>
      </c>
      <c r="J677" s="33" t="s">
        <v>7110</v>
      </c>
      <c r="K677" s="68">
        <v>0</v>
      </c>
      <c r="L677" s="68">
        <v>0</v>
      </c>
      <c r="M677" s="68" t="s">
        <v>8915</v>
      </c>
      <c r="N677" s="68">
        <v>0</v>
      </c>
      <c r="O677" s="68">
        <v>0</v>
      </c>
      <c r="P677" s="198" t="s">
        <v>5614</v>
      </c>
    </row>
    <row r="678" spans="1:16" ht="18.75" hidden="1">
      <c r="A678" s="13" t="s">
        <v>3499</v>
      </c>
      <c r="B678" s="12" t="s">
        <v>3508</v>
      </c>
      <c r="C678" s="12" t="s">
        <v>3189</v>
      </c>
      <c r="D678" s="12" t="s">
        <v>3051</v>
      </c>
      <c r="E678" s="12" t="s">
        <v>3420</v>
      </c>
      <c r="F678" s="20">
        <v>35892</v>
      </c>
      <c r="G678" s="67" t="s">
        <v>5607</v>
      </c>
      <c r="H678" s="14" t="s">
        <v>5601</v>
      </c>
      <c r="I678" s="14" t="s">
        <v>2458</v>
      </c>
      <c r="J678" s="33" t="s">
        <v>7110</v>
      </c>
      <c r="K678" s="68">
        <v>0</v>
      </c>
      <c r="L678" s="68">
        <v>0</v>
      </c>
      <c r="M678" s="68" t="s">
        <v>8915</v>
      </c>
      <c r="N678" s="68">
        <v>0</v>
      </c>
      <c r="O678" s="68">
        <v>0</v>
      </c>
      <c r="P678" s="198" t="s">
        <v>5622</v>
      </c>
    </row>
    <row r="679" spans="1:16" ht="18.75" hidden="1">
      <c r="A679" s="13" t="s">
        <v>3499</v>
      </c>
      <c r="B679" s="12" t="s">
        <v>3508</v>
      </c>
      <c r="C679" s="12" t="s">
        <v>3471</v>
      </c>
      <c r="D679" s="12" t="s">
        <v>3041</v>
      </c>
      <c r="E679" s="12" t="s">
        <v>3420</v>
      </c>
      <c r="F679" s="20">
        <v>362698</v>
      </c>
      <c r="G679" s="67" t="s">
        <v>5607</v>
      </c>
      <c r="H679" s="14" t="s">
        <v>5601</v>
      </c>
      <c r="I679" s="14" t="s">
        <v>2458</v>
      </c>
      <c r="J679" s="33" t="s">
        <v>7110</v>
      </c>
      <c r="K679" s="68">
        <v>0</v>
      </c>
      <c r="L679" s="68">
        <v>0</v>
      </c>
      <c r="M679" s="68" t="s">
        <v>8915</v>
      </c>
      <c r="N679" s="68">
        <v>0</v>
      </c>
      <c r="O679" s="68">
        <v>0</v>
      </c>
      <c r="P679" s="198" t="s">
        <v>5622</v>
      </c>
    </row>
    <row r="680" spans="1:16" ht="18.75" hidden="1">
      <c r="A680" s="13" t="s">
        <v>3500</v>
      </c>
      <c r="B680" s="12" t="s">
        <v>3504</v>
      </c>
      <c r="C680" s="12" t="s">
        <v>3525</v>
      </c>
      <c r="D680" s="12" t="s">
        <v>3458</v>
      </c>
      <c r="E680" s="12" t="s">
        <v>3420</v>
      </c>
      <c r="F680" s="20">
        <v>398820</v>
      </c>
      <c r="G680" s="67" t="s">
        <v>5631</v>
      </c>
      <c r="H680" s="14" t="s">
        <v>5601</v>
      </c>
      <c r="I680" s="14" t="s">
        <v>2458</v>
      </c>
      <c r="J680" s="33" t="s">
        <v>7110</v>
      </c>
      <c r="K680" s="68">
        <v>0</v>
      </c>
      <c r="L680" s="68">
        <v>0</v>
      </c>
      <c r="M680" s="68" t="s">
        <v>8915</v>
      </c>
      <c r="N680" s="68">
        <v>0</v>
      </c>
      <c r="O680" s="68">
        <v>0</v>
      </c>
      <c r="P680" s="197" t="s">
        <v>5632</v>
      </c>
    </row>
    <row r="681" spans="1:16" ht="18.75" hidden="1">
      <c r="A681" s="13" t="s">
        <v>3501</v>
      </c>
      <c r="B681" s="12" t="s">
        <v>3509</v>
      </c>
      <c r="C681" s="12" t="s">
        <v>3526</v>
      </c>
      <c r="D681" s="12" t="s">
        <v>3463</v>
      </c>
      <c r="E681" s="12" t="s">
        <v>3420</v>
      </c>
      <c r="F681" s="20">
        <v>488741</v>
      </c>
      <c r="G681" s="67" t="s">
        <v>5616</v>
      </c>
      <c r="H681" s="14" t="s">
        <v>5602</v>
      </c>
      <c r="I681" s="14" t="s">
        <v>2458</v>
      </c>
      <c r="J681" s="33" t="s">
        <v>7110</v>
      </c>
      <c r="K681" s="68">
        <v>0</v>
      </c>
      <c r="L681" s="68">
        <v>0</v>
      </c>
      <c r="M681" s="68" t="s">
        <v>8915</v>
      </c>
      <c r="N681" s="68">
        <v>0</v>
      </c>
      <c r="O681" s="68">
        <v>0</v>
      </c>
      <c r="P681" s="198" t="s">
        <v>5641</v>
      </c>
    </row>
    <row r="682" spans="1:16" ht="18.75" hidden="1">
      <c r="A682" s="13" t="s">
        <v>3502</v>
      </c>
      <c r="B682" s="12" t="s">
        <v>3505</v>
      </c>
      <c r="C682" s="12" t="s">
        <v>3477</v>
      </c>
      <c r="D682" s="12" t="s">
        <v>3322</v>
      </c>
      <c r="E682" s="12" t="s">
        <v>3420</v>
      </c>
      <c r="F682" s="20">
        <v>18290</v>
      </c>
      <c r="G682" s="67" t="s">
        <v>5611</v>
      </c>
      <c r="H682" s="14" t="s">
        <v>5601</v>
      </c>
      <c r="I682" s="14" t="s">
        <v>2458</v>
      </c>
      <c r="J682" s="33" t="s">
        <v>7110</v>
      </c>
      <c r="K682" s="68">
        <v>0</v>
      </c>
      <c r="L682" s="68">
        <v>0</v>
      </c>
      <c r="M682" s="68" t="s">
        <v>8915</v>
      </c>
      <c r="N682" s="68">
        <v>0</v>
      </c>
      <c r="O682" s="68">
        <v>0</v>
      </c>
      <c r="P682" s="198" t="s">
        <v>5627</v>
      </c>
    </row>
    <row r="683" spans="1:16" ht="18.75" hidden="1">
      <c r="A683" s="13" t="s">
        <v>3503</v>
      </c>
      <c r="B683" s="12" t="s">
        <v>3455</v>
      </c>
      <c r="C683" s="12" t="s">
        <v>3527</v>
      </c>
      <c r="D683" s="12" t="s">
        <v>3450</v>
      </c>
      <c r="E683" s="12" t="s">
        <v>3420</v>
      </c>
      <c r="F683" s="20">
        <v>2818643</v>
      </c>
      <c r="G683" s="67" t="s">
        <v>5604</v>
      </c>
      <c r="H683" s="14" t="s">
        <v>5601</v>
      </c>
      <c r="I683" s="14" t="s">
        <v>2458</v>
      </c>
      <c r="J683" s="33" t="s">
        <v>7110</v>
      </c>
      <c r="K683" s="68">
        <v>0</v>
      </c>
      <c r="L683" s="68">
        <v>0</v>
      </c>
      <c r="M683" s="68" t="s">
        <v>8915</v>
      </c>
      <c r="N683" s="68">
        <v>0</v>
      </c>
      <c r="O683" s="68">
        <v>0</v>
      </c>
      <c r="P683" s="198" t="s">
        <v>5626</v>
      </c>
    </row>
    <row r="684" spans="1:16" ht="18.75" hidden="1">
      <c r="A684" s="13" t="s">
        <v>3531</v>
      </c>
      <c r="B684" s="12" t="s">
        <v>3528</v>
      </c>
      <c r="C684" s="12" t="s">
        <v>3560</v>
      </c>
      <c r="D684" s="12" t="s">
        <v>3242</v>
      </c>
      <c r="E684" s="12" t="s">
        <v>3420</v>
      </c>
      <c r="F684" s="20">
        <v>495905</v>
      </c>
      <c r="G684" s="67" t="s">
        <v>5609</v>
      </c>
      <c r="H684" s="14" t="s">
        <v>5601</v>
      </c>
      <c r="I684" s="14" t="s">
        <v>2458</v>
      </c>
      <c r="J684" s="33" t="s">
        <v>7110</v>
      </c>
      <c r="K684" s="68">
        <v>0</v>
      </c>
      <c r="L684" s="68">
        <v>0</v>
      </c>
      <c r="M684" s="68" t="s">
        <v>8915</v>
      </c>
      <c r="N684" s="68">
        <v>0</v>
      </c>
      <c r="O684" s="68">
        <v>0</v>
      </c>
      <c r="P684" s="198" t="s">
        <v>5614</v>
      </c>
    </row>
    <row r="685" spans="1:16" ht="18.75" hidden="1">
      <c r="A685" s="13" t="s">
        <v>3532</v>
      </c>
      <c r="B685" s="12" t="s">
        <v>3554</v>
      </c>
      <c r="C685" s="12" t="s">
        <v>3561</v>
      </c>
      <c r="D685" s="12" t="s">
        <v>3576</v>
      </c>
      <c r="E685" s="12" t="s">
        <v>3420</v>
      </c>
      <c r="F685" s="20">
        <v>10271</v>
      </c>
      <c r="G685" s="67" t="s">
        <v>5611</v>
      </c>
      <c r="H685" s="14" t="s">
        <v>5601</v>
      </c>
      <c r="I685" s="14" t="s">
        <v>2458</v>
      </c>
      <c r="J685" s="33" t="s">
        <v>7110</v>
      </c>
      <c r="K685" s="68">
        <v>0</v>
      </c>
      <c r="L685" s="68">
        <v>0</v>
      </c>
      <c r="M685" s="68" t="s">
        <v>8915</v>
      </c>
      <c r="N685" s="68">
        <v>0</v>
      </c>
      <c r="O685" s="68">
        <v>0</v>
      </c>
      <c r="P685" s="198" t="s">
        <v>5630</v>
      </c>
    </row>
    <row r="686" spans="1:16" ht="18.75" hidden="1">
      <c r="A686" s="13" t="s">
        <v>3532</v>
      </c>
      <c r="B686" s="12" t="s">
        <v>3554</v>
      </c>
      <c r="C686" s="12" t="s">
        <v>3477</v>
      </c>
      <c r="D686" s="12" t="s">
        <v>3322</v>
      </c>
      <c r="E686" s="12" t="s">
        <v>3420</v>
      </c>
      <c r="F686" s="20">
        <v>93789</v>
      </c>
      <c r="G686" s="67" t="s">
        <v>5611</v>
      </c>
      <c r="H686" s="14" t="s">
        <v>5601</v>
      </c>
      <c r="I686" s="14" t="s">
        <v>2458</v>
      </c>
      <c r="J686" s="33" t="s">
        <v>7110</v>
      </c>
      <c r="K686" s="68">
        <v>0</v>
      </c>
      <c r="L686" s="68">
        <v>0</v>
      </c>
      <c r="M686" s="68" t="s">
        <v>8915</v>
      </c>
      <c r="N686" s="68">
        <v>0</v>
      </c>
      <c r="O686" s="68">
        <v>0</v>
      </c>
      <c r="P686" s="198" t="s">
        <v>5627</v>
      </c>
    </row>
    <row r="687" spans="1:16" ht="18.75" hidden="1">
      <c r="A687" s="13" t="s">
        <v>3533</v>
      </c>
      <c r="B687" s="12" t="s">
        <v>3555</v>
      </c>
      <c r="C687" s="12" t="s">
        <v>3562</v>
      </c>
      <c r="D687" s="12" t="s">
        <v>3577</v>
      </c>
      <c r="E687" s="12" t="s">
        <v>3420</v>
      </c>
      <c r="F687" s="20">
        <v>486706</v>
      </c>
      <c r="G687" s="67" t="s">
        <v>5604</v>
      </c>
      <c r="H687" s="14" t="s">
        <v>5602</v>
      </c>
      <c r="I687" s="14" t="s">
        <v>2458</v>
      </c>
      <c r="J687" s="33" t="s">
        <v>7110</v>
      </c>
      <c r="K687" s="68">
        <v>0</v>
      </c>
      <c r="L687" s="68">
        <v>0</v>
      </c>
      <c r="M687" s="68" t="s">
        <v>8915</v>
      </c>
      <c r="N687" s="68">
        <v>0</v>
      </c>
      <c r="O687" s="68">
        <v>0</v>
      </c>
      <c r="P687" s="198" t="s">
        <v>5643</v>
      </c>
    </row>
    <row r="688" spans="1:16" ht="18.75" hidden="1">
      <c r="A688" s="13" t="s">
        <v>3532</v>
      </c>
      <c r="B688" s="12" t="s">
        <v>3554</v>
      </c>
      <c r="C688" s="12" t="s">
        <v>3563</v>
      </c>
      <c r="D688" s="12" t="s">
        <v>3576</v>
      </c>
      <c r="E688" s="12" t="s">
        <v>3420</v>
      </c>
      <c r="F688" s="20">
        <v>295240</v>
      </c>
      <c r="G688" s="67" t="s">
        <v>5611</v>
      </c>
      <c r="H688" s="14" t="s">
        <v>5601</v>
      </c>
      <c r="I688" s="14" t="s">
        <v>2458</v>
      </c>
      <c r="J688" s="33" t="s">
        <v>7110</v>
      </c>
      <c r="K688" s="68">
        <v>0</v>
      </c>
      <c r="L688" s="68">
        <v>0</v>
      </c>
      <c r="M688" s="68" t="s">
        <v>8915</v>
      </c>
      <c r="N688" s="68">
        <v>0</v>
      </c>
      <c r="O688" s="68">
        <v>0</v>
      </c>
      <c r="P688" s="198" t="s">
        <v>5630</v>
      </c>
    </row>
    <row r="689" spans="1:16" ht="18.75" hidden="1">
      <c r="A689" s="13" t="s">
        <v>3534</v>
      </c>
      <c r="B689" s="12" t="s">
        <v>3556</v>
      </c>
      <c r="C689" s="12" t="s">
        <v>3564</v>
      </c>
      <c r="D689" s="12" t="s">
        <v>3558</v>
      </c>
      <c r="E689" s="12" t="s">
        <v>3420</v>
      </c>
      <c r="F689" s="20">
        <v>999220</v>
      </c>
      <c r="G689" s="67" t="s">
        <v>5631</v>
      </c>
      <c r="H689" s="14" t="s">
        <v>5601</v>
      </c>
      <c r="I689" s="14" t="s">
        <v>2458</v>
      </c>
      <c r="J689" s="33" t="s">
        <v>7110</v>
      </c>
      <c r="K689" s="68">
        <v>0</v>
      </c>
      <c r="L689" s="68">
        <v>0</v>
      </c>
      <c r="M689" s="68" t="s">
        <v>8915</v>
      </c>
      <c r="N689" s="68">
        <v>0</v>
      </c>
      <c r="O689" s="68">
        <v>0</v>
      </c>
      <c r="P689" s="197" t="s">
        <v>5632</v>
      </c>
    </row>
    <row r="690" spans="1:16" ht="18.75" hidden="1">
      <c r="A690" s="13" t="s">
        <v>3535</v>
      </c>
      <c r="B690" s="12" t="s">
        <v>3555</v>
      </c>
      <c r="C690" s="12" t="s">
        <v>3565</v>
      </c>
      <c r="D690" s="12" t="s">
        <v>3456</v>
      </c>
      <c r="E690" s="12" t="s">
        <v>3420</v>
      </c>
      <c r="F690" s="20">
        <v>180000</v>
      </c>
      <c r="G690" s="67" t="s">
        <v>5611</v>
      </c>
      <c r="H690" s="14" t="s">
        <v>5601</v>
      </c>
      <c r="I690" s="14" t="s">
        <v>2458</v>
      </c>
      <c r="J690" s="33" t="s">
        <v>7110</v>
      </c>
      <c r="K690" s="68">
        <v>0</v>
      </c>
      <c r="L690" s="68">
        <v>0</v>
      </c>
      <c r="M690" s="68" t="s">
        <v>8915</v>
      </c>
      <c r="N690" s="68">
        <v>0</v>
      </c>
      <c r="O690" s="68">
        <v>0</v>
      </c>
      <c r="P690" s="198" t="s">
        <v>5635</v>
      </c>
    </row>
    <row r="691" spans="1:16" ht="18.75" hidden="1">
      <c r="A691" s="13" t="s">
        <v>3536</v>
      </c>
      <c r="B691" s="12" t="s">
        <v>3556</v>
      </c>
      <c r="C691" s="12" t="s">
        <v>3566</v>
      </c>
      <c r="D691" s="12" t="s">
        <v>3555</v>
      </c>
      <c r="E691" s="12" t="s">
        <v>3420</v>
      </c>
      <c r="F691" s="20">
        <v>973904</v>
      </c>
      <c r="G691" s="67" t="s">
        <v>5604</v>
      </c>
      <c r="H691" s="14" t="s">
        <v>5602</v>
      </c>
      <c r="I691" s="14" t="s">
        <v>2458</v>
      </c>
      <c r="J691" s="33" t="s">
        <v>7110</v>
      </c>
      <c r="K691" s="68">
        <v>0</v>
      </c>
      <c r="L691" s="68">
        <v>0</v>
      </c>
      <c r="M691" s="68" t="s">
        <v>8915</v>
      </c>
      <c r="N691" s="68">
        <v>0</v>
      </c>
      <c r="O691" s="68">
        <v>0</v>
      </c>
      <c r="P691" s="198" t="s">
        <v>5644</v>
      </c>
    </row>
    <row r="692" spans="1:16" ht="18.75" hidden="1">
      <c r="A692" s="13" t="s">
        <v>3535</v>
      </c>
      <c r="B692" s="12" t="s">
        <v>3555</v>
      </c>
      <c r="C692" s="12" t="s">
        <v>3567</v>
      </c>
      <c r="D692" s="12" t="s">
        <v>3451</v>
      </c>
      <c r="E692" s="12" t="s">
        <v>3420</v>
      </c>
      <c r="F692" s="20">
        <v>18550</v>
      </c>
      <c r="G692" s="67" t="s">
        <v>5611</v>
      </c>
      <c r="H692" s="14" t="s">
        <v>5601</v>
      </c>
      <c r="I692" s="14" t="s">
        <v>2458</v>
      </c>
      <c r="J692" s="33" t="s">
        <v>7110</v>
      </c>
      <c r="K692" s="68">
        <v>0</v>
      </c>
      <c r="L692" s="68">
        <v>0</v>
      </c>
      <c r="M692" s="68" t="s">
        <v>8915</v>
      </c>
      <c r="N692" s="68">
        <v>0</v>
      </c>
      <c r="O692" s="68">
        <v>0</v>
      </c>
      <c r="P692" s="198" t="s">
        <v>5630</v>
      </c>
    </row>
    <row r="693" spans="1:16" ht="18.75" hidden="1">
      <c r="A693" s="13" t="s">
        <v>3534</v>
      </c>
      <c r="B693" s="12" t="s">
        <v>3556</v>
      </c>
      <c r="C693" s="12" t="s">
        <v>3568</v>
      </c>
      <c r="D693" s="12" t="s">
        <v>3506</v>
      </c>
      <c r="E693" s="12" t="s">
        <v>3420</v>
      </c>
      <c r="F693" s="20">
        <v>2440</v>
      </c>
      <c r="G693" s="67" t="s">
        <v>5631</v>
      </c>
      <c r="H693" s="14" t="s">
        <v>5601</v>
      </c>
      <c r="I693" s="14" t="s">
        <v>2458</v>
      </c>
      <c r="J693" s="33" t="s">
        <v>7110</v>
      </c>
      <c r="K693" s="68">
        <v>0</v>
      </c>
      <c r="L693" s="68">
        <v>0</v>
      </c>
      <c r="M693" s="68" t="s">
        <v>8915</v>
      </c>
      <c r="N693" s="68">
        <v>0</v>
      </c>
      <c r="O693" s="68">
        <v>0</v>
      </c>
      <c r="P693" s="197" t="s">
        <v>5632</v>
      </c>
    </row>
    <row r="694" spans="1:16" ht="18.75" hidden="1">
      <c r="A694" s="13" t="s">
        <v>3537</v>
      </c>
      <c r="B694" s="12" t="s">
        <v>3554</v>
      </c>
      <c r="C694" s="12" t="s">
        <v>3483</v>
      </c>
      <c r="D694" s="12" t="s">
        <v>2852</v>
      </c>
      <c r="E694" s="12" t="s">
        <v>3420</v>
      </c>
      <c r="F694" s="20">
        <v>93460</v>
      </c>
      <c r="G694" s="67" t="s">
        <v>5609</v>
      </c>
      <c r="H694" s="14" t="s">
        <v>5601</v>
      </c>
      <c r="I694" s="14" t="s">
        <v>2458</v>
      </c>
      <c r="J694" s="33" t="s">
        <v>7110</v>
      </c>
      <c r="K694" s="68">
        <v>0</v>
      </c>
      <c r="L694" s="68">
        <v>0</v>
      </c>
      <c r="M694" s="68" t="s">
        <v>8915</v>
      </c>
      <c r="N694" s="68">
        <v>0</v>
      </c>
      <c r="O694" s="68">
        <v>0</v>
      </c>
      <c r="P694" s="198" t="s">
        <v>5614</v>
      </c>
    </row>
    <row r="695" spans="1:16" ht="18.75" hidden="1">
      <c r="A695" s="13" t="s">
        <v>3538</v>
      </c>
      <c r="B695" s="12" t="s">
        <v>3555</v>
      </c>
      <c r="C695" s="12" t="s">
        <v>3569</v>
      </c>
      <c r="D695" s="12" t="s">
        <v>3578</v>
      </c>
      <c r="E695" s="12" t="s">
        <v>3420</v>
      </c>
      <c r="F695" s="20">
        <v>168744</v>
      </c>
      <c r="G695" s="67" t="s">
        <v>5611</v>
      </c>
      <c r="H695" s="14" t="s">
        <v>5601</v>
      </c>
      <c r="I695" s="14" t="s">
        <v>2458</v>
      </c>
      <c r="J695" s="33" t="s">
        <v>7110</v>
      </c>
      <c r="K695" s="68">
        <v>0</v>
      </c>
      <c r="L695" s="68">
        <v>0</v>
      </c>
      <c r="M695" s="68" t="s">
        <v>8915</v>
      </c>
      <c r="N695" s="68">
        <v>0</v>
      </c>
      <c r="O695" s="68">
        <v>0</v>
      </c>
      <c r="P695" s="198" t="s">
        <v>5630</v>
      </c>
    </row>
    <row r="696" spans="1:16" ht="18.75" hidden="1">
      <c r="A696" s="13" t="s">
        <v>3537</v>
      </c>
      <c r="B696" s="12" t="s">
        <v>3554</v>
      </c>
      <c r="C696" s="12" t="s">
        <v>3189</v>
      </c>
      <c r="D696" s="12" t="s">
        <v>3051</v>
      </c>
      <c r="E696" s="12" t="s">
        <v>3420</v>
      </c>
      <c r="F696" s="20">
        <v>481188</v>
      </c>
      <c r="G696" s="67" t="s">
        <v>5607</v>
      </c>
      <c r="H696" s="14" t="s">
        <v>5601</v>
      </c>
      <c r="I696" s="14" t="s">
        <v>2458</v>
      </c>
      <c r="J696" s="33" t="s">
        <v>7110</v>
      </c>
      <c r="K696" s="68">
        <v>0</v>
      </c>
      <c r="L696" s="68">
        <v>0</v>
      </c>
      <c r="M696" s="68" t="s">
        <v>8915</v>
      </c>
      <c r="N696" s="68">
        <v>0</v>
      </c>
      <c r="O696" s="68">
        <v>0</v>
      </c>
      <c r="P696" s="198" t="s">
        <v>5622</v>
      </c>
    </row>
    <row r="697" spans="1:16" ht="18.75" hidden="1">
      <c r="A697" s="13" t="s">
        <v>3539</v>
      </c>
      <c r="B697" s="12" t="s">
        <v>3557</v>
      </c>
      <c r="C697" s="12" t="s">
        <v>3570</v>
      </c>
      <c r="D697" s="12" t="s">
        <v>3555</v>
      </c>
      <c r="E697" s="12" t="s">
        <v>3420</v>
      </c>
      <c r="F697" s="20">
        <v>389562</v>
      </c>
      <c r="G697" s="67" t="s">
        <v>5611</v>
      </c>
      <c r="H697" s="14" t="s">
        <v>5602</v>
      </c>
      <c r="I697" s="14" t="s">
        <v>2458</v>
      </c>
      <c r="J697" s="33" t="s">
        <v>7110</v>
      </c>
      <c r="K697" s="68">
        <v>0</v>
      </c>
      <c r="L697" s="68">
        <v>0</v>
      </c>
      <c r="M697" s="68" t="s">
        <v>8915</v>
      </c>
      <c r="N697" s="68">
        <v>0</v>
      </c>
      <c r="O697" s="68">
        <v>0</v>
      </c>
      <c r="P697" s="198" t="s">
        <v>5630</v>
      </c>
    </row>
    <row r="698" spans="1:16" ht="18.75" hidden="1">
      <c r="A698" s="13" t="s">
        <v>3537</v>
      </c>
      <c r="B698" s="12" t="s">
        <v>3554</v>
      </c>
      <c r="C698" s="12" t="s">
        <v>3413</v>
      </c>
      <c r="D698" s="12" t="s">
        <v>2855</v>
      </c>
      <c r="E698" s="12" t="s">
        <v>3420</v>
      </c>
      <c r="F698" s="20">
        <v>1270</v>
      </c>
      <c r="G698" s="67" t="s">
        <v>5609</v>
      </c>
      <c r="H698" s="14" t="s">
        <v>5601</v>
      </c>
      <c r="I698" s="14" t="s">
        <v>2458</v>
      </c>
      <c r="J698" s="33" t="s">
        <v>7110</v>
      </c>
      <c r="K698" s="68">
        <v>0</v>
      </c>
      <c r="L698" s="68">
        <v>0</v>
      </c>
      <c r="M698" s="68" t="s">
        <v>8915</v>
      </c>
      <c r="N698" s="68">
        <v>0</v>
      </c>
      <c r="O698" s="68">
        <v>0</v>
      </c>
      <c r="P698" s="198" t="s">
        <v>5614</v>
      </c>
    </row>
    <row r="699" spans="1:16" ht="18.75" hidden="1">
      <c r="A699" s="13" t="s">
        <v>3537</v>
      </c>
      <c r="B699" s="12" t="s">
        <v>3554</v>
      </c>
      <c r="C699" s="12" t="s">
        <v>3476</v>
      </c>
      <c r="D699" s="12" t="s">
        <v>3242</v>
      </c>
      <c r="E699" s="12" t="s">
        <v>3420</v>
      </c>
      <c r="F699" s="20">
        <v>84082</v>
      </c>
      <c r="G699" s="67" t="s">
        <v>5609</v>
      </c>
      <c r="H699" s="14" t="s">
        <v>5601</v>
      </c>
      <c r="I699" s="14" t="s">
        <v>2458</v>
      </c>
      <c r="J699" s="33" t="s">
        <v>7110</v>
      </c>
      <c r="K699" s="68">
        <v>0</v>
      </c>
      <c r="L699" s="68">
        <v>0</v>
      </c>
      <c r="M699" s="68" t="s">
        <v>8915</v>
      </c>
      <c r="N699" s="68">
        <v>0</v>
      </c>
      <c r="O699" s="68">
        <v>0</v>
      </c>
      <c r="P699" s="198" t="s">
        <v>5614</v>
      </c>
    </row>
    <row r="700" spans="1:16" ht="18.75" hidden="1">
      <c r="A700" s="13" t="s">
        <v>3540</v>
      </c>
      <c r="B700" s="12" t="s">
        <v>3528</v>
      </c>
      <c r="C700" s="12" t="s">
        <v>3571</v>
      </c>
      <c r="D700" s="12" t="s">
        <v>3557</v>
      </c>
      <c r="E700" s="12" t="s">
        <v>3420</v>
      </c>
      <c r="F700" s="20">
        <v>389443</v>
      </c>
      <c r="G700" s="67" t="s">
        <v>5611</v>
      </c>
      <c r="H700" s="14" t="s">
        <v>5602</v>
      </c>
      <c r="I700" s="14" t="s">
        <v>2458</v>
      </c>
      <c r="J700" s="33" t="s">
        <v>7110</v>
      </c>
      <c r="K700" s="68">
        <v>0</v>
      </c>
      <c r="L700" s="68">
        <v>0</v>
      </c>
      <c r="M700" s="68" t="s">
        <v>8915</v>
      </c>
      <c r="N700" s="68">
        <v>0</v>
      </c>
      <c r="O700" s="68">
        <v>0</v>
      </c>
      <c r="P700" s="198" t="s">
        <v>5630</v>
      </c>
    </row>
    <row r="701" spans="1:16" ht="18.75" hidden="1">
      <c r="A701" s="13" t="s">
        <v>3541</v>
      </c>
      <c r="B701" s="12" t="s">
        <v>3558</v>
      </c>
      <c r="C701" s="12" t="s">
        <v>3572</v>
      </c>
      <c r="D701" s="12" t="s">
        <v>3507</v>
      </c>
      <c r="E701" s="12" t="s">
        <v>3420</v>
      </c>
      <c r="F701" s="20">
        <v>500000</v>
      </c>
      <c r="G701" s="67" t="s">
        <v>5631</v>
      </c>
      <c r="H701" s="14" t="s">
        <v>5601</v>
      </c>
      <c r="I701" s="14" t="s">
        <v>2458</v>
      </c>
      <c r="J701" s="33" t="s">
        <v>7110</v>
      </c>
      <c r="K701" s="68">
        <v>0</v>
      </c>
      <c r="L701" s="68">
        <v>0</v>
      </c>
      <c r="M701" s="68" t="s">
        <v>8915</v>
      </c>
      <c r="N701" s="68">
        <v>0</v>
      </c>
      <c r="O701" s="68">
        <v>0</v>
      </c>
      <c r="P701" s="197" t="s">
        <v>5632</v>
      </c>
    </row>
    <row r="702" spans="1:16" ht="18.75" hidden="1">
      <c r="A702" s="13" t="s">
        <v>3542</v>
      </c>
      <c r="B702" s="12" t="s">
        <v>3558</v>
      </c>
      <c r="C702" s="12" t="s">
        <v>3573</v>
      </c>
      <c r="D702" s="12" t="s">
        <v>3528</v>
      </c>
      <c r="E702" s="12" t="s">
        <v>3420</v>
      </c>
      <c r="F702" s="20">
        <v>487540</v>
      </c>
      <c r="G702" s="67" t="s">
        <v>5616</v>
      </c>
      <c r="H702" s="14" t="s">
        <v>5602</v>
      </c>
      <c r="I702" s="14" t="s">
        <v>2458</v>
      </c>
      <c r="J702" s="33" t="s">
        <v>7110</v>
      </c>
      <c r="K702" s="68">
        <v>0</v>
      </c>
      <c r="L702" s="68">
        <v>0</v>
      </c>
      <c r="M702" s="68" t="s">
        <v>8915</v>
      </c>
      <c r="N702" s="68">
        <v>0</v>
      </c>
      <c r="O702" s="68">
        <v>0</v>
      </c>
      <c r="P702" s="198" t="s">
        <v>5641</v>
      </c>
    </row>
    <row r="703" spans="1:16" ht="18.75" hidden="1">
      <c r="A703" s="13" t="s">
        <v>3543</v>
      </c>
      <c r="B703" s="12" t="s">
        <v>3558</v>
      </c>
      <c r="C703" s="12" t="s">
        <v>3574</v>
      </c>
      <c r="D703" s="12" t="s">
        <v>3559</v>
      </c>
      <c r="E703" s="12" t="s">
        <v>3420</v>
      </c>
      <c r="F703" s="20">
        <v>487540</v>
      </c>
      <c r="G703" s="67" t="s">
        <v>5616</v>
      </c>
      <c r="H703" s="14" t="s">
        <v>5602</v>
      </c>
      <c r="I703" s="14" t="s">
        <v>2458</v>
      </c>
      <c r="J703" s="33" t="s">
        <v>7110</v>
      </c>
      <c r="K703" s="68">
        <v>0</v>
      </c>
      <c r="L703" s="68">
        <v>0</v>
      </c>
      <c r="M703" s="68" t="s">
        <v>8915</v>
      </c>
      <c r="N703" s="68">
        <v>0</v>
      </c>
      <c r="O703" s="68">
        <v>0</v>
      </c>
      <c r="P703" s="198" t="s">
        <v>5641</v>
      </c>
    </row>
    <row r="704" spans="1:16" ht="18.75" hidden="1">
      <c r="A704" s="13" t="s">
        <v>3544</v>
      </c>
      <c r="B704" s="12" t="s">
        <v>3529</v>
      </c>
      <c r="C704" s="12" t="s">
        <v>3118</v>
      </c>
      <c r="D704" s="12" t="s">
        <v>2612</v>
      </c>
      <c r="E704" s="12" t="s">
        <v>3420</v>
      </c>
      <c r="F704" s="20">
        <v>27590</v>
      </c>
      <c r="G704" s="67" t="s">
        <v>5609</v>
      </c>
      <c r="H704" s="14" t="s">
        <v>5601</v>
      </c>
      <c r="I704" s="14" t="s">
        <v>2458</v>
      </c>
      <c r="J704" s="33" t="s">
        <v>7110</v>
      </c>
      <c r="K704" s="68">
        <v>0</v>
      </c>
      <c r="L704" s="68">
        <v>0</v>
      </c>
      <c r="M704" s="68" t="s">
        <v>8915</v>
      </c>
      <c r="N704" s="68">
        <v>0</v>
      </c>
      <c r="O704" s="68">
        <v>0</v>
      </c>
      <c r="P704" s="198" t="s">
        <v>5614</v>
      </c>
    </row>
    <row r="705" spans="1:16" ht="18.75" hidden="1">
      <c r="A705" s="13" t="s">
        <v>3544</v>
      </c>
      <c r="B705" s="12" t="s">
        <v>3529</v>
      </c>
      <c r="C705" s="12" t="s">
        <v>3523</v>
      </c>
      <c r="D705" s="12" t="s">
        <v>3040</v>
      </c>
      <c r="E705" s="12" t="s">
        <v>3420</v>
      </c>
      <c r="F705" s="20">
        <v>455202</v>
      </c>
      <c r="G705" s="67" t="s">
        <v>5609</v>
      </c>
      <c r="H705" s="14" t="s">
        <v>5601</v>
      </c>
      <c r="I705" s="14" t="s">
        <v>2458</v>
      </c>
      <c r="J705" s="33" t="s">
        <v>7110</v>
      </c>
      <c r="K705" s="68">
        <v>0</v>
      </c>
      <c r="L705" s="68">
        <v>0</v>
      </c>
      <c r="M705" s="68" t="s">
        <v>8915</v>
      </c>
      <c r="N705" s="68">
        <v>0</v>
      </c>
      <c r="O705" s="68">
        <v>0</v>
      </c>
      <c r="P705" s="198" t="s">
        <v>5614</v>
      </c>
    </row>
    <row r="706" spans="1:16" ht="18.75" hidden="1">
      <c r="A706" s="13" t="s">
        <v>3545</v>
      </c>
      <c r="B706" s="12" t="s">
        <v>3554</v>
      </c>
      <c r="C706" s="12" t="s">
        <v>3568</v>
      </c>
      <c r="D706" s="12" t="s">
        <v>3506</v>
      </c>
      <c r="E706" s="12" t="s">
        <v>3420</v>
      </c>
      <c r="F706" s="20">
        <v>400000</v>
      </c>
      <c r="G706" s="67" t="s">
        <v>5631</v>
      </c>
      <c r="H706" s="14" t="s">
        <v>5601</v>
      </c>
      <c r="I706" s="14" t="s">
        <v>2458</v>
      </c>
      <c r="J706" s="33" t="s">
        <v>7110</v>
      </c>
      <c r="K706" s="68">
        <v>0</v>
      </c>
      <c r="L706" s="68">
        <v>0</v>
      </c>
      <c r="M706" s="68" t="s">
        <v>8915</v>
      </c>
      <c r="N706" s="68">
        <v>0</v>
      </c>
      <c r="O706" s="68">
        <v>0</v>
      </c>
      <c r="P706" s="197" t="s">
        <v>5632</v>
      </c>
    </row>
    <row r="707" spans="1:16" ht="18.75" hidden="1">
      <c r="A707" s="13" t="s">
        <v>3546</v>
      </c>
      <c r="B707" s="12" t="s">
        <v>3529</v>
      </c>
      <c r="C707" s="12" t="s">
        <v>3575</v>
      </c>
      <c r="D707" s="12" t="s">
        <v>3557</v>
      </c>
      <c r="E707" s="12" t="s">
        <v>3420</v>
      </c>
      <c r="F707" s="20">
        <v>292153</v>
      </c>
      <c r="G707" s="67" t="s">
        <v>5604</v>
      </c>
      <c r="H707" s="14" t="s">
        <v>5602</v>
      </c>
      <c r="I707" s="14" t="s">
        <v>2458</v>
      </c>
      <c r="J707" s="33" t="s">
        <v>7110</v>
      </c>
      <c r="K707" s="68">
        <v>0</v>
      </c>
      <c r="L707" s="68">
        <v>0</v>
      </c>
      <c r="M707" s="68" t="s">
        <v>8915</v>
      </c>
      <c r="N707" s="68">
        <v>0</v>
      </c>
      <c r="O707" s="68">
        <v>0</v>
      </c>
      <c r="P707" s="198" t="s">
        <v>5642</v>
      </c>
    </row>
    <row r="708" spans="1:16" ht="18.75" hidden="1">
      <c r="A708" s="13" t="s">
        <v>3544</v>
      </c>
      <c r="B708" s="12" t="s">
        <v>3529</v>
      </c>
      <c r="C708" s="12" t="s">
        <v>3560</v>
      </c>
      <c r="D708" s="12" t="s">
        <v>3242</v>
      </c>
      <c r="E708" s="12" t="s">
        <v>3420</v>
      </c>
      <c r="F708" s="20">
        <v>1941</v>
      </c>
      <c r="G708" s="67" t="s">
        <v>5609</v>
      </c>
      <c r="H708" s="14" t="s">
        <v>5601</v>
      </c>
      <c r="I708" s="14" t="s">
        <v>2458</v>
      </c>
      <c r="J708" s="33" t="s">
        <v>7110</v>
      </c>
      <c r="K708" s="68">
        <v>0</v>
      </c>
      <c r="L708" s="68">
        <v>0</v>
      </c>
      <c r="M708" s="68" t="s">
        <v>8915</v>
      </c>
      <c r="N708" s="68">
        <v>0</v>
      </c>
      <c r="O708" s="68">
        <v>0</v>
      </c>
      <c r="P708" s="198" t="s">
        <v>5614</v>
      </c>
    </row>
    <row r="709" spans="1:16" ht="18.75" hidden="1">
      <c r="A709" s="13" t="s">
        <v>3544</v>
      </c>
      <c r="B709" s="12" t="s">
        <v>3529</v>
      </c>
      <c r="C709" s="12" t="s">
        <v>3476</v>
      </c>
      <c r="D709" s="12" t="s">
        <v>3242</v>
      </c>
      <c r="E709" s="12" t="s">
        <v>3420</v>
      </c>
      <c r="F709" s="20">
        <v>515267</v>
      </c>
      <c r="G709" s="67" t="s">
        <v>5609</v>
      </c>
      <c r="H709" s="14" t="s">
        <v>5601</v>
      </c>
      <c r="I709" s="14" t="s">
        <v>2458</v>
      </c>
      <c r="J709" s="33" t="s">
        <v>7110</v>
      </c>
      <c r="K709" s="68">
        <v>0</v>
      </c>
      <c r="L709" s="68">
        <v>0</v>
      </c>
      <c r="M709" s="68" t="s">
        <v>8915</v>
      </c>
      <c r="N709" s="68">
        <v>0</v>
      </c>
      <c r="O709" s="68">
        <v>0</v>
      </c>
      <c r="P709" s="198" t="s">
        <v>5614</v>
      </c>
    </row>
    <row r="710" spans="1:16" ht="18.75" hidden="1">
      <c r="A710" s="13" t="s">
        <v>3547</v>
      </c>
      <c r="B710" s="12" t="s">
        <v>3554</v>
      </c>
      <c r="C710" s="12" t="s">
        <v>3465</v>
      </c>
      <c r="D710" s="12" t="s">
        <v>3454</v>
      </c>
      <c r="E710" s="12" t="s">
        <v>3420</v>
      </c>
      <c r="F710" s="20">
        <v>21086</v>
      </c>
      <c r="G710" s="67" t="s">
        <v>5633</v>
      </c>
      <c r="H710" s="14" t="s">
        <v>5601</v>
      </c>
      <c r="I710" s="14" t="s">
        <v>2458</v>
      </c>
      <c r="J710" s="33" t="s">
        <v>7110</v>
      </c>
      <c r="K710" s="68">
        <v>0</v>
      </c>
      <c r="L710" s="68">
        <v>0</v>
      </c>
      <c r="M710" s="68" t="s">
        <v>8915</v>
      </c>
      <c r="N710" s="68">
        <v>0</v>
      </c>
      <c r="O710" s="68">
        <v>0</v>
      </c>
      <c r="P710" s="198" t="s">
        <v>5634</v>
      </c>
    </row>
    <row r="711" spans="1:16" ht="18.75" hidden="1">
      <c r="A711" s="13" t="s">
        <v>3548</v>
      </c>
      <c r="B711" s="12" t="s">
        <v>3529</v>
      </c>
      <c r="C711" s="12" t="s">
        <v>3382</v>
      </c>
      <c r="D711" s="12" t="s">
        <v>2754</v>
      </c>
      <c r="E711" s="12" t="s">
        <v>3420</v>
      </c>
      <c r="F711" s="20">
        <v>47240</v>
      </c>
      <c r="G711" s="67" t="s">
        <v>5607</v>
      </c>
      <c r="H711" s="14" t="s">
        <v>5601</v>
      </c>
      <c r="I711" s="14" t="s">
        <v>2458</v>
      </c>
      <c r="J711" s="33" t="s">
        <v>7110</v>
      </c>
      <c r="K711" s="68">
        <v>0</v>
      </c>
      <c r="L711" s="68">
        <v>0</v>
      </c>
      <c r="M711" s="68" t="s">
        <v>8915</v>
      </c>
      <c r="N711" s="68">
        <v>0</v>
      </c>
      <c r="O711" s="68">
        <v>0</v>
      </c>
      <c r="P711" s="198" t="s">
        <v>5608</v>
      </c>
    </row>
    <row r="712" spans="1:16" ht="18.75" hidden="1">
      <c r="A712" s="13" t="s">
        <v>3549</v>
      </c>
      <c r="B712" s="12" t="s">
        <v>3556</v>
      </c>
      <c r="C712" s="12" t="s">
        <v>3382</v>
      </c>
      <c r="D712" s="12" t="s">
        <v>2754</v>
      </c>
      <c r="E712" s="12" t="s">
        <v>3420</v>
      </c>
      <c r="F712" s="20">
        <v>76600</v>
      </c>
      <c r="G712" s="67" t="s">
        <v>5607</v>
      </c>
      <c r="H712" s="14" t="s">
        <v>5601</v>
      </c>
      <c r="I712" s="14" t="s">
        <v>2458</v>
      </c>
      <c r="J712" s="33" t="s">
        <v>7110</v>
      </c>
      <c r="K712" s="68">
        <v>0</v>
      </c>
      <c r="L712" s="68">
        <v>0</v>
      </c>
      <c r="M712" s="68" t="s">
        <v>8915</v>
      </c>
      <c r="N712" s="68">
        <v>0</v>
      </c>
      <c r="O712" s="68">
        <v>0</v>
      </c>
      <c r="P712" s="198" t="s">
        <v>5608</v>
      </c>
    </row>
    <row r="713" spans="1:16" ht="18.75" hidden="1">
      <c r="A713" s="13" t="s">
        <v>3550</v>
      </c>
      <c r="B713" s="12" t="s">
        <v>3555</v>
      </c>
      <c r="C713" s="12" t="s">
        <v>3382</v>
      </c>
      <c r="D713" s="12" t="s">
        <v>2754</v>
      </c>
      <c r="E713" s="12" t="s">
        <v>3420</v>
      </c>
      <c r="F713" s="20">
        <v>75390</v>
      </c>
      <c r="G713" s="67" t="s">
        <v>5607</v>
      </c>
      <c r="H713" s="14" t="s">
        <v>5601</v>
      </c>
      <c r="I713" s="14" t="s">
        <v>2458</v>
      </c>
      <c r="J713" s="33" t="s">
        <v>7110</v>
      </c>
      <c r="K713" s="68">
        <v>0</v>
      </c>
      <c r="L713" s="68">
        <v>0</v>
      </c>
      <c r="M713" s="68" t="s">
        <v>8915</v>
      </c>
      <c r="N713" s="68">
        <v>0</v>
      </c>
      <c r="O713" s="68">
        <v>0</v>
      </c>
      <c r="P713" s="198" t="s">
        <v>5608</v>
      </c>
    </row>
    <row r="714" spans="1:16" ht="18.75" hidden="1">
      <c r="A714" s="13" t="s">
        <v>3551</v>
      </c>
      <c r="B714" s="12" t="s">
        <v>3559</v>
      </c>
      <c r="C714" s="12" t="s">
        <v>3382</v>
      </c>
      <c r="D714" s="12" t="s">
        <v>2754</v>
      </c>
      <c r="E714" s="12" t="s">
        <v>3420</v>
      </c>
      <c r="F714" s="20">
        <v>50290</v>
      </c>
      <c r="G714" s="67" t="s">
        <v>5607</v>
      </c>
      <c r="H714" s="14" t="s">
        <v>5601</v>
      </c>
      <c r="I714" s="14" t="s">
        <v>2458</v>
      </c>
      <c r="J714" s="33" t="s">
        <v>7110</v>
      </c>
      <c r="K714" s="68">
        <v>0</v>
      </c>
      <c r="L714" s="68">
        <v>0</v>
      </c>
      <c r="M714" s="68" t="s">
        <v>8915</v>
      </c>
      <c r="N714" s="68">
        <v>0</v>
      </c>
      <c r="O714" s="68">
        <v>0</v>
      </c>
      <c r="P714" s="198" t="s">
        <v>5608</v>
      </c>
    </row>
    <row r="715" spans="1:16" ht="18.75" hidden="1">
      <c r="A715" s="13" t="s">
        <v>3552</v>
      </c>
      <c r="B715" s="12" t="s">
        <v>3557</v>
      </c>
      <c r="C715" s="12" t="s">
        <v>3210</v>
      </c>
      <c r="D715" s="12" t="s">
        <v>2619</v>
      </c>
      <c r="E715" s="12" t="s">
        <v>3420</v>
      </c>
      <c r="F715" s="20">
        <v>69380</v>
      </c>
      <c r="G715" s="67" t="s">
        <v>5611</v>
      </c>
      <c r="H715" s="14" t="s">
        <v>5601</v>
      </c>
      <c r="I715" s="14" t="s">
        <v>2458</v>
      </c>
      <c r="J715" s="33" t="s">
        <v>7110</v>
      </c>
      <c r="K715" s="68">
        <v>0</v>
      </c>
      <c r="L715" s="68">
        <v>0</v>
      </c>
      <c r="M715" s="68" t="s">
        <v>8915</v>
      </c>
      <c r="N715" s="68">
        <v>0</v>
      </c>
      <c r="O715" s="68">
        <v>0</v>
      </c>
      <c r="P715" s="198" t="s">
        <v>5612</v>
      </c>
    </row>
    <row r="716" spans="1:16" ht="18.75" hidden="1">
      <c r="A716" s="13" t="s">
        <v>3553</v>
      </c>
      <c r="B716" s="12" t="s">
        <v>3554</v>
      </c>
      <c r="C716" s="12" t="s">
        <v>3210</v>
      </c>
      <c r="D716" s="12" t="s">
        <v>2619</v>
      </c>
      <c r="E716" s="12" t="s">
        <v>3420</v>
      </c>
      <c r="F716" s="20">
        <v>212580</v>
      </c>
      <c r="G716" s="67" t="s">
        <v>5611</v>
      </c>
      <c r="H716" s="14" t="s">
        <v>5601</v>
      </c>
      <c r="I716" s="14" t="s">
        <v>2458</v>
      </c>
      <c r="J716" s="33" t="s">
        <v>7110</v>
      </c>
      <c r="K716" s="68">
        <v>0</v>
      </c>
      <c r="L716" s="68">
        <v>0</v>
      </c>
      <c r="M716" s="68" t="s">
        <v>8915</v>
      </c>
      <c r="N716" s="68">
        <v>0</v>
      </c>
      <c r="O716" s="68">
        <v>0</v>
      </c>
      <c r="P716" s="198" t="s">
        <v>5612</v>
      </c>
    </row>
    <row r="717" spans="1:16" ht="18.75" hidden="1">
      <c r="A717" s="50" t="s">
        <v>3583</v>
      </c>
      <c r="B717" s="50" t="str">
        <f>"95/07/08"</f>
        <v>95/07/08</v>
      </c>
      <c r="C717" s="50" t="s">
        <v>3634</v>
      </c>
      <c r="D717" s="50" t="s">
        <v>3661</v>
      </c>
      <c r="E717" s="12" t="s">
        <v>3420</v>
      </c>
      <c r="F717" s="49">
        <v>488307</v>
      </c>
      <c r="G717" s="67" t="s">
        <v>5616</v>
      </c>
      <c r="H717" s="14" t="s">
        <v>5602</v>
      </c>
      <c r="I717" s="14" t="s">
        <v>2458</v>
      </c>
      <c r="J717" s="33" t="s">
        <v>7110</v>
      </c>
      <c r="K717" s="33" t="s">
        <v>3671</v>
      </c>
      <c r="L717" s="68">
        <v>0</v>
      </c>
      <c r="M717" s="68" t="s">
        <v>8915</v>
      </c>
      <c r="N717" s="68">
        <v>0</v>
      </c>
      <c r="O717" s="68">
        <v>0</v>
      </c>
      <c r="P717" s="198" t="s">
        <v>5641</v>
      </c>
    </row>
    <row r="718" spans="1:16" ht="18.75" hidden="1">
      <c r="A718" s="50" t="s">
        <v>3584</v>
      </c>
      <c r="B718" s="50" t="str">
        <f>"95/07/13"</f>
        <v>95/07/13</v>
      </c>
      <c r="C718" s="50" t="s">
        <v>3635</v>
      </c>
      <c r="D718" s="50" t="s">
        <v>3662</v>
      </c>
      <c r="E718" s="12" t="s">
        <v>3420</v>
      </c>
      <c r="F718" s="49">
        <v>488663</v>
      </c>
      <c r="G718" s="67" t="s">
        <v>5616</v>
      </c>
      <c r="H718" s="14" t="s">
        <v>5602</v>
      </c>
      <c r="I718" s="14" t="s">
        <v>2458</v>
      </c>
      <c r="J718" s="33" t="s">
        <v>7110</v>
      </c>
      <c r="K718" s="33" t="s">
        <v>3671</v>
      </c>
      <c r="L718" s="68">
        <v>0</v>
      </c>
      <c r="M718" s="68" t="s">
        <v>8915</v>
      </c>
      <c r="N718" s="68">
        <v>0</v>
      </c>
      <c r="O718" s="68">
        <v>0</v>
      </c>
      <c r="P718" s="198" t="s">
        <v>5641</v>
      </c>
    </row>
    <row r="719" spans="1:16" ht="18.75" hidden="1">
      <c r="A719" s="50" t="s">
        <v>3585</v>
      </c>
      <c r="B719" s="50" t="str">
        <f>"95/07/03"</f>
        <v>95/07/03</v>
      </c>
      <c r="C719" s="50" t="s">
        <v>3636</v>
      </c>
      <c r="D719" s="50" t="s">
        <v>3663</v>
      </c>
      <c r="E719" s="12" t="s">
        <v>3420</v>
      </c>
      <c r="F719" s="49">
        <v>486767</v>
      </c>
      <c r="G719" s="67" t="s">
        <v>5616</v>
      </c>
      <c r="H719" s="14" t="s">
        <v>5602</v>
      </c>
      <c r="I719" s="14" t="s">
        <v>2458</v>
      </c>
      <c r="J719" s="33" t="s">
        <v>7110</v>
      </c>
      <c r="K719" s="33" t="s">
        <v>3671</v>
      </c>
      <c r="L719" s="68">
        <v>0</v>
      </c>
      <c r="M719" s="68" t="s">
        <v>8915</v>
      </c>
      <c r="N719" s="68">
        <v>0</v>
      </c>
      <c r="O719" s="68">
        <v>0</v>
      </c>
      <c r="P719" s="198" t="s">
        <v>5641</v>
      </c>
    </row>
    <row r="720" spans="1:16" ht="18.75" hidden="1">
      <c r="A720" s="50" t="s">
        <v>3586</v>
      </c>
      <c r="B720" s="50" t="str">
        <f>"95/07/08"</f>
        <v>95/07/08</v>
      </c>
      <c r="C720" s="50" t="s">
        <v>3637</v>
      </c>
      <c r="D720" s="50" t="s">
        <v>3664</v>
      </c>
      <c r="E720" s="12" t="s">
        <v>3420</v>
      </c>
      <c r="F720" s="49">
        <v>486707</v>
      </c>
      <c r="G720" s="67" t="s">
        <v>5616</v>
      </c>
      <c r="H720" s="14" t="s">
        <v>5602</v>
      </c>
      <c r="I720" s="14" t="s">
        <v>2458</v>
      </c>
      <c r="J720" s="33" t="s">
        <v>7110</v>
      </c>
      <c r="K720" s="33" t="s">
        <v>3671</v>
      </c>
      <c r="L720" s="68">
        <v>0</v>
      </c>
      <c r="M720" s="68" t="s">
        <v>8915</v>
      </c>
      <c r="N720" s="68">
        <v>0</v>
      </c>
      <c r="O720" s="68">
        <v>0</v>
      </c>
      <c r="P720" s="198" t="s">
        <v>5641</v>
      </c>
    </row>
    <row r="721" spans="1:16" ht="18.75" hidden="1">
      <c r="A721" s="50" t="s">
        <v>3587</v>
      </c>
      <c r="B721" s="50" t="str">
        <f>"95/07/12"</f>
        <v>95/07/12</v>
      </c>
      <c r="C721" s="50" t="s">
        <v>3569</v>
      </c>
      <c r="D721" s="50" t="s">
        <v>3578</v>
      </c>
      <c r="E721" s="12" t="s">
        <v>3420</v>
      </c>
      <c r="F721" s="49">
        <v>31256</v>
      </c>
      <c r="G721" s="67" t="s">
        <v>5611</v>
      </c>
      <c r="H721" s="14" t="s">
        <v>5601</v>
      </c>
      <c r="I721" s="14" t="s">
        <v>2458</v>
      </c>
      <c r="J721" s="33" t="s">
        <v>7110</v>
      </c>
      <c r="K721" s="33" t="s">
        <v>3671</v>
      </c>
      <c r="L721" s="68">
        <v>0</v>
      </c>
      <c r="M721" s="68" t="s">
        <v>8915</v>
      </c>
      <c r="N721" s="68">
        <v>0</v>
      </c>
      <c r="O721" s="68">
        <v>0</v>
      </c>
      <c r="P721" s="198" t="s">
        <v>5630</v>
      </c>
    </row>
    <row r="722" spans="1:16" ht="18.75" hidden="1">
      <c r="A722" s="50" t="s">
        <v>3588</v>
      </c>
      <c r="B722" s="50" t="str">
        <f>"95/07/05"</f>
        <v>95/07/05</v>
      </c>
      <c r="C722" s="50" t="s">
        <v>3638</v>
      </c>
      <c r="D722" s="50" t="s">
        <v>3663</v>
      </c>
      <c r="E722" s="12" t="s">
        <v>3420</v>
      </c>
      <c r="F722" s="49">
        <v>486952</v>
      </c>
      <c r="G722" s="67" t="s">
        <v>5616</v>
      </c>
      <c r="H722" s="14" t="s">
        <v>5602</v>
      </c>
      <c r="I722" s="14" t="s">
        <v>2458</v>
      </c>
      <c r="J722" s="33" t="s">
        <v>7110</v>
      </c>
      <c r="K722" s="33" t="s">
        <v>3671</v>
      </c>
      <c r="L722" s="68">
        <v>0</v>
      </c>
      <c r="M722" s="68" t="s">
        <v>8915</v>
      </c>
      <c r="N722" s="68">
        <v>0</v>
      </c>
      <c r="O722" s="68">
        <v>0</v>
      </c>
      <c r="P722" s="198" t="s">
        <v>5641</v>
      </c>
    </row>
    <row r="723" spans="1:16" ht="18.75" hidden="1">
      <c r="A723" s="50" t="s">
        <v>3587</v>
      </c>
      <c r="B723" s="50" t="str">
        <f>"95/07/12"</f>
        <v>95/07/12</v>
      </c>
      <c r="C723" s="50" t="s">
        <v>3639</v>
      </c>
      <c r="D723" s="50" t="s">
        <v>3578</v>
      </c>
      <c r="E723" s="12" t="s">
        <v>3420</v>
      </c>
      <c r="F723" s="49">
        <v>300000</v>
      </c>
      <c r="G723" s="67" t="s">
        <v>5611</v>
      </c>
      <c r="H723" s="14" t="s">
        <v>5601</v>
      </c>
      <c r="I723" s="14" t="s">
        <v>2458</v>
      </c>
      <c r="J723" s="33" t="s">
        <v>7110</v>
      </c>
      <c r="K723" s="33" t="s">
        <v>3671</v>
      </c>
      <c r="L723" s="68">
        <v>0</v>
      </c>
      <c r="M723" s="68" t="s">
        <v>8915</v>
      </c>
      <c r="N723" s="68">
        <v>0</v>
      </c>
      <c r="O723" s="68">
        <v>0</v>
      </c>
      <c r="P723" s="198" t="s">
        <v>5630</v>
      </c>
    </row>
    <row r="724" spans="1:16" ht="18.75" hidden="1">
      <c r="A724" s="50" t="s">
        <v>3589</v>
      </c>
      <c r="B724" s="50" t="str">
        <f>"95/07/12"</f>
        <v>95/07/12</v>
      </c>
      <c r="C724" s="50" t="s">
        <v>3406</v>
      </c>
      <c r="D724" s="50" t="s">
        <v>3323</v>
      </c>
      <c r="E724" s="12" t="s">
        <v>3420</v>
      </c>
      <c r="F724" s="49">
        <v>2214</v>
      </c>
      <c r="G724" s="67" t="s">
        <v>5604</v>
      </c>
      <c r="H724" s="14" t="s">
        <v>5601</v>
      </c>
      <c r="I724" s="14" t="s">
        <v>2458</v>
      </c>
      <c r="J724" s="33" t="s">
        <v>7110</v>
      </c>
      <c r="K724" s="33" t="s">
        <v>3671</v>
      </c>
      <c r="L724" s="68">
        <v>0</v>
      </c>
      <c r="M724" s="68" t="s">
        <v>8915</v>
      </c>
      <c r="N724" s="68">
        <v>0</v>
      </c>
      <c r="O724" s="68">
        <v>0</v>
      </c>
      <c r="P724" s="198" t="s">
        <v>5618</v>
      </c>
    </row>
    <row r="725" spans="1:16" ht="18.75" hidden="1">
      <c r="A725" s="50" t="s">
        <v>3589</v>
      </c>
      <c r="B725" s="50" t="str">
        <f>"95/07/12"</f>
        <v>95/07/12</v>
      </c>
      <c r="C725" s="50" t="s">
        <v>3640</v>
      </c>
      <c r="D725" s="50" t="s">
        <v>3556</v>
      </c>
      <c r="E725" s="12" t="s">
        <v>3420</v>
      </c>
      <c r="F725" s="49">
        <v>398260</v>
      </c>
      <c r="G725" s="67" t="s">
        <v>5604</v>
      </c>
      <c r="H725" s="14" t="s">
        <v>5601</v>
      </c>
      <c r="I725" s="14" t="s">
        <v>2458</v>
      </c>
      <c r="J725" s="33" t="s">
        <v>7110</v>
      </c>
      <c r="K725" s="33" t="s">
        <v>3671</v>
      </c>
      <c r="L725" s="68">
        <v>0</v>
      </c>
      <c r="M725" s="68" t="s">
        <v>8915</v>
      </c>
      <c r="N725" s="68">
        <v>0</v>
      </c>
      <c r="O725" s="68">
        <v>0</v>
      </c>
      <c r="P725" s="198" t="s">
        <v>5643</v>
      </c>
    </row>
    <row r="726" spans="1:16" ht="18.75" hidden="1">
      <c r="A726" s="50" t="s">
        <v>3590</v>
      </c>
      <c r="B726" s="50" t="str">
        <f>"95/07/14"</f>
        <v>95/07/14</v>
      </c>
      <c r="C726" s="50" t="s">
        <v>3641</v>
      </c>
      <c r="D726" s="50" t="s">
        <v>3665</v>
      </c>
      <c r="E726" s="12" t="s">
        <v>3420</v>
      </c>
      <c r="F726" s="49">
        <v>487726</v>
      </c>
      <c r="G726" s="67" t="s">
        <v>5604</v>
      </c>
      <c r="H726" s="14" t="s">
        <v>5602</v>
      </c>
      <c r="I726" s="14" t="s">
        <v>2458</v>
      </c>
      <c r="J726" s="33" t="s">
        <v>7110</v>
      </c>
      <c r="K726" s="33" t="s">
        <v>3671</v>
      </c>
      <c r="L726" s="68">
        <v>0</v>
      </c>
      <c r="M726" s="68" t="s">
        <v>8915</v>
      </c>
      <c r="N726" s="68">
        <v>0</v>
      </c>
      <c r="O726" s="68">
        <v>0</v>
      </c>
      <c r="P726" s="198" t="s">
        <v>5643</v>
      </c>
    </row>
    <row r="727" spans="1:16" ht="18.75" hidden="1">
      <c r="A727" s="50" t="s">
        <v>3591</v>
      </c>
      <c r="B727" s="50" t="str">
        <f>"95/07/11"</f>
        <v>95/07/11</v>
      </c>
      <c r="C727" s="50" t="s">
        <v>3642</v>
      </c>
      <c r="D727" s="50" t="s">
        <v>3661</v>
      </c>
      <c r="E727" s="12" t="s">
        <v>3420</v>
      </c>
      <c r="F727" s="49">
        <v>488663</v>
      </c>
      <c r="G727" s="67" t="s">
        <v>5616</v>
      </c>
      <c r="H727" s="14" t="s">
        <v>5602</v>
      </c>
      <c r="I727" s="14" t="s">
        <v>2458</v>
      </c>
      <c r="J727" s="33" t="s">
        <v>7110</v>
      </c>
      <c r="K727" s="33" t="s">
        <v>3671</v>
      </c>
      <c r="L727" s="68">
        <v>0</v>
      </c>
      <c r="M727" s="68" t="s">
        <v>8915</v>
      </c>
      <c r="N727" s="68">
        <v>0</v>
      </c>
      <c r="O727" s="68">
        <v>0</v>
      </c>
      <c r="P727" s="198" t="s">
        <v>5641</v>
      </c>
    </row>
    <row r="728" spans="1:16" ht="18.75" hidden="1">
      <c r="A728" s="50" t="s">
        <v>3592</v>
      </c>
      <c r="B728" s="50" t="str">
        <f>"95/07/29"</f>
        <v>95/07/29</v>
      </c>
      <c r="C728" s="50" t="s">
        <v>3643</v>
      </c>
      <c r="D728" s="50" t="s">
        <v>3666</v>
      </c>
      <c r="E728" s="12" t="s">
        <v>3420</v>
      </c>
      <c r="F728" s="49">
        <v>42913</v>
      </c>
      <c r="G728" s="67" t="s">
        <v>5633</v>
      </c>
      <c r="H728" s="14" t="s">
        <v>5601</v>
      </c>
      <c r="I728" s="14" t="s">
        <v>2458</v>
      </c>
      <c r="J728" s="33" t="s">
        <v>7110</v>
      </c>
      <c r="K728" s="33" t="s">
        <v>3671</v>
      </c>
      <c r="L728" s="68">
        <v>0</v>
      </c>
      <c r="M728" s="68" t="s">
        <v>8915</v>
      </c>
      <c r="N728" s="68">
        <v>0</v>
      </c>
      <c r="O728" s="68">
        <v>0</v>
      </c>
      <c r="P728" s="198" t="s">
        <v>5650</v>
      </c>
    </row>
    <row r="729" spans="1:16" ht="18.75" hidden="1">
      <c r="A729" s="50" t="s">
        <v>3593</v>
      </c>
      <c r="B729" s="50" t="str">
        <f>"95/07/12"</f>
        <v>95/07/12</v>
      </c>
      <c r="C729" s="50" t="s">
        <v>3644</v>
      </c>
      <c r="D729" s="50" t="s">
        <v>3556</v>
      </c>
      <c r="E729" s="12" t="s">
        <v>3420</v>
      </c>
      <c r="F729" s="49">
        <v>90480</v>
      </c>
      <c r="G729" s="67" t="s">
        <v>5611</v>
      </c>
      <c r="H729" s="14" t="s">
        <v>5601</v>
      </c>
      <c r="I729" s="14" t="s">
        <v>2458</v>
      </c>
      <c r="J729" s="33" t="s">
        <v>7110</v>
      </c>
      <c r="K729" s="33" t="s">
        <v>3671</v>
      </c>
      <c r="L729" s="68">
        <v>0</v>
      </c>
      <c r="M729" s="68" t="s">
        <v>8915</v>
      </c>
      <c r="N729" s="68">
        <v>0</v>
      </c>
      <c r="O729" s="68">
        <v>0</v>
      </c>
      <c r="P729" s="198" t="s">
        <v>5640</v>
      </c>
    </row>
    <row r="730" spans="1:16" ht="18.75" hidden="1">
      <c r="A730" s="50" t="s">
        <v>3594</v>
      </c>
      <c r="B730" s="50" t="str">
        <f>"95/07/10"</f>
        <v>95/07/10</v>
      </c>
      <c r="C730" s="50" t="s">
        <v>3466</v>
      </c>
      <c r="D730" s="50" t="s">
        <v>2755</v>
      </c>
      <c r="E730" s="12" t="s">
        <v>3420</v>
      </c>
      <c r="F730" s="49">
        <v>97810</v>
      </c>
      <c r="G730" s="67" t="s">
        <v>5611</v>
      </c>
      <c r="H730" s="14" t="s">
        <v>5601</v>
      </c>
      <c r="I730" s="14" t="s">
        <v>2458</v>
      </c>
      <c r="J730" s="33" t="s">
        <v>7110</v>
      </c>
      <c r="K730" s="33" t="s">
        <v>3671</v>
      </c>
      <c r="L730" s="68">
        <v>0</v>
      </c>
      <c r="M730" s="68" t="s">
        <v>8915</v>
      </c>
      <c r="N730" s="68">
        <v>0</v>
      </c>
      <c r="O730" s="68">
        <v>0</v>
      </c>
      <c r="P730" s="198" t="s">
        <v>5612</v>
      </c>
    </row>
    <row r="731" spans="1:16" ht="18.75" hidden="1">
      <c r="A731" s="50" t="s">
        <v>3595</v>
      </c>
      <c r="B731" s="50" t="str">
        <f>"95/07/27"</f>
        <v>95/07/27</v>
      </c>
      <c r="C731" s="50" t="s">
        <v>3645</v>
      </c>
      <c r="D731" s="50" t="s">
        <v>3667</v>
      </c>
      <c r="E731" s="12" t="s">
        <v>3420</v>
      </c>
      <c r="F731" s="49">
        <v>115480</v>
      </c>
      <c r="G731" s="67" t="s">
        <v>5647</v>
      </c>
      <c r="H731" s="14" t="s">
        <v>5601</v>
      </c>
      <c r="I731" s="14" t="s">
        <v>2458</v>
      </c>
      <c r="J731" s="33" t="s">
        <v>7110</v>
      </c>
      <c r="K731" s="33" t="s">
        <v>3671</v>
      </c>
      <c r="L731" s="68">
        <v>0</v>
      </c>
      <c r="M731" s="68" t="s">
        <v>8915</v>
      </c>
      <c r="N731" s="68">
        <v>0</v>
      </c>
      <c r="O731" s="68">
        <v>0</v>
      </c>
      <c r="P731" s="198" t="s">
        <v>5648</v>
      </c>
    </row>
    <row r="732" spans="1:16" ht="18.75" hidden="1">
      <c r="A732" s="50" t="s">
        <v>3596</v>
      </c>
      <c r="B732" s="50" t="str">
        <f>"95/07/27"</f>
        <v>95/07/27</v>
      </c>
      <c r="C732" s="50" t="s">
        <v>3646</v>
      </c>
      <c r="D732" s="50" t="s">
        <v>3668</v>
      </c>
      <c r="E732" s="12" t="s">
        <v>3420</v>
      </c>
      <c r="F732" s="49">
        <v>44240</v>
      </c>
      <c r="G732" s="67" t="s">
        <v>5611</v>
      </c>
      <c r="H732" s="14" t="s">
        <v>5601</v>
      </c>
      <c r="I732" s="14" t="s">
        <v>2458</v>
      </c>
      <c r="J732" s="33" t="s">
        <v>7110</v>
      </c>
      <c r="K732" s="33" t="s">
        <v>3671</v>
      </c>
      <c r="L732" s="68">
        <v>0</v>
      </c>
      <c r="M732" s="68" t="s">
        <v>8915</v>
      </c>
      <c r="N732" s="68">
        <v>0</v>
      </c>
      <c r="O732" s="68">
        <v>0</v>
      </c>
      <c r="P732" s="198" t="s">
        <v>5654</v>
      </c>
    </row>
    <row r="733" spans="1:16" ht="18.75" hidden="1">
      <c r="A733" s="50" t="s">
        <v>3594</v>
      </c>
      <c r="B733" s="50" t="str">
        <f>"95/07/10"</f>
        <v>95/07/10</v>
      </c>
      <c r="C733" s="50" t="s">
        <v>3382</v>
      </c>
      <c r="D733" s="50" t="s">
        <v>2754</v>
      </c>
      <c r="E733" s="12" t="s">
        <v>3420</v>
      </c>
      <c r="F733" s="49">
        <v>2730</v>
      </c>
      <c r="G733" s="67" t="s">
        <v>5607</v>
      </c>
      <c r="H733" s="14" t="s">
        <v>5601</v>
      </c>
      <c r="I733" s="14" t="s">
        <v>2458</v>
      </c>
      <c r="J733" s="33" t="s">
        <v>7110</v>
      </c>
      <c r="K733" s="33" t="s">
        <v>3671</v>
      </c>
      <c r="L733" s="68">
        <v>0</v>
      </c>
      <c r="M733" s="68" t="s">
        <v>8915</v>
      </c>
      <c r="N733" s="68">
        <v>0</v>
      </c>
      <c r="O733" s="68">
        <v>0</v>
      </c>
      <c r="P733" s="198" t="s">
        <v>5608</v>
      </c>
    </row>
    <row r="734" spans="1:16" ht="18.75" hidden="1">
      <c r="A734" s="50" t="s">
        <v>3597</v>
      </c>
      <c r="B734" s="50" t="str">
        <f>"95/07/12"</f>
        <v>95/07/12</v>
      </c>
      <c r="C734" s="50" t="s">
        <v>3466</v>
      </c>
      <c r="D734" s="50" t="s">
        <v>2755</v>
      </c>
      <c r="E734" s="12" t="s">
        <v>3420</v>
      </c>
      <c r="F734" s="49">
        <v>172840</v>
      </c>
      <c r="G734" s="67" t="s">
        <v>5611</v>
      </c>
      <c r="H734" s="14" t="s">
        <v>5601</v>
      </c>
      <c r="I734" s="14" t="s">
        <v>2458</v>
      </c>
      <c r="J734" s="33" t="s">
        <v>7110</v>
      </c>
      <c r="K734" s="33" t="s">
        <v>3671</v>
      </c>
      <c r="L734" s="68">
        <v>0</v>
      </c>
      <c r="M734" s="68" t="s">
        <v>8915</v>
      </c>
      <c r="N734" s="68">
        <v>0</v>
      </c>
      <c r="O734" s="68">
        <v>0</v>
      </c>
      <c r="P734" s="198" t="s">
        <v>5612</v>
      </c>
    </row>
    <row r="735" spans="1:16" ht="18.75" hidden="1">
      <c r="A735" s="50" t="s">
        <v>3598</v>
      </c>
      <c r="B735" s="50" t="str">
        <f>"95/07/22"</f>
        <v>95/07/22</v>
      </c>
      <c r="C735" s="50" t="s">
        <v>3645</v>
      </c>
      <c r="D735" s="50" t="s">
        <v>3667</v>
      </c>
      <c r="E735" s="12" t="s">
        <v>3420</v>
      </c>
      <c r="F735" s="49">
        <v>45880</v>
      </c>
      <c r="G735" s="67" t="s">
        <v>5647</v>
      </c>
      <c r="H735" s="14" t="s">
        <v>5601</v>
      </c>
      <c r="I735" s="14" t="s">
        <v>2458</v>
      </c>
      <c r="J735" s="33" t="s">
        <v>7110</v>
      </c>
      <c r="K735" s="33" t="s">
        <v>3671</v>
      </c>
      <c r="L735" s="68">
        <v>0</v>
      </c>
      <c r="M735" s="68" t="s">
        <v>8915</v>
      </c>
      <c r="N735" s="68">
        <v>0</v>
      </c>
      <c r="O735" s="68">
        <v>0</v>
      </c>
      <c r="P735" s="198" t="s">
        <v>5648</v>
      </c>
    </row>
    <row r="736" spans="1:16" ht="18.75" hidden="1">
      <c r="A736" s="50" t="s">
        <v>3598</v>
      </c>
      <c r="B736" s="50" t="str">
        <f>"95/07/22"</f>
        <v>95/07/22</v>
      </c>
      <c r="C736" s="50" t="s">
        <v>3647</v>
      </c>
      <c r="D736" s="50" t="s">
        <v>3669</v>
      </c>
      <c r="E736" s="12" t="s">
        <v>3420</v>
      </c>
      <c r="F736" s="49">
        <v>191040</v>
      </c>
      <c r="G736" s="67" t="s">
        <v>5611</v>
      </c>
      <c r="H736" s="14" t="s">
        <v>5601</v>
      </c>
      <c r="I736" s="14" t="s">
        <v>2458</v>
      </c>
      <c r="J736" s="33" t="s">
        <v>7110</v>
      </c>
      <c r="K736" s="33" t="s">
        <v>3671</v>
      </c>
      <c r="L736" s="68">
        <v>0</v>
      </c>
      <c r="M736" s="68" t="s">
        <v>8915</v>
      </c>
      <c r="N736" s="68">
        <v>0</v>
      </c>
      <c r="O736" s="68">
        <v>0</v>
      </c>
      <c r="P736" s="198" t="s">
        <v>5635</v>
      </c>
    </row>
    <row r="737" spans="1:16" ht="18.75" hidden="1">
      <c r="A737" s="50" t="s">
        <v>3598</v>
      </c>
      <c r="B737" s="50" t="str">
        <f>"95/07/22"</f>
        <v>95/07/22</v>
      </c>
      <c r="C737" s="50" t="s">
        <v>3648</v>
      </c>
      <c r="D737" s="50" t="s">
        <v>3556</v>
      </c>
      <c r="E737" s="12" t="s">
        <v>3420</v>
      </c>
      <c r="F737" s="49">
        <v>35040</v>
      </c>
      <c r="G737" s="67" t="s">
        <v>5611</v>
      </c>
      <c r="H737" s="14" t="s">
        <v>5601</v>
      </c>
      <c r="I737" s="14" t="s">
        <v>2458</v>
      </c>
      <c r="J737" s="33" t="s">
        <v>7110</v>
      </c>
      <c r="K737" s="33" t="s">
        <v>3671</v>
      </c>
      <c r="L737" s="68">
        <v>0</v>
      </c>
      <c r="M737" s="68" t="s">
        <v>8915</v>
      </c>
      <c r="N737" s="68">
        <v>0</v>
      </c>
      <c r="O737" s="68">
        <v>0</v>
      </c>
      <c r="P737" s="198" t="s">
        <v>5635</v>
      </c>
    </row>
    <row r="738" spans="1:16" ht="18.75" hidden="1">
      <c r="A738" s="50" t="s">
        <v>3599</v>
      </c>
      <c r="B738" s="50" t="str">
        <f>"95/07/28"</f>
        <v>95/07/28</v>
      </c>
      <c r="C738" s="50" t="s">
        <v>3649</v>
      </c>
      <c r="D738" s="50" t="s">
        <v>3662</v>
      </c>
      <c r="E738" s="12" t="s">
        <v>3420</v>
      </c>
      <c r="F738" s="49">
        <v>90360</v>
      </c>
      <c r="G738" s="67" t="s">
        <v>5647</v>
      </c>
      <c r="H738" s="14" t="s">
        <v>5601</v>
      </c>
      <c r="I738" s="14" t="s">
        <v>2458</v>
      </c>
      <c r="J738" s="33" t="s">
        <v>7110</v>
      </c>
      <c r="K738" s="33" t="s">
        <v>3671</v>
      </c>
      <c r="L738" s="68">
        <v>0</v>
      </c>
      <c r="M738" s="68" t="s">
        <v>8915</v>
      </c>
      <c r="N738" s="68">
        <v>0</v>
      </c>
      <c r="O738" s="68">
        <v>0</v>
      </c>
      <c r="P738" s="198" t="s">
        <v>5657</v>
      </c>
    </row>
    <row r="739" spans="1:16" ht="18.75" hidden="1">
      <c r="A739" s="50" t="s">
        <v>3600</v>
      </c>
      <c r="B739" s="50" t="str">
        <f>"95/07/15"</f>
        <v>95/07/15</v>
      </c>
      <c r="C739" s="50" t="s">
        <v>3648</v>
      </c>
      <c r="D739" s="50" t="s">
        <v>3556</v>
      </c>
      <c r="E739" s="12" t="s">
        <v>3420</v>
      </c>
      <c r="F739" s="49">
        <v>144380</v>
      </c>
      <c r="G739" s="67" t="s">
        <v>5611</v>
      </c>
      <c r="H739" s="14" t="s">
        <v>5601</v>
      </c>
      <c r="I739" s="14" t="s">
        <v>2458</v>
      </c>
      <c r="J739" s="33" t="s">
        <v>7110</v>
      </c>
      <c r="K739" s="33" t="s">
        <v>3671</v>
      </c>
      <c r="L739" s="68">
        <v>0</v>
      </c>
      <c r="M739" s="68" t="s">
        <v>8915</v>
      </c>
      <c r="N739" s="68">
        <v>0</v>
      </c>
      <c r="O739" s="68">
        <v>0</v>
      </c>
      <c r="P739" s="198" t="s">
        <v>5635</v>
      </c>
    </row>
    <row r="740" spans="1:16" ht="18.75" hidden="1">
      <c r="A740" s="50" t="s">
        <v>3600</v>
      </c>
      <c r="B740" s="50" t="str">
        <f>"95/07/15"</f>
        <v>95/07/15</v>
      </c>
      <c r="C740" s="50" t="s">
        <v>3650</v>
      </c>
      <c r="D740" s="50" t="s">
        <v>3556</v>
      </c>
      <c r="E740" s="12" t="s">
        <v>3420</v>
      </c>
      <c r="F740" s="49">
        <v>90640</v>
      </c>
      <c r="G740" s="67" t="s">
        <v>5611</v>
      </c>
      <c r="H740" s="14" t="s">
        <v>5601</v>
      </c>
      <c r="I740" s="14" t="s">
        <v>2458</v>
      </c>
      <c r="J740" s="33" t="s">
        <v>7110</v>
      </c>
      <c r="K740" s="33" t="s">
        <v>3671</v>
      </c>
      <c r="L740" s="68">
        <v>0</v>
      </c>
      <c r="M740" s="68" t="s">
        <v>8915</v>
      </c>
      <c r="N740" s="68">
        <v>0</v>
      </c>
      <c r="O740" s="68">
        <v>0</v>
      </c>
      <c r="P740" s="198" t="s">
        <v>5635</v>
      </c>
    </row>
    <row r="741" spans="1:16" ht="18.75" hidden="1">
      <c r="A741" s="50" t="s">
        <v>3601</v>
      </c>
      <c r="B741" s="50" t="str">
        <f>"95/07/15"</f>
        <v>95/07/15</v>
      </c>
      <c r="C741" s="50" t="s">
        <v>3466</v>
      </c>
      <c r="D741" s="50" t="s">
        <v>2755</v>
      </c>
      <c r="E741" s="12" t="s">
        <v>3420</v>
      </c>
      <c r="F741" s="49">
        <v>39923</v>
      </c>
      <c r="G741" s="67" t="s">
        <v>5611</v>
      </c>
      <c r="H741" s="14" t="s">
        <v>5601</v>
      </c>
      <c r="I741" s="14" t="s">
        <v>2458</v>
      </c>
      <c r="J741" s="33" t="s">
        <v>7110</v>
      </c>
      <c r="K741" s="33" t="s">
        <v>3671</v>
      </c>
      <c r="L741" s="68">
        <v>0</v>
      </c>
      <c r="M741" s="68" t="s">
        <v>8915</v>
      </c>
      <c r="N741" s="68">
        <v>0</v>
      </c>
      <c r="O741" s="68">
        <v>0</v>
      </c>
      <c r="P741" s="198" t="s">
        <v>5612</v>
      </c>
    </row>
    <row r="742" spans="1:16" ht="18.75" hidden="1">
      <c r="A742" s="50" t="s">
        <v>3602</v>
      </c>
      <c r="B742" s="50" t="str">
        <f>"95/07/26"</f>
        <v>95/07/26</v>
      </c>
      <c r="C742" s="50" t="s">
        <v>3651</v>
      </c>
      <c r="D742" s="50" t="s">
        <v>3665</v>
      </c>
      <c r="E742" s="12" t="s">
        <v>3420</v>
      </c>
      <c r="F742" s="49">
        <v>121897</v>
      </c>
      <c r="G742" s="67" t="s">
        <v>5611</v>
      </c>
      <c r="H742" s="14" t="s">
        <v>5601</v>
      </c>
      <c r="I742" s="14" t="s">
        <v>2458</v>
      </c>
      <c r="J742" s="33" t="s">
        <v>7110</v>
      </c>
      <c r="K742" s="33" t="s">
        <v>3671</v>
      </c>
      <c r="L742" s="68">
        <v>0</v>
      </c>
      <c r="M742" s="68" t="s">
        <v>8915</v>
      </c>
      <c r="N742" s="68">
        <v>0</v>
      </c>
      <c r="O742" s="68">
        <v>0</v>
      </c>
      <c r="P742" s="198" t="s">
        <v>5645</v>
      </c>
    </row>
    <row r="743" spans="1:16" ht="18.75" hidden="1">
      <c r="A743" s="50" t="s">
        <v>3603</v>
      </c>
      <c r="B743" s="50" t="str">
        <f>"95/07/12"</f>
        <v>95/07/12</v>
      </c>
      <c r="C743" s="50" t="s">
        <v>3644</v>
      </c>
      <c r="D743" s="50" t="s">
        <v>3556</v>
      </c>
      <c r="E743" s="12" t="s">
        <v>3420</v>
      </c>
      <c r="F743" s="49">
        <v>45980</v>
      </c>
      <c r="G743" s="67" t="s">
        <v>5611</v>
      </c>
      <c r="H743" s="14" t="s">
        <v>5601</v>
      </c>
      <c r="I743" s="14" t="s">
        <v>2458</v>
      </c>
      <c r="J743" s="33" t="s">
        <v>7110</v>
      </c>
      <c r="K743" s="33" t="s">
        <v>3671</v>
      </c>
      <c r="L743" s="68">
        <v>0</v>
      </c>
      <c r="M743" s="68" t="s">
        <v>8915</v>
      </c>
      <c r="N743" s="68">
        <v>0</v>
      </c>
      <c r="O743" s="68">
        <v>0</v>
      </c>
      <c r="P743" s="198" t="s">
        <v>5640</v>
      </c>
    </row>
    <row r="744" spans="1:16" ht="18.75" hidden="1">
      <c r="A744" s="50" t="s">
        <v>3604</v>
      </c>
      <c r="B744" s="50" t="str">
        <f>"95/07/27"</f>
        <v>95/07/27</v>
      </c>
      <c r="C744" s="50" t="s">
        <v>3651</v>
      </c>
      <c r="D744" s="50" t="s">
        <v>3665</v>
      </c>
      <c r="E744" s="12" t="s">
        <v>3420</v>
      </c>
      <c r="F744" s="49">
        <v>99350</v>
      </c>
      <c r="G744" s="67" t="s">
        <v>5611</v>
      </c>
      <c r="H744" s="14" t="s">
        <v>5601</v>
      </c>
      <c r="I744" s="14" t="s">
        <v>2458</v>
      </c>
      <c r="J744" s="33" t="s">
        <v>7110</v>
      </c>
      <c r="K744" s="33" t="s">
        <v>3671</v>
      </c>
      <c r="L744" s="68">
        <v>0</v>
      </c>
      <c r="M744" s="68" t="s">
        <v>8915</v>
      </c>
      <c r="N744" s="68">
        <v>0</v>
      </c>
      <c r="O744" s="68">
        <v>0</v>
      </c>
      <c r="P744" s="198" t="s">
        <v>5645</v>
      </c>
    </row>
    <row r="745" spans="1:16" ht="18.75" hidden="1">
      <c r="A745" s="50" t="s">
        <v>3605</v>
      </c>
      <c r="B745" s="50" t="str">
        <f>"95/07/25"</f>
        <v>95/07/25</v>
      </c>
      <c r="C745" s="50" t="s">
        <v>3652</v>
      </c>
      <c r="D745" s="50" t="s">
        <v>3665</v>
      </c>
      <c r="E745" s="12" t="s">
        <v>3420</v>
      </c>
      <c r="F745" s="49">
        <v>115950</v>
      </c>
      <c r="G745" s="67" t="s">
        <v>5611</v>
      </c>
      <c r="H745" s="14" t="s">
        <v>5601</v>
      </c>
      <c r="I745" s="14" t="s">
        <v>2458</v>
      </c>
      <c r="J745" s="33" t="s">
        <v>7110</v>
      </c>
      <c r="K745" s="33" t="s">
        <v>3671</v>
      </c>
      <c r="L745" s="68">
        <v>0</v>
      </c>
      <c r="M745" s="68" t="s">
        <v>8915</v>
      </c>
      <c r="N745" s="68">
        <v>0</v>
      </c>
      <c r="O745" s="68">
        <v>0</v>
      </c>
      <c r="P745" s="198" t="s">
        <v>5645</v>
      </c>
    </row>
    <row r="746" spans="1:16" ht="18.75" hidden="1">
      <c r="A746" s="50" t="s">
        <v>3606</v>
      </c>
      <c r="B746" s="50" t="str">
        <f>"95/07/15"</f>
        <v>95/07/15</v>
      </c>
      <c r="C746" s="50" t="s">
        <v>3653</v>
      </c>
      <c r="D746" s="50" t="s">
        <v>2869</v>
      </c>
      <c r="E746" s="12" t="s">
        <v>3420</v>
      </c>
      <c r="F746" s="49">
        <v>91780</v>
      </c>
      <c r="G746" s="67" t="s">
        <v>5611</v>
      </c>
      <c r="H746" s="14" t="s">
        <v>5601</v>
      </c>
      <c r="I746" s="14" t="s">
        <v>2458</v>
      </c>
      <c r="J746" s="33" t="s">
        <v>7110</v>
      </c>
      <c r="K746" s="33" t="s">
        <v>3671</v>
      </c>
      <c r="L746" s="68">
        <v>0</v>
      </c>
      <c r="M746" s="68" t="s">
        <v>8915</v>
      </c>
      <c r="N746" s="68">
        <v>0</v>
      </c>
      <c r="O746" s="68">
        <v>0</v>
      </c>
      <c r="P746" s="198" t="s">
        <v>5612</v>
      </c>
    </row>
    <row r="747" spans="1:16" ht="18.75" hidden="1">
      <c r="A747" s="50" t="s">
        <v>3607</v>
      </c>
      <c r="B747" s="50" t="str">
        <f>"95/07/26"</f>
        <v>95/07/26</v>
      </c>
      <c r="C747" s="50" t="s">
        <v>3654</v>
      </c>
      <c r="D747" s="50" t="s">
        <v>3664</v>
      </c>
      <c r="E747" s="12" t="s">
        <v>3420</v>
      </c>
      <c r="F747" s="49">
        <v>70640</v>
      </c>
      <c r="G747" s="67" t="s">
        <v>5652</v>
      </c>
      <c r="H747" s="14" t="s">
        <v>5601</v>
      </c>
      <c r="I747" s="14" t="s">
        <v>2458</v>
      </c>
      <c r="J747" s="33" t="s">
        <v>7110</v>
      </c>
      <c r="K747" s="33" t="s">
        <v>3671</v>
      </c>
      <c r="L747" s="68">
        <v>0</v>
      </c>
      <c r="M747" s="68" t="s">
        <v>8915</v>
      </c>
      <c r="N747" s="68">
        <v>0</v>
      </c>
      <c r="O747" s="68">
        <v>0</v>
      </c>
      <c r="P747" s="198" t="s">
        <v>5653</v>
      </c>
    </row>
    <row r="748" spans="1:16" ht="18.75" hidden="1">
      <c r="A748" s="50" t="s">
        <v>3608</v>
      </c>
      <c r="B748" s="50" t="str">
        <f>"95/07/11"</f>
        <v>95/07/11</v>
      </c>
      <c r="C748" s="50" t="s">
        <v>3655</v>
      </c>
      <c r="D748" s="50" t="s">
        <v>3529</v>
      </c>
      <c r="E748" s="12" t="s">
        <v>3420</v>
      </c>
      <c r="F748" s="49">
        <v>70880</v>
      </c>
      <c r="G748" s="67" t="s">
        <v>5611</v>
      </c>
      <c r="H748" s="14" t="s">
        <v>5601</v>
      </c>
      <c r="I748" s="14" t="s">
        <v>2458</v>
      </c>
      <c r="J748" s="33" t="s">
        <v>7110</v>
      </c>
      <c r="K748" s="33" t="s">
        <v>3671</v>
      </c>
      <c r="L748" s="68">
        <v>0</v>
      </c>
      <c r="M748" s="68" t="s">
        <v>8915</v>
      </c>
      <c r="N748" s="68">
        <v>0</v>
      </c>
      <c r="O748" s="68">
        <v>0</v>
      </c>
      <c r="P748" s="198" t="s">
        <v>5630</v>
      </c>
    </row>
    <row r="749" spans="1:16" ht="18.75" hidden="1">
      <c r="A749" s="50" t="s">
        <v>3609</v>
      </c>
      <c r="B749" s="50" t="str">
        <f>"95/07/17"</f>
        <v>95/07/17</v>
      </c>
      <c r="C749" s="50" t="s">
        <v>3653</v>
      </c>
      <c r="D749" s="50" t="s">
        <v>2869</v>
      </c>
      <c r="E749" s="12" t="s">
        <v>3420</v>
      </c>
      <c r="F749" s="49">
        <v>99513</v>
      </c>
      <c r="G749" s="67" t="s">
        <v>5611</v>
      </c>
      <c r="H749" s="14" t="s">
        <v>5601</v>
      </c>
      <c r="I749" s="14" t="s">
        <v>2458</v>
      </c>
      <c r="J749" s="33" t="s">
        <v>7110</v>
      </c>
      <c r="K749" s="33" t="s">
        <v>3671</v>
      </c>
      <c r="L749" s="68">
        <v>0</v>
      </c>
      <c r="M749" s="68" t="s">
        <v>8915</v>
      </c>
      <c r="N749" s="68">
        <v>0</v>
      </c>
      <c r="O749" s="68">
        <v>0</v>
      </c>
      <c r="P749" s="198" t="s">
        <v>5612</v>
      </c>
    </row>
    <row r="750" spans="1:16" ht="18.75" hidden="1">
      <c r="A750" s="50" t="s">
        <v>3610</v>
      </c>
      <c r="B750" s="50" t="str">
        <f>"95/07/19"</f>
        <v>95/07/19</v>
      </c>
      <c r="C750" s="50" t="s">
        <v>3652</v>
      </c>
      <c r="D750" s="50" t="s">
        <v>3665</v>
      </c>
      <c r="E750" s="12" t="s">
        <v>3420</v>
      </c>
      <c r="F750" s="49">
        <v>61577</v>
      </c>
      <c r="G750" s="67" t="s">
        <v>5611</v>
      </c>
      <c r="H750" s="14" t="s">
        <v>5601</v>
      </c>
      <c r="I750" s="14" t="s">
        <v>2458</v>
      </c>
      <c r="J750" s="33" t="s">
        <v>7110</v>
      </c>
      <c r="K750" s="33" t="s">
        <v>3671</v>
      </c>
      <c r="L750" s="68">
        <v>0</v>
      </c>
      <c r="M750" s="68" t="s">
        <v>8915</v>
      </c>
      <c r="N750" s="68">
        <v>0</v>
      </c>
      <c r="O750" s="68">
        <v>0</v>
      </c>
      <c r="P750" s="198" t="s">
        <v>5645</v>
      </c>
    </row>
    <row r="751" spans="1:16" ht="18.75" hidden="1">
      <c r="A751" s="50" t="s">
        <v>3611</v>
      </c>
      <c r="B751" s="50" t="str">
        <f>"95/07/10"</f>
        <v>95/07/10</v>
      </c>
      <c r="C751" s="50" t="s">
        <v>3210</v>
      </c>
      <c r="D751" s="50" t="s">
        <v>2619</v>
      </c>
      <c r="E751" s="12" t="s">
        <v>3420</v>
      </c>
      <c r="F751" s="49">
        <v>24900</v>
      </c>
      <c r="G751" s="67" t="s">
        <v>5611</v>
      </c>
      <c r="H751" s="14" t="s">
        <v>5601</v>
      </c>
      <c r="I751" s="14" t="s">
        <v>2458</v>
      </c>
      <c r="J751" s="33" t="s">
        <v>7110</v>
      </c>
      <c r="K751" s="33" t="s">
        <v>3671</v>
      </c>
      <c r="L751" s="68">
        <v>0</v>
      </c>
      <c r="M751" s="68" t="s">
        <v>8915</v>
      </c>
      <c r="N751" s="68">
        <v>0</v>
      </c>
      <c r="O751" s="68">
        <v>0</v>
      </c>
      <c r="P751" s="198" t="s">
        <v>5612</v>
      </c>
    </row>
    <row r="752" spans="1:16" ht="18.75" hidden="1">
      <c r="A752" s="50" t="s">
        <v>3611</v>
      </c>
      <c r="B752" s="50" t="str">
        <f>"95/07/10"</f>
        <v>95/07/10</v>
      </c>
      <c r="C752" s="50" t="s">
        <v>3655</v>
      </c>
      <c r="D752" s="50" t="s">
        <v>3529</v>
      </c>
      <c r="E752" s="12" t="s">
        <v>3420</v>
      </c>
      <c r="F752" s="49">
        <v>179120</v>
      </c>
      <c r="G752" s="67" t="s">
        <v>5611</v>
      </c>
      <c r="H752" s="14" t="s">
        <v>5601</v>
      </c>
      <c r="I752" s="14" t="s">
        <v>2458</v>
      </c>
      <c r="J752" s="33" t="s">
        <v>7110</v>
      </c>
      <c r="K752" s="33" t="s">
        <v>3671</v>
      </c>
      <c r="L752" s="68">
        <v>0</v>
      </c>
      <c r="M752" s="68" t="s">
        <v>8915</v>
      </c>
      <c r="N752" s="68">
        <v>0</v>
      </c>
      <c r="O752" s="68">
        <v>0</v>
      </c>
      <c r="P752" s="198" t="s">
        <v>5630</v>
      </c>
    </row>
    <row r="753" spans="1:16" ht="18.75" hidden="1">
      <c r="A753" s="50" t="s">
        <v>3601</v>
      </c>
      <c r="B753" s="50" t="str">
        <f>"95/07/15"</f>
        <v>95/07/15</v>
      </c>
      <c r="C753" s="50" t="s">
        <v>3653</v>
      </c>
      <c r="D753" s="50" t="s">
        <v>2869</v>
      </c>
      <c r="E753" s="12" t="s">
        <v>3420</v>
      </c>
      <c r="F753" s="49">
        <v>308707</v>
      </c>
      <c r="G753" s="67" t="s">
        <v>5611</v>
      </c>
      <c r="H753" s="14" t="s">
        <v>5601</v>
      </c>
      <c r="I753" s="14" t="s">
        <v>2458</v>
      </c>
      <c r="J753" s="33" t="s">
        <v>7110</v>
      </c>
      <c r="K753" s="33" t="s">
        <v>3671</v>
      </c>
      <c r="L753" s="68">
        <v>0</v>
      </c>
      <c r="M753" s="68" t="s">
        <v>8915</v>
      </c>
      <c r="N753" s="68">
        <v>0</v>
      </c>
      <c r="O753" s="68">
        <v>0</v>
      </c>
      <c r="P753" s="198" t="s">
        <v>5612</v>
      </c>
    </row>
    <row r="754" spans="1:16" ht="18.75" hidden="1">
      <c r="A754" s="50" t="s">
        <v>3602</v>
      </c>
      <c r="B754" s="50" t="str">
        <f>"95/07/26"</f>
        <v>95/07/26</v>
      </c>
      <c r="C754" s="50" t="s">
        <v>3652</v>
      </c>
      <c r="D754" s="50" t="s">
        <v>3665</v>
      </c>
      <c r="E754" s="12" t="s">
        <v>3420</v>
      </c>
      <c r="F754" s="49">
        <v>123633</v>
      </c>
      <c r="G754" s="67" t="s">
        <v>5611</v>
      </c>
      <c r="H754" s="14" t="s">
        <v>5601</v>
      </c>
      <c r="I754" s="14" t="s">
        <v>2458</v>
      </c>
      <c r="J754" s="33" t="s">
        <v>7110</v>
      </c>
      <c r="K754" s="33" t="s">
        <v>3671</v>
      </c>
      <c r="L754" s="68">
        <v>0</v>
      </c>
      <c r="M754" s="68" t="s">
        <v>8915</v>
      </c>
      <c r="N754" s="68">
        <v>0</v>
      </c>
      <c r="O754" s="68">
        <v>0</v>
      </c>
      <c r="P754" s="198" t="s">
        <v>5645</v>
      </c>
    </row>
    <row r="755" spans="1:16" ht="18.75" hidden="1">
      <c r="A755" s="50" t="s">
        <v>3612</v>
      </c>
      <c r="B755" s="50" t="str">
        <f>"95/07/26"</f>
        <v>95/07/26</v>
      </c>
      <c r="C755" s="50" t="s">
        <v>3654</v>
      </c>
      <c r="D755" s="50" t="s">
        <v>3664</v>
      </c>
      <c r="E755" s="12" t="s">
        <v>3420</v>
      </c>
      <c r="F755" s="49">
        <v>23280</v>
      </c>
      <c r="G755" s="67" t="s">
        <v>5652</v>
      </c>
      <c r="H755" s="14" t="s">
        <v>5601</v>
      </c>
      <c r="I755" s="14" t="s">
        <v>2458</v>
      </c>
      <c r="J755" s="33" t="s">
        <v>7110</v>
      </c>
      <c r="K755" s="33" t="s">
        <v>3671</v>
      </c>
      <c r="L755" s="68">
        <v>0</v>
      </c>
      <c r="M755" s="68" t="s">
        <v>8915</v>
      </c>
      <c r="N755" s="68">
        <v>0</v>
      </c>
      <c r="O755" s="68">
        <v>0</v>
      </c>
      <c r="P755" s="198" t="s">
        <v>5653</v>
      </c>
    </row>
    <row r="756" spans="1:16" ht="18.75" hidden="1">
      <c r="A756" s="50" t="s">
        <v>3613</v>
      </c>
      <c r="B756" s="50" t="str">
        <f>"95/07/25"</f>
        <v>95/07/25</v>
      </c>
      <c r="C756" s="50" t="s">
        <v>3652</v>
      </c>
      <c r="D756" s="50" t="s">
        <v>3665</v>
      </c>
      <c r="E756" s="12" t="s">
        <v>3420</v>
      </c>
      <c r="F756" s="49">
        <v>198000</v>
      </c>
      <c r="G756" s="67" t="s">
        <v>5611</v>
      </c>
      <c r="H756" s="14" t="s">
        <v>5601</v>
      </c>
      <c r="I756" s="14" t="s">
        <v>2458</v>
      </c>
      <c r="J756" s="33" t="s">
        <v>7110</v>
      </c>
      <c r="K756" s="33" t="s">
        <v>3671</v>
      </c>
      <c r="L756" s="68">
        <v>0</v>
      </c>
      <c r="M756" s="68" t="s">
        <v>8915</v>
      </c>
      <c r="N756" s="68">
        <v>0</v>
      </c>
      <c r="O756" s="68">
        <v>0</v>
      </c>
      <c r="P756" s="198" t="s">
        <v>5645</v>
      </c>
    </row>
    <row r="757" spans="1:16" ht="18.75" hidden="1">
      <c r="A757" s="50" t="s">
        <v>3614</v>
      </c>
      <c r="B757" s="50" t="str">
        <f>"95/07/19"</f>
        <v>95/07/19</v>
      </c>
      <c r="C757" s="50" t="s">
        <v>3643</v>
      </c>
      <c r="D757" s="50" t="s">
        <v>3666</v>
      </c>
      <c r="E757" s="12" t="s">
        <v>3420</v>
      </c>
      <c r="F757" s="49">
        <v>68135</v>
      </c>
      <c r="G757" s="67" t="s">
        <v>5633</v>
      </c>
      <c r="H757" s="14" t="s">
        <v>5601</v>
      </c>
      <c r="I757" s="14" t="s">
        <v>2458</v>
      </c>
      <c r="J757" s="33" t="s">
        <v>7110</v>
      </c>
      <c r="K757" s="33" t="s">
        <v>3671</v>
      </c>
      <c r="L757" s="68">
        <v>0</v>
      </c>
      <c r="M757" s="68" t="s">
        <v>8915</v>
      </c>
      <c r="N757" s="68">
        <v>0</v>
      </c>
      <c r="O757" s="68">
        <v>0</v>
      </c>
      <c r="P757" s="198" t="s">
        <v>5650</v>
      </c>
    </row>
    <row r="758" spans="1:16" ht="18.75" hidden="1">
      <c r="A758" s="50" t="s">
        <v>3615</v>
      </c>
      <c r="B758" s="50" t="str">
        <f>"95/07/29"</f>
        <v>95/07/29</v>
      </c>
      <c r="C758" s="50" t="s">
        <v>3649</v>
      </c>
      <c r="D758" s="50" t="s">
        <v>3662</v>
      </c>
      <c r="E758" s="12" t="s">
        <v>3420</v>
      </c>
      <c r="F758" s="49">
        <v>23420</v>
      </c>
      <c r="G758" s="67" t="s">
        <v>5647</v>
      </c>
      <c r="H758" s="14" t="s">
        <v>5601</v>
      </c>
      <c r="I758" s="14" t="s">
        <v>2458</v>
      </c>
      <c r="J758" s="33" t="s">
        <v>7110</v>
      </c>
      <c r="K758" s="33" t="s">
        <v>3671</v>
      </c>
      <c r="L758" s="68">
        <v>0</v>
      </c>
      <c r="M758" s="68" t="s">
        <v>8915</v>
      </c>
      <c r="N758" s="68">
        <v>0</v>
      </c>
      <c r="O758" s="68">
        <v>0</v>
      </c>
      <c r="P758" s="198" t="s">
        <v>5657</v>
      </c>
    </row>
    <row r="759" spans="1:16" ht="18.75" hidden="1">
      <c r="A759" s="50" t="s">
        <v>3616</v>
      </c>
      <c r="B759" s="50" t="str">
        <f>"95/07/26"</f>
        <v>95/07/26</v>
      </c>
      <c r="C759" s="50" t="s">
        <v>3643</v>
      </c>
      <c r="D759" s="50" t="s">
        <v>3666</v>
      </c>
      <c r="E759" s="12" t="s">
        <v>3420</v>
      </c>
      <c r="F759" s="49">
        <v>70929</v>
      </c>
      <c r="G759" s="67" t="s">
        <v>5633</v>
      </c>
      <c r="H759" s="14" t="s">
        <v>5601</v>
      </c>
      <c r="I759" s="14" t="s">
        <v>2458</v>
      </c>
      <c r="J759" s="33" t="s">
        <v>7110</v>
      </c>
      <c r="K759" s="33" t="s">
        <v>3671</v>
      </c>
      <c r="L759" s="68">
        <v>0</v>
      </c>
      <c r="M759" s="68" t="s">
        <v>8915</v>
      </c>
      <c r="N759" s="68">
        <v>0</v>
      </c>
      <c r="O759" s="68">
        <v>0</v>
      </c>
      <c r="P759" s="198" t="s">
        <v>5650</v>
      </c>
    </row>
    <row r="760" spans="1:16" ht="18.75" hidden="1">
      <c r="A760" s="50" t="s">
        <v>3617</v>
      </c>
      <c r="B760" s="50" t="str">
        <f>"95/07/28"</f>
        <v>95/07/28</v>
      </c>
      <c r="C760" s="50" t="s">
        <v>3643</v>
      </c>
      <c r="D760" s="50" t="s">
        <v>3666</v>
      </c>
      <c r="E760" s="12" t="s">
        <v>3420</v>
      </c>
      <c r="F760" s="49">
        <v>45596</v>
      </c>
      <c r="G760" s="67" t="s">
        <v>5633</v>
      </c>
      <c r="H760" s="14" t="s">
        <v>5601</v>
      </c>
      <c r="I760" s="14" t="s">
        <v>2458</v>
      </c>
      <c r="J760" s="33" t="s">
        <v>7110</v>
      </c>
      <c r="K760" s="33" t="s">
        <v>3671</v>
      </c>
      <c r="L760" s="68">
        <v>0</v>
      </c>
      <c r="M760" s="68" t="s">
        <v>8915</v>
      </c>
      <c r="N760" s="68">
        <v>0</v>
      </c>
      <c r="O760" s="68">
        <v>0</v>
      </c>
      <c r="P760" s="198" t="s">
        <v>5650</v>
      </c>
    </row>
    <row r="761" spans="1:16" ht="18.75" hidden="1">
      <c r="A761" s="50" t="s">
        <v>3618</v>
      </c>
      <c r="B761" s="50" t="str">
        <f>"95/07/27"</f>
        <v>95/07/27</v>
      </c>
      <c r="C761" s="50" t="s">
        <v>3643</v>
      </c>
      <c r="D761" s="50" t="s">
        <v>3666</v>
      </c>
      <c r="E761" s="12" t="s">
        <v>3420</v>
      </c>
      <c r="F761" s="49">
        <v>70027</v>
      </c>
      <c r="G761" s="67" t="s">
        <v>5633</v>
      </c>
      <c r="H761" s="14" t="s">
        <v>5601</v>
      </c>
      <c r="I761" s="14" t="s">
        <v>2458</v>
      </c>
      <c r="J761" s="33" t="s">
        <v>7110</v>
      </c>
      <c r="K761" s="33" t="s">
        <v>3671</v>
      </c>
      <c r="L761" s="68">
        <v>0</v>
      </c>
      <c r="M761" s="68" t="s">
        <v>8915</v>
      </c>
      <c r="N761" s="68">
        <v>0</v>
      </c>
      <c r="O761" s="68">
        <v>0</v>
      </c>
      <c r="P761" s="198" t="s">
        <v>5650</v>
      </c>
    </row>
    <row r="762" spans="1:16" ht="18.75" hidden="1">
      <c r="A762" s="50" t="s">
        <v>3619</v>
      </c>
      <c r="B762" s="50" t="str">
        <f>"95/07/25"</f>
        <v>95/07/25</v>
      </c>
      <c r="C762" s="50" t="s">
        <v>3643</v>
      </c>
      <c r="D762" s="50" t="s">
        <v>3666</v>
      </c>
      <c r="E762" s="12" t="s">
        <v>3420</v>
      </c>
      <c r="F762" s="49">
        <v>47259</v>
      </c>
      <c r="G762" s="67" t="s">
        <v>5633</v>
      </c>
      <c r="H762" s="14" t="s">
        <v>5601</v>
      </c>
      <c r="I762" s="14" t="s">
        <v>2458</v>
      </c>
      <c r="J762" s="33" t="s">
        <v>7110</v>
      </c>
      <c r="K762" s="33" t="s">
        <v>3671</v>
      </c>
      <c r="L762" s="68">
        <v>0</v>
      </c>
      <c r="M762" s="68" t="s">
        <v>8915</v>
      </c>
      <c r="N762" s="68">
        <v>0</v>
      </c>
      <c r="O762" s="68">
        <v>0</v>
      </c>
      <c r="P762" s="198" t="s">
        <v>5650</v>
      </c>
    </row>
    <row r="763" spans="1:16" ht="18.75" hidden="1">
      <c r="A763" s="50" t="s">
        <v>3615</v>
      </c>
      <c r="B763" s="50" t="str">
        <f>"95/07/29"</f>
        <v>95/07/29</v>
      </c>
      <c r="C763" s="50" t="s">
        <v>3646</v>
      </c>
      <c r="D763" s="50" t="s">
        <v>3668</v>
      </c>
      <c r="E763" s="12" t="s">
        <v>3420</v>
      </c>
      <c r="F763" s="49">
        <v>72320</v>
      </c>
      <c r="G763" s="67" t="s">
        <v>5611</v>
      </c>
      <c r="H763" s="14" t="s">
        <v>5601</v>
      </c>
      <c r="I763" s="14" t="s">
        <v>2458</v>
      </c>
      <c r="J763" s="33" t="s">
        <v>7110</v>
      </c>
      <c r="K763" s="33" t="s">
        <v>3671</v>
      </c>
      <c r="L763" s="68">
        <v>0</v>
      </c>
      <c r="M763" s="68" t="s">
        <v>8915</v>
      </c>
      <c r="N763" s="68">
        <v>0</v>
      </c>
      <c r="O763" s="68">
        <v>0</v>
      </c>
      <c r="P763" s="198" t="s">
        <v>5654</v>
      </c>
    </row>
    <row r="764" spans="1:16" ht="18.75" hidden="1">
      <c r="A764" s="50" t="s">
        <v>3620</v>
      </c>
      <c r="B764" s="50" t="str">
        <f>"95/07/29"</f>
        <v>95/07/29</v>
      </c>
      <c r="C764" s="50" t="s">
        <v>3651</v>
      </c>
      <c r="D764" s="50" t="s">
        <v>3665</v>
      </c>
      <c r="E764" s="12" t="s">
        <v>3420</v>
      </c>
      <c r="F764" s="49">
        <v>202148</v>
      </c>
      <c r="G764" s="67" t="s">
        <v>5611</v>
      </c>
      <c r="H764" s="14" t="s">
        <v>5601</v>
      </c>
      <c r="I764" s="14" t="s">
        <v>2458</v>
      </c>
      <c r="J764" s="33" t="s">
        <v>7110</v>
      </c>
      <c r="K764" s="33" t="s">
        <v>3671</v>
      </c>
      <c r="L764" s="68">
        <v>0</v>
      </c>
      <c r="M764" s="68" t="s">
        <v>8915</v>
      </c>
      <c r="N764" s="68">
        <v>0</v>
      </c>
      <c r="O764" s="68">
        <v>0</v>
      </c>
      <c r="P764" s="198" t="s">
        <v>5645</v>
      </c>
    </row>
    <row r="765" spans="1:16" ht="18.75" hidden="1">
      <c r="A765" s="50" t="s">
        <v>3620</v>
      </c>
      <c r="B765" s="50" t="str">
        <f>"95/07/29"</f>
        <v>95/07/29</v>
      </c>
      <c r="C765" s="50" t="s">
        <v>3656</v>
      </c>
      <c r="D765" s="50" t="s">
        <v>3661</v>
      </c>
      <c r="E765" s="12" t="s">
        <v>3420</v>
      </c>
      <c r="F765" s="49">
        <v>100000</v>
      </c>
      <c r="G765" s="67" t="s">
        <v>5611</v>
      </c>
      <c r="H765" s="14" t="s">
        <v>5601</v>
      </c>
      <c r="I765" s="14" t="s">
        <v>2458</v>
      </c>
      <c r="J765" s="33" t="s">
        <v>7110</v>
      </c>
      <c r="K765" s="33" t="s">
        <v>3671</v>
      </c>
      <c r="L765" s="68">
        <v>0</v>
      </c>
      <c r="M765" s="68" t="s">
        <v>8915</v>
      </c>
      <c r="N765" s="68">
        <v>0</v>
      </c>
      <c r="O765" s="68">
        <v>0</v>
      </c>
      <c r="P765" s="198" t="s">
        <v>5654</v>
      </c>
    </row>
    <row r="766" spans="1:16" ht="18.75" hidden="1">
      <c r="A766" s="50" t="s">
        <v>3621</v>
      </c>
      <c r="B766" s="50" t="str">
        <f>"95/07/29"</f>
        <v>95/07/29</v>
      </c>
      <c r="C766" s="50" t="s">
        <v>3645</v>
      </c>
      <c r="D766" s="50" t="s">
        <v>3667</v>
      </c>
      <c r="E766" s="12" t="s">
        <v>3420</v>
      </c>
      <c r="F766" s="49">
        <v>11340</v>
      </c>
      <c r="G766" s="67" t="s">
        <v>5647</v>
      </c>
      <c r="H766" s="14" t="s">
        <v>5601</v>
      </c>
      <c r="I766" s="14" t="s">
        <v>2458</v>
      </c>
      <c r="J766" s="33" t="s">
        <v>7110</v>
      </c>
      <c r="K766" s="33" t="s">
        <v>3671</v>
      </c>
      <c r="L766" s="68">
        <v>0</v>
      </c>
      <c r="M766" s="68" t="s">
        <v>8915</v>
      </c>
      <c r="N766" s="68">
        <v>0</v>
      </c>
      <c r="O766" s="68">
        <v>0</v>
      </c>
      <c r="P766" s="198" t="s">
        <v>5648</v>
      </c>
    </row>
    <row r="767" spans="1:16" ht="18.75" hidden="1">
      <c r="A767" s="50" t="s">
        <v>3620</v>
      </c>
      <c r="B767" s="50" t="str">
        <f>"95/07/29"</f>
        <v>95/07/29</v>
      </c>
      <c r="C767" s="50" t="s">
        <v>3657</v>
      </c>
      <c r="D767" s="50" t="s">
        <v>3668</v>
      </c>
      <c r="E767" s="12" t="s">
        <v>3420</v>
      </c>
      <c r="F767" s="49">
        <v>18512</v>
      </c>
      <c r="G767" s="67" t="s">
        <v>5611</v>
      </c>
      <c r="H767" s="14" t="s">
        <v>5601</v>
      </c>
      <c r="I767" s="14" t="s">
        <v>2458</v>
      </c>
      <c r="J767" s="33" t="s">
        <v>7110</v>
      </c>
      <c r="K767" s="33" t="s">
        <v>3671</v>
      </c>
      <c r="L767" s="68">
        <v>0</v>
      </c>
      <c r="M767" s="68" t="s">
        <v>8915</v>
      </c>
      <c r="N767" s="68">
        <v>0</v>
      </c>
      <c r="O767" s="68">
        <v>0</v>
      </c>
      <c r="P767" s="198" t="s">
        <v>5654</v>
      </c>
    </row>
    <row r="768" spans="1:16" ht="18.75" hidden="1">
      <c r="A768" s="50" t="s">
        <v>3622</v>
      </c>
      <c r="B768" s="50" t="str">
        <f>"95/07/14"</f>
        <v>95/07/14</v>
      </c>
      <c r="C768" s="50" t="s">
        <v>3466</v>
      </c>
      <c r="D768" s="50" t="s">
        <v>2755</v>
      </c>
      <c r="E768" s="12" t="s">
        <v>3420</v>
      </c>
      <c r="F768" s="49">
        <v>477610</v>
      </c>
      <c r="G768" s="67" t="s">
        <v>5611</v>
      </c>
      <c r="H768" s="14" t="s">
        <v>5601</v>
      </c>
      <c r="I768" s="14" t="s">
        <v>2458</v>
      </c>
      <c r="J768" s="33" t="s">
        <v>7110</v>
      </c>
      <c r="K768" s="33" t="s">
        <v>3671</v>
      </c>
      <c r="L768" s="68">
        <v>0</v>
      </c>
      <c r="M768" s="68" t="s">
        <v>8915</v>
      </c>
      <c r="N768" s="68">
        <v>0</v>
      </c>
      <c r="O768" s="68">
        <v>0</v>
      </c>
      <c r="P768" s="198" t="s">
        <v>5612</v>
      </c>
    </row>
    <row r="769" spans="1:16" ht="18.75" hidden="1">
      <c r="A769" s="50" t="s">
        <v>3623</v>
      </c>
      <c r="B769" s="50" t="str">
        <f>"95/07/18"</f>
        <v>95/07/18</v>
      </c>
      <c r="C769" s="50" t="s">
        <v>3658</v>
      </c>
      <c r="D769" s="50" t="s">
        <v>3670</v>
      </c>
      <c r="E769" s="12" t="s">
        <v>3420</v>
      </c>
      <c r="F769" s="49">
        <v>48980</v>
      </c>
      <c r="G769" s="67" t="s">
        <v>5611</v>
      </c>
      <c r="H769" s="14" t="s">
        <v>5601</v>
      </c>
      <c r="I769" s="14" t="s">
        <v>2458</v>
      </c>
      <c r="J769" s="33" t="s">
        <v>7110</v>
      </c>
      <c r="K769" s="33" t="s">
        <v>3671</v>
      </c>
      <c r="L769" s="68">
        <v>0</v>
      </c>
      <c r="M769" s="68" t="s">
        <v>8915</v>
      </c>
      <c r="N769" s="68">
        <v>0</v>
      </c>
      <c r="O769" s="68">
        <v>0</v>
      </c>
      <c r="P769" s="198" t="s">
        <v>5635</v>
      </c>
    </row>
    <row r="770" spans="1:16" ht="18.75" hidden="1">
      <c r="A770" s="50" t="s">
        <v>3624</v>
      </c>
      <c r="B770" s="50" t="str">
        <f>"95/07/15"</f>
        <v>95/07/15</v>
      </c>
      <c r="C770" s="50" t="s">
        <v>3644</v>
      </c>
      <c r="D770" s="50" t="s">
        <v>3556</v>
      </c>
      <c r="E770" s="12" t="s">
        <v>3420</v>
      </c>
      <c r="F770" s="49">
        <v>39080</v>
      </c>
      <c r="G770" s="67" t="s">
        <v>5611</v>
      </c>
      <c r="H770" s="14" t="s">
        <v>5601</v>
      </c>
      <c r="I770" s="14" t="s">
        <v>2458</v>
      </c>
      <c r="J770" s="33" t="s">
        <v>7110</v>
      </c>
      <c r="K770" s="33" t="s">
        <v>3671</v>
      </c>
      <c r="L770" s="68">
        <v>0</v>
      </c>
      <c r="M770" s="68" t="s">
        <v>8915</v>
      </c>
      <c r="N770" s="68">
        <v>0</v>
      </c>
      <c r="O770" s="68">
        <v>0</v>
      </c>
      <c r="P770" s="198" t="s">
        <v>5640</v>
      </c>
    </row>
    <row r="771" spans="1:16" ht="18.75" hidden="1">
      <c r="A771" s="50" t="s">
        <v>3624</v>
      </c>
      <c r="B771" s="50" t="str">
        <f>"95/07/15"</f>
        <v>95/07/15</v>
      </c>
      <c r="C771" s="50" t="s">
        <v>3650</v>
      </c>
      <c r="D771" s="50" t="s">
        <v>3556</v>
      </c>
      <c r="E771" s="12" t="s">
        <v>3420</v>
      </c>
      <c r="F771" s="49">
        <v>9360</v>
      </c>
      <c r="G771" s="67" t="s">
        <v>5611</v>
      </c>
      <c r="H771" s="14" t="s">
        <v>5601</v>
      </c>
      <c r="I771" s="14" t="s">
        <v>2458</v>
      </c>
      <c r="J771" s="33" t="s">
        <v>7110</v>
      </c>
      <c r="K771" s="33" t="s">
        <v>3671</v>
      </c>
      <c r="L771" s="68">
        <v>0</v>
      </c>
      <c r="M771" s="68" t="s">
        <v>8915</v>
      </c>
      <c r="N771" s="68">
        <v>0</v>
      </c>
      <c r="O771" s="68">
        <v>0</v>
      </c>
      <c r="P771" s="198" t="s">
        <v>5635</v>
      </c>
    </row>
    <row r="772" spans="1:16" ht="18.75" hidden="1">
      <c r="A772" s="50" t="s">
        <v>3607</v>
      </c>
      <c r="B772" s="50" t="str">
        <f>"95/07/26"</f>
        <v>95/07/26</v>
      </c>
      <c r="C772" s="50" t="s">
        <v>3645</v>
      </c>
      <c r="D772" s="50" t="s">
        <v>3667</v>
      </c>
      <c r="E772" s="12" t="s">
        <v>3420</v>
      </c>
      <c r="F772" s="49">
        <v>44000</v>
      </c>
      <c r="G772" s="67" t="s">
        <v>5647</v>
      </c>
      <c r="H772" s="14" t="s">
        <v>5601</v>
      </c>
      <c r="I772" s="14" t="s">
        <v>2458</v>
      </c>
      <c r="J772" s="33" t="s">
        <v>7110</v>
      </c>
      <c r="K772" s="33" t="s">
        <v>3671</v>
      </c>
      <c r="L772" s="68">
        <v>0</v>
      </c>
      <c r="M772" s="68" t="s">
        <v>8915</v>
      </c>
      <c r="N772" s="68">
        <v>0</v>
      </c>
      <c r="O772" s="68">
        <v>0</v>
      </c>
      <c r="P772" s="198" t="s">
        <v>5648</v>
      </c>
    </row>
    <row r="773" spans="1:16" ht="18.75" hidden="1">
      <c r="A773" s="50" t="s">
        <v>3625</v>
      </c>
      <c r="B773" s="50" t="str">
        <f>"95/07/25"</f>
        <v>95/07/25</v>
      </c>
      <c r="C773" s="50" t="s">
        <v>3654</v>
      </c>
      <c r="D773" s="50" t="s">
        <v>3664</v>
      </c>
      <c r="E773" s="12" t="s">
        <v>3420</v>
      </c>
      <c r="F773" s="49">
        <v>45860</v>
      </c>
      <c r="G773" s="67" t="s">
        <v>5652</v>
      </c>
      <c r="H773" s="14" t="s">
        <v>5601</v>
      </c>
      <c r="I773" s="14" t="s">
        <v>2458</v>
      </c>
      <c r="J773" s="33" t="s">
        <v>7110</v>
      </c>
      <c r="K773" s="33" t="s">
        <v>3671</v>
      </c>
      <c r="L773" s="68">
        <v>0</v>
      </c>
      <c r="M773" s="68" t="s">
        <v>8915</v>
      </c>
      <c r="N773" s="68">
        <v>0</v>
      </c>
      <c r="O773" s="68">
        <v>0</v>
      </c>
      <c r="P773" s="198" t="s">
        <v>5653</v>
      </c>
    </row>
    <row r="774" spans="1:16" ht="18.75" hidden="1">
      <c r="A774" s="50" t="s">
        <v>3626</v>
      </c>
      <c r="B774" s="50" t="str">
        <f>"95/07/22"</f>
        <v>95/07/22</v>
      </c>
      <c r="C774" s="50" t="s">
        <v>3654</v>
      </c>
      <c r="D774" s="50" t="s">
        <v>3664</v>
      </c>
      <c r="E774" s="12" t="s">
        <v>3420</v>
      </c>
      <c r="F774" s="49">
        <v>120060</v>
      </c>
      <c r="G774" s="67" t="s">
        <v>5652</v>
      </c>
      <c r="H774" s="14" t="s">
        <v>5601</v>
      </c>
      <c r="I774" s="14" t="s">
        <v>2458</v>
      </c>
      <c r="J774" s="33" t="s">
        <v>7110</v>
      </c>
      <c r="K774" s="33" t="s">
        <v>3671</v>
      </c>
      <c r="L774" s="68">
        <v>0</v>
      </c>
      <c r="M774" s="68" t="s">
        <v>8915</v>
      </c>
      <c r="N774" s="68">
        <v>0</v>
      </c>
      <c r="O774" s="68">
        <v>0</v>
      </c>
      <c r="P774" s="198" t="s">
        <v>5653</v>
      </c>
    </row>
    <row r="775" spans="1:16" ht="18.75" hidden="1">
      <c r="A775" s="50" t="s">
        <v>3608</v>
      </c>
      <c r="B775" s="50" t="str">
        <f>"95/07/11"</f>
        <v>95/07/11</v>
      </c>
      <c r="C775" s="50" t="s">
        <v>3644</v>
      </c>
      <c r="D775" s="50" t="s">
        <v>3556</v>
      </c>
      <c r="E775" s="12" t="s">
        <v>3420</v>
      </c>
      <c r="F775" s="49">
        <v>124460</v>
      </c>
      <c r="G775" s="67" t="s">
        <v>5611</v>
      </c>
      <c r="H775" s="14" t="s">
        <v>5601</v>
      </c>
      <c r="I775" s="14" t="s">
        <v>2458</v>
      </c>
      <c r="J775" s="33" t="s">
        <v>7110</v>
      </c>
      <c r="K775" s="33" t="s">
        <v>3671</v>
      </c>
      <c r="L775" s="68">
        <v>0</v>
      </c>
      <c r="M775" s="68" t="s">
        <v>8915</v>
      </c>
      <c r="N775" s="68">
        <v>0</v>
      </c>
      <c r="O775" s="68">
        <v>0</v>
      </c>
      <c r="P775" s="198" t="s">
        <v>5640</v>
      </c>
    </row>
    <row r="776" spans="1:16" ht="18.75" hidden="1">
      <c r="A776" s="50" t="s">
        <v>3627</v>
      </c>
      <c r="B776" s="50" t="str">
        <f>"95/07/22"</f>
        <v>95/07/22</v>
      </c>
      <c r="C776" s="50" t="s">
        <v>3648</v>
      </c>
      <c r="D776" s="50" t="s">
        <v>3556</v>
      </c>
      <c r="E776" s="12" t="s">
        <v>3420</v>
      </c>
      <c r="F776" s="49">
        <v>70580</v>
      </c>
      <c r="G776" s="67" t="s">
        <v>5611</v>
      </c>
      <c r="H776" s="14" t="s">
        <v>5601</v>
      </c>
      <c r="I776" s="14" t="s">
        <v>2458</v>
      </c>
      <c r="J776" s="33" t="s">
        <v>7110</v>
      </c>
      <c r="K776" s="33" t="s">
        <v>3671</v>
      </c>
      <c r="L776" s="68">
        <v>0</v>
      </c>
      <c r="M776" s="68" t="s">
        <v>8915</v>
      </c>
      <c r="N776" s="68">
        <v>0</v>
      </c>
      <c r="O776" s="68">
        <v>0</v>
      </c>
      <c r="P776" s="198" t="s">
        <v>5635</v>
      </c>
    </row>
    <row r="777" spans="1:16" ht="18.75" hidden="1">
      <c r="A777" s="50" t="s">
        <v>3628</v>
      </c>
      <c r="B777" s="50" t="str">
        <f>"95/07/11"</f>
        <v>95/07/11</v>
      </c>
      <c r="C777" s="50" t="s">
        <v>3466</v>
      </c>
      <c r="D777" s="50" t="s">
        <v>2755</v>
      </c>
      <c r="E777" s="12" t="s">
        <v>3420</v>
      </c>
      <c r="F777" s="49">
        <v>50590</v>
      </c>
      <c r="G777" s="67" t="s">
        <v>5611</v>
      </c>
      <c r="H777" s="14" t="s">
        <v>5601</v>
      </c>
      <c r="I777" s="14" t="s">
        <v>2458</v>
      </c>
      <c r="J777" s="33" t="s">
        <v>7110</v>
      </c>
      <c r="K777" s="33" t="s">
        <v>3671</v>
      </c>
      <c r="L777" s="68">
        <v>0</v>
      </c>
      <c r="M777" s="68" t="s">
        <v>8915</v>
      </c>
      <c r="N777" s="68">
        <v>0</v>
      </c>
      <c r="O777" s="68">
        <v>0</v>
      </c>
      <c r="P777" s="198" t="s">
        <v>5612</v>
      </c>
    </row>
    <row r="778" spans="1:16" ht="18.75" hidden="1">
      <c r="A778" s="50" t="s">
        <v>3629</v>
      </c>
      <c r="B778" s="50" t="str">
        <f>"95/07/24"</f>
        <v>95/07/24</v>
      </c>
      <c r="C778" s="50" t="s">
        <v>3645</v>
      </c>
      <c r="D778" s="50" t="s">
        <v>3667</v>
      </c>
      <c r="E778" s="12" t="s">
        <v>3420</v>
      </c>
      <c r="F778" s="49">
        <v>190880</v>
      </c>
      <c r="G778" s="67" t="s">
        <v>5647</v>
      </c>
      <c r="H778" s="14" t="s">
        <v>5601</v>
      </c>
      <c r="I778" s="14" t="s">
        <v>2458</v>
      </c>
      <c r="J778" s="33" t="s">
        <v>7110</v>
      </c>
      <c r="K778" s="33" t="s">
        <v>3671</v>
      </c>
      <c r="L778" s="68">
        <v>0</v>
      </c>
      <c r="M778" s="68" t="s">
        <v>8915</v>
      </c>
      <c r="N778" s="68">
        <v>0</v>
      </c>
      <c r="O778" s="68">
        <v>0</v>
      </c>
      <c r="P778" s="198" t="s">
        <v>5648</v>
      </c>
    </row>
    <row r="779" spans="1:16" ht="18.75" hidden="1">
      <c r="A779" s="50" t="s">
        <v>3630</v>
      </c>
      <c r="B779" s="50" t="str">
        <f>"95/07/28"</f>
        <v>95/07/28</v>
      </c>
      <c r="C779" s="50" t="s">
        <v>3651</v>
      </c>
      <c r="D779" s="50" t="s">
        <v>3665</v>
      </c>
      <c r="E779" s="12" t="s">
        <v>3420</v>
      </c>
      <c r="F779" s="49">
        <v>74645</v>
      </c>
      <c r="G779" s="67" t="s">
        <v>5611</v>
      </c>
      <c r="H779" s="14" t="s">
        <v>5601</v>
      </c>
      <c r="I779" s="14" t="s">
        <v>2458</v>
      </c>
      <c r="J779" s="33" t="s">
        <v>7110</v>
      </c>
      <c r="K779" s="33" t="s">
        <v>3671</v>
      </c>
      <c r="L779" s="68">
        <v>0</v>
      </c>
      <c r="M779" s="68" t="s">
        <v>8915</v>
      </c>
      <c r="N779" s="68">
        <v>0</v>
      </c>
      <c r="O779" s="68">
        <v>0</v>
      </c>
      <c r="P779" s="198" t="s">
        <v>5645</v>
      </c>
    </row>
    <row r="780" spans="1:16" ht="18.75" hidden="1">
      <c r="A780" s="50" t="s">
        <v>3629</v>
      </c>
      <c r="B780" s="50" t="str">
        <f>"95/07/24"</f>
        <v>95/07/24</v>
      </c>
      <c r="C780" s="50" t="s">
        <v>3659</v>
      </c>
      <c r="D780" s="50" t="s">
        <v>3664</v>
      </c>
      <c r="E780" s="12" t="s">
        <v>3420</v>
      </c>
      <c r="F780" s="49">
        <v>115060</v>
      </c>
      <c r="G780" s="67" t="s">
        <v>5611</v>
      </c>
      <c r="H780" s="14" t="s">
        <v>5601</v>
      </c>
      <c r="I780" s="14" t="s">
        <v>2458</v>
      </c>
      <c r="J780" s="33" t="s">
        <v>7110</v>
      </c>
      <c r="K780" s="33" t="s">
        <v>3671</v>
      </c>
      <c r="L780" s="68">
        <v>0</v>
      </c>
      <c r="M780" s="68" t="s">
        <v>8915</v>
      </c>
      <c r="N780" s="68">
        <v>0</v>
      </c>
      <c r="O780" s="68">
        <v>0</v>
      </c>
      <c r="P780" s="198" t="s">
        <v>5645</v>
      </c>
    </row>
    <row r="781" spans="1:16" ht="18.75" hidden="1">
      <c r="A781" s="50" t="s">
        <v>3629</v>
      </c>
      <c r="B781" s="50" t="str">
        <f>"95/07/24"</f>
        <v>95/07/24</v>
      </c>
      <c r="C781" s="50" t="s">
        <v>3647</v>
      </c>
      <c r="D781" s="50" t="s">
        <v>3669</v>
      </c>
      <c r="E781" s="12" t="s">
        <v>3420</v>
      </c>
      <c r="F781" s="49">
        <v>93220</v>
      </c>
      <c r="G781" s="67" t="s">
        <v>5611</v>
      </c>
      <c r="H781" s="14" t="s">
        <v>5601</v>
      </c>
      <c r="I781" s="14" t="s">
        <v>2458</v>
      </c>
      <c r="J781" s="33" t="s">
        <v>7110</v>
      </c>
      <c r="K781" s="33" t="s">
        <v>3671</v>
      </c>
      <c r="L781" s="68">
        <v>0</v>
      </c>
      <c r="M781" s="68" t="s">
        <v>8915</v>
      </c>
      <c r="N781" s="68">
        <v>0</v>
      </c>
      <c r="O781" s="68">
        <v>0</v>
      </c>
      <c r="P781" s="198" t="s">
        <v>5635</v>
      </c>
    </row>
    <row r="782" spans="1:16" ht="18.75" hidden="1">
      <c r="A782" s="50" t="s">
        <v>3609</v>
      </c>
      <c r="B782" s="50" t="str">
        <f>"95/07/17"</f>
        <v>95/07/17</v>
      </c>
      <c r="C782" s="50" t="s">
        <v>3658</v>
      </c>
      <c r="D782" s="50" t="s">
        <v>3670</v>
      </c>
      <c r="E782" s="12" t="s">
        <v>3420</v>
      </c>
      <c r="F782" s="49">
        <v>37627</v>
      </c>
      <c r="G782" s="67" t="s">
        <v>5611</v>
      </c>
      <c r="H782" s="14" t="s">
        <v>5601</v>
      </c>
      <c r="I782" s="14" t="s">
        <v>2458</v>
      </c>
      <c r="J782" s="33" t="s">
        <v>7110</v>
      </c>
      <c r="K782" s="33" t="s">
        <v>3671</v>
      </c>
      <c r="L782" s="68">
        <v>0</v>
      </c>
      <c r="M782" s="68" t="s">
        <v>8915</v>
      </c>
      <c r="N782" s="68">
        <v>0</v>
      </c>
      <c r="O782" s="68">
        <v>0</v>
      </c>
      <c r="P782" s="198" t="s">
        <v>5635</v>
      </c>
    </row>
    <row r="783" spans="1:16" ht="18.75" hidden="1">
      <c r="A783" s="50" t="s">
        <v>3610</v>
      </c>
      <c r="B783" s="50" t="str">
        <f>"95/07/19"</f>
        <v>95/07/19</v>
      </c>
      <c r="C783" s="50" t="s">
        <v>3658</v>
      </c>
      <c r="D783" s="50" t="s">
        <v>3670</v>
      </c>
      <c r="E783" s="12" t="s">
        <v>3420</v>
      </c>
      <c r="F783" s="49">
        <v>13393</v>
      </c>
      <c r="G783" s="67" t="s">
        <v>5611</v>
      </c>
      <c r="H783" s="14" t="s">
        <v>5601</v>
      </c>
      <c r="I783" s="14" t="s">
        <v>2458</v>
      </c>
      <c r="J783" s="33" t="s">
        <v>7110</v>
      </c>
      <c r="K783" s="33" t="s">
        <v>3671</v>
      </c>
      <c r="L783" s="68">
        <v>0</v>
      </c>
      <c r="M783" s="68" t="s">
        <v>8915</v>
      </c>
      <c r="N783" s="68">
        <v>0</v>
      </c>
      <c r="O783" s="68">
        <v>0</v>
      </c>
      <c r="P783" s="198" t="s">
        <v>5635</v>
      </c>
    </row>
    <row r="784" spans="1:16" ht="18.75" hidden="1">
      <c r="A784" s="50" t="s">
        <v>3631</v>
      </c>
      <c r="B784" s="50" t="str">
        <f>"95/07/25"</f>
        <v>95/07/25</v>
      </c>
      <c r="C784" s="50" t="s">
        <v>3645</v>
      </c>
      <c r="D784" s="50" t="s">
        <v>3667</v>
      </c>
      <c r="E784" s="12" t="s">
        <v>3420</v>
      </c>
      <c r="F784" s="49">
        <v>92420</v>
      </c>
      <c r="G784" s="67" t="s">
        <v>5647</v>
      </c>
      <c r="H784" s="14" t="s">
        <v>5601</v>
      </c>
      <c r="I784" s="14" t="s">
        <v>2458</v>
      </c>
      <c r="J784" s="33" t="s">
        <v>7110</v>
      </c>
      <c r="K784" s="33" t="s">
        <v>3671</v>
      </c>
      <c r="L784" s="68">
        <v>0</v>
      </c>
      <c r="M784" s="68" t="s">
        <v>8915</v>
      </c>
      <c r="N784" s="68">
        <v>0</v>
      </c>
      <c r="O784" s="68">
        <v>0</v>
      </c>
      <c r="P784" s="198" t="s">
        <v>5648</v>
      </c>
    </row>
    <row r="785" spans="1:16" ht="18.75" hidden="1">
      <c r="A785" s="50" t="s">
        <v>3609</v>
      </c>
      <c r="B785" s="50" t="str">
        <f>"95/07/17"</f>
        <v>95/07/17</v>
      </c>
      <c r="C785" s="50" t="s">
        <v>3465</v>
      </c>
      <c r="D785" s="50" t="s">
        <v>3454</v>
      </c>
      <c r="E785" s="12" t="s">
        <v>3420</v>
      </c>
      <c r="F785" s="49">
        <v>11000</v>
      </c>
      <c r="G785" s="67" t="s">
        <v>5633</v>
      </c>
      <c r="H785" s="14" t="s">
        <v>5601</v>
      </c>
      <c r="I785" s="14" t="s">
        <v>2458</v>
      </c>
      <c r="J785" s="33" t="s">
        <v>7110</v>
      </c>
      <c r="K785" s="33" t="s">
        <v>3671</v>
      </c>
      <c r="L785" s="68">
        <v>0</v>
      </c>
      <c r="M785" s="68" t="s">
        <v>8915</v>
      </c>
      <c r="N785" s="68">
        <v>0</v>
      </c>
      <c r="O785" s="68">
        <v>0</v>
      </c>
      <c r="P785" s="198" t="s">
        <v>5634</v>
      </c>
    </row>
    <row r="786" spans="1:16" ht="18.75" hidden="1">
      <c r="A786" s="50" t="s">
        <v>3632</v>
      </c>
      <c r="B786" s="50" t="str">
        <f>"95/07/13"</f>
        <v>95/07/13</v>
      </c>
      <c r="C786" s="50" t="s">
        <v>3660</v>
      </c>
      <c r="D786" s="50" t="s">
        <v>3670</v>
      </c>
      <c r="E786" s="12" t="s">
        <v>3420</v>
      </c>
      <c r="F786" s="49">
        <v>45880</v>
      </c>
      <c r="G786" s="67" t="s">
        <v>5611</v>
      </c>
      <c r="H786" s="14" t="s">
        <v>5601</v>
      </c>
      <c r="I786" s="14" t="s">
        <v>2458</v>
      </c>
      <c r="J786" s="33" t="s">
        <v>7110</v>
      </c>
      <c r="K786" s="33" t="s">
        <v>3671</v>
      </c>
      <c r="L786" s="68">
        <v>0</v>
      </c>
      <c r="M786" s="68" t="s">
        <v>8915</v>
      </c>
      <c r="N786" s="68">
        <v>0</v>
      </c>
      <c r="O786" s="68">
        <v>0</v>
      </c>
      <c r="P786" s="198" t="s">
        <v>5635</v>
      </c>
    </row>
    <row r="787" spans="1:16" ht="18.75" hidden="1">
      <c r="A787" s="50" t="s">
        <v>3633</v>
      </c>
      <c r="B787" s="50" t="str">
        <f>"95/07/14"</f>
        <v>95/07/14</v>
      </c>
      <c r="C787" s="50" t="s">
        <v>3660</v>
      </c>
      <c r="D787" s="50" t="s">
        <v>3670</v>
      </c>
      <c r="E787" s="12" t="s">
        <v>3420</v>
      </c>
      <c r="F787" s="49">
        <v>48040</v>
      </c>
      <c r="G787" s="67" t="s">
        <v>5611</v>
      </c>
      <c r="H787" s="14" t="s">
        <v>5601</v>
      </c>
      <c r="I787" s="14" t="s">
        <v>2458</v>
      </c>
      <c r="J787" s="33" t="s">
        <v>7110</v>
      </c>
      <c r="K787" s="33" t="s">
        <v>3671</v>
      </c>
      <c r="L787" s="68">
        <v>0</v>
      </c>
      <c r="M787" s="68" t="s">
        <v>8915</v>
      </c>
      <c r="N787" s="68">
        <v>0</v>
      </c>
      <c r="O787" s="68">
        <v>0</v>
      </c>
      <c r="P787" s="198" t="s">
        <v>5635</v>
      </c>
    </row>
    <row r="788" spans="1:16" ht="18.75" hidden="1">
      <c r="A788" s="50" t="s">
        <v>3621</v>
      </c>
      <c r="B788" s="50" t="str">
        <f>"95/07/29"</f>
        <v>95/07/29</v>
      </c>
      <c r="C788" s="50" t="s">
        <v>3649</v>
      </c>
      <c r="D788" s="50" t="s">
        <v>3662</v>
      </c>
      <c r="E788" s="12" t="s">
        <v>3420</v>
      </c>
      <c r="F788" s="49">
        <v>316340</v>
      </c>
      <c r="G788" s="67" t="s">
        <v>5647</v>
      </c>
      <c r="H788" s="14" t="s">
        <v>5601</v>
      </c>
      <c r="I788" s="14" t="s">
        <v>2458</v>
      </c>
      <c r="J788" s="33" t="s">
        <v>7110</v>
      </c>
      <c r="K788" s="33" t="s">
        <v>3671</v>
      </c>
      <c r="L788" s="68">
        <v>0</v>
      </c>
      <c r="M788" s="68" t="s">
        <v>8915</v>
      </c>
      <c r="N788" s="68">
        <v>0</v>
      </c>
      <c r="O788" s="68">
        <v>0</v>
      </c>
      <c r="P788" s="198" t="s">
        <v>5657</v>
      </c>
    </row>
    <row r="789" spans="1:16" ht="18.75" hidden="1">
      <c r="A789" s="50" t="s">
        <v>3679</v>
      </c>
      <c r="B789" s="50" t="s">
        <v>3714</v>
      </c>
      <c r="C789" s="50" t="s">
        <v>3724</v>
      </c>
      <c r="D789" s="50" t="s">
        <v>3723</v>
      </c>
      <c r="E789" s="12" t="s">
        <v>3420</v>
      </c>
      <c r="F789" s="49">
        <v>1800000</v>
      </c>
      <c r="G789" s="67" t="s">
        <v>5611</v>
      </c>
      <c r="H789" s="14" t="s">
        <v>5602</v>
      </c>
      <c r="I789" s="14" t="s">
        <v>2458</v>
      </c>
      <c r="J789" s="33" t="s">
        <v>7110</v>
      </c>
      <c r="K789" s="33" t="s">
        <v>3768</v>
      </c>
      <c r="L789" s="68">
        <v>0</v>
      </c>
      <c r="M789" s="68" t="s">
        <v>8915</v>
      </c>
      <c r="N789" s="68">
        <v>0</v>
      </c>
      <c r="O789" s="68">
        <v>0</v>
      </c>
      <c r="P789" s="198" t="s">
        <v>5635</v>
      </c>
    </row>
    <row r="790" spans="1:16" ht="18.75" hidden="1">
      <c r="A790" s="50" t="s">
        <v>3680</v>
      </c>
      <c r="B790" s="50" t="s">
        <v>3665</v>
      </c>
      <c r="C790" s="50" t="s">
        <v>3564</v>
      </c>
      <c r="D790" s="50" t="s">
        <v>3558</v>
      </c>
      <c r="E790" s="12" t="s">
        <v>3420</v>
      </c>
      <c r="F790" s="49">
        <v>780</v>
      </c>
      <c r="G790" s="67" t="s">
        <v>5631</v>
      </c>
      <c r="H790" s="14" t="s">
        <v>5601</v>
      </c>
      <c r="I790" s="14" t="s">
        <v>2458</v>
      </c>
      <c r="J790" s="33" t="s">
        <v>7110</v>
      </c>
      <c r="K790" s="33" t="s">
        <v>3768</v>
      </c>
      <c r="L790" s="68">
        <v>0</v>
      </c>
      <c r="M790" s="68" t="s">
        <v>8915</v>
      </c>
      <c r="N790" s="68">
        <v>0</v>
      </c>
      <c r="O790" s="68">
        <v>0</v>
      </c>
      <c r="P790" s="197" t="s">
        <v>5632</v>
      </c>
    </row>
    <row r="791" spans="1:16" ht="18.75" hidden="1">
      <c r="A791" s="50" t="s">
        <v>3680</v>
      </c>
      <c r="B791" s="50" t="s">
        <v>3665</v>
      </c>
      <c r="C791" s="50" t="s">
        <v>3674</v>
      </c>
      <c r="D791" s="50" t="s">
        <v>3670</v>
      </c>
      <c r="E791" s="12" t="s">
        <v>3420</v>
      </c>
      <c r="F791" s="49">
        <v>192740</v>
      </c>
      <c r="G791" s="67" t="s">
        <v>5631</v>
      </c>
      <c r="H791" s="14" t="s">
        <v>5601</v>
      </c>
      <c r="I791" s="14" t="s">
        <v>2458</v>
      </c>
      <c r="J791" s="33" t="s">
        <v>7110</v>
      </c>
      <c r="K791" s="33" t="s">
        <v>3768</v>
      </c>
      <c r="L791" s="68">
        <v>0</v>
      </c>
      <c r="M791" s="68" t="s">
        <v>8915</v>
      </c>
      <c r="N791" s="68">
        <v>0</v>
      </c>
      <c r="O791" s="68">
        <v>0</v>
      </c>
      <c r="P791" s="197" t="s">
        <v>5632</v>
      </c>
    </row>
    <row r="792" spans="1:16" ht="18.75" hidden="1">
      <c r="A792" s="50" t="s">
        <v>3681</v>
      </c>
      <c r="B792" s="50" t="s">
        <v>3715</v>
      </c>
      <c r="C792" s="50" t="s">
        <v>3725</v>
      </c>
      <c r="D792" s="50" t="s">
        <v>3529</v>
      </c>
      <c r="E792" s="12" t="s">
        <v>3420</v>
      </c>
      <c r="F792" s="49">
        <v>388250</v>
      </c>
      <c r="G792" s="67" t="s">
        <v>5611</v>
      </c>
      <c r="H792" s="14" t="s">
        <v>5601</v>
      </c>
      <c r="I792" s="14" t="s">
        <v>2458</v>
      </c>
      <c r="J792" s="33" t="s">
        <v>7110</v>
      </c>
      <c r="K792" s="33" t="s">
        <v>3768</v>
      </c>
      <c r="L792" s="68">
        <v>0</v>
      </c>
      <c r="M792" s="68" t="s">
        <v>8915</v>
      </c>
      <c r="N792" s="68">
        <v>0</v>
      </c>
      <c r="O792" s="68">
        <v>0</v>
      </c>
      <c r="P792" s="198" t="s">
        <v>5630</v>
      </c>
    </row>
    <row r="793" spans="1:16" ht="18.75" hidden="1">
      <c r="A793" s="50" t="s">
        <v>3681</v>
      </c>
      <c r="B793" s="50" t="s">
        <v>3715</v>
      </c>
      <c r="C793" s="50" t="s">
        <v>3726</v>
      </c>
      <c r="D793" s="50" t="s">
        <v>3558</v>
      </c>
      <c r="E793" s="12" t="s">
        <v>3420</v>
      </c>
      <c r="F793" s="49">
        <v>400000</v>
      </c>
      <c r="G793" s="67" t="s">
        <v>5611</v>
      </c>
      <c r="H793" s="14" t="s">
        <v>5601</v>
      </c>
      <c r="I793" s="14" t="s">
        <v>2458</v>
      </c>
      <c r="J793" s="33" t="s">
        <v>7110</v>
      </c>
      <c r="K793" s="33" t="s">
        <v>3768</v>
      </c>
      <c r="L793" s="68">
        <v>0</v>
      </c>
      <c r="M793" s="68" t="s">
        <v>8915</v>
      </c>
      <c r="N793" s="68">
        <v>0</v>
      </c>
      <c r="O793" s="68">
        <v>0</v>
      </c>
      <c r="P793" s="198" t="s">
        <v>5630</v>
      </c>
    </row>
    <row r="794" spans="1:16" ht="18.75" hidden="1">
      <c r="A794" s="50" t="s">
        <v>3679</v>
      </c>
      <c r="B794" s="50" t="s">
        <v>3714</v>
      </c>
      <c r="C794" s="50" t="s">
        <v>3727</v>
      </c>
      <c r="D794" s="50" t="s">
        <v>3767</v>
      </c>
      <c r="E794" s="12" t="s">
        <v>3420</v>
      </c>
      <c r="F794" s="49">
        <v>659626</v>
      </c>
      <c r="G794" s="67" t="s">
        <v>5611</v>
      </c>
      <c r="H794" s="14" t="s">
        <v>5602</v>
      </c>
      <c r="I794" s="14" t="s">
        <v>2458</v>
      </c>
      <c r="J794" s="33" t="s">
        <v>7110</v>
      </c>
      <c r="K794" s="33" t="s">
        <v>3768</v>
      </c>
      <c r="L794" s="68">
        <v>0</v>
      </c>
      <c r="M794" s="68" t="s">
        <v>8915</v>
      </c>
      <c r="N794" s="68">
        <v>0</v>
      </c>
      <c r="O794" s="68">
        <v>0</v>
      </c>
      <c r="P794" s="198" t="s">
        <v>5645</v>
      </c>
    </row>
    <row r="795" spans="1:16" ht="18.75" hidden="1">
      <c r="A795" s="50" t="s">
        <v>3680</v>
      </c>
      <c r="B795" s="50" t="s">
        <v>3665</v>
      </c>
      <c r="C795" s="50" t="s">
        <v>3675</v>
      </c>
      <c r="D795" s="50" t="s">
        <v>3667</v>
      </c>
      <c r="E795" s="12" t="s">
        <v>3420</v>
      </c>
      <c r="F795" s="49">
        <v>486400</v>
      </c>
      <c r="G795" s="67" t="s">
        <v>5631</v>
      </c>
      <c r="H795" s="14" t="s">
        <v>5601</v>
      </c>
      <c r="I795" s="14" t="s">
        <v>2458</v>
      </c>
      <c r="J795" s="33" t="s">
        <v>7110</v>
      </c>
      <c r="K795" s="33" t="s">
        <v>3768</v>
      </c>
      <c r="L795" s="68">
        <v>0</v>
      </c>
      <c r="M795" s="68" t="s">
        <v>8915</v>
      </c>
      <c r="N795" s="68">
        <v>0</v>
      </c>
      <c r="O795" s="68">
        <v>0</v>
      </c>
      <c r="P795" s="197" t="s">
        <v>5632</v>
      </c>
    </row>
    <row r="796" spans="1:16" ht="18.75" hidden="1">
      <c r="A796" s="50" t="s">
        <v>3681</v>
      </c>
      <c r="B796" s="50" t="s">
        <v>3715</v>
      </c>
      <c r="C796" s="50" t="s">
        <v>3728</v>
      </c>
      <c r="D796" s="50" t="s">
        <v>3529</v>
      </c>
      <c r="E796" s="12" t="s">
        <v>3420</v>
      </c>
      <c r="F796" s="49">
        <v>199000</v>
      </c>
      <c r="G796" s="67" t="s">
        <v>5611</v>
      </c>
      <c r="H796" s="14" t="s">
        <v>5601</v>
      </c>
      <c r="I796" s="14" t="s">
        <v>2458</v>
      </c>
      <c r="J796" s="33" t="s">
        <v>7110</v>
      </c>
      <c r="K796" s="33" t="s">
        <v>3768</v>
      </c>
      <c r="L796" s="68">
        <v>0</v>
      </c>
      <c r="M796" s="68" t="s">
        <v>8915</v>
      </c>
      <c r="N796" s="68">
        <v>0</v>
      </c>
      <c r="O796" s="68">
        <v>0</v>
      </c>
      <c r="P796" s="198" t="s">
        <v>5630</v>
      </c>
    </row>
    <row r="797" spans="1:16" ht="18.75" hidden="1">
      <c r="A797" s="50" t="s">
        <v>3682</v>
      </c>
      <c r="B797" s="50" t="s">
        <v>3664</v>
      </c>
      <c r="C797" s="50" t="s">
        <v>3729</v>
      </c>
      <c r="D797" s="50" t="s">
        <v>3668</v>
      </c>
      <c r="E797" s="12" t="s">
        <v>3420</v>
      </c>
      <c r="F797" s="49">
        <v>393739</v>
      </c>
      <c r="G797" s="67" t="s">
        <v>5604</v>
      </c>
      <c r="H797" s="14" t="s">
        <v>5602</v>
      </c>
      <c r="I797" s="14" t="s">
        <v>2458</v>
      </c>
      <c r="J797" s="33" t="s">
        <v>7110</v>
      </c>
      <c r="K797" s="33" t="s">
        <v>3768</v>
      </c>
      <c r="L797" s="68">
        <v>0</v>
      </c>
      <c r="M797" s="68" t="s">
        <v>8915</v>
      </c>
      <c r="N797" s="68">
        <v>0</v>
      </c>
      <c r="O797" s="68">
        <v>0</v>
      </c>
      <c r="P797" s="198" t="s">
        <v>5642</v>
      </c>
    </row>
    <row r="798" spans="1:16" ht="18.75" hidden="1">
      <c r="A798" s="50" t="s">
        <v>3683</v>
      </c>
      <c r="B798" s="50" t="s">
        <v>3668</v>
      </c>
      <c r="C798" s="50" t="s">
        <v>3730</v>
      </c>
      <c r="D798" s="50" t="s">
        <v>3667</v>
      </c>
      <c r="E798" s="12" t="s">
        <v>3420</v>
      </c>
      <c r="F798" s="49">
        <v>487430</v>
      </c>
      <c r="G798" s="67" t="s">
        <v>5604</v>
      </c>
      <c r="H798" s="14" t="s">
        <v>5601</v>
      </c>
      <c r="I798" s="14" t="s">
        <v>2458</v>
      </c>
      <c r="J798" s="33" t="s">
        <v>7110</v>
      </c>
      <c r="K798" s="33" t="s">
        <v>3768</v>
      </c>
      <c r="L798" s="68">
        <v>0</v>
      </c>
      <c r="M798" s="68" t="s">
        <v>8915</v>
      </c>
      <c r="N798" s="68">
        <v>0</v>
      </c>
      <c r="O798" s="68">
        <v>0</v>
      </c>
      <c r="P798" s="198" t="s">
        <v>5649</v>
      </c>
    </row>
    <row r="799" spans="1:16" ht="18.75" hidden="1">
      <c r="A799" s="50" t="s">
        <v>3684</v>
      </c>
      <c r="B799" s="50" t="s">
        <v>3716</v>
      </c>
      <c r="C799" s="50" t="s">
        <v>3731</v>
      </c>
      <c r="D799" s="50" t="s">
        <v>3767</v>
      </c>
      <c r="E799" s="12" t="s">
        <v>3420</v>
      </c>
      <c r="F799" s="49">
        <v>58563</v>
      </c>
      <c r="G799" s="67" t="s">
        <v>5611</v>
      </c>
      <c r="H799" s="14" t="s">
        <v>5602</v>
      </c>
      <c r="I799" s="14" t="s">
        <v>2458</v>
      </c>
      <c r="J799" s="33" t="s">
        <v>7110</v>
      </c>
      <c r="K799" s="33" t="s">
        <v>3768</v>
      </c>
      <c r="L799" s="68">
        <v>0</v>
      </c>
      <c r="M799" s="68" t="s">
        <v>8915</v>
      </c>
      <c r="N799" s="68">
        <v>0</v>
      </c>
      <c r="O799" s="68">
        <v>0</v>
      </c>
      <c r="P799" s="198" t="s">
        <v>5645</v>
      </c>
    </row>
    <row r="800" spans="1:16" ht="18.75" hidden="1">
      <c r="A800" s="50" t="s">
        <v>3685</v>
      </c>
      <c r="B800" s="50" t="s">
        <v>3665</v>
      </c>
      <c r="C800" s="50" t="s">
        <v>3732</v>
      </c>
      <c r="D800" s="50" t="s">
        <v>3664</v>
      </c>
      <c r="E800" s="12" t="s">
        <v>3420</v>
      </c>
      <c r="F800" s="49">
        <v>97755</v>
      </c>
      <c r="G800" s="67" t="s">
        <v>5604</v>
      </c>
      <c r="H800" s="14" t="s">
        <v>5602</v>
      </c>
      <c r="I800" s="14" t="s">
        <v>2458</v>
      </c>
      <c r="J800" s="33" t="s">
        <v>7110</v>
      </c>
      <c r="K800" s="33" t="s">
        <v>3768</v>
      </c>
      <c r="L800" s="68">
        <v>0</v>
      </c>
      <c r="M800" s="68" t="s">
        <v>8915</v>
      </c>
      <c r="N800" s="68">
        <v>0</v>
      </c>
      <c r="O800" s="68">
        <v>0</v>
      </c>
      <c r="P800" s="198" t="s">
        <v>5642</v>
      </c>
    </row>
    <row r="801" spans="1:16" ht="18.75" hidden="1">
      <c r="A801" s="50" t="s">
        <v>3680</v>
      </c>
      <c r="B801" s="50" t="s">
        <v>3665</v>
      </c>
      <c r="C801" s="50" t="s">
        <v>3677</v>
      </c>
      <c r="D801" s="50" t="s">
        <v>3667</v>
      </c>
      <c r="E801" s="12" t="s">
        <v>3420</v>
      </c>
      <c r="F801" s="49">
        <v>316520</v>
      </c>
      <c r="G801" s="67" t="s">
        <v>5631</v>
      </c>
      <c r="H801" s="14" t="s">
        <v>5601</v>
      </c>
      <c r="I801" s="14" t="s">
        <v>2458</v>
      </c>
      <c r="J801" s="33" t="s">
        <v>7110</v>
      </c>
      <c r="K801" s="33" t="s">
        <v>3768</v>
      </c>
      <c r="L801" s="68">
        <v>0</v>
      </c>
      <c r="M801" s="68" t="s">
        <v>8915</v>
      </c>
      <c r="N801" s="68">
        <v>0</v>
      </c>
      <c r="O801" s="68">
        <v>0</v>
      </c>
      <c r="P801" s="197" t="s">
        <v>5646</v>
      </c>
    </row>
    <row r="802" spans="1:16" ht="18.75" hidden="1">
      <c r="A802" s="50" t="s">
        <v>3686</v>
      </c>
      <c r="B802" s="50" t="s">
        <v>3714</v>
      </c>
      <c r="C802" s="50" t="s">
        <v>3733</v>
      </c>
      <c r="D802" s="50" t="s">
        <v>3716</v>
      </c>
      <c r="E802" s="12" t="s">
        <v>3420</v>
      </c>
      <c r="F802" s="49">
        <v>682360</v>
      </c>
      <c r="G802" s="67" t="s">
        <v>5604</v>
      </c>
      <c r="H802" s="14" t="s">
        <v>5602</v>
      </c>
      <c r="I802" s="14" t="s">
        <v>2458</v>
      </c>
      <c r="J802" s="33" t="s">
        <v>7110</v>
      </c>
      <c r="K802" s="33" t="s">
        <v>3768</v>
      </c>
      <c r="L802" s="68">
        <v>0</v>
      </c>
      <c r="M802" s="68" t="s">
        <v>8915</v>
      </c>
      <c r="N802" s="68">
        <v>0</v>
      </c>
      <c r="O802" s="68">
        <v>0</v>
      </c>
      <c r="P802" s="198" t="s">
        <v>5649</v>
      </c>
    </row>
    <row r="803" spans="1:16" ht="18.75" hidden="1">
      <c r="A803" s="50" t="s">
        <v>3687</v>
      </c>
      <c r="B803" s="50" t="s">
        <v>3665</v>
      </c>
      <c r="C803" s="50" t="s">
        <v>3568</v>
      </c>
      <c r="D803" s="50" t="s">
        <v>3506</v>
      </c>
      <c r="E803" s="12" t="s">
        <v>3420</v>
      </c>
      <c r="F803" s="49">
        <v>97560</v>
      </c>
      <c r="G803" s="67" t="s">
        <v>5631</v>
      </c>
      <c r="H803" s="14" t="s">
        <v>5601</v>
      </c>
      <c r="I803" s="14" t="s">
        <v>2458</v>
      </c>
      <c r="J803" s="33" t="s">
        <v>7110</v>
      </c>
      <c r="K803" s="33" t="s">
        <v>3768</v>
      </c>
      <c r="L803" s="68">
        <v>0</v>
      </c>
      <c r="M803" s="68" t="s">
        <v>8915</v>
      </c>
      <c r="N803" s="68">
        <v>0</v>
      </c>
      <c r="O803" s="68">
        <v>0</v>
      </c>
      <c r="P803" s="197" t="s">
        <v>5632</v>
      </c>
    </row>
    <row r="804" spans="1:16" ht="18.75" hidden="1">
      <c r="A804" s="50" t="s">
        <v>3687</v>
      </c>
      <c r="B804" s="50" t="s">
        <v>3665</v>
      </c>
      <c r="C804" s="50" t="s">
        <v>3673</v>
      </c>
      <c r="D804" s="50" t="s">
        <v>3556</v>
      </c>
      <c r="E804" s="12" t="s">
        <v>3420</v>
      </c>
      <c r="F804" s="49">
        <v>500000</v>
      </c>
      <c r="G804" s="67" t="s">
        <v>5631</v>
      </c>
      <c r="H804" s="14" t="s">
        <v>5601</v>
      </c>
      <c r="I804" s="14" t="s">
        <v>2458</v>
      </c>
      <c r="J804" s="33" t="s">
        <v>7110</v>
      </c>
      <c r="K804" s="33" t="s">
        <v>3768</v>
      </c>
      <c r="L804" s="68">
        <v>0</v>
      </c>
      <c r="M804" s="68" t="s">
        <v>8915</v>
      </c>
      <c r="N804" s="68">
        <v>0</v>
      </c>
      <c r="O804" s="68">
        <v>0</v>
      </c>
      <c r="P804" s="197" t="s">
        <v>5632</v>
      </c>
    </row>
    <row r="805" spans="1:16" ht="18.75" hidden="1">
      <c r="A805" s="50" t="s">
        <v>3687</v>
      </c>
      <c r="B805" s="50" t="s">
        <v>3665</v>
      </c>
      <c r="C805" s="50" t="s">
        <v>3674</v>
      </c>
      <c r="D805" s="50" t="s">
        <v>3670</v>
      </c>
      <c r="E805" s="12" t="s">
        <v>3420</v>
      </c>
      <c r="F805" s="49">
        <v>207260</v>
      </c>
      <c r="G805" s="67" t="s">
        <v>5631</v>
      </c>
      <c r="H805" s="14" t="s">
        <v>5601</v>
      </c>
      <c r="I805" s="14" t="s">
        <v>2458</v>
      </c>
      <c r="J805" s="33" t="s">
        <v>7110</v>
      </c>
      <c r="K805" s="33" t="s">
        <v>3768</v>
      </c>
      <c r="L805" s="68">
        <v>0</v>
      </c>
      <c r="M805" s="68" t="s">
        <v>8915</v>
      </c>
      <c r="N805" s="68">
        <v>0</v>
      </c>
      <c r="O805" s="68">
        <v>0</v>
      </c>
      <c r="P805" s="197" t="s">
        <v>5632</v>
      </c>
    </row>
    <row r="806" spans="1:16" ht="18.75" hidden="1">
      <c r="A806" s="50" t="s">
        <v>3688</v>
      </c>
      <c r="B806" s="50" t="s">
        <v>3668</v>
      </c>
      <c r="C806" s="50" t="s">
        <v>3567</v>
      </c>
      <c r="D806" s="50" t="s">
        <v>3451</v>
      </c>
      <c r="E806" s="12" t="s">
        <v>3420</v>
      </c>
      <c r="F806" s="49">
        <v>81450</v>
      </c>
      <c r="G806" s="67" t="s">
        <v>5611</v>
      </c>
      <c r="H806" s="14" t="s">
        <v>5601</v>
      </c>
      <c r="I806" s="14" t="s">
        <v>2458</v>
      </c>
      <c r="J806" s="33" t="s">
        <v>7110</v>
      </c>
      <c r="K806" s="33" t="s">
        <v>3768</v>
      </c>
      <c r="L806" s="68">
        <v>0</v>
      </c>
      <c r="M806" s="68" t="s">
        <v>8915</v>
      </c>
      <c r="N806" s="68">
        <v>0</v>
      </c>
      <c r="O806" s="68">
        <v>0</v>
      </c>
      <c r="P806" s="198" t="s">
        <v>5630</v>
      </c>
    </row>
    <row r="807" spans="1:16" ht="18.75" hidden="1">
      <c r="A807" s="50" t="s">
        <v>3688</v>
      </c>
      <c r="B807" s="50" t="s">
        <v>3668</v>
      </c>
      <c r="C807" s="50" t="s">
        <v>3561</v>
      </c>
      <c r="D807" s="50" t="s">
        <v>3576</v>
      </c>
      <c r="E807" s="12" t="s">
        <v>3420</v>
      </c>
      <c r="F807" s="49">
        <v>44925</v>
      </c>
      <c r="G807" s="67" t="s">
        <v>5611</v>
      </c>
      <c r="H807" s="14" t="s">
        <v>5601</v>
      </c>
      <c r="I807" s="14" t="s">
        <v>2458</v>
      </c>
      <c r="J807" s="33" t="s">
        <v>7110</v>
      </c>
      <c r="K807" s="33" t="s">
        <v>3768</v>
      </c>
      <c r="L807" s="68">
        <v>0</v>
      </c>
      <c r="M807" s="68" t="s">
        <v>8915</v>
      </c>
      <c r="N807" s="68">
        <v>0</v>
      </c>
      <c r="O807" s="68">
        <v>0</v>
      </c>
      <c r="P807" s="198" t="s">
        <v>5630</v>
      </c>
    </row>
    <row r="808" spans="1:16" ht="18.75" hidden="1">
      <c r="A808" s="50" t="s">
        <v>3688</v>
      </c>
      <c r="B808" s="50" t="s">
        <v>3668</v>
      </c>
      <c r="C808" s="50" t="s">
        <v>3734</v>
      </c>
      <c r="D808" s="50" t="s">
        <v>3459</v>
      </c>
      <c r="E808" s="12" t="s">
        <v>3420</v>
      </c>
      <c r="F808" s="49">
        <v>200000</v>
      </c>
      <c r="G808" s="67" t="s">
        <v>5611</v>
      </c>
      <c r="H808" s="14" t="s">
        <v>5601</v>
      </c>
      <c r="I808" s="14" t="s">
        <v>2458</v>
      </c>
      <c r="J808" s="33" t="s">
        <v>7110</v>
      </c>
      <c r="K808" s="33" t="s">
        <v>3768</v>
      </c>
      <c r="L808" s="68">
        <v>0</v>
      </c>
      <c r="M808" s="68" t="s">
        <v>8915</v>
      </c>
      <c r="N808" s="68">
        <v>0</v>
      </c>
      <c r="O808" s="68">
        <v>0</v>
      </c>
      <c r="P808" s="198" t="s">
        <v>5630</v>
      </c>
    </row>
    <row r="809" spans="1:16" ht="18.75" hidden="1">
      <c r="A809" s="50" t="s">
        <v>3688</v>
      </c>
      <c r="B809" s="50" t="s">
        <v>3668</v>
      </c>
      <c r="C809" s="50" t="s">
        <v>3735</v>
      </c>
      <c r="D809" s="50" t="s">
        <v>3456</v>
      </c>
      <c r="E809" s="12" t="s">
        <v>3420</v>
      </c>
      <c r="F809" s="49">
        <v>170000</v>
      </c>
      <c r="G809" s="67" t="s">
        <v>5611</v>
      </c>
      <c r="H809" s="14" t="s">
        <v>5601</v>
      </c>
      <c r="I809" s="14" t="s">
        <v>2458</v>
      </c>
      <c r="J809" s="33" t="s">
        <v>7110</v>
      </c>
      <c r="K809" s="33" t="s">
        <v>3768</v>
      </c>
      <c r="L809" s="68">
        <v>0</v>
      </c>
      <c r="M809" s="68" t="s">
        <v>8915</v>
      </c>
      <c r="N809" s="68">
        <v>0</v>
      </c>
      <c r="O809" s="68">
        <v>0</v>
      </c>
      <c r="P809" s="198" t="s">
        <v>5635</v>
      </c>
    </row>
    <row r="810" spans="1:16" ht="18.75" hidden="1">
      <c r="A810" s="50" t="s">
        <v>3689</v>
      </c>
      <c r="B810" s="50" t="s">
        <v>3714</v>
      </c>
      <c r="C810" s="50" t="s">
        <v>3676</v>
      </c>
      <c r="D810" s="50" t="s">
        <v>3667</v>
      </c>
      <c r="E810" s="12" t="s">
        <v>3420</v>
      </c>
      <c r="F810" s="49">
        <v>287410</v>
      </c>
      <c r="G810" s="67" t="s">
        <v>5631</v>
      </c>
      <c r="H810" s="14" t="s">
        <v>5601</v>
      </c>
      <c r="I810" s="14" t="s">
        <v>2458</v>
      </c>
      <c r="J810" s="33" t="s">
        <v>7110</v>
      </c>
      <c r="K810" s="33" t="s">
        <v>3768</v>
      </c>
      <c r="L810" s="68">
        <v>0</v>
      </c>
      <c r="M810" s="68" t="s">
        <v>8915</v>
      </c>
      <c r="N810" s="68">
        <v>0</v>
      </c>
      <c r="O810" s="68">
        <v>0</v>
      </c>
      <c r="P810" s="197" t="s">
        <v>5646</v>
      </c>
    </row>
    <row r="811" spans="1:16" ht="18.75" hidden="1">
      <c r="A811" s="50" t="s">
        <v>3689</v>
      </c>
      <c r="B811" s="50" t="s">
        <v>3714</v>
      </c>
      <c r="C811" s="50" t="s">
        <v>3675</v>
      </c>
      <c r="D811" s="50" t="s">
        <v>3667</v>
      </c>
      <c r="E811" s="12" t="s">
        <v>3420</v>
      </c>
      <c r="F811" s="49">
        <v>213600</v>
      </c>
      <c r="G811" s="67" t="s">
        <v>5631</v>
      </c>
      <c r="H811" s="14" t="s">
        <v>5601</v>
      </c>
      <c r="I811" s="14" t="s">
        <v>2458</v>
      </c>
      <c r="J811" s="33" t="s">
        <v>7110</v>
      </c>
      <c r="K811" s="33" t="s">
        <v>3768</v>
      </c>
      <c r="L811" s="68">
        <v>0</v>
      </c>
      <c r="M811" s="68" t="s">
        <v>8915</v>
      </c>
      <c r="N811" s="68">
        <v>0</v>
      </c>
      <c r="O811" s="68">
        <v>0</v>
      </c>
      <c r="P811" s="197" t="s">
        <v>5632</v>
      </c>
    </row>
    <row r="812" spans="1:16" ht="18.75" hidden="1">
      <c r="A812" s="50" t="s">
        <v>3690</v>
      </c>
      <c r="B812" s="50" t="s">
        <v>3714</v>
      </c>
      <c r="C812" s="50" t="s">
        <v>3736</v>
      </c>
      <c r="D812" s="50" t="s">
        <v>3662</v>
      </c>
      <c r="E812" s="12" t="s">
        <v>3420</v>
      </c>
      <c r="F812" s="49">
        <v>2529117</v>
      </c>
      <c r="G812" s="67" t="s">
        <v>5604</v>
      </c>
      <c r="H812" s="14" t="s">
        <v>5601</v>
      </c>
      <c r="I812" s="14" t="s">
        <v>2458</v>
      </c>
      <c r="J812" s="33" t="s">
        <v>7110</v>
      </c>
      <c r="K812" s="33" t="s">
        <v>3768</v>
      </c>
      <c r="L812" s="68">
        <v>0</v>
      </c>
      <c r="M812" s="68" t="s">
        <v>8915</v>
      </c>
      <c r="N812" s="68">
        <v>0</v>
      </c>
      <c r="O812" s="68">
        <v>0</v>
      </c>
      <c r="P812" s="198" t="s">
        <v>5626</v>
      </c>
    </row>
    <row r="813" spans="1:16" ht="18.75" hidden="1">
      <c r="A813" s="50" t="s">
        <v>3691</v>
      </c>
      <c r="B813" s="50" t="s">
        <v>3662</v>
      </c>
      <c r="C813" s="50" t="s">
        <v>3737</v>
      </c>
      <c r="D813" s="50" t="s">
        <v>3665</v>
      </c>
      <c r="E813" s="12" t="s">
        <v>3420</v>
      </c>
      <c r="F813" s="49">
        <v>1000000</v>
      </c>
      <c r="G813" s="67" t="s">
        <v>5631</v>
      </c>
      <c r="H813" s="14" t="s">
        <v>5601</v>
      </c>
      <c r="I813" s="14" t="s">
        <v>2458</v>
      </c>
      <c r="J813" s="33" t="s">
        <v>7110</v>
      </c>
      <c r="K813" s="33" t="s">
        <v>3768</v>
      </c>
      <c r="L813" s="68">
        <v>0</v>
      </c>
      <c r="M813" s="68" t="s">
        <v>8915</v>
      </c>
      <c r="N813" s="68">
        <v>0</v>
      </c>
      <c r="O813" s="68">
        <v>0</v>
      </c>
      <c r="P813" s="197" t="s">
        <v>5651</v>
      </c>
    </row>
    <row r="814" spans="1:16" ht="18.75" hidden="1">
      <c r="A814" s="50" t="s">
        <v>3692</v>
      </c>
      <c r="B814" s="50" t="s">
        <v>3665</v>
      </c>
      <c r="C814" s="50" t="s">
        <v>3738</v>
      </c>
      <c r="D814" s="50" t="s">
        <v>3664</v>
      </c>
      <c r="E814" s="12" t="s">
        <v>3420</v>
      </c>
      <c r="F814" s="49">
        <v>589633</v>
      </c>
      <c r="G814" s="67" t="s">
        <v>5604</v>
      </c>
      <c r="H814" s="14" t="s">
        <v>5602</v>
      </c>
      <c r="I814" s="14" t="s">
        <v>2458</v>
      </c>
      <c r="J814" s="33" t="s">
        <v>7110</v>
      </c>
      <c r="K814" s="33" t="s">
        <v>3768</v>
      </c>
      <c r="L814" s="68">
        <v>0</v>
      </c>
      <c r="M814" s="68" t="s">
        <v>8915</v>
      </c>
      <c r="N814" s="68">
        <v>0</v>
      </c>
      <c r="O814" s="68">
        <v>0</v>
      </c>
      <c r="P814" s="198" t="s">
        <v>5643</v>
      </c>
    </row>
    <row r="815" spans="1:16" ht="18.75" hidden="1">
      <c r="A815" s="50" t="s">
        <v>3693</v>
      </c>
      <c r="B815" s="50" t="s">
        <v>3668</v>
      </c>
      <c r="C815" s="50" t="s">
        <v>3561</v>
      </c>
      <c r="D815" s="50" t="s">
        <v>3576</v>
      </c>
      <c r="E815" s="12" t="s">
        <v>3420</v>
      </c>
      <c r="F815" s="49">
        <v>224004</v>
      </c>
      <c r="G815" s="67" t="s">
        <v>5611</v>
      </c>
      <c r="H815" s="14" t="s">
        <v>5601</v>
      </c>
      <c r="I815" s="14" t="s">
        <v>2458</v>
      </c>
      <c r="J815" s="33" t="s">
        <v>7110</v>
      </c>
      <c r="K815" s="33" t="s">
        <v>3768</v>
      </c>
      <c r="L815" s="68">
        <v>0</v>
      </c>
      <c r="M815" s="68" t="s">
        <v>8915</v>
      </c>
      <c r="N815" s="68">
        <v>0</v>
      </c>
      <c r="O815" s="68">
        <v>0</v>
      </c>
      <c r="P815" s="198" t="s">
        <v>5630</v>
      </c>
    </row>
    <row r="816" spans="1:16" ht="18.75" hidden="1">
      <c r="A816" s="50" t="s">
        <v>3694</v>
      </c>
      <c r="B816" s="50" t="s">
        <v>3715</v>
      </c>
      <c r="C816" s="50" t="s">
        <v>3739</v>
      </c>
      <c r="D816" s="50" t="s">
        <v>3459</v>
      </c>
      <c r="E816" s="12" t="s">
        <v>3420</v>
      </c>
      <c r="F816" s="49">
        <v>200000</v>
      </c>
      <c r="G816" s="67" t="s">
        <v>5611</v>
      </c>
      <c r="H816" s="14" t="s">
        <v>5601</v>
      </c>
      <c r="I816" s="14" t="s">
        <v>2458</v>
      </c>
      <c r="J816" s="33" t="s">
        <v>7110</v>
      </c>
      <c r="K816" s="33" t="s">
        <v>3768</v>
      </c>
      <c r="L816" s="68">
        <v>0</v>
      </c>
      <c r="M816" s="68" t="s">
        <v>8915</v>
      </c>
      <c r="N816" s="68">
        <v>0</v>
      </c>
      <c r="O816" s="68">
        <v>0</v>
      </c>
      <c r="P816" s="198" t="s">
        <v>5630</v>
      </c>
    </row>
    <row r="817" spans="1:16" ht="18.75" hidden="1">
      <c r="A817" s="50" t="s">
        <v>3694</v>
      </c>
      <c r="B817" s="50" t="s">
        <v>3715</v>
      </c>
      <c r="C817" s="50" t="s">
        <v>3569</v>
      </c>
      <c r="D817" s="50" t="s">
        <v>3578</v>
      </c>
      <c r="E817" s="12" t="s">
        <v>3420</v>
      </c>
      <c r="F817" s="49">
        <v>98560</v>
      </c>
      <c r="G817" s="67" t="s">
        <v>5611</v>
      </c>
      <c r="H817" s="14" t="s">
        <v>5601</v>
      </c>
      <c r="I817" s="14" t="s">
        <v>2458</v>
      </c>
      <c r="J817" s="33" t="s">
        <v>7110</v>
      </c>
      <c r="K817" s="33" t="s">
        <v>3768</v>
      </c>
      <c r="L817" s="68">
        <v>0</v>
      </c>
      <c r="M817" s="68" t="s">
        <v>8915</v>
      </c>
      <c r="N817" s="68">
        <v>0</v>
      </c>
      <c r="O817" s="68">
        <v>0</v>
      </c>
      <c r="P817" s="198" t="s">
        <v>5630</v>
      </c>
    </row>
    <row r="818" spans="1:16" ht="18.75" hidden="1">
      <c r="A818" s="50" t="s">
        <v>3687</v>
      </c>
      <c r="B818" s="50" t="s">
        <v>3665</v>
      </c>
      <c r="C818" s="50" t="s">
        <v>3525</v>
      </c>
      <c r="D818" s="50" t="s">
        <v>3458</v>
      </c>
      <c r="E818" s="12" t="s">
        <v>3420</v>
      </c>
      <c r="F818" s="49">
        <v>1180</v>
      </c>
      <c r="G818" s="67" t="s">
        <v>5631</v>
      </c>
      <c r="H818" s="14" t="s">
        <v>5601</v>
      </c>
      <c r="I818" s="14" t="s">
        <v>2458</v>
      </c>
      <c r="J818" s="33" t="s">
        <v>7110</v>
      </c>
      <c r="K818" s="33" t="s">
        <v>3768</v>
      </c>
      <c r="L818" s="68">
        <v>0</v>
      </c>
      <c r="M818" s="68" t="s">
        <v>8915</v>
      </c>
      <c r="N818" s="68">
        <v>0</v>
      </c>
      <c r="O818" s="68">
        <v>0</v>
      </c>
      <c r="P818" s="197" t="s">
        <v>5632</v>
      </c>
    </row>
    <row r="819" spans="1:16" ht="18.75" hidden="1">
      <c r="A819" s="50" t="s">
        <v>3695</v>
      </c>
      <c r="B819" s="50" t="s">
        <v>3662</v>
      </c>
      <c r="C819" s="50" t="s">
        <v>3740</v>
      </c>
      <c r="D819" s="50" t="s">
        <v>3669</v>
      </c>
      <c r="E819" s="12" t="s">
        <v>3420</v>
      </c>
      <c r="F819" s="49">
        <v>140000</v>
      </c>
      <c r="G819" s="67" t="s">
        <v>5611</v>
      </c>
      <c r="H819" s="14" t="s">
        <v>5601</v>
      </c>
      <c r="I819" s="14" t="s">
        <v>2458</v>
      </c>
      <c r="J819" s="33" t="s">
        <v>7110</v>
      </c>
      <c r="K819" s="33" t="s">
        <v>3768</v>
      </c>
      <c r="L819" s="68">
        <v>0</v>
      </c>
      <c r="M819" s="68" t="s">
        <v>8915</v>
      </c>
      <c r="N819" s="68">
        <v>0</v>
      </c>
      <c r="O819" s="68">
        <v>0</v>
      </c>
      <c r="P819" s="198" t="s">
        <v>5635</v>
      </c>
    </row>
    <row r="820" spans="1:16" ht="18.75" hidden="1">
      <c r="A820" s="50" t="s">
        <v>3689</v>
      </c>
      <c r="B820" s="50" t="s">
        <v>3714</v>
      </c>
      <c r="C820" s="50" t="s">
        <v>3741</v>
      </c>
      <c r="D820" s="50" t="s">
        <v>3664</v>
      </c>
      <c r="E820" s="12" t="s">
        <v>3420</v>
      </c>
      <c r="F820" s="49">
        <v>496690</v>
      </c>
      <c r="G820" s="67" t="s">
        <v>5631</v>
      </c>
      <c r="H820" s="14" t="s">
        <v>5601</v>
      </c>
      <c r="I820" s="14" t="s">
        <v>2458</v>
      </c>
      <c r="J820" s="33" t="s">
        <v>7110</v>
      </c>
      <c r="K820" s="33" t="s">
        <v>3768</v>
      </c>
      <c r="L820" s="68">
        <v>0</v>
      </c>
      <c r="M820" s="68" t="s">
        <v>8915</v>
      </c>
      <c r="N820" s="68">
        <v>0</v>
      </c>
      <c r="O820" s="68">
        <v>0</v>
      </c>
      <c r="P820" s="197" t="s">
        <v>5651</v>
      </c>
    </row>
    <row r="821" spans="1:16" ht="18.75" hidden="1">
      <c r="A821" s="50" t="s">
        <v>3691</v>
      </c>
      <c r="B821" s="50" t="s">
        <v>3662</v>
      </c>
      <c r="C821" s="50" t="s">
        <v>3741</v>
      </c>
      <c r="D821" s="50" t="s">
        <v>3664</v>
      </c>
      <c r="E821" s="12" t="s">
        <v>3420</v>
      </c>
      <c r="F821" s="49">
        <v>3310</v>
      </c>
      <c r="G821" s="67" t="s">
        <v>5631</v>
      </c>
      <c r="H821" s="14" t="s">
        <v>5601</v>
      </c>
      <c r="I821" s="14" t="s">
        <v>2458</v>
      </c>
      <c r="J821" s="33" t="s">
        <v>7110</v>
      </c>
      <c r="K821" s="33" t="s">
        <v>3768</v>
      </c>
      <c r="L821" s="68">
        <v>0</v>
      </c>
      <c r="M821" s="68" t="s">
        <v>8915</v>
      </c>
      <c r="N821" s="68">
        <v>0</v>
      </c>
      <c r="O821" s="68">
        <v>0</v>
      </c>
      <c r="P821" s="197" t="s">
        <v>5651</v>
      </c>
    </row>
    <row r="822" spans="1:16" ht="18.75" hidden="1">
      <c r="A822" s="50" t="s">
        <v>3694</v>
      </c>
      <c r="B822" s="50" t="s">
        <v>3715</v>
      </c>
      <c r="C822" s="50" t="s">
        <v>4308</v>
      </c>
      <c r="D822" s="50" t="s">
        <v>3578</v>
      </c>
      <c r="E822" s="12" t="s">
        <v>3420</v>
      </c>
      <c r="F822" s="49">
        <v>93596</v>
      </c>
      <c r="G822" s="67" t="s">
        <v>5611</v>
      </c>
      <c r="H822" s="14" t="s">
        <v>5601</v>
      </c>
      <c r="I822" s="14" t="s">
        <v>2458</v>
      </c>
      <c r="J822" s="33" t="s">
        <v>7110</v>
      </c>
      <c r="K822" s="33" t="s">
        <v>3768</v>
      </c>
      <c r="L822" s="68">
        <v>0</v>
      </c>
      <c r="M822" s="68" t="s">
        <v>8915</v>
      </c>
      <c r="N822" s="68">
        <v>0</v>
      </c>
      <c r="O822" s="68">
        <v>0</v>
      </c>
      <c r="P822" s="198" t="s">
        <v>5630</v>
      </c>
    </row>
    <row r="823" spans="1:16" ht="18.75" hidden="1">
      <c r="A823" s="50" t="s">
        <v>3694</v>
      </c>
      <c r="B823" s="50" t="s">
        <v>3715</v>
      </c>
      <c r="C823" s="50" t="s">
        <v>3743</v>
      </c>
      <c r="D823" s="50" t="s">
        <v>3455</v>
      </c>
      <c r="E823" s="12" t="s">
        <v>3420</v>
      </c>
      <c r="F823" s="49">
        <v>9344</v>
      </c>
      <c r="G823" s="67" t="s">
        <v>5611</v>
      </c>
      <c r="H823" s="14" t="s">
        <v>5601</v>
      </c>
      <c r="I823" s="14" t="s">
        <v>2458</v>
      </c>
      <c r="J823" s="33" t="s">
        <v>7110</v>
      </c>
      <c r="K823" s="33" t="s">
        <v>3768</v>
      </c>
      <c r="L823" s="68">
        <v>0</v>
      </c>
      <c r="M823" s="68" t="s">
        <v>8915</v>
      </c>
      <c r="N823" s="68">
        <v>0</v>
      </c>
      <c r="O823" s="68">
        <v>0</v>
      </c>
      <c r="P823" s="198" t="s">
        <v>5640</v>
      </c>
    </row>
    <row r="824" spans="1:16" ht="18.75" hidden="1">
      <c r="A824" s="50" t="s">
        <v>3693</v>
      </c>
      <c r="B824" s="50" t="s">
        <v>3668</v>
      </c>
      <c r="C824" s="50" t="s">
        <v>3743</v>
      </c>
      <c r="D824" s="50" t="s">
        <v>3455</v>
      </c>
      <c r="E824" s="12" t="s">
        <v>3420</v>
      </c>
      <c r="F824" s="49">
        <v>272371</v>
      </c>
      <c r="G824" s="67" t="s">
        <v>5611</v>
      </c>
      <c r="H824" s="14" t="s">
        <v>5601</v>
      </c>
      <c r="I824" s="14" t="s">
        <v>2458</v>
      </c>
      <c r="J824" s="33" t="s">
        <v>7110</v>
      </c>
      <c r="K824" s="33" t="s">
        <v>3768</v>
      </c>
      <c r="L824" s="68">
        <v>0</v>
      </c>
      <c r="M824" s="68" t="s">
        <v>8915</v>
      </c>
      <c r="N824" s="68">
        <v>0</v>
      </c>
      <c r="O824" s="68">
        <v>0</v>
      </c>
      <c r="P824" s="198" t="s">
        <v>5640</v>
      </c>
    </row>
    <row r="825" spans="1:16" ht="18.75" hidden="1">
      <c r="A825" s="50" t="s">
        <v>3696</v>
      </c>
      <c r="B825" s="50" t="s">
        <v>3717</v>
      </c>
      <c r="C825" s="50" t="s">
        <v>3744</v>
      </c>
      <c r="D825" s="50" t="s">
        <v>3718</v>
      </c>
      <c r="E825" s="12" t="s">
        <v>3420</v>
      </c>
      <c r="F825" s="49">
        <v>1410331</v>
      </c>
      <c r="G825" s="67" t="s">
        <v>5604</v>
      </c>
      <c r="H825" s="14" t="s">
        <v>5602</v>
      </c>
      <c r="I825" s="14" t="s">
        <v>2458</v>
      </c>
      <c r="J825" s="33" t="s">
        <v>7110</v>
      </c>
      <c r="K825" s="33" t="s">
        <v>3768</v>
      </c>
      <c r="L825" s="68">
        <v>0</v>
      </c>
      <c r="M825" s="68" t="s">
        <v>8915</v>
      </c>
      <c r="N825" s="68">
        <v>0</v>
      </c>
      <c r="O825" s="68">
        <v>0</v>
      </c>
      <c r="P825" s="198" t="s">
        <v>5649</v>
      </c>
    </row>
    <row r="826" spans="1:16" ht="18.75" hidden="1">
      <c r="A826" s="50" t="s">
        <v>3697</v>
      </c>
      <c r="B826" s="50" t="s">
        <v>3718</v>
      </c>
      <c r="C826" s="50" t="s">
        <v>3745</v>
      </c>
      <c r="D826" s="50" t="s">
        <v>3662</v>
      </c>
      <c r="E826" s="12" t="s">
        <v>3420</v>
      </c>
      <c r="F826" s="49">
        <v>299340</v>
      </c>
      <c r="G826" s="67" t="s">
        <v>5611</v>
      </c>
      <c r="H826" s="14" t="s">
        <v>5601</v>
      </c>
      <c r="I826" s="14" t="s">
        <v>2458</v>
      </c>
      <c r="J826" s="33" t="s">
        <v>7110</v>
      </c>
      <c r="K826" s="33" t="s">
        <v>3768</v>
      </c>
      <c r="L826" s="68">
        <v>0</v>
      </c>
      <c r="M826" s="68" t="s">
        <v>8915</v>
      </c>
      <c r="N826" s="68">
        <v>0</v>
      </c>
      <c r="O826" s="68">
        <v>0</v>
      </c>
      <c r="P826" s="198" t="s">
        <v>5658</v>
      </c>
    </row>
    <row r="827" spans="1:16" ht="18.75" hidden="1">
      <c r="A827" s="50" t="s">
        <v>3698</v>
      </c>
      <c r="B827" s="50" t="s">
        <v>3719</v>
      </c>
      <c r="C827" s="50" t="s">
        <v>3746</v>
      </c>
      <c r="D827" s="50" t="s">
        <v>3716</v>
      </c>
      <c r="E827" s="12" t="s">
        <v>3420</v>
      </c>
      <c r="F827" s="49">
        <v>200000</v>
      </c>
      <c r="G827" s="67" t="s">
        <v>5604</v>
      </c>
      <c r="H827" s="14" t="s">
        <v>5601</v>
      </c>
      <c r="I827" s="14" t="s">
        <v>2458</v>
      </c>
      <c r="J827" s="33" t="s">
        <v>7110</v>
      </c>
      <c r="K827" s="33" t="s">
        <v>3768</v>
      </c>
      <c r="L827" s="68">
        <v>0</v>
      </c>
      <c r="M827" s="68" t="s">
        <v>8915</v>
      </c>
      <c r="N827" s="68">
        <v>0</v>
      </c>
      <c r="O827" s="68">
        <v>0</v>
      </c>
      <c r="P827" s="198" t="s">
        <v>5628</v>
      </c>
    </row>
    <row r="828" spans="1:16" ht="18.75" hidden="1">
      <c r="A828" s="50" t="s">
        <v>3699</v>
      </c>
      <c r="B828" s="50" t="s">
        <v>3718</v>
      </c>
      <c r="C828" s="50" t="s">
        <v>3747</v>
      </c>
      <c r="D828" s="50" t="s">
        <v>3716</v>
      </c>
      <c r="E828" s="12" t="s">
        <v>3420</v>
      </c>
      <c r="F828" s="49">
        <v>758768</v>
      </c>
      <c r="G828" s="67" t="s">
        <v>5604</v>
      </c>
      <c r="H828" s="14" t="s">
        <v>5601</v>
      </c>
      <c r="I828" s="14" t="s">
        <v>2458</v>
      </c>
      <c r="J828" s="33" t="s">
        <v>7110</v>
      </c>
      <c r="K828" s="33" t="s">
        <v>3768</v>
      </c>
      <c r="L828" s="68">
        <v>0</v>
      </c>
      <c r="M828" s="68" t="s">
        <v>8915</v>
      </c>
      <c r="N828" s="68">
        <v>0</v>
      </c>
      <c r="O828" s="68">
        <v>0</v>
      </c>
      <c r="P828" s="198" t="s">
        <v>5618</v>
      </c>
    </row>
    <row r="829" spans="1:16" ht="18.75" hidden="1">
      <c r="A829" s="50" t="s">
        <v>3700</v>
      </c>
      <c r="B829" s="50" t="s">
        <v>3718</v>
      </c>
      <c r="C829" s="50" t="s">
        <v>3725</v>
      </c>
      <c r="D829" s="50" t="s">
        <v>3529</v>
      </c>
      <c r="E829" s="12" t="s">
        <v>3420</v>
      </c>
      <c r="F829" s="49">
        <v>209530</v>
      </c>
      <c r="G829" s="67" t="s">
        <v>5611</v>
      </c>
      <c r="H829" s="14" t="s">
        <v>5601</v>
      </c>
      <c r="I829" s="14" t="s">
        <v>2458</v>
      </c>
      <c r="J829" s="33" t="s">
        <v>7110</v>
      </c>
      <c r="K829" s="33" t="s">
        <v>3768</v>
      </c>
      <c r="L829" s="68">
        <v>0</v>
      </c>
      <c r="M829" s="68" t="s">
        <v>8915</v>
      </c>
      <c r="N829" s="68">
        <v>0</v>
      </c>
      <c r="O829" s="68">
        <v>0</v>
      </c>
      <c r="P829" s="198" t="s">
        <v>5630</v>
      </c>
    </row>
    <row r="830" spans="1:16" ht="18.75" hidden="1">
      <c r="A830" s="50" t="s">
        <v>3700</v>
      </c>
      <c r="B830" s="50" t="s">
        <v>3718</v>
      </c>
      <c r="C830" s="50" t="s">
        <v>3748</v>
      </c>
      <c r="D830" s="50" t="s">
        <v>3556</v>
      </c>
      <c r="E830" s="12" t="s">
        <v>3420</v>
      </c>
      <c r="F830" s="49">
        <v>197120</v>
      </c>
      <c r="G830" s="67" t="s">
        <v>5611</v>
      </c>
      <c r="H830" s="14" t="s">
        <v>5601</v>
      </c>
      <c r="I830" s="14" t="s">
        <v>2458</v>
      </c>
      <c r="J830" s="33" t="s">
        <v>7110</v>
      </c>
      <c r="K830" s="33" t="s">
        <v>3768</v>
      </c>
      <c r="L830" s="68">
        <v>0</v>
      </c>
      <c r="M830" s="68" t="s">
        <v>8915</v>
      </c>
      <c r="N830" s="68">
        <v>0</v>
      </c>
      <c r="O830" s="68">
        <v>0</v>
      </c>
      <c r="P830" s="198" t="s">
        <v>5635</v>
      </c>
    </row>
    <row r="831" spans="1:16" ht="18.75" hidden="1">
      <c r="A831" s="50" t="s">
        <v>3700</v>
      </c>
      <c r="B831" s="50" t="s">
        <v>3718</v>
      </c>
      <c r="C831" s="50" t="s">
        <v>3749</v>
      </c>
      <c r="D831" s="50" t="s">
        <v>3459</v>
      </c>
      <c r="E831" s="12" t="s">
        <v>3420</v>
      </c>
      <c r="F831" s="49">
        <v>400000</v>
      </c>
      <c r="G831" s="67" t="s">
        <v>5611</v>
      </c>
      <c r="H831" s="14" t="s">
        <v>5601</v>
      </c>
      <c r="I831" s="14" t="s">
        <v>2458</v>
      </c>
      <c r="J831" s="33" t="s">
        <v>7110</v>
      </c>
      <c r="K831" s="33" t="s">
        <v>3768</v>
      </c>
      <c r="L831" s="68">
        <v>0</v>
      </c>
      <c r="M831" s="68" t="s">
        <v>8915</v>
      </c>
      <c r="N831" s="68">
        <v>0</v>
      </c>
      <c r="O831" s="68">
        <v>0</v>
      </c>
      <c r="P831" s="198" t="s">
        <v>5630</v>
      </c>
    </row>
    <row r="832" spans="1:16" ht="18.75" hidden="1">
      <c r="A832" s="50" t="s">
        <v>3700</v>
      </c>
      <c r="B832" s="50" t="s">
        <v>3718</v>
      </c>
      <c r="C832" s="50" t="s">
        <v>3750</v>
      </c>
      <c r="D832" s="50" t="s">
        <v>3578</v>
      </c>
      <c r="E832" s="12" t="s">
        <v>3420</v>
      </c>
      <c r="F832" s="49">
        <v>89560</v>
      </c>
      <c r="G832" s="67" t="s">
        <v>5611</v>
      </c>
      <c r="H832" s="14" t="s">
        <v>5601</v>
      </c>
      <c r="I832" s="14" t="s">
        <v>2458</v>
      </c>
      <c r="J832" s="33" t="s">
        <v>7110</v>
      </c>
      <c r="K832" s="33" t="s">
        <v>3768</v>
      </c>
      <c r="L832" s="68">
        <v>0</v>
      </c>
      <c r="M832" s="68" t="s">
        <v>8915</v>
      </c>
      <c r="N832" s="68">
        <v>0</v>
      </c>
      <c r="O832" s="68">
        <v>0</v>
      </c>
      <c r="P832" s="198" t="s">
        <v>5630</v>
      </c>
    </row>
    <row r="833" spans="1:16" ht="18.75" hidden="1">
      <c r="A833" s="50" t="s">
        <v>3700</v>
      </c>
      <c r="B833" s="50" t="s">
        <v>3718</v>
      </c>
      <c r="C833" s="50" t="s">
        <v>3751</v>
      </c>
      <c r="D833" s="50" t="s">
        <v>3451</v>
      </c>
      <c r="E833" s="12" t="s">
        <v>3420</v>
      </c>
      <c r="F833" s="49">
        <v>99460</v>
      </c>
      <c r="G833" s="67" t="s">
        <v>5611</v>
      </c>
      <c r="H833" s="14" t="s">
        <v>5601</v>
      </c>
      <c r="I833" s="14" t="s">
        <v>2458</v>
      </c>
      <c r="J833" s="33" t="s">
        <v>7110</v>
      </c>
      <c r="K833" s="33" t="s">
        <v>3768</v>
      </c>
      <c r="L833" s="68">
        <v>0</v>
      </c>
      <c r="M833" s="68" t="s">
        <v>8915</v>
      </c>
      <c r="N833" s="68">
        <v>0</v>
      </c>
      <c r="O833" s="68">
        <v>0</v>
      </c>
      <c r="P833" s="198" t="s">
        <v>5630</v>
      </c>
    </row>
    <row r="834" spans="1:16" ht="18.75" hidden="1">
      <c r="A834" s="50" t="s">
        <v>3698</v>
      </c>
      <c r="B834" s="50" t="s">
        <v>3719</v>
      </c>
      <c r="C834" s="50" t="s">
        <v>3747</v>
      </c>
      <c r="D834" s="50" t="s">
        <v>3716</v>
      </c>
      <c r="E834" s="12" t="s">
        <v>3420</v>
      </c>
      <c r="F834" s="49">
        <v>117976</v>
      </c>
      <c r="G834" s="67" t="s">
        <v>5604</v>
      </c>
      <c r="H834" s="14" t="s">
        <v>5601</v>
      </c>
      <c r="I834" s="14" t="s">
        <v>2458</v>
      </c>
      <c r="J834" s="33" t="s">
        <v>7110</v>
      </c>
      <c r="K834" s="33" t="s">
        <v>3768</v>
      </c>
      <c r="L834" s="68">
        <v>0</v>
      </c>
      <c r="M834" s="68" t="s">
        <v>8915</v>
      </c>
      <c r="N834" s="68">
        <v>0</v>
      </c>
      <c r="O834" s="68">
        <v>0</v>
      </c>
      <c r="P834" s="198" t="s">
        <v>5618</v>
      </c>
    </row>
    <row r="835" spans="1:16" ht="18.75" hidden="1">
      <c r="A835" s="50" t="s">
        <v>3701</v>
      </c>
      <c r="B835" s="50" t="s">
        <v>3718</v>
      </c>
      <c r="C835" s="50" t="s">
        <v>3752</v>
      </c>
      <c r="D835" s="50" t="s">
        <v>3662</v>
      </c>
      <c r="E835" s="12" t="s">
        <v>3420</v>
      </c>
      <c r="F835" s="49">
        <v>497137</v>
      </c>
      <c r="G835" s="67" t="s">
        <v>5655</v>
      </c>
      <c r="H835" s="14" t="s">
        <v>5601</v>
      </c>
      <c r="I835" s="14" t="s">
        <v>2458</v>
      </c>
      <c r="J835" s="33" t="s">
        <v>7110</v>
      </c>
      <c r="K835" s="33" t="s">
        <v>3768</v>
      </c>
      <c r="L835" s="68">
        <v>0</v>
      </c>
      <c r="M835" s="68" t="s">
        <v>8915</v>
      </c>
      <c r="N835" s="68">
        <v>0</v>
      </c>
      <c r="O835" s="68">
        <v>0</v>
      </c>
      <c r="P835" s="198" t="s">
        <v>5656</v>
      </c>
    </row>
    <row r="836" spans="1:16" ht="18.75" hidden="1">
      <c r="A836" s="50" t="s">
        <v>3700</v>
      </c>
      <c r="B836" s="50" t="s">
        <v>3718</v>
      </c>
      <c r="C836" s="50" t="s">
        <v>3753</v>
      </c>
      <c r="D836" s="50" t="s">
        <v>3451</v>
      </c>
      <c r="E836" s="12" t="s">
        <v>3420</v>
      </c>
      <c r="F836" s="49">
        <v>99380</v>
      </c>
      <c r="G836" s="67" t="s">
        <v>5611</v>
      </c>
      <c r="H836" s="14" t="s">
        <v>5601</v>
      </c>
      <c r="I836" s="14" t="s">
        <v>2458</v>
      </c>
      <c r="J836" s="33" t="s">
        <v>7110</v>
      </c>
      <c r="K836" s="33" t="s">
        <v>3768</v>
      </c>
      <c r="L836" s="68">
        <v>0</v>
      </c>
      <c r="M836" s="68" t="s">
        <v>8915</v>
      </c>
      <c r="N836" s="68">
        <v>0</v>
      </c>
      <c r="O836" s="68">
        <v>0</v>
      </c>
      <c r="P836" s="198" t="s">
        <v>5630</v>
      </c>
    </row>
    <row r="837" spans="1:16" ht="18.75" hidden="1">
      <c r="A837" s="50" t="s">
        <v>3702</v>
      </c>
      <c r="B837" s="50" t="s">
        <v>3720</v>
      </c>
      <c r="C837" s="50" t="s">
        <v>3754</v>
      </c>
      <c r="D837" s="50" t="s">
        <v>3665</v>
      </c>
      <c r="E837" s="12" t="s">
        <v>3420</v>
      </c>
      <c r="F837" s="49">
        <v>840000</v>
      </c>
      <c r="G837" s="67" t="s">
        <v>5611</v>
      </c>
      <c r="H837" s="14" t="s">
        <v>5601</v>
      </c>
      <c r="I837" s="14" t="s">
        <v>2458</v>
      </c>
      <c r="J837" s="33" t="s">
        <v>7110</v>
      </c>
      <c r="K837" s="33" t="s">
        <v>3768</v>
      </c>
      <c r="L837" s="68">
        <v>0</v>
      </c>
      <c r="M837" s="68" t="s">
        <v>8915</v>
      </c>
      <c r="N837" s="68">
        <v>0</v>
      </c>
      <c r="O837" s="68">
        <v>0</v>
      </c>
      <c r="P837" s="198" t="s">
        <v>5645</v>
      </c>
    </row>
    <row r="838" spans="1:16" ht="18.75" hidden="1">
      <c r="A838" s="50" t="s">
        <v>3703</v>
      </c>
      <c r="B838" s="50" t="s">
        <v>3719</v>
      </c>
      <c r="C838" s="50" t="s">
        <v>3752</v>
      </c>
      <c r="D838" s="50" t="s">
        <v>3662</v>
      </c>
      <c r="E838" s="12" t="s">
        <v>3420</v>
      </c>
      <c r="F838" s="49">
        <v>999695</v>
      </c>
      <c r="G838" s="67" t="s">
        <v>5655</v>
      </c>
      <c r="H838" s="14" t="s">
        <v>5601</v>
      </c>
      <c r="I838" s="14" t="s">
        <v>2458</v>
      </c>
      <c r="J838" s="33" t="s">
        <v>7110</v>
      </c>
      <c r="K838" s="33" t="s">
        <v>3768</v>
      </c>
      <c r="L838" s="68">
        <v>0</v>
      </c>
      <c r="M838" s="68" t="s">
        <v>8915</v>
      </c>
      <c r="N838" s="68">
        <v>0</v>
      </c>
      <c r="O838" s="68">
        <v>0</v>
      </c>
      <c r="P838" s="198" t="s">
        <v>5656</v>
      </c>
    </row>
    <row r="839" spans="1:16" ht="18.75" hidden="1">
      <c r="A839" s="50" t="s">
        <v>3704</v>
      </c>
      <c r="B839" s="50" t="s">
        <v>3721</v>
      </c>
      <c r="C839" s="50" t="s">
        <v>3755</v>
      </c>
      <c r="D839" s="50" t="s">
        <v>3661</v>
      </c>
      <c r="E839" s="12" t="s">
        <v>3420</v>
      </c>
      <c r="F839" s="49">
        <v>260</v>
      </c>
      <c r="G839" s="67" t="s">
        <v>5631</v>
      </c>
      <c r="H839" s="14" t="s">
        <v>5601</v>
      </c>
      <c r="I839" s="14" t="s">
        <v>2458</v>
      </c>
      <c r="J839" s="33" t="s">
        <v>7110</v>
      </c>
      <c r="K839" s="33" t="s">
        <v>3768</v>
      </c>
      <c r="L839" s="68">
        <v>0</v>
      </c>
      <c r="M839" s="68" t="s">
        <v>8915</v>
      </c>
      <c r="N839" s="68">
        <v>0</v>
      </c>
      <c r="O839" s="68">
        <v>0</v>
      </c>
      <c r="P839" s="197" t="s">
        <v>5651</v>
      </c>
    </row>
    <row r="840" spans="1:16" ht="18.75" hidden="1">
      <c r="A840" s="50" t="s">
        <v>3704</v>
      </c>
      <c r="B840" s="50" t="s">
        <v>3721</v>
      </c>
      <c r="C840" s="50" t="s">
        <v>3756</v>
      </c>
      <c r="D840" s="50" t="s">
        <v>3665</v>
      </c>
      <c r="E840" s="12" t="s">
        <v>3420</v>
      </c>
      <c r="F840" s="49">
        <v>1000000</v>
      </c>
      <c r="G840" s="67" t="s">
        <v>5631</v>
      </c>
      <c r="H840" s="14" t="s">
        <v>5601</v>
      </c>
      <c r="I840" s="14" t="s">
        <v>2458</v>
      </c>
      <c r="J840" s="33" t="s">
        <v>7110</v>
      </c>
      <c r="K840" s="33" t="s">
        <v>3768</v>
      </c>
      <c r="L840" s="68">
        <v>0</v>
      </c>
      <c r="M840" s="68" t="s">
        <v>8915</v>
      </c>
      <c r="N840" s="68">
        <v>0</v>
      </c>
      <c r="O840" s="68">
        <v>0</v>
      </c>
      <c r="P840" s="197" t="s">
        <v>5651</v>
      </c>
    </row>
    <row r="841" spans="1:16" ht="18.75" hidden="1">
      <c r="A841" s="50" t="s">
        <v>3705</v>
      </c>
      <c r="B841" s="50" t="s">
        <v>3719</v>
      </c>
      <c r="C841" s="50" t="s">
        <v>3755</v>
      </c>
      <c r="D841" s="50" t="s">
        <v>3661</v>
      </c>
      <c r="E841" s="12" t="s">
        <v>3420</v>
      </c>
      <c r="F841" s="49">
        <v>103780</v>
      </c>
      <c r="G841" s="67" t="s">
        <v>5631</v>
      </c>
      <c r="H841" s="14" t="s">
        <v>5601</v>
      </c>
      <c r="I841" s="14" t="s">
        <v>2458</v>
      </c>
      <c r="J841" s="33" t="s">
        <v>7110</v>
      </c>
      <c r="K841" s="33" t="s">
        <v>3768</v>
      </c>
      <c r="L841" s="68">
        <v>0</v>
      </c>
      <c r="M841" s="68" t="s">
        <v>8915</v>
      </c>
      <c r="N841" s="68">
        <v>0</v>
      </c>
      <c r="O841" s="68">
        <v>0</v>
      </c>
      <c r="P841" s="197" t="s">
        <v>5651</v>
      </c>
    </row>
    <row r="842" spans="1:16" ht="18.75" hidden="1">
      <c r="A842" s="50" t="s">
        <v>3706</v>
      </c>
      <c r="B842" s="50" t="s">
        <v>3719</v>
      </c>
      <c r="C842" s="50" t="s">
        <v>3757</v>
      </c>
      <c r="D842" s="50" t="s">
        <v>3714</v>
      </c>
      <c r="E842" s="12" t="s">
        <v>3420</v>
      </c>
      <c r="F842" s="49">
        <v>120000</v>
      </c>
      <c r="G842" s="67" t="s">
        <v>5616</v>
      </c>
      <c r="H842" s="14" t="s">
        <v>5601</v>
      </c>
      <c r="I842" s="14" t="s">
        <v>2458</v>
      </c>
      <c r="J842" s="33" t="s">
        <v>7110</v>
      </c>
      <c r="K842" s="33" t="s">
        <v>3768</v>
      </c>
      <c r="L842" s="68">
        <v>0</v>
      </c>
      <c r="M842" s="68" t="s">
        <v>8915</v>
      </c>
      <c r="N842" s="68">
        <v>0</v>
      </c>
      <c r="O842" s="68">
        <v>0</v>
      </c>
      <c r="P842" s="198" t="s">
        <v>5641</v>
      </c>
    </row>
    <row r="843" spans="1:16" ht="18.75" hidden="1">
      <c r="A843" s="50" t="s">
        <v>3706</v>
      </c>
      <c r="B843" s="50" t="s">
        <v>3719</v>
      </c>
      <c r="C843" s="50" t="s">
        <v>3758</v>
      </c>
      <c r="D843" s="50" t="s">
        <v>3716</v>
      </c>
      <c r="E843" s="12" t="s">
        <v>3420</v>
      </c>
      <c r="F843" s="49">
        <v>356</v>
      </c>
      <c r="G843" s="67" t="s">
        <v>5616</v>
      </c>
      <c r="H843" s="14" t="s">
        <v>5601</v>
      </c>
      <c r="I843" s="14" t="s">
        <v>2458</v>
      </c>
      <c r="J843" s="33" t="s">
        <v>7110</v>
      </c>
      <c r="K843" s="33" t="s">
        <v>3768</v>
      </c>
      <c r="L843" s="68">
        <v>0</v>
      </c>
      <c r="M843" s="68" t="s">
        <v>8915</v>
      </c>
      <c r="N843" s="68">
        <v>0</v>
      </c>
      <c r="O843" s="68">
        <v>0</v>
      </c>
      <c r="P843" s="198" t="s">
        <v>5661</v>
      </c>
    </row>
    <row r="844" spans="1:16" ht="18.75" hidden="1">
      <c r="A844" s="50" t="s">
        <v>3707</v>
      </c>
      <c r="B844" s="50" t="s">
        <v>3722</v>
      </c>
      <c r="C844" s="50" t="s">
        <v>3740</v>
      </c>
      <c r="D844" s="50" t="s">
        <v>3669</v>
      </c>
      <c r="E844" s="12" t="s">
        <v>3420</v>
      </c>
      <c r="F844" s="49">
        <v>260000</v>
      </c>
      <c r="G844" s="67" t="s">
        <v>5611</v>
      </c>
      <c r="H844" s="14" t="s">
        <v>5601</v>
      </c>
      <c r="I844" s="14" t="s">
        <v>2458</v>
      </c>
      <c r="J844" s="33" t="s">
        <v>7110</v>
      </c>
      <c r="K844" s="33" t="s">
        <v>3768</v>
      </c>
      <c r="L844" s="68">
        <v>0</v>
      </c>
      <c r="M844" s="68" t="s">
        <v>8915</v>
      </c>
      <c r="N844" s="68">
        <v>0</v>
      </c>
      <c r="O844" s="68">
        <v>0</v>
      </c>
      <c r="P844" s="198" t="s">
        <v>5635</v>
      </c>
    </row>
    <row r="845" spans="1:16" ht="18.75" hidden="1">
      <c r="A845" s="50" t="s">
        <v>3708</v>
      </c>
      <c r="B845" s="50" t="s">
        <v>3721</v>
      </c>
      <c r="C845" s="50" t="s">
        <v>3759</v>
      </c>
      <c r="D845" s="50" t="s">
        <v>3668</v>
      </c>
      <c r="E845" s="12" t="s">
        <v>3420</v>
      </c>
      <c r="F845" s="49">
        <v>994860</v>
      </c>
      <c r="G845" s="67" t="s">
        <v>5631</v>
      </c>
      <c r="H845" s="14" t="s">
        <v>5601</v>
      </c>
      <c r="I845" s="14" t="s">
        <v>2458</v>
      </c>
      <c r="J845" s="33" t="s">
        <v>7110</v>
      </c>
      <c r="K845" s="33" t="s">
        <v>3768</v>
      </c>
      <c r="L845" s="68">
        <v>0</v>
      </c>
      <c r="M845" s="68" t="s">
        <v>8915</v>
      </c>
      <c r="N845" s="68">
        <v>0</v>
      </c>
      <c r="O845" s="68">
        <v>0</v>
      </c>
      <c r="P845" s="197" t="s">
        <v>5651</v>
      </c>
    </row>
    <row r="846" spans="1:16" ht="18.75" hidden="1">
      <c r="A846" s="50" t="s">
        <v>3709</v>
      </c>
      <c r="B846" s="50" t="s">
        <v>3718</v>
      </c>
      <c r="C846" s="50" t="s">
        <v>3677</v>
      </c>
      <c r="D846" s="50" t="s">
        <v>3667</v>
      </c>
      <c r="E846" s="12" t="s">
        <v>3420</v>
      </c>
      <c r="F846" s="49">
        <v>183480</v>
      </c>
      <c r="G846" s="67" t="s">
        <v>5631</v>
      </c>
      <c r="H846" s="14" t="s">
        <v>5601</v>
      </c>
      <c r="I846" s="14" t="s">
        <v>2458</v>
      </c>
      <c r="J846" s="33" t="s">
        <v>7110</v>
      </c>
      <c r="K846" s="33" t="s">
        <v>3768</v>
      </c>
      <c r="L846" s="68">
        <v>0</v>
      </c>
      <c r="M846" s="68" t="s">
        <v>8915</v>
      </c>
      <c r="N846" s="68">
        <v>0</v>
      </c>
      <c r="O846" s="68">
        <v>0</v>
      </c>
      <c r="P846" s="197" t="s">
        <v>5646</v>
      </c>
    </row>
    <row r="847" spans="1:16" ht="18.75" hidden="1">
      <c r="A847" s="50" t="s">
        <v>3710</v>
      </c>
      <c r="B847" s="50" t="s">
        <v>3718</v>
      </c>
      <c r="C847" s="50" t="s">
        <v>3752</v>
      </c>
      <c r="D847" s="50" t="s">
        <v>3662</v>
      </c>
      <c r="E847" s="12" t="s">
        <v>3420</v>
      </c>
      <c r="F847" s="49">
        <v>100317</v>
      </c>
      <c r="G847" s="67" t="s">
        <v>5655</v>
      </c>
      <c r="H847" s="14" t="s">
        <v>5601</v>
      </c>
      <c r="I847" s="14" t="s">
        <v>2458</v>
      </c>
      <c r="J847" s="33" t="s">
        <v>7110</v>
      </c>
      <c r="K847" s="33" t="s">
        <v>3768</v>
      </c>
      <c r="L847" s="68">
        <v>0</v>
      </c>
      <c r="M847" s="68" t="s">
        <v>8915</v>
      </c>
      <c r="N847" s="68">
        <v>0</v>
      </c>
      <c r="O847" s="68">
        <v>0</v>
      </c>
      <c r="P847" s="198" t="s">
        <v>5656</v>
      </c>
    </row>
    <row r="848" spans="1:16" ht="18.75" hidden="1">
      <c r="A848" s="50" t="s">
        <v>3709</v>
      </c>
      <c r="B848" s="50" t="s">
        <v>3718</v>
      </c>
      <c r="C848" s="50" t="s">
        <v>3760</v>
      </c>
      <c r="D848" s="50" t="s">
        <v>3665</v>
      </c>
      <c r="E848" s="12" t="s">
        <v>3420</v>
      </c>
      <c r="F848" s="49">
        <v>500000</v>
      </c>
      <c r="G848" s="67" t="s">
        <v>5631</v>
      </c>
      <c r="H848" s="14" t="s">
        <v>5601</v>
      </c>
      <c r="I848" s="14" t="s">
        <v>2458</v>
      </c>
      <c r="J848" s="33" t="s">
        <v>7110</v>
      </c>
      <c r="K848" s="33" t="s">
        <v>3768</v>
      </c>
      <c r="L848" s="68">
        <v>0</v>
      </c>
      <c r="M848" s="68" t="s">
        <v>8915</v>
      </c>
      <c r="N848" s="68">
        <v>0</v>
      </c>
      <c r="O848" s="68">
        <v>0</v>
      </c>
      <c r="P848" s="197" t="s">
        <v>5651</v>
      </c>
    </row>
    <row r="849" spans="1:16" ht="18.75" hidden="1">
      <c r="A849" s="50" t="s">
        <v>3709</v>
      </c>
      <c r="B849" s="50" t="s">
        <v>3718</v>
      </c>
      <c r="C849" s="50" t="s">
        <v>3676</v>
      </c>
      <c r="D849" s="50" t="s">
        <v>3667</v>
      </c>
      <c r="E849" s="12" t="s">
        <v>3420</v>
      </c>
      <c r="F849" s="49">
        <v>212590</v>
      </c>
      <c r="G849" s="67" t="s">
        <v>5631</v>
      </c>
      <c r="H849" s="14" t="s">
        <v>5601</v>
      </c>
      <c r="I849" s="14" t="s">
        <v>2458</v>
      </c>
      <c r="J849" s="33" t="s">
        <v>7110</v>
      </c>
      <c r="K849" s="33" t="s">
        <v>3768</v>
      </c>
      <c r="L849" s="68">
        <v>0</v>
      </c>
      <c r="M849" s="68" t="s">
        <v>8915</v>
      </c>
      <c r="N849" s="68">
        <v>0</v>
      </c>
      <c r="O849" s="68">
        <v>0</v>
      </c>
      <c r="P849" s="197" t="s">
        <v>5646</v>
      </c>
    </row>
    <row r="850" spans="1:16" ht="18.75" hidden="1">
      <c r="A850" s="50" t="s">
        <v>3705</v>
      </c>
      <c r="B850" s="50" t="s">
        <v>3719</v>
      </c>
      <c r="C850" s="50" t="s">
        <v>3761</v>
      </c>
      <c r="D850" s="50" t="s">
        <v>3661</v>
      </c>
      <c r="E850" s="12" t="s">
        <v>3420</v>
      </c>
      <c r="F850" s="49">
        <v>395380</v>
      </c>
      <c r="G850" s="67" t="s">
        <v>5631</v>
      </c>
      <c r="H850" s="14" t="s">
        <v>5601</v>
      </c>
      <c r="I850" s="14" t="s">
        <v>2458</v>
      </c>
      <c r="J850" s="33" t="s">
        <v>7110</v>
      </c>
      <c r="K850" s="33" t="s">
        <v>3768</v>
      </c>
      <c r="L850" s="68">
        <v>0</v>
      </c>
      <c r="M850" s="68" t="s">
        <v>8915</v>
      </c>
      <c r="N850" s="68">
        <v>0</v>
      </c>
      <c r="O850" s="68">
        <v>0</v>
      </c>
      <c r="P850" s="197" t="s">
        <v>5651</v>
      </c>
    </row>
    <row r="851" spans="1:16" ht="18.75" hidden="1">
      <c r="A851" s="50" t="s">
        <v>3709</v>
      </c>
      <c r="B851" s="50" t="s">
        <v>3718</v>
      </c>
      <c r="C851" s="50" t="s">
        <v>3761</v>
      </c>
      <c r="D851" s="50" t="s">
        <v>3661</v>
      </c>
      <c r="E851" s="12" t="s">
        <v>3420</v>
      </c>
      <c r="F851" s="49">
        <v>104620</v>
      </c>
      <c r="G851" s="67" t="s">
        <v>5631</v>
      </c>
      <c r="H851" s="14" t="s">
        <v>5601</v>
      </c>
      <c r="I851" s="14" t="s">
        <v>2458</v>
      </c>
      <c r="J851" s="33" t="s">
        <v>7110</v>
      </c>
      <c r="K851" s="33" t="s">
        <v>3768</v>
      </c>
      <c r="L851" s="68">
        <v>0</v>
      </c>
      <c r="M851" s="68" t="s">
        <v>8915</v>
      </c>
      <c r="N851" s="68">
        <v>0</v>
      </c>
      <c r="O851" s="68">
        <v>0</v>
      </c>
      <c r="P851" s="197" t="s">
        <v>5651</v>
      </c>
    </row>
    <row r="852" spans="1:16" ht="18.75" hidden="1">
      <c r="A852" s="50" t="s">
        <v>3711</v>
      </c>
      <c r="B852" s="50" t="s">
        <v>3723</v>
      </c>
      <c r="C852" s="50" t="s">
        <v>3762</v>
      </c>
      <c r="D852" s="50" t="s">
        <v>3720</v>
      </c>
      <c r="E852" s="12" t="s">
        <v>3420</v>
      </c>
      <c r="F852" s="49">
        <v>1963732</v>
      </c>
      <c r="G852" s="67" t="s">
        <v>5611</v>
      </c>
      <c r="H852" s="14" t="s">
        <v>5602</v>
      </c>
      <c r="I852" s="14" t="s">
        <v>2458</v>
      </c>
      <c r="J852" s="33" t="s">
        <v>7110</v>
      </c>
      <c r="K852" s="33" t="s">
        <v>3768</v>
      </c>
      <c r="L852" s="68">
        <v>0</v>
      </c>
      <c r="M852" s="68" t="s">
        <v>8915</v>
      </c>
      <c r="N852" s="68">
        <v>0</v>
      </c>
      <c r="O852" s="68">
        <v>0</v>
      </c>
      <c r="P852" s="198" t="s">
        <v>5654</v>
      </c>
    </row>
    <row r="853" spans="1:16" ht="18.75" hidden="1">
      <c r="A853" s="50" t="s">
        <v>3712</v>
      </c>
      <c r="B853" s="50" t="s">
        <v>3721</v>
      </c>
      <c r="C853" s="50" t="s">
        <v>3763</v>
      </c>
      <c r="D853" s="50" t="s">
        <v>3721</v>
      </c>
      <c r="E853" s="12" t="s">
        <v>3420</v>
      </c>
      <c r="F853" s="49">
        <v>907289</v>
      </c>
      <c r="G853" s="67" t="s">
        <v>5604</v>
      </c>
      <c r="H853" s="14" t="s">
        <v>5601</v>
      </c>
      <c r="I853" s="14" t="s">
        <v>2458</v>
      </c>
      <c r="J853" s="33" t="s">
        <v>7110</v>
      </c>
      <c r="K853" s="33" t="s">
        <v>3768</v>
      </c>
      <c r="L853" s="68">
        <v>0</v>
      </c>
      <c r="M853" s="68" t="s">
        <v>8915</v>
      </c>
      <c r="N853" s="68">
        <v>0</v>
      </c>
      <c r="O853" s="68">
        <v>0</v>
      </c>
      <c r="P853" s="198" t="s">
        <v>5626</v>
      </c>
    </row>
    <row r="854" spans="1:16" ht="18.75" hidden="1">
      <c r="A854" s="50" t="s">
        <v>3713</v>
      </c>
      <c r="B854" s="50" t="s">
        <v>3721</v>
      </c>
      <c r="C854" s="50" t="s">
        <v>3764</v>
      </c>
      <c r="D854" s="50" t="s">
        <v>3242</v>
      </c>
      <c r="E854" s="12" t="s">
        <v>3420</v>
      </c>
      <c r="F854" s="49">
        <v>1000000</v>
      </c>
      <c r="G854" s="67" t="s">
        <v>5609</v>
      </c>
      <c r="H854" s="14" t="s">
        <v>5601</v>
      </c>
      <c r="I854" s="14" t="s">
        <v>2458</v>
      </c>
      <c r="J854" s="33" t="s">
        <v>7110</v>
      </c>
      <c r="K854" s="33" t="s">
        <v>3768</v>
      </c>
      <c r="L854" s="68">
        <v>0</v>
      </c>
      <c r="M854" s="68" t="s">
        <v>8915</v>
      </c>
      <c r="N854" s="68">
        <v>0</v>
      </c>
      <c r="O854" s="68">
        <v>0</v>
      </c>
      <c r="P854" s="198" t="s">
        <v>5614</v>
      </c>
    </row>
    <row r="855" spans="1:16" ht="18.75" hidden="1">
      <c r="A855" s="50" t="s">
        <v>3713</v>
      </c>
      <c r="B855" s="50" t="s">
        <v>3721</v>
      </c>
      <c r="C855" s="50" t="s">
        <v>3560</v>
      </c>
      <c r="D855" s="50" t="s">
        <v>3242</v>
      </c>
      <c r="E855" s="12" t="s">
        <v>3420</v>
      </c>
      <c r="F855" s="49">
        <v>450000</v>
      </c>
      <c r="G855" s="67" t="s">
        <v>5609</v>
      </c>
      <c r="H855" s="14" t="s">
        <v>5601</v>
      </c>
      <c r="I855" s="14" t="s">
        <v>2458</v>
      </c>
      <c r="J855" s="33" t="s">
        <v>7110</v>
      </c>
      <c r="K855" s="33" t="s">
        <v>3768</v>
      </c>
      <c r="L855" s="68">
        <v>0</v>
      </c>
      <c r="M855" s="68" t="s">
        <v>8915</v>
      </c>
      <c r="N855" s="68">
        <v>0</v>
      </c>
      <c r="O855" s="68">
        <v>0</v>
      </c>
      <c r="P855" s="198" t="s">
        <v>5614</v>
      </c>
    </row>
    <row r="856" spans="1:16" ht="18.75" hidden="1">
      <c r="A856" s="50" t="s">
        <v>3713</v>
      </c>
      <c r="B856" s="50" t="s">
        <v>3721</v>
      </c>
      <c r="C856" s="50" t="s">
        <v>3765</v>
      </c>
      <c r="D856" s="50" t="s">
        <v>3578</v>
      </c>
      <c r="E856" s="12" t="s">
        <v>3420</v>
      </c>
      <c r="F856" s="49">
        <v>20640</v>
      </c>
      <c r="G856" s="67" t="s">
        <v>5611</v>
      </c>
      <c r="H856" s="14" t="s">
        <v>5601</v>
      </c>
      <c r="I856" s="14" t="s">
        <v>2458</v>
      </c>
      <c r="J856" s="33" t="s">
        <v>7110</v>
      </c>
      <c r="K856" s="33" t="s">
        <v>3768</v>
      </c>
      <c r="L856" s="68">
        <v>0</v>
      </c>
      <c r="M856" s="68" t="s">
        <v>8915</v>
      </c>
      <c r="N856" s="68">
        <v>0</v>
      </c>
      <c r="O856" s="68">
        <v>0</v>
      </c>
      <c r="P856" s="198" t="s">
        <v>5630</v>
      </c>
    </row>
    <row r="857" spans="1:16" ht="18.75" hidden="1">
      <c r="A857" s="50" t="s">
        <v>3713</v>
      </c>
      <c r="B857" s="50" t="s">
        <v>3721</v>
      </c>
      <c r="C857" s="50" t="s">
        <v>3750</v>
      </c>
      <c r="D857" s="50" t="s">
        <v>3578</v>
      </c>
      <c r="E857" s="12" t="s">
        <v>3420</v>
      </c>
      <c r="F857" s="49">
        <v>3667</v>
      </c>
      <c r="G857" s="67" t="s">
        <v>5611</v>
      </c>
      <c r="H857" s="14" t="s">
        <v>5601</v>
      </c>
      <c r="I857" s="14" t="s">
        <v>2458</v>
      </c>
      <c r="J857" s="33" t="s">
        <v>7110</v>
      </c>
      <c r="K857" s="33" t="s">
        <v>3768</v>
      </c>
      <c r="L857" s="68">
        <v>0</v>
      </c>
      <c r="M857" s="68" t="s">
        <v>8915</v>
      </c>
      <c r="N857" s="68">
        <v>0</v>
      </c>
      <c r="O857" s="68">
        <v>0</v>
      </c>
      <c r="P857" s="198" t="s">
        <v>5630</v>
      </c>
    </row>
    <row r="858" spans="1:16" ht="18.75" hidden="1">
      <c r="A858" s="50" t="s">
        <v>3713</v>
      </c>
      <c r="B858" s="50" t="s">
        <v>3721</v>
      </c>
      <c r="C858" s="50" t="s">
        <v>3766</v>
      </c>
      <c r="D858" s="50" t="s">
        <v>3452</v>
      </c>
      <c r="E858" s="12" t="s">
        <v>3420</v>
      </c>
      <c r="F858" s="49">
        <v>20593</v>
      </c>
      <c r="G858" s="67" t="s">
        <v>5611</v>
      </c>
      <c r="H858" s="14" t="s">
        <v>5601</v>
      </c>
      <c r="I858" s="14" t="s">
        <v>2458</v>
      </c>
      <c r="J858" s="33" t="s">
        <v>7110</v>
      </c>
      <c r="K858" s="33" t="s">
        <v>3768</v>
      </c>
      <c r="L858" s="68">
        <v>0</v>
      </c>
      <c r="M858" s="68" t="s">
        <v>8915</v>
      </c>
      <c r="N858" s="68">
        <v>0</v>
      </c>
      <c r="O858" s="68">
        <v>0</v>
      </c>
      <c r="P858" s="198" t="s">
        <v>5629</v>
      </c>
    </row>
    <row r="859" spans="1:16" ht="18.75" hidden="1">
      <c r="A859" s="50" t="s">
        <v>3769</v>
      </c>
      <c r="B859" s="50" t="s">
        <v>3717</v>
      </c>
      <c r="C859" s="50" t="s">
        <v>3835</v>
      </c>
      <c r="D859" s="50" t="s">
        <v>3664</v>
      </c>
      <c r="E859" s="12" t="s">
        <v>3420</v>
      </c>
      <c r="F859" s="49">
        <v>73620</v>
      </c>
      <c r="G859" s="67" t="s">
        <v>5652</v>
      </c>
      <c r="H859" s="14" t="s">
        <v>5601</v>
      </c>
      <c r="I859" s="14" t="s">
        <v>2458</v>
      </c>
      <c r="J859" s="33" t="s">
        <v>7110</v>
      </c>
      <c r="K859" s="33" t="s">
        <v>3854</v>
      </c>
      <c r="L859" s="68">
        <v>0</v>
      </c>
      <c r="M859" s="68" t="s">
        <v>8915</v>
      </c>
      <c r="N859" s="68">
        <v>0</v>
      </c>
      <c r="O859" s="68">
        <v>0</v>
      </c>
      <c r="P859" s="198" t="s">
        <v>5653</v>
      </c>
    </row>
    <row r="860" spans="1:16" ht="18.75" hidden="1">
      <c r="A860" s="50" t="s">
        <v>3770</v>
      </c>
      <c r="B860" s="50" t="s">
        <v>3718</v>
      </c>
      <c r="C860" s="50" t="s">
        <v>3835</v>
      </c>
      <c r="D860" s="50" t="s">
        <v>3664</v>
      </c>
      <c r="E860" s="12" t="s">
        <v>3420</v>
      </c>
      <c r="F860" s="49">
        <v>48020</v>
      </c>
      <c r="G860" s="67" t="s">
        <v>5652</v>
      </c>
      <c r="H860" s="14" t="s">
        <v>5601</v>
      </c>
      <c r="I860" s="14" t="s">
        <v>2458</v>
      </c>
      <c r="J860" s="33" t="s">
        <v>7110</v>
      </c>
      <c r="K860" s="33" t="s">
        <v>3854</v>
      </c>
      <c r="L860" s="68">
        <v>0</v>
      </c>
      <c r="M860" s="68" t="s">
        <v>8915</v>
      </c>
      <c r="N860" s="68">
        <v>0</v>
      </c>
      <c r="O860" s="68">
        <v>0</v>
      </c>
      <c r="P860" s="198" t="s">
        <v>5653</v>
      </c>
    </row>
    <row r="861" spans="1:16" ht="18.75" hidden="1">
      <c r="A861" s="50" t="s">
        <v>3771</v>
      </c>
      <c r="B861" s="50" t="s">
        <v>3722</v>
      </c>
      <c r="C861" s="50" t="s">
        <v>3643</v>
      </c>
      <c r="D861" s="50" t="s">
        <v>3666</v>
      </c>
      <c r="E861" s="12" t="s">
        <v>3420</v>
      </c>
      <c r="F861" s="49">
        <v>141127</v>
      </c>
      <c r="G861" s="67" t="s">
        <v>5633</v>
      </c>
      <c r="H861" s="14" t="s">
        <v>5601</v>
      </c>
      <c r="I861" s="14" t="s">
        <v>2458</v>
      </c>
      <c r="J861" s="33" t="s">
        <v>7110</v>
      </c>
      <c r="K861" s="33" t="s">
        <v>3854</v>
      </c>
      <c r="L861" s="68">
        <v>0</v>
      </c>
      <c r="M861" s="68" t="s">
        <v>8915</v>
      </c>
      <c r="N861" s="68">
        <v>0</v>
      </c>
      <c r="O861" s="68">
        <v>0</v>
      </c>
      <c r="P861" s="198" t="s">
        <v>5650</v>
      </c>
    </row>
    <row r="862" spans="1:16" ht="18.75" hidden="1">
      <c r="A862" s="50" t="s">
        <v>3772</v>
      </c>
      <c r="B862" s="50" t="s">
        <v>3820</v>
      </c>
      <c r="C862" s="50" t="s">
        <v>3836</v>
      </c>
      <c r="D862" s="50" t="s">
        <v>3831</v>
      </c>
      <c r="E862" s="12" t="s">
        <v>3420</v>
      </c>
      <c r="F862" s="49">
        <v>115976</v>
      </c>
      <c r="G862" s="67" t="s">
        <v>5633</v>
      </c>
      <c r="H862" s="14" t="s">
        <v>5601</v>
      </c>
      <c r="I862" s="14" t="s">
        <v>2458</v>
      </c>
      <c r="J862" s="33" t="s">
        <v>7110</v>
      </c>
      <c r="K862" s="33" t="s">
        <v>3854</v>
      </c>
      <c r="L862" s="68">
        <v>0</v>
      </c>
      <c r="M862" s="68" t="s">
        <v>8915</v>
      </c>
      <c r="N862" s="68">
        <v>0</v>
      </c>
      <c r="O862" s="68">
        <v>0</v>
      </c>
      <c r="P862" s="198" t="s">
        <v>5677</v>
      </c>
    </row>
    <row r="863" spans="1:16" ht="18.75" hidden="1">
      <c r="A863" s="50" t="s">
        <v>3773</v>
      </c>
      <c r="B863" s="50" t="s">
        <v>3768</v>
      </c>
      <c r="C863" s="50" t="s">
        <v>3836</v>
      </c>
      <c r="D863" s="50" t="s">
        <v>3831</v>
      </c>
      <c r="E863" s="12" t="s">
        <v>3420</v>
      </c>
      <c r="F863" s="49">
        <v>70567</v>
      </c>
      <c r="G863" s="67" t="s">
        <v>5633</v>
      </c>
      <c r="H863" s="14" t="s">
        <v>5601</v>
      </c>
      <c r="I863" s="14" t="s">
        <v>2458</v>
      </c>
      <c r="J863" s="33" t="s">
        <v>7110</v>
      </c>
      <c r="K863" s="33" t="s">
        <v>3854</v>
      </c>
      <c r="L863" s="68">
        <v>0</v>
      </c>
      <c r="M863" s="68" t="s">
        <v>8915</v>
      </c>
      <c r="N863" s="68">
        <v>0</v>
      </c>
      <c r="O863" s="68">
        <v>0</v>
      </c>
      <c r="P863" s="198" t="s">
        <v>5677</v>
      </c>
    </row>
    <row r="864" spans="1:16" ht="18.75" hidden="1">
      <c r="A864" s="50" t="s">
        <v>3774</v>
      </c>
      <c r="B864" s="50" t="s">
        <v>3821</v>
      </c>
      <c r="C864" s="50" t="s">
        <v>3837</v>
      </c>
      <c r="D864" s="50" t="s">
        <v>3828</v>
      </c>
      <c r="E864" s="12" t="s">
        <v>3420</v>
      </c>
      <c r="F864" s="49">
        <v>186340</v>
      </c>
      <c r="G864" s="67" t="s">
        <v>5631</v>
      </c>
      <c r="H864" s="14" t="s">
        <v>5601</v>
      </c>
      <c r="I864" s="14" t="s">
        <v>2458</v>
      </c>
      <c r="J864" s="33" t="s">
        <v>7110</v>
      </c>
      <c r="K864" s="33" t="s">
        <v>3854</v>
      </c>
      <c r="L864" s="68">
        <v>0</v>
      </c>
      <c r="M864" s="68" t="s">
        <v>8915</v>
      </c>
      <c r="N864" s="68">
        <v>0</v>
      </c>
      <c r="O864" s="68">
        <v>0</v>
      </c>
      <c r="P864" s="197" t="s">
        <v>5668</v>
      </c>
    </row>
    <row r="865" spans="1:16" ht="18.75" hidden="1">
      <c r="A865" s="50" t="s">
        <v>3775</v>
      </c>
      <c r="B865" s="50" t="s">
        <v>3822</v>
      </c>
      <c r="C865" s="50" t="s">
        <v>3838</v>
      </c>
      <c r="D865" s="50" t="s">
        <v>3830</v>
      </c>
      <c r="E865" s="12" t="s">
        <v>3420</v>
      </c>
      <c r="F865" s="49">
        <v>92420</v>
      </c>
      <c r="G865" s="67" t="s">
        <v>5647</v>
      </c>
      <c r="H865" s="14" t="s">
        <v>5601</v>
      </c>
      <c r="I865" s="14" t="s">
        <v>2458</v>
      </c>
      <c r="J865" s="33" t="s">
        <v>7110</v>
      </c>
      <c r="K865" s="33" t="s">
        <v>3854</v>
      </c>
      <c r="L865" s="68">
        <v>0</v>
      </c>
      <c r="M865" s="68" t="s">
        <v>8915</v>
      </c>
      <c r="N865" s="68">
        <v>0</v>
      </c>
      <c r="O865" s="68">
        <v>0</v>
      </c>
      <c r="P865" s="198" t="s">
        <v>5673</v>
      </c>
    </row>
    <row r="866" spans="1:16" ht="18.75" hidden="1">
      <c r="A866" s="50" t="s">
        <v>3776</v>
      </c>
      <c r="B866" s="50" t="s">
        <v>3823</v>
      </c>
      <c r="C866" s="50" t="s">
        <v>3838</v>
      </c>
      <c r="D866" s="50" t="s">
        <v>3830</v>
      </c>
      <c r="E866" s="12" t="s">
        <v>3420</v>
      </c>
      <c r="F866" s="49">
        <v>21460</v>
      </c>
      <c r="G866" s="67" t="s">
        <v>5647</v>
      </c>
      <c r="H866" s="14" t="s">
        <v>5601</v>
      </c>
      <c r="I866" s="14" t="s">
        <v>2458</v>
      </c>
      <c r="J866" s="33" t="s">
        <v>7110</v>
      </c>
      <c r="K866" s="33" t="s">
        <v>3854</v>
      </c>
      <c r="L866" s="68">
        <v>0</v>
      </c>
      <c r="M866" s="68" t="s">
        <v>8915</v>
      </c>
      <c r="N866" s="68">
        <v>0</v>
      </c>
      <c r="O866" s="68">
        <v>0</v>
      </c>
      <c r="P866" s="198" t="s">
        <v>5673</v>
      </c>
    </row>
    <row r="867" spans="1:16" ht="18.75" hidden="1">
      <c r="A867" s="50" t="s">
        <v>3777</v>
      </c>
      <c r="B867" s="50" t="s">
        <v>3824</v>
      </c>
      <c r="C867" s="50" t="s">
        <v>3836</v>
      </c>
      <c r="D867" s="50" t="s">
        <v>3831</v>
      </c>
      <c r="E867" s="12" t="s">
        <v>3420</v>
      </c>
      <c r="F867" s="49">
        <v>90963</v>
      </c>
      <c r="G867" s="67" t="s">
        <v>5633</v>
      </c>
      <c r="H867" s="14" t="s">
        <v>5601</v>
      </c>
      <c r="I867" s="14" t="s">
        <v>2458</v>
      </c>
      <c r="J867" s="33" t="s">
        <v>7110</v>
      </c>
      <c r="K867" s="33" t="s">
        <v>3854</v>
      </c>
      <c r="L867" s="68">
        <v>0</v>
      </c>
      <c r="M867" s="68" t="s">
        <v>8915</v>
      </c>
      <c r="N867" s="68">
        <v>0</v>
      </c>
      <c r="O867" s="68">
        <v>0</v>
      </c>
      <c r="P867" s="198" t="s">
        <v>5677</v>
      </c>
    </row>
    <row r="868" spans="1:16" ht="18.75" hidden="1">
      <c r="A868" s="50" t="s">
        <v>3778</v>
      </c>
      <c r="B868" s="50" t="s">
        <v>3825</v>
      </c>
      <c r="C868" s="50" t="s">
        <v>3838</v>
      </c>
      <c r="D868" s="50" t="s">
        <v>3830</v>
      </c>
      <c r="E868" s="12" t="s">
        <v>3420</v>
      </c>
      <c r="F868" s="49">
        <v>46260</v>
      </c>
      <c r="G868" s="67" t="s">
        <v>5647</v>
      </c>
      <c r="H868" s="14" t="s">
        <v>5601</v>
      </c>
      <c r="I868" s="14" t="s">
        <v>2458</v>
      </c>
      <c r="J868" s="33" t="s">
        <v>7110</v>
      </c>
      <c r="K868" s="33" t="s">
        <v>3854</v>
      </c>
      <c r="L868" s="68">
        <v>0</v>
      </c>
      <c r="M868" s="68" t="s">
        <v>8915</v>
      </c>
      <c r="N868" s="68">
        <v>0</v>
      </c>
      <c r="O868" s="68">
        <v>0</v>
      </c>
      <c r="P868" s="198" t="s">
        <v>5673</v>
      </c>
    </row>
    <row r="869" spans="1:16" ht="18.75" hidden="1">
      <c r="A869" s="50" t="s">
        <v>3778</v>
      </c>
      <c r="B869" s="50" t="s">
        <v>3825</v>
      </c>
      <c r="C869" s="50" t="s">
        <v>3839</v>
      </c>
      <c r="D869" s="50" t="s">
        <v>3822</v>
      </c>
      <c r="E869" s="12" t="s">
        <v>3420</v>
      </c>
      <c r="F869" s="49">
        <v>161280</v>
      </c>
      <c r="G869" s="67" t="s">
        <v>5611</v>
      </c>
      <c r="H869" s="14" t="s">
        <v>5601</v>
      </c>
      <c r="I869" s="14" t="s">
        <v>2458</v>
      </c>
      <c r="J869" s="33" t="s">
        <v>7110</v>
      </c>
      <c r="K869" s="33" t="s">
        <v>3854</v>
      </c>
      <c r="L869" s="68">
        <v>0</v>
      </c>
      <c r="M869" s="68" t="s">
        <v>8915</v>
      </c>
      <c r="N869" s="68">
        <v>0</v>
      </c>
      <c r="O869" s="68">
        <v>0</v>
      </c>
      <c r="P869" s="198" t="s">
        <v>5675</v>
      </c>
    </row>
    <row r="870" spans="1:16" ht="18.75" hidden="1">
      <c r="A870" s="50" t="s">
        <v>3779</v>
      </c>
      <c r="B870" s="50" t="s">
        <v>3768</v>
      </c>
      <c r="C870" s="50" t="s">
        <v>3840</v>
      </c>
      <c r="D870" s="50" t="s">
        <v>3661</v>
      </c>
      <c r="E870" s="12" t="s">
        <v>3420</v>
      </c>
      <c r="F870" s="49">
        <v>5228</v>
      </c>
      <c r="G870" s="67" t="s">
        <v>5611</v>
      </c>
      <c r="H870" s="14" t="s">
        <v>5601</v>
      </c>
      <c r="I870" s="14" t="s">
        <v>2458</v>
      </c>
      <c r="J870" s="33" t="s">
        <v>7110</v>
      </c>
      <c r="K870" s="33" t="s">
        <v>3854</v>
      </c>
      <c r="L870" s="68">
        <v>0</v>
      </c>
      <c r="M870" s="68" t="s">
        <v>8915</v>
      </c>
      <c r="N870" s="68">
        <v>0</v>
      </c>
      <c r="O870" s="68">
        <v>0</v>
      </c>
      <c r="P870" s="198" t="s">
        <v>5654</v>
      </c>
    </row>
    <row r="871" spans="1:16" ht="18.75" hidden="1">
      <c r="A871" s="50" t="s">
        <v>3779</v>
      </c>
      <c r="B871" s="50" t="s">
        <v>3768</v>
      </c>
      <c r="C871" s="50" t="s">
        <v>3841</v>
      </c>
      <c r="D871" s="50" t="s">
        <v>3721</v>
      </c>
      <c r="E871" s="12" t="s">
        <v>3420</v>
      </c>
      <c r="F871" s="49">
        <v>89662</v>
      </c>
      <c r="G871" s="67" t="s">
        <v>5611</v>
      </c>
      <c r="H871" s="14" t="s">
        <v>5601</v>
      </c>
      <c r="I871" s="14" t="s">
        <v>2458</v>
      </c>
      <c r="J871" s="33" t="s">
        <v>7110</v>
      </c>
      <c r="K871" s="33" t="s">
        <v>3854</v>
      </c>
      <c r="L871" s="68">
        <v>0</v>
      </c>
      <c r="M871" s="68" t="s">
        <v>8915</v>
      </c>
      <c r="N871" s="68">
        <v>0</v>
      </c>
      <c r="O871" s="68">
        <v>0</v>
      </c>
      <c r="P871" s="198" t="s">
        <v>5658</v>
      </c>
    </row>
    <row r="872" spans="1:16" ht="18.75" hidden="1">
      <c r="A872" s="50" t="s">
        <v>3776</v>
      </c>
      <c r="B872" s="50" t="s">
        <v>3823</v>
      </c>
      <c r="C872" s="50" t="s">
        <v>3842</v>
      </c>
      <c r="D872" s="50" t="s">
        <v>3768</v>
      </c>
      <c r="E872" s="12" t="s">
        <v>3420</v>
      </c>
      <c r="F872" s="49">
        <v>72620</v>
      </c>
      <c r="G872" s="67" t="s">
        <v>5611</v>
      </c>
      <c r="H872" s="14" t="s">
        <v>5601</v>
      </c>
      <c r="I872" s="14" t="s">
        <v>2458</v>
      </c>
      <c r="J872" s="33" t="s">
        <v>7110</v>
      </c>
      <c r="K872" s="33" t="s">
        <v>3854</v>
      </c>
      <c r="L872" s="68">
        <v>0</v>
      </c>
      <c r="M872" s="68" t="s">
        <v>8915</v>
      </c>
      <c r="N872" s="68">
        <v>0</v>
      </c>
      <c r="O872" s="68">
        <v>0</v>
      </c>
      <c r="P872" s="198" t="s">
        <v>5675</v>
      </c>
    </row>
    <row r="873" spans="1:16" ht="18.75" hidden="1">
      <c r="A873" s="50" t="s">
        <v>3780</v>
      </c>
      <c r="B873" s="50" t="s">
        <v>3768</v>
      </c>
      <c r="C873" s="50" t="s">
        <v>3839</v>
      </c>
      <c r="D873" s="50" t="s">
        <v>3822</v>
      </c>
      <c r="E873" s="12" t="s">
        <v>3420</v>
      </c>
      <c r="F873" s="49">
        <v>70520</v>
      </c>
      <c r="G873" s="67" t="s">
        <v>5611</v>
      </c>
      <c r="H873" s="14" t="s">
        <v>5601</v>
      </c>
      <c r="I873" s="14" t="s">
        <v>2458</v>
      </c>
      <c r="J873" s="33" t="s">
        <v>7110</v>
      </c>
      <c r="K873" s="33" t="s">
        <v>3854</v>
      </c>
      <c r="L873" s="68">
        <v>0</v>
      </c>
      <c r="M873" s="68" t="s">
        <v>8915</v>
      </c>
      <c r="N873" s="68">
        <v>0</v>
      </c>
      <c r="O873" s="68">
        <v>0</v>
      </c>
      <c r="P873" s="198" t="s">
        <v>5675</v>
      </c>
    </row>
    <row r="874" spans="1:16" ht="18.75" hidden="1">
      <c r="A874" s="50" t="s">
        <v>3780</v>
      </c>
      <c r="B874" s="50" t="s">
        <v>3768</v>
      </c>
      <c r="C874" s="50" t="s">
        <v>3837</v>
      </c>
      <c r="D874" s="50" t="s">
        <v>3828</v>
      </c>
      <c r="E874" s="12" t="s">
        <v>3420</v>
      </c>
      <c r="F874" s="49">
        <v>45440</v>
      </c>
      <c r="G874" s="67" t="s">
        <v>5631</v>
      </c>
      <c r="H874" s="14" t="s">
        <v>5601</v>
      </c>
      <c r="I874" s="14" t="s">
        <v>2458</v>
      </c>
      <c r="J874" s="33" t="s">
        <v>7110</v>
      </c>
      <c r="K874" s="33" t="s">
        <v>3854</v>
      </c>
      <c r="L874" s="68">
        <v>0</v>
      </c>
      <c r="M874" s="68" t="s">
        <v>8915</v>
      </c>
      <c r="N874" s="68">
        <v>0</v>
      </c>
      <c r="O874" s="68">
        <v>0</v>
      </c>
      <c r="P874" s="197" t="s">
        <v>5668</v>
      </c>
    </row>
    <row r="875" spans="1:16" ht="18.75" hidden="1">
      <c r="A875" s="50" t="s">
        <v>3781</v>
      </c>
      <c r="B875" s="50" t="s">
        <v>3824</v>
      </c>
      <c r="C875" s="50" t="s">
        <v>3843</v>
      </c>
      <c r="D875" s="50" t="s">
        <v>3723</v>
      </c>
      <c r="E875" s="12" t="s">
        <v>3420</v>
      </c>
      <c r="F875" s="49">
        <v>114300</v>
      </c>
      <c r="G875" s="67" t="s">
        <v>5611</v>
      </c>
      <c r="H875" s="14" t="s">
        <v>5601</v>
      </c>
      <c r="I875" s="14" t="s">
        <v>2458</v>
      </c>
      <c r="J875" s="33" t="s">
        <v>7110</v>
      </c>
      <c r="K875" s="33" t="s">
        <v>3854</v>
      </c>
      <c r="L875" s="68">
        <v>0</v>
      </c>
      <c r="M875" s="68" t="s">
        <v>8915</v>
      </c>
      <c r="N875" s="68">
        <v>0</v>
      </c>
      <c r="O875" s="68">
        <v>0</v>
      </c>
      <c r="P875" s="198" t="s">
        <v>5659</v>
      </c>
    </row>
    <row r="876" spans="1:16" ht="18.75" hidden="1">
      <c r="A876" s="50" t="s">
        <v>3782</v>
      </c>
      <c r="B876" s="50" t="s">
        <v>3826</v>
      </c>
      <c r="C876" s="50" t="s">
        <v>3836</v>
      </c>
      <c r="D876" s="50" t="s">
        <v>3831</v>
      </c>
      <c r="E876" s="12" t="s">
        <v>3420</v>
      </c>
      <c r="F876" s="49">
        <v>23960</v>
      </c>
      <c r="G876" s="67" t="s">
        <v>5633</v>
      </c>
      <c r="H876" s="14" t="s">
        <v>5601</v>
      </c>
      <c r="I876" s="14" t="s">
        <v>2458</v>
      </c>
      <c r="J876" s="33" t="s">
        <v>7110</v>
      </c>
      <c r="K876" s="33" t="s">
        <v>3854</v>
      </c>
      <c r="L876" s="68">
        <v>0</v>
      </c>
      <c r="M876" s="68" t="s">
        <v>8915</v>
      </c>
      <c r="N876" s="68">
        <v>0</v>
      </c>
      <c r="O876" s="68">
        <v>0</v>
      </c>
      <c r="P876" s="198" t="s">
        <v>5677</v>
      </c>
    </row>
    <row r="877" spans="1:16" ht="18.75" hidden="1">
      <c r="A877" s="50" t="s">
        <v>3783</v>
      </c>
      <c r="B877" s="50" t="s">
        <v>3823</v>
      </c>
      <c r="C877" s="50" t="s">
        <v>3844</v>
      </c>
      <c r="D877" s="50" t="s">
        <v>3662</v>
      </c>
      <c r="E877" s="12" t="s">
        <v>3420</v>
      </c>
      <c r="F877" s="49">
        <v>3088</v>
      </c>
      <c r="G877" s="67" t="s">
        <v>5611</v>
      </c>
      <c r="H877" s="14" t="s">
        <v>5601</v>
      </c>
      <c r="I877" s="14" t="s">
        <v>2458</v>
      </c>
      <c r="J877" s="33" t="s">
        <v>7110</v>
      </c>
      <c r="K877" s="33" t="s">
        <v>3854</v>
      </c>
      <c r="L877" s="68">
        <v>0</v>
      </c>
      <c r="M877" s="68" t="s">
        <v>8915</v>
      </c>
      <c r="N877" s="68">
        <v>0</v>
      </c>
      <c r="O877" s="68">
        <v>0</v>
      </c>
      <c r="P877" s="198" t="s">
        <v>5658</v>
      </c>
    </row>
    <row r="878" spans="1:16" ht="18.75" hidden="1">
      <c r="A878" s="50" t="s">
        <v>3783</v>
      </c>
      <c r="B878" s="50" t="s">
        <v>3823</v>
      </c>
      <c r="C878" s="50" t="s">
        <v>3845</v>
      </c>
      <c r="D878" s="50" t="s">
        <v>3671</v>
      </c>
      <c r="E878" s="12" t="s">
        <v>3420</v>
      </c>
      <c r="F878" s="49">
        <v>148342</v>
      </c>
      <c r="G878" s="67" t="s">
        <v>5611</v>
      </c>
      <c r="H878" s="14" t="s">
        <v>5601</v>
      </c>
      <c r="I878" s="14" t="s">
        <v>2458</v>
      </c>
      <c r="J878" s="33" t="s">
        <v>7110</v>
      </c>
      <c r="K878" s="33" t="s">
        <v>3854</v>
      </c>
      <c r="L878" s="68">
        <v>0</v>
      </c>
      <c r="M878" s="68" t="s">
        <v>8915</v>
      </c>
      <c r="N878" s="68">
        <v>0</v>
      </c>
      <c r="O878" s="68">
        <v>0</v>
      </c>
      <c r="P878" s="198" t="s">
        <v>5659</v>
      </c>
    </row>
    <row r="879" spans="1:16" ht="18.75" hidden="1">
      <c r="A879" s="50" t="s">
        <v>3774</v>
      </c>
      <c r="B879" s="50" t="s">
        <v>3821</v>
      </c>
      <c r="C879" s="50" t="s">
        <v>3846</v>
      </c>
      <c r="D879" s="50" t="s">
        <v>3671</v>
      </c>
      <c r="E879" s="12" t="s">
        <v>3420</v>
      </c>
      <c r="F879" s="49">
        <v>1940</v>
      </c>
      <c r="G879" s="67" t="s">
        <v>5631</v>
      </c>
      <c r="H879" s="14" t="s">
        <v>5601</v>
      </c>
      <c r="I879" s="14" t="s">
        <v>2458</v>
      </c>
      <c r="J879" s="33" t="s">
        <v>7110</v>
      </c>
      <c r="K879" s="33" t="s">
        <v>3854</v>
      </c>
      <c r="L879" s="68">
        <v>0</v>
      </c>
      <c r="M879" s="68" t="s">
        <v>8915</v>
      </c>
      <c r="N879" s="68">
        <v>0</v>
      </c>
      <c r="O879" s="68">
        <v>0</v>
      </c>
      <c r="P879" s="197" t="s">
        <v>5668</v>
      </c>
    </row>
    <row r="880" spans="1:16" ht="18.75" hidden="1">
      <c r="A880" s="50" t="s">
        <v>3781</v>
      </c>
      <c r="B880" s="50" t="s">
        <v>3824</v>
      </c>
      <c r="C880" s="50" t="s">
        <v>3904</v>
      </c>
      <c r="D880" s="50" t="s">
        <v>3827</v>
      </c>
      <c r="E880" s="12" t="s">
        <v>3420</v>
      </c>
      <c r="F880" s="49">
        <v>125820</v>
      </c>
      <c r="G880" s="67" t="s">
        <v>5631</v>
      </c>
      <c r="H880" s="14" t="s">
        <v>5601</v>
      </c>
      <c r="I880" s="14" t="s">
        <v>2458</v>
      </c>
      <c r="J880" s="33" t="s">
        <v>7110</v>
      </c>
      <c r="K880" s="33" t="s">
        <v>3854</v>
      </c>
      <c r="L880" s="68">
        <v>0</v>
      </c>
      <c r="M880" s="68" t="s">
        <v>8915</v>
      </c>
      <c r="N880" s="68">
        <v>0</v>
      </c>
      <c r="O880" s="68">
        <v>0</v>
      </c>
      <c r="P880" s="197" t="s">
        <v>5662</v>
      </c>
    </row>
    <row r="881" spans="1:16" ht="18.75" hidden="1">
      <c r="A881" s="50" t="s">
        <v>3781</v>
      </c>
      <c r="B881" s="50" t="s">
        <v>3824</v>
      </c>
      <c r="C881" s="50" t="s">
        <v>3847</v>
      </c>
      <c r="D881" s="50" t="s">
        <v>3827</v>
      </c>
      <c r="E881" s="12" t="s">
        <v>3420</v>
      </c>
      <c r="F881" s="49">
        <v>43180</v>
      </c>
      <c r="G881" s="67" t="s">
        <v>5631</v>
      </c>
      <c r="H881" s="14" t="s">
        <v>5601</v>
      </c>
      <c r="I881" s="14" t="s">
        <v>2458</v>
      </c>
      <c r="J881" s="33" t="s">
        <v>7110</v>
      </c>
      <c r="K881" s="33"/>
      <c r="L881" s="68">
        <v>0</v>
      </c>
      <c r="M881" s="68" t="s">
        <v>8915</v>
      </c>
      <c r="N881" s="68">
        <v>0</v>
      </c>
      <c r="O881" s="68">
        <v>0</v>
      </c>
      <c r="P881" s="197" t="s">
        <v>5662</v>
      </c>
    </row>
    <row r="882" spans="1:16" ht="18.75" hidden="1">
      <c r="A882" s="50" t="s">
        <v>3781</v>
      </c>
      <c r="B882" s="50" t="s">
        <v>3824</v>
      </c>
      <c r="C882" s="50" t="s">
        <v>3848</v>
      </c>
      <c r="D882" s="50" t="s">
        <v>3723</v>
      </c>
      <c r="E882" s="12" t="s">
        <v>3420</v>
      </c>
      <c r="F882" s="49">
        <v>100000</v>
      </c>
      <c r="G882" s="67" t="s">
        <v>5611</v>
      </c>
      <c r="H882" s="14" t="s">
        <v>5601</v>
      </c>
      <c r="I882" s="14" t="s">
        <v>2458</v>
      </c>
      <c r="J882" s="33" t="s">
        <v>7110</v>
      </c>
      <c r="K882" s="33" t="s">
        <v>3854</v>
      </c>
      <c r="L882" s="68">
        <v>0</v>
      </c>
      <c r="M882" s="68" t="s">
        <v>8915</v>
      </c>
      <c r="N882" s="68">
        <v>0</v>
      </c>
      <c r="O882" s="68">
        <v>0</v>
      </c>
      <c r="P882" s="198" t="s">
        <v>5659</v>
      </c>
    </row>
    <row r="883" spans="1:16" ht="18.75" hidden="1">
      <c r="A883" s="50" t="s">
        <v>3781</v>
      </c>
      <c r="B883" s="50" t="s">
        <v>3824</v>
      </c>
      <c r="C883" s="50" t="s">
        <v>3849</v>
      </c>
      <c r="D883" s="50" t="s">
        <v>3721</v>
      </c>
      <c r="E883" s="12" t="s">
        <v>3420</v>
      </c>
      <c r="F883" s="49">
        <v>65520</v>
      </c>
      <c r="G883" s="67" t="s">
        <v>5611</v>
      </c>
      <c r="H883" s="14" t="s">
        <v>5601</v>
      </c>
      <c r="I883" s="14" t="s">
        <v>2458</v>
      </c>
      <c r="J883" s="33" t="s">
        <v>7110</v>
      </c>
      <c r="K883" s="33" t="s">
        <v>3854</v>
      </c>
      <c r="L883" s="68">
        <v>0</v>
      </c>
      <c r="M883" s="68" t="s">
        <v>8915</v>
      </c>
      <c r="N883" s="68">
        <v>0</v>
      </c>
      <c r="O883" s="68">
        <v>0</v>
      </c>
      <c r="P883" s="198" t="s">
        <v>5658</v>
      </c>
    </row>
    <row r="884" spans="1:16" ht="18.75" hidden="1">
      <c r="A884" s="50" t="s">
        <v>3784</v>
      </c>
      <c r="B884" s="50" t="s">
        <v>3722</v>
      </c>
      <c r="C884" s="50" t="s">
        <v>3657</v>
      </c>
      <c r="D884" s="50" t="s">
        <v>3668</v>
      </c>
      <c r="E884" s="12" t="s">
        <v>3420</v>
      </c>
      <c r="F884" s="49">
        <v>69610</v>
      </c>
      <c r="G884" s="67" t="s">
        <v>5611</v>
      </c>
      <c r="H884" s="14" t="s">
        <v>5601</v>
      </c>
      <c r="I884" s="14" t="s">
        <v>2458</v>
      </c>
      <c r="J884" s="33" t="s">
        <v>7110</v>
      </c>
      <c r="K884" s="33" t="s">
        <v>3854</v>
      </c>
      <c r="L884" s="68">
        <v>0</v>
      </c>
      <c r="M884" s="68" t="s">
        <v>8915</v>
      </c>
      <c r="N884" s="68">
        <v>0</v>
      </c>
      <c r="O884" s="68">
        <v>0</v>
      </c>
      <c r="P884" s="198" t="s">
        <v>5654</v>
      </c>
    </row>
    <row r="885" spans="1:16" ht="18.75" hidden="1">
      <c r="A885" s="50" t="s">
        <v>3785</v>
      </c>
      <c r="B885" s="50" t="s">
        <v>3826</v>
      </c>
      <c r="C885" s="50" t="s">
        <v>3847</v>
      </c>
      <c r="D885" s="50" t="s">
        <v>3827</v>
      </c>
      <c r="E885" s="12" t="s">
        <v>3420</v>
      </c>
      <c r="F885" s="49">
        <v>23980</v>
      </c>
      <c r="G885" s="67" t="s">
        <v>5631</v>
      </c>
      <c r="H885" s="14" t="s">
        <v>5601</v>
      </c>
      <c r="I885" s="14" t="s">
        <v>2458</v>
      </c>
      <c r="J885" s="33" t="s">
        <v>7110</v>
      </c>
      <c r="K885" s="33" t="s">
        <v>3854</v>
      </c>
      <c r="L885" s="68">
        <v>0</v>
      </c>
      <c r="M885" s="68" t="s">
        <v>8915</v>
      </c>
      <c r="N885" s="68">
        <v>0</v>
      </c>
      <c r="O885" s="68">
        <v>0</v>
      </c>
      <c r="P885" s="197" t="s">
        <v>5662</v>
      </c>
    </row>
    <row r="886" spans="1:16" ht="18.75" hidden="1">
      <c r="A886" s="50" t="s">
        <v>3786</v>
      </c>
      <c r="B886" s="50" t="s">
        <v>3767</v>
      </c>
      <c r="C886" s="50" t="s">
        <v>3850</v>
      </c>
      <c r="D886" s="50" t="s">
        <v>3668</v>
      </c>
      <c r="E886" s="12" t="s">
        <v>3420</v>
      </c>
      <c r="F886" s="49">
        <v>45460</v>
      </c>
      <c r="G886" s="67" t="s">
        <v>5611</v>
      </c>
      <c r="H886" s="14" t="s">
        <v>5601</v>
      </c>
      <c r="I886" s="14" t="s">
        <v>2458</v>
      </c>
      <c r="J886" s="33" t="s">
        <v>7110</v>
      </c>
      <c r="K886" s="33" t="s">
        <v>3854</v>
      </c>
      <c r="L886" s="68">
        <v>0</v>
      </c>
      <c r="M886" s="68" t="s">
        <v>8915</v>
      </c>
      <c r="N886" s="68">
        <v>0</v>
      </c>
      <c r="O886" s="68">
        <v>0</v>
      </c>
      <c r="P886" s="198" t="s">
        <v>5654</v>
      </c>
    </row>
    <row r="887" spans="1:16" ht="18.75" hidden="1">
      <c r="A887" s="50" t="s">
        <v>3787</v>
      </c>
      <c r="B887" s="50" t="s">
        <v>3827</v>
      </c>
      <c r="C887" s="50" t="s">
        <v>3843</v>
      </c>
      <c r="D887" s="50" t="s">
        <v>3723</v>
      </c>
      <c r="E887" s="12" t="s">
        <v>3420</v>
      </c>
      <c r="F887" s="49">
        <v>45060</v>
      </c>
      <c r="G887" s="67" t="s">
        <v>5611</v>
      </c>
      <c r="H887" s="14" t="s">
        <v>5601</v>
      </c>
      <c r="I887" s="14" t="s">
        <v>2458</v>
      </c>
      <c r="J887" s="33" t="s">
        <v>7110</v>
      </c>
      <c r="K887" s="33" t="s">
        <v>3854</v>
      </c>
      <c r="L887" s="68">
        <v>0</v>
      </c>
      <c r="M887" s="68" t="s">
        <v>8915</v>
      </c>
      <c r="N887" s="68">
        <v>0</v>
      </c>
      <c r="O887" s="68">
        <v>0</v>
      </c>
      <c r="P887" s="198" t="s">
        <v>5659</v>
      </c>
    </row>
    <row r="888" spans="1:16" ht="18.75" hidden="1">
      <c r="A888" s="50" t="s">
        <v>3787</v>
      </c>
      <c r="B888" s="50" t="s">
        <v>3827</v>
      </c>
      <c r="C888" s="50" t="s">
        <v>3838</v>
      </c>
      <c r="D888" s="50" t="s">
        <v>3830</v>
      </c>
      <c r="E888" s="12" t="s">
        <v>3420</v>
      </c>
      <c r="F888" s="49">
        <v>117260</v>
      </c>
      <c r="G888" s="67" t="s">
        <v>5647</v>
      </c>
      <c r="H888" s="14" t="s">
        <v>5601</v>
      </c>
      <c r="I888" s="14" t="s">
        <v>2458</v>
      </c>
      <c r="J888" s="33" t="s">
        <v>7110</v>
      </c>
      <c r="K888" s="33" t="s">
        <v>3854</v>
      </c>
      <c r="L888" s="68">
        <v>0</v>
      </c>
      <c r="M888" s="68" t="s">
        <v>8915</v>
      </c>
      <c r="N888" s="68">
        <v>0</v>
      </c>
      <c r="O888" s="68">
        <v>0</v>
      </c>
      <c r="P888" s="198" t="s">
        <v>5673</v>
      </c>
    </row>
    <row r="889" spans="1:16" ht="18.75" hidden="1">
      <c r="A889" s="50" t="s">
        <v>3788</v>
      </c>
      <c r="B889" s="50" t="s">
        <v>3723</v>
      </c>
      <c r="C889" s="50" t="s">
        <v>3840</v>
      </c>
      <c r="D889" s="50" t="s">
        <v>3661</v>
      </c>
      <c r="E889" s="12" t="s">
        <v>3420</v>
      </c>
      <c r="F889" s="49">
        <v>50280</v>
      </c>
      <c r="G889" s="67" t="s">
        <v>5611</v>
      </c>
      <c r="H889" s="14" t="s">
        <v>5601</v>
      </c>
      <c r="I889" s="14" t="s">
        <v>2458</v>
      </c>
      <c r="J889" s="33" t="s">
        <v>7110</v>
      </c>
      <c r="K889" s="33" t="s">
        <v>3854</v>
      </c>
      <c r="L889" s="68">
        <v>0</v>
      </c>
      <c r="M889" s="68" t="s">
        <v>8915</v>
      </c>
      <c r="N889" s="68">
        <v>0</v>
      </c>
      <c r="O889" s="68">
        <v>0</v>
      </c>
      <c r="P889" s="198" t="s">
        <v>5654</v>
      </c>
    </row>
    <row r="890" spans="1:16" ht="18.75" hidden="1">
      <c r="A890" s="50" t="s">
        <v>3789</v>
      </c>
      <c r="B890" s="50" t="s">
        <v>3828</v>
      </c>
      <c r="C890" s="50" t="s">
        <v>3840</v>
      </c>
      <c r="D890" s="50" t="s">
        <v>3661</v>
      </c>
      <c r="E890" s="12" t="s">
        <v>3420</v>
      </c>
      <c r="F890" s="49">
        <v>73970</v>
      </c>
      <c r="G890" s="67" t="s">
        <v>5611</v>
      </c>
      <c r="H890" s="14" t="s">
        <v>5601</v>
      </c>
      <c r="I890" s="14" t="s">
        <v>2458</v>
      </c>
      <c r="J890" s="33" t="s">
        <v>7110</v>
      </c>
      <c r="K890" s="33" t="s">
        <v>3854</v>
      </c>
      <c r="L890" s="68">
        <v>0</v>
      </c>
      <c r="M890" s="68" t="s">
        <v>8915</v>
      </c>
      <c r="N890" s="68">
        <v>0</v>
      </c>
      <c r="O890" s="68">
        <v>0</v>
      </c>
      <c r="P890" s="198" t="s">
        <v>5654</v>
      </c>
    </row>
    <row r="891" spans="1:16" ht="18.75" hidden="1">
      <c r="A891" s="50" t="s">
        <v>3787</v>
      </c>
      <c r="B891" s="50" t="s">
        <v>3827</v>
      </c>
      <c r="C891" s="50" t="s">
        <v>3846</v>
      </c>
      <c r="D891" s="50" t="s">
        <v>3671</v>
      </c>
      <c r="E891" s="12" t="s">
        <v>3420</v>
      </c>
      <c r="F891" s="49">
        <v>90380</v>
      </c>
      <c r="G891" s="67" t="s">
        <v>5631</v>
      </c>
      <c r="H891" s="14" t="s">
        <v>5601</v>
      </c>
      <c r="I891" s="14" t="s">
        <v>2458</v>
      </c>
      <c r="J891" s="33" t="s">
        <v>7110</v>
      </c>
      <c r="K891" s="33" t="s">
        <v>3854</v>
      </c>
      <c r="L891" s="68">
        <v>0</v>
      </c>
      <c r="M891" s="68" t="s">
        <v>8915</v>
      </c>
      <c r="N891" s="68">
        <v>0</v>
      </c>
      <c r="O891" s="68">
        <v>0</v>
      </c>
      <c r="P891" s="197" t="s">
        <v>5668</v>
      </c>
    </row>
    <row r="892" spans="1:16" ht="18.75" hidden="1">
      <c r="A892" s="50" t="s">
        <v>3790</v>
      </c>
      <c r="B892" s="50" t="s">
        <v>3722</v>
      </c>
      <c r="C892" s="50" t="s">
        <v>3654</v>
      </c>
      <c r="D892" s="50" t="s">
        <v>3664</v>
      </c>
      <c r="E892" s="12" t="s">
        <v>3420</v>
      </c>
      <c r="F892" s="49">
        <v>119040</v>
      </c>
      <c r="G892" s="67" t="s">
        <v>5652</v>
      </c>
      <c r="H892" s="14" t="s">
        <v>5601</v>
      </c>
      <c r="I892" s="14" t="s">
        <v>2458</v>
      </c>
      <c r="J892" s="33" t="s">
        <v>7110</v>
      </c>
      <c r="K892" s="33" t="s">
        <v>3854</v>
      </c>
      <c r="L892" s="68">
        <v>0</v>
      </c>
      <c r="M892" s="68" t="s">
        <v>8915</v>
      </c>
      <c r="N892" s="68">
        <v>0</v>
      </c>
      <c r="O892" s="68">
        <v>0</v>
      </c>
      <c r="P892" s="198" t="s">
        <v>5653</v>
      </c>
    </row>
    <row r="893" spans="1:16" ht="18.75" hidden="1">
      <c r="A893" s="50" t="s">
        <v>3791</v>
      </c>
      <c r="B893" s="50" t="s">
        <v>3825</v>
      </c>
      <c r="C893" s="50" t="s">
        <v>3841</v>
      </c>
      <c r="D893" s="50" t="s">
        <v>3721</v>
      </c>
      <c r="E893" s="12" t="s">
        <v>3420</v>
      </c>
      <c r="F893" s="49">
        <v>85118</v>
      </c>
      <c r="G893" s="67" t="s">
        <v>5611</v>
      </c>
      <c r="H893" s="14" t="s">
        <v>5601</v>
      </c>
      <c r="I893" s="14" t="s">
        <v>2458</v>
      </c>
      <c r="J893" s="33" t="s">
        <v>7110</v>
      </c>
      <c r="K893" s="33" t="s">
        <v>3854</v>
      </c>
      <c r="L893" s="68">
        <v>0</v>
      </c>
      <c r="M893" s="68" t="s">
        <v>8915</v>
      </c>
      <c r="N893" s="68">
        <v>0</v>
      </c>
      <c r="O893" s="68">
        <v>0</v>
      </c>
      <c r="P893" s="198" t="s">
        <v>5658</v>
      </c>
    </row>
    <row r="894" spans="1:16" ht="18.75" hidden="1">
      <c r="A894" s="50" t="s">
        <v>3792</v>
      </c>
      <c r="B894" s="50" t="s">
        <v>3829</v>
      </c>
      <c r="C894" s="50" t="s">
        <v>3836</v>
      </c>
      <c r="D894" s="50" t="s">
        <v>3831</v>
      </c>
      <c r="E894" s="12" t="s">
        <v>3420</v>
      </c>
      <c r="F894" s="49">
        <v>71160</v>
      </c>
      <c r="G894" s="67" t="s">
        <v>5633</v>
      </c>
      <c r="H894" s="14" t="s">
        <v>5601</v>
      </c>
      <c r="I894" s="14" t="s">
        <v>2458</v>
      </c>
      <c r="J894" s="33" t="s">
        <v>7110</v>
      </c>
      <c r="K894" s="33" t="s">
        <v>3854</v>
      </c>
      <c r="L894" s="68">
        <v>0</v>
      </c>
      <c r="M894" s="68" t="s">
        <v>8915</v>
      </c>
      <c r="N894" s="68">
        <v>0</v>
      </c>
      <c r="O894" s="68">
        <v>0</v>
      </c>
      <c r="P894" s="198" t="s">
        <v>5677</v>
      </c>
    </row>
    <row r="895" spans="1:16" ht="18.75" hidden="1">
      <c r="A895" s="50" t="s">
        <v>3793</v>
      </c>
      <c r="B895" s="50" t="s">
        <v>3830</v>
      </c>
      <c r="C895" s="50" t="s">
        <v>3851</v>
      </c>
      <c r="D895" s="50" t="s">
        <v>3720</v>
      </c>
      <c r="E895" s="12" t="s">
        <v>3420</v>
      </c>
      <c r="F895" s="49">
        <v>114620</v>
      </c>
      <c r="G895" s="67" t="s">
        <v>5647</v>
      </c>
      <c r="H895" s="14" t="s">
        <v>5601</v>
      </c>
      <c r="I895" s="14" t="s">
        <v>2458</v>
      </c>
      <c r="J895" s="33" t="s">
        <v>7110</v>
      </c>
      <c r="K895" s="33" t="s">
        <v>3854</v>
      </c>
      <c r="L895" s="68">
        <v>0</v>
      </c>
      <c r="M895" s="68" t="s">
        <v>8915</v>
      </c>
      <c r="N895" s="68">
        <v>0</v>
      </c>
      <c r="O895" s="68">
        <v>0</v>
      </c>
      <c r="P895" s="198" t="s">
        <v>5669</v>
      </c>
    </row>
    <row r="896" spans="1:16" ht="18.75" hidden="1">
      <c r="A896" s="50" t="s">
        <v>3794</v>
      </c>
      <c r="B896" s="50" t="s">
        <v>3830</v>
      </c>
      <c r="C896" s="50" t="s">
        <v>3851</v>
      </c>
      <c r="D896" s="50" t="s">
        <v>3720</v>
      </c>
      <c r="E896" s="12" t="s">
        <v>3420</v>
      </c>
      <c r="F896" s="49">
        <v>44480</v>
      </c>
      <c r="G896" s="67" t="s">
        <v>5647</v>
      </c>
      <c r="H896" s="14" t="s">
        <v>5601</v>
      </c>
      <c r="I896" s="14" t="s">
        <v>2458</v>
      </c>
      <c r="J896" s="33" t="s">
        <v>7110</v>
      </c>
      <c r="K896" s="33" t="s">
        <v>3854</v>
      </c>
      <c r="L896" s="68">
        <v>0</v>
      </c>
      <c r="M896" s="68" t="s">
        <v>8915</v>
      </c>
      <c r="N896" s="68">
        <v>0</v>
      </c>
      <c r="O896" s="68">
        <v>0</v>
      </c>
      <c r="P896" s="198" t="s">
        <v>5669</v>
      </c>
    </row>
    <row r="897" spans="1:16" ht="18.75" hidden="1">
      <c r="A897" s="50" t="s">
        <v>3795</v>
      </c>
      <c r="B897" s="50" t="s">
        <v>3822</v>
      </c>
      <c r="C897" s="50" t="s">
        <v>3836</v>
      </c>
      <c r="D897" s="50" t="s">
        <v>3831</v>
      </c>
      <c r="E897" s="12" t="s">
        <v>3420</v>
      </c>
      <c r="F897" s="49">
        <v>46779</v>
      </c>
      <c r="G897" s="67" t="s">
        <v>5633</v>
      </c>
      <c r="H897" s="14" t="s">
        <v>5601</v>
      </c>
      <c r="I897" s="14" t="s">
        <v>2458</v>
      </c>
      <c r="J897" s="33" t="s">
        <v>7110</v>
      </c>
      <c r="K897" s="33" t="s">
        <v>3854</v>
      </c>
      <c r="L897" s="68">
        <v>0</v>
      </c>
      <c r="M897" s="68" t="s">
        <v>8915</v>
      </c>
      <c r="N897" s="68">
        <v>0</v>
      </c>
      <c r="O897" s="68">
        <v>0</v>
      </c>
      <c r="P897" s="198" t="s">
        <v>5677</v>
      </c>
    </row>
    <row r="898" spans="1:16" ht="18.75" hidden="1">
      <c r="A898" s="50" t="s">
        <v>3796</v>
      </c>
      <c r="B898" s="50" t="s">
        <v>3821</v>
      </c>
      <c r="C898" s="50" t="s">
        <v>3836</v>
      </c>
      <c r="D898" s="50" t="s">
        <v>3831</v>
      </c>
      <c r="E898" s="12" t="s">
        <v>3420</v>
      </c>
      <c r="F898" s="49">
        <v>47530</v>
      </c>
      <c r="G898" s="67" t="s">
        <v>5633</v>
      </c>
      <c r="H898" s="14" t="s">
        <v>5601</v>
      </c>
      <c r="I898" s="14" t="s">
        <v>2458</v>
      </c>
      <c r="J898" s="33" t="s">
        <v>7110</v>
      </c>
      <c r="K898" s="33" t="s">
        <v>3854</v>
      </c>
      <c r="L898" s="68">
        <v>0</v>
      </c>
      <c r="M898" s="68" t="s">
        <v>8915</v>
      </c>
      <c r="N898" s="68">
        <v>0</v>
      </c>
      <c r="O898" s="68">
        <v>0</v>
      </c>
      <c r="P898" s="198" t="s">
        <v>5677</v>
      </c>
    </row>
    <row r="899" spans="1:16" ht="18.75" hidden="1">
      <c r="A899" s="50" t="s">
        <v>3793</v>
      </c>
      <c r="B899" s="50" t="s">
        <v>3830</v>
      </c>
      <c r="C899" s="50" t="s">
        <v>3852</v>
      </c>
      <c r="D899" s="50" t="s">
        <v>3767</v>
      </c>
      <c r="E899" s="12" t="s">
        <v>3420</v>
      </c>
      <c r="F899" s="49">
        <v>22220</v>
      </c>
      <c r="G899" s="67" t="s">
        <v>5647</v>
      </c>
      <c r="H899" s="14" t="s">
        <v>5601</v>
      </c>
      <c r="I899" s="14" t="s">
        <v>2458</v>
      </c>
      <c r="J899" s="33" t="s">
        <v>7110</v>
      </c>
      <c r="K899" s="33" t="s">
        <v>3854</v>
      </c>
      <c r="L899" s="68">
        <v>0</v>
      </c>
      <c r="M899" s="68" t="s">
        <v>8915</v>
      </c>
      <c r="N899" s="68">
        <v>0</v>
      </c>
      <c r="O899" s="68">
        <v>0</v>
      </c>
      <c r="P899" s="198" t="s">
        <v>5666</v>
      </c>
    </row>
    <row r="900" spans="1:16" ht="18.75" hidden="1">
      <c r="A900" s="50" t="s">
        <v>3797</v>
      </c>
      <c r="B900" s="50" t="s">
        <v>3820</v>
      </c>
      <c r="C900" s="50" t="s">
        <v>3841</v>
      </c>
      <c r="D900" s="50" t="s">
        <v>3721</v>
      </c>
      <c r="E900" s="12" t="s">
        <v>3420</v>
      </c>
      <c r="F900" s="49">
        <v>25220</v>
      </c>
      <c r="G900" s="67" t="s">
        <v>5611</v>
      </c>
      <c r="H900" s="14" t="s">
        <v>5601</v>
      </c>
      <c r="I900" s="14" t="s">
        <v>2458</v>
      </c>
      <c r="J900" s="33" t="s">
        <v>7110</v>
      </c>
      <c r="K900" s="33" t="s">
        <v>3854</v>
      </c>
      <c r="L900" s="68">
        <v>0</v>
      </c>
      <c r="M900" s="68" t="s">
        <v>8915</v>
      </c>
      <c r="N900" s="68">
        <v>0</v>
      </c>
      <c r="O900" s="68">
        <v>0</v>
      </c>
      <c r="P900" s="198" t="s">
        <v>5658</v>
      </c>
    </row>
    <row r="901" spans="1:16" ht="18.75" hidden="1">
      <c r="A901" s="50" t="s">
        <v>3797</v>
      </c>
      <c r="B901" s="50" t="s">
        <v>3820</v>
      </c>
      <c r="C901" s="50" t="s">
        <v>3837</v>
      </c>
      <c r="D901" s="50" t="s">
        <v>3828</v>
      </c>
      <c r="E901" s="12" t="s">
        <v>3420</v>
      </c>
      <c r="F901" s="49">
        <v>45240</v>
      </c>
      <c r="G901" s="67" t="s">
        <v>5631</v>
      </c>
      <c r="H901" s="14" t="s">
        <v>5601</v>
      </c>
      <c r="I901" s="14" t="s">
        <v>2458</v>
      </c>
      <c r="J901" s="33" t="s">
        <v>7110</v>
      </c>
      <c r="K901" s="33" t="s">
        <v>3854</v>
      </c>
      <c r="L901" s="68">
        <v>0</v>
      </c>
      <c r="M901" s="68" t="s">
        <v>8915</v>
      </c>
      <c r="N901" s="68">
        <v>0</v>
      </c>
      <c r="O901" s="68">
        <v>0</v>
      </c>
      <c r="P901" s="197" t="s">
        <v>5668</v>
      </c>
    </row>
    <row r="902" spans="1:16" ht="18.75" hidden="1">
      <c r="A902" s="50" t="s">
        <v>3798</v>
      </c>
      <c r="B902" s="50" t="s">
        <v>3829</v>
      </c>
      <c r="C902" s="50" t="s">
        <v>3838</v>
      </c>
      <c r="D902" s="50" t="s">
        <v>3830</v>
      </c>
      <c r="E902" s="12" t="s">
        <v>3420</v>
      </c>
      <c r="F902" s="49">
        <v>116040</v>
      </c>
      <c r="G902" s="67" t="s">
        <v>5647</v>
      </c>
      <c r="H902" s="14" t="s">
        <v>5601</v>
      </c>
      <c r="I902" s="14" t="s">
        <v>2458</v>
      </c>
      <c r="J902" s="33" t="s">
        <v>7110</v>
      </c>
      <c r="K902" s="33" t="s">
        <v>3854</v>
      </c>
      <c r="L902" s="68">
        <v>0</v>
      </c>
      <c r="M902" s="68" t="s">
        <v>8915</v>
      </c>
      <c r="N902" s="68">
        <v>0</v>
      </c>
      <c r="O902" s="68">
        <v>0</v>
      </c>
      <c r="P902" s="198" t="s">
        <v>5673</v>
      </c>
    </row>
    <row r="903" spans="1:16" ht="18.75" hidden="1">
      <c r="A903" s="50" t="s">
        <v>3799</v>
      </c>
      <c r="B903" s="50" t="s">
        <v>3831</v>
      </c>
      <c r="C903" s="50" t="s">
        <v>3840</v>
      </c>
      <c r="D903" s="50" t="s">
        <v>3661</v>
      </c>
      <c r="E903" s="12" t="s">
        <v>3420</v>
      </c>
      <c r="F903" s="49">
        <v>225980</v>
      </c>
      <c r="G903" s="67" t="s">
        <v>5611</v>
      </c>
      <c r="H903" s="14" t="s">
        <v>5601</v>
      </c>
      <c r="I903" s="14" t="s">
        <v>2458</v>
      </c>
      <c r="J903" s="33" t="s">
        <v>7110</v>
      </c>
      <c r="K903" s="33" t="s">
        <v>3854</v>
      </c>
      <c r="L903" s="68">
        <v>0</v>
      </c>
      <c r="M903" s="68" t="s">
        <v>8915</v>
      </c>
      <c r="N903" s="68">
        <v>0</v>
      </c>
      <c r="O903" s="68">
        <v>0</v>
      </c>
      <c r="P903" s="198" t="s">
        <v>5654</v>
      </c>
    </row>
    <row r="904" spans="1:16" ht="18.75" hidden="1">
      <c r="A904" s="50" t="s">
        <v>3800</v>
      </c>
      <c r="B904" s="50" t="s">
        <v>3722</v>
      </c>
      <c r="C904" s="50" t="s">
        <v>3850</v>
      </c>
      <c r="D904" s="50" t="s">
        <v>3668</v>
      </c>
      <c r="E904" s="12" t="s">
        <v>3420</v>
      </c>
      <c r="F904" s="49">
        <v>24800</v>
      </c>
      <c r="G904" s="67" t="s">
        <v>5611</v>
      </c>
      <c r="H904" s="14" t="s">
        <v>5601</v>
      </c>
      <c r="I904" s="14" t="s">
        <v>2458</v>
      </c>
      <c r="J904" s="33" t="s">
        <v>7110</v>
      </c>
      <c r="K904" s="33" t="s">
        <v>3854</v>
      </c>
      <c r="L904" s="68">
        <v>0</v>
      </c>
      <c r="M904" s="68" t="s">
        <v>8915</v>
      </c>
      <c r="N904" s="68">
        <v>0</v>
      </c>
      <c r="O904" s="68">
        <v>0</v>
      </c>
      <c r="P904" s="198" t="s">
        <v>5654</v>
      </c>
    </row>
    <row r="905" spans="1:16" ht="18.75" hidden="1">
      <c r="A905" s="50" t="s">
        <v>3800</v>
      </c>
      <c r="B905" s="50" t="s">
        <v>3722</v>
      </c>
      <c r="C905" s="50" t="s">
        <v>3649</v>
      </c>
      <c r="D905" s="50" t="s">
        <v>3662</v>
      </c>
      <c r="E905" s="12" t="s">
        <v>3420</v>
      </c>
      <c r="F905" s="49">
        <v>66940</v>
      </c>
      <c r="G905" s="67" t="s">
        <v>5647</v>
      </c>
      <c r="H905" s="14" t="s">
        <v>5601</v>
      </c>
      <c r="I905" s="14" t="s">
        <v>2458</v>
      </c>
      <c r="J905" s="33" t="s">
        <v>7110</v>
      </c>
      <c r="K905" s="33" t="s">
        <v>3854</v>
      </c>
      <c r="L905" s="68">
        <v>0</v>
      </c>
      <c r="M905" s="68" t="s">
        <v>8915</v>
      </c>
      <c r="N905" s="68">
        <v>0</v>
      </c>
      <c r="O905" s="68">
        <v>0</v>
      </c>
      <c r="P905" s="198" t="s">
        <v>5657</v>
      </c>
    </row>
    <row r="906" spans="1:16" ht="18.75" hidden="1">
      <c r="A906" s="190" t="s">
        <v>3801</v>
      </c>
      <c r="B906" s="190" t="s">
        <v>3831</v>
      </c>
      <c r="C906" s="190" t="s">
        <v>3847</v>
      </c>
      <c r="D906" s="190" t="s">
        <v>3820</v>
      </c>
      <c r="E906" s="191" t="s">
        <v>3420</v>
      </c>
      <c r="F906" s="192">
        <v>137860</v>
      </c>
      <c r="G906" s="193" t="s">
        <v>5631</v>
      </c>
      <c r="H906" s="194" t="s">
        <v>5602</v>
      </c>
      <c r="I906" s="194" t="s">
        <v>2458</v>
      </c>
      <c r="J906" s="195" t="s">
        <v>7110</v>
      </c>
      <c r="K906" s="195" t="s">
        <v>3854</v>
      </c>
      <c r="L906" s="196">
        <v>0</v>
      </c>
      <c r="M906" s="196" t="s">
        <v>8915</v>
      </c>
      <c r="N906" s="196">
        <v>0</v>
      </c>
      <c r="O906" s="196">
        <v>0</v>
      </c>
      <c r="P906" s="199" t="s">
        <v>5662</v>
      </c>
    </row>
    <row r="907" spans="1:16" ht="18.75" hidden="1">
      <c r="A907" s="50" t="s">
        <v>3802</v>
      </c>
      <c r="B907" s="50" t="s">
        <v>3722</v>
      </c>
      <c r="C907" s="50" t="s">
        <v>3657</v>
      </c>
      <c r="D907" s="50" t="s">
        <v>3668</v>
      </c>
      <c r="E907" s="12" t="s">
        <v>3420</v>
      </c>
      <c r="F907" s="49">
        <v>11598</v>
      </c>
      <c r="G907" s="67" t="s">
        <v>5611</v>
      </c>
      <c r="H907" s="14" t="s">
        <v>5601</v>
      </c>
      <c r="I907" s="14" t="s">
        <v>2458</v>
      </c>
      <c r="J907" s="33" t="s">
        <v>7110</v>
      </c>
      <c r="K907" s="33" t="s">
        <v>3854</v>
      </c>
      <c r="L907" s="68">
        <v>0</v>
      </c>
      <c r="M907" s="68" t="s">
        <v>8915</v>
      </c>
      <c r="N907" s="68">
        <v>0</v>
      </c>
      <c r="O907" s="68">
        <v>0</v>
      </c>
      <c r="P907" s="198" t="s">
        <v>5654</v>
      </c>
    </row>
    <row r="908" spans="1:16" ht="18.75" hidden="1">
      <c r="A908" s="50" t="s">
        <v>3803</v>
      </c>
      <c r="B908" s="50" t="s">
        <v>3721</v>
      </c>
      <c r="C908" s="50" t="s">
        <v>3846</v>
      </c>
      <c r="D908" s="50" t="s">
        <v>3671</v>
      </c>
      <c r="E908" s="12" t="s">
        <v>3420</v>
      </c>
      <c r="F908" s="49">
        <v>46480</v>
      </c>
      <c r="G908" s="67" t="s">
        <v>5631</v>
      </c>
      <c r="H908" s="14" t="s">
        <v>5601</v>
      </c>
      <c r="I908" s="14" t="s">
        <v>2458</v>
      </c>
      <c r="J908" s="33" t="s">
        <v>7110</v>
      </c>
      <c r="K908" s="33" t="s">
        <v>3854</v>
      </c>
      <c r="L908" s="68">
        <v>0</v>
      </c>
      <c r="M908" s="68" t="s">
        <v>8915</v>
      </c>
      <c r="N908" s="68">
        <v>0</v>
      </c>
      <c r="O908" s="68">
        <v>0</v>
      </c>
      <c r="P908" s="197" t="s">
        <v>5668</v>
      </c>
    </row>
    <row r="909" spans="1:16" ht="18.75" hidden="1">
      <c r="A909" s="50" t="s">
        <v>3804</v>
      </c>
      <c r="B909" s="50" t="s">
        <v>3721</v>
      </c>
      <c r="C909" s="50" t="s">
        <v>3846</v>
      </c>
      <c r="D909" s="50" t="s">
        <v>3671</v>
      </c>
      <c r="E909" s="12" t="s">
        <v>3420</v>
      </c>
      <c r="F909" s="49">
        <v>25080</v>
      </c>
      <c r="G909" s="67" t="s">
        <v>5631</v>
      </c>
      <c r="H909" s="14" t="s">
        <v>5601</v>
      </c>
      <c r="I909" s="14" t="s">
        <v>2458</v>
      </c>
      <c r="J909" s="33" t="s">
        <v>7110</v>
      </c>
      <c r="K909" s="33" t="s">
        <v>3854</v>
      </c>
      <c r="L909" s="68">
        <v>0</v>
      </c>
      <c r="M909" s="68" t="s">
        <v>8915</v>
      </c>
      <c r="N909" s="68">
        <v>0</v>
      </c>
      <c r="O909" s="68">
        <v>0</v>
      </c>
      <c r="P909" s="197" t="s">
        <v>5668</v>
      </c>
    </row>
    <row r="910" spans="1:16" ht="18.75" hidden="1">
      <c r="A910" s="50" t="s">
        <v>3791</v>
      </c>
      <c r="B910" s="50" t="s">
        <v>3825</v>
      </c>
      <c r="C910" s="50" t="s">
        <v>3844</v>
      </c>
      <c r="D910" s="50" t="s">
        <v>3662</v>
      </c>
      <c r="E910" s="12" t="s">
        <v>3420</v>
      </c>
      <c r="F910" s="49">
        <v>166912</v>
      </c>
      <c r="G910" s="67" t="s">
        <v>5611</v>
      </c>
      <c r="H910" s="14" t="s">
        <v>5601</v>
      </c>
      <c r="I910" s="14" t="s">
        <v>2458</v>
      </c>
      <c r="J910" s="33" t="s">
        <v>7110</v>
      </c>
      <c r="K910" s="33" t="s">
        <v>3854</v>
      </c>
      <c r="L910" s="68">
        <v>0</v>
      </c>
      <c r="M910" s="68" t="s">
        <v>8915</v>
      </c>
      <c r="N910" s="68">
        <v>0</v>
      </c>
      <c r="O910" s="68">
        <v>0</v>
      </c>
      <c r="P910" s="198" t="s">
        <v>5658</v>
      </c>
    </row>
    <row r="911" spans="1:16" ht="18.75" hidden="1">
      <c r="A911" s="50" t="s">
        <v>3805</v>
      </c>
      <c r="B911" s="50" t="s">
        <v>3832</v>
      </c>
      <c r="C911" s="50" t="s">
        <v>3849</v>
      </c>
      <c r="D911" s="50" t="s">
        <v>3721</v>
      </c>
      <c r="E911" s="12" t="s">
        <v>3420</v>
      </c>
      <c r="F911" s="49">
        <v>48060</v>
      </c>
      <c r="G911" s="67" t="s">
        <v>5611</v>
      </c>
      <c r="H911" s="14" t="s">
        <v>5601</v>
      </c>
      <c r="I911" s="14" t="s">
        <v>2458</v>
      </c>
      <c r="J911" s="33" t="s">
        <v>7110</v>
      </c>
      <c r="K911" s="33" t="s">
        <v>3854</v>
      </c>
      <c r="L911" s="68">
        <v>0</v>
      </c>
      <c r="M911" s="68" t="s">
        <v>8915</v>
      </c>
      <c r="N911" s="68">
        <v>0</v>
      </c>
      <c r="O911" s="68">
        <v>0</v>
      </c>
      <c r="P911" s="198" t="s">
        <v>5658</v>
      </c>
    </row>
    <row r="912" spans="1:16" ht="18.75" hidden="1">
      <c r="A912" s="50" t="s">
        <v>3806</v>
      </c>
      <c r="B912" s="50" t="s">
        <v>3833</v>
      </c>
      <c r="C912" s="50" t="s">
        <v>3840</v>
      </c>
      <c r="D912" s="50" t="s">
        <v>3661</v>
      </c>
      <c r="E912" s="12" t="s">
        <v>3420</v>
      </c>
      <c r="F912" s="49">
        <v>34802</v>
      </c>
      <c r="G912" s="67" t="s">
        <v>5611</v>
      </c>
      <c r="H912" s="14" t="s">
        <v>5601</v>
      </c>
      <c r="I912" s="14" t="s">
        <v>2458</v>
      </c>
      <c r="J912" s="33" t="s">
        <v>7110</v>
      </c>
      <c r="K912" s="33" t="s">
        <v>3854</v>
      </c>
      <c r="L912" s="68">
        <v>0</v>
      </c>
      <c r="M912" s="68" t="s">
        <v>8915</v>
      </c>
      <c r="N912" s="68">
        <v>0</v>
      </c>
      <c r="O912" s="68">
        <v>0</v>
      </c>
      <c r="P912" s="198" t="s">
        <v>5654</v>
      </c>
    </row>
    <row r="913" spans="1:16" ht="18.75" hidden="1">
      <c r="A913" s="50" t="s">
        <v>3807</v>
      </c>
      <c r="B913" s="50" t="s">
        <v>3719</v>
      </c>
      <c r="C913" s="50" t="s">
        <v>3852</v>
      </c>
      <c r="D913" s="50" t="s">
        <v>3767</v>
      </c>
      <c r="E913" s="12" t="s">
        <v>3420</v>
      </c>
      <c r="F913" s="49">
        <v>329820</v>
      </c>
      <c r="G913" s="67" t="s">
        <v>5647</v>
      </c>
      <c r="H913" s="14" t="s">
        <v>5601</v>
      </c>
      <c r="I913" s="14" t="s">
        <v>2458</v>
      </c>
      <c r="J913" s="33" t="s">
        <v>7110</v>
      </c>
      <c r="K913" s="33" t="s">
        <v>3854</v>
      </c>
      <c r="L913" s="68">
        <v>0</v>
      </c>
      <c r="M913" s="68" t="s">
        <v>8915</v>
      </c>
      <c r="N913" s="68">
        <v>0</v>
      </c>
      <c r="O913" s="68">
        <v>0</v>
      </c>
      <c r="P913" s="198" t="s">
        <v>5666</v>
      </c>
    </row>
    <row r="914" spans="1:16" ht="18.75" hidden="1">
      <c r="A914" s="50" t="s">
        <v>3808</v>
      </c>
      <c r="B914" s="50" t="s">
        <v>3827</v>
      </c>
      <c r="C914" s="50" t="s">
        <v>3840</v>
      </c>
      <c r="D914" s="50" t="s">
        <v>3661</v>
      </c>
      <c r="E914" s="12" t="s">
        <v>3420</v>
      </c>
      <c r="F914" s="49">
        <v>75790</v>
      </c>
      <c r="G914" s="67" t="s">
        <v>5611</v>
      </c>
      <c r="H914" s="14" t="s">
        <v>5601</v>
      </c>
      <c r="I914" s="14" t="s">
        <v>2458</v>
      </c>
      <c r="J914" s="33" t="s">
        <v>7110</v>
      </c>
      <c r="K914" s="33" t="s">
        <v>3854</v>
      </c>
      <c r="L914" s="68">
        <v>0</v>
      </c>
      <c r="M914" s="68" t="s">
        <v>8915</v>
      </c>
      <c r="N914" s="68">
        <v>0</v>
      </c>
      <c r="O914" s="68">
        <v>0</v>
      </c>
      <c r="P914" s="198" t="s">
        <v>5654</v>
      </c>
    </row>
    <row r="915" spans="1:16" ht="18.75" hidden="1">
      <c r="A915" s="50" t="s">
        <v>3809</v>
      </c>
      <c r="B915" s="50" t="s">
        <v>3720</v>
      </c>
      <c r="C915" s="50" t="s">
        <v>3852</v>
      </c>
      <c r="D915" s="50" t="s">
        <v>3767</v>
      </c>
      <c r="E915" s="12" t="s">
        <v>3420</v>
      </c>
      <c r="F915" s="49">
        <v>138200</v>
      </c>
      <c r="G915" s="67" t="s">
        <v>5647</v>
      </c>
      <c r="H915" s="14" t="s">
        <v>5601</v>
      </c>
      <c r="I915" s="14" t="s">
        <v>2458</v>
      </c>
      <c r="J915" s="33" t="s">
        <v>7110</v>
      </c>
      <c r="K915" s="33" t="s">
        <v>3854</v>
      </c>
      <c r="L915" s="68">
        <v>0</v>
      </c>
      <c r="M915" s="68" t="s">
        <v>8915</v>
      </c>
      <c r="N915" s="68">
        <v>0</v>
      </c>
      <c r="O915" s="68">
        <v>0</v>
      </c>
      <c r="P915" s="198" t="s">
        <v>5666</v>
      </c>
    </row>
    <row r="916" spans="1:16" ht="18.75" hidden="1">
      <c r="A916" s="50" t="s">
        <v>3810</v>
      </c>
      <c r="B916" s="50" t="s">
        <v>3834</v>
      </c>
      <c r="C916" s="50" t="s">
        <v>3851</v>
      </c>
      <c r="D916" s="50" t="s">
        <v>3720</v>
      </c>
      <c r="E916" s="12" t="s">
        <v>3420</v>
      </c>
      <c r="F916" s="49">
        <v>72680</v>
      </c>
      <c r="G916" s="67" t="s">
        <v>5647</v>
      </c>
      <c r="H916" s="14" t="s">
        <v>5601</v>
      </c>
      <c r="I916" s="14" t="s">
        <v>2458</v>
      </c>
      <c r="J916" s="33" t="s">
        <v>7110</v>
      </c>
      <c r="K916" s="33" t="s">
        <v>3854</v>
      </c>
      <c r="L916" s="68">
        <v>0</v>
      </c>
      <c r="M916" s="68" t="s">
        <v>8915</v>
      </c>
      <c r="N916" s="68">
        <v>0</v>
      </c>
      <c r="O916" s="68">
        <v>0</v>
      </c>
      <c r="P916" s="198" t="s">
        <v>5669</v>
      </c>
    </row>
    <row r="917" spans="1:16" ht="18.75" hidden="1">
      <c r="A917" s="50" t="s">
        <v>3811</v>
      </c>
      <c r="B917" s="50" t="s">
        <v>3828</v>
      </c>
      <c r="C917" s="50" t="s">
        <v>3851</v>
      </c>
      <c r="D917" s="50" t="s">
        <v>3720</v>
      </c>
      <c r="E917" s="12" t="s">
        <v>3420</v>
      </c>
      <c r="F917" s="49">
        <v>29940</v>
      </c>
      <c r="G917" s="67" t="s">
        <v>5647</v>
      </c>
      <c r="H917" s="14" t="s">
        <v>5601</v>
      </c>
      <c r="I917" s="14" t="s">
        <v>2458</v>
      </c>
      <c r="J917" s="33" t="s">
        <v>7110</v>
      </c>
      <c r="K917" s="33" t="s">
        <v>3854</v>
      </c>
      <c r="L917" s="68">
        <v>0</v>
      </c>
      <c r="M917" s="68" t="s">
        <v>8915</v>
      </c>
      <c r="N917" s="68">
        <v>0</v>
      </c>
      <c r="O917" s="68">
        <v>0</v>
      </c>
      <c r="P917" s="198" t="s">
        <v>5669</v>
      </c>
    </row>
    <row r="918" spans="1:16" ht="18.75" hidden="1">
      <c r="A918" s="50" t="s">
        <v>3809</v>
      </c>
      <c r="B918" s="50" t="s">
        <v>3720</v>
      </c>
      <c r="C918" s="50" t="s">
        <v>3846</v>
      </c>
      <c r="D918" s="50" t="s">
        <v>3671</v>
      </c>
      <c r="E918" s="12" t="s">
        <v>3420</v>
      </c>
      <c r="F918" s="49">
        <v>69320</v>
      </c>
      <c r="G918" s="67" t="s">
        <v>5631</v>
      </c>
      <c r="H918" s="14" t="s">
        <v>5601</v>
      </c>
      <c r="I918" s="14" t="s">
        <v>2458</v>
      </c>
      <c r="J918" s="33" t="s">
        <v>7110</v>
      </c>
      <c r="K918" s="33" t="s">
        <v>3854</v>
      </c>
      <c r="L918" s="68">
        <v>0</v>
      </c>
      <c r="M918" s="68" t="s">
        <v>8915</v>
      </c>
      <c r="N918" s="68">
        <v>0</v>
      </c>
      <c r="O918" s="68">
        <v>0</v>
      </c>
      <c r="P918" s="197" t="s">
        <v>5668</v>
      </c>
    </row>
    <row r="919" spans="1:16" ht="18.75" hidden="1">
      <c r="A919" s="50" t="s">
        <v>3811</v>
      </c>
      <c r="B919" s="50" t="s">
        <v>3828</v>
      </c>
      <c r="C919" s="50" t="s">
        <v>3849</v>
      </c>
      <c r="D919" s="50" t="s">
        <v>3721</v>
      </c>
      <c r="E919" s="12" t="s">
        <v>3420</v>
      </c>
      <c r="F919" s="49">
        <v>70720</v>
      </c>
      <c r="G919" s="67" t="s">
        <v>5611</v>
      </c>
      <c r="H919" s="14" t="s">
        <v>5601</v>
      </c>
      <c r="I919" s="14" t="s">
        <v>2458</v>
      </c>
      <c r="J919" s="33" t="s">
        <v>7110</v>
      </c>
      <c r="K919" s="33" t="s">
        <v>3854</v>
      </c>
      <c r="L919" s="68">
        <v>0</v>
      </c>
      <c r="M919" s="68" t="s">
        <v>8915</v>
      </c>
      <c r="N919" s="68">
        <v>0</v>
      </c>
      <c r="O919" s="68">
        <v>0</v>
      </c>
      <c r="P919" s="198" t="s">
        <v>5658</v>
      </c>
    </row>
    <row r="920" spans="1:16" ht="18.75" hidden="1">
      <c r="A920" s="50" t="s">
        <v>3811</v>
      </c>
      <c r="B920" s="50" t="s">
        <v>3828</v>
      </c>
      <c r="C920" s="50" t="s">
        <v>3846</v>
      </c>
      <c r="D920" s="50" t="s">
        <v>3671</v>
      </c>
      <c r="E920" s="12" t="s">
        <v>3420</v>
      </c>
      <c r="F920" s="49">
        <v>19820</v>
      </c>
      <c r="G920" s="67" t="s">
        <v>5631</v>
      </c>
      <c r="H920" s="14" t="s">
        <v>5601</v>
      </c>
      <c r="I920" s="14" t="s">
        <v>2458</v>
      </c>
      <c r="J920" s="33" t="s">
        <v>7110</v>
      </c>
      <c r="K920" s="33" t="s">
        <v>3854</v>
      </c>
      <c r="L920" s="68">
        <v>0</v>
      </c>
      <c r="M920" s="68" t="s">
        <v>8915</v>
      </c>
      <c r="N920" s="68">
        <v>0</v>
      </c>
      <c r="O920" s="68">
        <v>0</v>
      </c>
      <c r="P920" s="197" t="s">
        <v>5668</v>
      </c>
    </row>
    <row r="921" spans="1:16" ht="18.75" hidden="1">
      <c r="A921" s="50" t="s">
        <v>3812</v>
      </c>
      <c r="B921" s="50" t="s">
        <v>3671</v>
      </c>
      <c r="C921" s="50" t="s">
        <v>3843</v>
      </c>
      <c r="D921" s="50" t="s">
        <v>3723</v>
      </c>
      <c r="E921" s="12" t="s">
        <v>3420</v>
      </c>
      <c r="F921" s="49">
        <v>44380</v>
      </c>
      <c r="G921" s="67" t="s">
        <v>5611</v>
      </c>
      <c r="H921" s="14" t="s">
        <v>5601</v>
      </c>
      <c r="I921" s="14" t="s">
        <v>2458</v>
      </c>
      <c r="J921" s="33" t="s">
        <v>7110</v>
      </c>
      <c r="K921" s="33" t="s">
        <v>3854</v>
      </c>
      <c r="L921" s="68">
        <v>0</v>
      </c>
      <c r="M921" s="68" t="s">
        <v>8915</v>
      </c>
      <c r="N921" s="68">
        <v>0</v>
      </c>
      <c r="O921" s="68">
        <v>0</v>
      </c>
      <c r="P921" s="198" t="s">
        <v>5659</v>
      </c>
    </row>
    <row r="922" spans="1:16" ht="18.75" hidden="1">
      <c r="A922" s="50" t="s">
        <v>3812</v>
      </c>
      <c r="B922" s="50" t="s">
        <v>3671</v>
      </c>
      <c r="C922" s="50" t="s">
        <v>3852</v>
      </c>
      <c r="D922" s="50" t="s">
        <v>3767</v>
      </c>
      <c r="E922" s="12" t="s">
        <v>3420</v>
      </c>
      <c r="F922" s="49">
        <v>209760</v>
      </c>
      <c r="G922" s="67" t="s">
        <v>5647</v>
      </c>
      <c r="H922" s="14" t="s">
        <v>5601</v>
      </c>
      <c r="I922" s="14" t="s">
        <v>2458</v>
      </c>
      <c r="J922" s="33" t="s">
        <v>7110</v>
      </c>
      <c r="K922" s="33" t="s">
        <v>3854</v>
      </c>
      <c r="L922" s="68">
        <v>0</v>
      </c>
      <c r="M922" s="68" t="s">
        <v>8915</v>
      </c>
      <c r="N922" s="68">
        <v>0</v>
      </c>
      <c r="O922" s="68">
        <v>0</v>
      </c>
      <c r="P922" s="198" t="s">
        <v>5666</v>
      </c>
    </row>
    <row r="923" spans="1:16" ht="18.75" hidden="1">
      <c r="A923" s="50" t="s">
        <v>3813</v>
      </c>
      <c r="B923" s="50" t="s">
        <v>3832</v>
      </c>
      <c r="C923" s="50" t="s">
        <v>3851</v>
      </c>
      <c r="D923" s="50" t="s">
        <v>3720</v>
      </c>
      <c r="E923" s="12" t="s">
        <v>3420</v>
      </c>
      <c r="F923" s="49">
        <v>117700</v>
      </c>
      <c r="G923" s="67" t="s">
        <v>5647</v>
      </c>
      <c r="H923" s="14" t="s">
        <v>5601</v>
      </c>
      <c r="I923" s="14" t="s">
        <v>2458</v>
      </c>
      <c r="J923" s="33" t="s">
        <v>7110</v>
      </c>
      <c r="K923" s="33" t="s">
        <v>3854</v>
      </c>
      <c r="L923" s="68">
        <v>0</v>
      </c>
      <c r="M923" s="68" t="s">
        <v>8915</v>
      </c>
      <c r="N923" s="68">
        <v>0</v>
      </c>
      <c r="O923" s="68">
        <v>0</v>
      </c>
      <c r="P923" s="198" t="s">
        <v>5669</v>
      </c>
    </row>
    <row r="924" spans="1:16" ht="18.75" hidden="1">
      <c r="A924" s="50" t="s">
        <v>3814</v>
      </c>
      <c r="B924" s="50" t="s">
        <v>3834</v>
      </c>
      <c r="C924" s="50" t="s">
        <v>3851</v>
      </c>
      <c r="D924" s="50" t="s">
        <v>3720</v>
      </c>
      <c r="E924" s="12" t="s">
        <v>3420</v>
      </c>
      <c r="F924" s="49">
        <v>120580</v>
      </c>
      <c r="G924" s="67" t="s">
        <v>5647</v>
      </c>
      <c r="H924" s="14" t="s">
        <v>5601</v>
      </c>
      <c r="I924" s="14" t="s">
        <v>2458</v>
      </c>
      <c r="J924" s="33" t="s">
        <v>7110</v>
      </c>
      <c r="K924" s="33" t="s">
        <v>3854</v>
      </c>
      <c r="L924" s="68">
        <v>0</v>
      </c>
      <c r="M924" s="68" t="s">
        <v>8915</v>
      </c>
      <c r="N924" s="68">
        <v>0</v>
      </c>
      <c r="O924" s="68">
        <v>0</v>
      </c>
      <c r="P924" s="198" t="s">
        <v>5669</v>
      </c>
    </row>
    <row r="925" spans="1:16" ht="18.75" hidden="1">
      <c r="A925" s="50" t="s">
        <v>3810</v>
      </c>
      <c r="B925" s="50" t="s">
        <v>3834</v>
      </c>
      <c r="C925" s="50" t="s">
        <v>3843</v>
      </c>
      <c r="D925" s="50" t="s">
        <v>3723</v>
      </c>
      <c r="E925" s="12" t="s">
        <v>3420</v>
      </c>
      <c r="F925" s="49">
        <v>94420</v>
      </c>
      <c r="G925" s="67" t="s">
        <v>5611</v>
      </c>
      <c r="H925" s="14" t="s">
        <v>5601</v>
      </c>
      <c r="I925" s="14" t="s">
        <v>2458</v>
      </c>
      <c r="J925" s="33" t="s">
        <v>7110</v>
      </c>
      <c r="K925" s="33" t="s">
        <v>3854</v>
      </c>
      <c r="L925" s="68">
        <v>0</v>
      </c>
      <c r="M925" s="68" t="s">
        <v>8915</v>
      </c>
      <c r="N925" s="68">
        <v>0</v>
      </c>
      <c r="O925" s="68">
        <v>0</v>
      </c>
      <c r="P925" s="198" t="s">
        <v>5659</v>
      </c>
    </row>
    <row r="926" spans="1:16" ht="18.75" hidden="1">
      <c r="A926" s="50" t="s">
        <v>3811</v>
      </c>
      <c r="B926" s="50" t="s">
        <v>3828</v>
      </c>
      <c r="C926" s="50" t="s">
        <v>3838</v>
      </c>
      <c r="D926" s="50" t="s">
        <v>3830</v>
      </c>
      <c r="E926" s="12" t="s">
        <v>3420</v>
      </c>
      <c r="F926" s="49">
        <v>88800</v>
      </c>
      <c r="G926" s="67" t="s">
        <v>5647</v>
      </c>
      <c r="H926" s="14" t="s">
        <v>5601</v>
      </c>
      <c r="I926" s="14" t="s">
        <v>2458</v>
      </c>
      <c r="J926" s="33" t="s">
        <v>7110</v>
      </c>
      <c r="K926" s="33" t="s">
        <v>3854</v>
      </c>
      <c r="L926" s="68">
        <v>0</v>
      </c>
      <c r="M926" s="68" t="s">
        <v>8915</v>
      </c>
      <c r="N926" s="68">
        <v>0</v>
      </c>
      <c r="O926" s="68">
        <v>0</v>
      </c>
      <c r="P926" s="198" t="s">
        <v>5673</v>
      </c>
    </row>
    <row r="927" spans="1:16" ht="18.75" hidden="1">
      <c r="A927" s="50" t="s">
        <v>3815</v>
      </c>
      <c r="B927" s="50" t="s">
        <v>3720</v>
      </c>
      <c r="C927" s="50" t="s">
        <v>3846</v>
      </c>
      <c r="D927" s="50" t="s">
        <v>3671</v>
      </c>
      <c r="E927" s="12" t="s">
        <v>3420</v>
      </c>
      <c r="F927" s="49">
        <v>46980</v>
      </c>
      <c r="G927" s="67" t="s">
        <v>5631</v>
      </c>
      <c r="H927" s="14" t="s">
        <v>5601</v>
      </c>
      <c r="I927" s="14" t="s">
        <v>2458</v>
      </c>
      <c r="J927" s="33" t="s">
        <v>7110</v>
      </c>
      <c r="K927" s="33" t="s">
        <v>3854</v>
      </c>
      <c r="L927" s="68">
        <v>0</v>
      </c>
      <c r="M927" s="68" t="s">
        <v>8915</v>
      </c>
      <c r="N927" s="68">
        <v>0</v>
      </c>
      <c r="O927" s="68">
        <v>0</v>
      </c>
      <c r="P927" s="197" t="s">
        <v>5668</v>
      </c>
    </row>
    <row r="928" spans="1:16" ht="18.75" hidden="1">
      <c r="A928" s="50" t="s">
        <v>3813</v>
      </c>
      <c r="B928" s="50" t="s">
        <v>3832</v>
      </c>
      <c r="C928" s="50" t="s">
        <v>3849</v>
      </c>
      <c r="D928" s="50" t="s">
        <v>3721</v>
      </c>
      <c r="E928" s="12" t="s">
        <v>3420</v>
      </c>
      <c r="F928" s="49">
        <v>46800</v>
      </c>
      <c r="G928" s="67" t="s">
        <v>5611</v>
      </c>
      <c r="H928" s="14" t="s">
        <v>5601</v>
      </c>
      <c r="I928" s="14" t="s">
        <v>2458</v>
      </c>
      <c r="J928" s="33" t="s">
        <v>7110</v>
      </c>
      <c r="K928" s="33" t="s">
        <v>3854</v>
      </c>
      <c r="L928" s="68">
        <v>0</v>
      </c>
      <c r="M928" s="68" t="s">
        <v>8915</v>
      </c>
      <c r="N928" s="68">
        <v>0</v>
      </c>
      <c r="O928" s="68">
        <v>0</v>
      </c>
      <c r="P928" s="198" t="s">
        <v>5658</v>
      </c>
    </row>
    <row r="929" spans="1:16" ht="18.75" hidden="1">
      <c r="A929" s="50" t="s">
        <v>3816</v>
      </c>
      <c r="B929" s="50" t="s">
        <v>3767</v>
      </c>
      <c r="C929" s="50" t="s">
        <v>3646</v>
      </c>
      <c r="D929" s="50" t="s">
        <v>3668</v>
      </c>
      <c r="E929" s="12" t="s">
        <v>3420</v>
      </c>
      <c r="F929" s="49">
        <v>136920</v>
      </c>
      <c r="G929" s="67" t="s">
        <v>5611</v>
      </c>
      <c r="H929" s="14" t="s">
        <v>5601</v>
      </c>
      <c r="I929" s="14" t="s">
        <v>2458</v>
      </c>
      <c r="J929" s="33" t="s">
        <v>7110</v>
      </c>
      <c r="K929" s="33" t="s">
        <v>3854</v>
      </c>
      <c r="L929" s="68">
        <v>0</v>
      </c>
      <c r="M929" s="68" t="s">
        <v>8915</v>
      </c>
      <c r="N929" s="68">
        <v>0</v>
      </c>
      <c r="O929" s="68">
        <v>0</v>
      </c>
      <c r="P929" s="198" t="s">
        <v>5654</v>
      </c>
    </row>
    <row r="930" spans="1:16" ht="18.75" hidden="1">
      <c r="A930" s="50" t="s">
        <v>3817</v>
      </c>
      <c r="B930" s="50" t="s">
        <v>3828</v>
      </c>
      <c r="C930" s="50" t="s">
        <v>3849</v>
      </c>
      <c r="D930" s="50" t="s">
        <v>3721</v>
      </c>
      <c r="E930" s="12" t="s">
        <v>3420</v>
      </c>
      <c r="F930" s="49">
        <v>67840</v>
      </c>
      <c r="G930" s="67" t="s">
        <v>5611</v>
      </c>
      <c r="H930" s="14" t="s">
        <v>5601</v>
      </c>
      <c r="I930" s="14" t="s">
        <v>2458</v>
      </c>
      <c r="J930" s="33" t="s">
        <v>7110</v>
      </c>
      <c r="K930" s="33" t="s">
        <v>3854</v>
      </c>
      <c r="L930" s="68">
        <v>0</v>
      </c>
      <c r="M930" s="68" t="s">
        <v>8915</v>
      </c>
      <c r="N930" s="68">
        <v>0</v>
      </c>
      <c r="O930" s="68">
        <v>0</v>
      </c>
      <c r="P930" s="198" t="s">
        <v>5658</v>
      </c>
    </row>
    <row r="931" spans="1:16" ht="18.75" hidden="1">
      <c r="A931" s="50" t="s">
        <v>3818</v>
      </c>
      <c r="B931" s="50" t="s">
        <v>3767</v>
      </c>
      <c r="C931" s="50" t="s">
        <v>3840</v>
      </c>
      <c r="D931" s="50" t="s">
        <v>3661</v>
      </c>
      <c r="E931" s="12" t="s">
        <v>3420</v>
      </c>
      <c r="F931" s="49">
        <v>170760</v>
      </c>
      <c r="G931" s="67" t="s">
        <v>5611</v>
      </c>
      <c r="H931" s="14" t="s">
        <v>5601</v>
      </c>
      <c r="I931" s="14" t="s">
        <v>2458</v>
      </c>
      <c r="J931" s="33" t="s">
        <v>7110</v>
      </c>
      <c r="K931" s="33" t="s">
        <v>3854</v>
      </c>
      <c r="L931" s="68">
        <v>0</v>
      </c>
      <c r="M931" s="68" t="s">
        <v>8915</v>
      </c>
      <c r="N931" s="68">
        <v>0</v>
      </c>
      <c r="O931" s="68">
        <v>0</v>
      </c>
      <c r="P931" s="198" t="s">
        <v>5654</v>
      </c>
    </row>
    <row r="932" spans="1:16" ht="18.75" hidden="1">
      <c r="A932" s="50" t="s">
        <v>3816</v>
      </c>
      <c r="B932" s="50" t="s">
        <v>3767</v>
      </c>
      <c r="C932" s="50" t="s">
        <v>3840</v>
      </c>
      <c r="D932" s="50" t="s">
        <v>3661</v>
      </c>
      <c r="E932" s="12" t="s">
        <v>3420</v>
      </c>
      <c r="F932" s="49">
        <v>52820</v>
      </c>
      <c r="G932" s="67" t="s">
        <v>5611</v>
      </c>
      <c r="H932" s="14" t="s">
        <v>5601</v>
      </c>
      <c r="I932" s="14" t="s">
        <v>2458</v>
      </c>
      <c r="J932" s="33" t="s">
        <v>7110</v>
      </c>
      <c r="K932" s="33" t="s">
        <v>3854</v>
      </c>
      <c r="L932" s="68">
        <v>0</v>
      </c>
      <c r="M932" s="68" t="s">
        <v>8915</v>
      </c>
      <c r="N932" s="68">
        <v>0</v>
      </c>
      <c r="O932" s="68">
        <v>0</v>
      </c>
      <c r="P932" s="198" t="s">
        <v>5654</v>
      </c>
    </row>
    <row r="933" spans="1:16" ht="18.75" hidden="1">
      <c r="A933" s="50" t="s">
        <v>3819</v>
      </c>
      <c r="B933" s="50" t="s">
        <v>3828</v>
      </c>
      <c r="C933" s="50" t="s">
        <v>3840</v>
      </c>
      <c r="D933" s="50" t="s">
        <v>3661</v>
      </c>
      <c r="E933" s="12" t="s">
        <v>3420</v>
      </c>
      <c r="F933" s="49">
        <v>140370</v>
      </c>
      <c r="G933" s="67" t="s">
        <v>5611</v>
      </c>
      <c r="H933" s="14" t="s">
        <v>5601</v>
      </c>
      <c r="I933" s="14" t="s">
        <v>2458</v>
      </c>
      <c r="J933" s="33" t="s">
        <v>7110</v>
      </c>
      <c r="K933" s="33" t="s">
        <v>3854</v>
      </c>
      <c r="L933" s="68">
        <v>0</v>
      </c>
      <c r="M933" s="68" t="s">
        <v>8915</v>
      </c>
      <c r="N933" s="68">
        <v>0</v>
      </c>
      <c r="O933" s="68">
        <v>0</v>
      </c>
      <c r="P933" s="198" t="s">
        <v>5654</v>
      </c>
    </row>
    <row r="934" spans="1:16" ht="18.75" hidden="1">
      <c r="A934" s="50" t="s">
        <v>3802</v>
      </c>
      <c r="B934" s="50" t="s">
        <v>3722</v>
      </c>
      <c r="C934" s="50" t="s">
        <v>3853</v>
      </c>
      <c r="D934" s="50" t="s">
        <v>3668</v>
      </c>
      <c r="E934" s="12" t="s">
        <v>3420</v>
      </c>
      <c r="F934" s="49">
        <v>312502</v>
      </c>
      <c r="G934" s="67" t="s">
        <v>5611</v>
      </c>
      <c r="H934" s="14" t="s">
        <v>5601</v>
      </c>
      <c r="I934" s="14" t="s">
        <v>2458</v>
      </c>
      <c r="J934" s="33" t="s">
        <v>7110</v>
      </c>
      <c r="K934" s="33" t="s">
        <v>3854</v>
      </c>
      <c r="L934" s="68">
        <v>0</v>
      </c>
      <c r="M934" s="68" t="s">
        <v>8915</v>
      </c>
      <c r="N934" s="68">
        <v>0</v>
      </c>
      <c r="O934" s="68">
        <v>0</v>
      </c>
      <c r="P934" s="198" t="s">
        <v>5654</v>
      </c>
    </row>
    <row r="935" spans="1:16" ht="18.75" hidden="1">
      <c r="A935" s="50" t="s">
        <v>3806</v>
      </c>
      <c r="B935" s="50" t="s">
        <v>3833</v>
      </c>
      <c r="C935" s="50" t="s">
        <v>3853</v>
      </c>
      <c r="D935" s="50" t="s">
        <v>3668</v>
      </c>
      <c r="E935" s="12" t="s">
        <v>3420</v>
      </c>
      <c r="F935" s="49">
        <v>87498</v>
      </c>
      <c r="G935" s="67" t="s">
        <v>5611</v>
      </c>
      <c r="H935" s="14" t="s">
        <v>5601</v>
      </c>
      <c r="I935" s="14" t="s">
        <v>2458</v>
      </c>
      <c r="J935" s="33" t="s">
        <v>7110</v>
      </c>
      <c r="K935" s="33" t="s">
        <v>3854</v>
      </c>
      <c r="L935" s="68">
        <v>0</v>
      </c>
      <c r="M935" s="68" t="s">
        <v>8915</v>
      </c>
      <c r="N935" s="68">
        <v>0</v>
      </c>
      <c r="O935" s="68">
        <v>0</v>
      </c>
      <c r="P935" s="198" t="s">
        <v>5654</v>
      </c>
    </row>
    <row r="936" spans="1:16" ht="18.75" hidden="1">
      <c r="A936" s="50" t="s">
        <v>3855</v>
      </c>
      <c r="B936" s="50" t="s">
        <v>3820</v>
      </c>
      <c r="C936" s="50" t="s">
        <v>3874</v>
      </c>
      <c r="D936" s="50" t="s">
        <v>3463</v>
      </c>
      <c r="E936" s="12" t="s">
        <v>3420</v>
      </c>
      <c r="F936" s="49">
        <v>116551</v>
      </c>
      <c r="G936" s="67" t="s">
        <v>5611</v>
      </c>
      <c r="H936" s="14" t="s">
        <v>5601</v>
      </c>
      <c r="I936" s="14" t="s">
        <v>2458</v>
      </c>
      <c r="J936" s="33" t="s">
        <v>7110</v>
      </c>
      <c r="K936" s="33" t="s">
        <v>3900</v>
      </c>
      <c r="L936" s="68">
        <v>0</v>
      </c>
      <c r="M936" s="68" t="s">
        <v>8915</v>
      </c>
      <c r="N936" s="68">
        <v>0</v>
      </c>
      <c r="O936" s="68">
        <v>0</v>
      </c>
      <c r="P936" s="198" t="s">
        <v>5640</v>
      </c>
    </row>
    <row r="937" spans="1:16" ht="18.75" hidden="1">
      <c r="A937" s="50" t="s">
        <v>3855</v>
      </c>
      <c r="B937" s="50" t="s">
        <v>3820</v>
      </c>
      <c r="C937" s="50" t="s">
        <v>3875</v>
      </c>
      <c r="D937" s="50" t="s">
        <v>3463</v>
      </c>
      <c r="E937" s="12" t="s">
        <v>3420</v>
      </c>
      <c r="F937" s="49">
        <v>78769</v>
      </c>
      <c r="G937" s="67" t="s">
        <v>5611</v>
      </c>
      <c r="H937" s="14" t="s">
        <v>5601</v>
      </c>
      <c r="I937" s="14" t="s">
        <v>2458</v>
      </c>
      <c r="J937" s="33" t="s">
        <v>7110</v>
      </c>
      <c r="K937" s="33" t="s">
        <v>3900</v>
      </c>
      <c r="L937" s="68">
        <v>0</v>
      </c>
      <c r="M937" s="68" t="s">
        <v>8915</v>
      </c>
      <c r="N937" s="68">
        <v>0</v>
      </c>
      <c r="O937" s="68">
        <v>0</v>
      </c>
      <c r="P937" s="198" t="s">
        <v>5640</v>
      </c>
    </row>
    <row r="938" spans="1:16" ht="18.75" hidden="1">
      <c r="A938" s="50" t="s">
        <v>3855</v>
      </c>
      <c r="B938" s="50" t="s">
        <v>3820</v>
      </c>
      <c r="C938" s="50" t="s">
        <v>3876</v>
      </c>
      <c r="D938" s="50" t="s">
        <v>3556</v>
      </c>
      <c r="E938" s="12" t="s">
        <v>3420</v>
      </c>
      <c r="F938" s="49">
        <v>198820</v>
      </c>
      <c r="G938" s="67" t="s">
        <v>5611</v>
      </c>
      <c r="H938" s="14" t="s">
        <v>5601</v>
      </c>
      <c r="I938" s="14" t="s">
        <v>2458</v>
      </c>
      <c r="J938" s="33" t="s">
        <v>7110</v>
      </c>
      <c r="K938" s="33" t="s">
        <v>3900</v>
      </c>
      <c r="L938" s="68">
        <v>0</v>
      </c>
      <c r="M938" s="68" t="s">
        <v>8915</v>
      </c>
      <c r="N938" s="68">
        <v>0</v>
      </c>
      <c r="O938" s="68">
        <v>0</v>
      </c>
      <c r="P938" s="198" t="s">
        <v>5635</v>
      </c>
    </row>
    <row r="939" spans="1:16" ht="18.75" hidden="1">
      <c r="A939" s="50" t="s">
        <v>3855</v>
      </c>
      <c r="B939" s="50" t="s">
        <v>3820</v>
      </c>
      <c r="C939" s="50" t="s">
        <v>3877</v>
      </c>
      <c r="D939" s="50" t="s">
        <v>3556</v>
      </c>
      <c r="E939" s="12" t="s">
        <v>3420</v>
      </c>
      <c r="F939" s="49">
        <v>206460</v>
      </c>
      <c r="G939" s="67" t="s">
        <v>5611</v>
      </c>
      <c r="H939" s="14" t="s">
        <v>5601</v>
      </c>
      <c r="I939" s="14" t="s">
        <v>2458</v>
      </c>
      <c r="J939" s="33" t="s">
        <v>7110</v>
      </c>
      <c r="K939" s="33" t="s">
        <v>3900</v>
      </c>
      <c r="L939" s="68">
        <v>0</v>
      </c>
      <c r="M939" s="68" t="s">
        <v>8915</v>
      </c>
      <c r="N939" s="68">
        <v>0</v>
      </c>
      <c r="O939" s="68">
        <v>0</v>
      </c>
      <c r="P939" s="198" t="s">
        <v>5635</v>
      </c>
    </row>
    <row r="940" spans="1:16" ht="18.75" hidden="1">
      <c r="A940" s="50" t="s">
        <v>3856</v>
      </c>
      <c r="B940" s="50" t="s">
        <v>3820</v>
      </c>
      <c r="C940" s="50" t="s">
        <v>3755</v>
      </c>
      <c r="D940" s="50" t="s">
        <v>3661</v>
      </c>
      <c r="E940" s="12" t="s">
        <v>3420</v>
      </c>
      <c r="F940" s="49">
        <v>236092</v>
      </c>
      <c r="G940" s="67" t="s">
        <v>5631</v>
      </c>
      <c r="H940" s="14" t="s">
        <v>5601</v>
      </c>
      <c r="I940" s="14" t="s">
        <v>2458</v>
      </c>
      <c r="J940" s="33" t="s">
        <v>7110</v>
      </c>
      <c r="K940" s="33" t="s">
        <v>3900</v>
      </c>
      <c r="L940" s="68">
        <v>0</v>
      </c>
      <c r="M940" s="68" t="s">
        <v>8915</v>
      </c>
      <c r="N940" s="68">
        <v>0</v>
      </c>
      <c r="O940" s="68">
        <v>0</v>
      </c>
      <c r="P940" s="197" t="s">
        <v>5651</v>
      </c>
    </row>
    <row r="941" spans="1:16" ht="18.75" hidden="1">
      <c r="A941" s="50" t="s">
        <v>3857</v>
      </c>
      <c r="B941" s="50" t="s">
        <v>3829</v>
      </c>
      <c r="C941" s="50" t="s">
        <v>3878</v>
      </c>
      <c r="D941" s="50" t="s">
        <v>3670</v>
      </c>
      <c r="E941" s="12" t="s">
        <v>3420</v>
      </c>
      <c r="F941" s="49">
        <v>10420</v>
      </c>
      <c r="G941" s="67" t="s">
        <v>5611</v>
      </c>
      <c r="H941" s="14" t="s">
        <v>5601</v>
      </c>
      <c r="I941" s="14" t="s">
        <v>2458</v>
      </c>
      <c r="J941" s="33" t="s">
        <v>7110</v>
      </c>
      <c r="K941" s="33" t="s">
        <v>3900</v>
      </c>
      <c r="L941" s="68">
        <v>0</v>
      </c>
      <c r="M941" s="68" t="s">
        <v>8915</v>
      </c>
      <c r="N941" s="68">
        <v>0</v>
      </c>
      <c r="O941" s="68">
        <v>0</v>
      </c>
      <c r="P941" s="198" t="s">
        <v>5635</v>
      </c>
    </row>
    <row r="942" spans="1:16" ht="18.75" hidden="1">
      <c r="A942" s="50" t="s">
        <v>3856</v>
      </c>
      <c r="B942" s="50" t="s">
        <v>3820</v>
      </c>
      <c r="C942" s="50" t="s">
        <v>3759</v>
      </c>
      <c r="D942" s="50" t="s">
        <v>3668</v>
      </c>
      <c r="E942" s="12" t="s">
        <v>3420</v>
      </c>
      <c r="F942" s="49">
        <v>5140</v>
      </c>
      <c r="G942" s="67" t="s">
        <v>5631</v>
      </c>
      <c r="H942" s="14" t="s">
        <v>5601</v>
      </c>
      <c r="I942" s="14" t="s">
        <v>2458</v>
      </c>
      <c r="J942" s="33" t="s">
        <v>7110</v>
      </c>
      <c r="K942" s="33" t="s">
        <v>3900</v>
      </c>
      <c r="L942" s="68">
        <v>0</v>
      </c>
      <c r="M942" s="68" t="s">
        <v>8915</v>
      </c>
      <c r="N942" s="68">
        <v>0</v>
      </c>
      <c r="O942" s="68">
        <v>0</v>
      </c>
      <c r="P942" s="197" t="s">
        <v>5651</v>
      </c>
    </row>
    <row r="943" spans="1:16" ht="18.75" hidden="1">
      <c r="A943" s="50" t="s">
        <v>3858</v>
      </c>
      <c r="B943" s="50" t="s">
        <v>3768</v>
      </c>
      <c r="C943" s="50" t="s">
        <v>3879</v>
      </c>
      <c r="D943" s="50" t="s">
        <v>3715</v>
      </c>
      <c r="E943" s="12" t="s">
        <v>3420</v>
      </c>
      <c r="F943" s="49">
        <v>151980</v>
      </c>
      <c r="G943" s="67" t="s">
        <v>5616</v>
      </c>
      <c r="H943" s="14" t="s">
        <v>5601</v>
      </c>
      <c r="I943" s="14" t="s">
        <v>2458</v>
      </c>
      <c r="J943" s="33" t="s">
        <v>7110</v>
      </c>
      <c r="K943" s="33" t="s">
        <v>3900</v>
      </c>
      <c r="L943" s="68">
        <v>0</v>
      </c>
      <c r="M943" s="68" t="s">
        <v>8915</v>
      </c>
      <c r="N943" s="68">
        <v>0</v>
      </c>
      <c r="O943" s="68">
        <v>0</v>
      </c>
      <c r="P943" s="198" t="s">
        <v>5661</v>
      </c>
    </row>
    <row r="944" spans="1:16" ht="18.75" hidden="1">
      <c r="A944" s="50" t="s">
        <v>3858</v>
      </c>
      <c r="B944" s="50" t="s">
        <v>3768</v>
      </c>
      <c r="C944" s="50" t="s">
        <v>3880</v>
      </c>
      <c r="D944" s="50" t="s">
        <v>3671</v>
      </c>
      <c r="E944" s="12" t="s">
        <v>3420</v>
      </c>
      <c r="F944" s="49">
        <v>123466</v>
      </c>
      <c r="G944" s="67" t="s">
        <v>5631</v>
      </c>
      <c r="H944" s="14" t="s">
        <v>5601</v>
      </c>
      <c r="I944" s="14" t="s">
        <v>2458</v>
      </c>
      <c r="J944" s="33" t="s">
        <v>7110</v>
      </c>
      <c r="K944" s="33" t="s">
        <v>3900</v>
      </c>
      <c r="L944" s="68">
        <v>0</v>
      </c>
      <c r="M944" s="68" t="s">
        <v>8915</v>
      </c>
      <c r="N944" s="68">
        <v>0</v>
      </c>
      <c r="O944" s="68">
        <v>0</v>
      </c>
      <c r="P944" s="197" t="s">
        <v>5662</v>
      </c>
    </row>
    <row r="945" spans="1:16" ht="18.75" hidden="1">
      <c r="A945" s="50" t="s">
        <v>3859</v>
      </c>
      <c r="B945" s="50" t="s">
        <v>3768</v>
      </c>
      <c r="C945" s="50" t="s">
        <v>3881</v>
      </c>
      <c r="D945" s="50" t="s">
        <v>3664</v>
      </c>
      <c r="E945" s="12" t="s">
        <v>3420</v>
      </c>
      <c r="F945" s="49">
        <v>1000000</v>
      </c>
      <c r="G945" s="67" t="s">
        <v>5611</v>
      </c>
      <c r="H945" s="14" t="s">
        <v>5601</v>
      </c>
      <c r="I945" s="14" t="s">
        <v>2458</v>
      </c>
      <c r="J945" s="33" t="s">
        <v>7110</v>
      </c>
      <c r="K945" s="33" t="s">
        <v>3900</v>
      </c>
      <c r="L945" s="68">
        <v>0</v>
      </c>
      <c r="M945" s="68" t="s">
        <v>8915</v>
      </c>
      <c r="N945" s="68">
        <v>0</v>
      </c>
      <c r="O945" s="68">
        <v>0</v>
      </c>
      <c r="P945" s="198" t="s">
        <v>5645</v>
      </c>
    </row>
    <row r="946" spans="1:16" ht="18.75" hidden="1">
      <c r="A946" s="50" t="s">
        <v>3859</v>
      </c>
      <c r="B946" s="50" t="s">
        <v>3768</v>
      </c>
      <c r="C946" s="50" t="s">
        <v>3875</v>
      </c>
      <c r="D946" s="50" t="s">
        <v>3463</v>
      </c>
      <c r="E946" s="12" t="s">
        <v>3420</v>
      </c>
      <c r="F946" s="49">
        <v>1160</v>
      </c>
      <c r="G946" s="67" t="s">
        <v>5611</v>
      </c>
      <c r="H946" s="14" t="s">
        <v>5601</v>
      </c>
      <c r="I946" s="14" t="s">
        <v>2458</v>
      </c>
      <c r="J946" s="33" t="s">
        <v>7110</v>
      </c>
      <c r="K946" s="33" t="s">
        <v>3900</v>
      </c>
      <c r="L946" s="68">
        <v>0</v>
      </c>
      <c r="M946" s="68" t="s">
        <v>8915</v>
      </c>
      <c r="N946" s="68">
        <v>0</v>
      </c>
      <c r="O946" s="68">
        <v>0</v>
      </c>
      <c r="P946" s="198" t="s">
        <v>5640</v>
      </c>
    </row>
    <row r="947" spans="1:16" ht="18.75" hidden="1">
      <c r="A947" s="50" t="s">
        <v>3860</v>
      </c>
      <c r="B947" s="50" t="s">
        <v>3827</v>
      </c>
      <c r="C947" s="50" t="s">
        <v>3882</v>
      </c>
      <c r="D947" s="50" t="s">
        <v>3664</v>
      </c>
      <c r="E947" s="12" t="s">
        <v>3420</v>
      </c>
      <c r="F947" s="49">
        <v>1000000</v>
      </c>
      <c r="G947" s="67" t="s">
        <v>5611</v>
      </c>
      <c r="H947" s="14" t="s">
        <v>5601</v>
      </c>
      <c r="I947" s="14" t="s">
        <v>2458</v>
      </c>
      <c r="J947" s="33" t="s">
        <v>7110</v>
      </c>
      <c r="K947" s="33" t="s">
        <v>3900</v>
      </c>
      <c r="L947" s="68">
        <v>0</v>
      </c>
      <c r="M947" s="68" t="s">
        <v>8915</v>
      </c>
      <c r="N947" s="68">
        <v>0</v>
      </c>
      <c r="O947" s="68">
        <v>0</v>
      </c>
      <c r="P947" s="198" t="s">
        <v>5645</v>
      </c>
    </row>
    <row r="948" spans="1:16" ht="18.75" hidden="1">
      <c r="A948" s="50" t="s">
        <v>3861</v>
      </c>
      <c r="B948" s="50" t="s">
        <v>3827</v>
      </c>
      <c r="C948" s="50" t="s">
        <v>3758</v>
      </c>
      <c r="D948" s="50" t="s">
        <v>3716</v>
      </c>
      <c r="E948" s="12" t="s">
        <v>3420</v>
      </c>
      <c r="F948" s="49">
        <v>497730</v>
      </c>
      <c r="G948" s="67" t="s">
        <v>5616</v>
      </c>
      <c r="H948" s="14" t="s">
        <v>5601</v>
      </c>
      <c r="I948" s="14" t="s">
        <v>2458</v>
      </c>
      <c r="J948" s="33" t="s">
        <v>7110</v>
      </c>
      <c r="K948" s="33" t="s">
        <v>3900</v>
      </c>
      <c r="L948" s="68">
        <v>0</v>
      </c>
      <c r="M948" s="68" t="s">
        <v>8915</v>
      </c>
      <c r="N948" s="68">
        <v>0</v>
      </c>
      <c r="O948" s="68">
        <v>0</v>
      </c>
      <c r="P948" s="198" t="s">
        <v>5661</v>
      </c>
    </row>
    <row r="949" spans="1:16" ht="18.75" hidden="1">
      <c r="A949" s="50" t="s">
        <v>3858</v>
      </c>
      <c r="B949" s="50" t="s">
        <v>3768</v>
      </c>
      <c r="C949" s="50" t="s">
        <v>3758</v>
      </c>
      <c r="D949" s="50" t="s">
        <v>3716</v>
      </c>
      <c r="E949" s="12" t="s">
        <v>3420</v>
      </c>
      <c r="F949" s="49">
        <v>182974</v>
      </c>
      <c r="G949" s="67" t="s">
        <v>5616</v>
      </c>
      <c r="H949" s="14" t="s">
        <v>5601</v>
      </c>
      <c r="I949" s="14" t="s">
        <v>2458</v>
      </c>
      <c r="J949" s="33" t="s">
        <v>7110</v>
      </c>
      <c r="K949" s="33" t="s">
        <v>3900</v>
      </c>
      <c r="L949" s="68">
        <v>0</v>
      </c>
      <c r="M949" s="68" t="s">
        <v>8915</v>
      </c>
      <c r="N949" s="68">
        <v>0</v>
      </c>
      <c r="O949" s="68">
        <v>0</v>
      </c>
      <c r="P949" s="198" t="s">
        <v>5661</v>
      </c>
    </row>
    <row r="950" spans="1:16" ht="18.75" hidden="1">
      <c r="A950" s="50" t="s">
        <v>3857</v>
      </c>
      <c r="B950" s="50" t="s">
        <v>3829</v>
      </c>
      <c r="C950" s="50" t="s">
        <v>3883</v>
      </c>
      <c r="D950" s="50" t="s">
        <v>3559</v>
      </c>
      <c r="E950" s="12" t="s">
        <v>3420</v>
      </c>
      <c r="F950" s="49">
        <v>220000</v>
      </c>
      <c r="G950" s="67" t="s">
        <v>5611</v>
      </c>
      <c r="H950" s="14" t="s">
        <v>5601</v>
      </c>
      <c r="I950" s="14" t="s">
        <v>2458</v>
      </c>
      <c r="J950" s="33" t="s">
        <v>7110</v>
      </c>
      <c r="K950" s="33" t="s">
        <v>3900</v>
      </c>
      <c r="L950" s="68">
        <v>0</v>
      </c>
      <c r="M950" s="68" t="s">
        <v>8915</v>
      </c>
      <c r="N950" s="68">
        <v>0</v>
      </c>
      <c r="O950" s="68">
        <v>0</v>
      </c>
      <c r="P950" s="198" t="s">
        <v>5635</v>
      </c>
    </row>
    <row r="951" spans="1:16" ht="18.75" hidden="1">
      <c r="A951" s="50" t="s">
        <v>3857</v>
      </c>
      <c r="B951" s="50" t="s">
        <v>3829</v>
      </c>
      <c r="C951" s="50" t="s">
        <v>3884</v>
      </c>
      <c r="D951" s="50" t="s">
        <v>3670</v>
      </c>
      <c r="E951" s="12" t="s">
        <v>3420</v>
      </c>
      <c r="F951" s="49">
        <v>164480</v>
      </c>
      <c r="G951" s="67" t="s">
        <v>5611</v>
      </c>
      <c r="H951" s="14" t="s">
        <v>5601</v>
      </c>
      <c r="I951" s="14" t="s">
        <v>2458</v>
      </c>
      <c r="J951" s="33" t="s">
        <v>7110</v>
      </c>
      <c r="K951" s="33" t="s">
        <v>3900</v>
      </c>
      <c r="L951" s="68">
        <v>0</v>
      </c>
      <c r="M951" s="68" t="s">
        <v>8915</v>
      </c>
      <c r="N951" s="68">
        <v>0</v>
      </c>
      <c r="O951" s="68">
        <v>0</v>
      </c>
      <c r="P951" s="198" t="s">
        <v>5635</v>
      </c>
    </row>
    <row r="952" spans="1:16" ht="18.75" hidden="1">
      <c r="A952" s="50" t="s">
        <v>3862</v>
      </c>
      <c r="B952" s="50" t="s">
        <v>3829</v>
      </c>
      <c r="C952" s="50" t="s">
        <v>3885</v>
      </c>
      <c r="D952" s="50" t="s">
        <v>3671</v>
      </c>
      <c r="E952" s="12" t="s">
        <v>3420</v>
      </c>
      <c r="F952" s="49">
        <v>601740</v>
      </c>
      <c r="G952" s="67" t="s">
        <v>5631</v>
      </c>
      <c r="H952" s="14" t="s">
        <v>5601</v>
      </c>
      <c r="I952" s="14" t="s">
        <v>2458</v>
      </c>
      <c r="J952" s="33" t="s">
        <v>7110</v>
      </c>
      <c r="K952" s="33" t="s">
        <v>3900</v>
      </c>
      <c r="L952" s="68">
        <v>0</v>
      </c>
      <c r="M952" s="68" t="s">
        <v>8915</v>
      </c>
      <c r="N952" s="68">
        <v>0</v>
      </c>
      <c r="O952" s="68">
        <v>0</v>
      </c>
      <c r="P952" s="197" t="s">
        <v>5668</v>
      </c>
    </row>
    <row r="953" spans="1:16" ht="18.75" hidden="1">
      <c r="A953" s="50" t="s">
        <v>3863</v>
      </c>
      <c r="B953" s="50" t="s">
        <v>3820</v>
      </c>
      <c r="C953" s="50" t="s">
        <v>3755</v>
      </c>
      <c r="D953" s="50" t="s">
        <v>3661</v>
      </c>
      <c r="E953" s="12" t="s">
        <v>3420</v>
      </c>
      <c r="F953" s="49">
        <v>159868</v>
      </c>
      <c r="G953" s="67" t="s">
        <v>5631</v>
      </c>
      <c r="H953" s="14" t="s">
        <v>5601</v>
      </c>
      <c r="I953" s="14" t="s">
        <v>2458</v>
      </c>
      <c r="J953" s="33" t="s">
        <v>7110</v>
      </c>
      <c r="K953" s="33" t="s">
        <v>3900</v>
      </c>
      <c r="L953" s="68">
        <v>0</v>
      </c>
      <c r="M953" s="68" t="s">
        <v>8915</v>
      </c>
      <c r="N953" s="68">
        <v>0</v>
      </c>
      <c r="O953" s="68">
        <v>0</v>
      </c>
      <c r="P953" s="197" t="s">
        <v>5651</v>
      </c>
    </row>
    <row r="954" spans="1:16" ht="18.75" hidden="1">
      <c r="A954" s="50" t="s">
        <v>3863</v>
      </c>
      <c r="B954" s="50" t="s">
        <v>3820</v>
      </c>
      <c r="C954" s="50" t="s">
        <v>3880</v>
      </c>
      <c r="D954" s="50" t="s">
        <v>3671</v>
      </c>
      <c r="E954" s="12" t="s">
        <v>3420</v>
      </c>
      <c r="F954" s="49">
        <v>42732</v>
      </c>
      <c r="G954" s="67" t="s">
        <v>5631</v>
      </c>
      <c r="H954" s="14" t="s">
        <v>5601</v>
      </c>
      <c r="I954" s="14" t="s">
        <v>2458</v>
      </c>
      <c r="J954" s="33" t="s">
        <v>7110</v>
      </c>
      <c r="K954" s="33" t="s">
        <v>3900</v>
      </c>
      <c r="L954" s="68">
        <v>0</v>
      </c>
      <c r="M954" s="68" t="s">
        <v>8915</v>
      </c>
      <c r="N954" s="68">
        <v>0</v>
      </c>
      <c r="O954" s="68">
        <v>0</v>
      </c>
      <c r="P954" s="197" t="s">
        <v>5662</v>
      </c>
    </row>
    <row r="955" spans="1:16" ht="18.75" hidden="1">
      <c r="A955" s="50" t="s">
        <v>3863</v>
      </c>
      <c r="B955" s="50" t="s">
        <v>3820</v>
      </c>
      <c r="C955" s="50" t="s">
        <v>3886</v>
      </c>
      <c r="D955" s="50" t="s">
        <v>3723</v>
      </c>
      <c r="E955" s="12" t="s">
        <v>3420</v>
      </c>
      <c r="F955" s="49">
        <v>300000</v>
      </c>
      <c r="G955" s="67" t="s">
        <v>5631</v>
      </c>
      <c r="H955" s="14" t="s">
        <v>5601</v>
      </c>
      <c r="I955" s="14" t="s">
        <v>2458</v>
      </c>
      <c r="J955" s="33" t="s">
        <v>7110</v>
      </c>
      <c r="K955" s="33" t="s">
        <v>3900</v>
      </c>
      <c r="L955" s="68">
        <v>0</v>
      </c>
      <c r="M955" s="68" t="s">
        <v>8915</v>
      </c>
      <c r="N955" s="68">
        <v>0</v>
      </c>
      <c r="O955" s="68">
        <v>0</v>
      </c>
      <c r="P955" s="197" t="s">
        <v>5662</v>
      </c>
    </row>
    <row r="956" spans="1:16" ht="18.75" hidden="1">
      <c r="A956" s="50" t="s">
        <v>3864</v>
      </c>
      <c r="B956" s="50" t="s">
        <v>3829</v>
      </c>
      <c r="C956" s="50" t="s">
        <v>3880</v>
      </c>
      <c r="D956" s="50" t="s">
        <v>3671</v>
      </c>
      <c r="E956" s="12" t="s">
        <v>3420</v>
      </c>
      <c r="F956" s="49">
        <v>100000</v>
      </c>
      <c r="G956" s="67" t="s">
        <v>5631</v>
      </c>
      <c r="H956" s="14" t="s">
        <v>5601</v>
      </c>
      <c r="I956" s="14" t="s">
        <v>2458</v>
      </c>
      <c r="J956" s="33" t="s">
        <v>7110</v>
      </c>
      <c r="K956" s="33" t="s">
        <v>3900</v>
      </c>
      <c r="L956" s="68">
        <v>0</v>
      </c>
      <c r="M956" s="68" t="s">
        <v>8915</v>
      </c>
      <c r="N956" s="68">
        <v>0</v>
      </c>
      <c r="O956" s="68">
        <v>0</v>
      </c>
      <c r="P956" s="197" t="s">
        <v>5662</v>
      </c>
    </row>
    <row r="957" spans="1:16" ht="18.75" hidden="1">
      <c r="A957" s="50" t="s">
        <v>3864</v>
      </c>
      <c r="B957" s="50" t="s">
        <v>3829</v>
      </c>
      <c r="C957" s="50" t="s">
        <v>3885</v>
      </c>
      <c r="D957" s="50" t="s">
        <v>3671</v>
      </c>
      <c r="E957" s="12" t="s">
        <v>3420</v>
      </c>
      <c r="F957" s="49">
        <v>398260</v>
      </c>
      <c r="G957" s="67" t="s">
        <v>5631</v>
      </c>
      <c r="H957" s="14" t="s">
        <v>5601</v>
      </c>
      <c r="I957" s="14" t="s">
        <v>2458</v>
      </c>
      <c r="J957" s="33" t="s">
        <v>7110</v>
      </c>
      <c r="K957" s="33" t="s">
        <v>3900</v>
      </c>
      <c r="L957" s="68">
        <v>0</v>
      </c>
      <c r="M957" s="68" t="s">
        <v>8915</v>
      </c>
      <c r="N957" s="68">
        <v>0</v>
      </c>
      <c r="O957" s="68">
        <v>0</v>
      </c>
      <c r="P957" s="197" t="s">
        <v>5668</v>
      </c>
    </row>
    <row r="958" spans="1:16" ht="18.75" hidden="1">
      <c r="A958" s="50" t="s">
        <v>3865</v>
      </c>
      <c r="B958" s="50" t="s">
        <v>3823</v>
      </c>
      <c r="C958" s="50" t="s">
        <v>3887</v>
      </c>
      <c r="D958" s="50" t="s">
        <v>3716</v>
      </c>
      <c r="E958" s="12" t="s">
        <v>3420</v>
      </c>
      <c r="F958" s="49">
        <v>23946</v>
      </c>
      <c r="G958" s="67" t="s">
        <v>5611</v>
      </c>
      <c r="H958" s="14" t="s">
        <v>5601</v>
      </c>
      <c r="I958" s="14" t="s">
        <v>2458</v>
      </c>
      <c r="J958" s="33" t="s">
        <v>7110</v>
      </c>
      <c r="K958" s="33" t="s">
        <v>3900</v>
      </c>
      <c r="L958" s="68">
        <v>0</v>
      </c>
      <c r="M958" s="68" t="s">
        <v>8915</v>
      </c>
      <c r="N958" s="68">
        <v>0</v>
      </c>
      <c r="O958" s="68">
        <v>0</v>
      </c>
      <c r="P958" s="198" t="s">
        <v>5659</v>
      </c>
    </row>
    <row r="959" spans="1:16" ht="18.75" hidden="1">
      <c r="A959" s="50" t="s">
        <v>3865</v>
      </c>
      <c r="B959" s="50" t="s">
        <v>3823</v>
      </c>
      <c r="C959" s="50" t="s">
        <v>3878</v>
      </c>
      <c r="D959" s="50" t="s">
        <v>3670</v>
      </c>
      <c r="E959" s="12" t="s">
        <v>3420</v>
      </c>
      <c r="F959" s="49">
        <v>78054</v>
      </c>
      <c r="G959" s="67" t="s">
        <v>5611</v>
      </c>
      <c r="H959" s="14" t="s">
        <v>5601</v>
      </c>
      <c r="I959" s="14" t="s">
        <v>2458</v>
      </c>
      <c r="J959" s="33" t="s">
        <v>7110</v>
      </c>
      <c r="K959" s="33" t="s">
        <v>3900</v>
      </c>
      <c r="L959" s="68">
        <v>0</v>
      </c>
      <c r="M959" s="68" t="s">
        <v>8915</v>
      </c>
      <c r="N959" s="68">
        <v>0</v>
      </c>
      <c r="O959" s="68">
        <v>0</v>
      </c>
      <c r="P959" s="198" t="s">
        <v>5635</v>
      </c>
    </row>
    <row r="960" spans="1:16" ht="18.75" hidden="1">
      <c r="A960" s="50" t="s">
        <v>3865</v>
      </c>
      <c r="B960" s="50" t="s">
        <v>3823</v>
      </c>
      <c r="C960" s="50" t="s">
        <v>3888</v>
      </c>
      <c r="D960" s="50" t="s">
        <v>3721</v>
      </c>
      <c r="E960" s="12" t="s">
        <v>3420</v>
      </c>
      <c r="F960" s="49">
        <v>497900</v>
      </c>
      <c r="G960" s="67" t="s">
        <v>5611</v>
      </c>
      <c r="H960" s="14" t="s">
        <v>5601</v>
      </c>
      <c r="I960" s="14" t="s">
        <v>2458</v>
      </c>
      <c r="J960" s="33" t="s">
        <v>7110</v>
      </c>
      <c r="K960" s="33" t="s">
        <v>3900</v>
      </c>
      <c r="L960" s="68">
        <v>0</v>
      </c>
      <c r="M960" s="68" t="s">
        <v>8915</v>
      </c>
      <c r="N960" s="68">
        <v>0</v>
      </c>
      <c r="O960" s="68">
        <v>0</v>
      </c>
      <c r="P960" s="198" t="s">
        <v>5658</v>
      </c>
    </row>
    <row r="961" spans="1:16" ht="18.75" hidden="1">
      <c r="A961" s="50" t="s">
        <v>3858</v>
      </c>
      <c r="B961" s="50" t="s">
        <v>3768</v>
      </c>
      <c r="C961" s="50" t="s">
        <v>3889</v>
      </c>
      <c r="D961" s="50" t="s">
        <v>3715</v>
      </c>
      <c r="E961" s="12" t="s">
        <v>3420</v>
      </c>
      <c r="F961" s="49">
        <v>40980</v>
      </c>
      <c r="G961" s="67" t="s">
        <v>5616</v>
      </c>
      <c r="H961" s="14" t="s">
        <v>5601</v>
      </c>
      <c r="I961" s="14" t="s">
        <v>2458</v>
      </c>
      <c r="J961" s="33" t="s">
        <v>7110</v>
      </c>
      <c r="K961" s="33" t="s">
        <v>3900</v>
      </c>
      <c r="L961" s="68">
        <v>0</v>
      </c>
      <c r="M961" s="68" t="s">
        <v>8915</v>
      </c>
      <c r="N961" s="68">
        <v>0</v>
      </c>
      <c r="O961" s="68">
        <v>0</v>
      </c>
      <c r="P961" s="198" t="s">
        <v>5661</v>
      </c>
    </row>
    <row r="962" spans="1:16" ht="18.75" hidden="1">
      <c r="A962" s="50" t="s">
        <v>3866</v>
      </c>
      <c r="B962" s="50" t="s">
        <v>3823</v>
      </c>
      <c r="C962" s="50" t="s">
        <v>3890</v>
      </c>
      <c r="D962" s="50" t="s">
        <v>3664</v>
      </c>
      <c r="E962" s="12" t="s">
        <v>3420</v>
      </c>
      <c r="F962" s="49">
        <v>1475000</v>
      </c>
      <c r="G962" s="67" t="s">
        <v>5652</v>
      </c>
      <c r="H962" s="14" t="s">
        <v>5601</v>
      </c>
      <c r="I962" s="14" t="s">
        <v>2458</v>
      </c>
      <c r="J962" s="33" t="s">
        <v>7110</v>
      </c>
      <c r="K962" s="33" t="s">
        <v>3900</v>
      </c>
      <c r="L962" s="68">
        <v>0</v>
      </c>
      <c r="M962" s="68" t="s">
        <v>8915</v>
      </c>
      <c r="N962" s="68">
        <v>0</v>
      </c>
      <c r="O962" s="68">
        <v>0</v>
      </c>
      <c r="P962" s="198" t="s">
        <v>5653</v>
      </c>
    </row>
    <row r="963" spans="1:16" ht="18.75" hidden="1">
      <c r="A963" s="50" t="s">
        <v>3859</v>
      </c>
      <c r="B963" s="50" t="s">
        <v>3768</v>
      </c>
      <c r="C963" s="50" t="s">
        <v>3754</v>
      </c>
      <c r="D963" s="50" t="s">
        <v>3665</v>
      </c>
      <c r="E963" s="12" t="s">
        <v>3420</v>
      </c>
      <c r="F963" s="49">
        <v>160000</v>
      </c>
      <c r="G963" s="67" t="s">
        <v>5611</v>
      </c>
      <c r="H963" s="14" t="s">
        <v>5601</v>
      </c>
      <c r="I963" s="14" t="s">
        <v>2458</v>
      </c>
      <c r="J963" s="33" t="s">
        <v>7110</v>
      </c>
      <c r="K963" s="33" t="s">
        <v>3900</v>
      </c>
      <c r="L963" s="68">
        <v>0</v>
      </c>
      <c r="M963" s="68" t="s">
        <v>8915</v>
      </c>
      <c r="N963" s="68">
        <v>0</v>
      </c>
      <c r="O963" s="68">
        <v>0</v>
      </c>
      <c r="P963" s="198" t="s">
        <v>5645</v>
      </c>
    </row>
    <row r="964" spans="1:16" ht="18.75" hidden="1">
      <c r="A964" s="50" t="s">
        <v>3859</v>
      </c>
      <c r="B964" s="50" t="s">
        <v>3768</v>
      </c>
      <c r="C964" s="50" t="s">
        <v>3891</v>
      </c>
      <c r="D964" s="50" t="s">
        <v>3661</v>
      </c>
      <c r="E964" s="12" t="s">
        <v>3420</v>
      </c>
      <c r="F964" s="49">
        <v>498840</v>
      </c>
      <c r="G964" s="67" t="s">
        <v>5611</v>
      </c>
      <c r="H964" s="14" t="s">
        <v>5601</v>
      </c>
      <c r="I964" s="14" t="s">
        <v>2458</v>
      </c>
      <c r="J964" s="33" t="s">
        <v>7110</v>
      </c>
      <c r="K964" s="33" t="s">
        <v>3900</v>
      </c>
      <c r="L964" s="68">
        <v>0</v>
      </c>
      <c r="M964" s="68" t="s">
        <v>8915</v>
      </c>
      <c r="N964" s="68">
        <v>0</v>
      </c>
      <c r="O964" s="68">
        <v>0</v>
      </c>
      <c r="P964" s="198" t="s">
        <v>5654</v>
      </c>
    </row>
    <row r="965" spans="1:16" ht="18.75" hidden="1">
      <c r="A965" s="50" t="s">
        <v>3867</v>
      </c>
      <c r="B965" s="50" t="s">
        <v>3823</v>
      </c>
      <c r="C965" s="50" t="s">
        <v>3890</v>
      </c>
      <c r="D965" s="50" t="s">
        <v>3664</v>
      </c>
      <c r="E965" s="12" t="s">
        <v>3420</v>
      </c>
      <c r="F965" s="49">
        <v>200000</v>
      </c>
      <c r="G965" s="67" t="s">
        <v>5652</v>
      </c>
      <c r="H965" s="14" t="s">
        <v>5601</v>
      </c>
      <c r="I965" s="14" t="s">
        <v>2458</v>
      </c>
      <c r="J965" s="33" t="s">
        <v>7110</v>
      </c>
      <c r="K965" s="33" t="s">
        <v>3900</v>
      </c>
      <c r="L965" s="68">
        <v>0</v>
      </c>
      <c r="M965" s="68" t="s">
        <v>8915</v>
      </c>
      <c r="N965" s="68">
        <v>0</v>
      </c>
      <c r="O965" s="68">
        <v>0</v>
      </c>
      <c r="P965" s="198" t="s">
        <v>5653</v>
      </c>
    </row>
    <row r="966" spans="1:16" ht="18.75" hidden="1">
      <c r="A966" s="50" t="s">
        <v>3868</v>
      </c>
      <c r="B966" s="50" t="s">
        <v>3822</v>
      </c>
      <c r="C966" s="50" t="s">
        <v>3766</v>
      </c>
      <c r="D966" s="50" t="s">
        <v>3452</v>
      </c>
      <c r="E966" s="12" t="s">
        <v>3420</v>
      </c>
      <c r="F966" s="49">
        <v>25985</v>
      </c>
      <c r="G966" s="67" t="s">
        <v>5611</v>
      </c>
      <c r="H966" s="14" t="s">
        <v>5601</v>
      </c>
      <c r="I966" s="14" t="s">
        <v>2458</v>
      </c>
      <c r="J966" s="33" t="s">
        <v>7110</v>
      </c>
      <c r="K966" s="33" t="s">
        <v>3900</v>
      </c>
      <c r="L966" s="68">
        <v>0</v>
      </c>
      <c r="M966" s="68" t="s">
        <v>8915</v>
      </c>
      <c r="N966" s="68">
        <v>0</v>
      </c>
      <c r="O966" s="68">
        <v>0</v>
      </c>
      <c r="P966" s="198" t="s">
        <v>5629</v>
      </c>
    </row>
    <row r="967" spans="1:16" ht="18.75" hidden="1">
      <c r="A967" s="50" t="s">
        <v>3868</v>
      </c>
      <c r="B967" s="50" t="s">
        <v>3822</v>
      </c>
      <c r="C967" s="50" t="s">
        <v>3892</v>
      </c>
      <c r="D967" s="50" t="s">
        <v>3455</v>
      </c>
      <c r="E967" s="12" t="s">
        <v>3420</v>
      </c>
      <c r="F967" s="49">
        <v>124900</v>
      </c>
      <c r="G967" s="67" t="s">
        <v>5611</v>
      </c>
      <c r="H967" s="14" t="s">
        <v>5601</v>
      </c>
      <c r="I967" s="14" t="s">
        <v>2458</v>
      </c>
      <c r="J967" s="33" t="s">
        <v>7110</v>
      </c>
      <c r="K967" s="33" t="s">
        <v>3900</v>
      </c>
      <c r="L967" s="68">
        <v>0</v>
      </c>
      <c r="M967" s="68" t="s">
        <v>8915</v>
      </c>
      <c r="N967" s="68">
        <v>0</v>
      </c>
      <c r="O967" s="68">
        <v>0</v>
      </c>
      <c r="P967" s="198" t="s">
        <v>5635</v>
      </c>
    </row>
    <row r="968" spans="1:16" ht="18.75" hidden="1">
      <c r="A968" s="50" t="s">
        <v>3868</v>
      </c>
      <c r="B968" s="50" t="s">
        <v>3822</v>
      </c>
      <c r="C968" s="50" t="s">
        <v>3893</v>
      </c>
      <c r="D968" s="50" t="s">
        <v>3459</v>
      </c>
      <c r="E968" s="12" t="s">
        <v>3420</v>
      </c>
      <c r="F968" s="49">
        <v>198820</v>
      </c>
      <c r="G968" s="67" t="s">
        <v>5611</v>
      </c>
      <c r="H968" s="14" t="s">
        <v>5601</v>
      </c>
      <c r="I968" s="14" t="s">
        <v>2458</v>
      </c>
      <c r="J968" s="33" t="s">
        <v>7110</v>
      </c>
      <c r="K968" s="33" t="s">
        <v>3900</v>
      </c>
      <c r="L968" s="68">
        <v>0</v>
      </c>
      <c r="M968" s="68" t="s">
        <v>8915</v>
      </c>
      <c r="N968" s="68">
        <v>0</v>
      </c>
      <c r="O968" s="68">
        <v>0</v>
      </c>
      <c r="P968" s="198" t="s">
        <v>5630</v>
      </c>
    </row>
    <row r="969" spans="1:16" ht="18.75" hidden="1">
      <c r="A969" s="50" t="s">
        <v>3869</v>
      </c>
      <c r="B969" s="50" t="s">
        <v>3827</v>
      </c>
      <c r="C969" s="50" t="s">
        <v>3894</v>
      </c>
      <c r="D969" s="50" t="s">
        <v>3827</v>
      </c>
      <c r="E969" s="12" t="s">
        <v>3420</v>
      </c>
      <c r="F969" s="49">
        <v>490435</v>
      </c>
      <c r="G969" s="67" t="s">
        <v>5604</v>
      </c>
      <c r="H969" s="14" t="s">
        <v>5601</v>
      </c>
      <c r="I969" s="14" t="s">
        <v>2458</v>
      </c>
      <c r="J969" s="33" t="s">
        <v>7110</v>
      </c>
      <c r="K969" s="33" t="s">
        <v>3900</v>
      </c>
      <c r="L969" s="68">
        <v>0</v>
      </c>
      <c r="M969" s="68" t="s">
        <v>8915</v>
      </c>
      <c r="N969" s="68">
        <v>0</v>
      </c>
      <c r="O969" s="68">
        <v>0</v>
      </c>
      <c r="P969" s="198" t="s">
        <v>5676</v>
      </c>
    </row>
    <row r="970" spans="1:16" ht="18.75" hidden="1">
      <c r="A970" s="50" t="s">
        <v>3868</v>
      </c>
      <c r="B970" s="50" t="s">
        <v>3822</v>
      </c>
      <c r="C970" s="50" t="s">
        <v>3874</v>
      </c>
      <c r="D970" s="50" t="s">
        <v>3463</v>
      </c>
      <c r="E970" s="12" t="s">
        <v>3420</v>
      </c>
      <c r="F970" s="49">
        <v>83209</v>
      </c>
      <c r="G970" s="67" t="s">
        <v>5611</v>
      </c>
      <c r="H970" s="14" t="s">
        <v>5601</v>
      </c>
      <c r="I970" s="14" t="s">
        <v>2458</v>
      </c>
      <c r="J970" s="33" t="s">
        <v>7110</v>
      </c>
      <c r="K970" s="33" t="s">
        <v>3900</v>
      </c>
      <c r="L970" s="68">
        <v>0</v>
      </c>
      <c r="M970" s="68" t="s">
        <v>8915</v>
      </c>
      <c r="N970" s="68">
        <v>0</v>
      </c>
      <c r="O970" s="68">
        <v>0</v>
      </c>
      <c r="P970" s="198" t="s">
        <v>5640</v>
      </c>
    </row>
    <row r="971" spans="1:16" ht="18.75" hidden="1">
      <c r="A971" s="50" t="s">
        <v>3870</v>
      </c>
      <c r="B971" s="50" t="s">
        <v>3827</v>
      </c>
      <c r="C971" s="50" t="s">
        <v>3895</v>
      </c>
      <c r="D971" s="50" t="s">
        <v>3827</v>
      </c>
      <c r="E971" s="12" t="s">
        <v>3420</v>
      </c>
      <c r="F971" s="49">
        <v>293112</v>
      </c>
      <c r="G971" s="67" t="s">
        <v>5604</v>
      </c>
      <c r="H971" s="14" t="s">
        <v>5601</v>
      </c>
      <c r="I971" s="14" t="s">
        <v>2458</v>
      </c>
      <c r="J971" s="33" t="s">
        <v>7110</v>
      </c>
      <c r="K971" s="33" t="s">
        <v>3900</v>
      </c>
      <c r="L971" s="68">
        <v>0</v>
      </c>
      <c r="M971" s="68" t="s">
        <v>8915</v>
      </c>
      <c r="N971" s="68">
        <v>0</v>
      </c>
      <c r="O971" s="68">
        <v>0</v>
      </c>
      <c r="P971" s="198" t="s">
        <v>5649</v>
      </c>
    </row>
    <row r="972" spans="1:16" ht="18.75" hidden="1">
      <c r="A972" s="50" t="s">
        <v>3871</v>
      </c>
      <c r="B972" s="50" t="s">
        <v>3820</v>
      </c>
      <c r="C972" s="50" t="s">
        <v>3896</v>
      </c>
      <c r="D972" s="50" t="s">
        <v>3670</v>
      </c>
      <c r="E972" s="12" t="s">
        <v>3420</v>
      </c>
      <c r="F972" s="49">
        <v>150000</v>
      </c>
      <c r="G972" s="67" t="s">
        <v>5611</v>
      </c>
      <c r="H972" s="14" t="s">
        <v>5601</v>
      </c>
      <c r="I972" s="14" t="s">
        <v>2458</v>
      </c>
      <c r="J972" s="33" t="s">
        <v>7110</v>
      </c>
      <c r="K972" s="33" t="s">
        <v>3900</v>
      </c>
      <c r="L972" s="68">
        <v>0</v>
      </c>
      <c r="M972" s="68" t="s">
        <v>8915</v>
      </c>
      <c r="N972" s="68">
        <v>0</v>
      </c>
      <c r="O972" s="68">
        <v>0</v>
      </c>
      <c r="P972" s="198" t="s">
        <v>5645</v>
      </c>
    </row>
    <row r="973" spans="1:16" ht="18.75" hidden="1">
      <c r="A973" s="50" t="s">
        <v>3871</v>
      </c>
      <c r="B973" s="50" t="s">
        <v>3820</v>
      </c>
      <c r="C973" s="50" t="s">
        <v>3476</v>
      </c>
      <c r="D973" s="50" t="s">
        <v>3242</v>
      </c>
      <c r="E973" s="12" t="s">
        <v>3420</v>
      </c>
      <c r="F973" s="49">
        <v>399960</v>
      </c>
      <c r="G973" s="67" t="s">
        <v>5609</v>
      </c>
      <c r="H973" s="14" t="s">
        <v>5601</v>
      </c>
      <c r="I973" s="14" t="s">
        <v>2458</v>
      </c>
      <c r="J973" s="33" t="s">
        <v>7110</v>
      </c>
      <c r="K973" s="33" t="s">
        <v>3900</v>
      </c>
      <c r="L973" s="68">
        <v>0</v>
      </c>
      <c r="M973" s="68" t="s">
        <v>8915</v>
      </c>
      <c r="N973" s="68">
        <v>0</v>
      </c>
      <c r="O973" s="68">
        <v>0</v>
      </c>
      <c r="P973" s="198" t="s">
        <v>5614</v>
      </c>
    </row>
    <row r="974" spans="1:16" ht="18.75" hidden="1">
      <c r="A974" s="50" t="s">
        <v>3871</v>
      </c>
      <c r="B974" s="50" t="s">
        <v>3820</v>
      </c>
      <c r="C974" s="50" t="s">
        <v>3878</v>
      </c>
      <c r="D974" s="50" t="s">
        <v>3670</v>
      </c>
      <c r="E974" s="12" t="s">
        <v>3420</v>
      </c>
      <c r="F974" s="49">
        <v>10966</v>
      </c>
      <c r="G974" s="67" t="s">
        <v>5611</v>
      </c>
      <c r="H974" s="14" t="s">
        <v>5601</v>
      </c>
      <c r="I974" s="14" t="s">
        <v>2458</v>
      </c>
      <c r="J974" s="33" t="s">
        <v>7110</v>
      </c>
      <c r="K974" s="33" t="s">
        <v>3900</v>
      </c>
      <c r="L974" s="68">
        <v>0</v>
      </c>
      <c r="M974" s="68" t="s">
        <v>8915</v>
      </c>
      <c r="N974" s="68">
        <v>0</v>
      </c>
      <c r="O974" s="68">
        <v>0</v>
      </c>
      <c r="P974" s="198" t="s">
        <v>5635</v>
      </c>
    </row>
    <row r="975" spans="1:16" ht="18.75" hidden="1">
      <c r="A975" s="50" t="s">
        <v>3871</v>
      </c>
      <c r="B975" s="50" t="s">
        <v>3820</v>
      </c>
      <c r="C975" s="50" t="s">
        <v>3897</v>
      </c>
      <c r="D975" s="50" t="s">
        <v>3670</v>
      </c>
      <c r="E975" s="12" t="s">
        <v>3420</v>
      </c>
      <c r="F975" s="49">
        <v>379460</v>
      </c>
      <c r="G975" s="67" t="s">
        <v>5611</v>
      </c>
      <c r="H975" s="14" t="s">
        <v>5601</v>
      </c>
      <c r="I975" s="14" t="s">
        <v>2458</v>
      </c>
      <c r="J975" s="33" t="s">
        <v>7110</v>
      </c>
      <c r="K975" s="33" t="s">
        <v>3900</v>
      </c>
      <c r="L975" s="68">
        <v>0</v>
      </c>
      <c r="M975" s="68" t="s">
        <v>8915</v>
      </c>
      <c r="N975" s="68">
        <v>0</v>
      </c>
      <c r="O975" s="68">
        <v>0</v>
      </c>
      <c r="P975" s="198" t="s">
        <v>5635</v>
      </c>
    </row>
    <row r="976" spans="1:16" ht="18.75" hidden="1">
      <c r="A976" s="50" t="s">
        <v>3868</v>
      </c>
      <c r="B976" s="50" t="s">
        <v>3822</v>
      </c>
      <c r="C976" s="50" t="s">
        <v>3743</v>
      </c>
      <c r="D976" s="50" t="s">
        <v>3455</v>
      </c>
      <c r="E976" s="12" t="s">
        <v>3420</v>
      </c>
      <c r="F976" s="49">
        <v>17685</v>
      </c>
      <c r="G976" s="67" t="s">
        <v>5611</v>
      </c>
      <c r="H976" s="14" t="s">
        <v>5601</v>
      </c>
      <c r="I976" s="14" t="s">
        <v>2458</v>
      </c>
      <c r="J976" s="33" t="s">
        <v>7110</v>
      </c>
      <c r="K976" s="33" t="s">
        <v>3900</v>
      </c>
      <c r="L976" s="68">
        <v>0</v>
      </c>
      <c r="M976" s="68" t="s">
        <v>8915</v>
      </c>
      <c r="N976" s="68">
        <v>0</v>
      </c>
      <c r="O976" s="68">
        <v>0</v>
      </c>
      <c r="P976" s="198" t="s">
        <v>5640</v>
      </c>
    </row>
    <row r="977" spans="1:16" ht="18.75" hidden="1">
      <c r="A977" s="50" t="s">
        <v>3868</v>
      </c>
      <c r="B977" s="50" t="s">
        <v>3822</v>
      </c>
      <c r="C977" s="50" t="s">
        <v>3742</v>
      </c>
      <c r="D977" s="50" t="s">
        <v>3578</v>
      </c>
      <c r="E977" s="12" t="s">
        <v>3420</v>
      </c>
      <c r="F977" s="49">
        <v>45776</v>
      </c>
      <c r="G977" s="67" t="s">
        <v>5611</v>
      </c>
      <c r="H977" s="14" t="s">
        <v>5601</v>
      </c>
      <c r="I977" s="14" t="s">
        <v>2458</v>
      </c>
      <c r="J977" s="33" t="s">
        <v>7110</v>
      </c>
      <c r="K977" s="33" t="s">
        <v>3900</v>
      </c>
      <c r="L977" s="68">
        <v>0</v>
      </c>
      <c r="M977" s="68" t="s">
        <v>8915</v>
      </c>
      <c r="N977" s="68">
        <v>0</v>
      </c>
      <c r="O977" s="68">
        <v>0</v>
      </c>
      <c r="P977" s="198" t="s">
        <v>5630</v>
      </c>
    </row>
    <row r="978" spans="1:16" ht="18.75" hidden="1">
      <c r="A978" s="50" t="s">
        <v>3871</v>
      </c>
      <c r="B978" s="50" t="s">
        <v>3820</v>
      </c>
      <c r="C978" s="50" t="s">
        <v>3560</v>
      </c>
      <c r="D978" s="50" t="s">
        <v>3242</v>
      </c>
      <c r="E978" s="12" t="s">
        <v>3420</v>
      </c>
      <c r="F978" s="49">
        <v>51814</v>
      </c>
      <c r="G978" s="67" t="s">
        <v>5609</v>
      </c>
      <c r="H978" s="14" t="s">
        <v>5601</v>
      </c>
      <c r="I978" s="14" t="s">
        <v>2458</v>
      </c>
      <c r="J978" s="33" t="s">
        <v>7110</v>
      </c>
      <c r="K978" s="33" t="s">
        <v>3900</v>
      </c>
      <c r="L978" s="68">
        <v>0</v>
      </c>
      <c r="M978" s="68" t="s">
        <v>8915</v>
      </c>
      <c r="N978" s="68">
        <v>0</v>
      </c>
      <c r="O978" s="68">
        <v>0</v>
      </c>
      <c r="P978" s="198" t="s">
        <v>5614</v>
      </c>
    </row>
    <row r="979" spans="1:16" ht="18.75" hidden="1">
      <c r="A979" s="50" t="s">
        <v>3872</v>
      </c>
      <c r="B979" s="50" t="s">
        <v>3825</v>
      </c>
      <c r="C979" s="50" t="s">
        <v>3898</v>
      </c>
      <c r="D979" s="50" t="s">
        <v>3829</v>
      </c>
      <c r="E979" s="12" t="s">
        <v>3420</v>
      </c>
      <c r="F979" s="49">
        <v>969565</v>
      </c>
      <c r="G979" s="67" t="s">
        <v>5604</v>
      </c>
      <c r="H979" s="14" t="s">
        <v>5601</v>
      </c>
      <c r="I979" s="14" t="s">
        <v>2458</v>
      </c>
      <c r="J979" s="33" t="s">
        <v>7110</v>
      </c>
      <c r="K979" s="33" t="s">
        <v>3900</v>
      </c>
      <c r="L979" s="68">
        <v>0</v>
      </c>
      <c r="M979" s="68" t="s">
        <v>8915</v>
      </c>
      <c r="N979" s="68">
        <v>0</v>
      </c>
      <c r="O979" s="68">
        <v>0</v>
      </c>
      <c r="P979" s="198" t="s">
        <v>5626</v>
      </c>
    </row>
    <row r="980" spans="1:16" ht="18.75" hidden="1">
      <c r="A980" s="50" t="s">
        <v>3873</v>
      </c>
      <c r="B980" s="50" t="s">
        <v>3827</v>
      </c>
      <c r="C980" s="50" t="s">
        <v>3899</v>
      </c>
      <c r="D980" s="50" t="s">
        <v>3827</v>
      </c>
      <c r="E980" s="12" t="s">
        <v>3420</v>
      </c>
      <c r="F980" s="49">
        <v>686609</v>
      </c>
      <c r="G980" s="67" t="s">
        <v>5604</v>
      </c>
      <c r="H980" s="14" t="s">
        <v>5601</v>
      </c>
      <c r="I980" s="14" t="s">
        <v>2458</v>
      </c>
      <c r="J980" s="33" t="s">
        <v>7110</v>
      </c>
      <c r="K980" s="33" t="s">
        <v>3900</v>
      </c>
      <c r="L980" s="68">
        <v>0</v>
      </c>
      <c r="M980" s="68" t="s">
        <v>8915</v>
      </c>
      <c r="N980" s="68">
        <v>0</v>
      </c>
      <c r="O980" s="68">
        <v>0</v>
      </c>
      <c r="P980" s="198" t="s">
        <v>5649</v>
      </c>
    </row>
    <row r="981" spans="1:16" ht="18.75" hidden="1">
      <c r="A981" s="50" t="s">
        <v>3901</v>
      </c>
      <c r="B981" s="50" t="s">
        <v>3902</v>
      </c>
      <c r="C981" s="50" t="s">
        <v>3875</v>
      </c>
      <c r="D981" s="50" t="s">
        <v>3463</v>
      </c>
      <c r="E981" s="12">
        <v>95</v>
      </c>
      <c r="F981" s="49">
        <v>119251</v>
      </c>
      <c r="G981" s="67" t="s">
        <v>5611</v>
      </c>
      <c r="H981" s="14" t="s">
        <v>5601</v>
      </c>
      <c r="I981" s="14" t="s">
        <v>2458</v>
      </c>
      <c r="J981" s="33" t="s">
        <v>7110</v>
      </c>
      <c r="K981" s="33" t="s">
        <v>3900</v>
      </c>
      <c r="L981" s="68">
        <v>0</v>
      </c>
      <c r="M981" s="68" t="s">
        <v>8915</v>
      </c>
      <c r="N981" s="68">
        <v>0</v>
      </c>
      <c r="O981" s="68">
        <v>0</v>
      </c>
      <c r="P981" s="198" t="s">
        <v>5640</v>
      </c>
    </row>
    <row r="982" spans="1:16" ht="18.75" hidden="1">
      <c r="A982" s="50" t="s">
        <v>3901</v>
      </c>
      <c r="B982" s="50" t="s">
        <v>3902</v>
      </c>
      <c r="C982" s="50" t="s">
        <v>3745</v>
      </c>
      <c r="D982" s="50" t="s">
        <v>3662</v>
      </c>
      <c r="E982" s="12">
        <v>95</v>
      </c>
      <c r="F982" s="49">
        <v>530660</v>
      </c>
      <c r="G982" s="67" t="s">
        <v>5611</v>
      </c>
      <c r="H982" s="14" t="s">
        <v>5601</v>
      </c>
      <c r="I982" s="14" t="s">
        <v>2458</v>
      </c>
      <c r="J982" s="33" t="s">
        <v>7110</v>
      </c>
      <c r="K982" s="33" t="s">
        <v>3900</v>
      </c>
      <c r="L982" s="68">
        <v>0</v>
      </c>
      <c r="M982" s="68" t="s">
        <v>8915</v>
      </c>
      <c r="N982" s="68">
        <v>0</v>
      </c>
      <c r="O982" s="68">
        <v>0</v>
      </c>
      <c r="P982" s="198" t="s">
        <v>5658</v>
      </c>
    </row>
    <row r="983" spans="1:16" ht="18.75" hidden="1">
      <c r="A983" s="50" t="s">
        <v>3901</v>
      </c>
      <c r="B983" s="50" t="s">
        <v>3902</v>
      </c>
      <c r="C983" s="50" t="s">
        <v>3887</v>
      </c>
      <c r="D983" s="50" t="s">
        <v>3716</v>
      </c>
      <c r="E983" s="12">
        <v>95</v>
      </c>
      <c r="F983" s="49">
        <v>236214</v>
      </c>
      <c r="G983" s="67" t="s">
        <v>5611</v>
      </c>
      <c r="H983" s="14" t="s">
        <v>5601</v>
      </c>
      <c r="I983" s="14" t="s">
        <v>2458</v>
      </c>
      <c r="J983" s="33" t="s">
        <v>7110</v>
      </c>
      <c r="K983" s="33" t="s">
        <v>3900</v>
      </c>
      <c r="L983" s="68">
        <v>0</v>
      </c>
      <c r="M983" s="68" t="s">
        <v>8915</v>
      </c>
      <c r="N983" s="68">
        <v>0</v>
      </c>
      <c r="O983" s="68">
        <v>0</v>
      </c>
      <c r="P983" s="198" t="s">
        <v>5659</v>
      </c>
    </row>
    <row r="984" spans="1:16" ht="18.75" hidden="1">
      <c r="A984" s="50" t="s">
        <v>3901</v>
      </c>
      <c r="B984" s="50" t="s">
        <v>3902</v>
      </c>
      <c r="C984" s="50" t="s">
        <v>3903</v>
      </c>
      <c r="D984" s="50" t="s">
        <v>3662</v>
      </c>
      <c r="E984" s="12">
        <v>95</v>
      </c>
      <c r="F984" s="49">
        <v>106625</v>
      </c>
      <c r="G984" s="67" t="s">
        <v>5611</v>
      </c>
      <c r="H984" s="14" t="s">
        <v>5601</v>
      </c>
      <c r="I984" s="14" t="s">
        <v>2458</v>
      </c>
      <c r="J984" s="33" t="s">
        <v>7110</v>
      </c>
      <c r="K984" s="33" t="s">
        <v>3900</v>
      </c>
      <c r="L984" s="68">
        <v>0</v>
      </c>
      <c r="M984" s="68" t="s">
        <v>8915</v>
      </c>
      <c r="N984" s="68">
        <v>0</v>
      </c>
      <c r="O984" s="68">
        <v>0</v>
      </c>
      <c r="P984" s="198" t="s">
        <v>5658</v>
      </c>
    </row>
    <row r="985" spans="1:16" ht="18.75" hidden="1">
      <c r="A985" s="50" t="s">
        <v>3910</v>
      </c>
      <c r="B985" s="50" t="s">
        <v>3932</v>
      </c>
      <c r="C985" s="50" t="s">
        <v>3938</v>
      </c>
      <c r="D985" s="50" t="s">
        <v>3964</v>
      </c>
      <c r="E985" s="12">
        <v>95</v>
      </c>
      <c r="F985" s="49">
        <v>488125</v>
      </c>
      <c r="G985" s="67" t="s">
        <v>5616</v>
      </c>
      <c r="H985" s="14" t="s">
        <v>5601</v>
      </c>
      <c r="I985" s="14" t="s">
        <v>2458</v>
      </c>
      <c r="J985" s="33" t="s">
        <v>7110</v>
      </c>
      <c r="K985" s="33" t="s">
        <v>3967</v>
      </c>
      <c r="L985" s="68">
        <v>0</v>
      </c>
      <c r="M985" s="68" t="s">
        <v>8915</v>
      </c>
      <c r="N985" s="68">
        <v>0</v>
      </c>
      <c r="O985" s="68">
        <v>0</v>
      </c>
      <c r="P985" s="198" t="s">
        <v>5661</v>
      </c>
    </row>
    <row r="986" spans="1:16" ht="18.75" hidden="1">
      <c r="A986" s="50" t="s">
        <v>3911</v>
      </c>
      <c r="B986" s="50" t="s">
        <v>3932</v>
      </c>
      <c r="C986" s="50" t="s">
        <v>3938</v>
      </c>
      <c r="D986" s="50" t="s">
        <v>3964</v>
      </c>
      <c r="E986" s="12">
        <v>95</v>
      </c>
      <c r="F986" s="49">
        <v>2691</v>
      </c>
      <c r="G986" s="67" t="s">
        <v>5616</v>
      </c>
      <c r="H986" s="14" t="s">
        <v>5601</v>
      </c>
      <c r="I986" s="14" t="s">
        <v>2458</v>
      </c>
      <c r="J986" s="33" t="s">
        <v>7110</v>
      </c>
      <c r="K986" s="33" t="s">
        <v>3967</v>
      </c>
      <c r="L986" s="68">
        <v>0</v>
      </c>
      <c r="M986" s="68" t="s">
        <v>8915</v>
      </c>
      <c r="N986" s="68">
        <v>0</v>
      </c>
      <c r="O986" s="68">
        <v>0</v>
      </c>
      <c r="P986" s="198" t="s">
        <v>5661</v>
      </c>
    </row>
    <row r="987" spans="1:16" ht="18.75" hidden="1">
      <c r="A987" s="50" t="s">
        <v>3911</v>
      </c>
      <c r="B987" s="50" t="s">
        <v>3932</v>
      </c>
      <c r="C987" s="50" t="s">
        <v>3939</v>
      </c>
      <c r="D987" s="50" t="s">
        <v>3825</v>
      </c>
      <c r="E987" s="12">
        <v>95</v>
      </c>
      <c r="F987" s="49">
        <v>875934</v>
      </c>
      <c r="G987" s="67" t="s">
        <v>5616</v>
      </c>
      <c r="H987" s="14" t="s">
        <v>5601</v>
      </c>
      <c r="I987" s="14" t="s">
        <v>2458</v>
      </c>
      <c r="J987" s="33" t="s">
        <v>7110</v>
      </c>
      <c r="K987" s="33" t="s">
        <v>3967</v>
      </c>
      <c r="L987" s="68">
        <v>0</v>
      </c>
      <c r="M987" s="68" t="s">
        <v>8915</v>
      </c>
      <c r="N987" s="68">
        <v>0</v>
      </c>
      <c r="O987" s="68">
        <v>0</v>
      </c>
      <c r="P987" s="198" t="s">
        <v>5661</v>
      </c>
    </row>
    <row r="988" spans="1:16" ht="18.75" hidden="1">
      <c r="A988" s="50" t="s">
        <v>3912</v>
      </c>
      <c r="B988" s="50" t="s">
        <v>3932</v>
      </c>
      <c r="C988" s="50" t="s">
        <v>3939</v>
      </c>
      <c r="D988" s="50" t="s">
        <v>3825</v>
      </c>
      <c r="E988" s="12">
        <v>95</v>
      </c>
      <c r="F988" s="49">
        <v>19173</v>
      </c>
      <c r="G988" s="67" t="s">
        <v>5616</v>
      </c>
      <c r="H988" s="14" t="s">
        <v>5601</v>
      </c>
      <c r="I988" s="14" t="s">
        <v>2458</v>
      </c>
      <c r="J988" s="33" t="s">
        <v>7110</v>
      </c>
      <c r="K988" s="33" t="s">
        <v>3967</v>
      </c>
      <c r="L988" s="68">
        <v>0</v>
      </c>
      <c r="M988" s="68" t="s">
        <v>8915</v>
      </c>
      <c r="N988" s="68">
        <v>0</v>
      </c>
      <c r="O988" s="68">
        <v>0</v>
      </c>
      <c r="P988" s="198" t="s">
        <v>5661</v>
      </c>
    </row>
    <row r="989" spans="1:16" ht="18.75" hidden="1">
      <c r="A989" s="50" t="s">
        <v>3912</v>
      </c>
      <c r="B989" s="50" t="s">
        <v>3932</v>
      </c>
      <c r="C989" s="50" t="s">
        <v>3940</v>
      </c>
      <c r="D989" s="50" t="s">
        <v>3936</v>
      </c>
      <c r="E989" s="12">
        <v>95</v>
      </c>
      <c r="F989" s="49">
        <v>957077</v>
      </c>
      <c r="G989" s="67" t="s">
        <v>5616</v>
      </c>
      <c r="H989" s="14" t="s">
        <v>5601</v>
      </c>
      <c r="I989" s="14" t="s">
        <v>2458</v>
      </c>
      <c r="J989" s="33" t="s">
        <v>7110</v>
      </c>
      <c r="K989" s="33" t="s">
        <v>3967</v>
      </c>
      <c r="L989" s="68">
        <v>0</v>
      </c>
      <c r="M989" s="68" t="s">
        <v>8915</v>
      </c>
      <c r="N989" s="68">
        <v>0</v>
      </c>
      <c r="O989" s="68">
        <v>0</v>
      </c>
      <c r="P989" s="198" t="s">
        <v>5661</v>
      </c>
    </row>
    <row r="990" spans="1:16" ht="18.75" hidden="1">
      <c r="A990" s="50" t="s">
        <v>3913</v>
      </c>
      <c r="B990" s="50" t="s">
        <v>3933</v>
      </c>
      <c r="C990" s="50" t="s">
        <v>3940</v>
      </c>
      <c r="D990" s="50" t="s">
        <v>3936</v>
      </c>
      <c r="E990" s="12">
        <v>95</v>
      </c>
      <c r="F990" s="49">
        <v>37230</v>
      </c>
      <c r="G990" s="67" t="s">
        <v>5616</v>
      </c>
      <c r="H990" s="14" t="s">
        <v>5601</v>
      </c>
      <c r="I990" s="14" t="s">
        <v>2458</v>
      </c>
      <c r="J990" s="33" t="s">
        <v>7110</v>
      </c>
      <c r="K990" s="33" t="s">
        <v>3967</v>
      </c>
      <c r="L990" s="68">
        <v>0</v>
      </c>
      <c r="M990" s="68" t="s">
        <v>8915</v>
      </c>
      <c r="N990" s="68">
        <v>0</v>
      </c>
      <c r="O990" s="68">
        <v>0</v>
      </c>
      <c r="P990" s="198" t="s">
        <v>5661</v>
      </c>
    </row>
    <row r="991" spans="1:16" ht="18.75" hidden="1">
      <c r="A991" s="50" t="s">
        <v>3913</v>
      </c>
      <c r="B991" s="50" t="s">
        <v>3933</v>
      </c>
      <c r="C991" s="50" t="s">
        <v>3940</v>
      </c>
      <c r="D991" s="50" t="s">
        <v>3936</v>
      </c>
      <c r="E991" s="12">
        <v>95</v>
      </c>
      <c r="F991" s="49">
        <v>939020</v>
      </c>
      <c r="G991" s="67" t="s">
        <v>5616</v>
      </c>
      <c r="H991" s="14" t="s">
        <v>5601</v>
      </c>
      <c r="I991" s="14" t="s">
        <v>2458</v>
      </c>
      <c r="J991" s="33" t="s">
        <v>7110</v>
      </c>
      <c r="K991" s="33" t="s">
        <v>3967</v>
      </c>
      <c r="L991" s="68">
        <v>0</v>
      </c>
      <c r="M991" s="68" t="s">
        <v>8915</v>
      </c>
      <c r="N991" s="68">
        <v>0</v>
      </c>
      <c r="O991" s="68">
        <v>0</v>
      </c>
      <c r="P991" s="198" t="s">
        <v>5661</v>
      </c>
    </row>
    <row r="992" spans="1:16" ht="18.75" hidden="1">
      <c r="A992" s="50" t="s">
        <v>3914</v>
      </c>
      <c r="B992" s="50" t="s">
        <v>3854</v>
      </c>
      <c r="C992" s="50" t="s">
        <v>3941</v>
      </c>
      <c r="D992" s="50" t="s">
        <v>3965</v>
      </c>
      <c r="E992" s="12">
        <v>95</v>
      </c>
      <c r="F992" s="49">
        <v>2800431</v>
      </c>
      <c r="G992" s="67" t="s">
        <v>5604</v>
      </c>
      <c r="H992" s="14" t="s">
        <v>5602</v>
      </c>
      <c r="I992" s="14" t="s">
        <v>2458</v>
      </c>
      <c r="J992" s="33" t="s">
        <v>7110</v>
      </c>
      <c r="K992" s="33" t="s">
        <v>3967</v>
      </c>
      <c r="L992" s="68">
        <v>0</v>
      </c>
      <c r="M992" s="68" t="s">
        <v>8915</v>
      </c>
      <c r="N992" s="68">
        <v>0</v>
      </c>
      <c r="O992" s="68">
        <v>0</v>
      </c>
      <c r="P992" s="198" t="s">
        <v>5691</v>
      </c>
    </row>
    <row r="993" spans="1:16" ht="18.75" hidden="1">
      <c r="A993" s="50" t="s">
        <v>3915</v>
      </c>
      <c r="B993" s="50" t="s">
        <v>3934</v>
      </c>
      <c r="C993" s="50" t="s">
        <v>3942</v>
      </c>
      <c r="D993" s="50" t="s">
        <v>3829</v>
      </c>
      <c r="E993" s="12">
        <v>95</v>
      </c>
      <c r="F993" s="49">
        <v>997633</v>
      </c>
      <c r="G993" s="67" t="s">
        <v>5681</v>
      </c>
      <c r="H993" s="14" t="s">
        <v>5601</v>
      </c>
      <c r="I993" s="14" t="s">
        <v>2458</v>
      </c>
      <c r="J993" s="33" t="s">
        <v>7110</v>
      </c>
      <c r="K993" s="33" t="s">
        <v>3967</v>
      </c>
      <c r="L993" s="68">
        <v>0</v>
      </c>
      <c r="M993" s="68" t="s">
        <v>8915</v>
      </c>
      <c r="N993" s="68">
        <v>0</v>
      </c>
      <c r="O993" s="68">
        <v>0</v>
      </c>
      <c r="P993" s="198" t="s">
        <v>5682</v>
      </c>
    </row>
    <row r="994" spans="1:16" ht="18.75" hidden="1">
      <c r="A994" s="50" t="s">
        <v>3916</v>
      </c>
      <c r="B994" s="50" t="s">
        <v>3935</v>
      </c>
      <c r="C994" s="50" t="s">
        <v>3943</v>
      </c>
      <c r="D994" s="50" t="s">
        <v>3828</v>
      </c>
      <c r="E994" s="12">
        <v>95</v>
      </c>
      <c r="F994" s="49">
        <v>152900</v>
      </c>
      <c r="G994" s="67" t="s">
        <v>5631</v>
      </c>
      <c r="H994" s="14" t="s">
        <v>5601</v>
      </c>
      <c r="I994" s="14" t="s">
        <v>2458</v>
      </c>
      <c r="J994" s="33" t="s">
        <v>7110</v>
      </c>
      <c r="K994" s="33" t="s">
        <v>3967</v>
      </c>
      <c r="L994" s="68">
        <v>0</v>
      </c>
      <c r="M994" s="68" t="s">
        <v>8915</v>
      </c>
      <c r="N994" s="68">
        <v>0</v>
      </c>
      <c r="O994" s="68">
        <v>0</v>
      </c>
      <c r="P994" s="197" t="s">
        <v>5660</v>
      </c>
    </row>
    <row r="995" spans="1:16" ht="18.75" hidden="1">
      <c r="A995" s="50" t="s">
        <v>3916</v>
      </c>
      <c r="B995" s="50" t="s">
        <v>3935</v>
      </c>
      <c r="C995" s="50" t="s">
        <v>3944</v>
      </c>
      <c r="D995" s="50" t="s">
        <v>3714</v>
      </c>
      <c r="E995" s="12">
        <v>95</v>
      </c>
      <c r="F995" s="49">
        <v>547100</v>
      </c>
      <c r="G995" s="67" t="s">
        <v>5631</v>
      </c>
      <c r="H995" s="14" t="s">
        <v>5601</v>
      </c>
      <c r="I995" s="14" t="s">
        <v>2458</v>
      </c>
      <c r="J995" s="33" t="s">
        <v>7110</v>
      </c>
      <c r="K995" s="33" t="s">
        <v>3967</v>
      </c>
      <c r="L995" s="68">
        <v>0</v>
      </c>
      <c r="M995" s="68" t="s">
        <v>8915</v>
      </c>
      <c r="N995" s="68">
        <v>0</v>
      </c>
      <c r="O995" s="68">
        <v>0</v>
      </c>
      <c r="P995" s="197" t="s">
        <v>5660</v>
      </c>
    </row>
    <row r="996" spans="1:16" ht="18.75" hidden="1">
      <c r="A996" s="50" t="s">
        <v>3917</v>
      </c>
      <c r="B996" s="50" t="s">
        <v>3935</v>
      </c>
      <c r="C996" s="50" t="s">
        <v>3945</v>
      </c>
      <c r="D996" s="50" t="s">
        <v>3720</v>
      </c>
      <c r="E996" s="12">
        <v>95</v>
      </c>
      <c r="F996" s="49">
        <v>499520</v>
      </c>
      <c r="G996" s="67" t="s">
        <v>5609</v>
      </c>
      <c r="H996" s="14" t="s">
        <v>5601</v>
      </c>
      <c r="I996" s="14" t="s">
        <v>2458</v>
      </c>
      <c r="J996" s="33" t="s">
        <v>7110</v>
      </c>
      <c r="K996" s="33" t="s">
        <v>3967</v>
      </c>
      <c r="L996" s="68">
        <v>0</v>
      </c>
      <c r="M996" s="68" t="s">
        <v>8915</v>
      </c>
      <c r="N996" s="68">
        <v>0</v>
      </c>
      <c r="O996" s="68">
        <v>0</v>
      </c>
      <c r="P996" s="198" t="s">
        <v>5670</v>
      </c>
    </row>
    <row r="997" spans="1:16" ht="18.75" hidden="1">
      <c r="A997" s="50" t="s">
        <v>3918</v>
      </c>
      <c r="B997" s="50" t="s">
        <v>3935</v>
      </c>
      <c r="C997" s="50" t="s">
        <v>3946</v>
      </c>
      <c r="D997" s="50" t="s">
        <v>3716</v>
      </c>
      <c r="E997" s="12">
        <v>95</v>
      </c>
      <c r="F997" s="49">
        <v>1620100</v>
      </c>
      <c r="G997" s="67" t="s">
        <v>5631</v>
      </c>
      <c r="H997" s="14" t="s">
        <v>5601</v>
      </c>
      <c r="I997" s="14" t="s">
        <v>2458</v>
      </c>
      <c r="J997" s="33" t="s">
        <v>7110</v>
      </c>
      <c r="K997" s="33" t="s">
        <v>3967</v>
      </c>
      <c r="L997" s="68">
        <v>0</v>
      </c>
      <c r="M997" s="68" t="s">
        <v>8915</v>
      </c>
      <c r="N997" s="68">
        <v>0</v>
      </c>
      <c r="O997" s="68">
        <v>0</v>
      </c>
      <c r="P997" s="197" t="s">
        <v>5660</v>
      </c>
    </row>
    <row r="998" spans="1:16" ht="18.75" hidden="1">
      <c r="A998" s="50" t="s">
        <v>3919</v>
      </c>
      <c r="B998" s="50" t="s">
        <v>3854</v>
      </c>
      <c r="C998" s="50" t="s">
        <v>3947</v>
      </c>
      <c r="D998" s="50" t="s">
        <v>3661</v>
      </c>
      <c r="E998" s="12">
        <v>95</v>
      </c>
      <c r="F998" s="49">
        <v>485205</v>
      </c>
      <c r="G998" s="67" t="s">
        <v>5611</v>
      </c>
      <c r="H998" s="14" t="s">
        <v>5601</v>
      </c>
      <c r="I998" s="14" t="s">
        <v>2458</v>
      </c>
      <c r="J998" s="33" t="s">
        <v>7110</v>
      </c>
      <c r="K998" s="33" t="s">
        <v>3967</v>
      </c>
      <c r="L998" s="68">
        <v>0</v>
      </c>
      <c r="M998" s="68" t="s">
        <v>8915</v>
      </c>
      <c r="N998" s="68">
        <v>0</v>
      </c>
      <c r="O998" s="68">
        <v>0</v>
      </c>
      <c r="P998" s="198" t="s">
        <v>5654</v>
      </c>
    </row>
    <row r="999" spans="1:16" ht="18.75" hidden="1">
      <c r="A999" s="50" t="s">
        <v>3920</v>
      </c>
      <c r="B999" s="50" t="s">
        <v>3900</v>
      </c>
      <c r="C999" s="50" t="s">
        <v>3903</v>
      </c>
      <c r="D999" s="50" t="s">
        <v>3662</v>
      </c>
      <c r="E999" s="12">
        <v>95</v>
      </c>
      <c r="F999" s="49">
        <v>5070</v>
      </c>
      <c r="G999" s="67" t="s">
        <v>5611</v>
      </c>
      <c r="H999" s="14" t="s">
        <v>5601</v>
      </c>
      <c r="I999" s="14" t="s">
        <v>2458</v>
      </c>
      <c r="J999" s="33" t="s">
        <v>7110</v>
      </c>
      <c r="K999" s="33" t="s">
        <v>3967</v>
      </c>
      <c r="L999" s="68">
        <v>0</v>
      </c>
      <c r="M999" s="68" t="s">
        <v>8915</v>
      </c>
      <c r="N999" s="68">
        <v>0</v>
      </c>
      <c r="O999" s="68">
        <v>0</v>
      </c>
      <c r="P999" s="198" t="s">
        <v>5658</v>
      </c>
    </row>
    <row r="1000" spans="1:16" ht="18.75" hidden="1">
      <c r="A1000" s="50" t="s">
        <v>3918</v>
      </c>
      <c r="B1000" s="50" t="s">
        <v>3935</v>
      </c>
      <c r="C1000" s="50" t="s">
        <v>3948</v>
      </c>
      <c r="D1000" s="50" t="s">
        <v>3827</v>
      </c>
      <c r="E1000" s="12">
        <v>95</v>
      </c>
      <c r="F1000" s="49">
        <v>384900</v>
      </c>
      <c r="G1000" s="67" t="s">
        <v>5631</v>
      </c>
      <c r="H1000" s="14" t="s">
        <v>5601</v>
      </c>
      <c r="I1000" s="14" t="s">
        <v>2458</v>
      </c>
      <c r="J1000" s="33" t="s">
        <v>7110</v>
      </c>
      <c r="K1000" s="33" t="s">
        <v>3967</v>
      </c>
      <c r="L1000" s="68">
        <v>0</v>
      </c>
      <c r="M1000" s="68" t="s">
        <v>8915</v>
      </c>
      <c r="N1000" s="68">
        <v>0</v>
      </c>
      <c r="O1000" s="68">
        <v>0</v>
      </c>
      <c r="P1000" s="197" t="s">
        <v>5660</v>
      </c>
    </row>
    <row r="1001" spans="1:16" ht="18.75" hidden="1">
      <c r="A1001" s="50" t="s">
        <v>3920</v>
      </c>
      <c r="B1001" s="50" t="s">
        <v>3900</v>
      </c>
      <c r="C1001" s="50" t="s">
        <v>3949</v>
      </c>
      <c r="D1001" s="50" t="s">
        <v>3714</v>
      </c>
      <c r="E1001" s="12">
        <v>95</v>
      </c>
      <c r="F1001" s="49">
        <v>999780</v>
      </c>
      <c r="G1001" s="67" t="s">
        <v>5611</v>
      </c>
      <c r="H1001" s="14" t="s">
        <v>5601</v>
      </c>
      <c r="I1001" s="14" t="s">
        <v>2458</v>
      </c>
      <c r="J1001" s="33" t="s">
        <v>7110</v>
      </c>
      <c r="K1001" s="33" t="s">
        <v>3967</v>
      </c>
      <c r="L1001" s="68">
        <v>0</v>
      </c>
      <c r="M1001" s="68" t="s">
        <v>8915</v>
      </c>
      <c r="N1001" s="68">
        <v>0</v>
      </c>
      <c r="O1001" s="68">
        <v>0</v>
      </c>
      <c r="P1001" s="198" t="s">
        <v>5659</v>
      </c>
    </row>
    <row r="1002" spans="1:16" ht="18.75" hidden="1">
      <c r="A1002" s="50" t="s">
        <v>3916</v>
      </c>
      <c r="B1002" s="50" t="s">
        <v>3935</v>
      </c>
      <c r="C1002" s="50" t="s">
        <v>3950</v>
      </c>
      <c r="D1002" s="50" t="s">
        <v>3719</v>
      </c>
      <c r="E1002" s="12">
        <v>95</v>
      </c>
      <c r="F1002" s="49">
        <v>300460</v>
      </c>
      <c r="G1002" s="67" t="s">
        <v>5631</v>
      </c>
      <c r="H1002" s="14" t="s">
        <v>5601</v>
      </c>
      <c r="I1002" s="14" t="s">
        <v>2458</v>
      </c>
      <c r="J1002" s="33" t="s">
        <v>7110</v>
      </c>
      <c r="K1002" s="33" t="s">
        <v>3967</v>
      </c>
      <c r="L1002" s="68">
        <v>0</v>
      </c>
      <c r="M1002" s="68" t="s">
        <v>8915</v>
      </c>
      <c r="N1002" s="68">
        <v>0</v>
      </c>
      <c r="O1002" s="68">
        <v>0</v>
      </c>
      <c r="P1002" s="197" t="s">
        <v>5662</v>
      </c>
    </row>
    <row r="1003" spans="1:16" ht="18.75" hidden="1">
      <c r="A1003" s="50" t="s">
        <v>3921</v>
      </c>
      <c r="B1003" s="50" t="s">
        <v>3936</v>
      </c>
      <c r="C1003" s="50" t="s">
        <v>3880</v>
      </c>
      <c r="D1003" s="50" t="s">
        <v>3671</v>
      </c>
      <c r="E1003" s="12">
        <v>95</v>
      </c>
      <c r="F1003" s="49">
        <v>292002</v>
      </c>
      <c r="G1003" s="67" t="s">
        <v>5631</v>
      </c>
      <c r="H1003" s="14" t="s">
        <v>5601</v>
      </c>
      <c r="I1003" s="14" t="s">
        <v>2458</v>
      </c>
      <c r="J1003" s="33" t="s">
        <v>7110</v>
      </c>
      <c r="K1003" s="33" t="s">
        <v>3967</v>
      </c>
      <c r="L1003" s="68">
        <v>0</v>
      </c>
      <c r="M1003" s="68" t="s">
        <v>8915</v>
      </c>
      <c r="N1003" s="68">
        <v>0</v>
      </c>
      <c r="O1003" s="68">
        <v>0</v>
      </c>
      <c r="P1003" s="197" t="s">
        <v>5662</v>
      </c>
    </row>
    <row r="1004" spans="1:16" ht="18.75" hidden="1">
      <c r="A1004" s="50" t="s">
        <v>3922</v>
      </c>
      <c r="B1004" s="50" t="s">
        <v>3933</v>
      </c>
      <c r="C1004" s="50" t="s">
        <v>3951</v>
      </c>
      <c r="D1004" s="50" t="s">
        <v>3714</v>
      </c>
      <c r="E1004" s="12">
        <v>95</v>
      </c>
      <c r="F1004" s="49">
        <v>582160</v>
      </c>
      <c r="G1004" s="67" t="s">
        <v>5611</v>
      </c>
      <c r="H1004" s="14" t="s">
        <v>5601</v>
      </c>
      <c r="I1004" s="14" t="s">
        <v>2458</v>
      </c>
      <c r="J1004" s="33" t="s">
        <v>7110</v>
      </c>
      <c r="K1004" s="33" t="s">
        <v>3967</v>
      </c>
      <c r="L1004" s="68">
        <v>0</v>
      </c>
      <c r="M1004" s="68" t="s">
        <v>8915</v>
      </c>
      <c r="N1004" s="68">
        <v>0</v>
      </c>
      <c r="O1004" s="68">
        <v>0</v>
      </c>
      <c r="P1004" s="198" t="s">
        <v>5659</v>
      </c>
    </row>
    <row r="1005" spans="1:16" ht="18.75" hidden="1">
      <c r="A1005" s="50" t="s">
        <v>3922</v>
      </c>
      <c r="B1005" s="50" t="s">
        <v>3933</v>
      </c>
      <c r="C1005" s="50" t="s">
        <v>3952</v>
      </c>
      <c r="D1005" s="50" t="s">
        <v>3714</v>
      </c>
      <c r="E1005" s="12">
        <v>95</v>
      </c>
      <c r="F1005" s="49">
        <v>297540</v>
      </c>
      <c r="G1005" s="67" t="s">
        <v>5611</v>
      </c>
      <c r="H1005" s="14" t="s">
        <v>5601</v>
      </c>
      <c r="I1005" s="14" t="s">
        <v>2458</v>
      </c>
      <c r="J1005" s="33" t="s">
        <v>7110</v>
      </c>
      <c r="K1005" s="33" t="s">
        <v>3967</v>
      </c>
      <c r="L1005" s="68">
        <v>0</v>
      </c>
      <c r="M1005" s="68" t="s">
        <v>8915</v>
      </c>
      <c r="N1005" s="68">
        <v>0</v>
      </c>
      <c r="O1005" s="68">
        <v>0</v>
      </c>
      <c r="P1005" s="198" t="s">
        <v>5659</v>
      </c>
    </row>
    <row r="1006" spans="1:16" ht="18.75" hidden="1">
      <c r="A1006" s="50" t="s">
        <v>3922</v>
      </c>
      <c r="B1006" s="50" t="s">
        <v>3933</v>
      </c>
      <c r="C1006" s="50" t="s">
        <v>3953</v>
      </c>
      <c r="D1006" s="50" t="s">
        <v>3714</v>
      </c>
      <c r="E1006" s="12">
        <v>95</v>
      </c>
      <c r="F1006" s="49">
        <v>453180</v>
      </c>
      <c r="G1006" s="67" t="s">
        <v>5611</v>
      </c>
      <c r="H1006" s="14" t="s">
        <v>5601</v>
      </c>
      <c r="I1006" s="14" t="s">
        <v>2458</v>
      </c>
      <c r="J1006" s="33" t="s">
        <v>7110</v>
      </c>
      <c r="K1006" s="33" t="s">
        <v>3967</v>
      </c>
      <c r="L1006" s="68">
        <v>0</v>
      </c>
      <c r="M1006" s="68" t="s">
        <v>8915</v>
      </c>
      <c r="N1006" s="68">
        <v>0</v>
      </c>
      <c r="O1006" s="68">
        <v>0</v>
      </c>
      <c r="P1006" s="198" t="s">
        <v>5659</v>
      </c>
    </row>
    <row r="1007" spans="1:16" ht="18.75" hidden="1">
      <c r="A1007" s="50" t="s">
        <v>3922</v>
      </c>
      <c r="B1007" s="50" t="s">
        <v>3933</v>
      </c>
      <c r="C1007" s="50" t="s">
        <v>3954</v>
      </c>
      <c r="D1007" s="50" t="s">
        <v>3714</v>
      </c>
      <c r="E1007" s="12">
        <v>95</v>
      </c>
      <c r="F1007" s="49">
        <v>299340</v>
      </c>
      <c r="G1007" s="67" t="s">
        <v>5611</v>
      </c>
      <c r="H1007" s="14" t="s">
        <v>5601</v>
      </c>
      <c r="I1007" s="14" t="s">
        <v>2458</v>
      </c>
      <c r="J1007" s="33" t="s">
        <v>7110</v>
      </c>
      <c r="K1007" s="33" t="s">
        <v>3967</v>
      </c>
      <c r="L1007" s="68">
        <v>0</v>
      </c>
      <c r="M1007" s="68" t="s">
        <v>8915</v>
      </c>
      <c r="N1007" s="68">
        <v>0</v>
      </c>
      <c r="O1007" s="68">
        <v>0</v>
      </c>
      <c r="P1007" s="198" t="s">
        <v>5659</v>
      </c>
    </row>
    <row r="1008" spans="1:16" ht="18.75" hidden="1">
      <c r="A1008" s="50" t="s">
        <v>3923</v>
      </c>
      <c r="B1008" s="50" t="s">
        <v>3900</v>
      </c>
      <c r="C1008" s="50" t="s">
        <v>3943</v>
      </c>
      <c r="D1008" s="50" t="s">
        <v>3828</v>
      </c>
      <c r="E1008" s="12">
        <v>95</v>
      </c>
      <c r="F1008" s="49">
        <v>29100</v>
      </c>
      <c r="G1008" s="67" t="s">
        <v>5631</v>
      </c>
      <c r="H1008" s="14" t="s">
        <v>5601</v>
      </c>
      <c r="I1008" s="14" t="s">
        <v>2458</v>
      </c>
      <c r="J1008" s="33" t="s">
        <v>7110</v>
      </c>
      <c r="K1008" s="33" t="s">
        <v>3967</v>
      </c>
      <c r="L1008" s="68">
        <v>0</v>
      </c>
      <c r="M1008" s="68" t="s">
        <v>8915</v>
      </c>
      <c r="N1008" s="68">
        <v>0</v>
      </c>
      <c r="O1008" s="68">
        <v>0</v>
      </c>
      <c r="P1008" s="197" t="s">
        <v>5660</v>
      </c>
    </row>
    <row r="1009" spans="1:16" ht="18.75" hidden="1">
      <c r="A1009" s="50" t="s">
        <v>3923</v>
      </c>
      <c r="B1009" s="50" t="s">
        <v>3900</v>
      </c>
      <c r="C1009" s="50" t="s">
        <v>3948</v>
      </c>
      <c r="D1009" s="50" t="s">
        <v>3827</v>
      </c>
      <c r="E1009" s="12">
        <v>95</v>
      </c>
      <c r="F1009" s="49">
        <v>265100</v>
      </c>
      <c r="G1009" s="67" t="s">
        <v>5631</v>
      </c>
      <c r="H1009" s="14" t="s">
        <v>5601</v>
      </c>
      <c r="I1009" s="14" t="s">
        <v>2458</v>
      </c>
      <c r="J1009" s="33" t="s">
        <v>7110</v>
      </c>
      <c r="K1009" s="33" t="s">
        <v>3967</v>
      </c>
      <c r="L1009" s="68">
        <v>0</v>
      </c>
      <c r="M1009" s="68" t="s">
        <v>8915</v>
      </c>
      <c r="N1009" s="68">
        <v>0</v>
      </c>
      <c r="O1009" s="68">
        <v>0</v>
      </c>
      <c r="P1009" s="197" t="s">
        <v>5660</v>
      </c>
    </row>
    <row r="1010" spans="1:16" ht="18.75" hidden="1">
      <c r="A1010" s="50" t="s">
        <v>3923</v>
      </c>
      <c r="B1010" s="50" t="s">
        <v>3900</v>
      </c>
      <c r="C1010" s="50" t="s">
        <v>3955</v>
      </c>
      <c r="D1010" s="50" t="s">
        <v>3966</v>
      </c>
      <c r="E1010" s="12">
        <v>95</v>
      </c>
      <c r="F1010" s="49">
        <v>180808</v>
      </c>
      <c r="G1010" s="67" t="s">
        <v>5631</v>
      </c>
      <c r="H1010" s="14" t="s">
        <v>5601</v>
      </c>
      <c r="I1010" s="14" t="s">
        <v>2458</v>
      </c>
      <c r="J1010" s="33" t="s">
        <v>7110</v>
      </c>
      <c r="K1010" s="33" t="s">
        <v>3967</v>
      </c>
      <c r="L1010" s="68">
        <v>0</v>
      </c>
      <c r="M1010" s="68" t="s">
        <v>8915</v>
      </c>
      <c r="N1010" s="68">
        <v>0</v>
      </c>
      <c r="O1010" s="68">
        <v>0</v>
      </c>
      <c r="P1010" s="197" t="s">
        <v>5662</v>
      </c>
    </row>
    <row r="1011" spans="1:16" ht="18.75" hidden="1">
      <c r="A1011" s="50" t="s">
        <v>3924</v>
      </c>
      <c r="B1011" s="50" t="s">
        <v>3900</v>
      </c>
      <c r="C1011" s="50" t="s">
        <v>3956</v>
      </c>
      <c r="D1011" s="50" t="s">
        <v>3714</v>
      </c>
      <c r="E1011" s="12">
        <v>95</v>
      </c>
      <c r="F1011" s="49">
        <v>152720</v>
      </c>
      <c r="G1011" s="67" t="s">
        <v>5611</v>
      </c>
      <c r="H1011" s="14" t="s">
        <v>5601</v>
      </c>
      <c r="I1011" s="14" t="s">
        <v>2458</v>
      </c>
      <c r="J1011" s="33" t="s">
        <v>7110</v>
      </c>
      <c r="K1011" s="33" t="s">
        <v>3967</v>
      </c>
      <c r="L1011" s="68">
        <v>0</v>
      </c>
      <c r="M1011" s="68" t="s">
        <v>8915</v>
      </c>
      <c r="N1011" s="68">
        <v>0</v>
      </c>
      <c r="O1011" s="68">
        <v>0</v>
      </c>
      <c r="P1011" s="198" t="s">
        <v>5659</v>
      </c>
    </row>
    <row r="1012" spans="1:16" ht="18.75" hidden="1">
      <c r="A1012" s="50" t="s">
        <v>3924</v>
      </c>
      <c r="B1012" s="50" t="s">
        <v>3900</v>
      </c>
      <c r="C1012" s="50" t="s">
        <v>3957</v>
      </c>
      <c r="D1012" s="50" t="s">
        <v>3716</v>
      </c>
      <c r="E1012" s="12">
        <v>95</v>
      </c>
      <c r="F1012" s="49">
        <v>99260</v>
      </c>
      <c r="G1012" s="67" t="s">
        <v>5611</v>
      </c>
      <c r="H1012" s="14" t="s">
        <v>5601</v>
      </c>
      <c r="I1012" s="14" t="s">
        <v>2458</v>
      </c>
      <c r="J1012" s="33" t="s">
        <v>7110</v>
      </c>
      <c r="K1012" s="33" t="s">
        <v>3967</v>
      </c>
      <c r="L1012" s="68">
        <v>0</v>
      </c>
      <c r="M1012" s="68" t="s">
        <v>8915</v>
      </c>
      <c r="N1012" s="68">
        <v>0</v>
      </c>
      <c r="O1012" s="68">
        <v>0</v>
      </c>
      <c r="P1012" s="198" t="s">
        <v>5659</v>
      </c>
    </row>
    <row r="1013" spans="1:16" ht="18.75" hidden="1">
      <c r="A1013" s="50" t="s">
        <v>3925</v>
      </c>
      <c r="B1013" s="50" t="s">
        <v>3900</v>
      </c>
      <c r="C1013" s="50" t="s">
        <v>3958</v>
      </c>
      <c r="D1013" s="50" t="s">
        <v>3936</v>
      </c>
      <c r="E1013" s="12">
        <v>95</v>
      </c>
      <c r="F1013" s="49">
        <v>557144</v>
      </c>
      <c r="G1013" s="67" t="s">
        <v>5631</v>
      </c>
      <c r="H1013" s="14" t="s">
        <v>5601</v>
      </c>
      <c r="I1013" s="14" t="s">
        <v>2458</v>
      </c>
      <c r="J1013" s="33" t="s">
        <v>7110</v>
      </c>
      <c r="K1013" s="33" t="s">
        <v>3967</v>
      </c>
      <c r="L1013" s="68">
        <v>0</v>
      </c>
      <c r="M1013" s="68" t="s">
        <v>8915</v>
      </c>
      <c r="N1013" s="68">
        <v>0</v>
      </c>
      <c r="O1013" s="68">
        <v>0</v>
      </c>
      <c r="P1013" s="197" t="s">
        <v>5668</v>
      </c>
    </row>
    <row r="1014" spans="1:16" ht="18.75" hidden="1">
      <c r="A1014" s="50" t="s">
        <v>3925</v>
      </c>
      <c r="B1014" s="50" t="s">
        <v>3900</v>
      </c>
      <c r="C1014" s="50" t="s">
        <v>3959</v>
      </c>
      <c r="D1014" s="50" t="s">
        <v>3936</v>
      </c>
      <c r="E1014" s="12">
        <v>95</v>
      </c>
      <c r="F1014" s="49">
        <v>125544</v>
      </c>
      <c r="G1014" s="67" t="s">
        <v>5631</v>
      </c>
      <c r="H1014" s="14" t="s">
        <v>5601</v>
      </c>
      <c r="I1014" s="14" t="s">
        <v>2458</v>
      </c>
      <c r="J1014" s="33" t="s">
        <v>7110</v>
      </c>
      <c r="K1014" s="33" t="s">
        <v>3967</v>
      </c>
      <c r="L1014" s="68">
        <v>0</v>
      </c>
      <c r="M1014" s="68" t="s">
        <v>8915</v>
      </c>
      <c r="N1014" s="68">
        <v>0</v>
      </c>
      <c r="O1014" s="68">
        <v>0</v>
      </c>
      <c r="P1014" s="197" t="s">
        <v>5668</v>
      </c>
    </row>
    <row r="1015" spans="1:16" ht="18.75" hidden="1">
      <c r="A1015" s="50" t="s">
        <v>3921</v>
      </c>
      <c r="B1015" s="50" t="s">
        <v>3936</v>
      </c>
      <c r="C1015" s="50" t="s">
        <v>3950</v>
      </c>
      <c r="D1015" s="50" t="s">
        <v>3719</v>
      </c>
      <c r="E1015" s="12">
        <v>95</v>
      </c>
      <c r="F1015" s="49">
        <v>209748</v>
      </c>
      <c r="G1015" s="67" t="s">
        <v>5631</v>
      </c>
      <c r="H1015" s="14" t="s">
        <v>5601</v>
      </c>
      <c r="I1015" s="14" t="s">
        <v>2458</v>
      </c>
      <c r="J1015" s="33" t="s">
        <v>7110</v>
      </c>
      <c r="K1015" s="33" t="s">
        <v>3967</v>
      </c>
      <c r="L1015" s="68">
        <v>0</v>
      </c>
      <c r="M1015" s="68" t="s">
        <v>8915</v>
      </c>
      <c r="N1015" s="68">
        <v>0</v>
      </c>
      <c r="O1015" s="68">
        <v>0</v>
      </c>
      <c r="P1015" s="197" t="s">
        <v>5662</v>
      </c>
    </row>
    <row r="1016" spans="1:16" ht="18.75" hidden="1">
      <c r="A1016" s="50" t="s">
        <v>3925</v>
      </c>
      <c r="B1016" s="50" t="s">
        <v>3900</v>
      </c>
      <c r="C1016" s="50" t="s">
        <v>3955</v>
      </c>
      <c r="D1016" s="50" t="s">
        <v>3966</v>
      </c>
      <c r="E1016" s="12">
        <v>95</v>
      </c>
      <c r="F1016" s="49">
        <v>318312</v>
      </c>
      <c r="G1016" s="67" t="s">
        <v>5631</v>
      </c>
      <c r="H1016" s="14" t="s">
        <v>5601</v>
      </c>
      <c r="I1016" s="14" t="s">
        <v>2458</v>
      </c>
      <c r="J1016" s="33" t="s">
        <v>7110</v>
      </c>
      <c r="K1016" s="33" t="s">
        <v>3967</v>
      </c>
      <c r="L1016" s="68">
        <v>0</v>
      </c>
      <c r="M1016" s="68" t="s">
        <v>8915</v>
      </c>
      <c r="N1016" s="68">
        <v>0</v>
      </c>
      <c r="O1016" s="68">
        <v>0</v>
      </c>
      <c r="P1016" s="197" t="s">
        <v>5662</v>
      </c>
    </row>
    <row r="1017" spans="1:16" ht="18.75" hidden="1">
      <c r="A1017" s="50" t="s">
        <v>3924</v>
      </c>
      <c r="B1017" s="50" t="s">
        <v>3900</v>
      </c>
      <c r="C1017" s="50" t="s">
        <v>3903</v>
      </c>
      <c r="D1017" s="50" t="s">
        <v>3662</v>
      </c>
      <c r="E1017" s="12">
        <v>95</v>
      </c>
      <c r="F1017" s="49">
        <v>244395</v>
      </c>
      <c r="G1017" s="67" t="s">
        <v>5611</v>
      </c>
      <c r="H1017" s="14" t="s">
        <v>5601</v>
      </c>
      <c r="I1017" s="14" t="s">
        <v>2458</v>
      </c>
      <c r="J1017" s="33" t="s">
        <v>7110</v>
      </c>
      <c r="K1017" s="33" t="s">
        <v>3967</v>
      </c>
      <c r="L1017" s="68">
        <v>0</v>
      </c>
      <c r="M1017" s="68" t="s">
        <v>8915</v>
      </c>
      <c r="N1017" s="68">
        <v>0</v>
      </c>
      <c r="O1017" s="68">
        <v>0</v>
      </c>
      <c r="P1017" s="198" t="s">
        <v>5658</v>
      </c>
    </row>
    <row r="1018" spans="1:16" ht="18.75" hidden="1">
      <c r="A1018" s="50" t="s">
        <v>3926</v>
      </c>
      <c r="B1018" s="50" t="s">
        <v>3900</v>
      </c>
      <c r="C1018" s="50" t="s">
        <v>3958</v>
      </c>
      <c r="D1018" s="50" t="s">
        <v>3936</v>
      </c>
      <c r="E1018" s="12">
        <v>95</v>
      </c>
      <c r="F1018" s="49">
        <v>440216</v>
      </c>
      <c r="G1018" s="67" t="s">
        <v>5631</v>
      </c>
      <c r="H1018" s="14" t="s">
        <v>5601</v>
      </c>
      <c r="I1018" s="14" t="s">
        <v>2458</v>
      </c>
      <c r="J1018" s="33" t="s">
        <v>7110</v>
      </c>
      <c r="K1018" s="33" t="s">
        <v>3967</v>
      </c>
      <c r="L1018" s="68">
        <v>0</v>
      </c>
      <c r="M1018" s="68" t="s">
        <v>8915</v>
      </c>
      <c r="N1018" s="68">
        <v>0</v>
      </c>
      <c r="O1018" s="68">
        <v>0</v>
      </c>
      <c r="P1018" s="197" t="s">
        <v>5668</v>
      </c>
    </row>
    <row r="1019" spans="1:16" ht="18.75" hidden="1">
      <c r="A1019" s="50" t="s">
        <v>3926</v>
      </c>
      <c r="B1019" s="50" t="s">
        <v>3900</v>
      </c>
      <c r="C1019" s="50" t="s">
        <v>3959</v>
      </c>
      <c r="D1019" s="50" t="s">
        <v>3936</v>
      </c>
      <c r="E1019" s="12">
        <v>95</v>
      </c>
      <c r="F1019" s="49">
        <v>560784</v>
      </c>
      <c r="G1019" s="67" t="s">
        <v>5631</v>
      </c>
      <c r="H1019" s="14" t="s">
        <v>5601</v>
      </c>
      <c r="I1019" s="14" t="s">
        <v>2458</v>
      </c>
      <c r="J1019" s="33" t="s">
        <v>7110</v>
      </c>
      <c r="K1019" s="33" t="s">
        <v>3967</v>
      </c>
      <c r="L1019" s="68">
        <v>0</v>
      </c>
      <c r="M1019" s="68" t="s">
        <v>8915</v>
      </c>
      <c r="N1019" s="68">
        <v>0</v>
      </c>
      <c r="O1019" s="68">
        <v>0</v>
      </c>
      <c r="P1019" s="197" t="s">
        <v>5668</v>
      </c>
    </row>
    <row r="1020" spans="1:16" ht="18.75" hidden="1">
      <c r="A1020" s="50" t="s">
        <v>3922</v>
      </c>
      <c r="B1020" s="50" t="s">
        <v>3933</v>
      </c>
      <c r="C1020" s="50" t="s">
        <v>3960</v>
      </c>
      <c r="D1020" s="50" t="s">
        <v>3716</v>
      </c>
      <c r="E1020" s="12">
        <v>95</v>
      </c>
      <c r="F1020" s="49">
        <v>370880</v>
      </c>
      <c r="G1020" s="67" t="s">
        <v>5611</v>
      </c>
      <c r="H1020" s="14" t="s">
        <v>5601</v>
      </c>
      <c r="I1020" s="14" t="s">
        <v>2458</v>
      </c>
      <c r="J1020" s="33" t="s">
        <v>7110</v>
      </c>
      <c r="K1020" s="33" t="s">
        <v>3967</v>
      </c>
      <c r="L1020" s="68">
        <v>0</v>
      </c>
      <c r="M1020" s="68" t="s">
        <v>8915</v>
      </c>
      <c r="N1020" s="68">
        <v>0</v>
      </c>
      <c r="O1020" s="68">
        <v>0</v>
      </c>
      <c r="P1020" s="198" t="s">
        <v>5659</v>
      </c>
    </row>
    <row r="1021" spans="1:16" ht="18.75" hidden="1">
      <c r="A1021" s="50" t="s">
        <v>3927</v>
      </c>
      <c r="B1021" s="50" t="s">
        <v>3933</v>
      </c>
      <c r="C1021" s="50" t="s">
        <v>3903</v>
      </c>
      <c r="D1021" s="50" t="s">
        <v>3662</v>
      </c>
      <c r="E1021" s="12">
        <v>95</v>
      </c>
      <c r="F1021" s="49">
        <v>499000</v>
      </c>
      <c r="G1021" s="67" t="s">
        <v>5611</v>
      </c>
      <c r="H1021" s="14" t="s">
        <v>5601</v>
      </c>
      <c r="I1021" s="14" t="s">
        <v>2458</v>
      </c>
      <c r="J1021" s="33" t="s">
        <v>7110</v>
      </c>
      <c r="K1021" s="33" t="s">
        <v>3967</v>
      </c>
      <c r="L1021" s="68">
        <v>0</v>
      </c>
      <c r="M1021" s="68" t="s">
        <v>8915</v>
      </c>
      <c r="N1021" s="68">
        <v>0</v>
      </c>
      <c r="O1021" s="68">
        <v>0</v>
      </c>
      <c r="P1021" s="198" t="s">
        <v>5658</v>
      </c>
    </row>
    <row r="1022" spans="1:16" ht="18.75" hidden="1">
      <c r="A1022" s="50" t="s">
        <v>3928</v>
      </c>
      <c r="B1022" s="50" t="s">
        <v>3934</v>
      </c>
      <c r="C1022" s="50" t="s">
        <v>3959</v>
      </c>
      <c r="D1022" s="50" t="s">
        <v>3936</v>
      </c>
      <c r="E1022" s="12">
        <v>95</v>
      </c>
      <c r="F1022" s="49">
        <v>502950</v>
      </c>
      <c r="G1022" s="67" t="s">
        <v>5631</v>
      </c>
      <c r="H1022" s="14" t="s">
        <v>5601</v>
      </c>
      <c r="I1022" s="14" t="s">
        <v>2458</v>
      </c>
      <c r="J1022" s="33" t="s">
        <v>7110</v>
      </c>
      <c r="K1022" s="33" t="s">
        <v>3967</v>
      </c>
      <c r="L1022" s="68">
        <v>0</v>
      </c>
      <c r="M1022" s="68" t="s">
        <v>8915</v>
      </c>
      <c r="N1022" s="68">
        <v>0</v>
      </c>
      <c r="O1022" s="68">
        <v>0</v>
      </c>
      <c r="P1022" s="197" t="s">
        <v>5668</v>
      </c>
    </row>
    <row r="1023" spans="1:16" ht="18.75" hidden="1">
      <c r="A1023" s="50" t="s">
        <v>3923</v>
      </c>
      <c r="B1023" s="50" t="s">
        <v>3900</v>
      </c>
      <c r="C1023" s="50" t="s">
        <v>3950</v>
      </c>
      <c r="D1023" s="50" t="s">
        <v>3719</v>
      </c>
      <c r="E1023" s="12">
        <v>95</v>
      </c>
      <c r="F1023" s="49">
        <v>21862</v>
      </c>
      <c r="G1023" s="67" t="s">
        <v>5631</v>
      </c>
      <c r="H1023" s="14" t="s">
        <v>5601</v>
      </c>
      <c r="I1023" s="14" t="s">
        <v>2458</v>
      </c>
      <c r="J1023" s="33" t="s">
        <v>7110</v>
      </c>
      <c r="K1023" s="33" t="s">
        <v>3967</v>
      </c>
      <c r="L1023" s="68">
        <v>0</v>
      </c>
      <c r="M1023" s="68" t="s">
        <v>8915</v>
      </c>
      <c r="N1023" s="68">
        <v>0</v>
      </c>
      <c r="O1023" s="68">
        <v>0</v>
      </c>
      <c r="P1023" s="197" t="s">
        <v>5662</v>
      </c>
    </row>
    <row r="1024" spans="1:16" ht="18.75" hidden="1">
      <c r="A1024" s="50" t="s">
        <v>3929</v>
      </c>
      <c r="B1024" s="50" t="s">
        <v>3902</v>
      </c>
      <c r="C1024" s="50" t="s">
        <v>3950</v>
      </c>
      <c r="D1024" s="50" t="s">
        <v>3719</v>
      </c>
      <c r="E1024" s="12">
        <v>95</v>
      </c>
      <c r="F1024" s="49">
        <v>99890</v>
      </c>
      <c r="G1024" s="67" t="s">
        <v>5631</v>
      </c>
      <c r="H1024" s="14" t="s">
        <v>5601</v>
      </c>
      <c r="I1024" s="14" t="s">
        <v>2458</v>
      </c>
      <c r="J1024" s="33" t="s">
        <v>7110</v>
      </c>
      <c r="K1024" s="33" t="s">
        <v>3967</v>
      </c>
      <c r="L1024" s="68">
        <v>0</v>
      </c>
      <c r="M1024" s="68" t="s">
        <v>8915</v>
      </c>
      <c r="N1024" s="68">
        <v>0</v>
      </c>
      <c r="O1024" s="68">
        <v>0</v>
      </c>
      <c r="P1024" s="197" t="s">
        <v>5662</v>
      </c>
    </row>
    <row r="1025" spans="1:16" ht="18.75" hidden="1">
      <c r="A1025" s="50" t="s">
        <v>3930</v>
      </c>
      <c r="B1025" s="50" t="s">
        <v>3934</v>
      </c>
      <c r="C1025" s="50" t="s">
        <v>3961</v>
      </c>
      <c r="D1025" s="50" t="s">
        <v>3822</v>
      </c>
      <c r="E1025" s="12">
        <v>95</v>
      </c>
      <c r="F1025" s="49">
        <v>80900</v>
      </c>
      <c r="G1025" s="67" t="s">
        <v>5611</v>
      </c>
      <c r="H1025" s="14" t="s">
        <v>5601</v>
      </c>
      <c r="I1025" s="14" t="s">
        <v>2458</v>
      </c>
      <c r="J1025" s="33" t="s">
        <v>7110</v>
      </c>
      <c r="K1025" s="33" t="s">
        <v>3967</v>
      </c>
      <c r="L1025" s="68">
        <v>0</v>
      </c>
      <c r="M1025" s="68" t="s">
        <v>8915</v>
      </c>
      <c r="N1025" s="68">
        <v>0</v>
      </c>
      <c r="O1025" s="68">
        <v>0</v>
      </c>
      <c r="P1025" s="198" t="s">
        <v>5659</v>
      </c>
    </row>
    <row r="1026" spans="1:16" ht="18.75" hidden="1">
      <c r="A1026" s="50" t="s">
        <v>3930</v>
      </c>
      <c r="B1026" s="50" t="s">
        <v>3934</v>
      </c>
      <c r="C1026" s="50" t="s">
        <v>3960</v>
      </c>
      <c r="D1026" s="50" t="s">
        <v>3716</v>
      </c>
      <c r="E1026" s="12">
        <v>95</v>
      </c>
      <c r="F1026" s="49">
        <v>127320</v>
      </c>
      <c r="G1026" s="67" t="s">
        <v>5611</v>
      </c>
      <c r="H1026" s="14" t="s">
        <v>5601</v>
      </c>
      <c r="I1026" s="14" t="s">
        <v>2458</v>
      </c>
      <c r="J1026" s="33" t="s">
        <v>7110</v>
      </c>
      <c r="K1026" s="33" t="s">
        <v>3967</v>
      </c>
      <c r="L1026" s="68">
        <v>0</v>
      </c>
      <c r="M1026" s="68" t="s">
        <v>8915</v>
      </c>
      <c r="N1026" s="68">
        <v>0</v>
      </c>
      <c r="O1026" s="68">
        <v>0</v>
      </c>
      <c r="P1026" s="198" t="s">
        <v>5659</v>
      </c>
    </row>
    <row r="1027" spans="1:16" ht="18.75" hidden="1">
      <c r="A1027" s="50" t="s">
        <v>3930</v>
      </c>
      <c r="B1027" s="50" t="s">
        <v>3934</v>
      </c>
      <c r="C1027" s="50" t="s">
        <v>3962</v>
      </c>
      <c r="D1027" s="50" t="s">
        <v>3822</v>
      </c>
      <c r="E1027" s="12">
        <v>95</v>
      </c>
      <c r="F1027" s="49">
        <v>45920</v>
      </c>
      <c r="G1027" s="67" t="s">
        <v>5611</v>
      </c>
      <c r="H1027" s="14" t="s">
        <v>5601</v>
      </c>
      <c r="I1027" s="14" t="s">
        <v>2458</v>
      </c>
      <c r="J1027" s="33" t="s">
        <v>7110</v>
      </c>
      <c r="K1027" s="33" t="s">
        <v>3967</v>
      </c>
      <c r="L1027" s="68">
        <v>0</v>
      </c>
      <c r="M1027" s="68" t="s">
        <v>8915</v>
      </c>
      <c r="N1027" s="68">
        <v>0</v>
      </c>
      <c r="O1027" s="68">
        <v>0</v>
      </c>
      <c r="P1027" s="198" t="s">
        <v>5659</v>
      </c>
    </row>
    <row r="1028" spans="1:16" ht="18.75" hidden="1">
      <c r="A1028" s="50" t="s">
        <v>3930</v>
      </c>
      <c r="B1028" s="50" t="s">
        <v>3934</v>
      </c>
      <c r="C1028" s="50" t="s">
        <v>3951</v>
      </c>
      <c r="D1028" s="50" t="s">
        <v>3714</v>
      </c>
      <c r="E1028" s="12">
        <v>95</v>
      </c>
      <c r="F1028" s="49">
        <v>150000</v>
      </c>
      <c r="G1028" s="67" t="s">
        <v>5611</v>
      </c>
      <c r="H1028" s="14" t="s">
        <v>5601</v>
      </c>
      <c r="I1028" s="14" t="s">
        <v>2458</v>
      </c>
      <c r="J1028" s="33" t="s">
        <v>7110</v>
      </c>
      <c r="K1028" s="33" t="s">
        <v>3967</v>
      </c>
      <c r="L1028" s="68">
        <v>0</v>
      </c>
      <c r="M1028" s="68" t="s">
        <v>8915</v>
      </c>
      <c r="N1028" s="68">
        <v>0</v>
      </c>
      <c r="O1028" s="68">
        <v>0</v>
      </c>
      <c r="P1028" s="198" t="s">
        <v>5659</v>
      </c>
    </row>
    <row r="1029" spans="1:16" ht="18.75" hidden="1">
      <c r="A1029" s="50" t="s">
        <v>3930</v>
      </c>
      <c r="B1029" s="50" t="s">
        <v>3934</v>
      </c>
      <c r="C1029" s="50" t="s">
        <v>3963</v>
      </c>
      <c r="D1029" s="50" t="s">
        <v>3936</v>
      </c>
      <c r="E1029" s="12">
        <v>95</v>
      </c>
      <c r="F1029" s="49">
        <v>437425</v>
      </c>
      <c r="G1029" s="67" t="s">
        <v>5611</v>
      </c>
      <c r="H1029" s="14" t="s">
        <v>5601</v>
      </c>
      <c r="I1029" s="14" t="s">
        <v>2458</v>
      </c>
      <c r="J1029" s="33" t="s">
        <v>7110</v>
      </c>
      <c r="K1029" s="33" t="s">
        <v>3967</v>
      </c>
      <c r="L1029" s="68">
        <v>0</v>
      </c>
      <c r="M1029" s="68" t="s">
        <v>8915</v>
      </c>
      <c r="N1029" s="68">
        <v>0</v>
      </c>
      <c r="O1029" s="68">
        <v>0</v>
      </c>
      <c r="P1029" s="198" t="s">
        <v>5675</v>
      </c>
    </row>
    <row r="1030" spans="1:16" ht="18.75" hidden="1">
      <c r="A1030" s="50" t="s">
        <v>3930</v>
      </c>
      <c r="B1030" s="50" t="s">
        <v>3934</v>
      </c>
      <c r="C1030" s="50" t="s">
        <v>3903</v>
      </c>
      <c r="D1030" s="50" t="s">
        <v>3662</v>
      </c>
      <c r="E1030" s="12">
        <v>95</v>
      </c>
      <c r="F1030" s="49">
        <v>142935</v>
      </c>
      <c r="G1030" s="67" t="s">
        <v>5611</v>
      </c>
      <c r="H1030" s="14" t="s">
        <v>5601</v>
      </c>
      <c r="I1030" s="14" t="s">
        <v>2458</v>
      </c>
      <c r="J1030" s="33" t="s">
        <v>7110</v>
      </c>
      <c r="K1030" s="33" t="s">
        <v>3967</v>
      </c>
      <c r="L1030" s="68">
        <v>0</v>
      </c>
      <c r="M1030" s="68" t="s">
        <v>8915</v>
      </c>
      <c r="N1030" s="68">
        <v>0</v>
      </c>
      <c r="O1030" s="68">
        <v>0</v>
      </c>
      <c r="P1030" s="198" t="s">
        <v>5658</v>
      </c>
    </row>
    <row r="1031" spans="1:16" ht="18.75" hidden="1">
      <c r="A1031" s="50" t="s">
        <v>3931</v>
      </c>
      <c r="B1031" s="50" t="s">
        <v>3937</v>
      </c>
      <c r="C1031" s="50" t="s">
        <v>3940</v>
      </c>
      <c r="D1031" s="50" t="s">
        <v>3936</v>
      </c>
      <c r="E1031" s="12">
        <v>95</v>
      </c>
      <c r="F1031" s="49">
        <v>123587</v>
      </c>
      <c r="G1031" s="67" t="s">
        <v>5616</v>
      </c>
      <c r="H1031" s="14" t="s">
        <v>5601</v>
      </c>
      <c r="I1031" s="14" t="s">
        <v>2458</v>
      </c>
      <c r="J1031" s="33" t="s">
        <v>7110</v>
      </c>
      <c r="K1031" s="33" t="s">
        <v>3967</v>
      </c>
      <c r="L1031" s="68">
        <v>0</v>
      </c>
      <c r="M1031" s="68" t="s">
        <v>8915</v>
      </c>
      <c r="N1031" s="68">
        <v>0</v>
      </c>
      <c r="O1031" s="68">
        <v>0</v>
      </c>
      <c r="P1031" s="198" t="s">
        <v>5661</v>
      </c>
    </row>
    <row r="1032" spans="1:16" ht="18.75" hidden="1">
      <c r="A1032" s="50" t="s">
        <v>3931</v>
      </c>
      <c r="B1032" s="50" t="s">
        <v>3937</v>
      </c>
      <c r="C1032" s="50" t="s">
        <v>3940</v>
      </c>
      <c r="D1032" s="50" t="s">
        <v>3936</v>
      </c>
      <c r="E1032" s="12">
        <v>95</v>
      </c>
      <c r="F1032" s="49">
        <v>852663</v>
      </c>
      <c r="G1032" s="67" t="s">
        <v>5616</v>
      </c>
      <c r="H1032" s="14" t="s">
        <v>5601</v>
      </c>
      <c r="I1032" s="14" t="s">
        <v>2458</v>
      </c>
      <c r="J1032" s="33" t="s">
        <v>7110</v>
      </c>
      <c r="K1032" s="33" t="s">
        <v>3967</v>
      </c>
      <c r="L1032" s="68">
        <v>0</v>
      </c>
      <c r="M1032" s="68" t="s">
        <v>8915</v>
      </c>
      <c r="N1032" s="68">
        <v>0</v>
      </c>
      <c r="O1032" s="68">
        <v>0</v>
      </c>
      <c r="P1032" s="198" t="s">
        <v>5661</v>
      </c>
    </row>
    <row r="1033" spans="1:16" ht="18.75" hidden="1">
      <c r="A1033" s="50" t="s">
        <v>3982</v>
      </c>
      <c r="B1033" s="50" t="s">
        <v>4165</v>
      </c>
      <c r="C1033" s="50" t="s">
        <v>4188</v>
      </c>
      <c r="D1033" s="50" t="s">
        <v>4186</v>
      </c>
      <c r="E1033" s="12">
        <v>95</v>
      </c>
      <c r="F1033" s="49">
        <v>377903</v>
      </c>
      <c r="G1033" s="67" t="s">
        <v>5631</v>
      </c>
      <c r="H1033" s="14" t="s">
        <v>5601</v>
      </c>
      <c r="I1033" s="14" t="s">
        <v>2458</v>
      </c>
      <c r="J1033" s="33" t="s">
        <v>7110</v>
      </c>
      <c r="K1033" s="33" t="s">
        <v>4307</v>
      </c>
      <c r="L1033" s="68">
        <v>0</v>
      </c>
      <c r="M1033" s="68" t="s">
        <v>8915</v>
      </c>
      <c r="N1033" s="68">
        <v>0</v>
      </c>
      <c r="O1033" s="68">
        <v>0</v>
      </c>
      <c r="P1033" s="197" t="s">
        <v>5698</v>
      </c>
    </row>
    <row r="1034" spans="1:16" ht="18.75" hidden="1">
      <c r="A1034" s="50" t="s">
        <v>3983</v>
      </c>
      <c r="B1034" s="50" t="s">
        <v>3967</v>
      </c>
      <c r="C1034" s="50" t="s">
        <v>4189</v>
      </c>
      <c r="D1034" s="50" t="s">
        <v>3937</v>
      </c>
      <c r="E1034" s="12">
        <v>95</v>
      </c>
      <c r="F1034" s="49">
        <v>591228</v>
      </c>
      <c r="G1034" s="67" t="s">
        <v>5604</v>
      </c>
      <c r="H1034" s="14" t="s">
        <v>5601</v>
      </c>
      <c r="I1034" s="14" t="s">
        <v>2458</v>
      </c>
      <c r="J1034" s="33" t="s">
        <v>7110</v>
      </c>
      <c r="K1034" s="33" t="s">
        <v>4307</v>
      </c>
      <c r="L1034" s="68">
        <v>0</v>
      </c>
      <c r="M1034" s="68" t="s">
        <v>8915</v>
      </c>
      <c r="N1034" s="68">
        <v>0</v>
      </c>
      <c r="O1034" s="68">
        <v>0</v>
      </c>
      <c r="P1034" s="198" t="s">
        <v>5676</v>
      </c>
    </row>
    <row r="1035" spans="1:16" ht="18.75" hidden="1">
      <c r="A1035" s="50" t="s">
        <v>3984</v>
      </c>
      <c r="B1035" s="50" t="s">
        <v>4166</v>
      </c>
      <c r="C1035" s="50" t="s">
        <v>4190</v>
      </c>
      <c r="D1035" s="50" t="s">
        <v>4184</v>
      </c>
      <c r="E1035" s="12">
        <v>95</v>
      </c>
      <c r="F1035" s="49">
        <v>1000000</v>
      </c>
      <c r="G1035" s="67" t="s">
        <v>5607</v>
      </c>
      <c r="H1035" s="14" t="s">
        <v>5601</v>
      </c>
      <c r="I1035" s="14" t="s">
        <v>2458</v>
      </c>
      <c r="J1035" s="33" t="s">
        <v>7110</v>
      </c>
      <c r="K1035" s="33" t="s">
        <v>4307</v>
      </c>
      <c r="L1035" s="68">
        <v>0</v>
      </c>
      <c r="M1035" s="68" t="s">
        <v>8915</v>
      </c>
      <c r="N1035" s="68">
        <v>0</v>
      </c>
      <c r="O1035" s="68">
        <v>0</v>
      </c>
      <c r="P1035" s="198" t="s">
        <v>5690</v>
      </c>
    </row>
    <row r="1036" spans="1:16" ht="18.75" hidden="1">
      <c r="A1036" s="50" t="s">
        <v>3985</v>
      </c>
      <c r="B1036" s="50" t="s">
        <v>4165</v>
      </c>
      <c r="C1036" s="50" t="s">
        <v>4191</v>
      </c>
      <c r="D1036" s="50" t="s">
        <v>4184</v>
      </c>
      <c r="E1036" s="12">
        <v>95</v>
      </c>
      <c r="F1036" s="49">
        <v>320675</v>
      </c>
      <c r="G1036" s="67" t="s">
        <v>5607</v>
      </c>
      <c r="H1036" s="14" t="s">
        <v>5601</v>
      </c>
      <c r="I1036" s="14" t="s">
        <v>2458</v>
      </c>
      <c r="J1036" s="33" t="s">
        <v>7110</v>
      </c>
      <c r="K1036" s="33" t="s">
        <v>4307</v>
      </c>
      <c r="L1036" s="68">
        <v>0</v>
      </c>
      <c r="M1036" s="68" t="s">
        <v>8915</v>
      </c>
      <c r="N1036" s="68">
        <v>0</v>
      </c>
      <c r="O1036" s="68">
        <v>0</v>
      </c>
      <c r="P1036" s="198" t="s">
        <v>5690</v>
      </c>
    </row>
    <row r="1037" spans="1:16" ht="18.75" hidden="1">
      <c r="A1037" s="50" t="s">
        <v>3985</v>
      </c>
      <c r="B1037" s="50" t="s">
        <v>4165</v>
      </c>
      <c r="C1037" s="50" t="s">
        <v>4192</v>
      </c>
      <c r="D1037" s="50" t="s">
        <v>4184</v>
      </c>
      <c r="E1037" s="12">
        <v>95</v>
      </c>
      <c r="F1037" s="49">
        <v>51000</v>
      </c>
      <c r="G1037" s="67" t="s">
        <v>5607</v>
      </c>
      <c r="H1037" s="14" t="s">
        <v>5601</v>
      </c>
      <c r="I1037" s="14" t="s">
        <v>2458</v>
      </c>
      <c r="J1037" s="33" t="s">
        <v>7110</v>
      </c>
      <c r="K1037" s="33" t="s">
        <v>4307</v>
      </c>
      <c r="L1037" s="68">
        <v>0</v>
      </c>
      <c r="M1037" s="68" t="s">
        <v>8915</v>
      </c>
      <c r="N1037" s="68">
        <v>0</v>
      </c>
      <c r="O1037" s="68">
        <v>0</v>
      </c>
      <c r="P1037" s="198" t="s">
        <v>5690</v>
      </c>
    </row>
    <row r="1038" spans="1:16" ht="18.75" hidden="1">
      <c r="A1038" s="50" t="s">
        <v>3985</v>
      </c>
      <c r="B1038" s="50" t="s">
        <v>4165</v>
      </c>
      <c r="C1038" s="50" t="s">
        <v>4193</v>
      </c>
      <c r="D1038" s="50" t="s">
        <v>4180</v>
      </c>
      <c r="E1038" s="12">
        <v>95</v>
      </c>
      <c r="F1038" s="49">
        <v>128325</v>
      </c>
      <c r="G1038" s="67" t="s">
        <v>5607</v>
      </c>
      <c r="H1038" s="14" t="s">
        <v>5601</v>
      </c>
      <c r="I1038" s="14" t="s">
        <v>2458</v>
      </c>
      <c r="J1038" s="33" t="s">
        <v>7110</v>
      </c>
      <c r="K1038" s="33" t="s">
        <v>4307</v>
      </c>
      <c r="L1038" s="68">
        <v>0</v>
      </c>
      <c r="M1038" s="68" t="s">
        <v>8915</v>
      </c>
      <c r="N1038" s="68">
        <v>0</v>
      </c>
      <c r="O1038" s="68">
        <v>0</v>
      </c>
      <c r="P1038" s="198" t="s">
        <v>5690</v>
      </c>
    </row>
    <row r="1039" spans="1:16" ht="18.75" hidden="1">
      <c r="A1039" s="50" t="s">
        <v>3986</v>
      </c>
      <c r="B1039" s="50" t="s">
        <v>4167</v>
      </c>
      <c r="C1039" s="50" t="s">
        <v>4194</v>
      </c>
      <c r="D1039" s="50" t="s">
        <v>4177</v>
      </c>
      <c r="E1039" s="12">
        <v>95</v>
      </c>
      <c r="F1039" s="49">
        <v>997000</v>
      </c>
      <c r="G1039" s="67" t="s">
        <v>5616</v>
      </c>
      <c r="H1039" s="14" t="s">
        <v>5601</v>
      </c>
      <c r="I1039" s="14" t="s">
        <v>2458</v>
      </c>
      <c r="J1039" s="33" t="s">
        <v>7110</v>
      </c>
      <c r="K1039" s="33" t="s">
        <v>4307</v>
      </c>
      <c r="L1039" s="68">
        <v>0</v>
      </c>
      <c r="M1039" s="68" t="s">
        <v>8915</v>
      </c>
      <c r="N1039" s="68">
        <v>0</v>
      </c>
      <c r="O1039" s="68">
        <v>0</v>
      </c>
      <c r="P1039" s="198" t="s">
        <v>5716</v>
      </c>
    </row>
    <row r="1040" spans="1:16" ht="18.75" hidden="1">
      <c r="A1040" s="50" t="s">
        <v>3982</v>
      </c>
      <c r="B1040" s="50" t="s">
        <v>4165</v>
      </c>
      <c r="C1040" s="50" t="s">
        <v>4195</v>
      </c>
      <c r="D1040" s="50" t="s">
        <v>3900</v>
      </c>
      <c r="E1040" s="12">
        <v>95</v>
      </c>
      <c r="F1040" s="49">
        <v>626707</v>
      </c>
      <c r="G1040" s="67" t="s">
        <v>5631</v>
      </c>
      <c r="H1040" s="14" t="s">
        <v>5601</v>
      </c>
      <c r="I1040" s="14" t="s">
        <v>2458</v>
      </c>
      <c r="J1040" s="33" t="s">
        <v>7110</v>
      </c>
      <c r="K1040" s="33" t="s">
        <v>4307</v>
      </c>
      <c r="L1040" s="68">
        <v>0</v>
      </c>
      <c r="M1040" s="68" t="s">
        <v>8915</v>
      </c>
      <c r="N1040" s="68">
        <v>0</v>
      </c>
      <c r="O1040" s="68">
        <v>0</v>
      </c>
      <c r="P1040" s="197" t="s">
        <v>5686</v>
      </c>
    </row>
    <row r="1041" spans="1:16" ht="18.75" hidden="1">
      <c r="A1041" s="50" t="s">
        <v>3987</v>
      </c>
      <c r="B1041" s="50" t="s">
        <v>4168</v>
      </c>
      <c r="C1041" s="50" t="s">
        <v>4196</v>
      </c>
      <c r="D1041" s="50" t="s">
        <v>4185</v>
      </c>
      <c r="E1041" s="12">
        <v>95</v>
      </c>
      <c r="F1041" s="49">
        <v>585830</v>
      </c>
      <c r="G1041" s="67" t="s">
        <v>5604</v>
      </c>
      <c r="H1041" s="14" t="s">
        <v>5601</v>
      </c>
      <c r="I1041" s="14" t="s">
        <v>2458</v>
      </c>
      <c r="J1041" s="33" t="s">
        <v>7110</v>
      </c>
      <c r="K1041" s="33" t="s">
        <v>4307</v>
      </c>
      <c r="L1041" s="68">
        <v>0</v>
      </c>
      <c r="M1041" s="68" t="s">
        <v>8915</v>
      </c>
      <c r="N1041" s="68">
        <v>0</v>
      </c>
      <c r="O1041" s="68">
        <v>0</v>
      </c>
      <c r="P1041" s="198" t="s">
        <v>5710</v>
      </c>
    </row>
    <row r="1042" spans="1:16" ht="18.75" hidden="1">
      <c r="A1042" s="50" t="s">
        <v>3987</v>
      </c>
      <c r="B1042" s="50" t="s">
        <v>4168</v>
      </c>
      <c r="C1042" s="50" t="s">
        <v>4189</v>
      </c>
      <c r="D1042" s="50" t="s">
        <v>3937</v>
      </c>
      <c r="E1042" s="12">
        <v>95</v>
      </c>
      <c r="F1042" s="49">
        <v>1945</v>
      </c>
      <c r="G1042" s="67" t="s">
        <v>5604</v>
      </c>
      <c r="H1042" s="14" t="s">
        <v>5601</v>
      </c>
      <c r="I1042" s="14" t="s">
        <v>2458</v>
      </c>
      <c r="J1042" s="33" t="s">
        <v>7110</v>
      </c>
      <c r="K1042" s="33" t="s">
        <v>4307</v>
      </c>
      <c r="L1042" s="68">
        <v>0</v>
      </c>
      <c r="M1042" s="68" t="s">
        <v>8915</v>
      </c>
      <c r="N1042" s="68">
        <v>0</v>
      </c>
      <c r="O1042" s="68">
        <v>0</v>
      </c>
      <c r="P1042" s="198" t="s">
        <v>5676</v>
      </c>
    </row>
    <row r="1043" spans="1:16" ht="18.75" hidden="1">
      <c r="A1043" s="50" t="s">
        <v>3988</v>
      </c>
      <c r="B1043" s="50" t="s">
        <v>4169</v>
      </c>
      <c r="C1043" s="50" t="s">
        <v>4197</v>
      </c>
      <c r="D1043" s="50" t="s">
        <v>3900</v>
      </c>
      <c r="E1043" s="12">
        <v>95</v>
      </c>
      <c r="F1043" s="49">
        <v>1000</v>
      </c>
      <c r="G1043" s="67" t="s">
        <v>5611</v>
      </c>
      <c r="H1043" s="14" t="s">
        <v>5601</v>
      </c>
      <c r="I1043" s="14" t="s">
        <v>2458</v>
      </c>
      <c r="J1043" s="33" t="s">
        <v>7110</v>
      </c>
      <c r="K1043" s="33" t="s">
        <v>4307</v>
      </c>
      <c r="L1043" s="68">
        <v>0</v>
      </c>
      <c r="M1043" s="68" t="s">
        <v>8915</v>
      </c>
      <c r="N1043" s="68">
        <v>0</v>
      </c>
      <c r="O1043" s="68">
        <v>0</v>
      </c>
      <c r="P1043" s="198" t="s">
        <v>5689</v>
      </c>
    </row>
    <row r="1044" spans="1:16" ht="18.75" hidden="1">
      <c r="A1044" s="50" t="s">
        <v>3989</v>
      </c>
      <c r="B1044" s="50" t="s">
        <v>4166</v>
      </c>
      <c r="C1044" s="50" t="s">
        <v>4198</v>
      </c>
      <c r="D1044" s="50" t="s">
        <v>3936</v>
      </c>
      <c r="E1044" s="12">
        <v>95</v>
      </c>
      <c r="F1044" s="49">
        <v>270000</v>
      </c>
      <c r="G1044" s="67" t="s">
        <v>5611</v>
      </c>
      <c r="H1044" s="14" t="s">
        <v>5601</v>
      </c>
      <c r="I1044" s="14" t="s">
        <v>2458</v>
      </c>
      <c r="J1044" s="33" t="s">
        <v>7110</v>
      </c>
      <c r="K1044" s="33" t="s">
        <v>4307</v>
      </c>
      <c r="L1044" s="68">
        <v>0</v>
      </c>
      <c r="M1044" s="68" t="s">
        <v>8915</v>
      </c>
      <c r="N1044" s="68">
        <v>0</v>
      </c>
      <c r="O1044" s="68">
        <v>0</v>
      </c>
      <c r="P1044" s="198" t="s">
        <v>5675</v>
      </c>
    </row>
    <row r="1045" spans="1:16" ht="18.75" hidden="1">
      <c r="A1045" s="50" t="s">
        <v>3989</v>
      </c>
      <c r="B1045" s="50" t="s">
        <v>4166</v>
      </c>
      <c r="C1045" s="50" t="s">
        <v>3963</v>
      </c>
      <c r="D1045" s="50" t="s">
        <v>3936</v>
      </c>
      <c r="E1045" s="12">
        <v>95</v>
      </c>
      <c r="F1045" s="49">
        <v>284309</v>
      </c>
      <c r="G1045" s="67" t="s">
        <v>5611</v>
      </c>
      <c r="H1045" s="14" t="s">
        <v>5601</v>
      </c>
      <c r="I1045" s="14" t="s">
        <v>2458</v>
      </c>
      <c r="J1045" s="33" t="s">
        <v>7110</v>
      </c>
      <c r="K1045" s="33" t="s">
        <v>4307</v>
      </c>
      <c r="L1045" s="68">
        <v>0</v>
      </c>
      <c r="M1045" s="68" t="s">
        <v>8915</v>
      </c>
      <c r="N1045" s="68">
        <v>0</v>
      </c>
      <c r="O1045" s="68">
        <v>0</v>
      </c>
      <c r="P1045" s="198" t="s">
        <v>5675</v>
      </c>
    </row>
    <row r="1046" spans="1:16" ht="18.75" hidden="1">
      <c r="A1046" s="50" t="s">
        <v>3990</v>
      </c>
      <c r="B1046" s="50" t="s">
        <v>4169</v>
      </c>
      <c r="C1046" s="50" t="s">
        <v>4199</v>
      </c>
      <c r="D1046" s="50" t="s">
        <v>4182</v>
      </c>
      <c r="E1046" s="12">
        <v>95</v>
      </c>
      <c r="F1046" s="49">
        <v>536776</v>
      </c>
      <c r="G1046" s="67" t="s">
        <v>5616</v>
      </c>
      <c r="H1046" s="14" t="s">
        <v>5601</v>
      </c>
      <c r="I1046" s="14" t="s">
        <v>2458</v>
      </c>
      <c r="J1046" s="33" t="s">
        <v>7110</v>
      </c>
      <c r="K1046" s="33" t="s">
        <v>4307</v>
      </c>
      <c r="L1046" s="68">
        <v>0</v>
      </c>
      <c r="M1046" s="68" t="s">
        <v>8915</v>
      </c>
      <c r="N1046" s="68">
        <v>0</v>
      </c>
      <c r="O1046" s="68">
        <v>0</v>
      </c>
      <c r="P1046" s="198" t="s">
        <v>5716</v>
      </c>
    </row>
    <row r="1047" spans="1:16" ht="18.75" hidden="1">
      <c r="A1047" s="50" t="s">
        <v>3990</v>
      </c>
      <c r="B1047" s="50" t="s">
        <v>4169</v>
      </c>
      <c r="C1047" s="50" t="s">
        <v>4200</v>
      </c>
      <c r="D1047" s="50" t="s">
        <v>4178</v>
      </c>
      <c r="E1047" s="12">
        <v>95</v>
      </c>
      <c r="F1047" s="49">
        <v>439474</v>
      </c>
      <c r="G1047" s="67" t="s">
        <v>5616</v>
      </c>
      <c r="H1047" s="14" t="s">
        <v>5601</v>
      </c>
      <c r="I1047" s="14" t="s">
        <v>2458</v>
      </c>
      <c r="J1047" s="33" t="s">
        <v>7110</v>
      </c>
      <c r="K1047" s="33" t="s">
        <v>4307</v>
      </c>
      <c r="L1047" s="68">
        <v>0</v>
      </c>
      <c r="M1047" s="68" t="s">
        <v>8915</v>
      </c>
      <c r="N1047" s="68">
        <v>0</v>
      </c>
      <c r="O1047" s="68">
        <v>0</v>
      </c>
      <c r="P1047" s="198" t="s">
        <v>5716</v>
      </c>
    </row>
    <row r="1048" spans="1:16" ht="18.75" hidden="1">
      <c r="A1048" s="50" t="s">
        <v>3989</v>
      </c>
      <c r="B1048" s="50" t="s">
        <v>4166</v>
      </c>
      <c r="C1048" s="50" t="s">
        <v>4197</v>
      </c>
      <c r="D1048" s="50" t="s">
        <v>3900</v>
      </c>
      <c r="E1048" s="12">
        <v>95</v>
      </c>
      <c r="F1048" s="49">
        <v>144691</v>
      </c>
      <c r="G1048" s="67" t="s">
        <v>5611</v>
      </c>
      <c r="H1048" s="14" t="s">
        <v>5601</v>
      </c>
      <c r="I1048" s="14" t="s">
        <v>2458</v>
      </c>
      <c r="J1048" s="33" t="s">
        <v>7110</v>
      </c>
      <c r="K1048" s="33" t="s">
        <v>4307</v>
      </c>
      <c r="L1048" s="68">
        <v>0</v>
      </c>
      <c r="M1048" s="68" t="s">
        <v>8915</v>
      </c>
      <c r="N1048" s="68">
        <v>0</v>
      </c>
      <c r="O1048" s="68">
        <v>0</v>
      </c>
      <c r="P1048" s="198" t="s">
        <v>5689</v>
      </c>
    </row>
    <row r="1049" spans="1:16" ht="18.75" hidden="1">
      <c r="A1049" s="50" t="s">
        <v>3984</v>
      </c>
      <c r="B1049" s="50" t="s">
        <v>4166</v>
      </c>
      <c r="C1049" s="50" t="s">
        <v>4201</v>
      </c>
      <c r="D1049" s="50" t="s">
        <v>4184</v>
      </c>
      <c r="E1049" s="12">
        <v>95</v>
      </c>
      <c r="F1049" s="49">
        <v>300000</v>
      </c>
      <c r="G1049" s="67" t="s">
        <v>5607</v>
      </c>
      <c r="H1049" s="14" t="s">
        <v>5601</v>
      </c>
      <c r="I1049" s="14" t="s">
        <v>2458</v>
      </c>
      <c r="J1049" s="33" t="s">
        <v>7110</v>
      </c>
      <c r="K1049" s="33" t="s">
        <v>4307</v>
      </c>
      <c r="L1049" s="68">
        <v>0</v>
      </c>
      <c r="M1049" s="68" t="s">
        <v>8915</v>
      </c>
      <c r="N1049" s="68">
        <v>0</v>
      </c>
      <c r="O1049" s="68">
        <v>0</v>
      </c>
      <c r="P1049" s="198" t="s">
        <v>5690</v>
      </c>
    </row>
    <row r="1050" spans="1:16" ht="18.75" hidden="1">
      <c r="A1050" s="50" t="s">
        <v>3984</v>
      </c>
      <c r="B1050" s="50" t="s">
        <v>4166</v>
      </c>
      <c r="C1050" s="50" t="s">
        <v>4191</v>
      </c>
      <c r="D1050" s="50" t="s">
        <v>4184</v>
      </c>
      <c r="E1050" s="12">
        <v>95</v>
      </c>
      <c r="F1050" s="49">
        <v>179325</v>
      </c>
      <c r="G1050" s="67" t="s">
        <v>5607</v>
      </c>
      <c r="H1050" s="14" t="s">
        <v>5601</v>
      </c>
      <c r="I1050" s="14" t="s">
        <v>2458</v>
      </c>
      <c r="J1050" s="33" t="s">
        <v>7110</v>
      </c>
      <c r="K1050" s="33" t="s">
        <v>4307</v>
      </c>
      <c r="L1050" s="68">
        <v>0</v>
      </c>
      <c r="M1050" s="68" t="s">
        <v>8915</v>
      </c>
      <c r="N1050" s="68">
        <v>0</v>
      </c>
      <c r="O1050" s="68">
        <v>0</v>
      </c>
      <c r="P1050" s="198" t="s">
        <v>5690</v>
      </c>
    </row>
    <row r="1051" spans="1:16" ht="18.75" hidden="1">
      <c r="A1051" s="50" t="s">
        <v>3991</v>
      </c>
      <c r="B1051" s="50" t="s">
        <v>4165</v>
      </c>
      <c r="C1051" s="50" t="s">
        <v>4193</v>
      </c>
      <c r="D1051" s="50" t="s">
        <v>4180</v>
      </c>
      <c r="E1051" s="12">
        <v>95</v>
      </c>
      <c r="F1051" s="49">
        <v>300500</v>
      </c>
      <c r="G1051" s="67" t="s">
        <v>5607</v>
      </c>
      <c r="H1051" s="14" t="s">
        <v>5601</v>
      </c>
      <c r="I1051" s="14" t="s">
        <v>2458</v>
      </c>
      <c r="J1051" s="33" t="s">
        <v>7110</v>
      </c>
      <c r="K1051" s="33" t="s">
        <v>4307</v>
      </c>
      <c r="L1051" s="68">
        <v>0</v>
      </c>
      <c r="M1051" s="68" t="s">
        <v>8915</v>
      </c>
      <c r="N1051" s="68">
        <v>0</v>
      </c>
      <c r="O1051" s="68">
        <v>0</v>
      </c>
      <c r="P1051" s="198" t="s">
        <v>5690</v>
      </c>
    </row>
    <row r="1052" spans="1:16" ht="18.75" hidden="1">
      <c r="A1052" s="50" t="s">
        <v>3992</v>
      </c>
      <c r="B1052" s="50" t="s">
        <v>4165</v>
      </c>
      <c r="C1052" s="50" t="s">
        <v>4202</v>
      </c>
      <c r="D1052" s="50" t="s">
        <v>4182</v>
      </c>
      <c r="E1052" s="12">
        <v>95</v>
      </c>
      <c r="F1052" s="49">
        <v>200000</v>
      </c>
      <c r="G1052" s="67" t="s">
        <v>5607</v>
      </c>
      <c r="H1052" s="14" t="s">
        <v>5601</v>
      </c>
      <c r="I1052" s="14" t="s">
        <v>2458</v>
      </c>
      <c r="J1052" s="33" t="s">
        <v>7110</v>
      </c>
      <c r="K1052" s="33" t="s">
        <v>4307</v>
      </c>
      <c r="L1052" s="68">
        <v>0</v>
      </c>
      <c r="M1052" s="68" t="s">
        <v>8915</v>
      </c>
      <c r="N1052" s="68">
        <v>0</v>
      </c>
      <c r="O1052" s="68">
        <v>0</v>
      </c>
      <c r="P1052" s="198" t="s">
        <v>5690</v>
      </c>
    </row>
    <row r="1053" spans="1:16" ht="18.75" hidden="1">
      <c r="A1053" s="50" t="s">
        <v>3993</v>
      </c>
      <c r="B1053" s="50" t="s">
        <v>4168</v>
      </c>
      <c r="C1053" s="50" t="s">
        <v>4188</v>
      </c>
      <c r="D1053" s="50" t="s">
        <v>4186</v>
      </c>
      <c r="E1053" s="12">
        <v>95</v>
      </c>
      <c r="F1053" s="49">
        <v>999350</v>
      </c>
      <c r="G1053" s="67" t="s">
        <v>5631</v>
      </c>
      <c r="H1053" s="14" t="s">
        <v>5601</v>
      </c>
      <c r="I1053" s="14" t="s">
        <v>2458</v>
      </c>
      <c r="J1053" s="33" t="s">
        <v>7110</v>
      </c>
      <c r="K1053" s="33" t="s">
        <v>4307</v>
      </c>
      <c r="L1053" s="68">
        <v>0</v>
      </c>
      <c r="M1053" s="68" t="s">
        <v>8915</v>
      </c>
      <c r="N1053" s="68">
        <v>0</v>
      </c>
      <c r="O1053" s="68">
        <v>0</v>
      </c>
      <c r="P1053" s="197" t="s">
        <v>5698</v>
      </c>
    </row>
    <row r="1054" spans="1:16" ht="18.75" hidden="1">
      <c r="A1054" s="50" t="s">
        <v>3989</v>
      </c>
      <c r="B1054" s="50" t="s">
        <v>4166</v>
      </c>
      <c r="C1054" s="50" t="s">
        <v>4203</v>
      </c>
      <c r="D1054" s="50" t="s">
        <v>3935</v>
      </c>
      <c r="E1054" s="12">
        <v>95</v>
      </c>
      <c r="F1054" s="49">
        <v>300000</v>
      </c>
      <c r="G1054" s="67" t="s">
        <v>5611</v>
      </c>
      <c r="H1054" s="14" t="s">
        <v>5601</v>
      </c>
      <c r="I1054" s="14" t="s">
        <v>2458</v>
      </c>
      <c r="J1054" s="33" t="s">
        <v>7110</v>
      </c>
      <c r="K1054" s="33" t="s">
        <v>4307</v>
      </c>
      <c r="L1054" s="68">
        <v>0</v>
      </c>
      <c r="M1054" s="68" t="s">
        <v>8915</v>
      </c>
      <c r="N1054" s="68">
        <v>0</v>
      </c>
      <c r="O1054" s="68">
        <v>0</v>
      </c>
      <c r="P1054" s="198" t="s">
        <v>5680</v>
      </c>
    </row>
    <row r="1055" spans="1:16" ht="18.75" hidden="1">
      <c r="A1055" s="50" t="s">
        <v>3994</v>
      </c>
      <c r="B1055" s="50" t="s">
        <v>4170</v>
      </c>
      <c r="C1055" s="50" t="s">
        <v>4204</v>
      </c>
      <c r="D1055" s="50" t="s">
        <v>4184</v>
      </c>
      <c r="E1055" s="12">
        <v>95</v>
      </c>
      <c r="F1055" s="49">
        <v>490582</v>
      </c>
      <c r="G1055" s="67" t="s">
        <v>5681</v>
      </c>
      <c r="H1055" s="14" t="s">
        <v>5601</v>
      </c>
      <c r="I1055" s="14" t="s">
        <v>2458</v>
      </c>
      <c r="J1055" s="33" t="s">
        <v>7110</v>
      </c>
      <c r="K1055" s="33" t="s">
        <v>4307</v>
      </c>
      <c r="L1055" s="68">
        <v>0</v>
      </c>
      <c r="M1055" s="68" t="s">
        <v>8915</v>
      </c>
      <c r="N1055" s="68">
        <v>0</v>
      </c>
      <c r="O1055" s="68">
        <v>0</v>
      </c>
      <c r="P1055" s="198" t="s">
        <v>5709</v>
      </c>
    </row>
    <row r="1056" spans="1:16" ht="18.75" hidden="1">
      <c r="A1056" s="50" t="s">
        <v>3995</v>
      </c>
      <c r="B1056" s="50" t="s">
        <v>4171</v>
      </c>
      <c r="C1056" s="50" t="s">
        <v>4205</v>
      </c>
      <c r="D1056" s="50" t="s">
        <v>3937</v>
      </c>
      <c r="E1056" s="12">
        <v>95</v>
      </c>
      <c r="F1056" s="49">
        <v>37408</v>
      </c>
      <c r="G1056" s="67" t="s">
        <v>5699</v>
      </c>
      <c r="H1056" s="14" t="s">
        <v>5601</v>
      </c>
      <c r="I1056" s="14" t="s">
        <v>2458</v>
      </c>
      <c r="J1056" s="33" t="s">
        <v>7110</v>
      </c>
      <c r="K1056" s="33" t="s">
        <v>4307</v>
      </c>
      <c r="L1056" s="68">
        <v>0</v>
      </c>
      <c r="M1056" s="68" t="s">
        <v>8915</v>
      </c>
      <c r="N1056" s="68">
        <v>0</v>
      </c>
      <c r="O1056" s="68">
        <v>0</v>
      </c>
      <c r="P1056" s="198" t="s">
        <v>5700</v>
      </c>
    </row>
    <row r="1057" spans="1:16" ht="18.75" hidden="1">
      <c r="A1057" s="50" t="s">
        <v>3995</v>
      </c>
      <c r="B1057" s="50" t="s">
        <v>4171</v>
      </c>
      <c r="C1057" s="50" t="s">
        <v>4206</v>
      </c>
      <c r="D1057" s="50" t="s">
        <v>3937</v>
      </c>
      <c r="E1057" s="12">
        <v>95</v>
      </c>
      <c r="F1057" s="49">
        <v>960000</v>
      </c>
      <c r="G1057" s="67" t="s">
        <v>5699</v>
      </c>
      <c r="H1057" s="14" t="s">
        <v>5601</v>
      </c>
      <c r="I1057" s="14" t="s">
        <v>2458</v>
      </c>
      <c r="J1057" s="33" t="s">
        <v>7110</v>
      </c>
      <c r="K1057" s="33" t="s">
        <v>4307</v>
      </c>
      <c r="L1057" s="68">
        <v>0</v>
      </c>
      <c r="M1057" s="68" t="s">
        <v>8915</v>
      </c>
      <c r="N1057" s="68">
        <v>0</v>
      </c>
      <c r="O1057" s="68">
        <v>0</v>
      </c>
      <c r="P1057" s="198" t="s">
        <v>5700</v>
      </c>
    </row>
    <row r="1058" spans="1:16" ht="18.75" hidden="1">
      <c r="A1058" s="50" t="s">
        <v>3996</v>
      </c>
      <c r="B1058" s="50" t="s">
        <v>4170</v>
      </c>
      <c r="C1058" s="50" t="s">
        <v>4207</v>
      </c>
      <c r="D1058" s="50" t="s">
        <v>3934</v>
      </c>
      <c r="E1058" s="12">
        <v>95</v>
      </c>
      <c r="F1058" s="49">
        <v>732600</v>
      </c>
      <c r="G1058" s="67" t="s">
        <v>5616</v>
      </c>
      <c r="H1058" s="14" t="s">
        <v>5601</v>
      </c>
      <c r="I1058" s="14" t="s">
        <v>2458</v>
      </c>
      <c r="J1058" s="33" t="s">
        <v>7110</v>
      </c>
      <c r="K1058" s="33" t="s">
        <v>4307</v>
      </c>
      <c r="L1058" s="68">
        <v>0</v>
      </c>
      <c r="M1058" s="68" t="s">
        <v>8915</v>
      </c>
      <c r="N1058" s="68">
        <v>0</v>
      </c>
      <c r="O1058" s="68">
        <v>0</v>
      </c>
      <c r="P1058" s="198" t="s">
        <v>5701</v>
      </c>
    </row>
    <row r="1059" spans="1:16" ht="18.75" hidden="1">
      <c r="A1059" s="50" t="s">
        <v>3997</v>
      </c>
      <c r="B1059" s="50" t="s">
        <v>4167</v>
      </c>
      <c r="C1059" s="50" t="s">
        <v>4193</v>
      </c>
      <c r="D1059" s="50" t="s">
        <v>4180</v>
      </c>
      <c r="E1059" s="12">
        <v>95</v>
      </c>
      <c r="F1059" s="49">
        <v>71650</v>
      </c>
      <c r="G1059" s="67" t="s">
        <v>5607</v>
      </c>
      <c r="H1059" s="14" t="s">
        <v>5601</v>
      </c>
      <c r="I1059" s="14" t="s">
        <v>2458</v>
      </c>
      <c r="J1059" s="33" t="s">
        <v>7110</v>
      </c>
      <c r="K1059" s="33" t="s">
        <v>4307</v>
      </c>
      <c r="L1059" s="68">
        <v>0</v>
      </c>
      <c r="M1059" s="68" t="s">
        <v>8915</v>
      </c>
      <c r="N1059" s="68">
        <v>0</v>
      </c>
      <c r="O1059" s="68">
        <v>0</v>
      </c>
      <c r="P1059" s="198" t="s">
        <v>5690</v>
      </c>
    </row>
    <row r="1060" spans="1:16" ht="18.75" hidden="1">
      <c r="A1060" s="50" t="s">
        <v>3997</v>
      </c>
      <c r="B1060" s="50" t="s">
        <v>4167</v>
      </c>
      <c r="C1060" s="50" t="s">
        <v>4208</v>
      </c>
      <c r="D1060" s="50" t="s">
        <v>4180</v>
      </c>
      <c r="E1060" s="12">
        <v>95</v>
      </c>
      <c r="F1060" s="49">
        <v>925350</v>
      </c>
      <c r="G1060" s="67" t="s">
        <v>5607</v>
      </c>
      <c r="H1060" s="14" t="s">
        <v>5601</v>
      </c>
      <c r="I1060" s="14" t="s">
        <v>2458</v>
      </c>
      <c r="J1060" s="33" t="s">
        <v>7110</v>
      </c>
      <c r="K1060" s="33" t="s">
        <v>4307</v>
      </c>
      <c r="L1060" s="68">
        <v>0</v>
      </c>
      <c r="M1060" s="68" t="s">
        <v>8915</v>
      </c>
      <c r="N1060" s="68">
        <v>0</v>
      </c>
      <c r="O1060" s="68">
        <v>0</v>
      </c>
      <c r="P1060" s="198" t="s">
        <v>5690</v>
      </c>
    </row>
    <row r="1061" spans="1:16" ht="18.75" hidden="1">
      <c r="A1061" s="50" t="s">
        <v>3998</v>
      </c>
      <c r="B1061" s="50" t="s">
        <v>4166</v>
      </c>
      <c r="C1061" s="50" t="s">
        <v>4195</v>
      </c>
      <c r="D1061" s="50" t="s">
        <v>3900</v>
      </c>
      <c r="E1061" s="12">
        <v>95</v>
      </c>
      <c r="F1061" s="49">
        <v>499910</v>
      </c>
      <c r="G1061" s="67" t="s">
        <v>5631</v>
      </c>
      <c r="H1061" s="14" t="s">
        <v>5601</v>
      </c>
      <c r="I1061" s="14" t="s">
        <v>2458</v>
      </c>
      <c r="J1061" s="33" t="s">
        <v>7110</v>
      </c>
      <c r="K1061" s="33" t="s">
        <v>4307</v>
      </c>
      <c r="L1061" s="68">
        <v>0</v>
      </c>
      <c r="M1061" s="68" t="s">
        <v>8915</v>
      </c>
      <c r="N1061" s="68">
        <v>0</v>
      </c>
      <c r="O1061" s="68">
        <v>0</v>
      </c>
      <c r="P1061" s="197" t="s">
        <v>5686</v>
      </c>
    </row>
    <row r="1062" spans="1:16" ht="18.75" hidden="1">
      <c r="A1062" s="50" t="s">
        <v>3984</v>
      </c>
      <c r="B1062" s="50" t="s">
        <v>4166</v>
      </c>
      <c r="C1062" s="50" t="s">
        <v>4209</v>
      </c>
      <c r="D1062" s="50" t="s">
        <v>4184</v>
      </c>
      <c r="E1062" s="12">
        <v>95</v>
      </c>
      <c r="F1062" s="49">
        <v>501475</v>
      </c>
      <c r="G1062" s="67" t="s">
        <v>5607</v>
      </c>
      <c r="H1062" s="14" t="s">
        <v>5601</v>
      </c>
      <c r="I1062" s="14" t="s">
        <v>2458</v>
      </c>
      <c r="J1062" s="33" t="s">
        <v>7110</v>
      </c>
      <c r="K1062" s="33" t="s">
        <v>4307</v>
      </c>
      <c r="L1062" s="68">
        <v>0</v>
      </c>
      <c r="M1062" s="68" t="s">
        <v>8915</v>
      </c>
      <c r="N1062" s="68">
        <v>0</v>
      </c>
      <c r="O1062" s="68">
        <v>0</v>
      </c>
      <c r="P1062" s="198" t="s">
        <v>5690</v>
      </c>
    </row>
    <row r="1063" spans="1:16" ht="18.75" hidden="1">
      <c r="A1063" s="50" t="s">
        <v>3999</v>
      </c>
      <c r="B1063" s="50" t="s">
        <v>4169</v>
      </c>
      <c r="C1063" s="50" t="s">
        <v>4210</v>
      </c>
      <c r="D1063" s="50" t="s">
        <v>3932</v>
      </c>
      <c r="E1063" s="12">
        <v>95</v>
      </c>
      <c r="F1063" s="49">
        <v>997020</v>
      </c>
      <c r="G1063" s="67" t="s">
        <v>5609</v>
      </c>
      <c r="H1063" s="14" t="s">
        <v>5601</v>
      </c>
      <c r="I1063" s="14" t="s">
        <v>2458</v>
      </c>
      <c r="J1063" s="33" t="s">
        <v>7110</v>
      </c>
      <c r="K1063" s="33" t="s">
        <v>4307</v>
      </c>
      <c r="L1063" s="68">
        <v>0</v>
      </c>
      <c r="M1063" s="68" t="s">
        <v>8915</v>
      </c>
      <c r="N1063" s="68">
        <v>0</v>
      </c>
      <c r="O1063" s="68">
        <v>0</v>
      </c>
      <c r="P1063" s="198" t="s">
        <v>5688</v>
      </c>
    </row>
    <row r="1064" spans="1:16" ht="18.75" hidden="1">
      <c r="A1064" s="50" t="s">
        <v>4000</v>
      </c>
      <c r="B1064" s="50" t="s">
        <v>4172</v>
      </c>
      <c r="C1064" s="50" t="s">
        <v>4211</v>
      </c>
      <c r="D1064" s="50" t="s">
        <v>4180</v>
      </c>
      <c r="E1064" s="12">
        <v>95</v>
      </c>
      <c r="F1064" s="49">
        <v>966142</v>
      </c>
      <c r="G1064" s="67" t="s">
        <v>5616</v>
      </c>
      <c r="H1064" s="14" t="s">
        <v>5601</v>
      </c>
      <c r="I1064" s="14" t="s">
        <v>2458</v>
      </c>
      <c r="J1064" s="33" t="s">
        <v>7110</v>
      </c>
      <c r="K1064" s="33" t="s">
        <v>4307</v>
      </c>
      <c r="L1064" s="68">
        <v>0</v>
      </c>
      <c r="M1064" s="68" t="s">
        <v>8915</v>
      </c>
      <c r="N1064" s="68">
        <v>0</v>
      </c>
      <c r="O1064" s="68">
        <v>0</v>
      </c>
      <c r="P1064" s="198" t="s">
        <v>5701</v>
      </c>
    </row>
    <row r="1065" spans="1:16" ht="18.75" hidden="1">
      <c r="A1065" s="50" t="s">
        <v>4000</v>
      </c>
      <c r="B1065" s="50" t="s">
        <v>4172</v>
      </c>
      <c r="C1065" s="50" t="s">
        <v>4212</v>
      </c>
      <c r="D1065" s="50" t="s">
        <v>4183</v>
      </c>
      <c r="E1065" s="12">
        <v>95</v>
      </c>
      <c r="F1065" s="49">
        <v>37328</v>
      </c>
      <c r="G1065" s="67" t="s">
        <v>5616</v>
      </c>
      <c r="H1065" s="14" t="s">
        <v>5601</v>
      </c>
      <c r="I1065" s="14" t="s">
        <v>2458</v>
      </c>
      <c r="J1065" s="33" t="s">
        <v>7110</v>
      </c>
      <c r="K1065" s="33" t="s">
        <v>4307</v>
      </c>
      <c r="L1065" s="68">
        <v>0</v>
      </c>
      <c r="M1065" s="68" t="s">
        <v>8915</v>
      </c>
      <c r="N1065" s="68">
        <v>0</v>
      </c>
      <c r="O1065" s="68">
        <v>0</v>
      </c>
      <c r="P1065" s="198" t="s">
        <v>5701</v>
      </c>
    </row>
    <row r="1066" spans="1:16" ht="18.75" hidden="1">
      <c r="A1066" s="50" t="s">
        <v>4001</v>
      </c>
      <c r="B1066" s="50" t="s">
        <v>4172</v>
      </c>
      <c r="C1066" s="50" t="s">
        <v>4213</v>
      </c>
      <c r="D1066" s="50" t="s">
        <v>3767</v>
      </c>
      <c r="E1066" s="12">
        <v>95</v>
      </c>
      <c r="F1066" s="49">
        <v>85696</v>
      </c>
      <c r="G1066" s="67" t="s">
        <v>5611</v>
      </c>
      <c r="H1066" s="14" t="s">
        <v>5601</v>
      </c>
      <c r="I1066" s="14" t="s">
        <v>2458</v>
      </c>
      <c r="J1066" s="33" t="s">
        <v>7110</v>
      </c>
      <c r="K1066" s="33" t="s">
        <v>4307</v>
      </c>
      <c r="L1066" s="68">
        <v>0</v>
      </c>
      <c r="M1066" s="68" t="s">
        <v>8915</v>
      </c>
      <c r="N1066" s="68">
        <v>0</v>
      </c>
      <c r="O1066" s="68">
        <v>0</v>
      </c>
      <c r="P1066" s="198" t="s">
        <v>5659</v>
      </c>
    </row>
    <row r="1067" spans="1:16" ht="18.75" hidden="1">
      <c r="A1067" s="50" t="s">
        <v>4002</v>
      </c>
      <c r="B1067" s="50" t="s">
        <v>4168</v>
      </c>
      <c r="C1067" s="50" t="s">
        <v>4214</v>
      </c>
      <c r="D1067" s="50" t="s">
        <v>4178</v>
      </c>
      <c r="E1067" s="12">
        <v>95</v>
      </c>
      <c r="F1067" s="49">
        <v>472950</v>
      </c>
      <c r="G1067" s="67" t="s">
        <v>5607</v>
      </c>
      <c r="H1067" s="14" t="s">
        <v>5601</v>
      </c>
      <c r="I1067" s="14" t="s">
        <v>2458</v>
      </c>
      <c r="J1067" s="33" t="s">
        <v>7110</v>
      </c>
      <c r="K1067" s="33" t="s">
        <v>4307</v>
      </c>
      <c r="L1067" s="68">
        <v>0</v>
      </c>
      <c r="M1067" s="68" t="s">
        <v>8915</v>
      </c>
      <c r="N1067" s="68">
        <v>0</v>
      </c>
      <c r="O1067" s="68">
        <v>0</v>
      </c>
      <c r="P1067" s="198" t="s">
        <v>5690</v>
      </c>
    </row>
    <row r="1068" spans="1:16" ht="18.75" hidden="1">
      <c r="A1068" s="50" t="s">
        <v>4003</v>
      </c>
      <c r="B1068" s="50" t="s">
        <v>4173</v>
      </c>
      <c r="C1068" s="50" t="s">
        <v>4207</v>
      </c>
      <c r="D1068" s="50" t="s">
        <v>3934</v>
      </c>
      <c r="E1068" s="12">
        <v>95</v>
      </c>
      <c r="F1068" s="49">
        <v>990000</v>
      </c>
      <c r="G1068" s="67" t="s">
        <v>5616</v>
      </c>
      <c r="H1068" s="14" t="s">
        <v>5601</v>
      </c>
      <c r="I1068" s="14" t="s">
        <v>2458</v>
      </c>
      <c r="J1068" s="33" t="s">
        <v>7110</v>
      </c>
      <c r="K1068" s="33" t="s">
        <v>4307</v>
      </c>
      <c r="L1068" s="68">
        <v>0</v>
      </c>
      <c r="M1068" s="68" t="s">
        <v>8915</v>
      </c>
      <c r="N1068" s="68">
        <v>0</v>
      </c>
      <c r="O1068" s="68">
        <v>0</v>
      </c>
      <c r="P1068" s="198" t="s">
        <v>5701</v>
      </c>
    </row>
    <row r="1069" spans="1:16" ht="18.75" hidden="1">
      <c r="A1069" s="50" t="s">
        <v>4001</v>
      </c>
      <c r="B1069" s="50" t="s">
        <v>4172</v>
      </c>
      <c r="C1069" s="50" t="s">
        <v>4197</v>
      </c>
      <c r="D1069" s="50" t="s">
        <v>3900</v>
      </c>
      <c r="E1069" s="12">
        <v>95</v>
      </c>
      <c r="F1069" s="49">
        <v>217004</v>
      </c>
      <c r="G1069" s="67" t="s">
        <v>5611</v>
      </c>
      <c r="H1069" s="14" t="s">
        <v>5601</v>
      </c>
      <c r="I1069" s="14" t="s">
        <v>2458</v>
      </c>
      <c r="J1069" s="33" t="s">
        <v>7110</v>
      </c>
      <c r="K1069" s="33" t="s">
        <v>4307</v>
      </c>
      <c r="L1069" s="68">
        <v>0</v>
      </c>
      <c r="M1069" s="68" t="s">
        <v>8915</v>
      </c>
      <c r="N1069" s="68">
        <v>0</v>
      </c>
      <c r="O1069" s="68">
        <v>0</v>
      </c>
      <c r="P1069" s="198" t="s">
        <v>5689</v>
      </c>
    </row>
    <row r="1070" spans="1:16" ht="18.75" hidden="1">
      <c r="A1070" s="50" t="s">
        <v>4001</v>
      </c>
      <c r="B1070" s="50" t="s">
        <v>4172</v>
      </c>
      <c r="C1070" s="50" t="s">
        <v>4215</v>
      </c>
      <c r="D1070" s="50" t="s">
        <v>3767</v>
      </c>
      <c r="E1070" s="12">
        <v>95</v>
      </c>
      <c r="F1070" s="49">
        <v>200000</v>
      </c>
      <c r="G1070" s="67" t="s">
        <v>5611</v>
      </c>
      <c r="H1070" s="14" t="s">
        <v>5601</v>
      </c>
      <c r="I1070" s="14" t="s">
        <v>2458</v>
      </c>
      <c r="J1070" s="33" t="s">
        <v>7110</v>
      </c>
      <c r="K1070" s="33" t="s">
        <v>4307</v>
      </c>
      <c r="L1070" s="68">
        <v>0</v>
      </c>
      <c r="M1070" s="68" t="s">
        <v>8915</v>
      </c>
      <c r="N1070" s="68">
        <v>0</v>
      </c>
      <c r="O1070" s="68">
        <v>0</v>
      </c>
      <c r="P1070" s="198" t="s">
        <v>5659</v>
      </c>
    </row>
    <row r="1071" spans="1:16" ht="18.75" hidden="1">
      <c r="A1071" s="50" t="s">
        <v>4004</v>
      </c>
      <c r="B1071" s="50" t="s">
        <v>4171</v>
      </c>
      <c r="C1071" s="50" t="s">
        <v>4216</v>
      </c>
      <c r="D1071" s="50" t="s">
        <v>3767</v>
      </c>
      <c r="E1071" s="12">
        <v>95</v>
      </c>
      <c r="F1071" s="49">
        <v>199500</v>
      </c>
      <c r="G1071" s="67" t="s">
        <v>5611</v>
      </c>
      <c r="H1071" s="14" t="s">
        <v>5601</v>
      </c>
      <c r="I1071" s="14" t="s">
        <v>2458</v>
      </c>
      <c r="J1071" s="33" t="s">
        <v>7110</v>
      </c>
      <c r="K1071" s="33" t="s">
        <v>4307</v>
      </c>
      <c r="L1071" s="68">
        <v>0</v>
      </c>
      <c r="M1071" s="68" t="s">
        <v>8915</v>
      </c>
      <c r="N1071" s="68">
        <v>0</v>
      </c>
      <c r="O1071" s="68">
        <v>0</v>
      </c>
      <c r="P1071" s="198" t="s">
        <v>5659</v>
      </c>
    </row>
    <row r="1072" spans="1:16" ht="18.75" hidden="1">
      <c r="A1072" s="50" t="s">
        <v>4004</v>
      </c>
      <c r="B1072" s="50" t="s">
        <v>4171</v>
      </c>
      <c r="C1072" s="50" t="s">
        <v>4197</v>
      </c>
      <c r="D1072" s="50" t="s">
        <v>3900</v>
      </c>
      <c r="E1072" s="12">
        <v>95</v>
      </c>
      <c r="F1072" s="49">
        <v>195500</v>
      </c>
      <c r="G1072" s="67" t="s">
        <v>5611</v>
      </c>
      <c r="H1072" s="14" t="s">
        <v>5601</v>
      </c>
      <c r="I1072" s="14" t="s">
        <v>2458</v>
      </c>
      <c r="J1072" s="33" t="s">
        <v>7110</v>
      </c>
      <c r="K1072" s="33" t="s">
        <v>4307</v>
      </c>
      <c r="L1072" s="68">
        <v>0</v>
      </c>
      <c r="M1072" s="68" t="s">
        <v>8915</v>
      </c>
      <c r="N1072" s="68">
        <v>0</v>
      </c>
      <c r="O1072" s="68">
        <v>0</v>
      </c>
      <c r="P1072" s="198" t="s">
        <v>5689</v>
      </c>
    </row>
    <row r="1073" spans="1:16" ht="18.75" hidden="1">
      <c r="A1073" s="50" t="s">
        <v>4005</v>
      </c>
      <c r="B1073" s="50" t="s">
        <v>4171</v>
      </c>
      <c r="C1073" s="50" t="s">
        <v>4205</v>
      </c>
      <c r="D1073" s="50" t="s">
        <v>3937</v>
      </c>
      <c r="E1073" s="12">
        <v>95</v>
      </c>
      <c r="F1073" s="49">
        <v>749320</v>
      </c>
      <c r="G1073" s="67" t="s">
        <v>5699</v>
      </c>
      <c r="H1073" s="14" t="s">
        <v>5601</v>
      </c>
      <c r="I1073" s="14" t="s">
        <v>2458</v>
      </c>
      <c r="J1073" s="33" t="s">
        <v>7110</v>
      </c>
      <c r="K1073" s="33" t="s">
        <v>4307</v>
      </c>
      <c r="L1073" s="68">
        <v>0</v>
      </c>
      <c r="M1073" s="68" t="s">
        <v>8915</v>
      </c>
      <c r="N1073" s="68">
        <v>0</v>
      </c>
      <c r="O1073" s="68">
        <v>0</v>
      </c>
      <c r="P1073" s="198" t="s">
        <v>5700</v>
      </c>
    </row>
    <row r="1074" spans="1:16" ht="18.75" hidden="1">
      <c r="A1074" s="50" t="s">
        <v>4004</v>
      </c>
      <c r="B1074" s="50" t="s">
        <v>4171</v>
      </c>
      <c r="C1074" s="50" t="s">
        <v>4217</v>
      </c>
      <c r="D1074" s="50" t="s">
        <v>3767</v>
      </c>
      <c r="E1074" s="12">
        <v>95</v>
      </c>
      <c r="F1074" s="49">
        <v>100000</v>
      </c>
      <c r="G1074" s="67" t="s">
        <v>5611</v>
      </c>
      <c r="H1074" s="14" t="s">
        <v>5601</v>
      </c>
      <c r="I1074" s="14" t="s">
        <v>2458</v>
      </c>
      <c r="J1074" s="33" t="s">
        <v>7110</v>
      </c>
      <c r="K1074" s="33" t="s">
        <v>4307</v>
      </c>
      <c r="L1074" s="68">
        <v>0</v>
      </c>
      <c r="M1074" s="68" t="s">
        <v>8915</v>
      </c>
      <c r="N1074" s="68">
        <v>0</v>
      </c>
      <c r="O1074" s="68">
        <v>0</v>
      </c>
      <c r="P1074" s="198" t="s">
        <v>5659</v>
      </c>
    </row>
    <row r="1075" spans="1:16" ht="18.75" hidden="1">
      <c r="A1075" s="50" t="s">
        <v>4006</v>
      </c>
      <c r="B1075" s="50" t="s">
        <v>4165</v>
      </c>
      <c r="C1075" s="50" t="s">
        <v>4218</v>
      </c>
      <c r="D1075" s="50" t="s">
        <v>3932</v>
      </c>
      <c r="E1075" s="12">
        <v>95</v>
      </c>
      <c r="F1075" s="49">
        <v>500000</v>
      </c>
      <c r="G1075" s="67" t="s">
        <v>5696</v>
      </c>
      <c r="H1075" s="14" t="s">
        <v>5601</v>
      </c>
      <c r="I1075" s="14" t="s">
        <v>2458</v>
      </c>
      <c r="J1075" s="33" t="s">
        <v>7110</v>
      </c>
      <c r="K1075" s="33" t="s">
        <v>4307</v>
      </c>
      <c r="L1075" s="68">
        <v>0</v>
      </c>
      <c r="M1075" s="68" t="s">
        <v>8915</v>
      </c>
      <c r="N1075" s="68">
        <v>0</v>
      </c>
      <c r="O1075" s="68">
        <v>0</v>
      </c>
      <c r="P1075" s="198" t="s">
        <v>5697</v>
      </c>
    </row>
    <row r="1076" spans="1:16" ht="18.75" hidden="1">
      <c r="A1076" s="50" t="s">
        <v>4007</v>
      </c>
      <c r="B1076" s="50" t="s">
        <v>3967</v>
      </c>
      <c r="C1076" s="50" t="s">
        <v>4219</v>
      </c>
      <c r="D1076" s="50" t="s">
        <v>3900</v>
      </c>
      <c r="E1076" s="12">
        <v>95</v>
      </c>
      <c r="F1076" s="49">
        <v>740</v>
      </c>
      <c r="G1076" s="67" t="s">
        <v>5607</v>
      </c>
      <c r="H1076" s="14" t="s">
        <v>5601</v>
      </c>
      <c r="I1076" s="14" t="s">
        <v>2458</v>
      </c>
      <c r="J1076" s="33" t="s">
        <v>7110</v>
      </c>
      <c r="K1076" s="33" t="s">
        <v>4307</v>
      </c>
      <c r="L1076" s="68">
        <v>0</v>
      </c>
      <c r="M1076" s="68" t="s">
        <v>8915</v>
      </c>
      <c r="N1076" s="68">
        <v>0</v>
      </c>
      <c r="O1076" s="68">
        <v>0</v>
      </c>
      <c r="P1076" s="198" t="s">
        <v>5690</v>
      </c>
    </row>
    <row r="1077" spans="1:16" ht="18.75" hidden="1">
      <c r="A1077" s="50" t="s">
        <v>4007</v>
      </c>
      <c r="B1077" s="50" t="s">
        <v>3967</v>
      </c>
      <c r="C1077" s="50" t="s">
        <v>4202</v>
      </c>
      <c r="D1077" s="50" t="s">
        <v>4182</v>
      </c>
      <c r="E1077" s="12">
        <v>95</v>
      </c>
      <c r="F1077" s="49">
        <v>199060</v>
      </c>
      <c r="G1077" s="67" t="s">
        <v>5607</v>
      </c>
      <c r="H1077" s="14" t="s">
        <v>5601</v>
      </c>
      <c r="I1077" s="14" t="s">
        <v>2458</v>
      </c>
      <c r="J1077" s="33" t="s">
        <v>7110</v>
      </c>
      <c r="K1077" s="33" t="s">
        <v>4307</v>
      </c>
      <c r="L1077" s="68">
        <v>0</v>
      </c>
      <c r="M1077" s="68" t="s">
        <v>8915</v>
      </c>
      <c r="N1077" s="68">
        <v>0</v>
      </c>
      <c r="O1077" s="68">
        <v>0</v>
      </c>
      <c r="P1077" s="198" t="s">
        <v>5690</v>
      </c>
    </row>
    <row r="1078" spans="1:16" ht="18.75" hidden="1">
      <c r="A1078" s="50" t="s">
        <v>4006</v>
      </c>
      <c r="B1078" s="50" t="s">
        <v>4165</v>
      </c>
      <c r="C1078" s="50" t="s">
        <v>4220</v>
      </c>
      <c r="D1078" s="50" t="s">
        <v>3933</v>
      </c>
      <c r="E1078" s="12">
        <v>95</v>
      </c>
      <c r="F1078" s="49">
        <v>1889</v>
      </c>
      <c r="G1078" s="67" t="s">
        <v>5696</v>
      </c>
      <c r="H1078" s="14" t="s">
        <v>5601</v>
      </c>
      <c r="I1078" s="14" t="s">
        <v>2458</v>
      </c>
      <c r="J1078" s="33" t="s">
        <v>7110</v>
      </c>
      <c r="K1078" s="33" t="s">
        <v>4307</v>
      </c>
      <c r="L1078" s="68">
        <v>0</v>
      </c>
      <c r="M1078" s="68" t="s">
        <v>8915</v>
      </c>
      <c r="N1078" s="68">
        <v>0</v>
      </c>
      <c r="O1078" s="68">
        <v>0</v>
      </c>
      <c r="P1078" s="198" t="s">
        <v>5697</v>
      </c>
    </row>
    <row r="1079" spans="1:16" ht="18.75" hidden="1">
      <c r="A1079" s="50" t="s">
        <v>4005</v>
      </c>
      <c r="B1079" s="50" t="s">
        <v>4171</v>
      </c>
      <c r="C1079" s="50" t="s">
        <v>4221</v>
      </c>
      <c r="D1079" s="50" t="s">
        <v>4184</v>
      </c>
      <c r="E1079" s="12">
        <v>95</v>
      </c>
      <c r="F1079" s="49">
        <v>249866</v>
      </c>
      <c r="G1079" s="67" t="s">
        <v>5699</v>
      </c>
      <c r="H1079" s="14" t="s">
        <v>5601</v>
      </c>
      <c r="I1079" s="14" t="s">
        <v>2458</v>
      </c>
      <c r="J1079" s="33" t="s">
        <v>7110</v>
      </c>
      <c r="K1079" s="33" t="s">
        <v>4307</v>
      </c>
      <c r="L1079" s="68">
        <v>0</v>
      </c>
      <c r="M1079" s="68" t="s">
        <v>8915</v>
      </c>
      <c r="N1079" s="68">
        <v>0</v>
      </c>
      <c r="O1079" s="68">
        <v>0</v>
      </c>
      <c r="P1079" s="198" t="s">
        <v>5700</v>
      </c>
    </row>
    <row r="1080" spans="1:16" ht="18.75" hidden="1">
      <c r="A1080" s="50" t="s">
        <v>4008</v>
      </c>
      <c r="B1080" s="50" t="s">
        <v>4166</v>
      </c>
      <c r="C1080" s="50" t="s">
        <v>3961</v>
      </c>
      <c r="D1080" s="50" t="s">
        <v>3822</v>
      </c>
      <c r="E1080" s="12">
        <v>95</v>
      </c>
      <c r="F1080" s="49">
        <v>34340</v>
      </c>
      <c r="G1080" s="67" t="s">
        <v>5611</v>
      </c>
      <c r="H1080" s="14" t="s">
        <v>5601</v>
      </c>
      <c r="I1080" s="14" t="s">
        <v>2458</v>
      </c>
      <c r="J1080" s="33" t="s">
        <v>7110</v>
      </c>
      <c r="K1080" s="33" t="s">
        <v>4307</v>
      </c>
      <c r="L1080" s="68">
        <v>0</v>
      </c>
      <c r="M1080" s="68" t="s">
        <v>8915</v>
      </c>
      <c r="N1080" s="68">
        <v>0</v>
      </c>
      <c r="O1080" s="68">
        <v>0</v>
      </c>
      <c r="P1080" s="198" t="s">
        <v>5659</v>
      </c>
    </row>
    <row r="1081" spans="1:16" ht="18.75" hidden="1">
      <c r="A1081" s="50" t="s">
        <v>4008</v>
      </c>
      <c r="B1081" s="50" t="s">
        <v>4166</v>
      </c>
      <c r="C1081" s="50" t="s">
        <v>4197</v>
      </c>
      <c r="D1081" s="50" t="s">
        <v>3900</v>
      </c>
      <c r="E1081" s="12">
        <v>95</v>
      </c>
      <c r="F1081" s="49">
        <v>212005</v>
      </c>
      <c r="G1081" s="67" t="s">
        <v>5611</v>
      </c>
      <c r="H1081" s="14" t="s">
        <v>5601</v>
      </c>
      <c r="I1081" s="14" t="s">
        <v>2458</v>
      </c>
      <c r="J1081" s="33" t="s">
        <v>7110</v>
      </c>
      <c r="K1081" s="33" t="s">
        <v>4307</v>
      </c>
      <c r="L1081" s="68">
        <v>0</v>
      </c>
      <c r="M1081" s="68" t="s">
        <v>8915</v>
      </c>
      <c r="N1081" s="68">
        <v>0</v>
      </c>
      <c r="O1081" s="68">
        <v>0</v>
      </c>
      <c r="P1081" s="198" t="s">
        <v>5689</v>
      </c>
    </row>
    <row r="1082" spans="1:16" ht="18.75" hidden="1">
      <c r="A1082" s="50" t="s">
        <v>4009</v>
      </c>
      <c r="B1082" s="50" t="s">
        <v>4166</v>
      </c>
      <c r="C1082" s="50" t="s">
        <v>4199</v>
      </c>
      <c r="D1082" s="50" t="s">
        <v>4182</v>
      </c>
      <c r="E1082" s="12">
        <v>95</v>
      </c>
      <c r="F1082" s="49">
        <v>976250</v>
      </c>
      <c r="G1082" s="67" t="s">
        <v>5616</v>
      </c>
      <c r="H1082" s="14" t="s">
        <v>5601</v>
      </c>
      <c r="I1082" s="14" t="s">
        <v>2458</v>
      </c>
      <c r="J1082" s="33" t="s">
        <v>7110</v>
      </c>
      <c r="K1082" s="33" t="s">
        <v>4307</v>
      </c>
      <c r="L1082" s="68">
        <v>0</v>
      </c>
      <c r="M1082" s="68" t="s">
        <v>8915</v>
      </c>
      <c r="N1082" s="68">
        <v>0</v>
      </c>
      <c r="O1082" s="68">
        <v>0</v>
      </c>
      <c r="P1082" s="198" t="s">
        <v>5716</v>
      </c>
    </row>
    <row r="1083" spans="1:16" ht="18.75" hidden="1">
      <c r="A1083" s="50" t="s">
        <v>4010</v>
      </c>
      <c r="B1083" s="50" t="s">
        <v>4168</v>
      </c>
      <c r="C1083" s="50" t="s">
        <v>4193</v>
      </c>
      <c r="D1083" s="50" t="s">
        <v>4180</v>
      </c>
      <c r="E1083" s="12">
        <v>95</v>
      </c>
      <c r="F1083" s="49">
        <v>499525</v>
      </c>
      <c r="G1083" s="67" t="s">
        <v>5607</v>
      </c>
      <c r="H1083" s="14" t="s">
        <v>5601</v>
      </c>
      <c r="I1083" s="14" t="s">
        <v>2458</v>
      </c>
      <c r="J1083" s="33" t="s">
        <v>7110</v>
      </c>
      <c r="K1083" s="33" t="s">
        <v>4307</v>
      </c>
      <c r="L1083" s="68">
        <v>0</v>
      </c>
      <c r="M1083" s="68" t="s">
        <v>8915</v>
      </c>
      <c r="N1083" s="68">
        <v>0</v>
      </c>
      <c r="O1083" s="68">
        <v>0</v>
      </c>
      <c r="P1083" s="198" t="s">
        <v>5690</v>
      </c>
    </row>
    <row r="1084" spans="1:16" ht="18.75" hidden="1">
      <c r="A1084" s="50" t="s">
        <v>4011</v>
      </c>
      <c r="B1084" s="50" t="s">
        <v>4172</v>
      </c>
      <c r="C1084" s="50" t="s">
        <v>4194</v>
      </c>
      <c r="D1084" s="50" t="s">
        <v>4177</v>
      </c>
      <c r="E1084" s="12">
        <v>95</v>
      </c>
      <c r="F1084" s="49">
        <v>503000</v>
      </c>
      <c r="G1084" s="67" t="s">
        <v>5616</v>
      </c>
      <c r="H1084" s="14" t="s">
        <v>5601</v>
      </c>
      <c r="I1084" s="14" t="s">
        <v>2458</v>
      </c>
      <c r="J1084" s="33" t="s">
        <v>7110</v>
      </c>
      <c r="K1084" s="33" t="s">
        <v>4307</v>
      </c>
      <c r="L1084" s="68">
        <v>0</v>
      </c>
      <c r="M1084" s="68" t="s">
        <v>8915</v>
      </c>
      <c r="N1084" s="68">
        <v>0</v>
      </c>
      <c r="O1084" s="68">
        <v>0</v>
      </c>
      <c r="P1084" s="198" t="s">
        <v>5716</v>
      </c>
    </row>
    <row r="1085" spans="1:16" ht="18.75" hidden="1">
      <c r="A1085" s="50" t="s">
        <v>4011</v>
      </c>
      <c r="B1085" s="50" t="s">
        <v>4172</v>
      </c>
      <c r="C1085" s="50" t="s">
        <v>4212</v>
      </c>
      <c r="D1085" s="50" t="s">
        <v>4183</v>
      </c>
      <c r="E1085" s="12">
        <v>95</v>
      </c>
      <c r="F1085" s="49">
        <v>487000</v>
      </c>
      <c r="G1085" s="67" t="s">
        <v>5616</v>
      </c>
      <c r="H1085" s="14" t="s">
        <v>5601</v>
      </c>
      <c r="I1085" s="14" t="s">
        <v>2458</v>
      </c>
      <c r="J1085" s="33" t="s">
        <v>7110</v>
      </c>
      <c r="K1085" s="33" t="s">
        <v>4307</v>
      </c>
      <c r="L1085" s="68">
        <v>0</v>
      </c>
      <c r="M1085" s="68" t="s">
        <v>8915</v>
      </c>
      <c r="N1085" s="68">
        <v>0</v>
      </c>
      <c r="O1085" s="68">
        <v>0</v>
      </c>
      <c r="P1085" s="198" t="s">
        <v>5701</v>
      </c>
    </row>
    <row r="1086" spans="1:16" ht="18.75" hidden="1">
      <c r="A1086" s="50" t="s">
        <v>4012</v>
      </c>
      <c r="B1086" s="50" t="s">
        <v>3967</v>
      </c>
      <c r="C1086" s="50" t="s">
        <v>4211</v>
      </c>
      <c r="D1086" s="50" t="s">
        <v>4180</v>
      </c>
      <c r="E1086" s="12">
        <v>95</v>
      </c>
      <c r="F1086" s="49">
        <v>29752</v>
      </c>
      <c r="G1086" s="67" t="s">
        <v>5616</v>
      </c>
      <c r="H1086" s="14" t="s">
        <v>5601</v>
      </c>
      <c r="I1086" s="14" t="s">
        <v>2458</v>
      </c>
      <c r="J1086" s="33" t="s">
        <v>7110</v>
      </c>
      <c r="K1086" s="33" t="s">
        <v>4307</v>
      </c>
      <c r="L1086" s="68">
        <v>0</v>
      </c>
      <c r="M1086" s="68" t="s">
        <v>8915</v>
      </c>
      <c r="N1086" s="68">
        <v>0</v>
      </c>
      <c r="O1086" s="68">
        <v>0</v>
      </c>
      <c r="P1086" s="198" t="s">
        <v>5701</v>
      </c>
    </row>
    <row r="1087" spans="1:16" ht="18.75" hidden="1">
      <c r="A1087" s="50" t="s">
        <v>4013</v>
      </c>
      <c r="B1087" s="50" t="s">
        <v>4170</v>
      </c>
      <c r="C1087" s="50" t="s">
        <v>4205</v>
      </c>
      <c r="D1087" s="50" t="s">
        <v>3937</v>
      </c>
      <c r="E1087" s="12">
        <v>95</v>
      </c>
      <c r="F1087" s="49">
        <v>213272</v>
      </c>
      <c r="G1087" s="67" t="s">
        <v>5699</v>
      </c>
      <c r="H1087" s="14" t="s">
        <v>5601</v>
      </c>
      <c r="I1087" s="14" t="s">
        <v>2458</v>
      </c>
      <c r="J1087" s="33" t="s">
        <v>7110</v>
      </c>
      <c r="K1087" s="33" t="s">
        <v>4307</v>
      </c>
      <c r="L1087" s="68">
        <v>0</v>
      </c>
      <c r="M1087" s="68" t="s">
        <v>8915</v>
      </c>
      <c r="N1087" s="68">
        <v>0</v>
      </c>
      <c r="O1087" s="68">
        <v>0</v>
      </c>
      <c r="P1087" s="198" t="s">
        <v>5700</v>
      </c>
    </row>
    <row r="1088" spans="1:16" ht="18.75" hidden="1">
      <c r="A1088" s="50" t="s">
        <v>4012</v>
      </c>
      <c r="B1088" s="50" t="s">
        <v>3967</v>
      </c>
      <c r="C1088" s="50" t="s">
        <v>4222</v>
      </c>
      <c r="D1088" s="50" t="s">
        <v>3934</v>
      </c>
      <c r="E1088" s="12">
        <v>95</v>
      </c>
      <c r="F1088" s="49">
        <v>1276408</v>
      </c>
      <c r="G1088" s="67" t="s">
        <v>5616</v>
      </c>
      <c r="H1088" s="14" t="s">
        <v>5601</v>
      </c>
      <c r="I1088" s="14" t="s">
        <v>2458</v>
      </c>
      <c r="J1088" s="33" t="s">
        <v>7110</v>
      </c>
      <c r="K1088" s="33" t="s">
        <v>4307</v>
      </c>
      <c r="L1088" s="68">
        <v>0</v>
      </c>
      <c r="M1088" s="68" t="s">
        <v>8915</v>
      </c>
      <c r="N1088" s="68">
        <v>0</v>
      </c>
      <c r="O1088" s="68">
        <v>0</v>
      </c>
      <c r="P1088" s="198" t="s">
        <v>5701</v>
      </c>
    </row>
    <row r="1089" spans="1:16" ht="18.75" hidden="1">
      <c r="A1089" s="50" t="s">
        <v>4013</v>
      </c>
      <c r="B1089" s="50" t="s">
        <v>4170</v>
      </c>
      <c r="C1089" s="50" t="s">
        <v>4223</v>
      </c>
      <c r="D1089" s="50" t="s">
        <v>4184</v>
      </c>
      <c r="E1089" s="12">
        <v>95</v>
      </c>
      <c r="F1089" s="49">
        <v>790478</v>
      </c>
      <c r="G1089" s="67" t="s">
        <v>5699</v>
      </c>
      <c r="H1089" s="14" t="s">
        <v>5601</v>
      </c>
      <c r="I1089" s="14" t="s">
        <v>2458</v>
      </c>
      <c r="J1089" s="33" t="s">
        <v>7110</v>
      </c>
      <c r="K1089" s="33" t="s">
        <v>4307</v>
      </c>
      <c r="L1089" s="68">
        <v>0</v>
      </c>
      <c r="M1089" s="68" t="s">
        <v>8915</v>
      </c>
      <c r="N1089" s="68">
        <v>0</v>
      </c>
      <c r="O1089" s="68">
        <v>0</v>
      </c>
      <c r="P1089" s="198" t="s">
        <v>5707</v>
      </c>
    </row>
    <row r="1090" spans="1:16" ht="18.75" hidden="1">
      <c r="A1090" s="50" t="s">
        <v>4002</v>
      </c>
      <c r="B1090" s="50" t="s">
        <v>4168</v>
      </c>
      <c r="C1090" s="50" t="s">
        <v>4224</v>
      </c>
      <c r="D1090" s="50" t="s">
        <v>4183</v>
      </c>
      <c r="E1090" s="12">
        <v>95</v>
      </c>
      <c r="F1090" s="49">
        <v>498050</v>
      </c>
      <c r="G1090" s="67" t="s">
        <v>5607</v>
      </c>
      <c r="H1090" s="14" t="s">
        <v>5601</v>
      </c>
      <c r="I1090" s="14" t="s">
        <v>2458</v>
      </c>
      <c r="J1090" s="33" t="s">
        <v>7110</v>
      </c>
      <c r="K1090" s="33" t="s">
        <v>4307</v>
      </c>
      <c r="L1090" s="68">
        <v>0</v>
      </c>
      <c r="M1090" s="68" t="s">
        <v>8915</v>
      </c>
      <c r="N1090" s="68">
        <v>0</v>
      </c>
      <c r="O1090" s="68">
        <v>0</v>
      </c>
      <c r="P1090" s="198" t="s">
        <v>5690</v>
      </c>
    </row>
    <row r="1091" spans="1:16" ht="18.75" hidden="1">
      <c r="A1091" s="50" t="s">
        <v>4002</v>
      </c>
      <c r="B1091" s="50" t="s">
        <v>4168</v>
      </c>
      <c r="C1091" s="50" t="s">
        <v>4225</v>
      </c>
      <c r="D1091" s="50" t="s">
        <v>4180</v>
      </c>
      <c r="E1091" s="12">
        <v>95</v>
      </c>
      <c r="F1091" s="49">
        <v>1000000</v>
      </c>
      <c r="G1091" s="67" t="s">
        <v>5607</v>
      </c>
      <c r="H1091" s="14" t="s">
        <v>5601</v>
      </c>
      <c r="I1091" s="14" t="s">
        <v>2458</v>
      </c>
      <c r="J1091" s="33" t="s">
        <v>7110</v>
      </c>
      <c r="K1091" s="33" t="s">
        <v>4307</v>
      </c>
      <c r="L1091" s="68">
        <v>0</v>
      </c>
      <c r="M1091" s="68" t="s">
        <v>8915</v>
      </c>
      <c r="N1091" s="68">
        <v>0</v>
      </c>
      <c r="O1091" s="68">
        <v>0</v>
      </c>
      <c r="P1091" s="198" t="s">
        <v>5690</v>
      </c>
    </row>
    <row r="1092" spans="1:16" ht="18.75" hidden="1">
      <c r="A1092" s="50" t="s">
        <v>4014</v>
      </c>
      <c r="B1092" s="50" t="s">
        <v>4174</v>
      </c>
      <c r="C1092" s="50" t="s">
        <v>4226</v>
      </c>
      <c r="D1092" s="50" t="s">
        <v>3664</v>
      </c>
      <c r="E1092" s="12">
        <v>95</v>
      </c>
      <c r="F1092" s="49">
        <v>396790</v>
      </c>
      <c r="G1092" s="67" t="s">
        <v>5652</v>
      </c>
      <c r="H1092" s="14" t="s">
        <v>5601</v>
      </c>
      <c r="I1092" s="14" t="s">
        <v>2458</v>
      </c>
      <c r="J1092" s="33" t="s">
        <v>7110</v>
      </c>
      <c r="K1092" s="33" t="s">
        <v>4307</v>
      </c>
      <c r="L1092" s="68">
        <v>0</v>
      </c>
      <c r="M1092" s="68" t="s">
        <v>8915</v>
      </c>
      <c r="N1092" s="68">
        <v>0</v>
      </c>
      <c r="O1092" s="68">
        <v>0</v>
      </c>
      <c r="P1092" s="198" t="s">
        <v>5653</v>
      </c>
    </row>
    <row r="1093" spans="1:16" ht="18.75" hidden="1">
      <c r="A1093" s="50" t="s">
        <v>4015</v>
      </c>
      <c r="B1093" s="50" t="s">
        <v>4175</v>
      </c>
      <c r="C1093" s="50" t="s">
        <v>4227</v>
      </c>
      <c r="D1093" s="50" t="s">
        <v>4182</v>
      </c>
      <c r="E1093" s="12">
        <v>95</v>
      </c>
      <c r="F1093" s="49">
        <v>1005400</v>
      </c>
      <c r="G1093" s="67" t="s">
        <v>5699</v>
      </c>
      <c r="H1093" s="14" t="s">
        <v>5601</v>
      </c>
      <c r="I1093" s="14" t="s">
        <v>2458</v>
      </c>
      <c r="J1093" s="33" t="s">
        <v>7110</v>
      </c>
      <c r="K1093" s="33" t="s">
        <v>4307</v>
      </c>
      <c r="L1093" s="68">
        <v>0</v>
      </c>
      <c r="M1093" s="68" t="s">
        <v>8915</v>
      </c>
      <c r="N1093" s="68">
        <v>0</v>
      </c>
      <c r="O1093" s="68">
        <v>0</v>
      </c>
      <c r="P1093" s="198" t="s">
        <v>5715</v>
      </c>
    </row>
    <row r="1094" spans="1:16" ht="18.75" hidden="1">
      <c r="A1094" s="50" t="s">
        <v>3988</v>
      </c>
      <c r="B1094" s="50" t="s">
        <v>4169</v>
      </c>
      <c r="C1094" s="50" t="s">
        <v>4228</v>
      </c>
      <c r="D1094" s="50" t="s">
        <v>4176</v>
      </c>
      <c r="E1094" s="12">
        <v>95</v>
      </c>
      <c r="F1094" s="49">
        <v>999000</v>
      </c>
      <c r="G1094" s="67" t="s">
        <v>5609</v>
      </c>
      <c r="H1094" s="14" t="s">
        <v>5601</v>
      </c>
      <c r="I1094" s="14" t="s">
        <v>2458</v>
      </c>
      <c r="J1094" s="33" t="s">
        <v>7110</v>
      </c>
      <c r="K1094" s="33" t="s">
        <v>4307</v>
      </c>
      <c r="L1094" s="68">
        <v>0</v>
      </c>
      <c r="M1094" s="68" t="s">
        <v>8915</v>
      </c>
      <c r="N1094" s="68">
        <v>0</v>
      </c>
      <c r="O1094" s="68">
        <v>0</v>
      </c>
      <c r="P1094" s="198" t="s">
        <v>5717</v>
      </c>
    </row>
    <row r="1095" spans="1:16" ht="18.75" hidden="1">
      <c r="A1095" s="50" t="s">
        <v>4016</v>
      </c>
      <c r="B1095" s="50" t="s">
        <v>4165</v>
      </c>
      <c r="C1095" s="50" t="s">
        <v>4229</v>
      </c>
      <c r="D1095" s="50" t="s">
        <v>4166</v>
      </c>
      <c r="E1095" s="12">
        <v>95</v>
      </c>
      <c r="F1095" s="49">
        <v>2512678</v>
      </c>
      <c r="G1095" s="67" t="s">
        <v>5604</v>
      </c>
      <c r="H1095" s="14" t="s">
        <v>5601</v>
      </c>
      <c r="I1095" s="14" t="s">
        <v>2458</v>
      </c>
      <c r="J1095" s="33" t="s">
        <v>7110</v>
      </c>
      <c r="K1095" s="33" t="s">
        <v>4307</v>
      </c>
      <c r="L1095" s="68">
        <v>0</v>
      </c>
      <c r="M1095" s="68" t="s">
        <v>8915</v>
      </c>
      <c r="N1095" s="68">
        <v>0</v>
      </c>
      <c r="O1095" s="68">
        <v>0</v>
      </c>
      <c r="P1095" s="198" t="s">
        <v>5691</v>
      </c>
    </row>
    <row r="1096" spans="1:16" ht="18.75" hidden="1">
      <c r="A1096" s="50" t="s">
        <v>4017</v>
      </c>
      <c r="B1096" s="50" t="s">
        <v>4167</v>
      </c>
      <c r="C1096" s="50" t="s">
        <v>4204</v>
      </c>
      <c r="D1096" s="50" t="s">
        <v>4184</v>
      </c>
      <c r="E1096" s="12">
        <v>95</v>
      </c>
      <c r="F1096" s="49">
        <v>8128</v>
      </c>
      <c r="G1096" s="67" t="s">
        <v>5681</v>
      </c>
      <c r="H1096" s="14" t="s">
        <v>5601</v>
      </c>
      <c r="I1096" s="14" t="s">
        <v>2458</v>
      </c>
      <c r="J1096" s="33" t="s">
        <v>7110</v>
      </c>
      <c r="K1096" s="33" t="s">
        <v>4307</v>
      </c>
      <c r="L1096" s="68">
        <v>0</v>
      </c>
      <c r="M1096" s="68" t="s">
        <v>8915</v>
      </c>
      <c r="N1096" s="68">
        <v>0</v>
      </c>
      <c r="O1096" s="68">
        <v>0</v>
      </c>
      <c r="P1096" s="198" t="s">
        <v>5709</v>
      </c>
    </row>
    <row r="1097" spans="1:16" ht="18.75" hidden="1">
      <c r="A1097" s="50" t="s">
        <v>4017</v>
      </c>
      <c r="B1097" s="50" t="s">
        <v>4167</v>
      </c>
      <c r="C1097" s="50" t="s">
        <v>4230</v>
      </c>
      <c r="D1097" s="50" t="s">
        <v>4184</v>
      </c>
      <c r="E1097" s="12">
        <v>95</v>
      </c>
      <c r="F1097" s="49">
        <v>988611</v>
      </c>
      <c r="G1097" s="67" t="s">
        <v>5681</v>
      </c>
      <c r="H1097" s="14" t="s">
        <v>5601</v>
      </c>
      <c r="I1097" s="14" t="s">
        <v>2458</v>
      </c>
      <c r="J1097" s="33" t="s">
        <v>7110</v>
      </c>
      <c r="K1097" s="33" t="s">
        <v>4307</v>
      </c>
      <c r="L1097" s="68">
        <v>0</v>
      </c>
      <c r="M1097" s="68" t="s">
        <v>8915</v>
      </c>
      <c r="N1097" s="68">
        <v>0</v>
      </c>
      <c r="O1097" s="68">
        <v>0</v>
      </c>
      <c r="P1097" s="198" t="s">
        <v>5709</v>
      </c>
    </row>
    <row r="1098" spans="1:16" ht="18.75" hidden="1">
      <c r="A1098" s="50" t="s">
        <v>4018</v>
      </c>
      <c r="B1098" s="50" t="s">
        <v>3967</v>
      </c>
      <c r="C1098" s="50" t="s">
        <v>4189</v>
      </c>
      <c r="D1098" s="50" t="s">
        <v>3937</v>
      </c>
      <c r="E1098" s="12">
        <v>95</v>
      </c>
      <c r="F1098" s="49">
        <v>904178</v>
      </c>
      <c r="G1098" s="67" t="s">
        <v>5604</v>
      </c>
      <c r="H1098" s="14" t="s">
        <v>5601</v>
      </c>
      <c r="I1098" s="14" t="s">
        <v>2458</v>
      </c>
      <c r="J1098" s="33" t="s">
        <v>7110</v>
      </c>
      <c r="K1098" s="33" t="s">
        <v>4307</v>
      </c>
      <c r="L1098" s="68">
        <v>0</v>
      </c>
      <c r="M1098" s="68" t="s">
        <v>8915</v>
      </c>
      <c r="N1098" s="68">
        <v>0</v>
      </c>
      <c r="O1098" s="68">
        <v>0</v>
      </c>
      <c r="P1098" s="198" t="s">
        <v>5676</v>
      </c>
    </row>
    <row r="1099" spans="1:16" ht="18.75" hidden="1">
      <c r="A1099" s="50" t="s">
        <v>4019</v>
      </c>
      <c r="B1099" s="50" t="s">
        <v>4173</v>
      </c>
      <c r="C1099" s="50" t="s">
        <v>4231</v>
      </c>
      <c r="D1099" s="50" t="s">
        <v>3934</v>
      </c>
      <c r="E1099" s="12">
        <v>95</v>
      </c>
      <c r="F1099" s="49">
        <v>736670</v>
      </c>
      <c r="G1099" s="67" t="s">
        <v>5702</v>
      </c>
      <c r="H1099" s="14" t="s">
        <v>5601</v>
      </c>
      <c r="I1099" s="14" t="s">
        <v>2458</v>
      </c>
      <c r="J1099" s="33" t="s">
        <v>7110</v>
      </c>
      <c r="K1099" s="33" t="s">
        <v>4307</v>
      </c>
      <c r="L1099" s="68">
        <v>0</v>
      </c>
      <c r="M1099" s="68" t="s">
        <v>8915</v>
      </c>
      <c r="N1099" s="68">
        <v>0</v>
      </c>
      <c r="O1099" s="68">
        <v>0</v>
      </c>
      <c r="P1099" s="198" t="s">
        <v>5703</v>
      </c>
    </row>
    <row r="1100" spans="1:16" ht="18.75" hidden="1">
      <c r="A1100" s="50" t="s">
        <v>4020</v>
      </c>
      <c r="B1100" s="50" t="s">
        <v>3967</v>
      </c>
      <c r="C1100" s="50" t="s">
        <v>4232</v>
      </c>
      <c r="D1100" s="50" t="s">
        <v>4175</v>
      </c>
      <c r="E1100" s="12">
        <v>95</v>
      </c>
      <c r="F1100" s="49">
        <v>60000</v>
      </c>
      <c r="G1100" s="67" t="s">
        <v>5683</v>
      </c>
      <c r="H1100" s="14" t="s">
        <v>5602</v>
      </c>
      <c r="I1100" s="14" t="s">
        <v>2458</v>
      </c>
      <c r="J1100" s="33" t="s">
        <v>7110</v>
      </c>
      <c r="K1100" s="33" t="s">
        <v>4307</v>
      </c>
      <c r="L1100" s="68">
        <v>0</v>
      </c>
      <c r="M1100" s="68" t="s">
        <v>8915</v>
      </c>
      <c r="N1100" s="68">
        <v>0</v>
      </c>
      <c r="O1100" s="68">
        <v>0</v>
      </c>
      <c r="P1100" s="198" t="s">
        <v>5735</v>
      </c>
    </row>
    <row r="1101" spans="1:16" ht="18.75" hidden="1">
      <c r="A1101" s="50" t="s">
        <v>4020</v>
      </c>
      <c r="B1101" s="50" t="s">
        <v>3967</v>
      </c>
      <c r="C1101" s="50" t="s">
        <v>4233</v>
      </c>
      <c r="D1101" s="50" t="s">
        <v>4175</v>
      </c>
      <c r="E1101" s="12">
        <v>95</v>
      </c>
      <c r="F1101" s="49">
        <v>39438</v>
      </c>
      <c r="G1101" s="67" t="s">
        <v>5683</v>
      </c>
      <c r="H1101" s="14" t="s">
        <v>5602</v>
      </c>
      <c r="I1101" s="14" t="s">
        <v>2458</v>
      </c>
      <c r="J1101" s="33" t="s">
        <v>7110</v>
      </c>
      <c r="K1101" s="33" t="s">
        <v>4307</v>
      </c>
      <c r="L1101" s="68">
        <v>0</v>
      </c>
      <c r="M1101" s="68" t="s">
        <v>8915</v>
      </c>
      <c r="N1101" s="68">
        <v>0</v>
      </c>
      <c r="O1101" s="68">
        <v>0</v>
      </c>
      <c r="P1101" s="198" t="s">
        <v>5734</v>
      </c>
    </row>
    <row r="1102" spans="1:16" ht="18.75" hidden="1">
      <c r="A1102" s="50" t="s">
        <v>4021</v>
      </c>
      <c r="B1102" s="50" t="s">
        <v>4165</v>
      </c>
      <c r="C1102" s="50" t="s">
        <v>4188</v>
      </c>
      <c r="D1102" s="50" t="s">
        <v>4186</v>
      </c>
      <c r="E1102" s="12">
        <v>95</v>
      </c>
      <c r="F1102" s="49">
        <v>502390</v>
      </c>
      <c r="G1102" s="67" t="s">
        <v>5631</v>
      </c>
      <c r="H1102" s="14" t="s">
        <v>5601</v>
      </c>
      <c r="I1102" s="14" t="s">
        <v>2458</v>
      </c>
      <c r="J1102" s="33" t="s">
        <v>7110</v>
      </c>
      <c r="K1102" s="33" t="s">
        <v>4307</v>
      </c>
      <c r="L1102" s="68">
        <v>0</v>
      </c>
      <c r="M1102" s="68" t="s">
        <v>8915</v>
      </c>
      <c r="N1102" s="68">
        <v>0</v>
      </c>
      <c r="O1102" s="68">
        <v>0</v>
      </c>
      <c r="P1102" s="197" t="s">
        <v>5698</v>
      </c>
    </row>
    <row r="1103" spans="1:16" ht="18.75" hidden="1">
      <c r="A1103" s="50" t="s">
        <v>4018</v>
      </c>
      <c r="B1103" s="50" t="s">
        <v>3967</v>
      </c>
      <c r="C1103" s="50" t="s">
        <v>4234</v>
      </c>
      <c r="D1103" s="50" t="s">
        <v>3937</v>
      </c>
      <c r="E1103" s="12">
        <v>95</v>
      </c>
      <c r="F1103" s="49">
        <v>78640</v>
      </c>
      <c r="G1103" s="67" t="s">
        <v>5604</v>
      </c>
      <c r="H1103" s="14" t="s">
        <v>5601</v>
      </c>
      <c r="I1103" s="14" t="s">
        <v>2458</v>
      </c>
      <c r="J1103" s="33" t="s">
        <v>7110</v>
      </c>
      <c r="K1103" s="33" t="s">
        <v>4307</v>
      </c>
      <c r="L1103" s="68">
        <v>0</v>
      </c>
      <c r="M1103" s="68" t="s">
        <v>8915</v>
      </c>
      <c r="N1103" s="68">
        <v>0</v>
      </c>
      <c r="O1103" s="68">
        <v>0</v>
      </c>
      <c r="P1103" s="198" t="s">
        <v>5642</v>
      </c>
    </row>
    <row r="1104" spans="1:16" ht="18.75" hidden="1">
      <c r="A1104" s="50" t="s">
        <v>4022</v>
      </c>
      <c r="B1104" s="50" t="s">
        <v>4170</v>
      </c>
      <c r="C1104" s="50" t="s">
        <v>4231</v>
      </c>
      <c r="D1104" s="50" t="s">
        <v>3934</v>
      </c>
      <c r="E1104" s="12">
        <v>95</v>
      </c>
      <c r="F1104" s="49">
        <v>749056</v>
      </c>
      <c r="G1104" s="67" t="s">
        <v>5702</v>
      </c>
      <c r="H1104" s="14" t="s">
        <v>5601</v>
      </c>
      <c r="I1104" s="14" t="s">
        <v>2458</v>
      </c>
      <c r="J1104" s="33" t="s">
        <v>7110</v>
      </c>
      <c r="K1104" s="33" t="s">
        <v>4307</v>
      </c>
      <c r="L1104" s="68">
        <v>0</v>
      </c>
      <c r="M1104" s="68" t="s">
        <v>8915</v>
      </c>
      <c r="N1104" s="68">
        <v>0</v>
      </c>
      <c r="O1104" s="68">
        <v>0</v>
      </c>
      <c r="P1104" s="198" t="s">
        <v>5703</v>
      </c>
    </row>
    <row r="1105" spans="1:16" ht="18.75" hidden="1">
      <c r="A1105" s="50" t="s">
        <v>4023</v>
      </c>
      <c r="B1105" s="50" t="s">
        <v>4170</v>
      </c>
      <c r="C1105" s="50" t="s">
        <v>4231</v>
      </c>
      <c r="D1105" s="50" t="s">
        <v>3934</v>
      </c>
      <c r="E1105" s="12">
        <v>95</v>
      </c>
      <c r="F1105" s="49">
        <v>497750</v>
      </c>
      <c r="G1105" s="67" t="s">
        <v>5702</v>
      </c>
      <c r="H1105" s="14" t="s">
        <v>5601</v>
      </c>
      <c r="I1105" s="14" t="s">
        <v>2458</v>
      </c>
      <c r="J1105" s="33" t="s">
        <v>7110</v>
      </c>
      <c r="K1105" s="33" t="s">
        <v>4307</v>
      </c>
      <c r="L1105" s="68">
        <v>0</v>
      </c>
      <c r="M1105" s="68" t="s">
        <v>8915</v>
      </c>
      <c r="N1105" s="68">
        <v>0</v>
      </c>
      <c r="O1105" s="68">
        <v>0</v>
      </c>
      <c r="P1105" s="198" t="s">
        <v>5703</v>
      </c>
    </row>
    <row r="1106" spans="1:16" ht="18.75" hidden="1">
      <c r="A1106" s="50" t="s">
        <v>4024</v>
      </c>
      <c r="B1106" s="50" t="s">
        <v>4169</v>
      </c>
      <c r="C1106" s="50" t="s">
        <v>4231</v>
      </c>
      <c r="D1106" s="50" t="s">
        <v>3934</v>
      </c>
      <c r="E1106" s="12">
        <v>95</v>
      </c>
      <c r="F1106" s="49">
        <v>497860</v>
      </c>
      <c r="G1106" s="67" t="s">
        <v>5702</v>
      </c>
      <c r="H1106" s="14" t="s">
        <v>5601</v>
      </c>
      <c r="I1106" s="14" t="s">
        <v>2458</v>
      </c>
      <c r="J1106" s="33" t="s">
        <v>7110</v>
      </c>
      <c r="K1106" s="33" t="s">
        <v>4307</v>
      </c>
      <c r="L1106" s="68">
        <v>0</v>
      </c>
      <c r="M1106" s="68" t="s">
        <v>8915</v>
      </c>
      <c r="N1106" s="68">
        <v>0</v>
      </c>
      <c r="O1106" s="68">
        <v>0</v>
      </c>
      <c r="P1106" s="198" t="s">
        <v>5703</v>
      </c>
    </row>
    <row r="1107" spans="1:16" ht="18.75" hidden="1">
      <c r="A1107" s="50" t="s">
        <v>4025</v>
      </c>
      <c r="B1107" s="50" t="s">
        <v>3967</v>
      </c>
      <c r="C1107" s="50" t="s">
        <v>4231</v>
      </c>
      <c r="D1107" s="50" t="s">
        <v>3934</v>
      </c>
      <c r="E1107" s="12">
        <v>95</v>
      </c>
      <c r="F1107" s="49">
        <v>492250</v>
      </c>
      <c r="G1107" s="67" t="s">
        <v>5702</v>
      </c>
      <c r="H1107" s="14" t="s">
        <v>5601</v>
      </c>
      <c r="I1107" s="14" t="s">
        <v>2458</v>
      </c>
      <c r="J1107" s="33" t="s">
        <v>7110</v>
      </c>
      <c r="K1107" s="33" t="s">
        <v>4307</v>
      </c>
      <c r="L1107" s="68">
        <v>0</v>
      </c>
      <c r="M1107" s="68" t="s">
        <v>8915</v>
      </c>
      <c r="N1107" s="68">
        <v>0</v>
      </c>
      <c r="O1107" s="68">
        <v>0</v>
      </c>
      <c r="P1107" s="198" t="s">
        <v>5703</v>
      </c>
    </row>
    <row r="1108" spans="1:16" ht="18.75" hidden="1">
      <c r="A1108" s="50" t="s">
        <v>4026</v>
      </c>
      <c r="B1108" s="50" t="s">
        <v>4176</v>
      </c>
      <c r="C1108" s="50" t="s">
        <v>4235</v>
      </c>
      <c r="D1108" s="50" t="s">
        <v>3718</v>
      </c>
      <c r="E1108" s="12">
        <v>95</v>
      </c>
      <c r="F1108" s="49">
        <v>298650</v>
      </c>
      <c r="G1108" s="67" t="s">
        <v>5611</v>
      </c>
      <c r="H1108" s="14" t="s">
        <v>5601</v>
      </c>
      <c r="I1108" s="14" t="s">
        <v>2458</v>
      </c>
      <c r="J1108" s="33" t="s">
        <v>7110</v>
      </c>
      <c r="K1108" s="33" t="s">
        <v>4307</v>
      </c>
      <c r="L1108" s="68">
        <v>0</v>
      </c>
      <c r="M1108" s="68" t="s">
        <v>8915</v>
      </c>
      <c r="N1108" s="68">
        <v>0</v>
      </c>
      <c r="O1108" s="68">
        <v>0</v>
      </c>
      <c r="P1108" s="198" t="s">
        <v>5659</v>
      </c>
    </row>
    <row r="1109" spans="1:16" ht="18.75" hidden="1">
      <c r="A1109" s="50" t="s">
        <v>4027</v>
      </c>
      <c r="B1109" s="50" t="s">
        <v>4177</v>
      </c>
      <c r="C1109" s="50" t="s">
        <v>4236</v>
      </c>
      <c r="D1109" s="50" t="s">
        <v>4184</v>
      </c>
      <c r="E1109" s="12">
        <v>95</v>
      </c>
      <c r="F1109" s="49">
        <v>454605</v>
      </c>
      <c r="G1109" s="67" t="s">
        <v>5607</v>
      </c>
      <c r="H1109" s="14" t="s">
        <v>5601</v>
      </c>
      <c r="I1109" s="14" t="s">
        <v>2458</v>
      </c>
      <c r="J1109" s="33" t="s">
        <v>7110</v>
      </c>
      <c r="K1109" s="33" t="s">
        <v>4307</v>
      </c>
      <c r="L1109" s="68">
        <v>0</v>
      </c>
      <c r="M1109" s="68" t="s">
        <v>8915</v>
      </c>
      <c r="N1109" s="68">
        <v>0</v>
      </c>
      <c r="O1109" s="68">
        <v>0</v>
      </c>
      <c r="P1109" s="198" t="s">
        <v>5690</v>
      </c>
    </row>
    <row r="1110" spans="1:16" ht="18.75" hidden="1">
      <c r="A1110" s="50" t="s">
        <v>4028</v>
      </c>
      <c r="B1110" s="50" t="s">
        <v>4178</v>
      </c>
      <c r="C1110" s="50" t="s">
        <v>4199</v>
      </c>
      <c r="D1110" s="50" t="s">
        <v>4182</v>
      </c>
      <c r="E1110" s="12">
        <v>95</v>
      </c>
      <c r="F1110" s="49">
        <v>488125</v>
      </c>
      <c r="G1110" s="67" t="s">
        <v>5616</v>
      </c>
      <c r="H1110" s="14" t="s">
        <v>5601</v>
      </c>
      <c r="I1110" s="14" t="s">
        <v>2458</v>
      </c>
      <c r="J1110" s="33" t="s">
        <v>7110</v>
      </c>
      <c r="K1110" s="33" t="s">
        <v>4307</v>
      </c>
      <c r="L1110" s="68">
        <v>0</v>
      </c>
      <c r="M1110" s="68" t="s">
        <v>8915</v>
      </c>
      <c r="N1110" s="68">
        <v>0</v>
      </c>
      <c r="O1110" s="68">
        <v>0</v>
      </c>
      <c r="P1110" s="198" t="s">
        <v>5716</v>
      </c>
    </row>
    <row r="1111" spans="1:16" ht="18.75" hidden="1">
      <c r="A1111" s="50" t="s">
        <v>4029</v>
      </c>
      <c r="B1111" s="50" t="s">
        <v>4178</v>
      </c>
      <c r="C1111" s="50" t="s">
        <v>4199</v>
      </c>
      <c r="D1111" s="50" t="s">
        <v>4182</v>
      </c>
      <c r="E1111" s="12">
        <v>95</v>
      </c>
      <c r="F1111" s="49">
        <v>488125</v>
      </c>
      <c r="G1111" s="67" t="s">
        <v>5616</v>
      </c>
      <c r="H1111" s="14" t="s">
        <v>5601</v>
      </c>
      <c r="I1111" s="14" t="s">
        <v>2458</v>
      </c>
      <c r="J1111" s="33" t="s">
        <v>7110</v>
      </c>
      <c r="K1111" s="33" t="s">
        <v>4307</v>
      </c>
      <c r="L1111" s="68">
        <v>0</v>
      </c>
      <c r="M1111" s="68" t="s">
        <v>8915</v>
      </c>
      <c r="N1111" s="68">
        <v>0</v>
      </c>
      <c r="O1111" s="68">
        <v>0</v>
      </c>
      <c r="P1111" s="198" t="s">
        <v>5716</v>
      </c>
    </row>
    <row r="1112" spans="1:16" ht="18.75" hidden="1">
      <c r="A1112" s="50" t="s">
        <v>4030</v>
      </c>
      <c r="B1112" s="50" t="s">
        <v>4179</v>
      </c>
      <c r="C1112" s="50" t="s">
        <v>4237</v>
      </c>
      <c r="D1112" s="50" t="s">
        <v>3934</v>
      </c>
      <c r="E1112" s="12">
        <v>95</v>
      </c>
      <c r="F1112" s="49">
        <v>526225</v>
      </c>
      <c r="G1112" s="67" t="s">
        <v>5607</v>
      </c>
      <c r="H1112" s="14" t="s">
        <v>5601</v>
      </c>
      <c r="I1112" s="14" t="s">
        <v>2458</v>
      </c>
      <c r="J1112" s="33" t="s">
        <v>7110</v>
      </c>
      <c r="K1112" s="33" t="s">
        <v>4307</v>
      </c>
      <c r="L1112" s="68">
        <v>0</v>
      </c>
      <c r="M1112" s="68" t="s">
        <v>8915</v>
      </c>
      <c r="N1112" s="68">
        <v>0</v>
      </c>
      <c r="O1112" s="68">
        <v>0</v>
      </c>
      <c r="P1112" s="198" t="s">
        <v>5690</v>
      </c>
    </row>
    <row r="1113" spans="1:16" ht="18.75" hidden="1">
      <c r="A1113" s="50" t="s">
        <v>4031</v>
      </c>
      <c r="B1113" s="50" t="s">
        <v>4180</v>
      </c>
      <c r="C1113" s="50" t="s">
        <v>4238</v>
      </c>
      <c r="D1113" s="50" t="s">
        <v>3934</v>
      </c>
      <c r="E1113" s="12">
        <v>95</v>
      </c>
      <c r="F1113" s="49">
        <v>996100</v>
      </c>
      <c r="G1113" s="67" t="s">
        <v>5607</v>
      </c>
      <c r="H1113" s="14" t="s">
        <v>5601</v>
      </c>
      <c r="I1113" s="14" t="s">
        <v>2458</v>
      </c>
      <c r="J1113" s="33" t="s">
        <v>7110</v>
      </c>
      <c r="K1113" s="33" t="s">
        <v>4307</v>
      </c>
      <c r="L1113" s="68">
        <v>0</v>
      </c>
      <c r="M1113" s="68" t="s">
        <v>8915</v>
      </c>
      <c r="N1113" s="68">
        <v>0</v>
      </c>
      <c r="O1113" s="68">
        <v>0</v>
      </c>
      <c r="P1113" s="198" t="s">
        <v>5690</v>
      </c>
    </row>
    <row r="1114" spans="1:16" ht="18.75" hidden="1">
      <c r="A1114" s="50" t="s">
        <v>4030</v>
      </c>
      <c r="B1114" s="50" t="s">
        <v>4179</v>
      </c>
      <c r="C1114" s="50" t="s">
        <v>4238</v>
      </c>
      <c r="D1114" s="50" t="s">
        <v>3934</v>
      </c>
      <c r="E1114" s="12">
        <v>95</v>
      </c>
      <c r="F1114" s="49">
        <v>3900</v>
      </c>
      <c r="G1114" s="67" t="s">
        <v>5607</v>
      </c>
      <c r="H1114" s="14" t="s">
        <v>5601</v>
      </c>
      <c r="I1114" s="14" t="s">
        <v>2458</v>
      </c>
      <c r="J1114" s="33" t="s">
        <v>7110</v>
      </c>
      <c r="K1114" s="33" t="s">
        <v>4307</v>
      </c>
      <c r="L1114" s="68">
        <v>0</v>
      </c>
      <c r="M1114" s="68" t="s">
        <v>8915</v>
      </c>
      <c r="N1114" s="68">
        <v>0</v>
      </c>
      <c r="O1114" s="68">
        <v>0</v>
      </c>
      <c r="P1114" s="198" t="s">
        <v>5690</v>
      </c>
    </row>
    <row r="1115" spans="1:16" ht="18.75" hidden="1">
      <c r="A1115" s="50" t="s">
        <v>4030</v>
      </c>
      <c r="B1115" s="50" t="s">
        <v>4179</v>
      </c>
      <c r="C1115" s="50" t="s">
        <v>4239</v>
      </c>
      <c r="D1115" s="50" t="s">
        <v>3937</v>
      </c>
      <c r="E1115" s="12">
        <v>95</v>
      </c>
      <c r="F1115" s="49">
        <v>459875</v>
      </c>
      <c r="G1115" s="67" t="s">
        <v>5607</v>
      </c>
      <c r="H1115" s="14" t="s">
        <v>5601</v>
      </c>
      <c r="I1115" s="14" t="s">
        <v>2458</v>
      </c>
      <c r="J1115" s="33" t="s">
        <v>7110</v>
      </c>
      <c r="K1115" s="33" t="s">
        <v>4307</v>
      </c>
      <c r="L1115" s="68">
        <v>0</v>
      </c>
      <c r="M1115" s="68" t="s">
        <v>8915</v>
      </c>
      <c r="N1115" s="68">
        <v>0</v>
      </c>
      <c r="O1115" s="68">
        <v>0</v>
      </c>
      <c r="P1115" s="198" t="s">
        <v>5690</v>
      </c>
    </row>
    <row r="1116" spans="1:16" ht="18.75" hidden="1">
      <c r="A1116" s="50" t="s">
        <v>4032</v>
      </c>
      <c r="B1116" s="50" t="s">
        <v>4177</v>
      </c>
      <c r="C1116" s="50" t="s">
        <v>4209</v>
      </c>
      <c r="D1116" s="50" t="s">
        <v>4184</v>
      </c>
      <c r="E1116" s="12">
        <v>95</v>
      </c>
      <c r="F1116" s="49">
        <v>498525</v>
      </c>
      <c r="G1116" s="67" t="s">
        <v>5607</v>
      </c>
      <c r="H1116" s="14" t="s">
        <v>5601</v>
      </c>
      <c r="I1116" s="14" t="s">
        <v>2458</v>
      </c>
      <c r="J1116" s="33" t="s">
        <v>7110</v>
      </c>
      <c r="K1116" s="33" t="s">
        <v>4307</v>
      </c>
      <c r="L1116" s="68">
        <v>0</v>
      </c>
      <c r="M1116" s="68" t="s">
        <v>8915</v>
      </c>
      <c r="N1116" s="68">
        <v>0</v>
      </c>
      <c r="O1116" s="68">
        <v>0</v>
      </c>
      <c r="P1116" s="198" t="s">
        <v>5690</v>
      </c>
    </row>
    <row r="1117" spans="1:16" ht="18.75" hidden="1">
      <c r="A1117" s="50" t="s">
        <v>4027</v>
      </c>
      <c r="B1117" s="50" t="s">
        <v>4177</v>
      </c>
      <c r="C1117" s="50" t="s">
        <v>4239</v>
      </c>
      <c r="D1117" s="50" t="s">
        <v>3937</v>
      </c>
      <c r="E1117" s="12">
        <v>95</v>
      </c>
      <c r="F1117" s="49">
        <v>540125</v>
      </c>
      <c r="G1117" s="67" t="s">
        <v>5607</v>
      </c>
      <c r="H1117" s="14" t="s">
        <v>5601</v>
      </c>
      <c r="I1117" s="14" t="s">
        <v>2458</v>
      </c>
      <c r="J1117" s="33" t="s">
        <v>7110</v>
      </c>
      <c r="K1117" s="33" t="s">
        <v>4307</v>
      </c>
      <c r="L1117" s="68">
        <v>0</v>
      </c>
      <c r="M1117" s="68" t="s">
        <v>8915</v>
      </c>
      <c r="N1117" s="68">
        <v>0</v>
      </c>
      <c r="O1117" s="68">
        <v>0</v>
      </c>
      <c r="P1117" s="198" t="s">
        <v>5690</v>
      </c>
    </row>
    <row r="1118" spans="1:16" ht="18.75" hidden="1">
      <c r="A1118" s="50" t="s">
        <v>4033</v>
      </c>
      <c r="B1118" s="50" t="s">
        <v>4176</v>
      </c>
      <c r="C1118" s="50" t="s">
        <v>4222</v>
      </c>
      <c r="D1118" s="50" t="s">
        <v>3934</v>
      </c>
      <c r="E1118" s="12">
        <v>95</v>
      </c>
      <c r="F1118" s="49">
        <v>989570</v>
      </c>
      <c r="G1118" s="67" t="s">
        <v>5616</v>
      </c>
      <c r="H1118" s="14" t="s">
        <v>5601</v>
      </c>
      <c r="I1118" s="14" t="s">
        <v>2458</v>
      </c>
      <c r="J1118" s="33" t="s">
        <v>7110</v>
      </c>
      <c r="K1118" s="33" t="s">
        <v>4307</v>
      </c>
      <c r="L1118" s="68">
        <v>0</v>
      </c>
      <c r="M1118" s="68" t="s">
        <v>8915</v>
      </c>
      <c r="N1118" s="68">
        <v>0</v>
      </c>
      <c r="O1118" s="68">
        <v>0</v>
      </c>
      <c r="P1118" s="198" t="s">
        <v>5701</v>
      </c>
    </row>
    <row r="1119" spans="1:16" ht="18.75" hidden="1">
      <c r="A1119" s="50" t="s">
        <v>4034</v>
      </c>
      <c r="B1119" s="50" t="s">
        <v>4180</v>
      </c>
      <c r="C1119" s="50" t="s">
        <v>4240</v>
      </c>
      <c r="D1119" s="50" t="s">
        <v>3934</v>
      </c>
      <c r="E1119" s="12">
        <v>95</v>
      </c>
      <c r="F1119" s="49">
        <v>1000000</v>
      </c>
      <c r="G1119" s="67" t="s">
        <v>5607</v>
      </c>
      <c r="H1119" s="14" t="s">
        <v>5601</v>
      </c>
      <c r="I1119" s="14" t="s">
        <v>2458</v>
      </c>
      <c r="J1119" s="33" t="s">
        <v>7110</v>
      </c>
      <c r="K1119" s="33" t="s">
        <v>4307</v>
      </c>
      <c r="L1119" s="68">
        <v>0</v>
      </c>
      <c r="M1119" s="68" t="s">
        <v>8915</v>
      </c>
      <c r="N1119" s="68">
        <v>0</v>
      </c>
      <c r="O1119" s="68">
        <v>0</v>
      </c>
      <c r="P1119" s="198" t="s">
        <v>5690</v>
      </c>
    </row>
    <row r="1120" spans="1:16" ht="18.75" hidden="1">
      <c r="A1120" s="50" t="s">
        <v>4035</v>
      </c>
      <c r="B1120" s="50" t="s">
        <v>4177</v>
      </c>
      <c r="C1120" s="50" t="s">
        <v>4192</v>
      </c>
      <c r="D1120" s="50" t="s">
        <v>4184</v>
      </c>
      <c r="E1120" s="12">
        <v>95</v>
      </c>
      <c r="F1120" s="49">
        <v>949000</v>
      </c>
      <c r="G1120" s="67" t="s">
        <v>5607</v>
      </c>
      <c r="H1120" s="14" t="s">
        <v>5601</v>
      </c>
      <c r="I1120" s="14" t="s">
        <v>2458</v>
      </c>
      <c r="J1120" s="33" t="s">
        <v>7110</v>
      </c>
      <c r="K1120" s="33" t="s">
        <v>4307</v>
      </c>
      <c r="L1120" s="68">
        <v>0</v>
      </c>
      <c r="M1120" s="68" t="s">
        <v>8915</v>
      </c>
      <c r="N1120" s="68">
        <v>0</v>
      </c>
      <c r="O1120" s="68">
        <v>0</v>
      </c>
      <c r="P1120" s="198" t="s">
        <v>5690</v>
      </c>
    </row>
    <row r="1121" spans="1:16" ht="18.75" hidden="1">
      <c r="A1121" s="50" t="s">
        <v>4036</v>
      </c>
      <c r="B1121" s="50" t="s">
        <v>4177</v>
      </c>
      <c r="C1121" s="50" t="s">
        <v>4241</v>
      </c>
      <c r="D1121" s="50" t="s">
        <v>4184</v>
      </c>
      <c r="E1121" s="12">
        <v>95</v>
      </c>
      <c r="F1121" s="49">
        <v>1800</v>
      </c>
      <c r="G1121" s="67" t="s">
        <v>5607</v>
      </c>
      <c r="H1121" s="14" t="s">
        <v>5601</v>
      </c>
      <c r="I1121" s="14" t="s">
        <v>2458</v>
      </c>
      <c r="J1121" s="33" t="s">
        <v>7110</v>
      </c>
      <c r="K1121" s="33" t="s">
        <v>4307</v>
      </c>
      <c r="L1121" s="68">
        <v>0</v>
      </c>
      <c r="M1121" s="68" t="s">
        <v>8915</v>
      </c>
      <c r="N1121" s="68">
        <v>0</v>
      </c>
      <c r="O1121" s="68">
        <v>0</v>
      </c>
      <c r="P1121" s="198" t="s">
        <v>5690</v>
      </c>
    </row>
    <row r="1122" spans="1:16" ht="18.75" hidden="1">
      <c r="A1122" s="50" t="s">
        <v>4034</v>
      </c>
      <c r="B1122" s="50" t="s">
        <v>4180</v>
      </c>
      <c r="C1122" s="50" t="s">
        <v>4237</v>
      </c>
      <c r="D1122" s="50" t="s">
        <v>3934</v>
      </c>
      <c r="E1122" s="12">
        <v>95</v>
      </c>
      <c r="F1122" s="49">
        <v>473775</v>
      </c>
      <c r="G1122" s="67" t="s">
        <v>5607</v>
      </c>
      <c r="H1122" s="14" t="s">
        <v>5601</v>
      </c>
      <c r="I1122" s="14" t="s">
        <v>2458</v>
      </c>
      <c r="J1122" s="33" t="s">
        <v>7110</v>
      </c>
      <c r="K1122" s="33" t="s">
        <v>4307</v>
      </c>
      <c r="L1122" s="68">
        <v>0</v>
      </c>
      <c r="M1122" s="68" t="s">
        <v>8915</v>
      </c>
      <c r="N1122" s="68">
        <v>0</v>
      </c>
      <c r="O1122" s="68">
        <v>0</v>
      </c>
      <c r="P1122" s="198" t="s">
        <v>5690</v>
      </c>
    </row>
    <row r="1123" spans="1:16" ht="18.75" hidden="1">
      <c r="A1123" s="50" t="s">
        <v>4037</v>
      </c>
      <c r="B1123" s="50" t="s">
        <v>4180</v>
      </c>
      <c r="C1123" s="50" t="s">
        <v>4242</v>
      </c>
      <c r="D1123" s="50" t="s">
        <v>3933</v>
      </c>
      <c r="E1123" s="12">
        <v>95</v>
      </c>
      <c r="F1123" s="49">
        <v>506475</v>
      </c>
      <c r="G1123" s="67" t="s">
        <v>5607</v>
      </c>
      <c r="H1123" s="14" t="s">
        <v>5601</v>
      </c>
      <c r="I1123" s="14" t="s">
        <v>2458</v>
      </c>
      <c r="J1123" s="33" t="s">
        <v>7110</v>
      </c>
      <c r="K1123" s="33" t="s">
        <v>4307</v>
      </c>
      <c r="L1123" s="68">
        <v>0</v>
      </c>
      <c r="M1123" s="68" t="s">
        <v>8915</v>
      </c>
      <c r="N1123" s="68">
        <v>0</v>
      </c>
      <c r="O1123" s="68">
        <v>0</v>
      </c>
      <c r="P1123" s="198" t="s">
        <v>5690</v>
      </c>
    </row>
    <row r="1124" spans="1:16" ht="18.75" hidden="1">
      <c r="A1124" s="50" t="s">
        <v>4037</v>
      </c>
      <c r="B1124" s="50" t="s">
        <v>4180</v>
      </c>
      <c r="C1124" s="50" t="s">
        <v>4243</v>
      </c>
      <c r="D1124" s="50" t="s">
        <v>3933</v>
      </c>
      <c r="E1124" s="12">
        <v>95</v>
      </c>
      <c r="F1124" s="49">
        <v>489475</v>
      </c>
      <c r="G1124" s="67" t="s">
        <v>5607</v>
      </c>
      <c r="H1124" s="14" t="s">
        <v>5601</v>
      </c>
      <c r="I1124" s="14" t="s">
        <v>2458</v>
      </c>
      <c r="J1124" s="33" t="s">
        <v>7110</v>
      </c>
      <c r="K1124" s="33" t="s">
        <v>4307</v>
      </c>
      <c r="L1124" s="68">
        <v>0</v>
      </c>
      <c r="M1124" s="68" t="s">
        <v>8915</v>
      </c>
      <c r="N1124" s="68">
        <v>0</v>
      </c>
      <c r="O1124" s="68">
        <v>0</v>
      </c>
      <c r="P1124" s="198" t="s">
        <v>5690</v>
      </c>
    </row>
    <row r="1125" spans="1:16" ht="18.75" hidden="1">
      <c r="A1125" s="50" t="s">
        <v>4038</v>
      </c>
      <c r="B1125" s="50" t="s">
        <v>4177</v>
      </c>
      <c r="C1125" s="50" t="s">
        <v>4244</v>
      </c>
      <c r="D1125" s="50" t="s">
        <v>3934</v>
      </c>
      <c r="E1125" s="12">
        <v>95</v>
      </c>
      <c r="F1125" s="49">
        <v>78100</v>
      </c>
      <c r="G1125" s="67" t="s">
        <v>5616</v>
      </c>
      <c r="H1125" s="14" t="s">
        <v>5601</v>
      </c>
      <c r="I1125" s="14" t="s">
        <v>2458</v>
      </c>
      <c r="J1125" s="33" t="s">
        <v>7110</v>
      </c>
      <c r="K1125" s="33" t="s">
        <v>4307</v>
      </c>
      <c r="L1125" s="68">
        <v>0</v>
      </c>
      <c r="M1125" s="68" t="s">
        <v>8915</v>
      </c>
      <c r="N1125" s="68">
        <v>0</v>
      </c>
      <c r="O1125" s="68">
        <v>0</v>
      </c>
      <c r="P1125" s="198" t="s">
        <v>5661</v>
      </c>
    </row>
    <row r="1126" spans="1:16" ht="18.75" hidden="1">
      <c r="A1126" s="50" t="s">
        <v>4039</v>
      </c>
      <c r="B1126" s="50" t="s">
        <v>4180</v>
      </c>
      <c r="C1126" s="50" t="s">
        <v>4219</v>
      </c>
      <c r="D1126" s="50" t="s">
        <v>3900</v>
      </c>
      <c r="E1126" s="12">
        <v>95</v>
      </c>
      <c r="F1126" s="49">
        <v>139865</v>
      </c>
      <c r="G1126" s="67" t="s">
        <v>5607</v>
      </c>
      <c r="H1126" s="14" t="s">
        <v>5601</v>
      </c>
      <c r="I1126" s="14" t="s">
        <v>2458</v>
      </c>
      <c r="J1126" s="33" t="s">
        <v>7110</v>
      </c>
      <c r="K1126" s="33" t="s">
        <v>4307</v>
      </c>
      <c r="L1126" s="68">
        <v>0</v>
      </c>
      <c r="M1126" s="68" t="s">
        <v>8915</v>
      </c>
      <c r="N1126" s="68">
        <v>0</v>
      </c>
      <c r="O1126" s="68">
        <v>0</v>
      </c>
      <c r="P1126" s="198" t="s">
        <v>5690</v>
      </c>
    </row>
    <row r="1127" spans="1:16" ht="18.75" hidden="1">
      <c r="A1127" s="50" t="s">
        <v>4040</v>
      </c>
      <c r="B1127" s="50" t="s">
        <v>4178</v>
      </c>
      <c r="C1127" s="50" t="s">
        <v>4245</v>
      </c>
      <c r="D1127" s="50" t="s">
        <v>3935</v>
      </c>
      <c r="E1127" s="12">
        <v>95</v>
      </c>
      <c r="F1127" s="49">
        <v>391040</v>
      </c>
      <c r="G1127" s="67" t="s">
        <v>5604</v>
      </c>
      <c r="H1127" s="14" t="s">
        <v>5601</v>
      </c>
      <c r="I1127" s="14" t="s">
        <v>2458</v>
      </c>
      <c r="J1127" s="33" t="s">
        <v>7110</v>
      </c>
      <c r="K1127" s="33" t="s">
        <v>4307</v>
      </c>
      <c r="L1127" s="68">
        <v>0</v>
      </c>
      <c r="M1127" s="68" t="s">
        <v>8915</v>
      </c>
      <c r="N1127" s="68">
        <v>0</v>
      </c>
      <c r="O1127" s="68">
        <v>0</v>
      </c>
      <c r="P1127" s="198" t="s">
        <v>5649</v>
      </c>
    </row>
    <row r="1128" spans="1:16" ht="18.75" hidden="1">
      <c r="A1128" s="50" t="s">
        <v>4041</v>
      </c>
      <c r="B1128" s="50" t="s">
        <v>4181</v>
      </c>
      <c r="C1128" s="50" t="s">
        <v>4246</v>
      </c>
      <c r="D1128" s="50" t="s">
        <v>3935</v>
      </c>
      <c r="E1128" s="12">
        <v>95</v>
      </c>
      <c r="F1128" s="49">
        <v>501875</v>
      </c>
      <c r="G1128" s="67" t="s">
        <v>5631</v>
      </c>
      <c r="H1128" s="14" t="s">
        <v>5601</v>
      </c>
      <c r="I1128" s="14" t="s">
        <v>2458</v>
      </c>
      <c r="J1128" s="33" t="s">
        <v>7110</v>
      </c>
      <c r="K1128" s="33" t="s">
        <v>4307</v>
      </c>
      <c r="L1128" s="68">
        <v>0</v>
      </c>
      <c r="M1128" s="68" t="s">
        <v>8915</v>
      </c>
      <c r="N1128" s="68">
        <v>0</v>
      </c>
      <c r="O1128" s="68">
        <v>0</v>
      </c>
      <c r="P1128" s="197" t="s">
        <v>5668</v>
      </c>
    </row>
    <row r="1129" spans="1:16" ht="18.75" hidden="1">
      <c r="A1129" s="50" t="s">
        <v>4042</v>
      </c>
      <c r="B1129" s="50" t="s">
        <v>4177</v>
      </c>
      <c r="C1129" s="50" t="s">
        <v>4247</v>
      </c>
      <c r="D1129" s="50" t="s">
        <v>3934</v>
      </c>
      <c r="E1129" s="12">
        <v>95</v>
      </c>
      <c r="F1129" s="49">
        <v>728980</v>
      </c>
      <c r="G1129" s="67" t="s">
        <v>5616</v>
      </c>
      <c r="H1129" s="14" t="s">
        <v>5601</v>
      </c>
      <c r="I1129" s="14" t="s">
        <v>2458</v>
      </c>
      <c r="J1129" s="33" t="s">
        <v>7110</v>
      </c>
      <c r="K1129" s="33" t="s">
        <v>4307</v>
      </c>
      <c r="L1129" s="68">
        <v>0</v>
      </c>
      <c r="M1129" s="68" t="s">
        <v>8915</v>
      </c>
      <c r="N1129" s="68">
        <v>0</v>
      </c>
      <c r="O1129" s="68">
        <v>0</v>
      </c>
      <c r="P1129" s="198" t="s">
        <v>5701</v>
      </c>
    </row>
    <row r="1130" spans="1:16" ht="18.75" hidden="1">
      <c r="A1130" s="50" t="s">
        <v>4042</v>
      </c>
      <c r="B1130" s="50" t="s">
        <v>4177</v>
      </c>
      <c r="C1130" s="50" t="s">
        <v>4222</v>
      </c>
      <c r="D1130" s="50" t="s">
        <v>3934</v>
      </c>
      <c r="E1130" s="12">
        <v>95</v>
      </c>
      <c r="F1130" s="49">
        <v>3842</v>
      </c>
      <c r="G1130" s="67" t="s">
        <v>5616</v>
      </c>
      <c r="H1130" s="14" t="s">
        <v>5601</v>
      </c>
      <c r="I1130" s="14" t="s">
        <v>2458</v>
      </c>
      <c r="J1130" s="33" t="s">
        <v>7110</v>
      </c>
      <c r="K1130" s="33" t="s">
        <v>4307</v>
      </c>
      <c r="L1130" s="68">
        <v>0</v>
      </c>
      <c r="M1130" s="68" t="s">
        <v>8915</v>
      </c>
      <c r="N1130" s="68">
        <v>0</v>
      </c>
      <c r="O1130" s="68">
        <v>0</v>
      </c>
      <c r="P1130" s="198" t="s">
        <v>5701</v>
      </c>
    </row>
    <row r="1131" spans="1:16" ht="18.75" hidden="1">
      <c r="A1131" s="50" t="s">
        <v>4043</v>
      </c>
      <c r="B1131" s="50" t="s">
        <v>4176</v>
      </c>
      <c r="C1131" s="50" t="s">
        <v>4248</v>
      </c>
      <c r="D1131" s="50" t="s">
        <v>3854</v>
      </c>
      <c r="E1131" s="12">
        <v>95</v>
      </c>
      <c r="F1131" s="49">
        <v>997950</v>
      </c>
      <c r="G1131" s="67" t="s">
        <v>5609</v>
      </c>
      <c r="H1131" s="14" t="s">
        <v>5601</v>
      </c>
      <c r="I1131" s="14" t="s">
        <v>2458</v>
      </c>
      <c r="J1131" s="33" t="s">
        <v>7110</v>
      </c>
      <c r="K1131" s="33" t="s">
        <v>4307</v>
      </c>
      <c r="L1131" s="68">
        <v>0</v>
      </c>
      <c r="M1131" s="68" t="s">
        <v>8915</v>
      </c>
      <c r="N1131" s="68">
        <v>0</v>
      </c>
      <c r="O1131" s="68">
        <v>0</v>
      </c>
      <c r="P1131" s="198" t="s">
        <v>5688</v>
      </c>
    </row>
    <row r="1132" spans="1:16" ht="18.75" hidden="1">
      <c r="A1132" s="50" t="s">
        <v>4044</v>
      </c>
      <c r="B1132" s="50" t="s">
        <v>4177</v>
      </c>
      <c r="C1132" s="50" t="s">
        <v>4226</v>
      </c>
      <c r="D1132" s="50" t="s">
        <v>3664</v>
      </c>
      <c r="E1132" s="12">
        <v>95</v>
      </c>
      <c r="F1132" s="49">
        <v>583914</v>
      </c>
      <c r="G1132" s="67" t="s">
        <v>5652</v>
      </c>
      <c r="H1132" s="14" t="s">
        <v>5601</v>
      </c>
      <c r="I1132" s="14" t="s">
        <v>2458</v>
      </c>
      <c r="J1132" s="33" t="s">
        <v>7110</v>
      </c>
      <c r="K1132" s="33" t="s">
        <v>4307</v>
      </c>
      <c r="L1132" s="68">
        <v>0</v>
      </c>
      <c r="M1132" s="68" t="s">
        <v>8915</v>
      </c>
      <c r="N1132" s="68">
        <v>0</v>
      </c>
      <c r="O1132" s="68">
        <v>0</v>
      </c>
      <c r="P1132" s="198" t="s">
        <v>5653</v>
      </c>
    </row>
    <row r="1133" spans="1:16" ht="18.75" hidden="1">
      <c r="A1133" s="50" t="s">
        <v>4045</v>
      </c>
      <c r="B1133" s="50" t="s">
        <v>4180</v>
      </c>
      <c r="C1133" s="50" t="s">
        <v>4248</v>
      </c>
      <c r="D1133" s="50" t="s">
        <v>3854</v>
      </c>
      <c r="E1133" s="12">
        <v>95</v>
      </c>
      <c r="F1133" s="49">
        <v>2050</v>
      </c>
      <c r="G1133" s="67" t="s">
        <v>5609</v>
      </c>
      <c r="H1133" s="14" t="s">
        <v>5601</v>
      </c>
      <c r="I1133" s="14" t="s">
        <v>2458</v>
      </c>
      <c r="J1133" s="33" t="s">
        <v>7110</v>
      </c>
      <c r="K1133" s="33" t="s">
        <v>4307</v>
      </c>
      <c r="L1133" s="68">
        <v>0</v>
      </c>
      <c r="M1133" s="68" t="s">
        <v>8915</v>
      </c>
      <c r="N1133" s="68">
        <v>0</v>
      </c>
      <c r="O1133" s="68">
        <v>0</v>
      </c>
      <c r="P1133" s="198" t="s">
        <v>5688</v>
      </c>
    </row>
    <row r="1134" spans="1:16" ht="18.75" hidden="1">
      <c r="A1134" s="50" t="s">
        <v>4034</v>
      </c>
      <c r="B1134" s="50" t="s">
        <v>4180</v>
      </c>
      <c r="C1134" s="50" t="s">
        <v>4243</v>
      </c>
      <c r="D1134" s="50" t="s">
        <v>3933</v>
      </c>
      <c r="E1134" s="12">
        <v>95</v>
      </c>
      <c r="F1134" s="49">
        <v>510525</v>
      </c>
      <c r="G1134" s="67" t="s">
        <v>5607</v>
      </c>
      <c r="H1134" s="14" t="s">
        <v>5601</v>
      </c>
      <c r="I1134" s="14" t="s">
        <v>2458</v>
      </c>
      <c r="J1134" s="33" t="s">
        <v>7110</v>
      </c>
      <c r="K1134" s="33" t="s">
        <v>4307</v>
      </c>
      <c r="L1134" s="68">
        <v>0</v>
      </c>
      <c r="M1134" s="68" t="s">
        <v>8915</v>
      </c>
      <c r="N1134" s="68">
        <v>0</v>
      </c>
      <c r="O1134" s="68">
        <v>0</v>
      </c>
      <c r="P1134" s="198" t="s">
        <v>5690</v>
      </c>
    </row>
    <row r="1135" spans="1:16" ht="18.75" hidden="1">
      <c r="A1135" s="50" t="s">
        <v>4045</v>
      </c>
      <c r="B1135" s="50" t="s">
        <v>4180</v>
      </c>
      <c r="C1135" s="50" t="s">
        <v>4242</v>
      </c>
      <c r="D1135" s="50" t="s">
        <v>3933</v>
      </c>
      <c r="E1135" s="12">
        <v>95</v>
      </c>
      <c r="F1135" s="49">
        <v>493525</v>
      </c>
      <c r="G1135" s="67" t="s">
        <v>5607</v>
      </c>
      <c r="H1135" s="14" t="s">
        <v>5601</v>
      </c>
      <c r="I1135" s="14" t="s">
        <v>2458</v>
      </c>
      <c r="J1135" s="33" t="s">
        <v>7110</v>
      </c>
      <c r="K1135" s="33" t="s">
        <v>4307</v>
      </c>
      <c r="L1135" s="68">
        <v>0</v>
      </c>
      <c r="M1135" s="68" t="s">
        <v>8915</v>
      </c>
      <c r="N1135" s="68">
        <v>0</v>
      </c>
      <c r="O1135" s="68">
        <v>0</v>
      </c>
      <c r="P1135" s="198" t="s">
        <v>5690</v>
      </c>
    </row>
    <row r="1136" spans="1:16" ht="18.75" hidden="1">
      <c r="A1136" s="50" t="s">
        <v>4046</v>
      </c>
      <c r="B1136" s="50" t="s">
        <v>4182</v>
      </c>
      <c r="C1136" s="50" t="s">
        <v>4207</v>
      </c>
      <c r="D1136" s="50" t="s">
        <v>3934</v>
      </c>
      <c r="E1136" s="12">
        <v>95</v>
      </c>
      <c r="F1136" s="49">
        <v>8320</v>
      </c>
      <c r="G1136" s="67" t="s">
        <v>5616</v>
      </c>
      <c r="H1136" s="14" t="s">
        <v>5601</v>
      </c>
      <c r="I1136" s="14" t="s">
        <v>2458</v>
      </c>
      <c r="J1136" s="33" t="s">
        <v>7110</v>
      </c>
      <c r="K1136" s="33" t="s">
        <v>4307</v>
      </c>
      <c r="L1136" s="68">
        <v>0</v>
      </c>
      <c r="M1136" s="68" t="s">
        <v>8915</v>
      </c>
      <c r="N1136" s="68">
        <v>0</v>
      </c>
      <c r="O1136" s="68">
        <v>0</v>
      </c>
      <c r="P1136" s="198" t="s">
        <v>5701</v>
      </c>
    </row>
    <row r="1137" spans="1:16" ht="18.75" hidden="1">
      <c r="A1137" s="50" t="s">
        <v>4047</v>
      </c>
      <c r="B1137" s="50" t="s">
        <v>4180</v>
      </c>
      <c r="C1137" s="50" t="s">
        <v>4246</v>
      </c>
      <c r="D1137" s="50" t="s">
        <v>3935</v>
      </c>
      <c r="E1137" s="12">
        <v>95</v>
      </c>
      <c r="F1137" s="49">
        <v>499590</v>
      </c>
      <c r="G1137" s="67" t="s">
        <v>5631</v>
      </c>
      <c r="H1137" s="14" t="s">
        <v>5601</v>
      </c>
      <c r="I1137" s="14" t="s">
        <v>2458</v>
      </c>
      <c r="J1137" s="33" t="s">
        <v>7110</v>
      </c>
      <c r="K1137" s="33" t="s">
        <v>4307</v>
      </c>
      <c r="L1137" s="68">
        <v>0</v>
      </c>
      <c r="M1137" s="68" t="s">
        <v>8915</v>
      </c>
      <c r="N1137" s="68">
        <v>0</v>
      </c>
      <c r="O1137" s="68">
        <v>0</v>
      </c>
      <c r="P1137" s="197" t="s">
        <v>5668</v>
      </c>
    </row>
    <row r="1138" spans="1:16" ht="18.75" hidden="1">
      <c r="A1138" s="50" t="s">
        <v>4048</v>
      </c>
      <c r="B1138" s="50" t="s">
        <v>4183</v>
      </c>
      <c r="C1138" s="50" t="s">
        <v>4231</v>
      </c>
      <c r="D1138" s="50" t="s">
        <v>3934</v>
      </c>
      <c r="E1138" s="12">
        <v>95</v>
      </c>
      <c r="F1138" s="49">
        <v>998250</v>
      </c>
      <c r="G1138" s="67" t="s">
        <v>5702</v>
      </c>
      <c r="H1138" s="14" t="s">
        <v>5601</v>
      </c>
      <c r="I1138" s="14" t="s">
        <v>2458</v>
      </c>
      <c r="J1138" s="33" t="s">
        <v>7110</v>
      </c>
      <c r="K1138" s="33" t="s">
        <v>4307</v>
      </c>
      <c r="L1138" s="68">
        <v>0</v>
      </c>
      <c r="M1138" s="68" t="s">
        <v>8915</v>
      </c>
      <c r="N1138" s="68">
        <v>0</v>
      </c>
      <c r="O1138" s="68">
        <v>0</v>
      </c>
      <c r="P1138" s="198" t="s">
        <v>5703</v>
      </c>
    </row>
    <row r="1139" spans="1:16" ht="18.75" hidden="1">
      <c r="A1139" s="50" t="s">
        <v>4035</v>
      </c>
      <c r="B1139" s="50" t="s">
        <v>4177</v>
      </c>
      <c r="C1139" s="50" t="s">
        <v>4236</v>
      </c>
      <c r="D1139" s="50" t="s">
        <v>4184</v>
      </c>
      <c r="E1139" s="12">
        <v>95</v>
      </c>
      <c r="F1139" s="49">
        <v>48260</v>
      </c>
      <c r="G1139" s="67" t="s">
        <v>5607</v>
      </c>
      <c r="H1139" s="14" t="s">
        <v>5601</v>
      </c>
      <c r="I1139" s="14" t="s">
        <v>2458</v>
      </c>
      <c r="J1139" s="33" t="s">
        <v>7110</v>
      </c>
      <c r="K1139" s="33" t="s">
        <v>4307</v>
      </c>
      <c r="L1139" s="68">
        <v>0</v>
      </c>
      <c r="M1139" s="68" t="s">
        <v>8915</v>
      </c>
      <c r="N1139" s="68">
        <v>0</v>
      </c>
      <c r="O1139" s="68">
        <v>0</v>
      </c>
      <c r="P1139" s="198" t="s">
        <v>5690</v>
      </c>
    </row>
    <row r="1140" spans="1:16" ht="18.75" hidden="1">
      <c r="A1140" s="50" t="s">
        <v>4049</v>
      </c>
      <c r="B1140" s="50" t="s">
        <v>4179</v>
      </c>
      <c r="C1140" s="50" t="s">
        <v>4223</v>
      </c>
      <c r="D1140" s="50" t="s">
        <v>4184</v>
      </c>
      <c r="E1140" s="12">
        <v>95</v>
      </c>
      <c r="F1140" s="49">
        <v>181690</v>
      </c>
      <c r="G1140" s="67" t="s">
        <v>5699</v>
      </c>
      <c r="H1140" s="14" t="s">
        <v>5601</v>
      </c>
      <c r="I1140" s="14" t="s">
        <v>2458</v>
      </c>
      <c r="J1140" s="33" t="s">
        <v>7110</v>
      </c>
      <c r="K1140" s="33" t="s">
        <v>4307</v>
      </c>
      <c r="L1140" s="68">
        <v>0</v>
      </c>
      <c r="M1140" s="68" t="s">
        <v>8915</v>
      </c>
      <c r="N1140" s="68">
        <v>0</v>
      </c>
      <c r="O1140" s="68">
        <v>0</v>
      </c>
      <c r="P1140" s="198" t="s">
        <v>5707</v>
      </c>
    </row>
    <row r="1141" spans="1:16" ht="18.75" hidden="1">
      <c r="A1141" s="50" t="s">
        <v>4050</v>
      </c>
      <c r="B1141" s="50" t="s">
        <v>4179</v>
      </c>
      <c r="C1141" s="50" t="s">
        <v>4246</v>
      </c>
      <c r="D1141" s="50" t="s">
        <v>3935</v>
      </c>
      <c r="E1141" s="12">
        <v>95</v>
      </c>
      <c r="F1141" s="49">
        <v>117407</v>
      </c>
      <c r="G1141" s="67" t="s">
        <v>5631</v>
      </c>
      <c r="H1141" s="14" t="s">
        <v>5601</v>
      </c>
      <c r="I1141" s="14" t="s">
        <v>2458</v>
      </c>
      <c r="J1141" s="33" t="s">
        <v>7110</v>
      </c>
      <c r="K1141" s="33" t="s">
        <v>4307</v>
      </c>
      <c r="L1141" s="68">
        <v>0</v>
      </c>
      <c r="M1141" s="68" t="s">
        <v>8915</v>
      </c>
      <c r="N1141" s="68">
        <v>0</v>
      </c>
      <c r="O1141" s="68">
        <v>0</v>
      </c>
      <c r="P1141" s="197" t="s">
        <v>5668</v>
      </c>
    </row>
    <row r="1142" spans="1:16" ht="18.75" hidden="1">
      <c r="A1142" s="50" t="s">
        <v>4050</v>
      </c>
      <c r="B1142" s="50" t="s">
        <v>4179</v>
      </c>
      <c r="C1142" s="50" t="s">
        <v>4195</v>
      </c>
      <c r="D1142" s="50" t="s">
        <v>3900</v>
      </c>
      <c r="E1142" s="12">
        <v>95</v>
      </c>
      <c r="F1142" s="49">
        <v>262353</v>
      </c>
      <c r="G1142" s="67" t="s">
        <v>5631</v>
      </c>
      <c r="H1142" s="14" t="s">
        <v>5601</v>
      </c>
      <c r="I1142" s="14" t="s">
        <v>2458</v>
      </c>
      <c r="J1142" s="33" t="s">
        <v>7110</v>
      </c>
      <c r="K1142" s="33" t="s">
        <v>4307</v>
      </c>
      <c r="L1142" s="68">
        <v>0</v>
      </c>
      <c r="M1142" s="68" t="s">
        <v>8915</v>
      </c>
      <c r="N1142" s="68">
        <v>0</v>
      </c>
      <c r="O1142" s="68">
        <v>0</v>
      </c>
      <c r="P1142" s="197" t="s">
        <v>5686</v>
      </c>
    </row>
    <row r="1143" spans="1:16" ht="18.75" hidden="1">
      <c r="A1143" s="50" t="s">
        <v>4051</v>
      </c>
      <c r="B1143" s="50" t="s">
        <v>4182</v>
      </c>
      <c r="C1143" s="50" t="s">
        <v>4249</v>
      </c>
      <c r="D1143" s="50" t="s">
        <v>4182</v>
      </c>
      <c r="E1143" s="12">
        <v>95</v>
      </c>
      <c r="F1143" s="49">
        <v>2790187</v>
      </c>
      <c r="G1143" s="67" t="s">
        <v>5604</v>
      </c>
      <c r="H1143" s="14" t="s">
        <v>5601</v>
      </c>
      <c r="I1143" s="14" t="s">
        <v>2458</v>
      </c>
      <c r="J1143" s="33" t="s">
        <v>7110</v>
      </c>
      <c r="K1143" s="33" t="s">
        <v>4307</v>
      </c>
      <c r="L1143" s="68">
        <v>0</v>
      </c>
      <c r="M1143" s="68" t="s">
        <v>8915</v>
      </c>
      <c r="N1143" s="68">
        <v>0</v>
      </c>
      <c r="O1143" s="68">
        <v>0</v>
      </c>
      <c r="P1143" s="198" t="s">
        <v>5691</v>
      </c>
    </row>
    <row r="1144" spans="1:16" ht="18.75" hidden="1">
      <c r="A1144" s="50" t="s">
        <v>4049</v>
      </c>
      <c r="B1144" s="50" t="s">
        <v>4179</v>
      </c>
      <c r="C1144" s="50" t="s">
        <v>4250</v>
      </c>
      <c r="D1144" s="50" t="s">
        <v>3933</v>
      </c>
      <c r="E1144" s="12">
        <v>95</v>
      </c>
      <c r="F1144" s="49">
        <v>309170</v>
      </c>
      <c r="G1144" s="67" t="s">
        <v>5699</v>
      </c>
      <c r="H1144" s="14" t="s">
        <v>5601</v>
      </c>
      <c r="I1144" s="14" t="s">
        <v>2458</v>
      </c>
      <c r="J1144" s="33" t="s">
        <v>7110</v>
      </c>
      <c r="K1144" s="33" t="s">
        <v>4307</v>
      </c>
      <c r="L1144" s="68">
        <v>0</v>
      </c>
      <c r="M1144" s="68" t="s">
        <v>8915</v>
      </c>
      <c r="N1144" s="68">
        <v>0</v>
      </c>
      <c r="O1144" s="68">
        <v>0</v>
      </c>
      <c r="P1144" s="198" t="s">
        <v>5700</v>
      </c>
    </row>
    <row r="1145" spans="1:16" ht="18.75" hidden="1">
      <c r="A1145" s="50" t="s">
        <v>4050</v>
      </c>
      <c r="B1145" s="50" t="s">
        <v>4179</v>
      </c>
      <c r="C1145" s="50" t="s">
        <v>4251</v>
      </c>
      <c r="D1145" s="50" t="s">
        <v>3825</v>
      </c>
      <c r="E1145" s="12">
        <v>95</v>
      </c>
      <c r="F1145" s="49">
        <v>122940</v>
      </c>
      <c r="G1145" s="67" t="s">
        <v>5616</v>
      </c>
      <c r="H1145" s="14" t="s">
        <v>5601</v>
      </c>
      <c r="I1145" s="14" t="s">
        <v>2458</v>
      </c>
      <c r="J1145" s="33" t="s">
        <v>7110</v>
      </c>
      <c r="K1145" s="33" t="s">
        <v>4307</v>
      </c>
      <c r="L1145" s="68">
        <v>0</v>
      </c>
      <c r="M1145" s="68" t="s">
        <v>8915</v>
      </c>
      <c r="N1145" s="68">
        <v>0</v>
      </c>
      <c r="O1145" s="68">
        <v>0</v>
      </c>
      <c r="P1145" s="198" t="s">
        <v>5661</v>
      </c>
    </row>
    <row r="1146" spans="1:16" ht="18.75" hidden="1">
      <c r="A1146" s="50" t="s">
        <v>4052</v>
      </c>
      <c r="B1146" s="50" t="s">
        <v>4176</v>
      </c>
      <c r="C1146" s="50" t="s">
        <v>4252</v>
      </c>
      <c r="D1146" s="50" t="s">
        <v>3935</v>
      </c>
      <c r="E1146" s="12">
        <v>95</v>
      </c>
      <c r="F1146" s="49">
        <v>5800</v>
      </c>
      <c r="G1146" s="67" t="s">
        <v>5604</v>
      </c>
      <c r="H1146" s="14" t="s">
        <v>5601</v>
      </c>
      <c r="I1146" s="14" t="s">
        <v>2458</v>
      </c>
      <c r="J1146" s="33" t="s">
        <v>7110</v>
      </c>
      <c r="K1146" s="33" t="s">
        <v>4307</v>
      </c>
      <c r="L1146" s="68">
        <v>0</v>
      </c>
      <c r="M1146" s="68" t="s">
        <v>8915</v>
      </c>
      <c r="N1146" s="68">
        <v>0</v>
      </c>
      <c r="O1146" s="68">
        <v>0</v>
      </c>
      <c r="P1146" s="198" t="s">
        <v>5649</v>
      </c>
    </row>
    <row r="1147" spans="1:16" ht="18.75" hidden="1">
      <c r="A1147" s="50" t="s">
        <v>4053</v>
      </c>
      <c r="B1147" s="50" t="s">
        <v>4177</v>
      </c>
      <c r="C1147" s="50" t="s">
        <v>4189</v>
      </c>
      <c r="D1147" s="50" t="s">
        <v>3937</v>
      </c>
      <c r="E1147" s="12">
        <v>95</v>
      </c>
      <c r="F1147" s="49">
        <v>984956</v>
      </c>
      <c r="G1147" s="67" t="s">
        <v>5604</v>
      </c>
      <c r="H1147" s="14" t="s">
        <v>5601</v>
      </c>
      <c r="I1147" s="14" t="s">
        <v>2458</v>
      </c>
      <c r="J1147" s="33" t="s">
        <v>7110</v>
      </c>
      <c r="K1147" s="33" t="s">
        <v>4307</v>
      </c>
      <c r="L1147" s="68">
        <v>0</v>
      </c>
      <c r="M1147" s="68" t="s">
        <v>8915</v>
      </c>
      <c r="N1147" s="68">
        <v>0</v>
      </c>
      <c r="O1147" s="68">
        <v>0</v>
      </c>
      <c r="P1147" s="198" t="s">
        <v>5676</v>
      </c>
    </row>
    <row r="1148" spans="1:16" ht="18.75" hidden="1">
      <c r="A1148" s="50" t="s">
        <v>4052</v>
      </c>
      <c r="B1148" s="50" t="s">
        <v>4176</v>
      </c>
      <c r="C1148" s="50" t="s">
        <v>4253</v>
      </c>
      <c r="D1148" s="50" t="s">
        <v>3826</v>
      </c>
      <c r="E1148" s="12">
        <v>95</v>
      </c>
      <c r="F1148" s="49">
        <v>62031</v>
      </c>
      <c r="G1148" s="67" t="s">
        <v>5604</v>
      </c>
      <c r="H1148" s="14" t="s">
        <v>5601</v>
      </c>
      <c r="I1148" s="14" t="s">
        <v>2458</v>
      </c>
      <c r="J1148" s="33" t="s">
        <v>7110</v>
      </c>
      <c r="K1148" s="33" t="s">
        <v>4307</v>
      </c>
      <c r="L1148" s="68">
        <v>0</v>
      </c>
      <c r="M1148" s="68" t="s">
        <v>8915</v>
      </c>
      <c r="N1148" s="68">
        <v>0</v>
      </c>
      <c r="O1148" s="68">
        <v>0</v>
      </c>
      <c r="P1148" s="198" t="s">
        <v>5643</v>
      </c>
    </row>
    <row r="1149" spans="1:16" ht="18.75" hidden="1">
      <c r="A1149" s="50" t="s">
        <v>4054</v>
      </c>
      <c r="B1149" s="50" t="s">
        <v>3937</v>
      </c>
      <c r="C1149" s="50" t="s">
        <v>4254</v>
      </c>
      <c r="D1149" s="50" t="s">
        <v>3715</v>
      </c>
      <c r="E1149" s="12">
        <v>95</v>
      </c>
      <c r="F1149" s="49">
        <v>190260</v>
      </c>
      <c r="G1149" s="67" t="s">
        <v>5616</v>
      </c>
      <c r="H1149" s="14" t="s">
        <v>5601</v>
      </c>
      <c r="I1149" s="14" t="s">
        <v>2458</v>
      </c>
      <c r="J1149" s="33" t="s">
        <v>7110</v>
      </c>
      <c r="K1149" s="33" t="s">
        <v>4307</v>
      </c>
      <c r="L1149" s="68">
        <v>0</v>
      </c>
      <c r="M1149" s="68" t="s">
        <v>8915</v>
      </c>
      <c r="N1149" s="68">
        <v>0</v>
      </c>
      <c r="O1149" s="68">
        <v>0</v>
      </c>
      <c r="P1149" s="198" t="s">
        <v>5661</v>
      </c>
    </row>
    <row r="1150" spans="1:16" ht="18.75" hidden="1">
      <c r="A1150" s="50" t="s">
        <v>4054</v>
      </c>
      <c r="B1150" s="50" t="s">
        <v>3937</v>
      </c>
      <c r="C1150" s="50" t="s">
        <v>4255</v>
      </c>
      <c r="D1150" s="50" t="s">
        <v>3457</v>
      </c>
      <c r="E1150" s="12">
        <v>95</v>
      </c>
      <c r="F1150" s="49">
        <v>8350</v>
      </c>
      <c r="G1150" s="67" t="s">
        <v>5611</v>
      </c>
      <c r="H1150" s="14" t="s">
        <v>5601</v>
      </c>
      <c r="I1150" s="14" t="s">
        <v>2458</v>
      </c>
      <c r="J1150" s="33" t="s">
        <v>7110</v>
      </c>
      <c r="K1150" s="33" t="s">
        <v>4307</v>
      </c>
      <c r="L1150" s="68">
        <v>0</v>
      </c>
      <c r="M1150" s="68" t="s">
        <v>8915</v>
      </c>
      <c r="N1150" s="68">
        <v>0</v>
      </c>
      <c r="O1150" s="68">
        <v>0</v>
      </c>
      <c r="P1150" s="198" t="s">
        <v>5630</v>
      </c>
    </row>
    <row r="1151" spans="1:16" ht="18.75" hidden="1">
      <c r="A1151" s="50" t="s">
        <v>4055</v>
      </c>
      <c r="B1151" s="50" t="s">
        <v>4182</v>
      </c>
      <c r="C1151" s="50" t="s">
        <v>4255</v>
      </c>
      <c r="D1151" s="50" t="s">
        <v>3457</v>
      </c>
      <c r="E1151" s="12">
        <v>95</v>
      </c>
      <c r="F1151" s="49">
        <v>91528</v>
      </c>
      <c r="G1151" s="67" t="s">
        <v>5611</v>
      </c>
      <c r="H1151" s="14" t="s">
        <v>5601</v>
      </c>
      <c r="I1151" s="14" t="s">
        <v>2458</v>
      </c>
      <c r="J1151" s="33" t="s">
        <v>7110</v>
      </c>
      <c r="K1151" s="33" t="s">
        <v>4307</v>
      </c>
      <c r="L1151" s="68">
        <v>0</v>
      </c>
      <c r="M1151" s="68" t="s">
        <v>8915</v>
      </c>
      <c r="N1151" s="68">
        <v>0</v>
      </c>
      <c r="O1151" s="68">
        <v>0</v>
      </c>
      <c r="P1151" s="198" t="s">
        <v>5630</v>
      </c>
    </row>
    <row r="1152" spans="1:16" ht="18.75" hidden="1">
      <c r="A1152" s="50" t="s">
        <v>4052</v>
      </c>
      <c r="B1152" s="50" t="s">
        <v>4176</v>
      </c>
      <c r="C1152" s="50" t="s">
        <v>3730</v>
      </c>
      <c r="D1152" s="50" t="s">
        <v>3667</v>
      </c>
      <c r="E1152" s="12">
        <v>95</v>
      </c>
      <c r="F1152" s="49">
        <v>1646</v>
      </c>
      <c r="G1152" s="67" t="s">
        <v>5604</v>
      </c>
      <c r="H1152" s="14" t="s">
        <v>5601</v>
      </c>
      <c r="I1152" s="14" t="s">
        <v>2458</v>
      </c>
      <c r="J1152" s="33" t="s">
        <v>7110</v>
      </c>
      <c r="K1152" s="33" t="s">
        <v>4307</v>
      </c>
      <c r="L1152" s="68">
        <v>0</v>
      </c>
      <c r="M1152" s="68" t="s">
        <v>8915</v>
      </c>
      <c r="N1152" s="68">
        <v>0</v>
      </c>
      <c r="O1152" s="68">
        <v>0</v>
      </c>
      <c r="P1152" s="198" t="s">
        <v>5649</v>
      </c>
    </row>
    <row r="1153" spans="1:16" ht="18.75" hidden="1">
      <c r="A1153" s="50" t="s">
        <v>4056</v>
      </c>
      <c r="B1153" s="50" t="s">
        <v>4184</v>
      </c>
      <c r="C1153" s="50" t="s">
        <v>4246</v>
      </c>
      <c r="D1153" s="50" t="s">
        <v>3935</v>
      </c>
      <c r="E1153" s="12">
        <v>95</v>
      </c>
      <c r="F1153" s="49">
        <v>496850</v>
      </c>
      <c r="G1153" s="67" t="s">
        <v>5631</v>
      </c>
      <c r="H1153" s="14" t="s">
        <v>5601</v>
      </c>
      <c r="I1153" s="14" t="s">
        <v>2458</v>
      </c>
      <c r="J1153" s="33" t="s">
        <v>7110</v>
      </c>
      <c r="K1153" s="33" t="s">
        <v>4307</v>
      </c>
      <c r="L1153" s="68">
        <v>0</v>
      </c>
      <c r="M1153" s="68" t="s">
        <v>8915</v>
      </c>
      <c r="N1153" s="68">
        <v>0</v>
      </c>
      <c r="O1153" s="68">
        <v>0</v>
      </c>
      <c r="P1153" s="197" t="s">
        <v>5668</v>
      </c>
    </row>
    <row r="1154" spans="1:16" ht="18.75" hidden="1">
      <c r="A1154" s="50" t="s">
        <v>4057</v>
      </c>
      <c r="B1154" s="50" t="s">
        <v>4177</v>
      </c>
      <c r="C1154" s="50" t="s">
        <v>4256</v>
      </c>
      <c r="D1154" s="50" t="s">
        <v>3831</v>
      </c>
      <c r="E1154" s="12">
        <v>95</v>
      </c>
      <c r="F1154" s="49">
        <v>300000</v>
      </c>
      <c r="G1154" s="67" t="s">
        <v>5611</v>
      </c>
      <c r="H1154" s="14" t="s">
        <v>5601</v>
      </c>
      <c r="I1154" s="14" t="s">
        <v>2458</v>
      </c>
      <c r="J1154" s="33" t="s">
        <v>7110</v>
      </c>
      <c r="K1154" s="33" t="s">
        <v>4307</v>
      </c>
      <c r="L1154" s="68">
        <v>0</v>
      </c>
      <c r="M1154" s="68" t="s">
        <v>8915</v>
      </c>
      <c r="N1154" s="68">
        <v>0</v>
      </c>
      <c r="O1154" s="68">
        <v>0</v>
      </c>
      <c r="P1154" s="198" t="s">
        <v>5659</v>
      </c>
    </row>
    <row r="1155" spans="1:16" ht="18.75" hidden="1">
      <c r="A1155" s="50" t="s">
        <v>4058</v>
      </c>
      <c r="B1155" s="50" t="s">
        <v>4180</v>
      </c>
      <c r="C1155" s="50" t="s">
        <v>4250</v>
      </c>
      <c r="D1155" s="50" t="s">
        <v>3933</v>
      </c>
      <c r="E1155" s="12">
        <v>95</v>
      </c>
      <c r="F1155" s="49">
        <v>990810</v>
      </c>
      <c r="G1155" s="67" t="s">
        <v>5699</v>
      </c>
      <c r="H1155" s="14" t="s">
        <v>5601</v>
      </c>
      <c r="I1155" s="14" t="s">
        <v>2458</v>
      </c>
      <c r="J1155" s="33" t="s">
        <v>7110</v>
      </c>
      <c r="K1155" s="33" t="s">
        <v>4307</v>
      </c>
      <c r="L1155" s="68">
        <v>0</v>
      </c>
      <c r="M1155" s="68" t="s">
        <v>8915</v>
      </c>
      <c r="N1155" s="68">
        <v>0</v>
      </c>
      <c r="O1155" s="68">
        <v>0</v>
      </c>
      <c r="P1155" s="198" t="s">
        <v>5700</v>
      </c>
    </row>
    <row r="1156" spans="1:16" ht="18.75" hidden="1">
      <c r="A1156" s="50" t="s">
        <v>4059</v>
      </c>
      <c r="B1156" s="50" t="s">
        <v>4180</v>
      </c>
      <c r="C1156" s="50" t="s">
        <v>4250</v>
      </c>
      <c r="D1156" s="50" t="s">
        <v>3933</v>
      </c>
      <c r="E1156" s="12">
        <v>95</v>
      </c>
      <c r="F1156" s="49">
        <v>980020</v>
      </c>
      <c r="G1156" s="67" t="s">
        <v>5699</v>
      </c>
      <c r="H1156" s="14" t="s">
        <v>5601</v>
      </c>
      <c r="I1156" s="14" t="s">
        <v>2458</v>
      </c>
      <c r="J1156" s="33" t="s">
        <v>7110</v>
      </c>
      <c r="K1156" s="33" t="s">
        <v>4307</v>
      </c>
      <c r="L1156" s="68">
        <v>0</v>
      </c>
      <c r="M1156" s="68" t="s">
        <v>8915</v>
      </c>
      <c r="N1156" s="68">
        <v>0</v>
      </c>
      <c r="O1156" s="68">
        <v>0</v>
      </c>
      <c r="P1156" s="198" t="s">
        <v>5700</v>
      </c>
    </row>
    <row r="1157" spans="1:16" ht="18.75" hidden="1">
      <c r="A1157" s="50" t="s">
        <v>4046</v>
      </c>
      <c r="B1157" s="50" t="s">
        <v>4182</v>
      </c>
      <c r="C1157" s="50" t="s">
        <v>3890</v>
      </c>
      <c r="D1157" s="50" t="s">
        <v>3664</v>
      </c>
      <c r="E1157" s="12">
        <v>95</v>
      </c>
      <c r="F1157" s="49">
        <v>91665</v>
      </c>
      <c r="G1157" s="67" t="s">
        <v>5652</v>
      </c>
      <c r="H1157" s="14" t="s">
        <v>5601</v>
      </c>
      <c r="I1157" s="14" t="s">
        <v>2458</v>
      </c>
      <c r="J1157" s="33" t="s">
        <v>7110</v>
      </c>
      <c r="K1157" s="33" t="s">
        <v>4307</v>
      </c>
      <c r="L1157" s="68">
        <v>0</v>
      </c>
      <c r="M1157" s="68" t="s">
        <v>8915</v>
      </c>
      <c r="N1157" s="68">
        <v>0</v>
      </c>
      <c r="O1157" s="68">
        <v>0</v>
      </c>
      <c r="P1157" s="198" t="s">
        <v>5653</v>
      </c>
    </row>
    <row r="1158" spans="1:16" ht="18.75" hidden="1">
      <c r="A1158" s="50" t="s">
        <v>4060</v>
      </c>
      <c r="B1158" s="50" t="s">
        <v>4178</v>
      </c>
      <c r="C1158" s="50" t="s">
        <v>4195</v>
      </c>
      <c r="D1158" s="50" t="s">
        <v>3900</v>
      </c>
      <c r="E1158" s="12">
        <v>95</v>
      </c>
      <c r="F1158" s="49">
        <v>502000</v>
      </c>
      <c r="G1158" s="67" t="s">
        <v>5631</v>
      </c>
      <c r="H1158" s="14" t="s">
        <v>5601</v>
      </c>
      <c r="I1158" s="14" t="s">
        <v>2458</v>
      </c>
      <c r="J1158" s="33" t="s">
        <v>7110</v>
      </c>
      <c r="K1158" s="33" t="s">
        <v>4307</v>
      </c>
      <c r="L1158" s="68">
        <v>0</v>
      </c>
      <c r="M1158" s="68" t="s">
        <v>8915</v>
      </c>
      <c r="N1158" s="68">
        <v>0</v>
      </c>
      <c r="O1158" s="68">
        <v>0</v>
      </c>
      <c r="P1158" s="197" t="s">
        <v>5686</v>
      </c>
    </row>
    <row r="1159" spans="1:16" ht="18.75" hidden="1">
      <c r="A1159" s="50" t="s">
        <v>4061</v>
      </c>
      <c r="B1159" s="50" t="s">
        <v>4177</v>
      </c>
      <c r="C1159" s="50" t="s">
        <v>4236</v>
      </c>
      <c r="D1159" s="50" t="s">
        <v>4184</v>
      </c>
      <c r="E1159" s="12">
        <v>95</v>
      </c>
      <c r="F1159" s="49">
        <v>497135</v>
      </c>
      <c r="G1159" s="67" t="s">
        <v>5607</v>
      </c>
      <c r="H1159" s="14" t="s">
        <v>5601</v>
      </c>
      <c r="I1159" s="14" t="s">
        <v>2458</v>
      </c>
      <c r="J1159" s="33" t="s">
        <v>7110</v>
      </c>
      <c r="K1159" s="33" t="s">
        <v>4307</v>
      </c>
      <c r="L1159" s="68">
        <v>0</v>
      </c>
      <c r="M1159" s="68" t="s">
        <v>8915</v>
      </c>
      <c r="N1159" s="68">
        <v>0</v>
      </c>
      <c r="O1159" s="68">
        <v>0</v>
      </c>
      <c r="P1159" s="198" t="s">
        <v>5690</v>
      </c>
    </row>
    <row r="1160" spans="1:16" ht="18.75" hidden="1">
      <c r="A1160" s="50" t="s">
        <v>4057</v>
      </c>
      <c r="B1160" s="50" t="s">
        <v>4177</v>
      </c>
      <c r="C1160" s="50" t="s">
        <v>4257</v>
      </c>
      <c r="D1160" s="50" t="s">
        <v>3723</v>
      </c>
      <c r="E1160" s="12">
        <v>95</v>
      </c>
      <c r="F1160" s="49">
        <v>51700</v>
      </c>
      <c r="G1160" s="67" t="s">
        <v>5611</v>
      </c>
      <c r="H1160" s="14" t="s">
        <v>5601</v>
      </c>
      <c r="I1160" s="14" t="s">
        <v>2458</v>
      </c>
      <c r="J1160" s="33" t="s">
        <v>7110</v>
      </c>
      <c r="K1160" s="33" t="s">
        <v>4307</v>
      </c>
      <c r="L1160" s="68">
        <v>0</v>
      </c>
      <c r="M1160" s="68" t="s">
        <v>8915</v>
      </c>
      <c r="N1160" s="68">
        <v>0</v>
      </c>
      <c r="O1160" s="68">
        <v>0</v>
      </c>
      <c r="P1160" s="198" t="s">
        <v>5659</v>
      </c>
    </row>
    <row r="1161" spans="1:16" ht="18.75" hidden="1">
      <c r="A1161" s="50" t="s">
        <v>4052</v>
      </c>
      <c r="B1161" s="50" t="s">
        <v>4176</v>
      </c>
      <c r="C1161" s="50" t="s">
        <v>4258</v>
      </c>
      <c r="D1161" s="50" t="s">
        <v>3826</v>
      </c>
      <c r="E1161" s="12">
        <v>95</v>
      </c>
      <c r="F1161" s="49">
        <v>74323</v>
      </c>
      <c r="G1161" s="67" t="s">
        <v>5604</v>
      </c>
      <c r="H1161" s="14" t="s">
        <v>5601</v>
      </c>
      <c r="I1161" s="14" t="s">
        <v>2458</v>
      </c>
      <c r="J1161" s="33" t="s">
        <v>7110</v>
      </c>
      <c r="K1161" s="33" t="s">
        <v>4307</v>
      </c>
      <c r="L1161" s="68">
        <v>0</v>
      </c>
      <c r="M1161" s="68" t="s">
        <v>8915</v>
      </c>
      <c r="N1161" s="68">
        <v>0</v>
      </c>
      <c r="O1161" s="68">
        <v>0</v>
      </c>
      <c r="P1161" s="198" t="s">
        <v>5628</v>
      </c>
    </row>
    <row r="1162" spans="1:16" ht="18.75" hidden="1">
      <c r="A1162" s="50" t="s">
        <v>4062</v>
      </c>
      <c r="B1162" s="50" t="s">
        <v>4178</v>
      </c>
      <c r="C1162" s="50" t="s">
        <v>4231</v>
      </c>
      <c r="D1162" s="50" t="s">
        <v>3934</v>
      </c>
      <c r="E1162" s="12">
        <v>95</v>
      </c>
      <c r="F1162" s="49">
        <v>489500</v>
      </c>
      <c r="G1162" s="67" t="s">
        <v>5702</v>
      </c>
      <c r="H1162" s="14" t="s">
        <v>5601</v>
      </c>
      <c r="I1162" s="14" t="s">
        <v>2458</v>
      </c>
      <c r="J1162" s="33" t="s">
        <v>7110</v>
      </c>
      <c r="K1162" s="33" t="s">
        <v>4307</v>
      </c>
      <c r="L1162" s="68">
        <v>0</v>
      </c>
      <c r="M1162" s="68" t="s">
        <v>8915</v>
      </c>
      <c r="N1162" s="68">
        <v>0</v>
      </c>
      <c r="O1162" s="68">
        <v>0</v>
      </c>
      <c r="P1162" s="198" t="s">
        <v>5703</v>
      </c>
    </row>
    <row r="1163" spans="1:16" ht="18.75" hidden="1">
      <c r="A1163" s="50" t="s">
        <v>4063</v>
      </c>
      <c r="B1163" s="50" t="s">
        <v>4180</v>
      </c>
      <c r="C1163" s="50" t="s">
        <v>4220</v>
      </c>
      <c r="D1163" s="50" t="s">
        <v>3933</v>
      </c>
      <c r="E1163" s="12">
        <v>95</v>
      </c>
      <c r="F1163" s="49">
        <v>491287</v>
      </c>
      <c r="G1163" s="67" t="s">
        <v>5696</v>
      </c>
      <c r="H1163" s="14" t="s">
        <v>5601</v>
      </c>
      <c r="I1163" s="14" t="s">
        <v>2458</v>
      </c>
      <c r="J1163" s="33" t="s">
        <v>7110</v>
      </c>
      <c r="K1163" s="33" t="s">
        <v>4307</v>
      </c>
      <c r="L1163" s="68">
        <v>0</v>
      </c>
      <c r="M1163" s="68" t="s">
        <v>8915</v>
      </c>
      <c r="N1163" s="68">
        <v>0</v>
      </c>
      <c r="O1163" s="68">
        <v>0</v>
      </c>
      <c r="P1163" s="198" t="s">
        <v>5697</v>
      </c>
    </row>
    <row r="1164" spans="1:16" ht="18.75" hidden="1">
      <c r="A1164" s="50" t="s">
        <v>4064</v>
      </c>
      <c r="B1164" s="50" t="s">
        <v>4179</v>
      </c>
      <c r="C1164" s="50" t="s">
        <v>4223</v>
      </c>
      <c r="D1164" s="50" t="s">
        <v>4184</v>
      </c>
      <c r="E1164" s="12">
        <v>95</v>
      </c>
      <c r="F1164" s="49">
        <v>502016</v>
      </c>
      <c r="G1164" s="67" t="s">
        <v>5699</v>
      </c>
      <c r="H1164" s="14" t="s">
        <v>5601</v>
      </c>
      <c r="I1164" s="14" t="s">
        <v>2458</v>
      </c>
      <c r="J1164" s="33" t="s">
        <v>7110</v>
      </c>
      <c r="K1164" s="33" t="s">
        <v>4307</v>
      </c>
      <c r="L1164" s="68">
        <v>0</v>
      </c>
      <c r="M1164" s="68" t="s">
        <v>8915</v>
      </c>
      <c r="N1164" s="68">
        <v>0</v>
      </c>
      <c r="O1164" s="68">
        <v>0</v>
      </c>
      <c r="P1164" s="198" t="s">
        <v>5707</v>
      </c>
    </row>
    <row r="1165" spans="1:16" ht="18.75" hidden="1">
      <c r="A1165" s="50" t="s">
        <v>4065</v>
      </c>
      <c r="B1165" s="50" t="s">
        <v>4178</v>
      </c>
      <c r="C1165" s="50" t="s">
        <v>4231</v>
      </c>
      <c r="D1165" s="50" t="s">
        <v>3934</v>
      </c>
      <c r="E1165" s="12">
        <v>95</v>
      </c>
      <c r="F1165" s="49">
        <v>299640</v>
      </c>
      <c r="G1165" s="67" t="s">
        <v>5702</v>
      </c>
      <c r="H1165" s="14" t="s">
        <v>5601</v>
      </c>
      <c r="I1165" s="14" t="s">
        <v>2458</v>
      </c>
      <c r="J1165" s="33" t="s">
        <v>7110</v>
      </c>
      <c r="K1165" s="33" t="s">
        <v>4307</v>
      </c>
      <c r="L1165" s="68">
        <v>0</v>
      </c>
      <c r="M1165" s="68" t="s">
        <v>8915</v>
      </c>
      <c r="N1165" s="68">
        <v>0</v>
      </c>
      <c r="O1165" s="68">
        <v>0</v>
      </c>
      <c r="P1165" s="198" t="s">
        <v>5703</v>
      </c>
    </row>
    <row r="1166" spans="1:16" ht="18.75" hidden="1">
      <c r="A1166" s="50" t="s">
        <v>4066</v>
      </c>
      <c r="B1166" s="50" t="s">
        <v>4176</v>
      </c>
      <c r="C1166" s="50" t="s">
        <v>4257</v>
      </c>
      <c r="D1166" s="50" t="s">
        <v>3723</v>
      </c>
      <c r="E1166" s="12">
        <v>95</v>
      </c>
      <c r="F1166" s="49">
        <v>198300</v>
      </c>
      <c r="G1166" s="67" t="s">
        <v>5611</v>
      </c>
      <c r="H1166" s="14" t="s">
        <v>5601</v>
      </c>
      <c r="I1166" s="14" t="s">
        <v>2458</v>
      </c>
      <c r="J1166" s="33" t="s">
        <v>7110</v>
      </c>
      <c r="K1166" s="33" t="s">
        <v>4307</v>
      </c>
      <c r="L1166" s="68">
        <v>0</v>
      </c>
      <c r="M1166" s="68" t="s">
        <v>8915</v>
      </c>
      <c r="N1166" s="68">
        <v>0</v>
      </c>
      <c r="O1166" s="68">
        <v>0</v>
      </c>
      <c r="P1166" s="198" t="s">
        <v>5659</v>
      </c>
    </row>
    <row r="1167" spans="1:16" ht="18.75" hidden="1">
      <c r="A1167" s="50" t="s">
        <v>4067</v>
      </c>
      <c r="B1167" s="50" t="s">
        <v>4180</v>
      </c>
      <c r="C1167" s="50" t="s">
        <v>4259</v>
      </c>
      <c r="D1167" s="50" t="s">
        <v>3932</v>
      </c>
      <c r="E1167" s="12">
        <v>95</v>
      </c>
      <c r="F1167" s="49">
        <v>498900</v>
      </c>
      <c r="G1167" s="67" t="s">
        <v>5607</v>
      </c>
      <c r="H1167" s="14" t="s">
        <v>5601</v>
      </c>
      <c r="I1167" s="14" t="s">
        <v>2458</v>
      </c>
      <c r="J1167" s="33" t="s">
        <v>7110</v>
      </c>
      <c r="K1167" s="33" t="s">
        <v>4307</v>
      </c>
      <c r="L1167" s="68">
        <v>0</v>
      </c>
      <c r="M1167" s="68" t="s">
        <v>8915</v>
      </c>
      <c r="N1167" s="68">
        <v>0</v>
      </c>
      <c r="O1167" s="68">
        <v>0</v>
      </c>
      <c r="P1167" s="198" t="s">
        <v>5690</v>
      </c>
    </row>
    <row r="1168" spans="1:16" ht="18.75" hidden="1">
      <c r="A1168" s="50" t="s">
        <v>4068</v>
      </c>
      <c r="B1168" s="50" t="s">
        <v>4177</v>
      </c>
      <c r="C1168" s="50" t="s">
        <v>4259</v>
      </c>
      <c r="D1168" s="50" t="s">
        <v>3932</v>
      </c>
      <c r="E1168" s="12">
        <v>95</v>
      </c>
      <c r="F1168" s="49">
        <v>501100</v>
      </c>
      <c r="G1168" s="67" t="s">
        <v>5607</v>
      </c>
      <c r="H1168" s="14" t="s">
        <v>5601</v>
      </c>
      <c r="I1168" s="14" t="s">
        <v>2458</v>
      </c>
      <c r="J1168" s="33" t="s">
        <v>7110</v>
      </c>
      <c r="K1168" s="33" t="s">
        <v>4307</v>
      </c>
      <c r="L1168" s="68">
        <v>0</v>
      </c>
      <c r="M1168" s="68" t="s">
        <v>8915</v>
      </c>
      <c r="N1168" s="68">
        <v>0</v>
      </c>
      <c r="O1168" s="68">
        <v>0</v>
      </c>
      <c r="P1168" s="198" t="s">
        <v>5690</v>
      </c>
    </row>
    <row r="1169" spans="1:16" ht="18.75" hidden="1">
      <c r="A1169" s="50" t="s">
        <v>4057</v>
      </c>
      <c r="B1169" s="50" t="s">
        <v>4177</v>
      </c>
      <c r="C1169" s="50" t="s">
        <v>4197</v>
      </c>
      <c r="D1169" s="50" t="s">
        <v>3900</v>
      </c>
      <c r="E1169" s="12">
        <v>95</v>
      </c>
      <c r="F1169" s="49">
        <v>28800</v>
      </c>
      <c r="G1169" s="67" t="s">
        <v>5611</v>
      </c>
      <c r="H1169" s="14" t="s">
        <v>5601</v>
      </c>
      <c r="I1169" s="14" t="s">
        <v>2458</v>
      </c>
      <c r="J1169" s="33" t="s">
        <v>7110</v>
      </c>
      <c r="K1169" s="33" t="s">
        <v>4307</v>
      </c>
      <c r="L1169" s="68">
        <v>0</v>
      </c>
      <c r="M1169" s="68" t="s">
        <v>8915</v>
      </c>
      <c r="N1169" s="68">
        <v>0</v>
      </c>
      <c r="O1169" s="68">
        <v>0</v>
      </c>
      <c r="P1169" s="198" t="s">
        <v>5689</v>
      </c>
    </row>
    <row r="1170" spans="1:16" ht="18.75" hidden="1">
      <c r="A1170" s="50" t="s">
        <v>4069</v>
      </c>
      <c r="B1170" s="50" t="s">
        <v>4185</v>
      </c>
      <c r="C1170" s="50" t="s">
        <v>4204</v>
      </c>
      <c r="D1170" s="50" t="s">
        <v>4184</v>
      </c>
      <c r="E1170" s="12">
        <v>95</v>
      </c>
      <c r="F1170" s="49">
        <v>490582</v>
      </c>
      <c r="G1170" s="67" t="s">
        <v>5681</v>
      </c>
      <c r="H1170" s="14" t="s">
        <v>5601</v>
      </c>
      <c r="I1170" s="14" t="s">
        <v>2458</v>
      </c>
      <c r="J1170" s="33" t="s">
        <v>7110</v>
      </c>
      <c r="K1170" s="33" t="s">
        <v>4307</v>
      </c>
      <c r="L1170" s="68">
        <v>0</v>
      </c>
      <c r="M1170" s="68" t="s">
        <v>8915</v>
      </c>
      <c r="N1170" s="68">
        <v>0</v>
      </c>
      <c r="O1170" s="68">
        <v>0</v>
      </c>
      <c r="P1170" s="198" t="s">
        <v>5709</v>
      </c>
    </row>
    <row r="1171" spans="1:16" ht="18.75" hidden="1">
      <c r="A1171" s="50" t="s">
        <v>4070</v>
      </c>
      <c r="B1171" s="50" t="s">
        <v>4183</v>
      </c>
      <c r="C1171" s="50" t="s">
        <v>4246</v>
      </c>
      <c r="D1171" s="50" t="s">
        <v>3935</v>
      </c>
      <c r="E1171" s="12">
        <v>95</v>
      </c>
      <c r="F1171" s="49">
        <v>496480</v>
      </c>
      <c r="G1171" s="67" t="s">
        <v>5631</v>
      </c>
      <c r="H1171" s="14" t="s">
        <v>5601</v>
      </c>
      <c r="I1171" s="14" t="s">
        <v>2458</v>
      </c>
      <c r="J1171" s="33" t="s">
        <v>7110</v>
      </c>
      <c r="K1171" s="33" t="s">
        <v>4307</v>
      </c>
      <c r="L1171" s="68">
        <v>0</v>
      </c>
      <c r="M1171" s="68" t="s">
        <v>8915</v>
      </c>
      <c r="N1171" s="68">
        <v>0</v>
      </c>
      <c r="O1171" s="68">
        <v>0</v>
      </c>
      <c r="P1171" s="197" t="s">
        <v>5668</v>
      </c>
    </row>
    <row r="1172" spans="1:16" ht="18.75" hidden="1">
      <c r="A1172" s="50" t="s">
        <v>4068</v>
      </c>
      <c r="B1172" s="50" t="s">
        <v>4177</v>
      </c>
      <c r="C1172" s="50" t="s">
        <v>3961</v>
      </c>
      <c r="D1172" s="50" t="s">
        <v>3822</v>
      </c>
      <c r="E1172" s="12">
        <v>95</v>
      </c>
      <c r="F1172" s="49">
        <v>500</v>
      </c>
      <c r="G1172" s="67" t="s">
        <v>5611</v>
      </c>
      <c r="H1172" s="14" t="s">
        <v>5601</v>
      </c>
      <c r="I1172" s="14" t="s">
        <v>2458</v>
      </c>
      <c r="J1172" s="33" t="s">
        <v>7110</v>
      </c>
      <c r="K1172" s="33" t="s">
        <v>4307</v>
      </c>
      <c r="L1172" s="68">
        <v>0</v>
      </c>
      <c r="M1172" s="68" t="s">
        <v>8915</v>
      </c>
      <c r="N1172" s="68">
        <v>0</v>
      </c>
      <c r="O1172" s="68">
        <v>0</v>
      </c>
      <c r="P1172" s="198" t="s">
        <v>5659</v>
      </c>
    </row>
    <row r="1173" spans="1:16" ht="18.75" hidden="1">
      <c r="A1173" s="50" t="s">
        <v>4071</v>
      </c>
      <c r="B1173" s="50" t="s">
        <v>4180</v>
      </c>
      <c r="C1173" s="50" t="s">
        <v>4219</v>
      </c>
      <c r="D1173" s="50" t="s">
        <v>3900</v>
      </c>
      <c r="E1173" s="12">
        <v>95</v>
      </c>
      <c r="F1173" s="49">
        <v>496805</v>
      </c>
      <c r="G1173" s="67" t="s">
        <v>5607</v>
      </c>
      <c r="H1173" s="14" t="s">
        <v>5601</v>
      </c>
      <c r="I1173" s="14" t="s">
        <v>2458</v>
      </c>
      <c r="J1173" s="33" t="s">
        <v>7110</v>
      </c>
      <c r="K1173" s="33" t="s">
        <v>4307</v>
      </c>
      <c r="L1173" s="68">
        <v>0</v>
      </c>
      <c r="M1173" s="68" t="s">
        <v>8915</v>
      </c>
      <c r="N1173" s="68">
        <v>0</v>
      </c>
      <c r="O1173" s="68">
        <v>0</v>
      </c>
      <c r="P1173" s="198" t="s">
        <v>5690</v>
      </c>
    </row>
    <row r="1174" spans="1:16" ht="18.75" hidden="1">
      <c r="A1174" s="50" t="s">
        <v>4036</v>
      </c>
      <c r="B1174" s="50" t="s">
        <v>4177</v>
      </c>
      <c r="C1174" s="50" t="s">
        <v>4260</v>
      </c>
      <c r="D1174" s="50" t="s">
        <v>4182</v>
      </c>
      <c r="E1174" s="12">
        <v>95</v>
      </c>
      <c r="F1174" s="49">
        <v>1000000</v>
      </c>
      <c r="G1174" s="67" t="s">
        <v>5607</v>
      </c>
      <c r="H1174" s="14" t="s">
        <v>5601</v>
      </c>
      <c r="I1174" s="14" t="s">
        <v>2458</v>
      </c>
      <c r="J1174" s="33" t="s">
        <v>7110</v>
      </c>
      <c r="K1174" s="33" t="s">
        <v>4307</v>
      </c>
      <c r="L1174" s="68">
        <v>0</v>
      </c>
      <c r="M1174" s="68" t="s">
        <v>8915</v>
      </c>
      <c r="N1174" s="68">
        <v>0</v>
      </c>
      <c r="O1174" s="68">
        <v>0</v>
      </c>
      <c r="P1174" s="198" t="s">
        <v>5690</v>
      </c>
    </row>
    <row r="1175" spans="1:16" ht="18.75" hidden="1">
      <c r="A1175" s="50" t="s">
        <v>4072</v>
      </c>
      <c r="B1175" s="50" t="s">
        <v>4179</v>
      </c>
      <c r="C1175" s="50" t="s">
        <v>4223</v>
      </c>
      <c r="D1175" s="50" t="s">
        <v>4184</v>
      </c>
      <c r="E1175" s="12">
        <v>95</v>
      </c>
      <c r="F1175" s="49">
        <v>1033871</v>
      </c>
      <c r="G1175" s="67" t="s">
        <v>5699</v>
      </c>
      <c r="H1175" s="14" t="s">
        <v>5601</v>
      </c>
      <c r="I1175" s="14" t="s">
        <v>2458</v>
      </c>
      <c r="J1175" s="33" t="s">
        <v>7110</v>
      </c>
      <c r="K1175" s="33" t="s">
        <v>4307</v>
      </c>
      <c r="L1175" s="68">
        <v>0</v>
      </c>
      <c r="M1175" s="68" t="s">
        <v>8915</v>
      </c>
      <c r="N1175" s="68">
        <v>0</v>
      </c>
      <c r="O1175" s="68">
        <v>0</v>
      </c>
      <c r="P1175" s="198" t="s">
        <v>5707</v>
      </c>
    </row>
    <row r="1176" spans="1:16" ht="18.75" hidden="1">
      <c r="A1176" s="50" t="s">
        <v>4073</v>
      </c>
      <c r="B1176" s="50" t="s">
        <v>4179</v>
      </c>
      <c r="C1176" s="50" t="s">
        <v>4223</v>
      </c>
      <c r="D1176" s="50" t="s">
        <v>4184</v>
      </c>
      <c r="E1176" s="12">
        <v>95</v>
      </c>
      <c r="F1176" s="49">
        <v>491945</v>
      </c>
      <c r="G1176" s="67" t="s">
        <v>5699</v>
      </c>
      <c r="H1176" s="14" t="s">
        <v>5601</v>
      </c>
      <c r="I1176" s="14" t="s">
        <v>2458</v>
      </c>
      <c r="J1176" s="33" t="s">
        <v>7110</v>
      </c>
      <c r="K1176" s="33" t="s">
        <v>4307</v>
      </c>
      <c r="L1176" s="68">
        <v>0</v>
      </c>
      <c r="M1176" s="68" t="s">
        <v>8915</v>
      </c>
      <c r="N1176" s="68">
        <v>0</v>
      </c>
      <c r="O1176" s="68">
        <v>0</v>
      </c>
      <c r="P1176" s="198" t="s">
        <v>5707</v>
      </c>
    </row>
    <row r="1177" spans="1:16" ht="18.75" hidden="1">
      <c r="A1177" s="50" t="s">
        <v>4074</v>
      </c>
      <c r="B1177" s="50" t="s">
        <v>4177</v>
      </c>
      <c r="C1177" s="50" t="s">
        <v>4195</v>
      </c>
      <c r="D1177" s="50" t="s">
        <v>3900</v>
      </c>
      <c r="E1177" s="12">
        <v>95</v>
      </c>
      <c r="F1177" s="49">
        <v>502890</v>
      </c>
      <c r="G1177" s="67" t="s">
        <v>5631</v>
      </c>
      <c r="H1177" s="14" t="s">
        <v>5601</v>
      </c>
      <c r="I1177" s="14" t="s">
        <v>2458</v>
      </c>
      <c r="J1177" s="33" t="s">
        <v>7110</v>
      </c>
      <c r="K1177" s="33" t="s">
        <v>4307</v>
      </c>
      <c r="L1177" s="68">
        <v>0</v>
      </c>
      <c r="M1177" s="68" t="s">
        <v>8915</v>
      </c>
      <c r="N1177" s="68">
        <v>0</v>
      </c>
      <c r="O1177" s="68">
        <v>0</v>
      </c>
      <c r="P1177" s="197" t="s">
        <v>5686</v>
      </c>
    </row>
    <row r="1178" spans="1:16" ht="18.75" hidden="1">
      <c r="A1178" s="50" t="s">
        <v>4075</v>
      </c>
      <c r="B1178" s="50" t="s">
        <v>4185</v>
      </c>
      <c r="C1178" s="50" t="s">
        <v>4224</v>
      </c>
      <c r="D1178" s="50" t="s">
        <v>4183</v>
      </c>
      <c r="E1178" s="12">
        <v>95</v>
      </c>
      <c r="F1178" s="49">
        <v>1001950</v>
      </c>
      <c r="G1178" s="67" t="s">
        <v>5607</v>
      </c>
      <c r="H1178" s="14" t="s">
        <v>5601</v>
      </c>
      <c r="I1178" s="14" t="s">
        <v>2458</v>
      </c>
      <c r="J1178" s="33" t="s">
        <v>7110</v>
      </c>
      <c r="K1178" s="33" t="s">
        <v>4307</v>
      </c>
      <c r="L1178" s="68">
        <v>0</v>
      </c>
      <c r="M1178" s="68" t="s">
        <v>8915</v>
      </c>
      <c r="N1178" s="68">
        <v>0</v>
      </c>
      <c r="O1178" s="68">
        <v>0</v>
      </c>
      <c r="P1178" s="198" t="s">
        <v>5690</v>
      </c>
    </row>
    <row r="1179" spans="1:16" ht="18.75" hidden="1">
      <c r="A1179" s="50" t="s">
        <v>4076</v>
      </c>
      <c r="B1179" s="50" t="s">
        <v>4176</v>
      </c>
      <c r="C1179" s="50" t="s">
        <v>4261</v>
      </c>
      <c r="D1179" s="50" t="s">
        <v>4180</v>
      </c>
      <c r="E1179" s="12">
        <v>95</v>
      </c>
      <c r="F1179" s="49">
        <v>2450579</v>
      </c>
      <c r="G1179" s="67" t="s">
        <v>5611</v>
      </c>
      <c r="H1179" s="14" t="s">
        <v>5602</v>
      </c>
      <c r="I1179" s="14" t="s">
        <v>2458</v>
      </c>
      <c r="J1179" s="33" t="s">
        <v>7110</v>
      </c>
      <c r="K1179" s="33" t="s">
        <v>4307</v>
      </c>
      <c r="L1179" s="68">
        <v>0</v>
      </c>
      <c r="M1179" s="68" t="s">
        <v>8915</v>
      </c>
      <c r="N1179" s="68">
        <v>0</v>
      </c>
      <c r="O1179" s="68">
        <v>0</v>
      </c>
      <c r="P1179" s="198" t="s">
        <v>5675</v>
      </c>
    </row>
    <row r="1180" spans="1:16" ht="18.75" hidden="1">
      <c r="A1180" s="50" t="s">
        <v>4077</v>
      </c>
      <c r="B1180" s="50" t="s">
        <v>3937</v>
      </c>
      <c r="C1180" s="50" t="s">
        <v>3959</v>
      </c>
      <c r="D1180" s="50" t="s">
        <v>3936</v>
      </c>
      <c r="E1180" s="12">
        <v>95</v>
      </c>
      <c r="F1180" s="49">
        <v>10722</v>
      </c>
      <c r="G1180" s="67" t="s">
        <v>5631</v>
      </c>
      <c r="H1180" s="14" t="s">
        <v>5601</v>
      </c>
      <c r="I1180" s="14" t="s">
        <v>2458</v>
      </c>
      <c r="J1180" s="33" t="s">
        <v>7110</v>
      </c>
      <c r="K1180" s="33" t="s">
        <v>4307</v>
      </c>
      <c r="L1180" s="68">
        <v>0</v>
      </c>
      <c r="M1180" s="68" t="s">
        <v>8915</v>
      </c>
      <c r="N1180" s="68">
        <v>0</v>
      </c>
      <c r="O1180" s="68">
        <v>0</v>
      </c>
      <c r="P1180" s="197" t="s">
        <v>5668</v>
      </c>
    </row>
    <row r="1181" spans="1:16" ht="18.75" hidden="1">
      <c r="A1181" s="50" t="s">
        <v>4078</v>
      </c>
      <c r="B1181" s="50" t="s">
        <v>4180</v>
      </c>
      <c r="C1181" s="50" t="s">
        <v>4241</v>
      </c>
      <c r="D1181" s="50" t="s">
        <v>4184</v>
      </c>
      <c r="E1181" s="12">
        <v>95</v>
      </c>
      <c r="F1181" s="49">
        <v>385610</v>
      </c>
      <c r="G1181" s="67" t="s">
        <v>5607</v>
      </c>
      <c r="H1181" s="14" t="s">
        <v>5601</v>
      </c>
      <c r="I1181" s="14" t="s">
        <v>2458</v>
      </c>
      <c r="J1181" s="33" t="s">
        <v>7110</v>
      </c>
      <c r="K1181" s="33" t="s">
        <v>4307</v>
      </c>
      <c r="L1181" s="68">
        <v>0</v>
      </c>
      <c r="M1181" s="68" t="s">
        <v>8915</v>
      </c>
      <c r="N1181" s="68">
        <v>0</v>
      </c>
      <c r="O1181" s="68">
        <v>0</v>
      </c>
      <c r="P1181" s="198" t="s">
        <v>5690</v>
      </c>
    </row>
    <row r="1182" spans="1:16" ht="18.75" hidden="1">
      <c r="A1182" s="50" t="s">
        <v>4079</v>
      </c>
      <c r="B1182" s="50" t="s">
        <v>4177</v>
      </c>
      <c r="C1182" s="50" t="s">
        <v>4241</v>
      </c>
      <c r="D1182" s="50" t="s">
        <v>4184</v>
      </c>
      <c r="E1182" s="12">
        <v>95</v>
      </c>
      <c r="F1182" s="49">
        <v>2590</v>
      </c>
      <c r="G1182" s="67" t="s">
        <v>5607</v>
      </c>
      <c r="H1182" s="14" t="s">
        <v>5601</v>
      </c>
      <c r="I1182" s="14" t="s">
        <v>2458</v>
      </c>
      <c r="J1182" s="33" t="s">
        <v>7110</v>
      </c>
      <c r="K1182" s="33" t="s">
        <v>4307</v>
      </c>
      <c r="L1182" s="68">
        <v>0</v>
      </c>
      <c r="M1182" s="68" t="s">
        <v>8915</v>
      </c>
      <c r="N1182" s="68">
        <v>0</v>
      </c>
      <c r="O1182" s="68">
        <v>0</v>
      </c>
      <c r="P1182" s="198" t="s">
        <v>5690</v>
      </c>
    </row>
    <row r="1183" spans="1:16" ht="18.75" hidden="1">
      <c r="A1183" s="50" t="s">
        <v>4077</v>
      </c>
      <c r="B1183" s="50" t="s">
        <v>3937</v>
      </c>
      <c r="C1183" s="50" t="s">
        <v>4246</v>
      </c>
      <c r="D1183" s="50" t="s">
        <v>3935</v>
      </c>
      <c r="E1183" s="12">
        <v>95</v>
      </c>
      <c r="F1183" s="49">
        <v>487798</v>
      </c>
      <c r="G1183" s="67" t="s">
        <v>5631</v>
      </c>
      <c r="H1183" s="14" t="s">
        <v>5601</v>
      </c>
      <c r="I1183" s="14" t="s">
        <v>2458</v>
      </c>
      <c r="J1183" s="33" t="s">
        <v>7110</v>
      </c>
      <c r="K1183" s="33" t="s">
        <v>4307</v>
      </c>
      <c r="L1183" s="68">
        <v>0</v>
      </c>
      <c r="M1183" s="68" t="s">
        <v>8915</v>
      </c>
      <c r="N1183" s="68">
        <v>0</v>
      </c>
      <c r="O1183" s="68">
        <v>0</v>
      </c>
      <c r="P1183" s="197" t="s">
        <v>5668</v>
      </c>
    </row>
    <row r="1184" spans="1:16" ht="18.75" hidden="1">
      <c r="A1184" s="50" t="s">
        <v>4078</v>
      </c>
      <c r="B1184" s="50" t="s">
        <v>4180</v>
      </c>
      <c r="C1184" s="50" t="s">
        <v>4219</v>
      </c>
      <c r="D1184" s="50" t="s">
        <v>3900</v>
      </c>
      <c r="E1184" s="12">
        <v>95</v>
      </c>
      <c r="F1184" s="49">
        <v>112590</v>
      </c>
      <c r="G1184" s="67" t="s">
        <v>5607</v>
      </c>
      <c r="H1184" s="14" t="s">
        <v>5601</v>
      </c>
      <c r="I1184" s="14" t="s">
        <v>2458</v>
      </c>
      <c r="J1184" s="33" t="s">
        <v>7110</v>
      </c>
      <c r="K1184" s="33" t="s">
        <v>4307</v>
      </c>
      <c r="L1184" s="68">
        <v>0</v>
      </c>
      <c r="M1184" s="68" t="s">
        <v>8915</v>
      </c>
      <c r="N1184" s="68">
        <v>0</v>
      </c>
      <c r="O1184" s="68">
        <v>0</v>
      </c>
      <c r="P1184" s="198" t="s">
        <v>5690</v>
      </c>
    </row>
    <row r="1185" spans="1:16" ht="18.75" hidden="1">
      <c r="A1185" s="50" t="s">
        <v>4079</v>
      </c>
      <c r="B1185" s="50" t="s">
        <v>4177</v>
      </c>
      <c r="C1185" s="50" t="s">
        <v>4202</v>
      </c>
      <c r="D1185" s="50" t="s">
        <v>4182</v>
      </c>
      <c r="E1185" s="12">
        <v>95</v>
      </c>
      <c r="F1185" s="49">
        <v>598910</v>
      </c>
      <c r="G1185" s="67" t="s">
        <v>5607</v>
      </c>
      <c r="H1185" s="14" t="s">
        <v>5601</v>
      </c>
      <c r="I1185" s="14" t="s">
        <v>2458</v>
      </c>
      <c r="J1185" s="33" t="s">
        <v>7110</v>
      </c>
      <c r="K1185" s="33" t="s">
        <v>4307</v>
      </c>
      <c r="L1185" s="68">
        <v>0</v>
      </c>
      <c r="M1185" s="68" t="s">
        <v>8915</v>
      </c>
      <c r="N1185" s="68">
        <v>0</v>
      </c>
      <c r="O1185" s="68">
        <v>0</v>
      </c>
      <c r="P1185" s="198" t="s">
        <v>5690</v>
      </c>
    </row>
    <row r="1186" spans="1:16" ht="18.75" hidden="1">
      <c r="A1186" s="50" t="s">
        <v>4080</v>
      </c>
      <c r="B1186" s="50" t="s">
        <v>4180</v>
      </c>
      <c r="C1186" s="50" t="s">
        <v>3890</v>
      </c>
      <c r="D1186" s="50" t="s">
        <v>3664</v>
      </c>
      <c r="E1186" s="12">
        <v>95</v>
      </c>
      <c r="F1186" s="49">
        <v>200000</v>
      </c>
      <c r="G1186" s="67" t="s">
        <v>5652</v>
      </c>
      <c r="H1186" s="14" t="s">
        <v>5601</v>
      </c>
      <c r="I1186" s="14" t="s">
        <v>2458</v>
      </c>
      <c r="J1186" s="33" t="s">
        <v>7110</v>
      </c>
      <c r="K1186" s="33" t="s">
        <v>4307</v>
      </c>
      <c r="L1186" s="68">
        <v>0</v>
      </c>
      <c r="M1186" s="68" t="s">
        <v>8915</v>
      </c>
      <c r="N1186" s="68">
        <v>0</v>
      </c>
      <c r="O1186" s="68">
        <v>0</v>
      </c>
      <c r="P1186" s="198" t="s">
        <v>5653</v>
      </c>
    </row>
    <row r="1187" spans="1:16" ht="18.75" hidden="1">
      <c r="A1187" s="50" t="s">
        <v>4057</v>
      </c>
      <c r="B1187" s="50" t="s">
        <v>4177</v>
      </c>
      <c r="C1187" s="50" t="s">
        <v>4262</v>
      </c>
      <c r="D1187" s="50" t="s">
        <v>3723</v>
      </c>
      <c r="E1187" s="12">
        <v>95</v>
      </c>
      <c r="F1187" s="49">
        <v>120000</v>
      </c>
      <c r="G1187" s="67" t="s">
        <v>5611</v>
      </c>
      <c r="H1187" s="14" t="s">
        <v>5601</v>
      </c>
      <c r="I1187" s="14" t="s">
        <v>2458</v>
      </c>
      <c r="J1187" s="33" t="s">
        <v>7110</v>
      </c>
      <c r="K1187" s="33" t="s">
        <v>4307</v>
      </c>
      <c r="L1187" s="68">
        <v>0</v>
      </c>
      <c r="M1187" s="68" t="s">
        <v>8915</v>
      </c>
      <c r="N1187" s="68">
        <v>0</v>
      </c>
      <c r="O1187" s="68">
        <v>0</v>
      </c>
      <c r="P1187" s="198" t="s">
        <v>5659</v>
      </c>
    </row>
    <row r="1188" spans="1:16" ht="18.75" hidden="1">
      <c r="A1188" s="50" t="s">
        <v>4055</v>
      </c>
      <c r="B1188" s="50" t="s">
        <v>4182</v>
      </c>
      <c r="C1188" s="50" t="s">
        <v>3890</v>
      </c>
      <c r="D1188" s="50" t="s">
        <v>3664</v>
      </c>
      <c r="E1188" s="12">
        <v>95</v>
      </c>
      <c r="F1188" s="49">
        <v>8457</v>
      </c>
      <c r="G1188" s="67" t="s">
        <v>5652</v>
      </c>
      <c r="H1188" s="14" t="s">
        <v>5601</v>
      </c>
      <c r="I1188" s="14" t="s">
        <v>2458</v>
      </c>
      <c r="J1188" s="33" t="s">
        <v>7110</v>
      </c>
      <c r="K1188" s="33" t="s">
        <v>4307</v>
      </c>
      <c r="L1188" s="68">
        <v>0</v>
      </c>
      <c r="M1188" s="68" t="s">
        <v>8915</v>
      </c>
      <c r="N1188" s="68">
        <v>0</v>
      </c>
      <c r="O1188" s="68">
        <v>0</v>
      </c>
      <c r="P1188" s="198" t="s">
        <v>5653</v>
      </c>
    </row>
    <row r="1189" spans="1:16" ht="18.75" hidden="1">
      <c r="A1189" s="50" t="s">
        <v>4066</v>
      </c>
      <c r="B1189" s="50" t="s">
        <v>4176</v>
      </c>
      <c r="C1189" s="50" t="s">
        <v>4235</v>
      </c>
      <c r="D1189" s="50" t="s">
        <v>3718</v>
      </c>
      <c r="E1189" s="12">
        <v>95</v>
      </c>
      <c r="F1189" s="49">
        <v>1350</v>
      </c>
      <c r="G1189" s="67" t="s">
        <v>5611</v>
      </c>
      <c r="H1189" s="14" t="s">
        <v>5601</v>
      </c>
      <c r="I1189" s="14" t="s">
        <v>2458</v>
      </c>
      <c r="J1189" s="33" t="s">
        <v>7110</v>
      </c>
      <c r="K1189" s="33" t="s">
        <v>4307</v>
      </c>
      <c r="L1189" s="68">
        <v>0</v>
      </c>
      <c r="M1189" s="68" t="s">
        <v>8915</v>
      </c>
      <c r="N1189" s="68">
        <v>0</v>
      </c>
      <c r="O1189" s="68">
        <v>0</v>
      </c>
      <c r="P1189" s="198" t="s">
        <v>5659</v>
      </c>
    </row>
    <row r="1190" spans="1:16" ht="18.75" hidden="1">
      <c r="A1190" s="50" t="s">
        <v>4081</v>
      </c>
      <c r="B1190" s="50" t="s">
        <v>4186</v>
      </c>
      <c r="C1190" s="50" t="s">
        <v>4263</v>
      </c>
      <c r="D1190" s="50" t="s">
        <v>3935</v>
      </c>
      <c r="E1190" s="12">
        <v>95</v>
      </c>
      <c r="F1190" s="49">
        <v>316351</v>
      </c>
      <c r="G1190" s="67" t="s">
        <v>5604</v>
      </c>
      <c r="H1190" s="14" t="s">
        <v>5601</v>
      </c>
      <c r="I1190" s="14" t="s">
        <v>2458</v>
      </c>
      <c r="J1190" s="33" t="s">
        <v>7110</v>
      </c>
      <c r="K1190" s="33" t="s">
        <v>4307</v>
      </c>
      <c r="L1190" s="68">
        <v>0</v>
      </c>
      <c r="M1190" s="68" t="s">
        <v>8915</v>
      </c>
      <c r="N1190" s="68">
        <v>0</v>
      </c>
      <c r="O1190" s="68">
        <v>0</v>
      </c>
      <c r="P1190" s="198" t="s">
        <v>5642</v>
      </c>
    </row>
    <row r="1191" spans="1:16" ht="18.75" hidden="1">
      <c r="A1191" s="50" t="s">
        <v>4081</v>
      </c>
      <c r="B1191" s="50" t="s">
        <v>4186</v>
      </c>
      <c r="C1191" s="50" t="s">
        <v>4245</v>
      </c>
      <c r="D1191" s="50" t="s">
        <v>3935</v>
      </c>
      <c r="E1191" s="12">
        <v>95</v>
      </c>
      <c r="F1191" s="49">
        <v>182</v>
      </c>
      <c r="G1191" s="67" t="s">
        <v>5604</v>
      </c>
      <c r="H1191" s="14" t="s">
        <v>5601</v>
      </c>
      <c r="I1191" s="14" t="s">
        <v>2458</v>
      </c>
      <c r="J1191" s="33" t="s">
        <v>7110</v>
      </c>
      <c r="K1191" s="33" t="s">
        <v>4307</v>
      </c>
      <c r="L1191" s="68">
        <v>0</v>
      </c>
      <c r="M1191" s="68" t="s">
        <v>8915</v>
      </c>
      <c r="N1191" s="68">
        <v>0</v>
      </c>
      <c r="O1191" s="68">
        <v>0</v>
      </c>
      <c r="P1191" s="198" t="s">
        <v>5649</v>
      </c>
    </row>
    <row r="1192" spans="1:16" ht="18.75" hidden="1">
      <c r="A1192" s="50" t="s">
        <v>4081</v>
      </c>
      <c r="B1192" s="50" t="s">
        <v>4186</v>
      </c>
      <c r="C1192" s="50" t="s">
        <v>4264</v>
      </c>
      <c r="D1192" s="50" t="s">
        <v>3935</v>
      </c>
      <c r="E1192" s="12">
        <v>95</v>
      </c>
      <c r="F1192" s="49">
        <v>215339</v>
      </c>
      <c r="G1192" s="67" t="s">
        <v>5604</v>
      </c>
      <c r="H1192" s="14" t="s">
        <v>5601</v>
      </c>
      <c r="I1192" s="14" t="s">
        <v>2458</v>
      </c>
      <c r="J1192" s="33" t="s">
        <v>7110</v>
      </c>
      <c r="K1192" s="33" t="s">
        <v>4307</v>
      </c>
      <c r="L1192" s="68">
        <v>0</v>
      </c>
      <c r="M1192" s="68" t="s">
        <v>8915</v>
      </c>
      <c r="N1192" s="68">
        <v>0</v>
      </c>
      <c r="O1192" s="68">
        <v>0</v>
      </c>
      <c r="P1192" s="198" t="s">
        <v>5618</v>
      </c>
    </row>
    <row r="1193" spans="1:16" ht="18.75" hidden="1">
      <c r="A1193" s="50" t="s">
        <v>4082</v>
      </c>
      <c r="B1193" s="50" t="s">
        <v>4181</v>
      </c>
      <c r="C1193" s="50" t="s">
        <v>4264</v>
      </c>
      <c r="D1193" s="50" t="s">
        <v>3935</v>
      </c>
      <c r="E1193" s="12">
        <v>95</v>
      </c>
      <c r="F1193" s="49">
        <v>550494</v>
      </c>
      <c r="G1193" s="67" t="s">
        <v>5604</v>
      </c>
      <c r="H1193" s="14" t="s">
        <v>5601</v>
      </c>
      <c r="I1193" s="14" t="s">
        <v>2458</v>
      </c>
      <c r="J1193" s="33" t="s">
        <v>7110</v>
      </c>
      <c r="K1193" s="33" t="s">
        <v>4307</v>
      </c>
      <c r="L1193" s="68">
        <v>0</v>
      </c>
      <c r="M1193" s="68" t="s">
        <v>8915</v>
      </c>
      <c r="N1193" s="68">
        <v>0</v>
      </c>
      <c r="O1193" s="68">
        <v>0</v>
      </c>
      <c r="P1193" s="198" t="s">
        <v>5618</v>
      </c>
    </row>
    <row r="1194" spans="1:16" ht="18.75" hidden="1">
      <c r="A1194" s="50" t="s">
        <v>4083</v>
      </c>
      <c r="B1194" s="50" t="s">
        <v>4183</v>
      </c>
      <c r="C1194" s="50" t="s">
        <v>3940</v>
      </c>
      <c r="D1194" s="50" t="s">
        <v>3936</v>
      </c>
      <c r="E1194" s="12">
        <v>95</v>
      </c>
      <c r="F1194" s="49">
        <v>273350</v>
      </c>
      <c r="G1194" s="67" t="s">
        <v>5616</v>
      </c>
      <c r="H1194" s="14" t="s">
        <v>5601</v>
      </c>
      <c r="I1194" s="14" t="s">
        <v>2458</v>
      </c>
      <c r="J1194" s="33" t="s">
        <v>7110</v>
      </c>
      <c r="K1194" s="33" t="s">
        <v>4307</v>
      </c>
      <c r="L1194" s="68">
        <v>0</v>
      </c>
      <c r="M1194" s="68" t="s">
        <v>8915</v>
      </c>
      <c r="N1194" s="68">
        <v>0</v>
      </c>
      <c r="O1194" s="68">
        <v>0</v>
      </c>
      <c r="P1194" s="198" t="s">
        <v>5661</v>
      </c>
    </row>
    <row r="1195" spans="1:16" ht="18.75" hidden="1">
      <c r="A1195" s="50" t="s">
        <v>4084</v>
      </c>
      <c r="B1195" s="50" t="s">
        <v>4181</v>
      </c>
      <c r="C1195" s="50" t="s">
        <v>3940</v>
      </c>
      <c r="D1195" s="50" t="s">
        <v>3936</v>
      </c>
      <c r="E1195" s="12">
        <v>95</v>
      </c>
      <c r="F1195" s="49">
        <v>175725</v>
      </c>
      <c r="G1195" s="67" t="s">
        <v>5616</v>
      </c>
      <c r="H1195" s="14" t="s">
        <v>5601</v>
      </c>
      <c r="I1195" s="14" t="s">
        <v>2458</v>
      </c>
      <c r="J1195" s="33" t="s">
        <v>7110</v>
      </c>
      <c r="K1195" s="33" t="s">
        <v>4307</v>
      </c>
      <c r="L1195" s="68">
        <v>0</v>
      </c>
      <c r="M1195" s="68" t="s">
        <v>8915</v>
      </c>
      <c r="N1195" s="68">
        <v>0</v>
      </c>
      <c r="O1195" s="68">
        <v>0</v>
      </c>
      <c r="P1195" s="198" t="s">
        <v>5661</v>
      </c>
    </row>
    <row r="1196" spans="1:16" ht="18.75" hidden="1">
      <c r="A1196" s="50" t="s">
        <v>4085</v>
      </c>
      <c r="B1196" s="50" t="s">
        <v>4183</v>
      </c>
      <c r="C1196" s="50" t="s">
        <v>3940</v>
      </c>
      <c r="D1196" s="50" t="s">
        <v>3936</v>
      </c>
      <c r="E1196" s="12">
        <v>95</v>
      </c>
      <c r="F1196" s="49">
        <v>94444</v>
      </c>
      <c r="G1196" s="67" t="s">
        <v>5616</v>
      </c>
      <c r="H1196" s="14" t="s">
        <v>5601</v>
      </c>
      <c r="I1196" s="14" t="s">
        <v>2458</v>
      </c>
      <c r="J1196" s="33" t="s">
        <v>7110</v>
      </c>
      <c r="K1196" s="33" t="s">
        <v>4307</v>
      </c>
      <c r="L1196" s="68">
        <v>0</v>
      </c>
      <c r="M1196" s="68" t="s">
        <v>8915</v>
      </c>
      <c r="N1196" s="68">
        <v>0</v>
      </c>
      <c r="O1196" s="68">
        <v>0</v>
      </c>
      <c r="P1196" s="198" t="s">
        <v>5661</v>
      </c>
    </row>
    <row r="1197" spans="1:16" ht="18.75" hidden="1">
      <c r="A1197" s="50" t="s">
        <v>4085</v>
      </c>
      <c r="B1197" s="50" t="s">
        <v>4183</v>
      </c>
      <c r="C1197" s="50" t="s">
        <v>4244</v>
      </c>
      <c r="D1197" s="50" t="s">
        <v>3934</v>
      </c>
      <c r="E1197" s="12">
        <v>95</v>
      </c>
      <c r="F1197" s="49">
        <v>413206</v>
      </c>
      <c r="G1197" s="67" t="s">
        <v>5616</v>
      </c>
      <c r="H1197" s="14" t="s">
        <v>5601</v>
      </c>
      <c r="I1197" s="14" t="s">
        <v>2458</v>
      </c>
      <c r="J1197" s="33" t="s">
        <v>7110</v>
      </c>
      <c r="K1197" s="33" t="s">
        <v>4307</v>
      </c>
      <c r="L1197" s="68">
        <v>0</v>
      </c>
      <c r="M1197" s="68" t="s">
        <v>8915</v>
      </c>
      <c r="N1197" s="68">
        <v>0</v>
      </c>
      <c r="O1197" s="68">
        <v>0</v>
      </c>
      <c r="P1197" s="198" t="s">
        <v>5661</v>
      </c>
    </row>
    <row r="1198" spans="1:16" ht="18.75" hidden="1">
      <c r="A1198" s="50" t="s">
        <v>4086</v>
      </c>
      <c r="B1198" s="50" t="s">
        <v>3934</v>
      </c>
      <c r="C1198" s="50" t="s">
        <v>4265</v>
      </c>
      <c r="D1198" s="50" t="s">
        <v>3935</v>
      </c>
      <c r="E1198" s="12">
        <v>95</v>
      </c>
      <c r="F1198" s="49">
        <v>22960</v>
      </c>
      <c r="G1198" s="67" t="s">
        <v>5611</v>
      </c>
      <c r="H1198" s="14" t="s">
        <v>5601</v>
      </c>
      <c r="I1198" s="14" t="s">
        <v>2458</v>
      </c>
      <c r="J1198" s="33" t="s">
        <v>7110</v>
      </c>
      <c r="K1198" s="33" t="s">
        <v>4307</v>
      </c>
      <c r="L1198" s="68">
        <v>0</v>
      </c>
      <c r="M1198" s="68" t="s">
        <v>8915</v>
      </c>
      <c r="N1198" s="68">
        <v>0</v>
      </c>
      <c r="O1198" s="68">
        <v>0</v>
      </c>
      <c r="P1198" s="198" t="s">
        <v>5680</v>
      </c>
    </row>
    <row r="1199" spans="1:16" ht="18.75" hidden="1">
      <c r="A1199" s="50" t="s">
        <v>4087</v>
      </c>
      <c r="B1199" s="50" t="s">
        <v>4187</v>
      </c>
      <c r="C1199" s="50" t="s">
        <v>3836</v>
      </c>
      <c r="D1199" s="50" t="s">
        <v>3831</v>
      </c>
      <c r="E1199" s="12">
        <v>95</v>
      </c>
      <c r="F1199" s="49">
        <v>21717</v>
      </c>
      <c r="G1199" s="67" t="s">
        <v>5633</v>
      </c>
      <c r="H1199" s="14" t="s">
        <v>5601</v>
      </c>
      <c r="I1199" s="14" t="s">
        <v>2458</v>
      </c>
      <c r="J1199" s="33" t="s">
        <v>7110</v>
      </c>
      <c r="K1199" s="33" t="s">
        <v>4307</v>
      </c>
      <c r="L1199" s="68">
        <v>0</v>
      </c>
      <c r="M1199" s="68" t="s">
        <v>8915</v>
      </c>
      <c r="N1199" s="68">
        <v>0</v>
      </c>
      <c r="O1199" s="68">
        <v>0</v>
      </c>
      <c r="P1199" s="198" t="s">
        <v>5677</v>
      </c>
    </row>
    <row r="1200" spans="1:16" ht="18.75" hidden="1">
      <c r="A1200" s="50" t="s">
        <v>4088</v>
      </c>
      <c r="B1200" s="50" t="s">
        <v>3964</v>
      </c>
      <c r="C1200" s="50" t="s">
        <v>3845</v>
      </c>
      <c r="D1200" s="50" t="s">
        <v>3671</v>
      </c>
      <c r="E1200" s="12">
        <v>95</v>
      </c>
      <c r="F1200" s="49">
        <v>11658</v>
      </c>
      <c r="G1200" s="67" t="s">
        <v>5611</v>
      </c>
      <c r="H1200" s="14" t="s">
        <v>5601</v>
      </c>
      <c r="I1200" s="14" t="s">
        <v>2458</v>
      </c>
      <c r="J1200" s="33" t="s">
        <v>7110</v>
      </c>
      <c r="K1200" s="33" t="s">
        <v>4307</v>
      </c>
      <c r="L1200" s="68">
        <v>0</v>
      </c>
      <c r="M1200" s="68" t="s">
        <v>8915</v>
      </c>
      <c r="N1200" s="68">
        <v>0</v>
      </c>
      <c r="O1200" s="68">
        <v>0</v>
      </c>
      <c r="P1200" s="198" t="s">
        <v>5659</v>
      </c>
    </row>
    <row r="1201" spans="1:16" ht="18.75" hidden="1">
      <c r="A1201" s="50" t="s">
        <v>4089</v>
      </c>
      <c r="B1201" s="50" t="s">
        <v>4181</v>
      </c>
      <c r="C1201" s="50" t="s">
        <v>4266</v>
      </c>
      <c r="D1201" s="50" t="s">
        <v>3900</v>
      </c>
      <c r="E1201" s="12">
        <v>95</v>
      </c>
      <c r="F1201" s="49">
        <v>163200</v>
      </c>
      <c r="G1201" s="67" t="s">
        <v>5611</v>
      </c>
      <c r="H1201" s="14" t="s">
        <v>5601</v>
      </c>
      <c r="I1201" s="14" t="s">
        <v>2458</v>
      </c>
      <c r="J1201" s="33" t="s">
        <v>7110</v>
      </c>
      <c r="K1201" s="33" t="s">
        <v>4307</v>
      </c>
      <c r="L1201" s="68">
        <v>0</v>
      </c>
      <c r="M1201" s="68" t="s">
        <v>8915</v>
      </c>
      <c r="N1201" s="68">
        <v>0</v>
      </c>
      <c r="O1201" s="68">
        <v>0</v>
      </c>
      <c r="P1201" s="198" t="s">
        <v>5680</v>
      </c>
    </row>
    <row r="1202" spans="1:16" ht="18.75" hidden="1">
      <c r="A1202" s="50" t="s">
        <v>4090</v>
      </c>
      <c r="B1202" s="50" t="s">
        <v>3965</v>
      </c>
      <c r="C1202" s="50" t="s">
        <v>4267</v>
      </c>
      <c r="D1202" s="50" t="s">
        <v>3936</v>
      </c>
      <c r="E1202" s="12">
        <v>95</v>
      </c>
      <c r="F1202" s="49">
        <v>92930</v>
      </c>
      <c r="G1202" s="67" t="s">
        <v>5631</v>
      </c>
      <c r="H1202" s="14" t="s">
        <v>5601</v>
      </c>
      <c r="I1202" s="14" t="s">
        <v>2458</v>
      </c>
      <c r="J1202" s="33" t="s">
        <v>7110</v>
      </c>
      <c r="K1202" s="33" t="s">
        <v>4307</v>
      </c>
      <c r="L1202" s="68">
        <v>0</v>
      </c>
      <c r="M1202" s="68" t="s">
        <v>8915</v>
      </c>
      <c r="N1202" s="68">
        <v>0</v>
      </c>
      <c r="O1202" s="68">
        <v>0</v>
      </c>
      <c r="P1202" s="197" t="s">
        <v>5668</v>
      </c>
    </row>
    <row r="1203" spans="1:16" ht="18.75" hidden="1">
      <c r="A1203" s="50" t="s">
        <v>4091</v>
      </c>
      <c r="B1203" s="50" t="s">
        <v>4184</v>
      </c>
      <c r="C1203" s="50" t="s">
        <v>4266</v>
      </c>
      <c r="D1203" s="50" t="s">
        <v>3900</v>
      </c>
      <c r="E1203" s="12">
        <v>95</v>
      </c>
      <c r="F1203" s="49">
        <v>295520</v>
      </c>
      <c r="G1203" s="67" t="s">
        <v>5611</v>
      </c>
      <c r="H1203" s="14" t="s">
        <v>5601</v>
      </c>
      <c r="I1203" s="14" t="s">
        <v>2458</v>
      </c>
      <c r="J1203" s="33" t="s">
        <v>7110</v>
      </c>
      <c r="K1203" s="33" t="s">
        <v>4307</v>
      </c>
      <c r="L1203" s="68">
        <v>0</v>
      </c>
      <c r="M1203" s="68" t="s">
        <v>8915</v>
      </c>
      <c r="N1203" s="68">
        <v>0</v>
      </c>
      <c r="O1203" s="68">
        <v>0</v>
      </c>
      <c r="P1203" s="198" t="s">
        <v>5680</v>
      </c>
    </row>
    <row r="1204" spans="1:16" ht="18.75" hidden="1">
      <c r="A1204" s="50" t="s">
        <v>4092</v>
      </c>
      <c r="B1204" s="50" t="s">
        <v>4177</v>
      </c>
      <c r="C1204" s="50" t="s">
        <v>3842</v>
      </c>
      <c r="D1204" s="50" t="s">
        <v>3768</v>
      </c>
      <c r="E1204" s="12">
        <v>95</v>
      </c>
      <c r="F1204" s="49">
        <v>10660</v>
      </c>
      <c r="G1204" s="67" t="s">
        <v>5611</v>
      </c>
      <c r="H1204" s="14" t="s">
        <v>5601</v>
      </c>
      <c r="I1204" s="14" t="s">
        <v>2458</v>
      </c>
      <c r="J1204" s="33" t="s">
        <v>7110</v>
      </c>
      <c r="K1204" s="33" t="s">
        <v>4307</v>
      </c>
      <c r="L1204" s="68">
        <v>0</v>
      </c>
      <c r="M1204" s="68" t="s">
        <v>8915</v>
      </c>
      <c r="N1204" s="68">
        <v>0</v>
      </c>
      <c r="O1204" s="68">
        <v>0</v>
      </c>
      <c r="P1204" s="198" t="s">
        <v>5675</v>
      </c>
    </row>
    <row r="1205" spans="1:16" ht="18.75" hidden="1">
      <c r="A1205" s="50" t="s">
        <v>4093</v>
      </c>
      <c r="B1205" s="50" t="s">
        <v>3933</v>
      </c>
      <c r="C1205" s="50" t="s">
        <v>4268</v>
      </c>
      <c r="D1205" s="50" t="s">
        <v>3936</v>
      </c>
      <c r="E1205" s="12">
        <v>95</v>
      </c>
      <c r="F1205" s="49">
        <v>69370</v>
      </c>
      <c r="G1205" s="67" t="s">
        <v>5611</v>
      </c>
      <c r="H1205" s="14" t="s">
        <v>5601</v>
      </c>
      <c r="I1205" s="14" t="s">
        <v>2458</v>
      </c>
      <c r="J1205" s="33" t="s">
        <v>7110</v>
      </c>
      <c r="K1205" s="33" t="s">
        <v>4307</v>
      </c>
      <c r="L1205" s="68">
        <v>0</v>
      </c>
      <c r="M1205" s="68" t="s">
        <v>8915</v>
      </c>
      <c r="N1205" s="68">
        <v>0</v>
      </c>
      <c r="O1205" s="68">
        <v>0</v>
      </c>
      <c r="P1205" s="198" t="s">
        <v>5680</v>
      </c>
    </row>
    <row r="1206" spans="1:16" ht="18.75" hidden="1">
      <c r="A1206" s="50" t="s">
        <v>4091</v>
      </c>
      <c r="B1206" s="50" t="s">
        <v>4184</v>
      </c>
      <c r="C1206" s="50" t="s">
        <v>4268</v>
      </c>
      <c r="D1206" s="50" t="s">
        <v>3936</v>
      </c>
      <c r="E1206" s="12">
        <v>95</v>
      </c>
      <c r="F1206" s="49">
        <v>74540</v>
      </c>
      <c r="G1206" s="67" t="s">
        <v>5611</v>
      </c>
      <c r="H1206" s="14" t="s">
        <v>5601</v>
      </c>
      <c r="I1206" s="14" t="s">
        <v>2458</v>
      </c>
      <c r="J1206" s="33" t="s">
        <v>7110</v>
      </c>
      <c r="K1206" s="33" t="s">
        <v>4307</v>
      </c>
      <c r="L1206" s="68">
        <v>0</v>
      </c>
      <c r="M1206" s="68" t="s">
        <v>8915</v>
      </c>
      <c r="N1206" s="68">
        <v>0</v>
      </c>
      <c r="O1206" s="68">
        <v>0</v>
      </c>
      <c r="P1206" s="198" t="s">
        <v>5680</v>
      </c>
    </row>
    <row r="1207" spans="1:16" ht="18.75" hidden="1">
      <c r="A1207" s="50" t="s">
        <v>4089</v>
      </c>
      <c r="B1207" s="50" t="s">
        <v>4181</v>
      </c>
      <c r="C1207" s="50" t="s">
        <v>4269</v>
      </c>
      <c r="D1207" s="50" t="s">
        <v>3935</v>
      </c>
      <c r="E1207" s="12">
        <v>95</v>
      </c>
      <c r="F1207" s="49">
        <v>75740</v>
      </c>
      <c r="G1207" s="67" t="s">
        <v>5611</v>
      </c>
      <c r="H1207" s="14" t="s">
        <v>5601</v>
      </c>
      <c r="I1207" s="14" t="s">
        <v>2458</v>
      </c>
      <c r="J1207" s="33" t="s">
        <v>7110</v>
      </c>
      <c r="K1207" s="33" t="s">
        <v>4307</v>
      </c>
      <c r="L1207" s="68">
        <v>0</v>
      </c>
      <c r="M1207" s="68" t="s">
        <v>8915</v>
      </c>
      <c r="N1207" s="68">
        <v>0</v>
      </c>
      <c r="O1207" s="68">
        <v>0</v>
      </c>
      <c r="P1207" s="198" t="s">
        <v>5680</v>
      </c>
    </row>
    <row r="1208" spans="1:16" ht="18.75" hidden="1">
      <c r="A1208" s="50" t="s">
        <v>4094</v>
      </c>
      <c r="B1208" s="50" t="s">
        <v>4178</v>
      </c>
      <c r="C1208" s="50" t="s">
        <v>4270</v>
      </c>
      <c r="D1208" s="50" t="s">
        <v>3932</v>
      </c>
      <c r="E1208" s="12">
        <v>95</v>
      </c>
      <c r="F1208" s="49">
        <v>49380</v>
      </c>
      <c r="G1208" s="67" t="s">
        <v>5611</v>
      </c>
      <c r="H1208" s="14" t="s">
        <v>5601</v>
      </c>
      <c r="I1208" s="14" t="s">
        <v>2458</v>
      </c>
      <c r="J1208" s="33" t="s">
        <v>7110</v>
      </c>
      <c r="K1208" s="33" t="s">
        <v>4307</v>
      </c>
      <c r="L1208" s="68">
        <v>0</v>
      </c>
      <c r="M1208" s="68" t="s">
        <v>8915</v>
      </c>
      <c r="N1208" s="68">
        <v>0</v>
      </c>
      <c r="O1208" s="68">
        <v>0</v>
      </c>
      <c r="P1208" s="198" t="s">
        <v>5694</v>
      </c>
    </row>
    <row r="1209" spans="1:16" ht="18.75" hidden="1">
      <c r="A1209" s="50" t="s">
        <v>4094</v>
      </c>
      <c r="B1209" s="50" t="s">
        <v>4178</v>
      </c>
      <c r="C1209" s="50" t="s">
        <v>4271</v>
      </c>
      <c r="D1209" s="50" t="s">
        <v>4182</v>
      </c>
      <c r="E1209" s="12">
        <v>95</v>
      </c>
      <c r="F1209" s="49">
        <v>23200</v>
      </c>
      <c r="G1209" s="67" t="s">
        <v>5647</v>
      </c>
      <c r="H1209" s="14" t="s">
        <v>5601</v>
      </c>
      <c r="I1209" s="14" t="s">
        <v>2458</v>
      </c>
      <c r="J1209" s="33" t="s">
        <v>7110</v>
      </c>
      <c r="K1209" s="33" t="s">
        <v>4307</v>
      </c>
      <c r="L1209" s="68">
        <v>0</v>
      </c>
      <c r="M1209" s="68" t="s">
        <v>8915</v>
      </c>
      <c r="N1209" s="68">
        <v>0</v>
      </c>
      <c r="O1209" s="68">
        <v>0</v>
      </c>
      <c r="P1209" s="198" t="s">
        <v>5714</v>
      </c>
    </row>
    <row r="1210" spans="1:16" ht="18.75" hidden="1">
      <c r="A1210" s="50" t="s">
        <v>4092</v>
      </c>
      <c r="B1210" s="50" t="s">
        <v>4177</v>
      </c>
      <c r="C1210" s="50" t="s">
        <v>4271</v>
      </c>
      <c r="D1210" s="50" t="s">
        <v>4182</v>
      </c>
      <c r="E1210" s="12">
        <v>95</v>
      </c>
      <c r="F1210" s="49">
        <v>33580</v>
      </c>
      <c r="G1210" s="67" t="s">
        <v>5647</v>
      </c>
      <c r="H1210" s="14" t="s">
        <v>5601</v>
      </c>
      <c r="I1210" s="14" t="s">
        <v>2458</v>
      </c>
      <c r="J1210" s="33" t="s">
        <v>7110</v>
      </c>
      <c r="K1210" s="33" t="s">
        <v>4307</v>
      </c>
      <c r="L1210" s="68">
        <v>0</v>
      </c>
      <c r="M1210" s="68" t="s">
        <v>8915</v>
      </c>
      <c r="N1210" s="68">
        <v>0</v>
      </c>
      <c r="O1210" s="68">
        <v>0</v>
      </c>
      <c r="P1210" s="198" t="s">
        <v>5714</v>
      </c>
    </row>
    <row r="1211" spans="1:16" ht="18.75" hidden="1">
      <c r="A1211" s="50" t="s">
        <v>4092</v>
      </c>
      <c r="B1211" s="50" t="s">
        <v>4177</v>
      </c>
      <c r="C1211" s="50" t="s">
        <v>4272</v>
      </c>
      <c r="D1211" s="50" t="s">
        <v>4180</v>
      </c>
      <c r="E1211" s="12">
        <v>95</v>
      </c>
      <c r="F1211" s="49">
        <v>44980</v>
      </c>
      <c r="G1211" s="67" t="s">
        <v>5683</v>
      </c>
      <c r="H1211" s="14" t="s">
        <v>5601</v>
      </c>
      <c r="I1211" s="14" t="s">
        <v>2458</v>
      </c>
      <c r="J1211" s="33" t="s">
        <v>7110</v>
      </c>
      <c r="K1211" s="33" t="s">
        <v>4307</v>
      </c>
      <c r="L1211" s="68">
        <v>0</v>
      </c>
      <c r="M1211" s="68" t="s">
        <v>8915</v>
      </c>
      <c r="N1211" s="68">
        <v>0</v>
      </c>
      <c r="O1211" s="68">
        <v>0</v>
      </c>
      <c r="P1211" s="198" t="s">
        <v>5718</v>
      </c>
    </row>
    <row r="1212" spans="1:16" ht="18.75" hidden="1">
      <c r="A1212" s="50" t="s">
        <v>4092</v>
      </c>
      <c r="B1212" s="50" t="s">
        <v>4177</v>
      </c>
      <c r="C1212" s="50" t="s">
        <v>4270</v>
      </c>
      <c r="D1212" s="50" t="s">
        <v>3932</v>
      </c>
      <c r="E1212" s="12">
        <v>95</v>
      </c>
      <c r="F1212" s="49">
        <v>12940</v>
      </c>
      <c r="G1212" s="67" t="s">
        <v>5611</v>
      </c>
      <c r="H1212" s="14" t="s">
        <v>5601</v>
      </c>
      <c r="I1212" s="14" t="s">
        <v>2458</v>
      </c>
      <c r="J1212" s="33" t="s">
        <v>7110</v>
      </c>
      <c r="K1212" s="33" t="s">
        <v>4307</v>
      </c>
      <c r="L1212" s="68">
        <v>0</v>
      </c>
      <c r="M1212" s="68" t="s">
        <v>8915</v>
      </c>
      <c r="N1212" s="68">
        <v>0</v>
      </c>
      <c r="O1212" s="68">
        <v>0</v>
      </c>
      <c r="P1212" s="198" t="s">
        <v>5694</v>
      </c>
    </row>
    <row r="1213" spans="1:16" ht="18.75" hidden="1">
      <c r="A1213" s="50" t="s">
        <v>4090</v>
      </c>
      <c r="B1213" s="50" t="s">
        <v>3965</v>
      </c>
      <c r="C1213" s="50" t="s">
        <v>4269</v>
      </c>
      <c r="D1213" s="50" t="s">
        <v>3935</v>
      </c>
      <c r="E1213" s="12">
        <v>95</v>
      </c>
      <c r="F1213" s="49">
        <v>94340</v>
      </c>
      <c r="G1213" s="67" t="s">
        <v>5611</v>
      </c>
      <c r="H1213" s="14" t="s">
        <v>5601</v>
      </c>
      <c r="I1213" s="14" t="s">
        <v>2458</v>
      </c>
      <c r="J1213" s="33" t="s">
        <v>7110</v>
      </c>
      <c r="K1213" s="33" t="s">
        <v>4307</v>
      </c>
      <c r="L1213" s="68">
        <v>0</v>
      </c>
      <c r="M1213" s="68" t="s">
        <v>8915</v>
      </c>
      <c r="N1213" s="68">
        <v>0</v>
      </c>
      <c r="O1213" s="68">
        <v>0</v>
      </c>
      <c r="P1213" s="198" t="s">
        <v>5680</v>
      </c>
    </row>
    <row r="1214" spans="1:16" ht="18.75" hidden="1">
      <c r="A1214" s="50" t="s">
        <v>4089</v>
      </c>
      <c r="B1214" s="50" t="s">
        <v>4181</v>
      </c>
      <c r="C1214" s="50" t="s">
        <v>4273</v>
      </c>
      <c r="D1214" s="50" t="s">
        <v>3936</v>
      </c>
      <c r="E1214" s="12">
        <v>95</v>
      </c>
      <c r="F1214" s="49">
        <v>172320</v>
      </c>
      <c r="G1214" s="67" t="s">
        <v>5631</v>
      </c>
      <c r="H1214" s="14" t="s">
        <v>5601</v>
      </c>
      <c r="I1214" s="14" t="s">
        <v>2458</v>
      </c>
      <c r="J1214" s="33" t="s">
        <v>7110</v>
      </c>
      <c r="K1214" s="33" t="s">
        <v>4307</v>
      </c>
      <c r="L1214" s="68">
        <v>0</v>
      </c>
      <c r="M1214" s="68" t="s">
        <v>8915</v>
      </c>
      <c r="N1214" s="68">
        <v>0</v>
      </c>
      <c r="O1214" s="68">
        <v>0</v>
      </c>
      <c r="P1214" s="197" t="s">
        <v>5668</v>
      </c>
    </row>
    <row r="1215" spans="1:16" ht="18.75" hidden="1">
      <c r="A1215" s="50" t="s">
        <v>4089</v>
      </c>
      <c r="B1215" s="50" t="s">
        <v>4181</v>
      </c>
      <c r="C1215" s="50" t="s">
        <v>4265</v>
      </c>
      <c r="D1215" s="50" t="s">
        <v>3935</v>
      </c>
      <c r="E1215" s="12">
        <v>95</v>
      </c>
      <c r="F1215" s="49">
        <v>10520</v>
      </c>
      <c r="G1215" s="67" t="s">
        <v>5611</v>
      </c>
      <c r="H1215" s="14" t="s">
        <v>5601</v>
      </c>
      <c r="I1215" s="14" t="s">
        <v>2458</v>
      </c>
      <c r="J1215" s="33" t="s">
        <v>7110</v>
      </c>
      <c r="K1215" s="33" t="s">
        <v>4307</v>
      </c>
      <c r="L1215" s="68">
        <v>0</v>
      </c>
      <c r="M1215" s="68" t="s">
        <v>8915</v>
      </c>
      <c r="N1215" s="68">
        <v>0</v>
      </c>
      <c r="O1215" s="68">
        <v>0</v>
      </c>
      <c r="P1215" s="198" t="s">
        <v>5680</v>
      </c>
    </row>
    <row r="1216" spans="1:16" ht="18.75" hidden="1">
      <c r="A1216" s="50" t="s">
        <v>4092</v>
      </c>
      <c r="B1216" s="50" t="s">
        <v>4177</v>
      </c>
      <c r="C1216" s="50" t="s">
        <v>3980</v>
      </c>
      <c r="D1216" s="50" t="s">
        <v>3937</v>
      </c>
      <c r="E1216" s="12">
        <v>95</v>
      </c>
      <c r="F1216" s="49">
        <v>40120</v>
      </c>
      <c r="G1216" s="67" t="s">
        <v>5647</v>
      </c>
      <c r="H1216" s="14" t="s">
        <v>5601</v>
      </c>
      <c r="I1216" s="14" t="s">
        <v>2458</v>
      </c>
      <c r="J1216" s="33" t="s">
        <v>7110</v>
      </c>
      <c r="K1216" s="33" t="s">
        <v>4307</v>
      </c>
      <c r="L1216" s="68">
        <v>0</v>
      </c>
      <c r="M1216" s="68" t="s">
        <v>8915</v>
      </c>
      <c r="N1216" s="68">
        <v>0</v>
      </c>
      <c r="O1216" s="68">
        <v>0</v>
      </c>
      <c r="P1216" s="198" t="s">
        <v>5705</v>
      </c>
    </row>
    <row r="1217" spans="1:16" ht="18.75" hidden="1">
      <c r="A1217" s="50" t="s">
        <v>4095</v>
      </c>
      <c r="B1217" s="50" t="s">
        <v>3935</v>
      </c>
      <c r="C1217" s="50" t="s">
        <v>3976</v>
      </c>
      <c r="D1217" s="50" t="s">
        <v>3936</v>
      </c>
      <c r="E1217" s="12">
        <v>95</v>
      </c>
      <c r="F1217" s="49">
        <v>187460</v>
      </c>
      <c r="G1217" s="67" t="s">
        <v>5647</v>
      </c>
      <c r="H1217" s="14" t="s">
        <v>5601</v>
      </c>
      <c r="I1217" s="14" t="s">
        <v>2458</v>
      </c>
      <c r="J1217" s="33" t="s">
        <v>7110</v>
      </c>
      <c r="K1217" s="33" t="s">
        <v>4307</v>
      </c>
      <c r="L1217" s="68">
        <v>0</v>
      </c>
      <c r="M1217" s="68" t="s">
        <v>8915</v>
      </c>
      <c r="N1217" s="68">
        <v>0</v>
      </c>
      <c r="O1217" s="68">
        <v>0</v>
      </c>
      <c r="P1217" s="198" t="s">
        <v>5666</v>
      </c>
    </row>
    <row r="1218" spans="1:16" ht="18.75" hidden="1">
      <c r="A1218" s="50" t="s">
        <v>4091</v>
      </c>
      <c r="B1218" s="50" t="s">
        <v>4184</v>
      </c>
      <c r="C1218" s="50" t="s">
        <v>4273</v>
      </c>
      <c r="D1218" s="50" t="s">
        <v>3936</v>
      </c>
      <c r="E1218" s="12">
        <v>95</v>
      </c>
      <c r="F1218" s="49">
        <v>77300</v>
      </c>
      <c r="G1218" s="67" t="s">
        <v>5631</v>
      </c>
      <c r="H1218" s="14" t="s">
        <v>5601</v>
      </c>
      <c r="I1218" s="14" t="s">
        <v>2458</v>
      </c>
      <c r="J1218" s="33" t="s">
        <v>7110</v>
      </c>
      <c r="K1218" s="33" t="s">
        <v>4307</v>
      </c>
      <c r="L1218" s="68">
        <v>0</v>
      </c>
      <c r="M1218" s="68" t="s">
        <v>8915</v>
      </c>
      <c r="N1218" s="68">
        <v>0</v>
      </c>
      <c r="O1218" s="68">
        <v>0</v>
      </c>
      <c r="P1218" s="197" t="s">
        <v>5668</v>
      </c>
    </row>
    <row r="1219" spans="1:16" ht="18.75" hidden="1">
      <c r="A1219" s="50" t="s">
        <v>4095</v>
      </c>
      <c r="B1219" s="50" t="s">
        <v>3935</v>
      </c>
      <c r="C1219" s="50" t="s">
        <v>4274</v>
      </c>
      <c r="D1219" s="50" t="s">
        <v>3936</v>
      </c>
      <c r="E1219" s="12">
        <v>95</v>
      </c>
      <c r="F1219" s="49">
        <v>67620</v>
      </c>
      <c r="G1219" s="67" t="s">
        <v>5683</v>
      </c>
      <c r="H1219" s="14" t="s">
        <v>5601</v>
      </c>
      <c r="I1219" s="14" t="s">
        <v>2458</v>
      </c>
      <c r="J1219" s="33" t="s">
        <v>7110</v>
      </c>
      <c r="K1219" s="33" t="s">
        <v>4307</v>
      </c>
      <c r="L1219" s="68">
        <v>0</v>
      </c>
      <c r="M1219" s="68" t="s">
        <v>8915</v>
      </c>
      <c r="N1219" s="68">
        <v>0</v>
      </c>
      <c r="O1219" s="68">
        <v>0</v>
      </c>
      <c r="P1219" s="198" t="s">
        <v>5684</v>
      </c>
    </row>
    <row r="1220" spans="1:16" ht="18.75" hidden="1">
      <c r="A1220" s="50" t="s">
        <v>4089</v>
      </c>
      <c r="B1220" s="50" t="s">
        <v>4181</v>
      </c>
      <c r="C1220" s="50" t="s">
        <v>4275</v>
      </c>
      <c r="D1220" s="50" t="s">
        <v>3933</v>
      </c>
      <c r="E1220" s="12">
        <v>95</v>
      </c>
      <c r="F1220" s="49">
        <v>71880</v>
      </c>
      <c r="G1220" s="67" t="s">
        <v>5631</v>
      </c>
      <c r="H1220" s="14" t="s">
        <v>5601</v>
      </c>
      <c r="I1220" s="14" t="s">
        <v>2458</v>
      </c>
      <c r="J1220" s="33" t="s">
        <v>7110</v>
      </c>
      <c r="K1220" s="33" t="s">
        <v>4307</v>
      </c>
      <c r="L1220" s="68">
        <v>0</v>
      </c>
      <c r="M1220" s="68" t="s">
        <v>8915</v>
      </c>
      <c r="N1220" s="68">
        <v>0</v>
      </c>
      <c r="O1220" s="68">
        <v>0</v>
      </c>
      <c r="P1220" s="197" t="s">
        <v>5698</v>
      </c>
    </row>
    <row r="1221" spans="1:16" ht="18.75" hidden="1">
      <c r="A1221" s="50" t="s">
        <v>4096</v>
      </c>
      <c r="B1221" s="50" t="s">
        <v>4182</v>
      </c>
      <c r="C1221" s="50" t="s">
        <v>3981</v>
      </c>
      <c r="D1221" s="50" t="s">
        <v>3937</v>
      </c>
      <c r="E1221" s="12">
        <v>95</v>
      </c>
      <c r="F1221" s="49">
        <v>142320</v>
      </c>
      <c r="G1221" s="67" t="s">
        <v>5647</v>
      </c>
      <c r="H1221" s="14" t="s">
        <v>5601</v>
      </c>
      <c r="I1221" s="14" t="s">
        <v>2458</v>
      </c>
      <c r="J1221" s="33" t="s">
        <v>7110</v>
      </c>
      <c r="K1221" s="33" t="s">
        <v>4307</v>
      </c>
      <c r="L1221" s="68">
        <v>0</v>
      </c>
      <c r="M1221" s="68" t="s">
        <v>8915</v>
      </c>
      <c r="N1221" s="68">
        <v>0</v>
      </c>
      <c r="O1221" s="68">
        <v>0</v>
      </c>
      <c r="P1221" s="198" t="s">
        <v>5704</v>
      </c>
    </row>
    <row r="1222" spans="1:16" ht="18.75" hidden="1">
      <c r="A1222" s="50" t="s">
        <v>4091</v>
      </c>
      <c r="B1222" s="50" t="s">
        <v>4184</v>
      </c>
      <c r="C1222" s="50" t="s">
        <v>4275</v>
      </c>
      <c r="D1222" s="50" t="s">
        <v>3933</v>
      </c>
      <c r="E1222" s="12">
        <v>95</v>
      </c>
      <c r="F1222" s="49">
        <v>73355</v>
      </c>
      <c r="G1222" s="67" t="s">
        <v>5631</v>
      </c>
      <c r="H1222" s="14" t="s">
        <v>5601</v>
      </c>
      <c r="I1222" s="14" t="s">
        <v>2458</v>
      </c>
      <c r="J1222" s="33" t="s">
        <v>7110</v>
      </c>
      <c r="K1222" s="33" t="s">
        <v>4307</v>
      </c>
      <c r="L1222" s="68">
        <v>0</v>
      </c>
      <c r="M1222" s="68" t="s">
        <v>8915</v>
      </c>
      <c r="N1222" s="68">
        <v>0</v>
      </c>
      <c r="O1222" s="68">
        <v>0</v>
      </c>
      <c r="P1222" s="197" t="s">
        <v>5698</v>
      </c>
    </row>
    <row r="1223" spans="1:16" ht="18.75" hidden="1">
      <c r="A1223" s="50" t="s">
        <v>4097</v>
      </c>
      <c r="B1223" s="50" t="s">
        <v>4178</v>
      </c>
      <c r="C1223" s="50" t="s">
        <v>4276</v>
      </c>
      <c r="D1223" s="50" t="s">
        <v>4184</v>
      </c>
      <c r="E1223" s="12">
        <v>95</v>
      </c>
      <c r="F1223" s="49">
        <v>50630</v>
      </c>
      <c r="G1223" s="67" t="s">
        <v>5611</v>
      </c>
      <c r="H1223" s="14" t="s">
        <v>5601</v>
      </c>
      <c r="I1223" s="14" t="s">
        <v>2458</v>
      </c>
      <c r="J1223" s="33" t="s">
        <v>7110</v>
      </c>
      <c r="K1223" s="33" t="s">
        <v>4307</v>
      </c>
      <c r="L1223" s="68">
        <v>0</v>
      </c>
      <c r="M1223" s="68" t="s">
        <v>8915</v>
      </c>
      <c r="N1223" s="68">
        <v>0</v>
      </c>
      <c r="O1223" s="68">
        <v>0</v>
      </c>
      <c r="P1223" s="198" t="s">
        <v>5694</v>
      </c>
    </row>
    <row r="1224" spans="1:16" ht="18.75" hidden="1">
      <c r="A1224" s="50" t="s">
        <v>4097</v>
      </c>
      <c r="B1224" s="50" t="s">
        <v>4178</v>
      </c>
      <c r="C1224" s="50" t="s">
        <v>4277</v>
      </c>
      <c r="D1224" s="50" t="s">
        <v>3854</v>
      </c>
      <c r="E1224" s="12">
        <v>95</v>
      </c>
      <c r="F1224" s="49">
        <v>60250</v>
      </c>
      <c r="G1224" s="67" t="s">
        <v>5611</v>
      </c>
      <c r="H1224" s="14" t="s">
        <v>5601</v>
      </c>
      <c r="I1224" s="14" t="s">
        <v>2458</v>
      </c>
      <c r="J1224" s="33" t="s">
        <v>7110</v>
      </c>
      <c r="K1224" s="33" t="s">
        <v>4307</v>
      </c>
      <c r="L1224" s="68">
        <v>0</v>
      </c>
      <c r="M1224" s="68" t="s">
        <v>8915</v>
      </c>
      <c r="N1224" s="68">
        <v>0</v>
      </c>
      <c r="O1224" s="68">
        <v>0</v>
      </c>
      <c r="P1224" s="198" t="s">
        <v>5680</v>
      </c>
    </row>
    <row r="1225" spans="1:16" ht="18.75" hidden="1">
      <c r="A1225" s="50" t="s">
        <v>4098</v>
      </c>
      <c r="B1225" s="50" t="s">
        <v>4179</v>
      </c>
      <c r="C1225" s="50" t="s">
        <v>4277</v>
      </c>
      <c r="D1225" s="50" t="s">
        <v>3854</v>
      </c>
      <c r="E1225" s="12">
        <v>95</v>
      </c>
      <c r="F1225" s="49">
        <v>149070</v>
      </c>
      <c r="G1225" s="67" t="s">
        <v>5611</v>
      </c>
      <c r="H1225" s="14" t="s">
        <v>5601</v>
      </c>
      <c r="I1225" s="14" t="s">
        <v>2458</v>
      </c>
      <c r="J1225" s="33" t="s">
        <v>7110</v>
      </c>
      <c r="K1225" s="33" t="s">
        <v>4307</v>
      </c>
      <c r="L1225" s="68">
        <v>0</v>
      </c>
      <c r="M1225" s="68" t="s">
        <v>8915</v>
      </c>
      <c r="N1225" s="68">
        <v>0</v>
      </c>
      <c r="O1225" s="68">
        <v>0</v>
      </c>
      <c r="P1225" s="198" t="s">
        <v>5680</v>
      </c>
    </row>
    <row r="1226" spans="1:16" ht="18.75" hidden="1">
      <c r="A1226" s="50" t="s">
        <v>4099</v>
      </c>
      <c r="B1226" s="50" t="s">
        <v>3933</v>
      </c>
      <c r="C1226" s="50" t="s">
        <v>3978</v>
      </c>
      <c r="D1226" s="50" t="s">
        <v>3932</v>
      </c>
      <c r="E1226" s="12">
        <v>95</v>
      </c>
      <c r="F1226" s="49">
        <v>292860</v>
      </c>
      <c r="G1226" s="67" t="s">
        <v>5647</v>
      </c>
      <c r="H1226" s="14" t="s">
        <v>5601</v>
      </c>
      <c r="I1226" s="14" t="s">
        <v>2458</v>
      </c>
      <c r="J1226" s="33" t="s">
        <v>7110</v>
      </c>
      <c r="K1226" s="33" t="s">
        <v>4307</v>
      </c>
      <c r="L1226" s="68">
        <v>0</v>
      </c>
      <c r="M1226" s="68" t="s">
        <v>8915</v>
      </c>
      <c r="N1226" s="68">
        <v>0</v>
      </c>
      <c r="O1226" s="68">
        <v>0</v>
      </c>
      <c r="P1226" s="198" t="s">
        <v>5692</v>
      </c>
    </row>
    <row r="1227" spans="1:16" ht="18.75" hidden="1">
      <c r="A1227" s="50" t="s">
        <v>4100</v>
      </c>
      <c r="B1227" s="50" t="s">
        <v>3933</v>
      </c>
      <c r="C1227" s="50" t="s">
        <v>3978</v>
      </c>
      <c r="D1227" s="50" t="s">
        <v>3932</v>
      </c>
      <c r="E1227" s="12">
        <v>95</v>
      </c>
      <c r="F1227" s="49">
        <v>23540</v>
      </c>
      <c r="G1227" s="67" t="s">
        <v>5647</v>
      </c>
      <c r="H1227" s="14" t="s">
        <v>5601</v>
      </c>
      <c r="I1227" s="14" t="s">
        <v>2458</v>
      </c>
      <c r="J1227" s="33" t="s">
        <v>7110</v>
      </c>
      <c r="K1227" s="33" t="s">
        <v>4307</v>
      </c>
      <c r="L1227" s="68">
        <v>0</v>
      </c>
      <c r="M1227" s="68" t="s">
        <v>8915</v>
      </c>
      <c r="N1227" s="68">
        <v>0</v>
      </c>
      <c r="O1227" s="68">
        <v>0</v>
      </c>
      <c r="P1227" s="198" t="s">
        <v>5692</v>
      </c>
    </row>
    <row r="1228" spans="1:16" ht="18.75" hidden="1">
      <c r="A1228" s="50" t="s">
        <v>4101</v>
      </c>
      <c r="B1228" s="50" t="s">
        <v>4179</v>
      </c>
      <c r="C1228" s="50" t="s">
        <v>4278</v>
      </c>
      <c r="D1228" s="50" t="s">
        <v>3937</v>
      </c>
      <c r="E1228" s="12">
        <v>95</v>
      </c>
      <c r="F1228" s="49">
        <v>69347</v>
      </c>
      <c r="G1228" s="67" t="s">
        <v>5633</v>
      </c>
      <c r="H1228" s="14" t="s">
        <v>5601</v>
      </c>
      <c r="I1228" s="14" t="s">
        <v>2458</v>
      </c>
      <c r="J1228" s="33" t="s">
        <v>7110</v>
      </c>
      <c r="K1228" s="33" t="s">
        <v>4307</v>
      </c>
      <c r="L1228" s="68">
        <v>0</v>
      </c>
      <c r="M1228" s="68" t="s">
        <v>8915</v>
      </c>
      <c r="N1228" s="68">
        <v>0</v>
      </c>
      <c r="O1228" s="68">
        <v>0</v>
      </c>
      <c r="P1228" s="198" t="s">
        <v>5706</v>
      </c>
    </row>
    <row r="1229" spans="1:16" ht="18.75" hidden="1">
      <c r="A1229" s="50" t="s">
        <v>4102</v>
      </c>
      <c r="B1229" s="50" t="s">
        <v>3937</v>
      </c>
      <c r="C1229" s="50" t="s">
        <v>4277</v>
      </c>
      <c r="D1229" s="50" t="s">
        <v>3854</v>
      </c>
      <c r="E1229" s="12">
        <v>95</v>
      </c>
      <c r="F1229" s="49">
        <v>248540</v>
      </c>
      <c r="G1229" s="67" t="s">
        <v>5611</v>
      </c>
      <c r="H1229" s="14" t="s">
        <v>5601</v>
      </c>
      <c r="I1229" s="14" t="s">
        <v>2458</v>
      </c>
      <c r="J1229" s="33" t="s">
        <v>7110</v>
      </c>
      <c r="K1229" s="33" t="s">
        <v>4307</v>
      </c>
      <c r="L1229" s="68">
        <v>0</v>
      </c>
      <c r="M1229" s="68" t="s">
        <v>8915</v>
      </c>
      <c r="N1229" s="68">
        <v>0</v>
      </c>
      <c r="O1229" s="68">
        <v>0</v>
      </c>
      <c r="P1229" s="198" t="s">
        <v>5680</v>
      </c>
    </row>
    <row r="1230" spans="1:16" ht="18.75" hidden="1">
      <c r="A1230" s="50" t="s">
        <v>4103</v>
      </c>
      <c r="B1230" s="50" t="s">
        <v>3937</v>
      </c>
      <c r="C1230" s="50" t="s">
        <v>4279</v>
      </c>
      <c r="D1230" s="50" t="s">
        <v>3932</v>
      </c>
      <c r="E1230" s="12">
        <v>95</v>
      </c>
      <c r="F1230" s="49">
        <v>335000</v>
      </c>
      <c r="G1230" s="67" t="s">
        <v>5647</v>
      </c>
      <c r="H1230" s="14" t="s">
        <v>5601</v>
      </c>
      <c r="I1230" s="14" t="s">
        <v>2458</v>
      </c>
      <c r="J1230" s="33" t="s">
        <v>7110</v>
      </c>
      <c r="K1230" s="33" t="s">
        <v>4307</v>
      </c>
      <c r="L1230" s="68">
        <v>0</v>
      </c>
      <c r="M1230" s="68" t="s">
        <v>8915</v>
      </c>
      <c r="N1230" s="68">
        <v>0</v>
      </c>
      <c r="O1230" s="68">
        <v>0</v>
      </c>
      <c r="P1230" s="198" t="s">
        <v>5693</v>
      </c>
    </row>
    <row r="1231" spans="1:16" ht="18.75" hidden="1">
      <c r="A1231" s="50" t="s">
        <v>4104</v>
      </c>
      <c r="B1231" s="50" t="s">
        <v>4180</v>
      </c>
      <c r="C1231" s="50" t="s">
        <v>3980</v>
      </c>
      <c r="D1231" s="50" t="s">
        <v>3937</v>
      </c>
      <c r="E1231" s="12">
        <v>95</v>
      </c>
      <c r="F1231" s="49">
        <v>142520</v>
      </c>
      <c r="G1231" s="67" t="s">
        <v>5647</v>
      </c>
      <c r="H1231" s="14" t="s">
        <v>5601</v>
      </c>
      <c r="I1231" s="14" t="s">
        <v>2458</v>
      </c>
      <c r="J1231" s="33" t="s">
        <v>7110</v>
      </c>
      <c r="K1231" s="33" t="s">
        <v>4307</v>
      </c>
      <c r="L1231" s="68">
        <v>0</v>
      </c>
      <c r="M1231" s="68" t="s">
        <v>8915</v>
      </c>
      <c r="N1231" s="68">
        <v>0</v>
      </c>
      <c r="O1231" s="68">
        <v>0</v>
      </c>
      <c r="P1231" s="198" t="s">
        <v>5705</v>
      </c>
    </row>
    <row r="1232" spans="1:16" ht="18.75" hidden="1">
      <c r="A1232" s="50" t="s">
        <v>4098</v>
      </c>
      <c r="B1232" s="50" t="s">
        <v>4179</v>
      </c>
      <c r="C1232" s="50" t="s">
        <v>4280</v>
      </c>
      <c r="D1232" s="50" t="s">
        <v>3932</v>
      </c>
      <c r="E1232" s="12">
        <v>95</v>
      </c>
      <c r="F1232" s="49">
        <v>24370</v>
      </c>
      <c r="G1232" s="67" t="s">
        <v>5611</v>
      </c>
      <c r="H1232" s="14" t="s">
        <v>5601</v>
      </c>
      <c r="I1232" s="14" t="s">
        <v>2458</v>
      </c>
      <c r="J1232" s="33" t="s">
        <v>7110</v>
      </c>
      <c r="K1232" s="33" t="s">
        <v>4307</v>
      </c>
      <c r="L1232" s="68">
        <v>0</v>
      </c>
      <c r="M1232" s="68" t="s">
        <v>8915</v>
      </c>
      <c r="N1232" s="68">
        <v>0</v>
      </c>
      <c r="O1232" s="68">
        <v>0</v>
      </c>
      <c r="P1232" s="198" t="s">
        <v>5694</v>
      </c>
    </row>
    <row r="1233" spans="1:16" ht="18.75" hidden="1">
      <c r="A1233" s="50" t="s">
        <v>4102</v>
      </c>
      <c r="B1233" s="50" t="s">
        <v>3937</v>
      </c>
      <c r="C1233" s="50" t="s">
        <v>4273</v>
      </c>
      <c r="D1233" s="50" t="s">
        <v>3936</v>
      </c>
      <c r="E1233" s="12">
        <v>95</v>
      </c>
      <c r="F1233" s="49">
        <v>25625</v>
      </c>
      <c r="G1233" s="67" t="s">
        <v>5631</v>
      </c>
      <c r="H1233" s="14" t="s">
        <v>5601</v>
      </c>
      <c r="I1233" s="14" t="s">
        <v>2458</v>
      </c>
      <c r="J1233" s="33" t="s">
        <v>7110</v>
      </c>
      <c r="K1233" s="33" t="s">
        <v>4307</v>
      </c>
      <c r="L1233" s="68">
        <v>0</v>
      </c>
      <c r="M1233" s="68" t="s">
        <v>8915</v>
      </c>
      <c r="N1233" s="68">
        <v>0</v>
      </c>
      <c r="O1233" s="68">
        <v>0</v>
      </c>
      <c r="P1233" s="197" t="s">
        <v>5668</v>
      </c>
    </row>
    <row r="1234" spans="1:16" ht="18.75" hidden="1">
      <c r="A1234" s="50" t="s">
        <v>4102</v>
      </c>
      <c r="B1234" s="50" t="s">
        <v>3937</v>
      </c>
      <c r="C1234" s="50" t="s">
        <v>4265</v>
      </c>
      <c r="D1234" s="50" t="s">
        <v>3935</v>
      </c>
      <c r="E1234" s="12">
        <v>95</v>
      </c>
      <c r="F1234" s="49">
        <v>250375</v>
      </c>
      <c r="G1234" s="67" t="s">
        <v>5611</v>
      </c>
      <c r="H1234" s="14" t="s">
        <v>5601</v>
      </c>
      <c r="I1234" s="14" t="s">
        <v>2458</v>
      </c>
      <c r="J1234" s="33" t="s">
        <v>7110</v>
      </c>
      <c r="K1234" s="33" t="s">
        <v>4307</v>
      </c>
      <c r="L1234" s="68">
        <v>0</v>
      </c>
      <c r="M1234" s="68" t="s">
        <v>8915</v>
      </c>
      <c r="N1234" s="68">
        <v>0</v>
      </c>
      <c r="O1234" s="68">
        <v>0</v>
      </c>
      <c r="P1234" s="198" t="s">
        <v>5680</v>
      </c>
    </row>
    <row r="1235" spans="1:16" ht="18.75" hidden="1">
      <c r="A1235" s="50" t="s">
        <v>4103</v>
      </c>
      <c r="B1235" s="50" t="s">
        <v>3937</v>
      </c>
      <c r="C1235" s="50" t="s">
        <v>4281</v>
      </c>
      <c r="D1235" s="50" t="s">
        <v>3935</v>
      </c>
      <c r="E1235" s="12">
        <v>95</v>
      </c>
      <c r="F1235" s="49">
        <v>23760</v>
      </c>
      <c r="G1235" s="67" t="s">
        <v>5611</v>
      </c>
      <c r="H1235" s="14" t="s">
        <v>5601</v>
      </c>
      <c r="I1235" s="14" t="s">
        <v>2458</v>
      </c>
      <c r="J1235" s="33" t="s">
        <v>7110</v>
      </c>
      <c r="K1235" s="33" t="s">
        <v>4307</v>
      </c>
      <c r="L1235" s="68">
        <v>0</v>
      </c>
      <c r="M1235" s="68" t="s">
        <v>8915</v>
      </c>
      <c r="N1235" s="68">
        <v>0</v>
      </c>
      <c r="O1235" s="68">
        <v>0</v>
      </c>
      <c r="P1235" s="198" t="s">
        <v>5680</v>
      </c>
    </row>
    <row r="1236" spans="1:16" ht="18.75" hidden="1">
      <c r="A1236" s="50" t="s">
        <v>4105</v>
      </c>
      <c r="B1236" s="50" t="s">
        <v>4187</v>
      </c>
      <c r="C1236" s="50" t="s">
        <v>4282</v>
      </c>
      <c r="D1236" s="50" t="s">
        <v>3831</v>
      </c>
      <c r="E1236" s="12">
        <v>95</v>
      </c>
      <c r="F1236" s="49">
        <v>101340</v>
      </c>
      <c r="G1236" s="67" t="s">
        <v>5611</v>
      </c>
      <c r="H1236" s="14" t="s">
        <v>5601</v>
      </c>
      <c r="I1236" s="14" t="s">
        <v>2458</v>
      </c>
      <c r="J1236" s="33" t="s">
        <v>7110</v>
      </c>
      <c r="K1236" s="33" t="s">
        <v>4307</v>
      </c>
      <c r="L1236" s="68">
        <v>0</v>
      </c>
      <c r="M1236" s="68" t="s">
        <v>8915</v>
      </c>
      <c r="N1236" s="68">
        <v>0</v>
      </c>
      <c r="O1236" s="68">
        <v>0</v>
      </c>
      <c r="P1236" s="198" t="s">
        <v>5659</v>
      </c>
    </row>
    <row r="1237" spans="1:16" ht="18.75" hidden="1">
      <c r="A1237" s="50" t="s">
        <v>4097</v>
      </c>
      <c r="B1237" s="50" t="s">
        <v>4178</v>
      </c>
      <c r="C1237" s="50" t="s">
        <v>4283</v>
      </c>
      <c r="D1237" s="50" t="s">
        <v>4182</v>
      </c>
      <c r="E1237" s="12">
        <v>95</v>
      </c>
      <c r="F1237" s="49">
        <v>46940</v>
      </c>
      <c r="G1237" s="67" t="s">
        <v>5631</v>
      </c>
      <c r="H1237" s="14" t="s">
        <v>5601</v>
      </c>
      <c r="I1237" s="14" t="s">
        <v>2458</v>
      </c>
      <c r="J1237" s="33" t="s">
        <v>7110</v>
      </c>
      <c r="K1237" s="33" t="s">
        <v>4307</v>
      </c>
      <c r="L1237" s="68">
        <v>0</v>
      </c>
      <c r="M1237" s="68" t="s">
        <v>8915</v>
      </c>
      <c r="N1237" s="68">
        <v>0</v>
      </c>
      <c r="O1237" s="68">
        <v>0</v>
      </c>
      <c r="P1237" s="197" t="s">
        <v>5712</v>
      </c>
    </row>
    <row r="1238" spans="1:16" ht="18.75" hidden="1">
      <c r="A1238" s="50" t="s">
        <v>4106</v>
      </c>
      <c r="B1238" s="50" t="s">
        <v>4178</v>
      </c>
      <c r="C1238" s="50" t="s">
        <v>4283</v>
      </c>
      <c r="D1238" s="50" t="s">
        <v>4182</v>
      </c>
      <c r="E1238" s="12">
        <v>95</v>
      </c>
      <c r="F1238" s="49">
        <v>195600</v>
      </c>
      <c r="G1238" s="67" t="s">
        <v>5631</v>
      </c>
      <c r="H1238" s="14" t="s">
        <v>5601</v>
      </c>
      <c r="I1238" s="14" t="s">
        <v>2458</v>
      </c>
      <c r="J1238" s="33" t="s">
        <v>7110</v>
      </c>
      <c r="K1238" s="33" t="s">
        <v>4307</v>
      </c>
      <c r="L1238" s="68">
        <v>0</v>
      </c>
      <c r="M1238" s="68" t="s">
        <v>8915</v>
      </c>
      <c r="N1238" s="68">
        <v>0</v>
      </c>
      <c r="O1238" s="68">
        <v>0</v>
      </c>
      <c r="P1238" s="197" t="s">
        <v>5712</v>
      </c>
    </row>
    <row r="1239" spans="1:16" ht="18.75" hidden="1">
      <c r="A1239" s="50" t="s">
        <v>4103</v>
      </c>
      <c r="B1239" s="50" t="s">
        <v>3937</v>
      </c>
      <c r="C1239" s="50" t="s">
        <v>4274</v>
      </c>
      <c r="D1239" s="50" t="s">
        <v>3936</v>
      </c>
      <c r="E1239" s="12">
        <v>95</v>
      </c>
      <c r="F1239" s="49">
        <v>48820</v>
      </c>
      <c r="G1239" s="67" t="s">
        <v>5683</v>
      </c>
      <c r="H1239" s="14" t="s">
        <v>5601</v>
      </c>
      <c r="I1239" s="14" t="s">
        <v>2458</v>
      </c>
      <c r="J1239" s="33" t="s">
        <v>7110</v>
      </c>
      <c r="K1239" s="33" t="s">
        <v>4307</v>
      </c>
      <c r="L1239" s="68">
        <v>0</v>
      </c>
      <c r="M1239" s="68" t="s">
        <v>8915</v>
      </c>
      <c r="N1239" s="68">
        <v>0</v>
      </c>
      <c r="O1239" s="68">
        <v>0</v>
      </c>
      <c r="P1239" s="198" t="s">
        <v>5684</v>
      </c>
    </row>
    <row r="1240" spans="1:16" ht="18.75" hidden="1">
      <c r="A1240" s="50" t="s">
        <v>4097</v>
      </c>
      <c r="B1240" s="50" t="s">
        <v>4178</v>
      </c>
      <c r="C1240" s="50" t="s">
        <v>4284</v>
      </c>
      <c r="D1240" s="50" t="s">
        <v>3854</v>
      </c>
      <c r="E1240" s="12">
        <v>95</v>
      </c>
      <c r="F1240" s="49">
        <v>10460</v>
      </c>
      <c r="G1240" s="67" t="s">
        <v>5611</v>
      </c>
      <c r="H1240" s="14" t="s">
        <v>5601</v>
      </c>
      <c r="I1240" s="14" t="s">
        <v>2458</v>
      </c>
      <c r="J1240" s="33" t="s">
        <v>7110</v>
      </c>
      <c r="K1240" s="33" t="s">
        <v>4307</v>
      </c>
      <c r="L1240" s="68">
        <v>0</v>
      </c>
      <c r="M1240" s="68" t="s">
        <v>8915</v>
      </c>
      <c r="N1240" s="68">
        <v>0</v>
      </c>
      <c r="O1240" s="68">
        <v>0</v>
      </c>
      <c r="P1240" s="198" t="s">
        <v>5680</v>
      </c>
    </row>
    <row r="1241" spans="1:16" ht="18.75" hidden="1">
      <c r="A1241" s="50" t="s">
        <v>4106</v>
      </c>
      <c r="B1241" s="50" t="s">
        <v>4178</v>
      </c>
      <c r="C1241" s="50" t="s">
        <v>4284</v>
      </c>
      <c r="D1241" s="50" t="s">
        <v>3854</v>
      </c>
      <c r="E1241" s="12">
        <v>95</v>
      </c>
      <c r="F1241" s="49">
        <v>48830</v>
      </c>
      <c r="G1241" s="67" t="s">
        <v>5611</v>
      </c>
      <c r="H1241" s="14" t="s">
        <v>5601</v>
      </c>
      <c r="I1241" s="14" t="s">
        <v>2458</v>
      </c>
      <c r="J1241" s="33" t="s">
        <v>7110</v>
      </c>
      <c r="K1241" s="33" t="s">
        <v>4307</v>
      </c>
      <c r="L1241" s="68">
        <v>0</v>
      </c>
      <c r="M1241" s="68" t="s">
        <v>8915</v>
      </c>
      <c r="N1241" s="68">
        <v>0</v>
      </c>
      <c r="O1241" s="68">
        <v>0</v>
      </c>
      <c r="P1241" s="198" t="s">
        <v>5680</v>
      </c>
    </row>
    <row r="1242" spans="1:16" ht="18.75" hidden="1">
      <c r="A1242" s="50" t="s">
        <v>4107</v>
      </c>
      <c r="B1242" s="50" t="s">
        <v>3932</v>
      </c>
      <c r="C1242" s="50" t="s">
        <v>4285</v>
      </c>
      <c r="D1242" s="50" t="s">
        <v>3935</v>
      </c>
      <c r="E1242" s="12">
        <v>95</v>
      </c>
      <c r="F1242" s="49">
        <v>250170</v>
      </c>
      <c r="G1242" s="67" t="s">
        <v>5611</v>
      </c>
      <c r="H1242" s="14" t="s">
        <v>5601</v>
      </c>
      <c r="I1242" s="14" t="s">
        <v>2458</v>
      </c>
      <c r="J1242" s="33" t="s">
        <v>7110</v>
      </c>
      <c r="K1242" s="33" t="s">
        <v>4307</v>
      </c>
      <c r="L1242" s="68">
        <v>0</v>
      </c>
      <c r="M1242" s="68" t="s">
        <v>8915</v>
      </c>
      <c r="N1242" s="68">
        <v>0</v>
      </c>
      <c r="O1242" s="68">
        <v>0</v>
      </c>
      <c r="P1242" s="198" t="s">
        <v>5680</v>
      </c>
    </row>
    <row r="1243" spans="1:16" ht="18.75" hidden="1">
      <c r="A1243" s="50" t="s">
        <v>4108</v>
      </c>
      <c r="B1243" s="50" t="s">
        <v>3936</v>
      </c>
      <c r="C1243" s="50" t="s">
        <v>4286</v>
      </c>
      <c r="D1243" s="50" t="s">
        <v>3714</v>
      </c>
      <c r="E1243" s="12">
        <v>95</v>
      </c>
      <c r="F1243" s="49">
        <v>63542</v>
      </c>
      <c r="G1243" s="67" t="s">
        <v>5611</v>
      </c>
      <c r="H1243" s="14" t="s">
        <v>5601</v>
      </c>
      <c r="I1243" s="14" t="s">
        <v>2458</v>
      </c>
      <c r="J1243" s="33" t="s">
        <v>7110</v>
      </c>
      <c r="K1243" s="33" t="s">
        <v>4307</v>
      </c>
      <c r="L1243" s="68">
        <v>0</v>
      </c>
      <c r="M1243" s="68" t="s">
        <v>8915</v>
      </c>
      <c r="N1243" s="68">
        <v>0</v>
      </c>
      <c r="O1243" s="68">
        <v>0</v>
      </c>
      <c r="P1243" s="198" t="s">
        <v>5659</v>
      </c>
    </row>
    <row r="1244" spans="1:16" ht="18.75" hidden="1">
      <c r="A1244" s="50" t="s">
        <v>4109</v>
      </c>
      <c r="B1244" s="50" t="s">
        <v>4176</v>
      </c>
      <c r="C1244" s="50" t="s">
        <v>3981</v>
      </c>
      <c r="D1244" s="50" t="s">
        <v>3937</v>
      </c>
      <c r="E1244" s="12">
        <v>95</v>
      </c>
      <c r="F1244" s="49">
        <v>70400</v>
      </c>
      <c r="G1244" s="67" t="s">
        <v>5647</v>
      </c>
      <c r="H1244" s="14" t="s">
        <v>5601</v>
      </c>
      <c r="I1244" s="14" t="s">
        <v>2458</v>
      </c>
      <c r="J1244" s="33" t="s">
        <v>7110</v>
      </c>
      <c r="K1244" s="33" t="s">
        <v>4307</v>
      </c>
      <c r="L1244" s="68">
        <v>0</v>
      </c>
      <c r="M1244" s="68" t="s">
        <v>8915</v>
      </c>
      <c r="N1244" s="68">
        <v>0</v>
      </c>
      <c r="O1244" s="68">
        <v>0</v>
      </c>
      <c r="P1244" s="198" t="s">
        <v>5704</v>
      </c>
    </row>
    <row r="1245" spans="1:16" ht="18.75" hidden="1">
      <c r="A1245" s="50" t="s">
        <v>4110</v>
      </c>
      <c r="B1245" s="50" t="s">
        <v>4184</v>
      </c>
      <c r="C1245" s="50" t="s">
        <v>4275</v>
      </c>
      <c r="D1245" s="50" t="s">
        <v>3933</v>
      </c>
      <c r="E1245" s="12">
        <v>95</v>
      </c>
      <c r="F1245" s="49">
        <v>70560</v>
      </c>
      <c r="G1245" s="67" t="s">
        <v>5631</v>
      </c>
      <c r="H1245" s="14" t="s">
        <v>5601</v>
      </c>
      <c r="I1245" s="14" t="s">
        <v>2458</v>
      </c>
      <c r="J1245" s="33" t="s">
        <v>7110</v>
      </c>
      <c r="K1245" s="33" t="s">
        <v>4307</v>
      </c>
      <c r="L1245" s="68">
        <v>0</v>
      </c>
      <c r="M1245" s="68" t="s">
        <v>8915</v>
      </c>
      <c r="N1245" s="68">
        <v>0</v>
      </c>
      <c r="O1245" s="68">
        <v>0</v>
      </c>
      <c r="P1245" s="197" t="s">
        <v>5698</v>
      </c>
    </row>
    <row r="1246" spans="1:16" ht="18.75" hidden="1">
      <c r="A1246" s="50" t="s">
        <v>4111</v>
      </c>
      <c r="B1246" s="50" t="s">
        <v>3933</v>
      </c>
      <c r="C1246" s="50" t="s">
        <v>4285</v>
      </c>
      <c r="D1246" s="50" t="s">
        <v>3935</v>
      </c>
      <c r="E1246" s="12">
        <v>95</v>
      </c>
      <c r="F1246" s="49">
        <v>148580</v>
      </c>
      <c r="G1246" s="67" t="s">
        <v>5611</v>
      </c>
      <c r="H1246" s="14" t="s">
        <v>5601</v>
      </c>
      <c r="I1246" s="14" t="s">
        <v>2458</v>
      </c>
      <c r="J1246" s="33" t="s">
        <v>7110</v>
      </c>
      <c r="K1246" s="33" t="s">
        <v>4307</v>
      </c>
      <c r="L1246" s="68">
        <v>0</v>
      </c>
      <c r="M1246" s="68" t="s">
        <v>8915</v>
      </c>
      <c r="N1246" s="68">
        <v>0</v>
      </c>
      <c r="O1246" s="68">
        <v>0</v>
      </c>
      <c r="P1246" s="198" t="s">
        <v>5680</v>
      </c>
    </row>
    <row r="1247" spans="1:16" ht="18.75" hidden="1">
      <c r="A1247" s="50" t="s">
        <v>4112</v>
      </c>
      <c r="B1247" s="50" t="s">
        <v>3902</v>
      </c>
      <c r="C1247" s="50" t="s">
        <v>3842</v>
      </c>
      <c r="D1247" s="50" t="s">
        <v>3768</v>
      </c>
      <c r="E1247" s="12">
        <v>95</v>
      </c>
      <c r="F1247" s="49">
        <v>136660</v>
      </c>
      <c r="G1247" s="67" t="s">
        <v>5611</v>
      </c>
      <c r="H1247" s="14" t="s">
        <v>5601</v>
      </c>
      <c r="I1247" s="14" t="s">
        <v>2458</v>
      </c>
      <c r="J1247" s="33" t="s">
        <v>7110</v>
      </c>
      <c r="K1247" s="33" t="s">
        <v>4307</v>
      </c>
      <c r="L1247" s="68">
        <v>0</v>
      </c>
      <c r="M1247" s="68" t="s">
        <v>8915</v>
      </c>
      <c r="N1247" s="68">
        <v>0</v>
      </c>
      <c r="O1247" s="68">
        <v>0</v>
      </c>
      <c r="P1247" s="198" t="s">
        <v>5675</v>
      </c>
    </row>
    <row r="1248" spans="1:16" ht="18.75" hidden="1">
      <c r="A1248" s="50" t="s">
        <v>4113</v>
      </c>
      <c r="B1248" s="50" t="s">
        <v>3965</v>
      </c>
      <c r="C1248" s="50" t="s">
        <v>4287</v>
      </c>
      <c r="D1248" s="50" t="s">
        <v>3854</v>
      </c>
      <c r="E1248" s="12">
        <v>95</v>
      </c>
      <c r="F1248" s="49">
        <v>261060</v>
      </c>
      <c r="G1248" s="67" t="s">
        <v>5647</v>
      </c>
      <c r="H1248" s="14" t="s">
        <v>5601</v>
      </c>
      <c r="I1248" s="14" t="s">
        <v>2458</v>
      </c>
      <c r="J1248" s="33" t="s">
        <v>7110</v>
      </c>
      <c r="K1248" s="33" t="s">
        <v>4307</v>
      </c>
      <c r="L1248" s="68">
        <v>0</v>
      </c>
      <c r="M1248" s="68" t="s">
        <v>8915</v>
      </c>
      <c r="N1248" s="68">
        <v>0</v>
      </c>
      <c r="O1248" s="68">
        <v>0</v>
      </c>
      <c r="P1248" s="198" t="s">
        <v>5687</v>
      </c>
    </row>
    <row r="1249" spans="1:16" ht="18.75" hidden="1">
      <c r="A1249" s="50" t="s">
        <v>4110</v>
      </c>
      <c r="B1249" s="50" t="s">
        <v>4184</v>
      </c>
      <c r="C1249" s="50" t="s">
        <v>4268</v>
      </c>
      <c r="D1249" s="50" t="s">
        <v>3936</v>
      </c>
      <c r="E1249" s="12">
        <v>95</v>
      </c>
      <c r="F1249" s="49">
        <v>92020</v>
      </c>
      <c r="G1249" s="67" t="s">
        <v>5611</v>
      </c>
      <c r="H1249" s="14" t="s">
        <v>5601</v>
      </c>
      <c r="I1249" s="14" t="s">
        <v>2458</v>
      </c>
      <c r="J1249" s="33" t="s">
        <v>7110</v>
      </c>
      <c r="K1249" s="33" t="s">
        <v>4307</v>
      </c>
      <c r="L1249" s="68">
        <v>0</v>
      </c>
      <c r="M1249" s="68" t="s">
        <v>8915</v>
      </c>
      <c r="N1249" s="68">
        <v>0</v>
      </c>
      <c r="O1249" s="68">
        <v>0</v>
      </c>
      <c r="P1249" s="198" t="s">
        <v>5680</v>
      </c>
    </row>
    <row r="1250" spans="1:16" ht="18.75" hidden="1">
      <c r="A1250" s="50" t="s">
        <v>4113</v>
      </c>
      <c r="B1250" s="50" t="s">
        <v>3965</v>
      </c>
      <c r="C1250" s="50" t="s">
        <v>4288</v>
      </c>
      <c r="D1250" s="50" t="s">
        <v>3935</v>
      </c>
      <c r="E1250" s="12">
        <v>95</v>
      </c>
      <c r="F1250" s="49">
        <v>114840</v>
      </c>
      <c r="G1250" s="67" t="s">
        <v>5611</v>
      </c>
      <c r="H1250" s="14" t="s">
        <v>5601</v>
      </c>
      <c r="I1250" s="14" t="s">
        <v>2458</v>
      </c>
      <c r="J1250" s="33" t="s">
        <v>7110</v>
      </c>
      <c r="K1250" s="33" t="s">
        <v>4307</v>
      </c>
      <c r="L1250" s="68">
        <v>0</v>
      </c>
      <c r="M1250" s="68" t="s">
        <v>8915</v>
      </c>
      <c r="N1250" s="68">
        <v>0</v>
      </c>
      <c r="O1250" s="68">
        <v>0</v>
      </c>
      <c r="P1250" s="198" t="s">
        <v>5680</v>
      </c>
    </row>
    <row r="1251" spans="1:16" ht="18.75" hidden="1">
      <c r="A1251" s="50" t="s">
        <v>4113</v>
      </c>
      <c r="B1251" s="50" t="s">
        <v>3965</v>
      </c>
      <c r="C1251" s="50" t="s">
        <v>3977</v>
      </c>
      <c r="D1251" s="50" t="s">
        <v>3935</v>
      </c>
      <c r="E1251" s="12">
        <v>95</v>
      </c>
      <c r="F1251" s="49">
        <v>47560</v>
      </c>
      <c r="G1251" s="67" t="s">
        <v>5647</v>
      </c>
      <c r="H1251" s="14" t="s">
        <v>5601</v>
      </c>
      <c r="I1251" s="14" t="s">
        <v>2458</v>
      </c>
      <c r="J1251" s="33" t="s">
        <v>7110</v>
      </c>
      <c r="K1251" s="33" t="s">
        <v>4307</v>
      </c>
      <c r="L1251" s="68">
        <v>0</v>
      </c>
      <c r="M1251" s="68" t="s">
        <v>8915</v>
      </c>
      <c r="N1251" s="68">
        <v>0</v>
      </c>
      <c r="O1251" s="68">
        <v>0</v>
      </c>
      <c r="P1251" s="198" t="s">
        <v>5685</v>
      </c>
    </row>
    <row r="1252" spans="1:16" ht="18.75" hidden="1">
      <c r="A1252" s="50" t="s">
        <v>4107</v>
      </c>
      <c r="B1252" s="50" t="s">
        <v>3932</v>
      </c>
      <c r="C1252" s="50" t="s">
        <v>4265</v>
      </c>
      <c r="D1252" s="50" t="s">
        <v>3935</v>
      </c>
      <c r="E1252" s="12">
        <v>95</v>
      </c>
      <c r="F1252" s="49">
        <v>49850</v>
      </c>
      <c r="G1252" s="67" t="s">
        <v>5611</v>
      </c>
      <c r="H1252" s="14" t="s">
        <v>5601</v>
      </c>
      <c r="I1252" s="14" t="s">
        <v>2458</v>
      </c>
      <c r="J1252" s="33" t="s">
        <v>7110</v>
      </c>
      <c r="K1252" s="33" t="s">
        <v>4307</v>
      </c>
      <c r="L1252" s="68">
        <v>0</v>
      </c>
      <c r="M1252" s="68" t="s">
        <v>8915</v>
      </c>
      <c r="N1252" s="68">
        <v>0</v>
      </c>
      <c r="O1252" s="68">
        <v>0</v>
      </c>
      <c r="P1252" s="198" t="s">
        <v>5680</v>
      </c>
    </row>
    <row r="1253" spans="1:16" ht="18.75" hidden="1">
      <c r="A1253" s="50" t="s">
        <v>4114</v>
      </c>
      <c r="B1253" s="50" t="s">
        <v>4184</v>
      </c>
      <c r="C1253" s="50" t="s">
        <v>4289</v>
      </c>
      <c r="D1253" s="50" t="s">
        <v>3825</v>
      </c>
      <c r="E1253" s="12">
        <v>95</v>
      </c>
      <c r="F1253" s="49">
        <v>47100</v>
      </c>
      <c r="G1253" s="67" t="s">
        <v>5611</v>
      </c>
      <c r="H1253" s="14" t="s">
        <v>5601</v>
      </c>
      <c r="I1253" s="14" t="s">
        <v>2458</v>
      </c>
      <c r="J1253" s="33" t="s">
        <v>7110</v>
      </c>
      <c r="K1253" s="33" t="s">
        <v>4307</v>
      </c>
      <c r="L1253" s="68">
        <v>0</v>
      </c>
      <c r="M1253" s="68" t="s">
        <v>8915</v>
      </c>
      <c r="N1253" s="68">
        <v>0</v>
      </c>
      <c r="O1253" s="68">
        <v>0</v>
      </c>
      <c r="P1253" s="198" t="s">
        <v>5680</v>
      </c>
    </row>
    <row r="1254" spans="1:16" ht="18.75" hidden="1">
      <c r="A1254" s="50" t="s">
        <v>4113</v>
      </c>
      <c r="B1254" s="50" t="s">
        <v>3965</v>
      </c>
      <c r="C1254" s="50" t="s">
        <v>4290</v>
      </c>
      <c r="D1254" s="50" t="s">
        <v>3936</v>
      </c>
      <c r="E1254" s="12">
        <v>95</v>
      </c>
      <c r="F1254" s="49">
        <v>49160</v>
      </c>
      <c r="G1254" s="67" t="s">
        <v>5611</v>
      </c>
      <c r="H1254" s="14" t="s">
        <v>5601</v>
      </c>
      <c r="I1254" s="14" t="s">
        <v>2458</v>
      </c>
      <c r="J1254" s="33" t="s">
        <v>7110</v>
      </c>
      <c r="K1254" s="33" t="s">
        <v>4307</v>
      </c>
      <c r="L1254" s="68">
        <v>0</v>
      </c>
      <c r="M1254" s="68" t="s">
        <v>8915</v>
      </c>
      <c r="N1254" s="68">
        <v>0</v>
      </c>
      <c r="O1254" s="68">
        <v>0</v>
      </c>
      <c r="P1254" s="198" t="s">
        <v>5680</v>
      </c>
    </row>
    <row r="1255" spans="1:16" ht="18.75" hidden="1">
      <c r="A1255" s="50" t="s">
        <v>4113</v>
      </c>
      <c r="B1255" s="50" t="s">
        <v>3965</v>
      </c>
      <c r="C1255" s="50" t="s">
        <v>3837</v>
      </c>
      <c r="D1255" s="50" t="s">
        <v>3828</v>
      </c>
      <c r="E1255" s="12">
        <v>95</v>
      </c>
      <c r="F1255" s="49">
        <v>22980</v>
      </c>
      <c r="G1255" s="67" t="s">
        <v>5631</v>
      </c>
      <c r="H1255" s="14" t="s">
        <v>5601</v>
      </c>
      <c r="I1255" s="14" t="s">
        <v>2458</v>
      </c>
      <c r="J1255" s="33" t="s">
        <v>7110</v>
      </c>
      <c r="K1255" s="33" t="s">
        <v>4307</v>
      </c>
      <c r="L1255" s="68">
        <v>0</v>
      </c>
      <c r="M1255" s="68" t="s">
        <v>8915</v>
      </c>
      <c r="N1255" s="68">
        <v>0</v>
      </c>
      <c r="O1255" s="68">
        <v>0</v>
      </c>
      <c r="P1255" s="197" t="s">
        <v>5668</v>
      </c>
    </row>
    <row r="1256" spans="1:16" ht="18.75" hidden="1">
      <c r="A1256" s="50" t="s">
        <v>4108</v>
      </c>
      <c r="B1256" s="50" t="s">
        <v>3936</v>
      </c>
      <c r="C1256" s="50" t="s">
        <v>4282</v>
      </c>
      <c r="D1256" s="50" t="s">
        <v>3831</v>
      </c>
      <c r="E1256" s="12">
        <v>95</v>
      </c>
      <c r="F1256" s="49">
        <v>48660</v>
      </c>
      <c r="G1256" s="67" t="s">
        <v>5611</v>
      </c>
      <c r="H1256" s="14" t="s">
        <v>5601</v>
      </c>
      <c r="I1256" s="14" t="s">
        <v>2458</v>
      </c>
      <c r="J1256" s="33" t="s">
        <v>7110</v>
      </c>
      <c r="K1256" s="33" t="s">
        <v>4307</v>
      </c>
      <c r="L1256" s="68">
        <v>0</v>
      </c>
      <c r="M1256" s="68" t="s">
        <v>8915</v>
      </c>
      <c r="N1256" s="68">
        <v>0</v>
      </c>
      <c r="O1256" s="68">
        <v>0</v>
      </c>
      <c r="P1256" s="198" t="s">
        <v>5659</v>
      </c>
    </row>
    <row r="1257" spans="1:16" ht="18.75" hidden="1">
      <c r="A1257" s="50" t="s">
        <v>4113</v>
      </c>
      <c r="B1257" s="50" t="s">
        <v>3965</v>
      </c>
      <c r="C1257" s="50" t="s">
        <v>4291</v>
      </c>
      <c r="D1257" s="50" t="s">
        <v>3902</v>
      </c>
      <c r="E1257" s="12">
        <v>95</v>
      </c>
      <c r="F1257" s="49">
        <v>223940</v>
      </c>
      <c r="G1257" s="67" t="s">
        <v>5611</v>
      </c>
      <c r="H1257" s="14" t="s">
        <v>5601</v>
      </c>
      <c r="I1257" s="14" t="s">
        <v>2458</v>
      </c>
      <c r="J1257" s="33" t="s">
        <v>7110</v>
      </c>
      <c r="K1257" s="33" t="s">
        <v>4307</v>
      </c>
      <c r="L1257" s="68">
        <v>0</v>
      </c>
      <c r="M1257" s="68" t="s">
        <v>8915</v>
      </c>
      <c r="N1257" s="68">
        <v>0</v>
      </c>
      <c r="O1257" s="68">
        <v>0</v>
      </c>
      <c r="P1257" s="198" t="s">
        <v>5680</v>
      </c>
    </row>
    <row r="1258" spans="1:16" ht="18.75" hidden="1">
      <c r="A1258" s="50" t="s">
        <v>4115</v>
      </c>
      <c r="B1258" s="50" t="s">
        <v>4186</v>
      </c>
      <c r="C1258" s="50" t="s">
        <v>4265</v>
      </c>
      <c r="D1258" s="50" t="s">
        <v>3935</v>
      </c>
      <c r="E1258" s="12">
        <v>95</v>
      </c>
      <c r="F1258" s="49">
        <v>45680</v>
      </c>
      <c r="G1258" s="67" t="s">
        <v>5611</v>
      </c>
      <c r="H1258" s="14" t="s">
        <v>5601</v>
      </c>
      <c r="I1258" s="14" t="s">
        <v>2458</v>
      </c>
      <c r="J1258" s="33" t="s">
        <v>7110</v>
      </c>
      <c r="K1258" s="33" t="s">
        <v>4307</v>
      </c>
      <c r="L1258" s="68">
        <v>0</v>
      </c>
      <c r="M1258" s="68" t="s">
        <v>8915</v>
      </c>
      <c r="N1258" s="68">
        <v>0</v>
      </c>
      <c r="O1258" s="68">
        <v>0</v>
      </c>
      <c r="P1258" s="198" t="s">
        <v>5680</v>
      </c>
    </row>
    <row r="1259" spans="1:16" ht="18.75" hidden="1">
      <c r="A1259" s="50" t="s">
        <v>4115</v>
      </c>
      <c r="B1259" s="50" t="s">
        <v>4186</v>
      </c>
      <c r="C1259" s="50" t="s">
        <v>4292</v>
      </c>
      <c r="D1259" s="50" t="s">
        <v>3820</v>
      </c>
      <c r="E1259" s="12">
        <v>95</v>
      </c>
      <c r="F1259" s="49">
        <v>34285</v>
      </c>
      <c r="G1259" s="67" t="s">
        <v>5631</v>
      </c>
      <c r="H1259" s="14" t="s">
        <v>5601</v>
      </c>
      <c r="I1259" s="14" t="s">
        <v>2458</v>
      </c>
      <c r="J1259" s="33" t="s">
        <v>7110</v>
      </c>
      <c r="K1259" s="33" t="s">
        <v>4307</v>
      </c>
      <c r="L1259" s="68">
        <v>0</v>
      </c>
      <c r="M1259" s="68" t="s">
        <v>8915</v>
      </c>
      <c r="N1259" s="68">
        <v>0</v>
      </c>
      <c r="O1259" s="68">
        <v>0</v>
      </c>
      <c r="P1259" s="197" t="s">
        <v>5662</v>
      </c>
    </row>
    <row r="1260" spans="1:16" ht="18.75" hidden="1">
      <c r="A1260" s="50" t="s">
        <v>4116</v>
      </c>
      <c r="B1260" s="50" t="s">
        <v>4182</v>
      </c>
      <c r="C1260" s="50" t="s">
        <v>4292</v>
      </c>
      <c r="D1260" s="50" t="s">
        <v>3820</v>
      </c>
      <c r="E1260" s="12">
        <v>95</v>
      </c>
      <c r="F1260" s="49">
        <v>29000</v>
      </c>
      <c r="G1260" s="67" t="s">
        <v>5631</v>
      </c>
      <c r="H1260" s="14" t="s">
        <v>5601</v>
      </c>
      <c r="I1260" s="14" t="s">
        <v>2458</v>
      </c>
      <c r="J1260" s="33" t="s">
        <v>7110</v>
      </c>
      <c r="K1260" s="33" t="s">
        <v>4307</v>
      </c>
      <c r="L1260" s="68">
        <v>0</v>
      </c>
      <c r="M1260" s="68" t="s">
        <v>8915</v>
      </c>
      <c r="N1260" s="68">
        <v>0</v>
      </c>
      <c r="O1260" s="68">
        <v>0</v>
      </c>
      <c r="P1260" s="197" t="s">
        <v>5662</v>
      </c>
    </row>
    <row r="1261" spans="1:16" ht="18.75" hidden="1">
      <c r="A1261" s="50" t="s">
        <v>4117</v>
      </c>
      <c r="B1261" s="50" t="s">
        <v>4179</v>
      </c>
      <c r="C1261" s="50" t="s">
        <v>4280</v>
      </c>
      <c r="D1261" s="50" t="s">
        <v>3932</v>
      </c>
      <c r="E1261" s="12">
        <v>95</v>
      </c>
      <c r="F1261" s="49">
        <v>322880</v>
      </c>
      <c r="G1261" s="67" t="s">
        <v>5611</v>
      </c>
      <c r="H1261" s="14" t="s">
        <v>5601</v>
      </c>
      <c r="I1261" s="14" t="s">
        <v>2458</v>
      </c>
      <c r="J1261" s="33" t="s">
        <v>7110</v>
      </c>
      <c r="K1261" s="33" t="s">
        <v>4307</v>
      </c>
      <c r="L1261" s="68">
        <v>0</v>
      </c>
      <c r="M1261" s="68" t="s">
        <v>8915</v>
      </c>
      <c r="N1261" s="68">
        <v>0</v>
      </c>
      <c r="O1261" s="68">
        <v>0</v>
      </c>
      <c r="P1261" s="198" t="s">
        <v>5694</v>
      </c>
    </row>
    <row r="1262" spans="1:16" ht="18.75" hidden="1">
      <c r="A1262" s="50" t="s">
        <v>4118</v>
      </c>
      <c r="B1262" s="50" t="s">
        <v>4179</v>
      </c>
      <c r="C1262" s="50" t="s">
        <v>3980</v>
      </c>
      <c r="D1262" s="50" t="s">
        <v>3937</v>
      </c>
      <c r="E1262" s="12">
        <v>95</v>
      </c>
      <c r="F1262" s="49">
        <v>88640</v>
      </c>
      <c r="G1262" s="67" t="s">
        <v>5647</v>
      </c>
      <c r="H1262" s="14" t="s">
        <v>5601</v>
      </c>
      <c r="I1262" s="14" t="s">
        <v>2458</v>
      </c>
      <c r="J1262" s="33" t="s">
        <v>7110</v>
      </c>
      <c r="K1262" s="33" t="s">
        <v>4307</v>
      </c>
      <c r="L1262" s="68">
        <v>0</v>
      </c>
      <c r="M1262" s="68" t="s">
        <v>8915</v>
      </c>
      <c r="N1262" s="68">
        <v>0</v>
      </c>
      <c r="O1262" s="68">
        <v>0</v>
      </c>
      <c r="P1262" s="198" t="s">
        <v>5705</v>
      </c>
    </row>
    <row r="1263" spans="1:16" ht="18.75" hidden="1">
      <c r="A1263" s="50" t="s">
        <v>4119</v>
      </c>
      <c r="B1263" s="50" t="s">
        <v>3854</v>
      </c>
      <c r="C1263" s="50" t="s">
        <v>3976</v>
      </c>
      <c r="D1263" s="50" t="s">
        <v>3936</v>
      </c>
      <c r="E1263" s="12">
        <v>95</v>
      </c>
      <c r="F1263" s="49">
        <v>92820</v>
      </c>
      <c r="G1263" s="67" t="s">
        <v>5647</v>
      </c>
      <c r="H1263" s="14" t="s">
        <v>5601</v>
      </c>
      <c r="I1263" s="14" t="s">
        <v>2458</v>
      </c>
      <c r="J1263" s="33" t="s">
        <v>7110</v>
      </c>
      <c r="K1263" s="33" t="s">
        <v>4307</v>
      </c>
      <c r="L1263" s="68">
        <v>0</v>
      </c>
      <c r="M1263" s="68" t="s">
        <v>8915</v>
      </c>
      <c r="N1263" s="68">
        <v>0</v>
      </c>
      <c r="O1263" s="68">
        <v>0</v>
      </c>
      <c r="P1263" s="198" t="s">
        <v>5666</v>
      </c>
    </row>
    <row r="1264" spans="1:16" ht="18.75" hidden="1">
      <c r="A1264" s="50" t="s">
        <v>4119</v>
      </c>
      <c r="B1264" s="50" t="s">
        <v>3854</v>
      </c>
      <c r="C1264" s="50" t="s">
        <v>3977</v>
      </c>
      <c r="D1264" s="50" t="s">
        <v>3935</v>
      </c>
      <c r="E1264" s="12">
        <v>95</v>
      </c>
      <c r="F1264" s="49">
        <v>190280</v>
      </c>
      <c r="G1264" s="67" t="s">
        <v>5647</v>
      </c>
      <c r="H1264" s="14" t="s">
        <v>5601</v>
      </c>
      <c r="I1264" s="14" t="s">
        <v>2458</v>
      </c>
      <c r="J1264" s="33" t="s">
        <v>7110</v>
      </c>
      <c r="K1264" s="33" t="s">
        <v>4307</v>
      </c>
      <c r="L1264" s="68">
        <v>0</v>
      </c>
      <c r="M1264" s="68" t="s">
        <v>8915</v>
      </c>
      <c r="N1264" s="68">
        <v>0</v>
      </c>
      <c r="O1264" s="68">
        <v>0</v>
      </c>
      <c r="P1264" s="198" t="s">
        <v>5685</v>
      </c>
    </row>
    <row r="1265" spans="1:16" ht="18.75" hidden="1">
      <c r="A1265" s="50" t="s">
        <v>4120</v>
      </c>
      <c r="B1265" s="50" t="s">
        <v>4186</v>
      </c>
      <c r="C1265" s="50" t="s">
        <v>4275</v>
      </c>
      <c r="D1265" s="50" t="s">
        <v>3933</v>
      </c>
      <c r="E1265" s="12">
        <v>95</v>
      </c>
      <c r="F1265" s="49">
        <v>124250</v>
      </c>
      <c r="G1265" s="67" t="s">
        <v>5631</v>
      </c>
      <c r="H1265" s="14" t="s">
        <v>5601</v>
      </c>
      <c r="I1265" s="14" t="s">
        <v>2458</v>
      </c>
      <c r="J1265" s="33" t="s">
        <v>7110</v>
      </c>
      <c r="K1265" s="33" t="s">
        <v>4307</v>
      </c>
      <c r="L1265" s="68">
        <v>0</v>
      </c>
      <c r="M1265" s="68" t="s">
        <v>8915</v>
      </c>
      <c r="N1265" s="68">
        <v>0</v>
      </c>
      <c r="O1265" s="68">
        <v>0</v>
      </c>
      <c r="P1265" s="197" t="s">
        <v>5698</v>
      </c>
    </row>
    <row r="1266" spans="1:16" ht="18.75" hidden="1">
      <c r="A1266" s="50" t="s">
        <v>4115</v>
      </c>
      <c r="B1266" s="50" t="s">
        <v>4186</v>
      </c>
      <c r="C1266" s="50" t="s">
        <v>4275</v>
      </c>
      <c r="D1266" s="50" t="s">
        <v>3933</v>
      </c>
      <c r="E1266" s="12">
        <v>95</v>
      </c>
      <c r="F1266" s="49">
        <v>38285</v>
      </c>
      <c r="G1266" s="67" t="s">
        <v>5631</v>
      </c>
      <c r="H1266" s="14" t="s">
        <v>5601</v>
      </c>
      <c r="I1266" s="14" t="s">
        <v>2458</v>
      </c>
      <c r="J1266" s="33" t="s">
        <v>7110</v>
      </c>
      <c r="K1266" s="33" t="s">
        <v>4307</v>
      </c>
      <c r="L1266" s="68">
        <v>0</v>
      </c>
      <c r="M1266" s="68" t="s">
        <v>8915</v>
      </c>
      <c r="N1266" s="68">
        <v>0</v>
      </c>
      <c r="O1266" s="68">
        <v>0</v>
      </c>
      <c r="P1266" s="197" t="s">
        <v>5698</v>
      </c>
    </row>
    <row r="1267" spans="1:16" ht="18.75" hidden="1">
      <c r="A1267" s="50" t="s">
        <v>4117</v>
      </c>
      <c r="B1267" s="50" t="s">
        <v>4179</v>
      </c>
      <c r="C1267" s="50" t="s">
        <v>4293</v>
      </c>
      <c r="D1267" s="50" t="s">
        <v>3854</v>
      </c>
      <c r="E1267" s="12">
        <v>95</v>
      </c>
      <c r="F1267" s="49">
        <v>4960</v>
      </c>
      <c r="G1267" s="67" t="s">
        <v>5611</v>
      </c>
      <c r="H1267" s="14" t="s">
        <v>5601</v>
      </c>
      <c r="I1267" s="14" t="s">
        <v>2458</v>
      </c>
      <c r="J1267" s="33" t="s">
        <v>7110</v>
      </c>
      <c r="K1267" s="33" t="s">
        <v>4307</v>
      </c>
      <c r="L1267" s="68">
        <v>0</v>
      </c>
      <c r="M1267" s="68" t="s">
        <v>8915</v>
      </c>
      <c r="N1267" s="68">
        <v>0</v>
      </c>
      <c r="O1267" s="68">
        <v>0</v>
      </c>
      <c r="P1267" s="198" t="s">
        <v>5680</v>
      </c>
    </row>
    <row r="1268" spans="1:16" ht="18.75" hidden="1">
      <c r="A1268" s="50" t="s">
        <v>4121</v>
      </c>
      <c r="B1268" s="50" t="s">
        <v>3854</v>
      </c>
      <c r="C1268" s="50" t="s">
        <v>4286</v>
      </c>
      <c r="D1268" s="50" t="s">
        <v>3714</v>
      </c>
      <c r="E1268" s="12">
        <v>95</v>
      </c>
      <c r="F1268" s="49">
        <v>46600</v>
      </c>
      <c r="G1268" s="67" t="s">
        <v>5611</v>
      </c>
      <c r="H1268" s="14" t="s">
        <v>5601</v>
      </c>
      <c r="I1268" s="14" t="s">
        <v>2458</v>
      </c>
      <c r="J1268" s="33" t="s">
        <v>7110</v>
      </c>
      <c r="K1268" s="33" t="s">
        <v>4307</v>
      </c>
      <c r="L1268" s="68">
        <v>0</v>
      </c>
      <c r="M1268" s="68" t="s">
        <v>8915</v>
      </c>
      <c r="N1268" s="68">
        <v>0</v>
      </c>
      <c r="O1268" s="68">
        <v>0</v>
      </c>
      <c r="P1268" s="198" t="s">
        <v>5659</v>
      </c>
    </row>
    <row r="1269" spans="1:16" ht="18.75" hidden="1">
      <c r="A1269" s="50" t="s">
        <v>4118</v>
      </c>
      <c r="B1269" s="50" t="s">
        <v>4179</v>
      </c>
      <c r="C1269" s="50" t="s">
        <v>4272</v>
      </c>
      <c r="D1269" s="50" t="s">
        <v>4180</v>
      </c>
      <c r="E1269" s="12">
        <v>95</v>
      </c>
      <c r="F1269" s="49">
        <v>50740</v>
      </c>
      <c r="G1269" s="67" t="s">
        <v>5683</v>
      </c>
      <c r="H1269" s="14" t="s">
        <v>5601</v>
      </c>
      <c r="I1269" s="14" t="s">
        <v>2458</v>
      </c>
      <c r="J1269" s="33" t="s">
        <v>7110</v>
      </c>
      <c r="K1269" s="33" t="s">
        <v>4307</v>
      </c>
      <c r="L1269" s="68">
        <v>0</v>
      </c>
      <c r="M1269" s="68" t="s">
        <v>8915</v>
      </c>
      <c r="N1269" s="68">
        <v>0</v>
      </c>
      <c r="O1269" s="68">
        <v>0</v>
      </c>
      <c r="P1269" s="198" t="s">
        <v>5718</v>
      </c>
    </row>
    <row r="1270" spans="1:16" ht="18.75" hidden="1">
      <c r="A1270" s="50" t="s">
        <v>4122</v>
      </c>
      <c r="B1270" s="50" t="s">
        <v>3934</v>
      </c>
      <c r="C1270" s="50" t="s">
        <v>3978</v>
      </c>
      <c r="D1270" s="50" t="s">
        <v>3932</v>
      </c>
      <c r="E1270" s="12">
        <v>95</v>
      </c>
      <c r="F1270" s="49">
        <v>48500</v>
      </c>
      <c r="G1270" s="67" t="s">
        <v>5647</v>
      </c>
      <c r="H1270" s="14" t="s">
        <v>5601</v>
      </c>
      <c r="I1270" s="14" t="s">
        <v>2458</v>
      </c>
      <c r="J1270" s="33" t="s">
        <v>7110</v>
      </c>
      <c r="K1270" s="33" t="s">
        <v>4307</v>
      </c>
      <c r="L1270" s="68">
        <v>0</v>
      </c>
      <c r="M1270" s="68" t="s">
        <v>8915</v>
      </c>
      <c r="N1270" s="68">
        <v>0</v>
      </c>
      <c r="O1270" s="68">
        <v>0</v>
      </c>
      <c r="P1270" s="198" t="s">
        <v>5692</v>
      </c>
    </row>
    <row r="1271" spans="1:16" ht="18.75" hidden="1">
      <c r="A1271" s="50" t="s">
        <v>4115</v>
      </c>
      <c r="B1271" s="50" t="s">
        <v>4186</v>
      </c>
      <c r="C1271" s="50" t="s">
        <v>4294</v>
      </c>
      <c r="D1271" s="50" t="s">
        <v>3935</v>
      </c>
      <c r="E1271" s="12">
        <v>95</v>
      </c>
      <c r="F1271" s="49">
        <v>2040</v>
      </c>
      <c r="G1271" s="67" t="s">
        <v>5611</v>
      </c>
      <c r="H1271" s="14" t="s">
        <v>5601</v>
      </c>
      <c r="I1271" s="14" t="s">
        <v>2458</v>
      </c>
      <c r="J1271" s="33" t="s">
        <v>7110</v>
      </c>
      <c r="K1271" s="33" t="s">
        <v>4307</v>
      </c>
      <c r="L1271" s="68">
        <v>0</v>
      </c>
      <c r="M1271" s="68" t="s">
        <v>8915</v>
      </c>
      <c r="N1271" s="68">
        <v>0</v>
      </c>
      <c r="O1271" s="68">
        <v>0</v>
      </c>
      <c r="P1271" s="198" t="s">
        <v>5680</v>
      </c>
    </row>
    <row r="1272" spans="1:16" ht="18.75" hidden="1">
      <c r="A1272" s="50" t="s">
        <v>4121</v>
      </c>
      <c r="B1272" s="50" t="s">
        <v>3854</v>
      </c>
      <c r="C1272" s="50" t="s">
        <v>4295</v>
      </c>
      <c r="D1272" s="50" t="s">
        <v>3671</v>
      </c>
      <c r="E1272" s="12">
        <v>95</v>
      </c>
      <c r="F1272" s="49">
        <v>68760</v>
      </c>
      <c r="G1272" s="67" t="s">
        <v>5631</v>
      </c>
      <c r="H1272" s="14" t="s">
        <v>5601</v>
      </c>
      <c r="I1272" s="14" t="s">
        <v>2458</v>
      </c>
      <c r="J1272" s="33" t="s">
        <v>7110</v>
      </c>
      <c r="K1272" s="33" t="s">
        <v>4307</v>
      </c>
      <c r="L1272" s="68">
        <v>0</v>
      </c>
      <c r="M1272" s="68" t="s">
        <v>8915</v>
      </c>
      <c r="N1272" s="68">
        <v>0</v>
      </c>
      <c r="O1272" s="68">
        <v>0</v>
      </c>
      <c r="P1272" s="197" t="s">
        <v>5662</v>
      </c>
    </row>
    <row r="1273" spans="1:16" ht="18.75" hidden="1">
      <c r="A1273" s="50" t="s">
        <v>4117</v>
      </c>
      <c r="B1273" s="50" t="s">
        <v>4179</v>
      </c>
      <c r="C1273" s="50" t="s">
        <v>4296</v>
      </c>
      <c r="D1273" s="50" t="s">
        <v>3900</v>
      </c>
      <c r="E1273" s="12">
        <v>95</v>
      </c>
      <c r="F1273" s="49">
        <v>68620</v>
      </c>
      <c r="G1273" s="67" t="s">
        <v>5611</v>
      </c>
      <c r="H1273" s="14" t="s">
        <v>5601</v>
      </c>
      <c r="I1273" s="14" t="s">
        <v>2458</v>
      </c>
      <c r="J1273" s="33" t="s">
        <v>7110</v>
      </c>
      <c r="K1273" s="33" t="s">
        <v>4307</v>
      </c>
      <c r="L1273" s="68">
        <v>0</v>
      </c>
      <c r="M1273" s="68" t="s">
        <v>8915</v>
      </c>
      <c r="N1273" s="68">
        <v>0</v>
      </c>
      <c r="O1273" s="68">
        <v>0</v>
      </c>
      <c r="P1273" s="198" t="s">
        <v>5680</v>
      </c>
    </row>
    <row r="1274" spans="1:16" ht="18.75" hidden="1">
      <c r="A1274" s="50" t="s">
        <v>4123</v>
      </c>
      <c r="B1274" s="50" t="s">
        <v>4186</v>
      </c>
      <c r="C1274" s="50" t="s">
        <v>4297</v>
      </c>
      <c r="D1274" s="50" t="s">
        <v>3933</v>
      </c>
      <c r="E1274" s="12">
        <v>95</v>
      </c>
      <c r="F1274" s="49">
        <v>47660</v>
      </c>
      <c r="G1274" s="67" t="s">
        <v>5611</v>
      </c>
      <c r="H1274" s="14" t="s">
        <v>5601</v>
      </c>
      <c r="I1274" s="14" t="s">
        <v>2458</v>
      </c>
      <c r="J1274" s="33" t="s">
        <v>7110</v>
      </c>
      <c r="K1274" s="33" t="s">
        <v>4307</v>
      </c>
      <c r="L1274" s="68">
        <v>0</v>
      </c>
      <c r="M1274" s="68" t="s">
        <v>8915</v>
      </c>
      <c r="N1274" s="68">
        <v>0</v>
      </c>
      <c r="O1274" s="68">
        <v>0</v>
      </c>
      <c r="P1274" s="198" t="s">
        <v>5694</v>
      </c>
    </row>
    <row r="1275" spans="1:16" ht="18.75" hidden="1">
      <c r="A1275" s="50" t="s">
        <v>4124</v>
      </c>
      <c r="B1275" s="50" t="s">
        <v>4186</v>
      </c>
      <c r="C1275" s="50" t="s">
        <v>4294</v>
      </c>
      <c r="D1275" s="50" t="s">
        <v>3935</v>
      </c>
      <c r="E1275" s="12">
        <v>95</v>
      </c>
      <c r="F1275" s="49">
        <v>20950</v>
      </c>
      <c r="G1275" s="67" t="s">
        <v>5611</v>
      </c>
      <c r="H1275" s="14" t="s">
        <v>5601</v>
      </c>
      <c r="I1275" s="14" t="s">
        <v>2458</v>
      </c>
      <c r="J1275" s="33" t="s">
        <v>7110</v>
      </c>
      <c r="K1275" s="33" t="s">
        <v>4307</v>
      </c>
      <c r="L1275" s="68">
        <v>0</v>
      </c>
      <c r="M1275" s="68" t="s">
        <v>8915</v>
      </c>
      <c r="N1275" s="68">
        <v>0</v>
      </c>
      <c r="O1275" s="68">
        <v>0</v>
      </c>
      <c r="P1275" s="198" t="s">
        <v>5680</v>
      </c>
    </row>
    <row r="1276" spans="1:16" ht="18.75" hidden="1">
      <c r="A1276" s="50" t="s">
        <v>4125</v>
      </c>
      <c r="B1276" s="50" t="s">
        <v>3854</v>
      </c>
      <c r="C1276" s="50" t="s">
        <v>4295</v>
      </c>
      <c r="D1276" s="50" t="s">
        <v>3671</v>
      </c>
      <c r="E1276" s="12">
        <v>95</v>
      </c>
      <c r="F1276" s="49">
        <v>149420</v>
      </c>
      <c r="G1276" s="67" t="s">
        <v>5631</v>
      </c>
      <c r="H1276" s="14" t="s">
        <v>5601</v>
      </c>
      <c r="I1276" s="14" t="s">
        <v>2458</v>
      </c>
      <c r="J1276" s="33" t="s">
        <v>7110</v>
      </c>
      <c r="K1276" s="33" t="s">
        <v>4307</v>
      </c>
      <c r="L1276" s="68">
        <v>0</v>
      </c>
      <c r="M1276" s="68" t="s">
        <v>8915</v>
      </c>
      <c r="N1276" s="68">
        <v>0</v>
      </c>
      <c r="O1276" s="68">
        <v>0</v>
      </c>
      <c r="P1276" s="197" t="s">
        <v>5662</v>
      </c>
    </row>
    <row r="1277" spans="1:16" ht="18.75" hidden="1">
      <c r="A1277" s="50" t="s">
        <v>4126</v>
      </c>
      <c r="B1277" s="50" t="s">
        <v>4178</v>
      </c>
      <c r="C1277" s="50" t="s">
        <v>4278</v>
      </c>
      <c r="D1277" s="50" t="s">
        <v>3937</v>
      </c>
      <c r="E1277" s="12">
        <v>95</v>
      </c>
      <c r="F1277" s="49">
        <v>70398</v>
      </c>
      <c r="G1277" s="67" t="s">
        <v>5633</v>
      </c>
      <c r="H1277" s="14" t="s">
        <v>5601</v>
      </c>
      <c r="I1277" s="14" t="s">
        <v>2458</v>
      </c>
      <c r="J1277" s="33" t="s">
        <v>7110</v>
      </c>
      <c r="K1277" s="33" t="s">
        <v>4307</v>
      </c>
      <c r="L1277" s="68">
        <v>0</v>
      </c>
      <c r="M1277" s="68" t="s">
        <v>8915</v>
      </c>
      <c r="N1277" s="68">
        <v>0</v>
      </c>
      <c r="O1277" s="68">
        <v>0</v>
      </c>
      <c r="P1277" s="198" t="s">
        <v>5706</v>
      </c>
    </row>
    <row r="1278" spans="1:16" ht="18.75" hidden="1">
      <c r="A1278" s="50" t="s">
        <v>4127</v>
      </c>
      <c r="B1278" s="50" t="s">
        <v>4177</v>
      </c>
      <c r="C1278" s="50" t="s">
        <v>4278</v>
      </c>
      <c r="D1278" s="50" t="s">
        <v>3937</v>
      </c>
      <c r="E1278" s="12">
        <v>95</v>
      </c>
      <c r="F1278" s="49">
        <v>46378</v>
      </c>
      <c r="G1278" s="67" t="s">
        <v>5633</v>
      </c>
      <c r="H1278" s="14" t="s">
        <v>5601</v>
      </c>
      <c r="I1278" s="14" t="s">
        <v>2458</v>
      </c>
      <c r="J1278" s="33" t="s">
        <v>7110</v>
      </c>
      <c r="K1278" s="33" t="s">
        <v>4307</v>
      </c>
      <c r="L1278" s="68">
        <v>0</v>
      </c>
      <c r="M1278" s="68" t="s">
        <v>8915</v>
      </c>
      <c r="N1278" s="68">
        <v>0</v>
      </c>
      <c r="O1278" s="68">
        <v>0</v>
      </c>
      <c r="P1278" s="198" t="s">
        <v>5706</v>
      </c>
    </row>
    <row r="1279" spans="1:16" ht="18.75" hidden="1">
      <c r="A1279" s="50" t="s">
        <v>4128</v>
      </c>
      <c r="B1279" s="50" t="s">
        <v>4179</v>
      </c>
      <c r="C1279" s="50" t="s">
        <v>4293</v>
      </c>
      <c r="D1279" s="50" t="s">
        <v>3854</v>
      </c>
      <c r="E1279" s="12">
        <v>95</v>
      </c>
      <c r="F1279" s="49">
        <v>120400</v>
      </c>
      <c r="G1279" s="67" t="s">
        <v>5611</v>
      </c>
      <c r="H1279" s="14" t="s">
        <v>5601</v>
      </c>
      <c r="I1279" s="14" t="s">
        <v>2458</v>
      </c>
      <c r="J1279" s="33" t="s">
        <v>7110</v>
      </c>
      <c r="K1279" s="33" t="s">
        <v>4307</v>
      </c>
      <c r="L1279" s="68">
        <v>0</v>
      </c>
      <c r="M1279" s="68" t="s">
        <v>8915</v>
      </c>
      <c r="N1279" s="68">
        <v>0</v>
      </c>
      <c r="O1279" s="68">
        <v>0</v>
      </c>
      <c r="P1279" s="198" t="s">
        <v>5680</v>
      </c>
    </row>
    <row r="1280" spans="1:16" ht="18.75" hidden="1">
      <c r="A1280" s="50" t="s">
        <v>4129</v>
      </c>
      <c r="B1280" s="50" t="s">
        <v>4185</v>
      </c>
      <c r="C1280" s="50" t="s">
        <v>4272</v>
      </c>
      <c r="D1280" s="50" t="s">
        <v>4180</v>
      </c>
      <c r="E1280" s="12">
        <v>95</v>
      </c>
      <c r="F1280" s="49">
        <v>66820</v>
      </c>
      <c r="G1280" s="67" t="s">
        <v>5683</v>
      </c>
      <c r="H1280" s="14" t="s">
        <v>5601</v>
      </c>
      <c r="I1280" s="14" t="s">
        <v>2458</v>
      </c>
      <c r="J1280" s="33" t="s">
        <v>7110</v>
      </c>
      <c r="K1280" s="33" t="s">
        <v>4307</v>
      </c>
      <c r="L1280" s="68">
        <v>0</v>
      </c>
      <c r="M1280" s="68" t="s">
        <v>8915</v>
      </c>
      <c r="N1280" s="68">
        <v>0</v>
      </c>
      <c r="O1280" s="68">
        <v>0</v>
      </c>
      <c r="P1280" s="198" t="s">
        <v>5718</v>
      </c>
    </row>
    <row r="1281" spans="1:16" ht="18.75" hidden="1">
      <c r="A1281" s="50" t="s">
        <v>4129</v>
      </c>
      <c r="B1281" s="50" t="s">
        <v>4185</v>
      </c>
      <c r="C1281" s="50" t="s">
        <v>4270</v>
      </c>
      <c r="D1281" s="50" t="s">
        <v>3932</v>
      </c>
      <c r="E1281" s="12">
        <v>95</v>
      </c>
      <c r="F1281" s="49">
        <v>48560</v>
      </c>
      <c r="G1281" s="67" t="s">
        <v>5611</v>
      </c>
      <c r="H1281" s="14" t="s">
        <v>5601</v>
      </c>
      <c r="I1281" s="14" t="s">
        <v>2458</v>
      </c>
      <c r="J1281" s="33" t="s">
        <v>7110</v>
      </c>
      <c r="K1281" s="33" t="s">
        <v>4307</v>
      </c>
      <c r="L1281" s="68">
        <v>0</v>
      </c>
      <c r="M1281" s="68" t="s">
        <v>8915</v>
      </c>
      <c r="N1281" s="68">
        <v>0</v>
      </c>
      <c r="O1281" s="68">
        <v>0</v>
      </c>
      <c r="P1281" s="198" t="s">
        <v>5694</v>
      </c>
    </row>
    <row r="1282" spans="1:16" ht="18.75" hidden="1">
      <c r="A1282" s="50" t="s">
        <v>4130</v>
      </c>
      <c r="B1282" s="50" t="s">
        <v>3934</v>
      </c>
      <c r="C1282" s="50" t="s">
        <v>3978</v>
      </c>
      <c r="D1282" s="50" t="s">
        <v>3932</v>
      </c>
      <c r="E1282" s="12">
        <v>95</v>
      </c>
      <c r="F1282" s="49">
        <v>122040</v>
      </c>
      <c r="G1282" s="67" t="s">
        <v>5647</v>
      </c>
      <c r="H1282" s="14" t="s">
        <v>5601</v>
      </c>
      <c r="I1282" s="14" t="s">
        <v>2458</v>
      </c>
      <c r="J1282" s="33" t="s">
        <v>7110</v>
      </c>
      <c r="K1282" s="33" t="s">
        <v>4307</v>
      </c>
      <c r="L1282" s="68">
        <v>0</v>
      </c>
      <c r="M1282" s="68" t="s">
        <v>8915</v>
      </c>
      <c r="N1282" s="68">
        <v>0</v>
      </c>
      <c r="O1282" s="68">
        <v>0</v>
      </c>
      <c r="P1282" s="198" t="s">
        <v>5692</v>
      </c>
    </row>
    <row r="1283" spans="1:16" ht="18.75" hidden="1">
      <c r="A1283" s="50" t="s">
        <v>4131</v>
      </c>
      <c r="B1283" s="50" t="s">
        <v>3900</v>
      </c>
      <c r="C1283" s="50" t="s">
        <v>4294</v>
      </c>
      <c r="D1283" s="50" t="s">
        <v>3935</v>
      </c>
      <c r="E1283" s="12">
        <v>95</v>
      </c>
      <c r="F1283" s="49">
        <v>175950</v>
      </c>
      <c r="G1283" s="67" t="s">
        <v>5611</v>
      </c>
      <c r="H1283" s="14" t="s">
        <v>5601</v>
      </c>
      <c r="I1283" s="14" t="s">
        <v>2458</v>
      </c>
      <c r="J1283" s="33" t="s">
        <v>7110</v>
      </c>
      <c r="K1283" s="33" t="s">
        <v>4307</v>
      </c>
      <c r="L1283" s="68">
        <v>0</v>
      </c>
      <c r="M1283" s="68" t="s">
        <v>8915</v>
      </c>
      <c r="N1283" s="68">
        <v>0</v>
      </c>
      <c r="O1283" s="68">
        <v>0</v>
      </c>
      <c r="P1283" s="198" t="s">
        <v>5680</v>
      </c>
    </row>
    <row r="1284" spans="1:16" ht="18.75" hidden="1">
      <c r="A1284" s="50" t="s">
        <v>4129</v>
      </c>
      <c r="B1284" s="50" t="s">
        <v>4185</v>
      </c>
      <c r="C1284" s="50" t="s">
        <v>4298</v>
      </c>
      <c r="D1284" s="50" t="s">
        <v>4183</v>
      </c>
      <c r="E1284" s="12">
        <v>95</v>
      </c>
      <c r="F1284" s="49">
        <v>162880</v>
      </c>
      <c r="G1284" s="67" t="s">
        <v>5647</v>
      </c>
      <c r="H1284" s="14" t="s">
        <v>5601</v>
      </c>
      <c r="I1284" s="14" t="s">
        <v>2458</v>
      </c>
      <c r="J1284" s="33" t="s">
        <v>7110</v>
      </c>
      <c r="K1284" s="33" t="s">
        <v>4307</v>
      </c>
      <c r="L1284" s="68">
        <v>0</v>
      </c>
      <c r="M1284" s="68" t="s">
        <v>8915</v>
      </c>
      <c r="N1284" s="68">
        <v>0</v>
      </c>
      <c r="O1284" s="68">
        <v>0</v>
      </c>
      <c r="P1284" s="198" t="s">
        <v>5721</v>
      </c>
    </row>
    <row r="1285" spans="1:16" ht="18.75" hidden="1">
      <c r="A1285" s="50" t="s">
        <v>4124</v>
      </c>
      <c r="B1285" s="50" t="s">
        <v>4186</v>
      </c>
      <c r="C1285" s="50" t="s">
        <v>3842</v>
      </c>
      <c r="D1285" s="50" t="s">
        <v>3768</v>
      </c>
      <c r="E1285" s="12">
        <v>95</v>
      </c>
      <c r="F1285" s="49">
        <v>18760</v>
      </c>
      <c r="G1285" s="67" t="s">
        <v>5611</v>
      </c>
      <c r="H1285" s="14" t="s">
        <v>5601</v>
      </c>
      <c r="I1285" s="14" t="s">
        <v>2458</v>
      </c>
      <c r="J1285" s="33" t="s">
        <v>7110</v>
      </c>
      <c r="K1285" s="33" t="s">
        <v>4307</v>
      </c>
      <c r="L1285" s="68">
        <v>0</v>
      </c>
      <c r="M1285" s="68" t="s">
        <v>8915</v>
      </c>
      <c r="N1285" s="68">
        <v>0</v>
      </c>
      <c r="O1285" s="68">
        <v>0</v>
      </c>
      <c r="P1285" s="198" t="s">
        <v>5675</v>
      </c>
    </row>
    <row r="1286" spans="1:16" ht="18.75" hidden="1">
      <c r="A1286" s="50" t="s">
        <v>4124</v>
      </c>
      <c r="B1286" s="50" t="s">
        <v>4186</v>
      </c>
      <c r="C1286" s="50" t="s">
        <v>3847</v>
      </c>
      <c r="D1286" s="50" t="s">
        <v>3827</v>
      </c>
      <c r="E1286" s="12">
        <v>95</v>
      </c>
      <c r="F1286" s="49">
        <v>100810</v>
      </c>
      <c r="G1286" s="67" t="s">
        <v>5631</v>
      </c>
      <c r="H1286" s="14" t="s">
        <v>5601</v>
      </c>
      <c r="I1286" s="14" t="s">
        <v>2458</v>
      </c>
      <c r="J1286" s="33" t="s">
        <v>7110</v>
      </c>
      <c r="K1286" s="33" t="s">
        <v>4307</v>
      </c>
      <c r="L1286" s="68">
        <v>0</v>
      </c>
      <c r="M1286" s="68" t="s">
        <v>8915</v>
      </c>
      <c r="N1286" s="68">
        <v>0</v>
      </c>
      <c r="O1286" s="68">
        <v>0</v>
      </c>
      <c r="P1286" s="197" t="s">
        <v>5662</v>
      </c>
    </row>
    <row r="1287" spans="1:16" ht="18.75" hidden="1">
      <c r="A1287" s="50" t="s">
        <v>4122</v>
      </c>
      <c r="B1287" s="50" t="s">
        <v>3934</v>
      </c>
      <c r="C1287" s="50" t="s">
        <v>4299</v>
      </c>
      <c r="D1287" s="50" t="s">
        <v>3829</v>
      </c>
      <c r="E1287" s="12">
        <v>95</v>
      </c>
      <c r="F1287" s="49">
        <v>48240</v>
      </c>
      <c r="G1287" s="67" t="s">
        <v>5611</v>
      </c>
      <c r="H1287" s="14" t="s">
        <v>5601</v>
      </c>
      <c r="I1287" s="14" t="s">
        <v>2458</v>
      </c>
      <c r="J1287" s="33" t="s">
        <v>7110</v>
      </c>
      <c r="K1287" s="33" t="s">
        <v>4307</v>
      </c>
      <c r="L1287" s="68">
        <v>0</v>
      </c>
      <c r="M1287" s="68" t="s">
        <v>8915</v>
      </c>
      <c r="N1287" s="68">
        <v>0</v>
      </c>
      <c r="O1287" s="68">
        <v>0</v>
      </c>
      <c r="P1287" s="198" t="s">
        <v>5680</v>
      </c>
    </row>
    <row r="1288" spans="1:16" ht="18.75" hidden="1">
      <c r="A1288" s="50" t="s">
        <v>4122</v>
      </c>
      <c r="B1288" s="50" t="s">
        <v>3934</v>
      </c>
      <c r="C1288" s="50" t="s">
        <v>3977</v>
      </c>
      <c r="D1288" s="50" t="s">
        <v>3935</v>
      </c>
      <c r="E1288" s="12">
        <v>95</v>
      </c>
      <c r="F1288" s="49">
        <v>23980</v>
      </c>
      <c r="G1288" s="67" t="s">
        <v>5647</v>
      </c>
      <c r="H1288" s="14" t="s">
        <v>5601</v>
      </c>
      <c r="I1288" s="14" t="s">
        <v>2458</v>
      </c>
      <c r="J1288" s="33" t="s">
        <v>7110</v>
      </c>
      <c r="K1288" s="33" t="s">
        <v>4307</v>
      </c>
      <c r="L1288" s="68">
        <v>0</v>
      </c>
      <c r="M1288" s="68" t="s">
        <v>8915</v>
      </c>
      <c r="N1288" s="68">
        <v>0</v>
      </c>
      <c r="O1288" s="68">
        <v>0</v>
      </c>
      <c r="P1288" s="198" t="s">
        <v>5685</v>
      </c>
    </row>
    <row r="1289" spans="1:16" ht="18.75" hidden="1">
      <c r="A1289" s="50" t="s">
        <v>4124</v>
      </c>
      <c r="B1289" s="50" t="s">
        <v>4186</v>
      </c>
      <c r="C1289" s="50" t="s">
        <v>4280</v>
      </c>
      <c r="D1289" s="50" t="s">
        <v>3932</v>
      </c>
      <c r="E1289" s="12">
        <v>95</v>
      </c>
      <c r="F1289" s="49">
        <v>346910</v>
      </c>
      <c r="G1289" s="67" t="s">
        <v>5611</v>
      </c>
      <c r="H1289" s="14" t="s">
        <v>5601</v>
      </c>
      <c r="I1289" s="14" t="s">
        <v>2458</v>
      </c>
      <c r="J1289" s="33" t="s">
        <v>7110</v>
      </c>
      <c r="K1289" s="33" t="s">
        <v>4307</v>
      </c>
      <c r="L1289" s="68">
        <v>0</v>
      </c>
      <c r="M1289" s="68" t="s">
        <v>8915</v>
      </c>
      <c r="N1289" s="68">
        <v>0</v>
      </c>
      <c r="O1289" s="68">
        <v>0</v>
      </c>
      <c r="P1289" s="198" t="s">
        <v>5694</v>
      </c>
    </row>
    <row r="1290" spans="1:16" ht="18.75" hidden="1">
      <c r="A1290" s="50" t="s">
        <v>4124</v>
      </c>
      <c r="B1290" s="50" t="s">
        <v>4186</v>
      </c>
      <c r="C1290" s="50" t="s">
        <v>4273</v>
      </c>
      <c r="D1290" s="50" t="s">
        <v>3936</v>
      </c>
      <c r="E1290" s="12">
        <v>95</v>
      </c>
      <c r="F1290" s="49">
        <v>24755</v>
      </c>
      <c r="G1290" s="67" t="s">
        <v>5631</v>
      </c>
      <c r="H1290" s="14" t="s">
        <v>5601</v>
      </c>
      <c r="I1290" s="14" t="s">
        <v>2458</v>
      </c>
      <c r="J1290" s="33" t="s">
        <v>7110</v>
      </c>
      <c r="K1290" s="33" t="s">
        <v>4307</v>
      </c>
      <c r="L1290" s="68">
        <v>0</v>
      </c>
      <c r="M1290" s="68" t="s">
        <v>8915</v>
      </c>
      <c r="N1290" s="68">
        <v>0</v>
      </c>
      <c r="O1290" s="68">
        <v>0</v>
      </c>
      <c r="P1290" s="197" t="s">
        <v>5668</v>
      </c>
    </row>
    <row r="1291" spans="1:16" ht="18.75" hidden="1">
      <c r="A1291" s="50" t="s">
        <v>4130</v>
      </c>
      <c r="B1291" s="50" t="s">
        <v>3934</v>
      </c>
      <c r="C1291" s="50" t="s">
        <v>4281</v>
      </c>
      <c r="D1291" s="50" t="s">
        <v>3935</v>
      </c>
      <c r="E1291" s="12">
        <v>95</v>
      </c>
      <c r="F1291" s="49">
        <v>144200</v>
      </c>
      <c r="G1291" s="67" t="s">
        <v>5611</v>
      </c>
      <c r="H1291" s="14" t="s">
        <v>5601</v>
      </c>
      <c r="I1291" s="14" t="s">
        <v>2458</v>
      </c>
      <c r="J1291" s="33" t="s">
        <v>7110</v>
      </c>
      <c r="K1291" s="33" t="s">
        <v>4307</v>
      </c>
      <c r="L1291" s="68">
        <v>0</v>
      </c>
      <c r="M1291" s="68" t="s">
        <v>8915</v>
      </c>
      <c r="N1291" s="68">
        <v>0</v>
      </c>
      <c r="O1291" s="68">
        <v>0</v>
      </c>
      <c r="P1291" s="198" t="s">
        <v>5680</v>
      </c>
    </row>
    <row r="1292" spans="1:16" ht="18.75" hidden="1">
      <c r="A1292" s="50" t="s">
        <v>4132</v>
      </c>
      <c r="B1292" s="50" t="s">
        <v>3934</v>
      </c>
      <c r="C1292" s="50" t="s">
        <v>4265</v>
      </c>
      <c r="D1292" s="50" t="s">
        <v>3935</v>
      </c>
      <c r="E1292" s="12">
        <v>95</v>
      </c>
      <c r="F1292" s="49">
        <v>173545</v>
      </c>
      <c r="G1292" s="67" t="s">
        <v>5611</v>
      </c>
      <c r="H1292" s="14" t="s">
        <v>5601</v>
      </c>
      <c r="I1292" s="14" t="s">
        <v>2458</v>
      </c>
      <c r="J1292" s="33" t="s">
        <v>7110</v>
      </c>
      <c r="K1292" s="33" t="s">
        <v>4307</v>
      </c>
      <c r="L1292" s="68">
        <v>0</v>
      </c>
      <c r="M1292" s="68" t="s">
        <v>8915</v>
      </c>
      <c r="N1292" s="68">
        <v>0</v>
      </c>
      <c r="O1292" s="68">
        <v>0</v>
      </c>
      <c r="P1292" s="198" t="s">
        <v>5680</v>
      </c>
    </row>
    <row r="1293" spans="1:16" ht="18.75" hidden="1">
      <c r="A1293" s="50" t="s">
        <v>4088</v>
      </c>
      <c r="B1293" s="50" t="s">
        <v>3964</v>
      </c>
      <c r="C1293" s="50" t="s">
        <v>4300</v>
      </c>
      <c r="D1293" s="50" t="s">
        <v>3671</v>
      </c>
      <c r="E1293" s="12">
        <v>95</v>
      </c>
      <c r="F1293" s="49">
        <v>200000</v>
      </c>
      <c r="G1293" s="67" t="s">
        <v>5611</v>
      </c>
      <c r="H1293" s="14" t="s">
        <v>5601</v>
      </c>
      <c r="I1293" s="14" t="s">
        <v>2458</v>
      </c>
      <c r="J1293" s="33" t="s">
        <v>7110</v>
      </c>
      <c r="K1293" s="33" t="s">
        <v>4307</v>
      </c>
      <c r="L1293" s="68">
        <v>0</v>
      </c>
      <c r="M1293" s="68" t="s">
        <v>8915</v>
      </c>
      <c r="N1293" s="68">
        <v>0</v>
      </c>
      <c r="O1293" s="68">
        <v>0</v>
      </c>
      <c r="P1293" s="198" t="s">
        <v>5659</v>
      </c>
    </row>
    <row r="1294" spans="1:16" ht="18.75" hidden="1">
      <c r="A1294" s="50" t="s">
        <v>4088</v>
      </c>
      <c r="B1294" s="50" t="s">
        <v>3964</v>
      </c>
      <c r="C1294" s="50" t="s">
        <v>4301</v>
      </c>
      <c r="D1294" s="50" t="s">
        <v>3716</v>
      </c>
      <c r="E1294" s="12">
        <v>95</v>
      </c>
      <c r="F1294" s="49">
        <v>10892</v>
      </c>
      <c r="G1294" s="67" t="s">
        <v>5611</v>
      </c>
      <c r="H1294" s="14" t="s">
        <v>5601</v>
      </c>
      <c r="I1294" s="14" t="s">
        <v>2458</v>
      </c>
      <c r="J1294" s="33" t="s">
        <v>7110</v>
      </c>
      <c r="K1294" s="33" t="s">
        <v>4307</v>
      </c>
      <c r="L1294" s="68">
        <v>0</v>
      </c>
      <c r="M1294" s="68" t="s">
        <v>8915</v>
      </c>
      <c r="N1294" s="68">
        <v>0</v>
      </c>
      <c r="O1294" s="68">
        <v>0</v>
      </c>
      <c r="P1294" s="198" t="s">
        <v>5659</v>
      </c>
    </row>
    <row r="1295" spans="1:16" ht="18.75" hidden="1">
      <c r="A1295" s="50" t="s">
        <v>4133</v>
      </c>
      <c r="B1295" s="50" t="s">
        <v>4177</v>
      </c>
      <c r="C1295" s="50" t="s">
        <v>4302</v>
      </c>
      <c r="D1295" s="50" t="s">
        <v>4176</v>
      </c>
      <c r="E1295" s="12">
        <v>95</v>
      </c>
      <c r="F1295" s="49">
        <v>215240</v>
      </c>
      <c r="G1295" s="67" t="s">
        <v>5611</v>
      </c>
      <c r="H1295" s="14" t="s">
        <v>5601</v>
      </c>
      <c r="I1295" s="14" t="s">
        <v>2458</v>
      </c>
      <c r="J1295" s="33" t="s">
        <v>7110</v>
      </c>
      <c r="K1295" s="33" t="s">
        <v>4307</v>
      </c>
      <c r="L1295" s="68">
        <v>0</v>
      </c>
      <c r="M1295" s="68" t="s">
        <v>8915</v>
      </c>
      <c r="N1295" s="68">
        <v>0</v>
      </c>
      <c r="O1295" s="68">
        <v>0</v>
      </c>
      <c r="P1295" s="198" t="s">
        <v>5708</v>
      </c>
    </row>
    <row r="1296" spans="1:16" ht="18.75" hidden="1">
      <c r="A1296" s="50" t="s">
        <v>4134</v>
      </c>
      <c r="B1296" s="50" t="s">
        <v>4176</v>
      </c>
      <c r="C1296" s="50" t="s">
        <v>4280</v>
      </c>
      <c r="D1296" s="50" t="s">
        <v>3932</v>
      </c>
      <c r="E1296" s="12">
        <v>95</v>
      </c>
      <c r="F1296" s="49">
        <v>72530</v>
      </c>
      <c r="G1296" s="67" t="s">
        <v>5611</v>
      </c>
      <c r="H1296" s="14" t="s">
        <v>5601</v>
      </c>
      <c r="I1296" s="14" t="s">
        <v>2458</v>
      </c>
      <c r="J1296" s="33" t="s">
        <v>7110</v>
      </c>
      <c r="K1296" s="33" t="s">
        <v>4307</v>
      </c>
      <c r="L1296" s="68">
        <v>0</v>
      </c>
      <c r="M1296" s="68" t="s">
        <v>8915</v>
      </c>
      <c r="N1296" s="68">
        <v>0</v>
      </c>
      <c r="O1296" s="68">
        <v>0</v>
      </c>
      <c r="P1296" s="198" t="s">
        <v>5694</v>
      </c>
    </row>
    <row r="1297" spans="1:16" ht="18.75" hidden="1">
      <c r="A1297" s="50" t="s">
        <v>4135</v>
      </c>
      <c r="B1297" s="50" t="s">
        <v>3902</v>
      </c>
      <c r="C1297" s="50" t="s">
        <v>4295</v>
      </c>
      <c r="D1297" s="50" t="s">
        <v>3671</v>
      </c>
      <c r="E1297" s="12">
        <v>95</v>
      </c>
      <c r="F1297" s="49">
        <v>117430</v>
      </c>
      <c r="G1297" s="67" t="s">
        <v>5631</v>
      </c>
      <c r="H1297" s="14" t="s">
        <v>5601</v>
      </c>
      <c r="I1297" s="14" t="s">
        <v>2458</v>
      </c>
      <c r="J1297" s="33" t="s">
        <v>7110</v>
      </c>
      <c r="K1297" s="33" t="s">
        <v>4307</v>
      </c>
      <c r="L1297" s="68">
        <v>0</v>
      </c>
      <c r="M1297" s="68" t="s">
        <v>8915</v>
      </c>
      <c r="N1297" s="68">
        <v>0</v>
      </c>
      <c r="O1297" s="68">
        <v>0</v>
      </c>
      <c r="P1297" s="197" t="s">
        <v>5662</v>
      </c>
    </row>
    <row r="1298" spans="1:16" ht="18.75" hidden="1">
      <c r="A1298" s="50" t="s">
        <v>4136</v>
      </c>
      <c r="B1298" s="50" t="s">
        <v>4180</v>
      </c>
      <c r="C1298" s="50" t="s">
        <v>4280</v>
      </c>
      <c r="D1298" s="50" t="s">
        <v>3932</v>
      </c>
      <c r="E1298" s="12">
        <v>95</v>
      </c>
      <c r="F1298" s="49">
        <v>324290</v>
      </c>
      <c r="G1298" s="67" t="s">
        <v>5611</v>
      </c>
      <c r="H1298" s="14" t="s">
        <v>5601</v>
      </c>
      <c r="I1298" s="14" t="s">
        <v>2458</v>
      </c>
      <c r="J1298" s="33" t="s">
        <v>7110</v>
      </c>
      <c r="K1298" s="33" t="s">
        <v>4307</v>
      </c>
      <c r="L1298" s="68">
        <v>0</v>
      </c>
      <c r="M1298" s="68" t="s">
        <v>8915</v>
      </c>
      <c r="N1298" s="68">
        <v>0</v>
      </c>
      <c r="O1298" s="68">
        <v>0</v>
      </c>
      <c r="P1298" s="198" t="s">
        <v>5694</v>
      </c>
    </row>
    <row r="1299" spans="1:16" ht="18.75" hidden="1">
      <c r="A1299" s="50" t="s">
        <v>4137</v>
      </c>
      <c r="B1299" s="50" t="s">
        <v>3932</v>
      </c>
      <c r="C1299" s="50" t="s">
        <v>4288</v>
      </c>
      <c r="D1299" s="50" t="s">
        <v>3935</v>
      </c>
      <c r="E1299" s="12">
        <v>95</v>
      </c>
      <c r="F1299" s="49">
        <v>64520</v>
      </c>
      <c r="G1299" s="67" t="s">
        <v>5611</v>
      </c>
      <c r="H1299" s="14" t="s">
        <v>5601</v>
      </c>
      <c r="I1299" s="14" t="s">
        <v>2458</v>
      </c>
      <c r="J1299" s="33" t="s">
        <v>7110</v>
      </c>
      <c r="K1299" s="33" t="s">
        <v>4307</v>
      </c>
      <c r="L1299" s="68">
        <v>0</v>
      </c>
      <c r="M1299" s="68" t="s">
        <v>8915</v>
      </c>
      <c r="N1299" s="68">
        <v>0</v>
      </c>
      <c r="O1299" s="68">
        <v>0</v>
      </c>
      <c r="P1299" s="198" t="s">
        <v>5680</v>
      </c>
    </row>
    <row r="1300" spans="1:16" ht="18.75" hidden="1">
      <c r="A1300" s="50" t="s">
        <v>4136</v>
      </c>
      <c r="B1300" s="50" t="s">
        <v>4180</v>
      </c>
      <c r="C1300" s="50" t="s">
        <v>4296</v>
      </c>
      <c r="D1300" s="50" t="s">
        <v>3900</v>
      </c>
      <c r="E1300" s="12">
        <v>95</v>
      </c>
      <c r="F1300" s="49">
        <v>17800</v>
      </c>
      <c r="G1300" s="67" t="s">
        <v>5611</v>
      </c>
      <c r="H1300" s="14" t="s">
        <v>5601</v>
      </c>
      <c r="I1300" s="14" t="s">
        <v>2458</v>
      </c>
      <c r="J1300" s="33" t="s">
        <v>7110</v>
      </c>
      <c r="K1300" s="33" t="s">
        <v>4307</v>
      </c>
      <c r="L1300" s="68">
        <v>0</v>
      </c>
      <c r="M1300" s="68" t="s">
        <v>8915</v>
      </c>
      <c r="N1300" s="68">
        <v>0</v>
      </c>
      <c r="O1300" s="68">
        <v>0</v>
      </c>
      <c r="P1300" s="198" t="s">
        <v>5680</v>
      </c>
    </row>
    <row r="1301" spans="1:16" ht="18.75" hidden="1">
      <c r="A1301" s="50" t="s">
        <v>4138</v>
      </c>
      <c r="B1301" s="50" t="s">
        <v>3965</v>
      </c>
      <c r="C1301" s="50" t="s">
        <v>4287</v>
      </c>
      <c r="D1301" s="50" t="s">
        <v>3854</v>
      </c>
      <c r="E1301" s="12">
        <v>95</v>
      </c>
      <c r="F1301" s="49">
        <v>48620</v>
      </c>
      <c r="G1301" s="67" t="s">
        <v>5647</v>
      </c>
      <c r="H1301" s="14" t="s">
        <v>5601</v>
      </c>
      <c r="I1301" s="14" t="s">
        <v>2458</v>
      </c>
      <c r="J1301" s="33" t="s">
        <v>7110</v>
      </c>
      <c r="K1301" s="33" t="s">
        <v>4307</v>
      </c>
      <c r="L1301" s="68">
        <v>0</v>
      </c>
      <c r="M1301" s="68" t="s">
        <v>8915</v>
      </c>
      <c r="N1301" s="68">
        <v>0</v>
      </c>
      <c r="O1301" s="68">
        <v>0</v>
      </c>
      <c r="P1301" s="198" t="s">
        <v>5687</v>
      </c>
    </row>
    <row r="1302" spans="1:16" ht="18.75" hidden="1">
      <c r="A1302" s="50" t="s">
        <v>4137</v>
      </c>
      <c r="B1302" s="50" t="s">
        <v>3932</v>
      </c>
      <c r="C1302" s="50" t="s">
        <v>4287</v>
      </c>
      <c r="D1302" s="50" t="s">
        <v>3854</v>
      </c>
      <c r="E1302" s="12">
        <v>95</v>
      </c>
      <c r="F1302" s="49">
        <v>182640</v>
      </c>
      <c r="G1302" s="67" t="s">
        <v>5647</v>
      </c>
      <c r="H1302" s="14" t="s">
        <v>5601</v>
      </c>
      <c r="I1302" s="14" t="s">
        <v>2458</v>
      </c>
      <c r="J1302" s="33" t="s">
        <v>7110</v>
      </c>
      <c r="K1302" s="33" t="s">
        <v>4307</v>
      </c>
      <c r="L1302" s="68">
        <v>0</v>
      </c>
      <c r="M1302" s="68" t="s">
        <v>8915</v>
      </c>
      <c r="N1302" s="68">
        <v>0</v>
      </c>
      <c r="O1302" s="68">
        <v>0</v>
      </c>
      <c r="P1302" s="198" t="s">
        <v>5687</v>
      </c>
    </row>
    <row r="1303" spans="1:16" ht="18.75" hidden="1">
      <c r="A1303" s="50" t="s">
        <v>4139</v>
      </c>
      <c r="B1303" s="50" t="s">
        <v>4181</v>
      </c>
      <c r="C1303" s="50" t="s">
        <v>4268</v>
      </c>
      <c r="D1303" s="50" t="s">
        <v>3936</v>
      </c>
      <c r="E1303" s="12">
        <v>95</v>
      </c>
      <c r="F1303" s="49">
        <v>64070</v>
      </c>
      <c r="G1303" s="67" t="s">
        <v>5611</v>
      </c>
      <c r="H1303" s="14" t="s">
        <v>5601</v>
      </c>
      <c r="I1303" s="14" t="s">
        <v>2458</v>
      </c>
      <c r="J1303" s="33" t="s">
        <v>7110</v>
      </c>
      <c r="K1303" s="33" t="s">
        <v>4307</v>
      </c>
      <c r="L1303" s="68">
        <v>0</v>
      </c>
      <c r="M1303" s="68" t="s">
        <v>8915</v>
      </c>
      <c r="N1303" s="68">
        <v>0</v>
      </c>
      <c r="O1303" s="68">
        <v>0</v>
      </c>
      <c r="P1303" s="198" t="s">
        <v>5680</v>
      </c>
    </row>
    <row r="1304" spans="1:16" ht="18.75" hidden="1">
      <c r="A1304" s="50" t="s">
        <v>4140</v>
      </c>
      <c r="B1304" s="50" t="s">
        <v>4178</v>
      </c>
      <c r="C1304" s="50" t="s">
        <v>4284</v>
      </c>
      <c r="D1304" s="50" t="s">
        <v>3854</v>
      </c>
      <c r="E1304" s="12">
        <v>95</v>
      </c>
      <c r="F1304" s="49">
        <v>70840</v>
      </c>
      <c r="G1304" s="67" t="s">
        <v>5611</v>
      </c>
      <c r="H1304" s="14" t="s">
        <v>5601</v>
      </c>
      <c r="I1304" s="14" t="s">
        <v>2458</v>
      </c>
      <c r="J1304" s="33" t="s">
        <v>7110</v>
      </c>
      <c r="K1304" s="33" t="s">
        <v>4307</v>
      </c>
      <c r="L1304" s="68">
        <v>0</v>
      </c>
      <c r="M1304" s="68" t="s">
        <v>8915</v>
      </c>
      <c r="N1304" s="68">
        <v>0</v>
      </c>
      <c r="O1304" s="68">
        <v>0</v>
      </c>
      <c r="P1304" s="198" t="s">
        <v>5680</v>
      </c>
    </row>
    <row r="1305" spans="1:16" ht="18.75" hidden="1">
      <c r="A1305" s="50" t="s">
        <v>4139</v>
      </c>
      <c r="B1305" s="50" t="s">
        <v>4181</v>
      </c>
      <c r="C1305" s="50" t="s">
        <v>4275</v>
      </c>
      <c r="D1305" s="50" t="s">
        <v>3933</v>
      </c>
      <c r="E1305" s="12">
        <v>95</v>
      </c>
      <c r="F1305" s="49">
        <v>120170</v>
      </c>
      <c r="G1305" s="67" t="s">
        <v>5631</v>
      </c>
      <c r="H1305" s="14" t="s">
        <v>5601</v>
      </c>
      <c r="I1305" s="14" t="s">
        <v>2458</v>
      </c>
      <c r="J1305" s="33" t="s">
        <v>7110</v>
      </c>
      <c r="K1305" s="33" t="s">
        <v>4307</v>
      </c>
      <c r="L1305" s="68">
        <v>0</v>
      </c>
      <c r="M1305" s="68" t="s">
        <v>8915</v>
      </c>
      <c r="N1305" s="68">
        <v>0</v>
      </c>
      <c r="O1305" s="68">
        <v>0</v>
      </c>
      <c r="P1305" s="197" t="s">
        <v>5698</v>
      </c>
    </row>
    <row r="1306" spans="1:16" ht="18.75" hidden="1">
      <c r="A1306" s="50" t="s">
        <v>4141</v>
      </c>
      <c r="B1306" s="50" t="s">
        <v>3936</v>
      </c>
      <c r="C1306" s="50" t="s">
        <v>3835</v>
      </c>
      <c r="D1306" s="50" t="s">
        <v>3664</v>
      </c>
      <c r="E1306" s="12">
        <v>95</v>
      </c>
      <c r="F1306" s="49">
        <v>47880</v>
      </c>
      <c r="G1306" s="67" t="s">
        <v>5652</v>
      </c>
      <c r="H1306" s="14" t="s">
        <v>5601</v>
      </c>
      <c r="I1306" s="14" t="s">
        <v>2458</v>
      </c>
      <c r="J1306" s="33" t="s">
        <v>7110</v>
      </c>
      <c r="K1306" s="33" t="s">
        <v>4307</v>
      </c>
      <c r="L1306" s="68">
        <v>0</v>
      </c>
      <c r="M1306" s="68" t="s">
        <v>8915</v>
      </c>
      <c r="N1306" s="68">
        <v>0</v>
      </c>
      <c r="O1306" s="68">
        <v>0</v>
      </c>
      <c r="P1306" s="198" t="s">
        <v>5653</v>
      </c>
    </row>
    <row r="1307" spans="1:16" ht="18.75" hidden="1">
      <c r="A1307" s="50" t="s">
        <v>4142</v>
      </c>
      <c r="B1307" s="50" t="s">
        <v>4177</v>
      </c>
      <c r="C1307" s="50" t="s">
        <v>4271</v>
      </c>
      <c r="D1307" s="50" t="s">
        <v>4182</v>
      </c>
      <c r="E1307" s="12">
        <v>95</v>
      </c>
      <c r="F1307" s="49">
        <v>23640</v>
      </c>
      <c r="G1307" s="67" t="s">
        <v>5647</v>
      </c>
      <c r="H1307" s="14" t="s">
        <v>5601</v>
      </c>
      <c r="I1307" s="14" t="s">
        <v>2458</v>
      </c>
      <c r="J1307" s="33" t="s">
        <v>7110</v>
      </c>
      <c r="K1307" s="33" t="s">
        <v>4307</v>
      </c>
      <c r="L1307" s="68">
        <v>0</v>
      </c>
      <c r="M1307" s="68" t="s">
        <v>8915</v>
      </c>
      <c r="N1307" s="68">
        <v>0</v>
      </c>
      <c r="O1307" s="68">
        <v>0</v>
      </c>
      <c r="P1307" s="198" t="s">
        <v>5714</v>
      </c>
    </row>
    <row r="1308" spans="1:16" ht="18.75" hidden="1">
      <c r="A1308" s="50" t="s">
        <v>4139</v>
      </c>
      <c r="B1308" s="50" t="s">
        <v>4181</v>
      </c>
      <c r="C1308" s="50" t="s">
        <v>4269</v>
      </c>
      <c r="D1308" s="50" t="s">
        <v>3935</v>
      </c>
      <c r="E1308" s="12">
        <v>95</v>
      </c>
      <c r="F1308" s="49">
        <v>28900</v>
      </c>
      <c r="G1308" s="67" t="s">
        <v>5611</v>
      </c>
      <c r="H1308" s="14" t="s">
        <v>5601</v>
      </c>
      <c r="I1308" s="14" t="s">
        <v>2458</v>
      </c>
      <c r="J1308" s="33" t="s">
        <v>7110</v>
      </c>
      <c r="K1308" s="33" t="s">
        <v>4307</v>
      </c>
      <c r="L1308" s="68">
        <v>0</v>
      </c>
      <c r="M1308" s="68" t="s">
        <v>8915</v>
      </c>
      <c r="N1308" s="68">
        <v>0</v>
      </c>
      <c r="O1308" s="68">
        <v>0</v>
      </c>
      <c r="P1308" s="198" t="s">
        <v>5680</v>
      </c>
    </row>
    <row r="1309" spans="1:16" ht="18.75" hidden="1">
      <c r="A1309" s="50" t="s">
        <v>4143</v>
      </c>
      <c r="B1309" s="50" t="s">
        <v>4181</v>
      </c>
      <c r="C1309" s="50" t="s">
        <v>4290</v>
      </c>
      <c r="D1309" s="50" t="s">
        <v>3936</v>
      </c>
      <c r="E1309" s="12">
        <v>95</v>
      </c>
      <c r="F1309" s="49">
        <v>23120</v>
      </c>
      <c r="G1309" s="67" t="s">
        <v>5611</v>
      </c>
      <c r="H1309" s="14" t="s">
        <v>5601</v>
      </c>
      <c r="I1309" s="14" t="s">
        <v>2458</v>
      </c>
      <c r="J1309" s="33" t="s">
        <v>7110</v>
      </c>
      <c r="K1309" s="33" t="s">
        <v>4307</v>
      </c>
      <c r="L1309" s="68">
        <v>0</v>
      </c>
      <c r="M1309" s="68" t="s">
        <v>8915</v>
      </c>
      <c r="N1309" s="68">
        <v>0</v>
      </c>
      <c r="O1309" s="68">
        <v>0</v>
      </c>
      <c r="P1309" s="198" t="s">
        <v>5680</v>
      </c>
    </row>
    <row r="1310" spans="1:16" ht="18.75" hidden="1">
      <c r="A1310" s="50" t="s">
        <v>4143</v>
      </c>
      <c r="B1310" s="50" t="s">
        <v>4181</v>
      </c>
      <c r="C1310" s="50" t="s">
        <v>4279</v>
      </c>
      <c r="D1310" s="50" t="s">
        <v>3932</v>
      </c>
      <c r="E1310" s="12">
        <v>95</v>
      </c>
      <c r="F1310" s="49">
        <v>161180</v>
      </c>
      <c r="G1310" s="67" t="s">
        <v>5647</v>
      </c>
      <c r="H1310" s="14" t="s">
        <v>5601</v>
      </c>
      <c r="I1310" s="14" t="s">
        <v>2458</v>
      </c>
      <c r="J1310" s="33" t="s">
        <v>7110</v>
      </c>
      <c r="K1310" s="33" t="s">
        <v>4307</v>
      </c>
      <c r="L1310" s="68">
        <v>0</v>
      </c>
      <c r="M1310" s="68" t="s">
        <v>8915</v>
      </c>
      <c r="N1310" s="68">
        <v>0</v>
      </c>
      <c r="O1310" s="68">
        <v>0</v>
      </c>
      <c r="P1310" s="198" t="s">
        <v>5693</v>
      </c>
    </row>
    <row r="1311" spans="1:16" ht="18.75" hidden="1">
      <c r="A1311" s="50" t="s">
        <v>4144</v>
      </c>
      <c r="B1311" s="50" t="s">
        <v>4186</v>
      </c>
      <c r="C1311" s="50" t="s">
        <v>4270</v>
      </c>
      <c r="D1311" s="50" t="s">
        <v>3932</v>
      </c>
      <c r="E1311" s="12">
        <v>95</v>
      </c>
      <c r="F1311" s="49">
        <v>94080</v>
      </c>
      <c r="G1311" s="67" t="s">
        <v>5611</v>
      </c>
      <c r="H1311" s="14" t="s">
        <v>5601</v>
      </c>
      <c r="I1311" s="14" t="s">
        <v>2458</v>
      </c>
      <c r="J1311" s="33" t="s">
        <v>7110</v>
      </c>
      <c r="K1311" s="33" t="s">
        <v>4307</v>
      </c>
      <c r="L1311" s="68">
        <v>0</v>
      </c>
      <c r="M1311" s="68" t="s">
        <v>8915</v>
      </c>
      <c r="N1311" s="68">
        <v>0</v>
      </c>
      <c r="O1311" s="68">
        <v>0</v>
      </c>
      <c r="P1311" s="198" t="s">
        <v>5694</v>
      </c>
    </row>
    <row r="1312" spans="1:16" ht="18.75" hidden="1">
      <c r="A1312" s="50" t="s">
        <v>4133</v>
      </c>
      <c r="B1312" s="50" t="s">
        <v>4177</v>
      </c>
      <c r="C1312" s="50" t="s">
        <v>4283</v>
      </c>
      <c r="D1312" s="50" t="s">
        <v>4182</v>
      </c>
      <c r="E1312" s="12">
        <v>95</v>
      </c>
      <c r="F1312" s="49">
        <v>69530</v>
      </c>
      <c r="G1312" s="67" t="s">
        <v>5631</v>
      </c>
      <c r="H1312" s="14" t="s">
        <v>5601</v>
      </c>
      <c r="I1312" s="14" t="s">
        <v>2458</v>
      </c>
      <c r="J1312" s="33" t="s">
        <v>7110</v>
      </c>
      <c r="K1312" s="33" t="s">
        <v>4307</v>
      </c>
      <c r="L1312" s="68">
        <v>0</v>
      </c>
      <c r="M1312" s="68" t="s">
        <v>8915</v>
      </c>
      <c r="N1312" s="68">
        <v>0</v>
      </c>
      <c r="O1312" s="68">
        <v>0</v>
      </c>
      <c r="P1312" s="197" t="s">
        <v>5712</v>
      </c>
    </row>
    <row r="1313" spans="1:16" ht="18.75" hidden="1">
      <c r="A1313" s="50" t="s">
        <v>4137</v>
      </c>
      <c r="B1313" s="50" t="s">
        <v>3932</v>
      </c>
      <c r="C1313" s="50" t="s">
        <v>4291</v>
      </c>
      <c r="D1313" s="50" t="s">
        <v>3902</v>
      </c>
      <c r="E1313" s="12">
        <v>95</v>
      </c>
      <c r="F1313" s="49">
        <v>71080</v>
      </c>
      <c r="G1313" s="67" t="s">
        <v>5611</v>
      </c>
      <c r="H1313" s="14" t="s">
        <v>5601</v>
      </c>
      <c r="I1313" s="14" t="s">
        <v>2458</v>
      </c>
      <c r="J1313" s="33" t="s">
        <v>7110</v>
      </c>
      <c r="K1313" s="33" t="s">
        <v>4307</v>
      </c>
      <c r="L1313" s="68">
        <v>0</v>
      </c>
      <c r="M1313" s="68" t="s">
        <v>8915</v>
      </c>
      <c r="N1313" s="68">
        <v>0</v>
      </c>
      <c r="O1313" s="68">
        <v>0</v>
      </c>
      <c r="P1313" s="198" t="s">
        <v>5680</v>
      </c>
    </row>
    <row r="1314" spans="1:16" ht="18.75" hidden="1">
      <c r="A1314" s="50" t="s">
        <v>4145</v>
      </c>
      <c r="B1314" s="50" t="s">
        <v>4184</v>
      </c>
      <c r="C1314" s="50" t="s">
        <v>4274</v>
      </c>
      <c r="D1314" s="50" t="s">
        <v>3936</v>
      </c>
      <c r="E1314" s="12">
        <v>95</v>
      </c>
      <c r="F1314" s="49">
        <v>45040</v>
      </c>
      <c r="G1314" s="67" t="s">
        <v>5683</v>
      </c>
      <c r="H1314" s="14" t="s">
        <v>5601</v>
      </c>
      <c r="I1314" s="14" t="s">
        <v>2458</v>
      </c>
      <c r="J1314" s="33" t="s">
        <v>7110</v>
      </c>
      <c r="K1314" s="33" t="s">
        <v>4307</v>
      </c>
      <c r="L1314" s="68">
        <v>0</v>
      </c>
      <c r="M1314" s="68" t="s">
        <v>8915</v>
      </c>
      <c r="N1314" s="68">
        <v>0</v>
      </c>
      <c r="O1314" s="68">
        <v>0</v>
      </c>
      <c r="P1314" s="198" t="s">
        <v>5684</v>
      </c>
    </row>
    <row r="1315" spans="1:16" ht="18.75" hidden="1">
      <c r="A1315" s="50" t="s">
        <v>4145</v>
      </c>
      <c r="B1315" s="50" t="s">
        <v>4184</v>
      </c>
      <c r="C1315" s="50" t="s">
        <v>3979</v>
      </c>
      <c r="D1315" s="50" t="s">
        <v>3932</v>
      </c>
      <c r="E1315" s="12">
        <v>95</v>
      </c>
      <c r="F1315" s="49">
        <v>211900</v>
      </c>
      <c r="G1315" s="67" t="s">
        <v>5647</v>
      </c>
      <c r="H1315" s="14" t="s">
        <v>5601</v>
      </c>
      <c r="I1315" s="14" t="s">
        <v>2458</v>
      </c>
      <c r="J1315" s="33" t="s">
        <v>7110</v>
      </c>
      <c r="K1315" s="33" t="s">
        <v>4307</v>
      </c>
      <c r="L1315" s="68">
        <v>0</v>
      </c>
      <c r="M1315" s="68" t="s">
        <v>8915</v>
      </c>
      <c r="N1315" s="68">
        <v>0</v>
      </c>
      <c r="O1315" s="68">
        <v>0</v>
      </c>
      <c r="P1315" s="198" t="s">
        <v>5695</v>
      </c>
    </row>
    <row r="1316" spans="1:16" ht="18.75" hidden="1">
      <c r="A1316" s="50" t="s">
        <v>4143</v>
      </c>
      <c r="B1316" s="50" t="s">
        <v>4181</v>
      </c>
      <c r="C1316" s="50" t="s">
        <v>4303</v>
      </c>
      <c r="D1316" s="50" t="s">
        <v>3933</v>
      </c>
      <c r="E1316" s="12">
        <v>95</v>
      </c>
      <c r="F1316" s="49">
        <v>162820</v>
      </c>
      <c r="G1316" s="67" t="s">
        <v>5631</v>
      </c>
      <c r="H1316" s="14" t="s">
        <v>5601</v>
      </c>
      <c r="I1316" s="14" t="s">
        <v>2458</v>
      </c>
      <c r="J1316" s="33" t="s">
        <v>7110</v>
      </c>
      <c r="K1316" s="33" t="s">
        <v>4307</v>
      </c>
      <c r="L1316" s="68">
        <v>0</v>
      </c>
      <c r="M1316" s="68" t="s">
        <v>8915</v>
      </c>
      <c r="N1316" s="68">
        <v>0</v>
      </c>
      <c r="O1316" s="68">
        <v>0</v>
      </c>
      <c r="P1316" s="197" t="s">
        <v>5698</v>
      </c>
    </row>
    <row r="1317" spans="1:16" ht="18.75" hidden="1">
      <c r="A1317" s="50" t="s">
        <v>4144</v>
      </c>
      <c r="B1317" s="50" t="s">
        <v>4186</v>
      </c>
      <c r="C1317" s="50" t="s">
        <v>4303</v>
      </c>
      <c r="D1317" s="50" t="s">
        <v>3933</v>
      </c>
      <c r="E1317" s="12">
        <v>95</v>
      </c>
      <c r="F1317" s="49">
        <v>134280</v>
      </c>
      <c r="G1317" s="67" t="s">
        <v>5631</v>
      </c>
      <c r="H1317" s="14" t="s">
        <v>5601</v>
      </c>
      <c r="I1317" s="14" t="s">
        <v>2458</v>
      </c>
      <c r="J1317" s="33" t="s">
        <v>7110</v>
      </c>
      <c r="K1317" s="33" t="s">
        <v>4307</v>
      </c>
      <c r="L1317" s="68">
        <v>0</v>
      </c>
      <c r="M1317" s="68" t="s">
        <v>8915</v>
      </c>
      <c r="N1317" s="68">
        <v>0</v>
      </c>
      <c r="O1317" s="68">
        <v>0</v>
      </c>
      <c r="P1317" s="197" t="s">
        <v>5698</v>
      </c>
    </row>
    <row r="1318" spans="1:16" ht="18.75" hidden="1">
      <c r="A1318" s="50" t="s">
        <v>4144</v>
      </c>
      <c r="B1318" s="50" t="s">
        <v>4186</v>
      </c>
      <c r="C1318" s="50" t="s">
        <v>3981</v>
      </c>
      <c r="D1318" s="50" t="s">
        <v>3937</v>
      </c>
      <c r="E1318" s="12">
        <v>95</v>
      </c>
      <c r="F1318" s="49">
        <v>258680</v>
      </c>
      <c r="G1318" s="67" t="s">
        <v>5647</v>
      </c>
      <c r="H1318" s="14" t="s">
        <v>5601</v>
      </c>
      <c r="I1318" s="14" t="s">
        <v>2458</v>
      </c>
      <c r="J1318" s="33" t="s">
        <v>7110</v>
      </c>
      <c r="K1318" s="33" t="s">
        <v>4307</v>
      </c>
      <c r="L1318" s="68">
        <v>0</v>
      </c>
      <c r="M1318" s="68" t="s">
        <v>8915</v>
      </c>
      <c r="N1318" s="68">
        <v>0</v>
      </c>
      <c r="O1318" s="68">
        <v>0</v>
      </c>
      <c r="P1318" s="198" t="s">
        <v>5704</v>
      </c>
    </row>
    <row r="1319" spans="1:16" ht="18.75" hidden="1">
      <c r="A1319" s="50" t="s">
        <v>4146</v>
      </c>
      <c r="B1319" s="50" t="s">
        <v>4182</v>
      </c>
      <c r="C1319" s="50" t="s">
        <v>4284</v>
      </c>
      <c r="D1319" s="50" t="s">
        <v>3854</v>
      </c>
      <c r="E1319" s="12">
        <v>95</v>
      </c>
      <c r="F1319" s="49">
        <v>25530</v>
      </c>
      <c r="G1319" s="67" t="s">
        <v>5611</v>
      </c>
      <c r="H1319" s="14" t="s">
        <v>5601</v>
      </c>
      <c r="I1319" s="14" t="s">
        <v>2458</v>
      </c>
      <c r="J1319" s="33" t="s">
        <v>7110</v>
      </c>
      <c r="K1319" s="33" t="s">
        <v>4307</v>
      </c>
      <c r="L1319" s="68">
        <v>0</v>
      </c>
      <c r="M1319" s="68" t="s">
        <v>8915</v>
      </c>
      <c r="N1319" s="68">
        <v>0</v>
      </c>
      <c r="O1319" s="68">
        <v>0</v>
      </c>
      <c r="P1319" s="198" t="s">
        <v>5680</v>
      </c>
    </row>
    <row r="1320" spans="1:16" ht="18.75" hidden="1">
      <c r="A1320" s="50" t="s">
        <v>4147</v>
      </c>
      <c r="B1320" s="50" t="s">
        <v>4176</v>
      </c>
      <c r="C1320" s="50" t="s">
        <v>3981</v>
      </c>
      <c r="D1320" s="50" t="s">
        <v>3937</v>
      </c>
      <c r="E1320" s="12">
        <v>95</v>
      </c>
      <c r="F1320" s="49">
        <v>27920</v>
      </c>
      <c r="G1320" s="67" t="s">
        <v>5647</v>
      </c>
      <c r="H1320" s="14" t="s">
        <v>5601</v>
      </c>
      <c r="I1320" s="14" t="s">
        <v>2458</v>
      </c>
      <c r="J1320" s="33" t="s">
        <v>7110</v>
      </c>
      <c r="K1320" s="33" t="s">
        <v>4307</v>
      </c>
      <c r="L1320" s="68">
        <v>0</v>
      </c>
      <c r="M1320" s="68" t="s">
        <v>8915</v>
      </c>
      <c r="N1320" s="68">
        <v>0</v>
      </c>
      <c r="O1320" s="68">
        <v>0</v>
      </c>
      <c r="P1320" s="198" t="s">
        <v>5704</v>
      </c>
    </row>
    <row r="1321" spans="1:16" ht="18.75" hidden="1">
      <c r="A1321" s="50" t="s">
        <v>4148</v>
      </c>
      <c r="B1321" s="50" t="s">
        <v>3902</v>
      </c>
      <c r="C1321" s="50" t="s">
        <v>4286</v>
      </c>
      <c r="D1321" s="50" t="s">
        <v>3714</v>
      </c>
      <c r="E1321" s="12">
        <v>95</v>
      </c>
      <c r="F1321" s="49">
        <v>149730</v>
      </c>
      <c r="G1321" s="67" t="s">
        <v>5611</v>
      </c>
      <c r="H1321" s="14" t="s">
        <v>5601</v>
      </c>
      <c r="I1321" s="14" t="s">
        <v>2458</v>
      </c>
      <c r="J1321" s="33" t="s">
        <v>7110</v>
      </c>
      <c r="K1321" s="33" t="s">
        <v>4307</v>
      </c>
      <c r="L1321" s="68">
        <v>0</v>
      </c>
      <c r="M1321" s="68" t="s">
        <v>8915</v>
      </c>
      <c r="N1321" s="68">
        <v>0</v>
      </c>
      <c r="O1321" s="68">
        <v>0</v>
      </c>
      <c r="P1321" s="198" t="s">
        <v>5659</v>
      </c>
    </row>
    <row r="1322" spans="1:16" ht="18.75" hidden="1">
      <c r="A1322" s="50" t="s">
        <v>4143</v>
      </c>
      <c r="B1322" s="50" t="s">
        <v>4181</v>
      </c>
      <c r="C1322" s="50" t="s">
        <v>4274</v>
      </c>
      <c r="D1322" s="50" t="s">
        <v>3936</v>
      </c>
      <c r="E1322" s="12">
        <v>95</v>
      </c>
      <c r="F1322" s="49">
        <v>47400</v>
      </c>
      <c r="G1322" s="67" t="s">
        <v>5683</v>
      </c>
      <c r="H1322" s="14" t="s">
        <v>5601</v>
      </c>
      <c r="I1322" s="14" t="s">
        <v>2458</v>
      </c>
      <c r="J1322" s="33" t="s">
        <v>7110</v>
      </c>
      <c r="K1322" s="33" t="s">
        <v>4307</v>
      </c>
      <c r="L1322" s="68">
        <v>0</v>
      </c>
      <c r="M1322" s="68" t="s">
        <v>8915</v>
      </c>
      <c r="N1322" s="68">
        <v>0</v>
      </c>
      <c r="O1322" s="68">
        <v>0</v>
      </c>
      <c r="P1322" s="198" t="s">
        <v>5684</v>
      </c>
    </row>
    <row r="1323" spans="1:16" ht="18.75" hidden="1">
      <c r="A1323" s="50" t="s">
        <v>4143</v>
      </c>
      <c r="B1323" s="50" t="s">
        <v>4181</v>
      </c>
      <c r="C1323" s="50" t="s">
        <v>3979</v>
      </c>
      <c r="D1323" s="50" t="s">
        <v>3932</v>
      </c>
      <c r="E1323" s="12">
        <v>95</v>
      </c>
      <c r="F1323" s="49">
        <v>222700</v>
      </c>
      <c r="G1323" s="67" t="s">
        <v>5647</v>
      </c>
      <c r="H1323" s="14" t="s">
        <v>5601</v>
      </c>
      <c r="I1323" s="14" t="s">
        <v>2458</v>
      </c>
      <c r="J1323" s="33" t="s">
        <v>7110</v>
      </c>
      <c r="K1323" s="33" t="s">
        <v>4307</v>
      </c>
      <c r="L1323" s="68">
        <v>0</v>
      </c>
      <c r="M1323" s="68" t="s">
        <v>8915</v>
      </c>
      <c r="N1323" s="68">
        <v>0</v>
      </c>
      <c r="O1323" s="68">
        <v>0</v>
      </c>
      <c r="P1323" s="198" t="s">
        <v>5695</v>
      </c>
    </row>
    <row r="1324" spans="1:16" ht="18.75" hidden="1">
      <c r="A1324" s="50" t="s">
        <v>4147</v>
      </c>
      <c r="B1324" s="50" t="s">
        <v>4176</v>
      </c>
      <c r="C1324" s="50" t="s">
        <v>4297</v>
      </c>
      <c r="D1324" s="50" t="s">
        <v>3933</v>
      </c>
      <c r="E1324" s="12">
        <v>95</v>
      </c>
      <c r="F1324" s="49">
        <v>48240</v>
      </c>
      <c r="G1324" s="67" t="s">
        <v>5611</v>
      </c>
      <c r="H1324" s="14" t="s">
        <v>5601</v>
      </c>
      <c r="I1324" s="14" t="s">
        <v>2458</v>
      </c>
      <c r="J1324" s="33" t="s">
        <v>7110</v>
      </c>
      <c r="K1324" s="33" t="s">
        <v>4307</v>
      </c>
      <c r="L1324" s="68">
        <v>0</v>
      </c>
      <c r="M1324" s="68" t="s">
        <v>8915</v>
      </c>
      <c r="N1324" s="68">
        <v>0</v>
      </c>
      <c r="O1324" s="68">
        <v>0</v>
      </c>
      <c r="P1324" s="198" t="s">
        <v>5694</v>
      </c>
    </row>
    <row r="1325" spans="1:16" ht="18.75" hidden="1">
      <c r="A1325" s="50" t="s">
        <v>4149</v>
      </c>
      <c r="B1325" s="50" t="s">
        <v>3935</v>
      </c>
      <c r="C1325" s="50" t="s">
        <v>4295</v>
      </c>
      <c r="D1325" s="50" t="s">
        <v>3671</v>
      </c>
      <c r="E1325" s="12">
        <v>95</v>
      </c>
      <c r="F1325" s="49">
        <v>124180</v>
      </c>
      <c r="G1325" s="67" t="s">
        <v>5631</v>
      </c>
      <c r="H1325" s="14" t="s">
        <v>5601</v>
      </c>
      <c r="I1325" s="14" t="s">
        <v>2458</v>
      </c>
      <c r="J1325" s="33" t="s">
        <v>7110</v>
      </c>
      <c r="K1325" s="33" t="s">
        <v>4307</v>
      </c>
      <c r="L1325" s="68">
        <v>0</v>
      </c>
      <c r="M1325" s="68" t="s">
        <v>8915</v>
      </c>
      <c r="N1325" s="68">
        <v>0</v>
      </c>
      <c r="O1325" s="68">
        <v>0</v>
      </c>
      <c r="P1325" s="197" t="s">
        <v>5662</v>
      </c>
    </row>
    <row r="1326" spans="1:16" ht="18.75" hidden="1">
      <c r="A1326" s="50" t="s">
        <v>4150</v>
      </c>
      <c r="B1326" s="50" t="s">
        <v>3965</v>
      </c>
      <c r="C1326" s="50" t="s">
        <v>4267</v>
      </c>
      <c r="D1326" s="50" t="s">
        <v>3936</v>
      </c>
      <c r="E1326" s="12">
        <v>95</v>
      </c>
      <c r="F1326" s="49">
        <v>207070</v>
      </c>
      <c r="G1326" s="67" t="s">
        <v>5631</v>
      </c>
      <c r="H1326" s="14" t="s">
        <v>5601</v>
      </c>
      <c r="I1326" s="14" t="s">
        <v>2458</v>
      </c>
      <c r="J1326" s="33" t="s">
        <v>7110</v>
      </c>
      <c r="K1326" s="33" t="s">
        <v>4307</v>
      </c>
      <c r="L1326" s="68">
        <v>0</v>
      </c>
      <c r="M1326" s="68" t="s">
        <v>8915</v>
      </c>
      <c r="N1326" s="68">
        <v>0</v>
      </c>
      <c r="O1326" s="68">
        <v>0</v>
      </c>
      <c r="P1326" s="197" t="s">
        <v>5668</v>
      </c>
    </row>
    <row r="1327" spans="1:16" ht="18.75" hidden="1">
      <c r="A1327" s="50" t="s">
        <v>4143</v>
      </c>
      <c r="B1327" s="50" t="s">
        <v>4181</v>
      </c>
      <c r="C1327" s="50" t="s">
        <v>4281</v>
      </c>
      <c r="D1327" s="50" t="s">
        <v>3935</v>
      </c>
      <c r="E1327" s="12">
        <v>95</v>
      </c>
      <c r="F1327" s="49">
        <v>25340</v>
      </c>
      <c r="G1327" s="67" t="s">
        <v>5611</v>
      </c>
      <c r="H1327" s="14" t="s">
        <v>5601</v>
      </c>
      <c r="I1327" s="14" t="s">
        <v>2458</v>
      </c>
      <c r="J1327" s="33" t="s">
        <v>7110</v>
      </c>
      <c r="K1327" s="33" t="s">
        <v>4307</v>
      </c>
      <c r="L1327" s="68">
        <v>0</v>
      </c>
      <c r="M1327" s="68" t="s">
        <v>8915</v>
      </c>
      <c r="N1327" s="68">
        <v>0</v>
      </c>
      <c r="O1327" s="68">
        <v>0</v>
      </c>
      <c r="P1327" s="198" t="s">
        <v>5680</v>
      </c>
    </row>
    <row r="1328" spans="1:16" ht="18.75" hidden="1">
      <c r="A1328" s="50" t="s">
        <v>4143</v>
      </c>
      <c r="B1328" s="50" t="s">
        <v>4181</v>
      </c>
      <c r="C1328" s="50" t="s">
        <v>3980</v>
      </c>
      <c r="D1328" s="50" t="s">
        <v>3937</v>
      </c>
      <c r="E1328" s="12">
        <v>95</v>
      </c>
      <c r="F1328" s="49">
        <v>8120</v>
      </c>
      <c r="G1328" s="67" t="s">
        <v>5647</v>
      </c>
      <c r="H1328" s="14" t="s">
        <v>5601</v>
      </c>
      <c r="I1328" s="14" t="s">
        <v>2458</v>
      </c>
      <c r="J1328" s="33" t="s">
        <v>7110</v>
      </c>
      <c r="K1328" s="33" t="s">
        <v>4307</v>
      </c>
      <c r="L1328" s="68">
        <v>0</v>
      </c>
      <c r="M1328" s="68" t="s">
        <v>8915</v>
      </c>
      <c r="N1328" s="68">
        <v>0</v>
      </c>
      <c r="O1328" s="68">
        <v>0</v>
      </c>
      <c r="P1328" s="198" t="s">
        <v>5705</v>
      </c>
    </row>
    <row r="1329" spans="1:16" ht="18.75" hidden="1">
      <c r="A1329" s="50" t="s">
        <v>4151</v>
      </c>
      <c r="B1329" s="50" t="s">
        <v>4185</v>
      </c>
      <c r="C1329" s="50" t="s">
        <v>4302</v>
      </c>
      <c r="D1329" s="50" t="s">
        <v>4176</v>
      </c>
      <c r="E1329" s="12">
        <v>95</v>
      </c>
      <c r="F1329" s="49">
        <v>72200</v>
      </c>
      <c r="G1329" s="67" t="s">
        <v>5611</v>
      </c>
      <c r="H1329" s="14" t="s">
        <v>5601</v>
      </c>
      <c r="I1329" s="14" t="s">
        <v>2458</v>
      </c>
      <c r="J1329" s="33" t="s">
        <v>7110</v>
      </c>
      <c r="K1329" s="33" t="s">
        <v>4307</v>
      </c>
      <c r="L1329" s="68">
        <v>0</v>
      </c>
      <c r="M1329" s="68" t="s">
        <v>8915</v>
      </c>
      <c r="N1329" s="68">
        <v>0</v>
      </c>
      <c r="O1329" s="68">
        <v>0</v>
      </c>
      <c r="P1329" s="198" t="s">
        <v>5708</v>
      </c>
    </row>
    <row r="1330" spans="1:16" ht="18.75" hidden="1">
      <c r="A1330" s="50" t="s">
        <v>4146</v>
      </c>
      <c r="B1330" s="50" t="s">
        <v>4182</v>
      </c>
      <c r="C1330" s="50" t="s">
        <v>4280</v>
      </c>
      <c r="D1330" s="50" t="s">
        <v>3932</v>
      </c>
      <c r="E1330" s="12">
        <v>95</v>
      </c>
      <c r="F1330" s="49">
        <v>183900</v>
      </c>
      <c r="G1330" s="67" t="s">
        <v>5611</v>
      </c>
      <c r="H1330" s="14" t="s">
        <v>5601</v>
      </c>
      <c r="I1330" s="14" t="s">
        <v>2458</v>
      </c>
      <c r="J1330" s="33" t="s">
        <v>7110</v>
      </c>
      <c r="K1330" s="33" t="s">
        <v>4307</v>
      </c>
      <c r="L1330" s="68">
        <v>0</v>
      </c>
      <c r="M1330" s="68" t="s">
        <v>8915</v>
      </c>
      <c r="N1330" s="68">
        <v>0</v>
      </c>
      <c r="O1330" s="68">
        <v>0</v>
      </c>
      <c r="P1330" s="198" t="s">
        <v>5694</v>
      </c>
    </row>
    <row r="1331" spans="1:16" ht="18.75" hidden="1">
      <c r="A1331" s="50" t="s">
        <v>4147</v>
      </c>
      <c r="B1331" s="50" t="s">
        <v>4176</v>
      </c>
      <c r="C1331" s="50" t="s">
        <v>3980</v>
      </c>
      <c r="D1331" s="50" t="s">
        <v>3937</v>
      </c>
      <c r="E1331" s="12">
        <v>95</v>
      </c>
      <c r="F1331" s="49">
        <v>38760</v>
      </c>
      <c r="G1331" s="67" t="s">
        <v>5647</v>
      </c>
      <c r="H1331" s="14" t="s">
        <v>5601</v>
      </c>
      <c r="I1331" s="14" t="s">
        <v>2458</v>
      </c>
      <c r="J1331" s="33" t="s">
        <v>7110</v>
      </c>
      <c r="K1331" s="33" t="s">
        <v>4307</v>
      </c>
      <c r="L1331" s="68">
        <v>0</v>
      </c>
      <c r="M1331" s="68" t="s">
        <v>8915</v>
      </c>
      <c r="N1331" s="68">
        <v>0</v>
      </c>
      <c r="O1331" s="68">
        <v>0</v>
      </c>
      <c r="P1331" s="198" t="s">
        <v>5705</v>
      </c>
    </row>
    <row r="1332" spans="1:16" ht="18.75" hidden="1">
      <c r="A1332" s="50" t="s">
        <v>4152</v>
      </c>
      <c r="B1332" s="50" t="s">
        <v>3900</v>
      </c>
      <c r="C1332" s="50" t="s">
        <v>3977</v>
      </c>
      <c r="D1332" s="50" t="s">
        <v>3935</v>
      </c>
      <c r="E1332" s="12">
        <v>95</v>
      </c>
      <c r="F1332" s="49">
        <v>23020</v>
      </c>
      <c r="G1332" s="67" t="s">
        <v>5647</v>
      </c>
      <c r="H1332" s="14" t="s">
        <v>5601</v>
      </c>
      <c r="I1332" s="14" t="s">
        <v>2458</v>
      </c>
      <c r="J1332" s="33" t="s">
        <v>7110</v>
      </c>
      <c r="K1332" s="33" t="s">
        <v>4307</v>
      </c>
      <c r="L1332" s="68">
        <v>0</v>
      </c>
      <c r="M1332" s="68" t="s">
        <v>8915</v>
      </c>
      <c r="N1332" s="68">
        <v>0</v>
      </c>
      <c r="O1332" s="68">
        <v>0</v>
      </c>
      <c r="P1332" s="198" t="s">
        <v>5685</v>
      </c>
    </row>
    <row r="1333" spans="1:16" ht="18.75" hidden="1">
      <c r="A1333" s="50" t="s">
        <v>4153</v>
      </c>
      <c r="B1333" s="50" t="s">
        <v>4185</v>
      </c>
      <c r="C1333" s="50" t="s">
        <v>4276</v>
      </c>
      <c r="D1333" s="50" t="s">
        <v>4184</v>
      </c>
      <c r="E1333" s="12">
        <v>95</v>
      </c>
      <c r="F1333" s="49">
        <v>96740</v>
      </c>
      <c r="G1333" s="67" t="s">
        <v>5611</v>
      </c>
      <c r="H1333" s="14" t="s">
        <v>5601</v>
      </c>
      <c r="I1333" s="14" t="s">
        <v>2458</v>
      </c>
      <c r="J1333" s="33" t="s">
        <v>7110</v>
      </c>
      <c r="K1333" s="33" t="s">
        <v>4307</v>
      </c>
      <c r="L1333" s="68">
        <v>0</v>
      </c>
      <c r="M1333" s="68" t="s">
        <v>8915</v>
      </c>
      <c r="N1333" s="68">
        <v>0</v>
      </c>
      <c r="O1333" s="68">
        <v>0</v>
      </c>
      <c r="P1333" s="198" t="s">
        <v>5694</v>
      </c>
    </row>
    <row r="1334" spans="1:16" ht="18.75" hidden="1">
      <c r="A1334" s="50" t="s">
        <v>4154</v>
      </c>
      <c r="B1334" s="50" t="s">
        <v>4178</v>
      </c>
      <c r="C1334" s="50" t="s">
        <v>3980</v>
      </c>
      <c r="D1334" s="50" t="s">
        <v>3937</v>
      </c>
      <c r="E1334" s="12">
        <v>95</v>
      </c>
      <c r="F1334" s="49">
        <v>176700</v>
      </c>
      <c r="G1334" s="67" t="s">
        <v>5647</v>
      </c>
      <c r="H1334" s="14" t="s">
        <v>5601</v>
      </c>
      <c r="I1334" s="14" t="s">
        <v>2458</v>
      </c>
      <c r="J1334" s="33" t="s">
        <v>7110</v>
      </c>
      <c r="K1334" s="33" t="s">
        <v>4307</v>
      </c>
      <c r="L1334" s="68">
        <v>0</v>
      </c>
      <c r="M1334" s="68" t="s">
        <v>8915</v>
      </c>
      <c r="N1334" s="68">
        <v>0</v>
      </c>
      <c r="O1334" s="68">
        <v>0</v>
      </c>
      <c r="P1334" s="198" t="s">
        <v>5705</v>
      </c>
    </row>
    <row r="1335" spans="1:16" ht="18.75" hidden="1">
      <c r="A1335" s="50" t="s">
        <v>4155</v>
      </c>
      <c r="B1335" s="50" t="s">
        <v>4183</v>
      </c>
      <c r="C1335" s="50" t="s">
        <v>4280</v>
      </c>
      <c r="D1335" s="50" t="s">
        <v>3932</v>
      </c>
      <c r="E1335" s="12">
        <v>95</v>
      </c>
      <c r="F1335" s="49">
        <v>172800</v>
      </c>
      <c r="G1335" s="67" t="s">
        <v>5611</v>
      </c>
      <c r="H1335" s="14" t="s">
        <v>5601</v>
      </c>
      <c r="I1335" s="14" t="s">
        <v>2458</v>
      </c>
      <c r="J1335" s="33" t="s">
        <v>7110</v>
      </c>
      <c r="K1335" s="33" t="s">
        <v>4307</v>
      </c>
      <c r="L1335" s="68">
        <v>0</v>
      </c>
      <c r="M1335" s="68" t="s">
        <v>8915</v>
      </c>
      <c r="N1335" s="68">
        <v>0</v>
      </c>
      <c r="O1335" s="68">
        <v>0</v>
      </c>
      <c r="P1335" s="198" t="s">
        <v>5694</v>
      </c>
    </row>
    <row r="1336" spans="1:16" ht="18.75" hidden="1">
      <c r="A1336" s="50" t="s">
        <v>4156</v>
      </c>
      <c r="B1336" s="50" t="s">
        <v>3900</v>
      </c>
      <c r="C1336" s="50" t="s">
        <v>3977</v>
      </c>
      <c r="D1336" s="50" t="s">
        <v>3935</v>
      </c>
      <c r="E1336" s="12">
        <v>95</v>
      </c>
      <c r="F1336" s="49">
        <v>203140</v>
      </c>
      <c r="G1336" s="67" t="s">
        <v>5647</v>
      </c>
      <c r="H1336" s="14" t="s">
        <v>5601</v>
      </c>
      <c r="I1336" s="14" t="s">
        <v>2458</v>
      </c>
      <c r="J1336" s="33" t="s">
        <v>7110</v>
      </c>
      <c r="K1336" s="33" t="s">
        <v>4307</v>
      </c>
      <c r="L1336" s="68">
        <v>0</v>
      </c>
      <c r="M1336" s="68" t="s">
        <v>8915</v>
      </c>
      <c r="N1336" s="68">
        <v>0</v>
      </c>
      <c r="O1336" s="68">
        <v>0</v>
      </c>
      <c r="P1336" s="198" t="s">
        <v>5685</v>
      </c>
    </row>
    <row r="1337" spans="1:16" ht="18.75" hidden="1">
      <c r="A1337" s="50" t="s">
        <v>4157</v>
      </c>
      <c r="B1337" s="50" t="s">
        <v>3933</v>
      </c>
      <c r="C1337" s="50" t="s">
        <v>4299</v>
      </c>
      <c r="D1337" s="50" t="s">
        <v>3829</v>
      </c>
      <c r="E1337" s="12">
        <v>95</v>
      </c>
      <c r="F1337" s="49">
        <v>96500</v>
      </c>
      <c r="G1337" s="67" t="s">
        <v>5611</v>
      </c>
      <c r="H1337" s="14" t="s">
        <v>5601</v>
      </c>
      <c r="I1337" s="14" t="s">
        <v>2458</v>
      </c>
      <c r="J1337" s="33" t="s">
        <v>7110</v>
      </c>
      <c r="K1337" s="33" t="s">
        <v>4307</v>
      </c>
      <c r="L1337" s="68">
        <v>0</v>
      </c>
      <c r="M1337" s="68" t="s">
        <v>8915</v>
      </c>
      <c r="N1337" s="68">
        <v>0</v>
      </c>
      <c r="O1337" s="68">
        <v>0</v>
      </c>
      <c r="P1337" s="198" t="s">
        <v>5680</v>
      </c>
    </row>
    <row r="1338" spans="1:16" ht="18.75" hidden="1">
      <c r="A1338" s="50" t="s">
        <v>4158</v>
      </c>
      <c r="B1338" s="50" t="s">
        <v>3937</v>
      </c>
      <c r="C1338" s="50" t="s">
        <v>4265</v>
      </c>
      <c r="D1338" s="50" t="s">
        <v>3935</v>
      </c>
      <c r="E1338" s="12">
        <v>95</v>
      </c>
      <c r="F1338" s="49">
        <v>46270</v>
      </c>
      <c r="G1338" s="67" t="s">
        <v>5611</v>
      </c>
      <c r="H1338" s="14" t="s">
        <v>5601</v>
      </c>
      <c r="I1338" s="14" t="s">
        <v>2458</v>
      </c>
      <c r="J1338" s="33" t="s">
        <v>7110</v>
      </c>
      <c r="K1338" s="33" t="s">
        <v>4307</v>
      </c>
      <c r="L1338" s="68">
        <v>0</v>
      </c>
      <c r="M1338" s="68" t="s">
        <v>8915</v>
      </c>
      <c r="N1338" s="68">
        <v>0</v>
      </c>
      <c r="O1338" s="68">
        <v>0</v>
      </c>
      <c r="P1338" s="198" t="s">
        <v>5680</v>
      </c>
    </row>
    <row r="1339" spans="1:16" ht="18.75" hidden="1">
      <c r="A1339" s="50" t="s">
        <v>4159</v>
      </c>
      <c r="B1339" s="50" t="s">
        <v>4187</v>
      </c>
      <c r="C1339" s="50" t="s">
        <v>3842</v>
      </c>
      <c r="D1339" s="50" t="s">
        <v>3768</v>
      </c>
      <c r="E1339" s="12">
        <v>95</v>
      </c>
      <c r="F1339" s="49">
        <v>89760</v>
      </c>
      <c r="G1339" s="67" t="s">
        <v>5611</v>
      </c>
      <c r="H1339" s="14" t="s">
        <v>5601</v>
      </c>
      <c r="I1339" s="14" t="s">
        <v>2458</v>
      </c>
      <c r="J1339" s="33" t="s">
        <v>7110</v>
      </c>
      <c r="K1339" s="33" t="s">
        <v>4307</v>
      </c>
      <c r="L1339" s="68">
        <v>0</v>
      </c>
      <c r="M1339" s="68" t="s">
        <v>8915</v>
      </c>
      <c r="N1339" s="68">
        <v>0</v>
      </c>
      <c r="O1339" s="68">
        <v>0</v>
      </c>
      <c r="P1339" s="198" t="s">
        <v>5675</v>
      </c>
    </row>
    <row r="1340" spans="1:16" ht="18.75" hidden="1">
      <c r="A1340" s="50" t="s">
        <v>4160</v>
      </c>
      <c r="B1340" s="50" t="s">
        <v>3902</v>
      </c>
      <c r="C1340" s="50" t="s">
        <v>3842</v>
      </c>
      <c r="D1340" s="50" t="s">
        <v>3768</v>
      </c>
      <c r="E1340" s="12">
        <v>95</v>
      </c>
      <c r="F1340" s="49">
        <v>71540</v>
      </c>
      <c r="G1340" s="67" t="s">
        <v>5611</v>
      </c>
      <c r="H1340" s="14" t="s">
        <v>5601</v>
      </c>
      <c r="I1340" s="14" t="s">
        <v>2458</v>
      </c>
      <c r="J1340" s="33" t="s">
        <v>7110</v>
      </c>
      <c r="K1340" s="33" t="s">
        <v>4307</v>
      </c>
      <c r="L1340" s="68">
        <v>0</v>
      </c>
      <c r="M1340" s="68" t="s">
        <v>8915</v>
      </c>
      <c r="N1340" s="68">
        <v>0</v>
      </c>
      <c r="O1340" s="68">
        <v>0</v>
      </c>
      <c r="P1340" s="198" t="s">
        <v>5675</v>
      </c>
    </row>
    <row r="1341" spans="1:16" ht="18.75" hidden="1">
      <c r="A1341" s="50" t="s">
        <v>4154</v>
      </c>
      <c r="B1341" s="50" t="s">
        <v>4178</v>
      </c>
      <c r="C1341" s="50" t="s">
        <v>4270</v>
      </c>
      <c r="D1341" s="50" t="s">
        <v>3932</v>
      </c>
      <c r="E1341" s="12">
        <v>95</v>
      </c>
      <c r="F1341" s="49">
        <v>46860</v>
      </c>
      <c r="G1341" s="67" t="s">
        <v>5611</v>
      </c>
      <c r="H1341" s="14" t="s">
        <v>5601</v>
      </c>
      <c r="I1341" s="14" t="s">
        <v>2458</v>
      </c>
      <c r="J1341" s="33" t="s">
        <v>7110</v>
      </c>
      <c r="K1341" s="33" t="s">
        <v>4307</v>
      </c>
      <c r="L1341" s="68">
        <v>0</v>
      </c>
      <c r="M1341" s="68" t="s">
        <v>8915</v>
      </c>
      <c r="N1341" s="68">
        <v>0</v>
      </c>
      <c r="O1341" s="68">
        <v>0</v>
      </c>
      <c r="P1341" s="198" t="s">
        <v>5694</v>
      </c>
    </row>
    <row r="1342" spans="1:16" ht="18.75" hidden="1">
      <c r="A1342" s="50" t="s">
        <v>4154</v>
      </c>
      <c r="B1342" s="50" t="s">
        <v>4178</v>
      </c>
      <c r="C1342" s="50" t="s">
        <v>3978</v>
      </c>
      <c r="D1342" s="50" t="s">
        <v>3932</v>
      </c>
      <c r="E1342" s="12">
        <v>95</v>
      </c>
      <c r="F1342" s="49">
        <v>13060</v>
      </c>
      <c r="G1342" s="67" t="s">
        <v>5647</v>
      </c>
      <c r="H1342" s="14" t="s">
        <v>5601</v>
      </c>
      <c r="I1342" s="14" t="s">
        <v>2458</v>
      </c>
      <c r="J1342" s="33" t="s">
        <v>7110</v>
      </c>
      <c r="K1342" s="33" t="s">
        <v>4307</v>
      </c>
      <c r="L1342" s="68">
        <v>0</v>
      </c>
      <c r="M1342" s="68" t="s">
        <v>8915</v>
      </c>
      <c r="N1342" s="68">
        <v>0</v>
      </c>
      <c r="O1342" s="68">
        <v>0</v>
      </c>
      <c r="P1342" s="198" t="s">
        <v>5692</v>
      </c>
    </row>
    <row r="1343" spans="1:16" ht="18.75" hidden="1">
      <c r="A1343" s="50" t="s">
        <v>4156</v>
      </c>
      <c r="B1343" s="50" t="s">
        <v>3900</v>
      </c>
      <c r="C1343" s="50" t="s">
        <v>4290</v>
      </c>
      <c r="D1343" s="50" t="s">
        <v>3936</v>
      </c>
      <c r="E1343" s="12">
        <v>95</v>
      </c>
      <c r="F1343" s="49">
        <v>47160</v>
      </c>
      <c r="G1343" s="67" t="s">
        <v>5611</v>
      </c>
      <c r="H1343" s="14" t="s">
        <v>5601</v>
      </c>
      <c r="I1343" s="14" t="s">
        <v>2458</v>
      </c>
      <c r="J1343" s="33" t="s">
        <v>7110</v>
      </c>
      <c r="K1343" s="33" t="s">
        <v>4307</v>
      </c>
      <c r="L1343" s="68">
        <v>0</v>
      </c>
      <c r="M1343" s="68" t="s">
        <v>8915</v>
      </c>
      <c r="N1343" s="68">
        <v>0</v>
      </c>
      <c r="O1343" s="68">
        <v>0</v>
      </c>
      <c r="P1343" s="198" t="s">
        <v>5680</v>
      </c>
    </row>
    <row r="1344" spans="1:16" ht="18.75" hidden="1">
      <c r="A1344" s="50" t="s">
        <v>4154</v>
      </c>
      <c r="B1344" s="50" t="s">
        <v>4178</v>
      </c>
      <c r="C1344" s="50" t="s">
        <v>3979</v>
      </c>
      <c r="D1344" s="50" t="s">
        <v>3932</v>
      </c>
      <c r="E1344" s="12">
        <v>95</v>
      </c>
      <c r="F1344" s="49">
        <v>44360</v>
      </c>
      <c r="G1344" s="67" t="s">
        <v>5647</v>
      </c>
      <c r="H1344" s="14" t="s">
        <v>5601</v>
      </c>
      <c r="I1344" s="14" t="s">
        <v>2458</v>
      </c>
      <c r="J1344" s="33" t="s">
        <v>7110</v>
      </c>
      <c r="K1344" s="33" t="s">
        <v>4307</v>
      </c>
      <c r="L1344" s="68">
        <v>0</v>
      </c>
      <c r="M1344" s="68" t="s">
        <v>8915</v>
      </c>
      <c r="N1344" s="68">
        <v>0</v>
      </c>
      <c r="O1344" s="68">
        <v>0</v>
      </c>
      <c r="P1344" s="198" t="s">
        <v>5695</v>
      </c>
    </row>
    <row r="1345" spans="1:16" ht="18.75" hidden="1">
      <c r="A1345" s="50" t="s">
        <v>4153</v>
      </c>
      <c r="B1345" s="50" t="s">
        <v>4185</v>
      </c>
      <c r="C1345" s="50" t="s">
        <v>4283</v>
      </c>
      <c r="D1345" s="50" t="s">
        <v>4182</v>
      </c>
      <c r="E1345" s="12">
        <v>95</v>
      </c>
      <c r="F1345" s="49">
        <v>119180</v>
      </c>
      <c r="G1345" s="67" t="s">
        <v>5631</v>
      </c>
      <c r="H1345" s="14" t="s">
        <v>5601</v>
      </c>
      <c r="I1345" s="14" t="s">
        <v>2458</v>
      </c>
      <c r="J1345" s="33" t="s">
        <v>7110</v>
      </c>
      <c r="K1345" s="33" t="s">
        <v>4307</v>
      </c>
      <c r="L1345" s="68">
        <v>0</v>
      </c>
      <c r="M1345" s="68" t="s">
        <v>8915</v>
      </c>
      <c r="N1345" s="68">
        <v>0</v>
      </c>
      <c r="O1345" s="68">
        <v>0</v>
      </c>
      <c r="P1345" s="197" t="s">
        <v>5712</v>
      </c>
    </row>
    <row r="1346" spans="1:16" ht="18.75" hidden="1">
      <c r="A1346" s="50" t="s">
        <v>4156</v>
      </c>
      <c r="B1346" s="50" t="s">
        <v>3900</v>
      </c>
      <c r="C1346" s="50" t="s">
        <v>4274</v>
      </c>
      <c r="D1346" s="50" t="s">
        <v>3936</v>
      </c>
      <c r="E1346" s="12">
        <v>95</v>
      </c>
      <c r="F1346" s="49">
        <v>20300</v>
      </c>
      <c r="G1346" s="67" t="s">
        <v>5683</v>
      </c>
      <c r="H1346" s="14" t="s">
        <v>5601</v>
      </c>
      <c r="I1346" s="14" t="s">
        <v>2458</v>
      </c>
      <c r="J1346" s="33" t="s">
        <v>7110</v>
      </c>
      <c r="K1346" s="33" t="s">
        <v>4307</v>
      </c>
      <c r="L1346" s="68">
        <v>0</v>
      </c>
      <c r="M1346" s="68" t="s">
        <v>8915</v>
      </c>
      <c r="N1346" s="68">
        <v>0</v>
      </c>
      <c r="O1346" s="68">
        <v>0</v>
      </c>
      <c r="P1346" s="198" t="s">
        <v>5684</v>
      </c>
    </row>
    <row r="1347" spans="1:16" ht="18.75" hidden="1">
      <c r="A1347" s="50" t="s">
        <v>4161</v>
      </c>
      <c r="B1347" s="50" t="s">
        <v>4181</v>
      </c>
      <c r="C1347" s="50" t="s">
        <v>3979</v>
      </c>
      <c r="D1347" s="50" t="s">
        <v>3932</v>
      </c>
      <c r="E1347" s="12">
        <v>95</v>
      </c>
      <c r="F1347" s="49">
        <v>20940</v>
      </c>
      <c r="G1347" s="67" t="s">
        <v>5647</v>
      </c>
      <c r="H1347" s="14" t="s">
        <v>5601</v>
      </c>
      <c r="I1347" s="14" t="s">
        <v>2458</v>
      </c>
      <c r="J1347" s="33" t="s">
        <v>7110</v>
      </c>
      <c r="K1347" s="33" t="s">
        <v>4307</v>
      </c>
      <c r="L1347" s="68">
        <v>0</v>
      </c>
      <c r="M1347" s="68" t="s">
        <v>8915</v>
      </c>
      <c r="N1347" s="68">
        <v>0</v>
      </c>
      <c r="O1347" s="68">
        <v>0</v>
      </c>
      <c r="P1347" s="198" t="s">
        <v>5695</v>
      </c>
    </row>
    <row r="1348" spans="1:16" ht="18.75" hidden="1">
      <c r="A1348" s="50" t="s">
        <v>4162</v>
      </c>
      <c r="B1348" s="50" t="s">
        <v>4182</v>
      </c>
      <c r="C1348" s="50" t="s">
        <v>4284</v>
      </c>
      <c r="D1348" s="50" t="s">
        <v>3854</v>
      </c>
      <c r="E1348" s="12">
        <v>95</v>
      </c>
      <c r="F1348" s="49">
        <v>144340</v>
      </c>
      <c r="G1348" s="67" t="s">
        <v>5611</v>
      </c>
      <c r="H1348" s="14" t="s">
        <v>5601</v>
      </c>
      <c r="I1348" s="14" t="s">
        <v>2458</v>
      </c>
      <c r="J1348" s="33" t="s">
        <v>7110</v>
      </c>
      <c r="K1348" s="33" t="s">
        <v>4307</v>
      </c>
      <c r="L1348" s="68">
        <v>0</v>
      </c>
      <c r="M1348" s="68" t="s">
        <v>8915</v>
      </c>
      <c r="N1348" s="68">
        <v>0</v>
      </c>
      <c r="O1348" s="68">
        <v>0</v>
      </c>
      <c r="P1348" s="198" t="s">
        <v>5680</v>
      </c>
    </row>
    <row r="1349" spans="1:16" ht="18.75" hidden="1">
      <c r="A1349" s="50" t="s">
        <v>4155</v>
      </c>
      <c r="B1349" s="50" t="s">
        <v>4183</v>
      </c>
      <c r="C1349" s="50" t="s">
        <v>4293</v>
      </c>
      <c r="D1349" s="50" t="s">
        <v>3854</v>
      </c>
      <c r="E1349" s="12">
        <v>95</v>
      </c>
      <c r="F1349" s="49">
        <v>73480</v>
      </c>
      <c r="G1349" s="67" t="s">
        <v>5611</v>
      </c>
      <c r="H1349" s="14" t="s">
        <v>5601</v>
      </c>
      <c r="I1349" s="14" t="s">
        <v>2458</v>
      </c>
      <c r="J1349" s="33" t="s">
        <v>7110</v>
      </c>
      <c r="K1349" s="33" t="s">
        <v>4307</v>
      </c>
      <c r="L1349" s="68">
        <v>0</v>
      </c>
      <c r="M1349" s="68" t="s">
        <v>8915</v>
      </c>
      <c r="N1349" s="68">
        <v>0</v>
      </c>
      <c r="O1349" s="68">
        <v>0</v>
      </c>
      <c r="P1349" s="198" t="s">
        <v>5680</v>
      </c>
    </row>
    <row r="1350" spans="1:16" ht="18.75" hidden="1">
      <c r="A1350" s="50" t="s">
        <v>4108</v>
      </c>
      <c r="B1350" s="50" t="s">
        <v>3936</v>
      </c>
      <c r="C1350" s="50" t="s">
        <v>4301</v>
      </c>
      <c r="D1350" s="50" t="s">
        <v>3716</v>
      </c>
      <c r="E1350" s="12">
        <v>95</v>
      </c>
      <c r="F1350" s="49">
        <v>35988</v>
      </c>
      <c r="G1350" s="67" t="s">
        <v>5611</v>
      </c>
      <c r="H1350" s="14" t="s">
        <v>5601</v>
      </c>
      <c r="I1350" s="14" t="s">
        <v>2458</v>
      </c>
      <c r="J1350" s="33" t="s">
        <v>7110</v>
      </c>
      <c r="K1350" s="33" t="s">
        <v>4307</v>
      </c>
      <c r="L1350" s="68">
        <v>0</v>
      </c>
      <c r="M1350" s="68" t="s">
        <v>8915</v>
      </c>
      <c r="N1350" s="68">
        <v>0</v>
      </c>
      <c r="O1350" s="68">
        <v>0</v>
      </c>
      <c r="P1350" s="198" t="s">
        <v>5659</v>
      </c>
    </row>
    <row r="1351" spans="1:16" ht="18.75" hidden="1">
      <c r="A1351" s="50" t="s">
        <v>4163</v>
      </c>
      <c r="B1351" s="50" t="s">
        <v>4176</v>
      </c>
      <c r="C1351" s="50" t="s">
        <v>4304</v>
      </c>
      <c r="D1351" s="50" t="s">
        <v>3900</v>
      </c>
      <c r="E1351" s="12">
        <v>95</v>
      </c>
      <c r="F1351" s="49">
        <v>69690</v>
      </c>
      <c r="G1351" s="67" t="s">
        <v>5611</v>
      </c>
      <c r="H1351" s="14" t="s">
        <v>5601</v>
      </c>
      <c r="I1351" s="14" t="s">
        <v>2458</v>
      </c>
      <c r="J1351" s="33" t="s">
        <v>7110</v>
      </c>
      <c r="K1351" s="33" t="s">
        <v>4307</v>
      </c>
      <c r="L1351" s="68">
        <v>0</v>
      </c>
      <c r="M1351" s="68" t="s">
        <v>8915</v>
      </c>
      <c r="N1351" s="68">
        <v>0</v>
      </c>
      <c r="O1351" s="68">
        <v>0</v>
      </c>
      <c r="P1351" s="198" t="s">
        <v>5689</v>
      </c>
    </row>
    <row r="1352" spans="1:16" ht="18.75" hidden="1">
      <c r="A1352" s="50" t="s">
        <v>4164</v>
      </c>
      <c r="B1352" s="50" t="s">
        <v>4185</v>
      </c>
      <c r="C1352" s="50" t="s">
        <v>4278</v>
      </c>
      <c r="D1352" s="50" t="s">
        <v>3937</v>
      </c>
      <c r="E1352" s="12">
        <v>95</v>
      </c>
      <c r="F1352" s="49">
        <v>68564</v>
      </c>
      <c r="G1352" s="67" t="s">
        <v>5633</v>
      </c>
      <c r="H1352" s="14" t="s">
        <v>5601</v>
      </c>
      <c r="I1352" s="14" t="s">
        <v>2458</v>
      </c>
      <c r="J1352" s="33" t="s">
        <v>7110</v>
      </c>
      <c r="K1352" s="33" t="s">
        <v>4307</v>
      </c>
      <c r="L1352" s="68">
        <v>0</v>
      </c>
      <c r="M1352" s="68" t="s">
        <v>8915</v>
      </c>
      <c r="N1352" s="68">
        <v>0</v>
      </c>
      <c r="O1352" s="68">
        <v>0</v>
      </c>
      <c r="P1352" s="198" t="s">
        <v>5706</v>
      </c>
    </row>
    <row r="1353" spans="1:16" ht="18.75" hidden="1">
      <c r="A1353" s="50" t="s">
        <v>4116</v>
      </c>
      <c r="B1353" s="50" t="s">
        <v>4182</v>
      </c>
      <c r="C1353" s="50" t="s">
        <v>4304</v>
      </c>
      <c r="D1353" s="50" t="s">
        <v>3900</v>
      </c>
      <c r="E1353" s="12">
        <v>95</v>
      </c>
      <c r="F1353" s="49">
        <v>20810</v>
      </c>
      <c r="G1353" s="67" t="s">
        <v>5611</v>
      </c>
      <c r="H1353" s="14" t="s">
        <v>5601</v>
      </c>
      <c r="I1353" s="14" t="s">
        <v>2458</v>
      </c>
      <c r="J1353" s="33" t="s">
        <v>7110</v>
      </c>
      <c r="K1353" s="33" t="s">
        <v>4307</v>
      </c>
      <c r="L1353" s="68">
        <v>0</v>
      </c>
      <c r="M1353" s="68" t="s">
        <v>8915</v>
      </c>
      <c r="N1353" s="68">
        <v>0</v>
      </c>
      <c r="O1353" s="68">
        <v>0</v>
      </c>
      <c r="P1353" s="198" t="s">
        <v>5689</v>
      </c>
    </row>
    <row r="1354" spans="1:16" ht="18.75" hidden="1">
      <c r="A1354" s="50" t="s">
        <v>4124</v>
      </c>
      <c r="B1354" s="50" t="s">
        <v>4186</v>
      </c>
      <c r="C1354" s="50" t="s">
        <v>4305</v>
      </c>
      <c r="D1354" s="50" t="s">
        <v>3935</v>
      </c>
      <c r="E1354" s="12">
        <v>95</v>
      </c>
      <c r="F1354" s="49">
        <v>99505</v>
      </c>
      <c r="G1354" s="67" t="s">
        <v>5631</v>
      </c>
      <c r="H1354" s="14" t="s">
        <v>5601</v>
      </c>
      <c r="I1354" s="14" t="s">
        <v>2458</v>
      </c>
      <c r="J1354" s="33" t="s">
        <v>7110</v>
      </c>
      <c r="K1354" s="33" t="s">
        <v>4307</v>
      </c>
      <c r="L1354" s="68">
        <v>0</v>
      </c>
      <c r="M1354" s="68" t="s">
        <v>8915</v>
      </c>
      <c r="N1354" s="68">
        <v>0</v>
      </c>
      <c r="O1354" s="68">
        <v>0</v>
      </c>
      <c r="P1354" s="197" t="s">
        <v>5686</v>
      </c>
    </row>
    <row r="1355" spans="1:16" ht="18.75" hidden="1">
      <c r="A1355" s="50" t="s">
        <v>4131</v>
      </c>
      <c r="B1355" s="50" t="s">
        <v>3900</v>
      </c>
      <c r="C1355" s="50" t="s">
        <v>4305</v>
      </c>
      <c r="D1355" s="50" t="s">
        <v>3935</v>
      </c>
      <c r="E1355" s="12">
        <v>95</v>
      </c>
      <c r="F1355" s="49">
        <v>319260</v>
      </c>
      <c r="G1355" s="67" t="s">
        <v>5631</v>
      </c>
      <c r="H1355" s="14" t="s">
        <v>5601</v>
      </c>
      <c r="I1355" s="14" t="s">
        <v>2458</v>
      </c>
      <c r="J1355" s="33" t="s">
        <v>7110</v>
      </c>
      <c r="K1355" s="33" t="s">
        <v>4307</v>
      </c>
      <c r="L1355" s="68">
        <v>0</v>
      </c>
      <c r="M1355" s="68" t="s">
        <v>8915</v>
      </c>
      <c r="N1355" s="68">
        <v>0</v>
      </c>
      <c r="O1355" s="68">
        <v>0</v>
      </c>
      <c r="P1355" s="197" t="s">
        <v>5686</v>
      </c>
    </row>
    <row r="1356" spans="1:16" ht="18.75" hidden="1">
      <c r="A1356" s="50" t="s">
        <v>4136</v>
      </c>
      <c r="B1356" s="50" t="s">
        <v>4180</v>
      </c>
      <c r="C1356" s="50" t="s">
        <v>4304</v>
      </c>
      <c r="D1356" s="50" t="s">
        <v>3900</v>
      </c>
      <c r="E1356" s="12">
        <v>95</v>
      </c>
      <c r="F1356" s="49">
        <v>55070</v>
      </c>
      <c r="G1356" s="67" t="s">
        <v>5611</v>
      </c>
      <c r="H1356" s="14" t="s">
        <v>5601</v>
      </c>
      <c r="I1356" s="14" t="s">
        <v>2458</v>
      </c>
      <c r="J1356" s="33" t="s">
        <v>7110</v>
      </c>
      <c r="K1356" s="33" t="s">
        <v>4307</v>
      </c>
      <c r="L1356" s="68">
        <v>0</v>
      </c>
      <c r="M1356" s="68" t="s">
        <v>8915</v>
      </c>
      <c r="N1356" s="68">
        <v>0</v>
      </c>
      <c r="O1356" s="68">
        <v>0</v>
      </c>
      <c r="P1356" s="198" t="s">
        <v>5689</v>
      </c>
    </row>
    <row r="1357" spans="1:16" ht="18.75" hidden="1">
      <c r="A1357" s="50" t="s">
        <v>4146</v>
      </c>
      <c r="B1357" s="50" t="s">
        <v>4182</v>
      </c>
      <c r="C1357" s="50" t="s">
        <v>4304</v>
      </c>
      <c r="D1357" s="50" t="s">
        <v>3900</v>
      </c>
      <c r="E1357" s="12">
        <v>95</v>
      </c>
      <c r="F1357" s="49">
        <v>153430</v>
      </c>
      <c r="G1357" s="67" t="s">
        <v>5611</v>
      </c>
      <c r="H1357" s="14" t="s">
        <v>5601</v>
      </c>
      <c r="I1357" s="14" t="s">
        <v>2458</v>
      </c>
      <c r="J1357" s="33" t="s">
        <v>7110</v>
      </c>
      <c r="K1357" s="33" t="s">
        <v>4307</v>
      </c>
      <c r="L1357" s="68">
        <v>0</v>
      </c>
      <c r="M1357" s="68" t="s">
        <v>8915</v>
      </c>
      <c r="N1357" s="68">
        <v>0</v>
      </c>
      <c r="O1357" s="68">
        <v>0</v>
      </c>
      <c r="P1357" s="198" t="s">
        <v>5689</v>
      </c>
    </row>
    <row r="1358" spans="1:16" ht="18.75" hidden="1">
      <c r="A1358" s="50" t="s">
        <v>4146</v>
      </c>
      <c r="B1358" s="50" t="s">
        <v>4182</v>
      </c>
      <c r="C1358" s="50" t="s">
        <v>4305</v>
      </c>
      <c r="D1358" s="50" t="s">
        <v>3935</v>
      </c>
      <c r="E1358" s="12">
        <v>95</v>
      </c>
      <c r="F1358" s="49">
        <v>65000</v>
      </c>
      <c r="G1358" s="67" t="s">
        <v>5631</v>
      </c>
      <c r="H1358" s="14" t="s">
        <v>5601</v>
      </c>
      <c r="I1358" s="14" t="s">
        <v>2458</v>
      </c>
      <c r="J1358" s="33" t="s">
        <v>7110</v>
      </c>
      <c r="K1358" s="33" t="s">
        <v>4307</v>
      </c>
      <c r="L1358" s="68">
        <v>0</v>
      </c>
      <c r="M1358" s="68" t="s">
        <v>8915</v>
      </c>
      <c r="N1358" s="68">
        <v>0</v>
      </c>
      <c r="O1358" s="68">
        <v>0</v>
      </c>
      <c r="P1358" s="197" t="s">
        <v>5686</v>
      </c>
    </row>
    <row r="1359" spans="1:16" ht="18.75" hidden="1">
      <c r="A1359" s="50" t="s">
        <v>4146</v>
      </c>
      <c r="B1359" s="50" t="s">
        <v>4182</v>
      </c>
      <c r="C1359" s="50" t="s">
        <v>4306</v>
      </c>
      <c r="D1359" s="50" t="s">
        <v>3834</v>
      </c>
      <c r="E1359" s="12">
        <v>95</v>
      </c>
      <c r="F1359" s="49">
        <v>197000</v>
      </c>
      <c r="G1359" s="67" t="s">
        <v>5609</v>
      </c>
      <c r="H1359" s="14" t="s">
        <v>5601</v>
      </c>
      <c r="I1359" s="14" t="s">
        <v>2458</v>
      </c>
      <c r="J1359" s="33" t="s">
        <v>7110</v>
      </c>
      <c r="K1359" s="33" t="s">
        <v>4307</v>
      </c>
      <c r="L1359" s="68">
        <v>0</v>
      </c>
      <c r="M1359" s="68" t="s">
        <v>8915</v>
      </c>
      <c r="N1359" s="68">
        <v>0</v>
      </c>
      <c r="O1359" s="68">
        <v>0</v>
      </c>
      <c r="P1359" s="198" t="s">
        <v>5674</v>
      </c>
    </row>
    <row r="1360" spans="1:16" ht="18.75" hidden="1">
      <c r="A1360" s="50" t="s">
        <v>4150</v>
      </c>
      <c r="B1360" s="50" t="s">
        <v>3965</v>
      </c>
      <c r="C1360" s="50" t="s">
        <v>4305</v>
      </c>
      <c r="D1360" s="50" t="s">
        <v>3935</v>
      </c>
      <c r="E1360" s="12">
        <v>95</v>
      </c>
      <c r="F1360" s="49">
        <v>15100</v>
      </c>
      <c r="G1360" s="67" t="s">
        <v>5631</v>
      </c>
      <c r="H1360" s="14" t="s">
        <v>5601</v>
      </c>
      <c r="I1360" s="14" t="s">
        <v>2458</v>
      </c>
      <c r="J1360" s="33" t="s">
        <v>7110</v>
      </c>
      <c r="K1360" s="33" t="s">
        <v>4307</v>
      </c>
      <c r="L1360" s="68">
        <v>0</v>
      </c>
      <c r="M1360" s="68" t="s">
        <v>8915</v>
      </c>
      <c r="N1360" s="68">
        <v>0</v>
      </c>
      <c r="O1360" s="68">
        <v>0</v>
      </c>
      <c r="P1360" s="197" t="s">
        <v>5686</v>
      </c>
    </row>
    <row r="1361" spans="1:16" ht="18.75" hidden="1">
      <c r="A1361" s="50" t="s">
        <v>4310</v>
      </c>
      <c r="B1361" s="50" t="s">
        <v>4166</v>
      </c>
      <c r="C1361" s="50" t="s">
        <v>4296</v>
      </c>
      <c r="D1361" s="50" t="s">
        <v>3900</v>
      </c>
      <c r="E1361" s="12">
        <v>95</v>
      </c>
      <c r="F1361" s="49">
        <v>13580</v>
      </c>
      <c r="G1361" s="67" t="s">
        <v>5611</v>
      </c>
      <c r="H1361" s="14" t="s">
        <v>5601</v>
      </c>
      <c r="I1361" s="14" t="s">
        <v>2458</v>
      </c>
      <c r="J1361" s="33" t="s">
        <v>7110</v>
      </c>
      <c r="K1361" s="33" t="s">
        <v>4307</v>
      </c>
      <c r="L1361" s="68">
        <v>0</v>
      </c>
      <c r="M1361" s="68" t="s">
        <v>8915</v>
      </c>
      <c r="N1361" s="68">
        <v>0</v>
      </c>
      <c r="O1361" s="68">
        <v>0</v>
      </c>
      <c r="P1361" s="198" t="s">
        <v>5680</v>
      </c>
    </row>
    <row r="1362" spans="1:16" ht="18.75" hidden="1">
      <c r="A1362" s="50" t="s">
        <v>4310</v>
      </c>
      <c r="B1362" s="50" t="s">
        <v>4166</v>
      </c>
      <c r="C1362" s="50" t="s">
        <v>4344</v>
      </c>
      <c r="D1362" s="50" t="s">
        <v>4182</v>
      </c>
      <c r="E1362" s="12">
        <v>95</v>
      </c>
      <c r="F1362" s="49">
        <v>29900</v>
      </c>
      <c r="G1362" s="67" t="s">
        <v>5611</v>
      </c>
      <c r="H1362" s="14" t="s">
        <v>5601</v>
      </c>
      <c r="I1362" s="14" t="s">
        <v>2458</v>
      </c>
      <c r="J1362" s="33" t="s">
        <v>7110</v>
      </c>
      <c r="K1362" s="33" t="s">
        <v>4307</v>
      </c>
      <c r="L1362" s="68">
        <v>0</v>
      </c>
      <c r="M1362" s="68" t="s">
        <v>8915</v>
      </c>
      <c r="N1362" s="68">
        <v>0</v>
      </c>
      <c r="O1362" s="68">
        <v>0</v>
      </c>
      <c r="P1362" s="198" t="s">
        <v>5708</v>
      </c>
    </row>
    <row r="1363" spans="1:16" ht="18.75" hidden="1">
      <c r="A1363" s="50" t="s">
        <v>4310</v>
      </c>
      <c r="B1363" s="50" t="s">
        <v>4166</v>
      </c>
      <c r="C1363" s="50" t="s">
        <v>4345</v>
      </c>
      <c r="D1363" s="50" t="s">
        <v>4186</v>
      </c>
      <c r="E1363" s="12">
        <v>95</v>
      </c>
      <c r="F1363" s="49">
        <v>66030</v>
      </c>
      <c r="G1363" s="67" t="s">
        <v>5611</v>
      </c>
      <c r="H1363" s="14" t="s">
        <v>5601</v>
      </c>
      <c r="I1363" s="14" t="s">
        <v>2458</v>
      </c>
      <c r="J1363" s="33" t="s">
        <v>7110</v>
      </c>
      <c r="K1363" s="33" t="s">
        <v>4307</v>
      </c>
      <c r="L1363" s="68">
        <v>0</v>
      </c>
      <c r="M1363" s="68" t="s">
        <v>8915</v>
      </c>
      <c r="N1363" s="68">
        <v>0</v>
      </c>
      <c r="O1363" s="68">
        <v>0</v>
      </c>
      <c r="P1363" s="198" t="s">
        <v>5708</v>
      </c>
    </row>
    <row r="1364" spans="1:16" ht="18.75" hidden="1">
      <c r="A1364" s="50" t="s">
        <v>4311</v>
      </c>
      <c r="B1364" s="50" t="s">
        <v>4166</v>
      </c>
      <c r="C1364" s="50" t="s">
        <v>4297</v>
      </c>
      <c r="D1364" s="50" t="s">
        <v>3933</v>
      </c>
      <c r="E1364" s="12">
        <v>95</v>
      </c>
      <c r="F1364" s="49">
        <v>50380</v>
      </c>
      <c r="G1364" s="67" t="s">
        <v>5611</v>
      </c>
      <c r="H1364" s="14" t="s">
        <v>5601</v>
      </c>
      <c r="I1364" s="14" t="s">
        <v>2458</v>
      </c>
      <c r="J1364" s="33" t="s">
        <v>7110</v>
      </c>
      <c r="K1364" s="33" t="s">
        <v>4307</v>
      </c>
      <c r="L1364" s="68">
        <v>0</v>
      </c>
      <c r="M1364" s="68" t="s">
        <v>8915</v>
      </c>
      <c r="N1364" s="68">
        <v>0</v>
      </c>
      <c r="O1364" s="68">
        <v>0</v>
      </c>
      <c r="P1364" s="198" t="s">
        <v>5694</v>
      </c>
    </row>
    <row r="1365" spans="1:16" ht="18.75" hidden="1">
      <c r="A1365" s="50" t="s">
        <v>4312</v>
      </c>
      <c r="B1365" s="50" t="s">
        <v>4166</v>
      </c>
      <c r="C1365" s="50" t="s">
        <v>4270</v>
      </c>
      <c r="D1365" s="50" t="s">
        <v>3932</v>
      </c>
      <c r="E1365" s="12">
        <v>95</v>
      </c>
      <c r="F1365" s="49">
        <v>48180</v>
      </c>
      <c r="G1365" s="67" t="s">
        <v>5611</v>
      </c>
      <c r="H1365" s="14" t="s">
        <v>5601</v>
      </c>
      <c r="I1365" s="14" t="s">
        <v>2458</v>
      </c>
      <c r="J1365" s="33" t="s">
        <v>7110</v>
      </c>
      <c r="K1365" s="33" t="s">
        <v>4307</v>
      </c>
      <c r="L1365" s="68">
        <v>0</v>
      </c>
      <c r="M1365" s="68" t="s">
        <v>8915</v>
      </c>
      <c r="N1365" s="68">
        <v>0</v>
      </c>
      <c r="O1365" s="68">
        <v>0</v>
      </c>
      <c r="P1365" s="198" t="s">
        <v>5694</v>
      </c>
    </row>
    <row r="1366" spans="1:16" ht="18.75" hidden="1">
      <c r="A1366" s="50" t="s">
        <v>4310</v>
      </c>
      <c r="B1366" s="50" t="s">
        <v>4166</v>
      </c>
      <c r="C1366" s="50" t="s">
        <v>4346</v>
      </c>
      <c r="D1366" s="50" t="s">
        <v>4183</v>
      </c>
      <c r="E1366" s="12">
        <v>95</v>
      </c>
      <c r="F1366" s="49">
        <v>116650</v>
      </c>
      <c r="G1366" s="67" t="s">
        <v>5683</v>
      </c>
      <c r="H1366" s="14" t="s">
        <v>5601</v>
      </c>
      <c r="I1366" s="14" t="s">
        <v>2458</v>
      </c>
      <c r="J1366" s="33" t="s">
        <v>7110</v>
      </c>
      <c r="K1366" s="33" t="s">
        <v>4307</v>
      </c>
      <c r="L1366" s="68">
        <v>0</v>
      </c>
      <c r="M1366" s="68" t="s">
        <v>8915</v>
      </c>
      <c r="N1366" s="68">
        <v>0</v>
      </c>
      <c r="O1366" s="68">
        <v>0</v>
      </c>
      <c r="P1366" s="198" t="s">
        <v>5725</v>
      </c>
    </row>
    <row r="1367" spans="1:16" ht="18.75" hidden="1">
      <c r="A1367" s="50" t="s">
        <v>4313</v>
      </c>
      <c r="B1367" s="50" t="s">
        <v>4170</v>
      </c>
      <c r="C1367" s="50" t="s">
        <v>4347</v>
      </c>
      <c r="D1367" s="50" t="s">
        <v>4183</v>
      </c>
      <c r="E1367" s="12">
        <v>95</v>
      </c>
      <c r="F1367" s="49">
        <v>48530</v>
      </c>
      <c r="G1367" s="67" t="s">
        <v>5611</v>
      </c>
      <c r="H1367" s="14" t="s">
        <v>5601</v>
      </c>
      <c r="I1367" s="14" t="s">
        <v>2458</v>
      </c>
      <c r="J1367" s="33" t="s">
        <v>7110</v>
      </c>
      <c r="K1367" s="33" t="s">
        <v>4307</v>
      </c>
      <c r="L1367" s="68">
        <v>0</v>
      </c>
      <c r="M1367" s="68" t="s">
        <v>8915</v>
      </c>
      <c r="N1367" s="68">
        <v>0</v>
      </c>
      <c r="O1367" s="68">
        <v>0</v>
      </c>
      <c r="P1367" s="198" t="s">
        <v>5708</v>
      </c>
    </row>
    <row r="1368" spans="1:16" ht="18.75" hidden="1">
      <c r="A1368" s="50" t="s">
        <v>4311</v>
      </c>
      <c r="B1368" s="50" t="s">
        <v>4166</v>
      </c>
      <c r="C1368" s="50" t="s">
        <v>4289</v>
      </c>
      <c r="D1368" s="50" t="s">
        <v>3825</v>
      </c>
      <c r="E1368" s="12">
        <v>95</v>
      </c>
      <c r="F1368" s="49">
        <v>64120</v>
      </c>
      <c r="G1368" s="67" t="s">
        <v>5611</v>
      </c>
      <c r="H1368" s="14" t="s">
        <v>5601</v>
      </c>
      <c r="I1368" s="14" t="s">
        <v>2458</v>
      </c>
      <c r="J1368" s="33" t="s">
        <v>7110</v>
      </c>
      <c r="K1368" s="33" t="s">
        <v>4307</v>
      </c>
      <c r="L1368" s="68">
        <v>0</v>
      </c>
      <c r="M1368" s="68" t="s">
        <v>8915</v>
      </c>
      <c r="N1368" s="68">
        <v>0</v>
      </c>
      <c r="O1368" s="68">
        <v>0</v>
      </c>
      <c r="P1368" s="198" t="s">
        <v>5680</v>
      </c>
    </row>
    <row r="1369" spans="1:16" ht="18.75" hidden="1">
      <c r="A1369" s="50" t="s">
        <v>4311</v>
      </c>
      <c r="B1369" s="50" t="s">
        <v>4166</v>
      </c>
      <c r="C1369" s="50" t="s">
        <v>4348</v>
      </c>
      <c r="D1369" s="50" t="s">
        <v>4177</v>
      </c>
      <c r="E1369" s="12">
        <v>95</v>
      </c>
      <c r="F1369" s="49">
        <v>22640</v>
      </c>
      <c r="G1369" s="67" t="s">
        <v>5683</v>
      </c>
      <c r="H1369" s="14" t="s">
        <v>5601</v>
      </c>
      <c r="I1369" s="14" t="s">
        <v>2458</v>
      </c>
      <c r="J1369" s="33" t="s">
        <v>7110</v>
      </c>
      <c r="K1369" s="33" t="s">
        <v>4307</v>
      </c>
      <c r="L1369" s="68">
        <v>0</v>
      </c>
      <c r="M1369" s="68" t="s">
        <v>8915</v>
      </c>
      <c r="N1369" s="68">
        <v>0</v>
      </c>
      <c r="O1369" s="68">
        <v>0</v>
      </c>
      <c r="P1369" s="198" t="s">
        <v>5727</v>
      </c>
    </row>
    <row r="1370" spans="1:16" ht="18.75" hidden="1">
      <c r="A1370" s="50" t="s">
        <v>4314</v>
      </c>
      <c r="B1370" s="50" t="s">
        <v>4165</v>
      </c>
      <c r="C1370" s="50" t="s">
        <v>4289</v>
      </c>
      <c r="D1370" s="50" t="s">
        <v>3825</v>
      </c>
      <c r="E1370" s="12">
        <v>95</v>
      </c>
      <c r="F1370" s="49">
        <v>23320</v>
      </c>
      <c r="G1370" s="67" t="s">
        <v>5611</v>
      </c>
      <c r="H1370" s="14" t="s">
        <v>5601</v>
      </c>
      <c r="I1370" s="14" t="s">
        <v>2458</v>
      </c>
      <c r="J1370" s="33" t="s">
        <v>7110</v>
      </c>
      <c r="K1370" s="33" t="s">
        <v>4307</v>
      </c>
      <c r="L1370" s="68">
        <v>0</v>
      </c>
      <c r="M1370" s="68" t="s">
        <v>8915</v>
      </c>
      <c r="N1370" s="68">
        <v>0</v>
      </c>
      <c r="O1370" s="68">
        <v>0</v>
      </c>
      <c r="P1370" s="198" t="s">
        <v>5680</v>
      </c>
    </row>
    <row r="1371" spans="1:16" ht="18.75" hidden="1">
      <c r="A1371" s="50" t="s">
        <v>4310</v>
      </c>
      <c r="B1371" s="50" t="s">
        <v>4166</v>
      </c>
      <c r="C1371" s="50" t="s">
        <v>4280</v>
      </c>
      <c r="D1371" s="50" t="s">
        <v>3932</v>
      </c>
      <c r="E1371" s="12">
        <v>95</v>
      </c>
      <c r="F1371" s="49">
        <v>48070</v>
      </c>
      <c r="G1371" s="67" t="s">
        <v>5611</v>
      </c>
      <c r="H1371" s="14" t="s">
        <v>5601</v>
      </c>
      <c r="I1371" s="14" t="s">
        <v>2458</v>
      </c>
      <c r="J1371" s="33" t="s">
        <v>7110</v>
      </c>
      <c r="K1371" s="33" t="s">
        <v>4307</v>
      </c>
      <c r="L1371" s="68">
        <v>0</v>
      </c>
      <c r="M1371" s="68" t="s">
        <v>8915</v>
      </c>
      <c r="N1371" s="68">
        <v>0</v>
      </c>
      <c r="O1371" s="68">
        <v>0</v>
      </c>
      <c r="P1371" s="198" t="s">
        <v>5694</v>
      </c>
    </row>
    <row r="1372" spans="1:16" ht="18.75" hidden="1">
      <c r="A1372" s="50" t="s">
        <v>4310</v>
      </c>
      <c r="B1372" s="50" t="s">
        <v>4166</v>
      </c>
      <c r="C1372" s="50" t="s">
        <v>4302</v>
      </c>
      <c r="D1372" s="50" t="s">
        <v>4176</v>
      </c>
      <c r="E1372" s="12">
        <v>95</v>
      </c>
      <c r="F1372" s="49">
        <v>33200</v>
      </c>
      <c r="G1372" s="67" t="s">
        <v>5611</v>
      </c>
      <c r="H1372" s="14" t="s">
        <v>5601</v>
      </c>
      <c r="I1372" s="14" t="s">
        <v>2458</v>
      </c>
      <c r="J1372" s="33" t="s">
        <v>7110</v>
      </c>
      <c r="K1372" s="33" t="s">
        <v>4307</v>
      </c>
      <c r="L1372" s="68">
        <v>0</v>
      </c>
      <c r="M1372" s="68" t="s">
        <v>8915</v>
      </c>
      <c r="N1372" s="68">
        <v>0</v>
      </c>
      <c r="O1372" s="68">
        <v>0</v>
      </c>
      <c r="P1372" s="198" t="s">
        <v>5708</v>
      </c>
    </row>
    <row r="1373" spans="1:16" ht="18.75" hidden="1">
      <c r="A1373" s="50" t="s">
        <v>4312</v>
      </c>
      <c r="B1373" s="50" t="s">
        <v>4166</v>
      </c>
      <c r="C1373" s="50" t="s">
        <v>4288</v>
      </c>
      <c r="D1373" s="50" t="s">
        <v>3935</v>
      </c>
      <c r="E1373" s="12">
        <v>95</v>
      </c>
      <c r="F1373" s="49">
        <v>20640</v>
      </c>
      <c r="G1373" s="67" t="s">
        <v>5611</v>
      </c>
      <c r="H1373" s="14" t="s">
        <v>5601</v>
      </c>
      <c r="I1373" s="14" t="s">
        <v>2458</v>
      </c>
      <c r="J1373" s="33" t="s">
        <v>7110</v>
      </c>
      <c r="K1373" s="33" t="s">
        <v>4307</v>
      </c>
      <c r="L1373" s="68">
        <v>0</v>
      </c>
      <c r="M1373" s="68" t="s">
        <v>8915</v>
      </c>
      <c r="N1373" s="68">
        <v>0</v>
      </c>
      <c r="O1373" s="68">
        <v>0</v>
      </c>
      <c r="P1373" s="198" t="s">
        <v>5680</v>
      </c>
    </row>
    <row r="1374" spans="1:16" ht="18.75" hidden="1">
      <c r="A1374" s="50" t="s">
        <v>4312</v>
      </c>
      <c r="B1374" s="50" t="s">
        <v>4166</v>
      </c>
      <c r="C1374" s="50" t="s">
        <v>4299</v>
      </c>
      <c r="D1374" s="50" t="s">
        <v>3829</v>
      </c>
      <c r="E1374" s="12">
        <v>95</v>
      </c>
      <c r="F1374" s="49">
        <v>23620</v>
      </c>
      <c r="G1374" s="67" t="s">
        <v>5611</v>
      </c>
      <c r="H1374" s="14" t="s">
        <v>5601</v>
      </c>
      <c r="I1374" s="14" t="s">
        <v>2458</v>
      </c>
      <c r="J1374" s="33" t="s">
        <v>7110</v>
      </c>
      <c r="K1374" s="33" t="s">
        <v>4307</v>
      </c>
      <c r="L1374" s="68">
        <v>0</v>
      </c>
      <c r="M1374" s="68" t="s">
        <v>8915</v>
      </c>
      <c r="N1374" s="68">
        <v>0</v>
      </c>
      <c r="O1374" s="68">
        <v>0</v>
      </c>
      <c r="P1374" s="198" t="s">
        <v>5680</v>
      </c>
    </row>
    <row r="1375" spans="1:16" ht="18.75" hidden="1">
      <c r="A1375" s="50" t="s">
        <v>4312</v>
      </c>
      <c r="B1375" s="50" t="s">
        <v>4166</v>
      </c>
      <c r="C1375" s="50" t="s">
        <v>4297</v>
      </c>
      <c r="D1375" s="50" t="s">
        <v>3933</v>
      </c>
      <c r="E1375" s="12">
        <v>95</v>
      </c>
      <c r="F1375" s="49">
        <v>49480</v>
      </c>
      <c r="G1375" s="67" t="s">
        <v>5611</v>
      </c>
      <c r="H1375" s="14" t="s">
        <v>5601</v>
      </c>
      <c r="I1375" s="14" t="s">
        <v>2458</v>
      </c>
      <c r="J1375" s="33" t="s">
        <v>7110</v>
      </c>
      <c r="K1375" s="33" t="s">
        <v>4307</v>
      </c>
      <c r="L1375" s="68">
        <v>0</v>
      </c>
      <c r="M1375" s="68" t="s">
        <v>8915</v>
      </c>
      <c r="N1375" s="68">
        <v>0</v>
      </c>
      <c r="O1375" s="68">
        <v>0</v>
      </c>
      <c r="P1375" s="198" t="s">
        <v>5694</v>
      </c>
    </row>
    <row r="1376" spans="1:16" ht="18.75" hidden="1">
      <c r="A1376" s="50" t="s">
        <v>4315</v>
      </c>
      <c r="B1376" s="50" t="s">
        <v>3967</v>
      </c>
      <c r="C1376" s="50" t="s">
        <v>4298</v>
      </c>
      <c r="D1376" s="50" t="s">
        <v>4183</v>
      </c>
      <c r="E1376" s="12">
        <v>95</v>
      </c>
      <c r="F1376" s="49">
        <v>264400</v>
      </c>
      <c r="G1376" s="67" t="s">
        <v>5647</v>
      </c>
      <c r="H1376" s="14" t="s">
        <v>5601</v>
      </c>
      <c r="I1376" s="14" t="s">
        <v>2458</v>
      </c>
      <c r="J1376" s="33" t="s">
        <v>7110</v>
      </c>
      <c r="K1376" s="33" t="s">
        <v>4307</v>
      </c>
      <c r="L1376" s="68">
        <v>0</v>
      </c>
      <c r="M1376" s="68" t="s">
        <v>8915</v>
      </c>
      <c r="N1376" s="68">
        <v>0</v>
      </c>
      <c r="O1376" s="68">
        <v>0</v>
      </c>
      <c r="P1376" s="198" t="s">
        <v>5721</v>
      </c>
    </row>
    <row r="1377" spans="1:16" ht="18.75" hidden="1">
      <c r="A1377" s="50" t="s">
        <v>4316</v>
      </c>
      <c r="B1377" s="50" t="s">
        <v>3967</v>
      </c>
      <c r="C1377" s="50" t="s">
        <v>4349</v>
      </c>
      <c r="D1377" s="50" t="s">
        <v>4182</v>
      </c>
      <c r="E1377" s="12">
        <v>95</v>
      </c>
      <c r="F1377" s="49">
        <v>136740</v>
      </c>
      <c r="G1377" s="67" t="s">
        <v>5611</v>
      </c>
      <c r="H1377" s="14" t="s">
        <v>5601</v>
      </c>
      <c r="I1377" s="14" t="s">
        <v>2458</v>
      </c>
      <c r="J1377" s="33" t="s">
        <v>7110</v>
      </c>
      <c r="K1377" s="33" t="s">
        <v>4307</v>
      </c>
      <c r="L1377" s="68">
        <v>0</v>
      </c>
      <c r="M1377" s="68" t="s">
        <v>8915</v>
      </c>
      <c r="N1377" s="68">
        <v>0</v>
      </c>
      <c r="O1377" s="68">
        <v>0</v>
      </c>
      <c r="P1377" s="198" t="s">
        <v>5708</v>
      </c>
    </row>
    <row r="1378" spans="1:16" ht="18.75" hidden="1">
      <c r="A1378" s="50" t="s">
        <v>4315</v>
      </c>
      <c r="B1378" s="50" t="s">
        <v>3967</v>
      </c>
      <c r="C1378" s="50" t="s">
        <v>4350</v>
      </c>
      <c r="D1378" s="50" t="s">
        <v>4180</v>
      </c>
      <c r="E1378" s="12">
        <v>95</v>
      </c>
      <c r="F1378" s="49">
        <v>210460</v>
      </c>
      <c r="G1378" s="67" t="s">
        <v>5611</v>
      </c>
      <c r="H1378" s="14" t="s">
        <v>5601</v>
      </c>
      <c r="I1378" s="14" t="s">
        <v>2458</v>
      </c>
      <c r="J1378" s="33" t="s">
        <v>7110</v>
      </c>
      <c r="K1378" s="33" t="s">
        <v>4307</v>
      </c>
      <c r="L1378" s="68">
        <v>0</v>
      </c>
      <c r="M1378" s="68" t="s">
        <v>8915</v>
      </c>
      <c r="N1378" s="68">
        <v>0</v>
      </c>
      <c r="O1378" s="68">
        <v>0</v>
      </c>
      <c r="P1378" s="198" t="s">
        <v>5708</v>
      </c>
    </row>
    <row r="1379" spans="1:16" ht="18.75" hidden="1">
      <c r="A1379" s="50" t="s">
        <v>4315</v>
      </c>
      <c r="B1379" s="50" t="s">
        <v>3967</v>
      </c>
      <c r="C1379" s="50" t="s">
        <v>4272</v>
      </c>
      <c r="D1379" s="50" t="s">
        <v>4180</v>
      </c>
      <c r="E1379" s="12">
        <v>95</v>
      </c>
      <c r="F1379" s="49">
        <v>23540</v>
      </c>
      <c r="G1379" s="67" t="s">
        <v>5683</v>
      </c>
      <c r="H1379" s="14" t="s">
        <v>5601</v>
      </c>
      <c r="I1379" s="14" t="s">
        <v>2458</v>
      </c>
      <c r="J1379" s="33" t="s">
        <v>7110</v>
      </c>
      <c r="K1379" s="33" t="s">
        <v>4307</v>
      </c>
      <c r="L1379" s="68">
        <v>0</v>
      </c>
      <c r="M1379" s="68" t="s">
        <v>8915</v>
      </c>
      <c r="N1379" s="68">
        <v>0</v>
      </c>
      <c r="O1379" s="68">
        <v>0</v>
      </c>
      <c r="P1379" s="198" t="s">
        <v>5718</v>
      </c>
    </row>
    <row r="1380" spans="1:16" ht="18.75" hidden="1">
      <c r="A1380" s="50" t="s">
        <v>4316</v>
      </c>
      <c r="B1380" s="50" t="s">
        <v>3967</v>
      </c>
      <c r="C1380" s="50" t="s">
        <v>4280</v>
      </c>
      <c r="D1380" s="50" t="s">
        <v>3932</v>
      </c>
      <c r="E1380" s="12">
        <v>95</v>
      </c>
      <c r="F1380" s="49">
        <v>46860</v>
      </c>
      <c r="G1380" s="67" t="s">
        <v>5611</v>
      </c>
      <c r="H1380" s="14" t="s">
        <v>5601</v>
      </c>
      <c r="I1380" s="14" t="s">
        <v>2458</v>
      </c>
      <c r="J1380" s="33" t="s">
        <v>7110</v>
      </c>
      <c r="K1380" s="33" t="s">
        <v>4307</v>
      </c>
      <c r="L1380" s="68">
        <v>0</v>
      </c>
      <c r="M1380" s="68" t="s">
        <v>8915</v>
      </c>
      <c r="N1380" s="68">
        <v>0</v>
      </c>
      <c r="O1380" s="68">
        <v>0</v>
      </c>
      <c r="P1380" s="198" t="s">
        <v>5694</v>
      </c>
    </row>
    <row r="1381" spans="1:16" ht="18.75" hidden="1">
      <c r="A1381" s="50" t="s">
        <v>4317</v>
      </c>
      <c r="B1381" s="50" t="s">
        <v>4342</v>
      </c>
      <c r="C1381" s="50" t="s">
        <v>4298</v>
      </c>
      <c r="D1381" s="50" t="s">
        <v>4183</v>
      </c>
      <c r="E1381" s="12">
        <v>95</v>
      </c>
      <c r="F1381" s="49">
        <v>47880</v>
      </c>
      <c r="G1381" s="67" t="s">
        <v>5647</v>
      </c>
      <c r="H1381" s="14" t="s">
        <v>5601</v>
      </c>
      <c r="I1381" s="14" t="s">
        <v>2458</v>
      </c>
      <c r="J1381" s="33" t="s">
        <v>7110</v>
      </c>
      <c r="K1381" s="33" t="s">
        <v>4307</v>
      </c>
      <c r="L1381" s="68">
        <v>0</v>
      </c>
      <c r="M1381" s="68" t="s">
        <v>8915</v>
      </c>
      <c r="N1381" s="68">
        <v>0</v>
      </c>
      <c r="O1381" s="68">
        <v>0</v>
      </c>
      <c r="P1381" s="198" t="s">
        <v>5721</v>
      </c>
    </row>
    <row r="1382" spans="1:16" ht="18.75" hidden="1">
      <c r="A1382" s="50" t="s">
        <v>4317</v>
      </c>
      <c r="B1382" s="50" t="s">
        <v>4342</v>
      </c>
      <c r="C1382" s="50" t="s">
        <v>4272</v>
      </c>
      <c r="D1382" s="50" t="s">
        <v>4180</v>
      </c>
      <c r="E1382" s="12">
        <v>95</v>
      </c>
      <c r="F1382" s="49">
        <v>48380</v>
      </c>
      <c r="G1382" s="67" t="s">
        <v>5683</v>
      </c>
      <c r="H1382" s="14" t="s">
        <v>5601</v>
      </c>
      <c r="I1382" s="14" t="s">
        <v>2458</v>
      </c>
      <c r="J1382" s="33" t="s">
        <v>7110</v>
      </c>
      <c r="K1382" s="33" t="s">
        <v>4307</v>
      </c>
      <c r="L1382" s="68">
        <v>0</v>
      </c>
      <c r="M1382" s="68" t="s">
        <v>8915</v>
      </c>
      <c r="N1382" s="68">
        <v>0</v>
      </c>
      <c r="O1382" s="68">
        <v>0</v>
      </c>
      <c r="P1382" s="198" t="s">
        <v>5718</v>
      </c>
    </row>
    <row r="1383" spans="1:16" ht="18.75" hidden="1">
      <c r="A1383" s="50" t="s">
        <v>4317</v>
      </c>
      <c r="B1383" s="50" t="s">
        <v>4342</v>
      </c>
      <c r="C1383" s="50" t="s">
        <v>4348</v>
      </c>
      <c r="D1383" s="50" t="s">
        <v>4177</v>
      </c>
      <c r="E1383" s="12">
        <v>95</v>
      </c>
      <c r="F1383" s="49">
        <v>210360</v>
      </c>
      <c r="G1383" s="67" t="s">
        <v>5683</v>
      </c>
      <c r="H1383" s="14" t="s">
        <v>5601</v>
      </c>
      <c r="I1383" s="14" t="s">
        <v>2458</v>
      </c>
      <c r="J1383" s="33" t="s">
        <v>7110</v>
      </c>
      <c r="K1383" s="33" t="s">
        <v>4307</v>
      </c>
      <c r="L1383" s="68">
        <v>0</v>
      </c>
      <c r="M1383" s="68" t="s">
        <v>8915</v>
      </c>
      <c r="N1383" s="68">
        <v>0</v>
      </c>
      <c r="O1383" s="68">
        <v>0</v>
      </c>
      <c r="P1383" s="198" t="s">
        <v>5727</v>
      </c>
    </row>
    <row r="1384" spans="1:16" ht="18.75" hidden="1">
      <c r="A1384" s="50" t="s">
        <v>4317</v>
      </c>
      <c r="B1384" s="50" t="s">
        <v>4342</v>
      </c>
      <c r="C1384" s="50" t="s">
        <v>4351</v>
      </c>
      <c r="D1384" s="50" t="s">
        <v>4183</v>
      </c>
      <c r="E1384" s="12">
        <v>95</v>
      </c>
      <c r="F1384" s="49">
        <v>25780</v>
      </c>
      <c r="G1384" s="67" t="s">
        <v>5647</v>
      </c>
      <c r="H1384" s="14" t="s">
        <v>5601</v>
      </c>
      <c r="I1384" s="14" t="s">
        <v>2458</v>
      </c>
      <c r="J1384" s="33" t="s">
        <v>7110</v>
      </c>
      <c r="K1384" s="33" t="s">
        <v>4307</v>
      </c>
      <c r="L1384" s="68">
        <v>0</v>
      </c>
      <c r="M1384" s="68" t="s">
        <v>8915</v>
      </c>
      <c r="N1384" s="68">
        <v>0</v>
      </c>
      <c r="O1384" s="68">
        <v>0</v>
      </c>
      <c r="P1384" s="198" t="s">
        <v>5720</v>
      </c>
    </row>
    <row r="1385" spans="1:16" ht="18.75" hidden="1">
      <c r="A1385" s="50" t="s">
        <v>4318</v>
      </c>
      <c r="B1385" s="50" t="s">
        <v>4170</v>
      </c>
      <c r="C1385" s="50" t="s">
        <v>4347</v>
      </c>
      <c r="D1385" s="50" t="s">
        <v>4183</v>
      </c>
      <c r="E1385" s="12">
        <v>95</v>
      </c>
      <c r="F1385" s="49">
        <v>9790</v>
      </c>
      <c r="G1385" s="67" t="s">
        <v>5611</v>
      </c>
      <c r="H1385" s="14" t="s">
        <v>5601</v>
      </c>
      <c r="I1385" s="14" t="s">
        <v>2458</v>
      </c>
      <c r="J1385" s="33" t="s">
        <v>7110</v>
      </c>
      <c r="K1385" s="33" t="s">
        <v>4307</v>
      </c>
      <c r="L1385" s="68">
        <v>0</v>
      </c>
      <c r="M1385" s="68" t="s">
        <v>8915</v>
      </c>
      <c r="N1385" s="68">
        <v>0</v>
      </c>
      <c r="O1385" s="68">
        <v>0</v>
      </c>
      <c r="P1385" s="198" t="s">
        <v>5708</v>
      </c>
    </row>
    <row r="1386" spans="1:16" ht="18.75" hidden="1">
      <c r="A1386" s="50" t="s">
        <v>4319</v>
      </c>
      <c r="B1386" s="50" t="s">
        <v>4175</v>
      </c>
      <c r="C1386" s="50" t="s">
        <v>4278</v>
      </c>
      <c r="D1386" s="50" t="s">
        <v>3937</v>
      </c>
      <c r="E1386" s="12">
        <v>95</v>
      </c>
      <c r="F1386" s="49">
        <v>46622</v>
      </c>
      <c r="G1386" s="67" t="s">
        <v>5633</v>
      </c>
      <c r="H1386" s="14" t="s">
        <v>5601</v>
      </c>
      <c r="I1386" s="14" t="s">
        <v>2458</v>
      </c>
      <c r="J1386" s="33" t="s">
        <v>7110</v>
      </c>
      <c r="K1386" s="33" t="s">
        <v>4307</v>
      </c>
      <c r="L1386" s="68">
        <v>0</v>
      </c>
      <c r="M1386" s="68" t="s">
        <v>8915</v>
      </c>
      <c r="N1386" s="68">
        <v>0</v>
      </c>
      <c r="O1386" s="68">
        <v>0</v>
      </c>
      <c r="P1386" s="198" t="s">
        <v>5706</v>
      </c>
    </row>
    <row r="1387" spans="1:16" ht="18.75" hidden="1">
      <c r="A1387" s="50" t="s">
        <v>4318</v>
      </c>
      <c r="B1387" s="50" t="s">
        <v>4170</v>
      </c>
      <c r="C1387" s="50" t="s">
        <v>4349</v>
      </c>
      <c r="D1387" s="50" t="s">
        <v>4182</v>
      </c>
      <c r="E1387" s="12">
        <v>95</v>
      </c>
      <c r="F1387" s="49">
        <v>99640</v>
      </c>
      <c r="G1387" s="67" t="s">
        <v>5611</v>
      </c>
      <c r="H1387" s="14" t="s">
        <v>5601</v>
      </c>
      <c r="I1387" s="14" t="s">
        <v>2458</v>
      </c>
      <c r="J1387" s="33" t="s">
        <v>7110</v>
      </c>
      <c r="K1387" s="33" t="s">
        <v>4307</v>
      </c>
      <c r="L1387" s="68">
        <v>0</v>
      </c>
      <c r="M1387" s="68" t="s">
        <v>8915</v>
      </c>
      <c r="N1387" s="68">
        <v>0</v>
      </c>
      <c r="O1387" s="68">
        <v>0</v>
      </c>
      <c r="P1387" s="198" t="s">
        <v>5708</v>
      </c>
    </row>
    <row r="1388" spans="1:16" ht="18.75" hidden="1">
      <c r="A1388" s="50" t="s">
        <v>4320</v>
      </c>
      <c r="B1388" s="50" t="s">
        <v>4165</v>
      </c>
      <c r="C1388" s="50" t="s">
        <v>4349</v>
      </c>
      <c r="D1388" s="50" t="s">
        <v>4182</v>
      </c>
      <c r="E1388" s="12">
        <v>95</v>
      </c>
      <c r="F1388" s="49">
        <v>11820</v>
      </c>
      <c r="G1388" s="67" t="s">
        <v>5611</v>
      </c>
      <c r="H1388" s="14" t="s">
        <v>5601</v>
      </c>
      <c r="I1388" s="14" t="s">
        <v>2458</v>
      </c>
      <c r="J1388" s="33" t="s">
        <v>7110</v>
      </c>
      <c r="K1388" s="33" t="s">
        <v>4307</v>
      </c>
      <c r="L1388" s="68">
        <v>0</v>
      </c>
      <c r="M1388" s="68" t="s">
        <v>8915</v>
      </c>
      <c r="N1388" s="68">
        <v>0</v>
      </c>
      <c r="O1388" s="68">
        <v>0</v>
      </c>
      <c r="P1388" s="198" t="s">
        <v>5708</v>
      </c>
    </row>
    <row r="1389" spans="1:16" ht="18.75" hidden="1">
      <c r="A1389" s="50" t="s">
        <v>4321</v>
      </c>
      <c r="B1389" s="50" t="s">
        <v>4170</v>
      </c>
      <c r="C1389" s="50" t="s">
        <v>4351</v>
      </c>
      <c r="D1389" s="50" t="s">
        <v>4183</v>
      </c>
      <c r="E1389" s="12">
        <v>95</v>
      </c>
      <c r="F1389" s="49">
        <v>93780</v>
      </c>
      <c r="G1389" s="67" t="s">
        <v>5647</v>
      </c>
      <c r="H1389" s="14" t="s">
        <v>5601</v>
      </c>
      <c r="I1389" s="14" t="s">
        <v>2458</v>
      </c>
      <c r="J1389" s="33" t="s">
        <v>7110</v>
      </c>
      <c r="K1389" s="33" t="s">
        <v>4307</v>
      </c>
      <c r="L1389" s="68">
        <v>0</v>
      </c>
      <c r="M1389" s="68" t="s">
        <v>8915</v>
      </c>
      <c r="N1389" s="68">
        <v>0</v>
      </c>
      <c r="O1389" s="68">
        <v>0</v>
      </c>
      <c r="P1389" s="198" t="s">
        <v>5720</v>
      </c>
    </row>
    <row r="1390" spans="1:16" ht="18.75" hidden="1">
      <c r="A1390" s="50" t="s">
        <v>4321</v>
      </c>
      <c r="B1390" s="50" t="s">
        <v>4170</v>
      </c>
      <c r="C1390" s="50" t="s">
        <v>4298</v>
      </c>
      <c r="D1390" s="50" t="s">
        <v>4183</v>
      </c>
      <c r="E1390" s="12">
        <v>95</v>
      </c>
      <c r="F1390" s="49">
        <v>22860</v>
      </c>
      <c r="G1390" s="67" t="s">
        <v>5647</v>
      </c>
      <c r="H1390" s="14" t="s">
        <v>5601</v>
      </c>
      <c r="I1390" s="14" t="s">
        <v>2458</v>
      </c>
      <c r="J1390" s="33" t="s">
        <v>7110</v>
      </c>
      <c r="K1390" s="33" t="s">
        <v>4307</v>
      </c>
      <c r="L1390" s="68">
        <v>0</v>
      </c>
      <c r="M1390" s="68" t="s">
        <v>8915</v>
      </c>
      <c r="N1390" s="68">
        <v>0</v>
      </c>
      <c r="O1390" s="68">
        <v>0</v>
      </c>
      <c r="P1390" s="198" t="s">
        <v>5721</v>
      </c>
    </row>
    <row r="1391" spans="1:16" ht="18.75" hidden="1">
      <c r="A1391" s="50" t="s">
        <v>4318</v>
      </c>
      <c r="B1391" s="50" t="s">
        <v>4170</v>
      </c>
      <c r="C1391" s="50" t="s">
        <v>4346</v>
      </c>
      <c r="D1391" s="50" t="s">
        <v>4183</v>
      </c>
      <c r="E1391" s="12">
        <v>95</v>
      </c>
      <c r="F1391" s="49">
        <v>21830</v>
      </c>
      <c r="G1391" s="67" t="s">
        <v>5683</v>
      </c>
      <c r="H1391" s="14" t="s">
        <v>5601</v>
      </c>
      <c r="I1391" s="14" t="s">
        <v>2458</v>
      </c>
      <c r="J1391" s="33" t="s">
        <v>7110</v>
      </c>
      <c r="K1391" s="33" t="s">
        <v>4307</v>
      </c>
      <c r="L1391" s="68">
        <v>0</v>
      </c>
      <c r="M1391" s="68" t="s">
        <v>8915</v>
      </c>
      <c r="N1391" s="68">
        <v>0</v>
      </c>
      <c r="O1391" s="68">
        <v>0</v>
      </c>
      <c r="P1391" s="198" t="s">
        <v>5725</v>
      </c>
    </row>
    <row r="1392" spans="1:16" ht="18.75" hidden="1">
      <c r="A1392" s="50" t="s">
        <v>4320</v>
      </c>
      <c r="B1392" s="50" t="s">
        <v>4165</v>
      </c>
      <c r="C1392" s="50" t="s">
        <v>4346</v>
      </c>
      <c r="D1392" s="50" t="s">
        <v>4183</v>
      </c>
      <c r="E1392" s="12">
        <v>95</v>
      </c>
      <c r="F1392" s="49">
        <v>153760</v>
      </c>
      <c r="G1392" s="67" t="s">
        <v>5683</v>
      </c>
      <c r="H1392" s="14" t="s">
        <v>5601</v>
      </c>
      <c r="I1392" s="14" t="s">
        <v>2458</v>
      </c>
      <c r="J1392" s="33" t="s">
        <v>7110</v>
      </c>
      <c r="K1392" s="33" t="s">
        <v>4307</v>
      </c>
      <c r="L1392" s="68">
        <v>0</v>
      </c>
      <c r="M1392" s="68" t="s">
        <v>8915</v>
      </c>
      <c r="N1392" s="68">
        <v>0</v>
      </c>
      <c r="O1392" s="68">
        <v>0</v>
      </c>
      <c r="P1392" s="198" t="s">
        <v>5725</v>
      </c>
    </row>
    <row r="1393" spans="1:16" ht="18.75" hidden="1">
      <c r="A1393" s="50" t="s">
        <v>4322</v>
      </c>
      <c r="B1393" s="50" t="s">
        <v>4342</v>
      </c>
      <c r="C1393" s="50" t="s">
        <v>4280</v>
      </c>
      <c r="D1393" s="50" t="s">
        <v>3932</v>
      </c>
      <c r="E1393" s="12">
        <v>95</v>
      </c>
      <c r="F1393" s="49">
        <v>91850</v>
      </c>
      <c r="G1393" s="67" t="s">
        <v>5611</v>
      </c>
      <c r="H1393" s="14" t="s">
        <v>5601</v>
      </c>
      <c r="I1393" s="14" t="s">
        <v>2458</v>
      </c>
      <c r="J1393" s="33" t="s">
        <v>7110</v>
      </c>
      <c r="K1393" s="33" t="s">
        <v>4307</v>
      </c>
      <c r="L1393" s="68">
        <v>0</v>
      </c>
      <c r="M1393" s="68" t="s">
        <v>8915</v>
      </c>
      <c r="N1393" s="68">
        <v>0</v>
      </c>
      <c r="O1393" s="68">
        <v>0</v>
      </c>
      <c r="P1393" s="198" t="s">
        <v>5694</v>
      </c>
    </row>
    <row r="1394" spans="1:16" ht="18.75" hidden="1">
      <c r="A1394" s="50" t="s">
        <v>4318</v>
      </c>
      <c r="B1394" s="50" t="s">
        <v>4170</v>
      </c>
      <c r="C1394" s="50" t="s">
        <v>4280</v>
      </c>
      <c r="D1394" s="50" t="s">
        <v>3932</v>
      </c>
      <c r="E1394" s="12">
        <v>95</v>
      </c>
      <c r="F1394" s="49">
        <v>24280</v>
      </c>
      <c r="G1394" s="67" t="s">
        <v>5611</v>
      </c>
      <c r="H1394" s="14" t="s">
        <v>5601</v>
      </c>
      <c r="I1394" s="14" t="s">
        <v>2458</v>
      </c>
      <c r="J1394" s="33" t="s">
        <v>7110</v>
      </c>
      <c r="K1394" s="33" t="s">
        <v>4307</v>
      </c>
      <c r="L1394" s="68">
        <v>0</v>
      </c>
      <c r="M1394" s="68" t="s">
        <v>8915</v>
      </c>
      <c r="N1394" s="68">
        <v>0</v>
      </c>
      <c r="O1394" s="68">
        <v>0</v>
      </c>
      <c r="P1394" s="198" t="s">
        <v>5694</v>
      </c>
    </row>
    <row r="1395" spans="1:16" ht="18.75" hidden="1">
      <c r="A1395" s="50" t="s">
        <v>4318</v>
      </c>
      <c r="B1395" s="50" t="s">
        <v>4170</v>
      </c>
      <c r="C1395" s="50" t="s">
        <v>4302</v>
      </c>
      <c r="D1395" s="50" t="s">
        <v>4176</v>
      </c>
      <c r="E1395" s="12">
        <v>95</v>
      </c>
      <c r="F1395" s="49">
        <v>23140</v>
      </c>
      <c r="G1395" s="67" t="s">
        <v>5611</v>
      </c>
      <c r="H1395" s="14" t="s">
        <v>5601</v>
      </c>
      <c r="I1395" s="14" t="s">
        <v>2458</v>
      </c>
      <c r="J1395" s="33" t="s">
        <v>7110</v>
      </c>
      <c r="K1395" s="33" t="s">
        <v>4307</v>
      </c>
      <c r="L1395" s="68">
        <v>0</v>
      </c>
      <c r="M1395" s="68" t="s">
        <v>8915</v>
      </c>
      <c r="N1395" s="68">
        <v>0</v>
      </c>
      <c r="O1395" s="68">
        <v>0</v>
      </c>
      <c r="P1395" s="198" t="s">
        <v>5708</v>
      </c>
    </row>
    <row r="1396" spans="1:16" ht="18.75" hidden="1">
      <c r="A1396" s="50" t="s">
        <v>4323</v>
      </c>
      <c r="B1396" s="50" t="s">
        <v>4342</v>
      </c>
      <c r="C1396" s="50" t="s">
        <v>4344</v>
      </c>
      <c r="D1396" s="50" t="s">
        <v>4182</v>
      </c>
      <c r="E1396" s="12">
        <v>95</v>
      </c>
      <c r="F1396" s="49">
        <v>48290</v>
      </c>
      <c r="G1396" s="67" t="s">
        <v>5611</v>
      </c>
      <c r="H1396" s="14" t="s">
        <v>5601</v>
      </c>
      <c r="I1396" s="14" t="s">
        <v>2458</v>
      </c>
      <c r="J1396" s="33" t="s">
        <v>7110</v>
      </c>
      <c r="K1396" s="33" t="s">
        <v>4307</v>
      </c>
      <c r="L1396" s="68">
        <v>0</v>
      </c>
      <c r="M1396" s="68" t="s">
        <v>8915</v>
      </c>
      <c r="N1396" s="68">
        <v>0</v>
      </c>
      <c r="O1396" s="68">
        <v>0</v>
      </c>
      <c r="P1396" s="198" t="s">
        <v>5708</v>
      </c>
    </row>
    <row r="1397" spans="1:16" ht="18.75" hidden="1">
      <c r="A1397" s="50" t="s">
        <v>4324</v>
      </c>
      <c r="B1397" s="50" t="s">
        <v>4174</v>
      </c>
      <c r="C1397" s="50" t="s">
        <v>4352</v>
      </c>
      <c r="D1397" s="50" t="s">
        <v>4177</v>
      </c>
      <c r="E1397" s="12">
        <v>95</v>
      </c>
      <c r="F1397" s="49">
        <v>72440</v>
      </c>
      <c r="G1397" s="67" t="s">
        <v>5683</v>
      </c>
      <c r="H1397" s="14" t="s">
        <v>5601</v>
      </c>
      <c r="I1397" s="14" t="s">
        <v>2458</v>
      </c>
      <c r="J1397" s="33" t="s">
        <v>7110</v>
      </c>
      <c r="K1397" s="33" t="s">
        <v>4307</v>
      </c>
      <c r="L1397" s="68" t="s">
        <v>6054</v>
      </c>
      <c r="M1397" s="68" t="s">
        <v>8915</v>
      </c>
      <c r="N1397" s="68" t="s">
        <v>6061</v>
      </c>
      <c r="O1397" s="202">
        <v>55301</v>
      </c>
      <c r="P1397" s="198" t="s">
        <v>5727</v>
      </c>
    </row>
    <row r="1398" spans="1:16" ht="18.75" hidden="1">
      <c r="A1398" s="50" t="s">
        <v>4324</v>
      </c>
      <c r="B1398" s="50" t="s">
        <v>4174</v>
      </c>
      <c r="C1398" s="50" t="s">
        <v>4353</v>
      </c>
      <c r="D1398" s="50" t="s">
        <v>4170</v>
      </c>
      <c r="E1398" s="12">
        <v>95</v>
      </c>
      <c r="F1398" s="49">
        <v>94860</v>
      </c>
      <c r="G1398" s="67" t="s">
        <v>5631</v>
      </c>
      <c r="H1398" s="14" t="s">
        <v>5601</v>
      </c>
      <c r="I1398" s="14" t="s">
        <v>2458</v>
      </c>
      <c r="J1398" s="33" t="s">
        <v>7110</v>
      </c>
      <c r="K1398" s="33" t="s">
        <v>4307</v>
      </c>
      <c r="L1398" s="68">
        <v>0</v>
      </c>
      <c r="M1398" s="68" t="s">
        <v>8915</v>
      </c>
      <c r="N1398" s="68">
        <v>0</v>
      </c>
      <c r="O1398" s="68">
        <v>0</v>
      </c>
      <c r="P1398" s="197" t="s">
        <v>5712</v>
      </c>
    </row>
    <row r="1399" spans="1:16" ht="18.75" hidden="1">
      <c r="A1399" s="50" t="s">
        <v>4324</v>
      </c>
      <c r="B1399" s="50" t="s">
        <v>4174</v>
      </c>
      <c r="C1399" s="50" t="s">
        <v>4354</v>
      </c>
      <c r="D1399" s="50" t="s">
        <v>4170</v>
      </c>
      <c r="E1399" s="12">
        <v>95</v>
      </c>
      <c r="F1399" s="49">
        <v>47020</v>
      </c>
      <c r="G1399" s="67" t="s">
        <v>5631</v>
      </c>
      <c r="H1399" s="14" t="s">
        <v>5601</v>
      </c>
      <c r="I1399" s="14" t="s">
        <v>2458</v>
      </c>
      <c r="J1399" s="33" t="s">
        <v>7110</v>
      </c>
      <c r="K1399" s="33" t="s">
        <v>4307</v>
      </c>
      <c r="L1399" s="68">
        <v>0</v>
      </c>
      <c r="M1399" s="68" t="s">
        <v>8915</v>
      </c>
      <c r="N1399" s="68">
        <v>0</v>
      </c>
      <c r="O1399" s="68">
        <v>0</v>
      </c>
      <c r="P1399" s="197" t="s">
        <v>5712</v>
      </c>
    </row>
    <row r="1400" spans="1:16" ht="18.75" hidden="1">
      <c r="A1400" s="50" t="s">
        <v>4324</v>
      </c>
      <c r="B1400" s="50" t="s">
        <v>4174</v>
      </c>
      <c r="C1400" s="50" t="s">
        <v>4351</v>
      </c>
      <c r="D1400" s="50" t="s">
        <v>4183</v>
      </c>
      <c r="E1400" s="12">
        <v>95</v>
      </c>
      <c r="F1400" s="49">
        <v>72380</v>
      </c>
      <c r="G1400" s="67" t="s">
        <v>5647</v>
      </c>
      <c r="H1400" s="14" t="s">
        <v>5601</v>
      </c>
      <c r="I1400" s="14" t="s">
        <v>2458</v>
      </c>
      <c r="J1400" s="33" t="s">
        <v>7110</v>
      </c>
      <c r="K1400" s="33" t="s">
        <v>4307</v>
      </c>
      <c r="L1400" s="68">
        <v>0</v>
      </c>
      <c r="M1400" s="68" t="s">
        <v>8915</v>
      </c>
      <c r="N1400" s="68">
        <v>0</v>
      </c>
      <c r="O1400" s="68">
        <v>0</v>
      </c>
      <c r="P1400" s="198" t="s">
        <v>5720</v>
      </c>
    </row>
    <row r="1401" spans="1:16" ht="18.75" hidden="1">
      <c r="A1401" s="50" t="s">
        <v>4325</v>
      </c>
      <c r="B1401" s="50" t="s">
        <v>4167</v>
      </c>
      <c r="C1401" s="50" t="s">
        <v>4355</v>
      </c>
      <c r="D1401" s="50" t="s">
        <v>4183</v>
      </c>
      <c r="E1401" s="12">
        <v>95</v>
      </c>
      <c r="F1401" s="49">
        <v>21280</v>
      </c>
      <c r="G1401" s="67" t="s">
        <v>5683</v>
      </c>
      <c r="H1401" s="14" t="s">
        <v>5601</v>
      </c>
      <c r="I1401" s="14" t="s">
        <v>2458</v>
      </c>
      <c r="J1401" s="33" t="s">
        <v>7110</v>
      </c>
      <c r="K1401" s="33" t="s">
        <v>4307</v>
      </c>
      <c r="L1401" s="68">
        <v>0</v>
      </c>
      <c r="M1401" s="68" t="s">
        <v>8915</v>
      </c>
      <c r="N1401" s="68">
        <v>0</v>
      </c>
      <c r="O1401" s="68">
        <v>0</v>
      </c>
      <c r="P1401" s="198" t="s">
        <v>5725</v>
      </c>
    </row>
    <row r="1402" spans="1:16" ht="18.75" hidden="1">
      <c r="A1402" s="50" t="s">
        <v>4325</v>
      </c>
      <c r="B1402" s="50" t="s">
        <v>4167</v>
      </c>
      <c r="C1402" s="50" t="s">
        <v>4353</v>
      </c>
      <c r="D1402" s="50" t="s">
        <v>4170</v>
      </c>
      <c r="E1402" s="12">
        <v>95</v>
      </c>
      <c r="F1402" s="49">
        <v>90500</v>
      </c>
      <c r="G1402" s="67" t="s">
        <v>5631</v>
      </c>
      <c r="H1402" s="14" t="s">
        <v>5601</v>
      </c>
      <c r="I1402" s="14" t="s">
        <v>2458</v>
      </c>
      <c r="J1402" s="33" t="s">
        <v>7110</v>
      </c>
      <c r="K1402" s="33" t="s">
        <v>4307</v>
      </c>
      <c r="L1402" s="68">
        <v>0</v>
      </c>
      <c r="M1402" s="68" t="s">
        <v>8915</v>
      </c>
      <c r="N1402" s="68">
        <v>0</v>
      </c>
      <c r="O1402" s="68">
        <v>0</v>
      </c>
      <c r="P1402" s="197" t="s">
        <v>5712</v>
      </c>
    </row>
    <row r="1403" spans="1:16" ht="18.75" hidden="1">
      <c r="A1403" s="50" t="s">
        <v>4325</v>
      </c>
      <c r="B1403" s="50" t="s">
        <v>4167</v>
      </c>
      <c r="C1403" s="50" t="s">
        <v>4351</v>
      </c>
      <c r="D1403" s="50" t="s">
        <v>4183</v>
      </c>
      <c r="E1403" s="12">
        <v>95</v>
      </c>
      <c r="F1403" s="49">
        <v>121280</v>
      </c>
      <c r="G1403" s="67" t="s">
        <v>5647</v>
      </c>
      <c r="H1403" s="14" t="s">
        <v>5601</v>
      </c>
      <c r="I1403" s="14" t="s">
        <v>2458</v>
      </c>
      <c r="J1403" s="33" t="s">
        <v>7110</v>
      </c>
      <c r="K1403" s="33" t="s">
        <v>4307</v>
      </c>
      <c r="L1403" s="68">
        <v>0</v>
      </c>
      <c r="M1403" s="68" t="s">
        <v>8915</v>
      </c>
      <c r="N1403" s="68">
        <v>0</v>
      </c>
      <c r="O1403" s="68">
        <v>0</v>
      </c>
      <c r="P1403" s="198" t="s">
        <v>5720</v>
      </c>
    </row>
    <row r="1404" spans="1:16" ht="18.75" hidden="1">
      <c r="A1404" s="50" t="s">
        <v>4326</v>
      </c>
      <c r="B1404" s="50" t="s">
        <v>4171</v>
      </c>
      <c r="C1404" s="50" t="s">
        <v>4356</v>
      </c>
      <c r="D1404" s="50" t="s">
        <v>4184</v>
      </c>
      <c r="E1404" s="12">
        <v>95</v>
      </c>
      <c r="F1404" s="49">
        <v>96670</v>
      </c>
      <c r="G1404" s="67" t="s">
        <v>5631</v>
      </c>
      <c r="H1404" s="14" t="s">
        <v>5601</v>
      </c>
      <c r="I1404" s="14" t="s">
        <v>2458</v>
      </c>
      <c r="J1404" s="33" t="s">
        <v>7110</v>
      </c>
      <c r="K1404" s="33" t="s">
        <v>4307</v>
      </c>
      <c r="L1404" s="68">
        <v>0</v>
      </c>
      <c r="M1404" s="68" t="s">
        <v>8915</v>
      </c>
      <c r="N1404" s="68">
        <v>0</v>
      </c>
      <c r="O1404" s="68">
        <v>0</v>
      </c>
      <c r="P1404" s="197" t="s">
        <v>5698</v>
      </c>
    </row>
    <row r="1405" spans="1:16" ht="18.75" hidden="1">
      <c r="A1405" s="50" t="s">
        <v>4327</v>
      </c>
      <c r="B1405" s="50" t="s">
        <v>4168</v>
      </c>
      <c r="C1405" s="50" t="s">
        <v>4347</v>
      </c>
      <c r="D1405" s="50" t="s">
        <v>4183</v>
      </c>
      <c r="E1405" s="12">
        <v>95</v>
      </c>
      <c r="F1405" s="49">
        <v>45970</v>
      </c>
      <c r="G1405" s="67" t="s">
        <v>5611</v>
      </c>
      <c r="H1405" s="14" t="s">
        <v>5601</v>
      </c>
      <c r="I1405" s="14" t="s">
        <v>2458</v>
      </c>
      <c r="J1405" s="33" t="s">
        <v>7110</v>
      </c>
      <c r="K1405" s="33" t="s">
        <v>4307</v>
      </c>
      <c r="L1405" s="68">
        <v>0</v>
      </c>
      <c r="M1405" s="68" t="s">
        <v>8915</v>
      </c>
      <c r="N1405" s="68">
        <v>0</v>
      </c>
      <c r="O1405" s="68">
        <v>0</v>
      </c>
      <c r="P1405" s="198" t="s">
        <v>5708</v>
      </c>
    </row>
    <row r="1406" spans="1:16" ht="18.75" hidden="1">
      <c r="A1406" s="50" t="s">
        <v>4328</v>
      </c>
      <c r="B1406" s="50" t="s">
        <v>4171</v>
      </c>
      <c r="C1406" s="50" t="s">
        <v>4355</v>
      </c>
      <c r="D1406" s="50" t="s">
        <v>4183</v>
      </c>
      <c r="E1406" s="12">
        <v>95</v>
      </c>
      <c r="F1406" s="49">
        <v>26180</v>
      </c>
      <c r="G1406" s="67" t="s">
        <v>5683</v>
      </c>
      <c r="H1406" s="14" t="s">
        <v>5601</v>
      </c>
      <c r="I1406" s="14" t="s">
        <v>2458</v>
      </c>
      <c r="J1406" s="33" t="s">
        <v>7110</v>
      </c>
      <c r="K1406" s="33" t="s">
        <v>4307</v>
      </c>
      <c r="L1406" s="68">
        <v>0</v>
      </c>
      <c r="M1406" s="68" t="s">
        <v>8915</v>
      </c>
      <c r="N1406" s="68">
        <v>0</v>
      </c>
      <c r="O1406" s="68">
        <v>0</v>
      </c>
      <c r="P1406" s="198" t="s">
        <v>5725</v>
      </c>
    </row>
    <row r="1407" spans="1:16" ht="18.75" hidden="1">
      <c r="A1407" s="50" t="s">
        <v>4329</v>
      </c>
      <c r="B1407" s="50" t="s">
        <v>4167</v>
      </c>
      <c r="C1407" s="50" t="s">
        <v>4356</v>
      </c>
      <c r="D1407" s="50" t="s">
        <v>4184</v>
      </c>
      <c r="E1407" s="12">
        <v>95</v>
      </c>
      <c r="F1407" s="49">
        <v>142680</v>
      </c>
      <c r="G1407" s="67" t="s">
        <v>5631</v>
      </c>
      <c r="H1407" s="14" t="s">
        <v>5601</v>
      </c>
      <c r="I1407" s="14" t="s">
        <v>2458</v>
      </c>
      <c r="J1407" s="33" t="s">
        <v>7110</v>
      </c>
      <c r="K1407" s="33" t="s">
        <v>4307</v>
      </c>
      <c r="L1407" s="68">
        <v>0</v>
      </c>
      <c r="M1407" s="68" t="s">
        <v>8915</v>
      </c>
      <c r="N1407" s="68">
        <v>0</v>
      </c>
      <c r="O1407" s="68">
        <v>0</v>
      </c>
      <c r="P1407" s="197" t="s">
        <v>5698</v>
      </c>
    </row>
    <row r="1408" spans="1:16" ht="18.75" hidden="1">
      <c r="A1408" s="50" t="s">
        <v>4330</v>
      </c>
      <c r="B1408" s="50" t="s">
        <v>4167</v>
      </c>
      <c r="C1408" s="50" t="s">
        <v>4357</v>
      </c>
      <c r="D1408" s="50" t="s">
        <v>4184</v>
      </c>
      <c r="E1408" s="12">
        <v>95</v>
      </c>
      <c r="F1408" s="49">
        <v>18710</v>
      </c>
      <c r="G1408" s="67" t="s">
        <v>5631</v>
      </c>
      <c r="H1408" s="14" t="s">
        <v>5601</v>
      </c>
      <c r="I1408" s="14" t="s">
        <v>2458</v>
      </c>
      <c r="J1408" s="33" t="s">
        <v>7110</v>
      </c>
      <c r="K1408" s="33" t="s">
        <v>4307</v>
      </c>
      <c r="L1408" s="68">
        <v>0</v>
      </c>
      <c r="M1408" s="68" t="s">
        <v>8915</v>
      </c>
      <c r="N1408" s="68">
        <v>0</v>
      </c>
      <c r="O1408" s="68">
        <v>0</v>
      </c>
      <c r="P1408" s="197" t="s">
        <v>5698</v>
      </c>
    </row>
    <row r="1409" spans="1:16" ht="18.75" hidden="1">
      <c r="A1409" s="50" t="s">
        <v>4322</v>
      </c>
      <c r="B1409" s="50" t="s">
        <v>4342</v>
      </c>
      <c r="C1409" s="50" t="s">
        <v>4344</v>
      </c>
      <c r="D1409" s="50" t="s">
        <v>4182</v>
      </c>
      <c r="E1409" s="12">
        <v>95</v>
      </c>
      <c r="F1409" s="49">
        <v>23990</v>
      </c>
      <c r="G1409" s="67" t="s">
        <v>5611</v>
      </c>
      <c r="H1409" s="14" t="s">
        <v>5601</v>
      </c>
      <c r="I1409" s="14" t="s">
        <v>2458</v>
      </c>
      <c r="J1409" s="33" t="s">
        <v>7110</v>
      </c>
      <c r="K1409" s="33" t="s">
        <v>4307</v>
      </c>
      <c r="L1409" s="68">
        <v>0</v>
      </c>
      <c r="M1409" s="68" t="s">
        <v>8915</v>
      </c>
      <c r="N1409" s="68">
        <v>0</v>
      </c>
      <c r="O1409" s="68">
        <v>0</v>
      </c>
      <c r="P1409" s="198" t="s">
        <v>5708</v>
      </c>
    </row>
    <row r="1410" spans="1:16" ht="18.75" hidden="1">
      <c r="A1410" s="50" t="s">
        <v>4322</v>
      </c>
      <c r="B1410" s="50" t="s">
        <v>4342</v>
      </c>
      <c r="C1410" s="50" t="s">
        <v>4346</v>
      </c>
      <c r="D1410" s="50" t="s">
        <v>4183</v>
      </c>
      <c r="E1410" s="12">
        <v>95</v>
      </c>
      <c r="F1410" s="49">
        <v>44400</v>
      </c>
      <c r="G1410" s="67" t="s">
        <v>5683</v>
      </c>
      <c r="H1410" s="14" t="s">
        <v>5601</v>
      </c>
      <c r="I1410" s="14" t="s">
        <v>2458</v>
      </c>
      <c r="J1410" s="33" t="s">
        <v>7110</v>
      </c>
      <c r="K1410" s="33" t="s">
        <v>4307</v>
      </c>
      <c r="L1410" s="68">
        <v>0</v>
      </c>
      <c r="M1410" s="68" t="s">
        <v>8915</v>
      </c>
      <c r="N1410" s="68">
        <v>0</v>
      </c>
      <c r="O1410" s="68">
        <v>0</v>
      </c>
      <c r="P1410" s="198" t="s">
        <v>5725</v>
      </c>
    </row>
    <row r="1411" spans="1:16" ht="18.75" hidden="1">
      <c r="A1411" s="50" t="s">
        <v>4330</v>
      </c>
      <c r="B1411" s="50" t="s">
        <v>4167</v>
      </c>
      <c r="C1411" s="50" t="s">
        <v>4356</v>
      </c>
      <c r="D1411" s="50" t="s">
        <v>4184</v>
      </c>
      <c r="E1411" s="12">
        <v>95</v>
      </c>
      <c r="F1411" s="49">
        <v>50390</v>
      </c>
      <c r="G1411" s="67" t="s">
        <v>5631</v>
      </c>
      <c r="H1411" s="14" t="s">
        <v>5601</v>
      </c>
      <c r="I1411" s="14" t="s">
        <v>2458</v>
      </c>
      <c r="J1411" s="33" t="s">
        <v>7110</v>
      </c>
      <c r="K1411" s="33" t="s">
        <v>4307</v>
      </c>
      <c r="L1411" s="68">
        <v>0</v>
      </c>
      <c r="M1411" s="68" t="s">
        <v>8915</v>
      </c>
      <c r="N1411" s="68">
        <v>0</v>
      </c>
      <c r="O1411" s="68">
        <v>0</v>
      </c>
      <c r="P1411" s="197" t="s">
        <v>5698</v>
      </c>
    </row>
    <row r="1412" spans="1:16" ht="18.75" hidden="1">
      <c r="A1412" s="50" t="s">
        <v>4331</v>
      </c>
      <c r="B1412" s="50" t="s">
        <v>4171</v>
      </c>
      <c r="C1412" s="50" t="s">
        <v>4356</v>
      </c>
      <c r="D1412" s="50" t="s">
        <v>4184</v>
      </c>
      <c r="E1412" s="12">
        <v>95</v>
      </c>
      <c r="F1412" s="49">
        <v>46980</v>
      </c>
      <c r="G1412" s="67" t="s">
        <v>5631</v>
      </c>
      <c r="H1412" s="14" t="s">
        <v>5601</v>
      </c>
      <c r="I1412" s="14" t="s">
        <v>2458</v>
      </c>
      <c r="J1412" s="33" t="s">
        <v>7110</v>
      </c>
      <c r="K1412" s="33" t="s">
        <v>4307</v>
      </c>
      <c r="L1412" s="68">
        <v>0</v>
      </c>
      <c r="M1412" s="68" t="s">
        <v>8915</v>
      </c>
      <c r="N1412" s="68">
        <v>0</v>
      </c>
      <c r="O1412" s="68">
        <v>0</v>
      </c>
      <c r="P1412" s="197" t="s">
        <v>5698</v>
      </c>
    </row>
    <row r="1413" spans="1:16" ht="18.75" hidden="1">
      <c r="A1413" s="50" t="s">
        <v>4332</v>
      </c>
      <c r="B1413" s="50" t="s">
        <v>4175</v>
      </c>
      <c r="C1413" s="50" t="s">
        <v>4347</v>
      </c>
      <c r="D1413" s="50" t="s">
        <v>4183</v>
      </c>
      <c r="E1413" s="12">
        <v>95</v>
      </c>
      <c r="F1413" s="49">
        <v>104040</v>
      </c>
      <c r="G1413" s="67" t="s">
        <v>5611</v>
      </c>
      <c r="H1413" s="14" t="s">
        <v>5601</v>
      </c>
      <c r="I1413" s="14" t="s">
        <v>2458</v>
      </c>
      <c r="J1413" s="33" t="s">
        <v>7110</v>
      </c>
      <c r="K1413" s="33" t="s">
        <v>4307</v>
      </c>
      <c r="L1413" s="68">
        <v>0</v>
      </c>
      <c r="M1413" s="68" t="s">
        <v>8915</v>
      </c>
      <c r="N1413" s="68">
        <v>0</v>
      </c>
      <c r="O1413" s="68">
        <v>0</v>
      </c>
      <c r="P1413" s="198" t="s">
        <v>5708</v>
      </c>
    </row>
    <row r="1414" spans="1:16" ht="18.75" hidden="1">
      <c r="A1414" s="50" t="s">
        <v>4333</v>
      </c>
      <c r="B1414" s="50" t="s">
        <v>4173</v>
      </c>
      <c r="C1414" s="50" t="s">
        <v>4352</v>
      </c>
      <c r="D1414" s="50" t="s">
        <v>4177</v>
      </c>
      <c r="E1414" s="12">
        <v>95</v>
      </c>
      <c r="F1414" s="49">
        <v>24660</v>
      </c>
      <c r="G1414" s="67" t="s">
        <v>5683</v>
      </c>
      <c r="H1414" s="14" t="s">
        <v>5601</v>
      </c>
      <c r="I1414" s="14" t="s">
        <v>2458</v>
      </c>
      <c r="J1414" s="33" t="s">
        <v>7110</v>
      </c>
      <c r="K1414" s="33" t="s">
        <v>4307</v>
      </c>
      <c r="L1414" s="68" t="s">
        <v>6054</v>
      </c>
      <c r="M1414" s="68" t="s">
        <v>8915</v>
      </c>
      <c r="N1414" s="68" t="s">
        <v>6061</v>
      </c>
      <c r="O1414" s="202">
        <v>55301</v>
      </c>
      <c r="P1414" s="198" t="s">
        <v>5727</v>
      </c>
    </row>
    <row r="1415" spans="1:16" ht="18.75" hidden="1">
      <c r="A1415" s="50" t="s">
        <v>4332</v>
      </c>
      <c r="B1415" s="50" t="s">
        <v>4175</v>
      </c>
      <c r="C1415" s="50" t="s">
        <v>4293</v>
      </c>
      <c r="D1415" s="50" t="s">
        <v>3854</v>
      </c>
      <c r="E1415" s="12">
        <v>95</v>
      </c>
      <c r="F1415" s="49">
        <v>1160</v>
      </c>
      <c r="G1415" s="67" t="s">
        <v>5611</v>
      </c>
      <c r="H1415" s="14" t="s">
        <v>5601</v>
      </c>
      <c r="I1415" s="14" t="s">
        <v>2458</v>
      </c>
      <c r="J1415" s="33" t="s">
        <v>7110</v>
      </c>
      <c r="K1415" s="33" t="s">
        <v>4307</v>
      </c>
      <c r="L1415" s="68">
        <v>0</v>
      </c>
      <c r="M1415" s="68" t="s">
        <v>8915</v>
      </c>
      <c r="N1415" s="68">
        <v>0</v>
      </c>
      <c r="O1415" s="68">
        <v>0</v>
      </c>
      <c r="P1415" s="198" t="s">
        <v>5680</v>
      </c>
    </row>
    <row r="1416" spans="1:16" ht="18.75" hidden="1">
      <c r="A1416" s="50" t="s">
        <v>4332</v>
      </c>
      <c r="B1416" s="50" t="s">
        <v>4175</v>
      </c>
      <c r="C1416" s="50" t="s">
        <v>4302</v>
      </c>
      <c r="D1416" s="50" t="s">
        <v>4176</v>
      </c>
      <c r="E1416" s="12">
        <v>95</v>
      </c>
      <c r="F1416" s="49">
        <v>15900</v>
      </c>
      <c r="G1416" s="67" t="s">
        <v>5611</v>
      </c>
      <c r="H1416" s="14" t="s">
        <v>5601</v>
      </c>
      <c r="I1416" s="14" t="s">
        <v>2458</v>
      </c>
      <c r="J1416" s="33" t="s">
        <v>7110</v>
      </c>
      <c r="K1416" s="33" t="s">
        <v>4307</v>
      </c>
      <c r="L1416" s="68">
        <v>0</v>
      </c>
      <c r="M1416" s="68" t="s">
        <v>8915</v>
      </c>
      <c r="N1416" s="68">
        <v>0</v>
      </c>
      <c r="O1416" s="68">
        <v>0</v>
      </c>
      <c r="P1416" s="198" t="s">
        <v>5708</v>
      </c>
    </row>
    <row r="1417" spans="1:16" ht="18.75" hidden="1">
      <c r="A1417" s="50" t="s">
        <v>4318</v>
      </c>
      <c r="B1417" s="50" t="s">
        <v>4170</v>
      </c>
      <c r="C1417" s="50" t="s">
        <v>4276</v>
      </c>
      <c r="D1417" s="50" t="s">
        <v>4184</v>
      </c>
      <c r="E1417" s="12">
        <v>95</v>
      </c>
      <c r="F1417" s="49">
        <v>50930</v>
      </c>
      <c r="G1417" s="67" t="s">
        <v>5611</v>
      </c>
      <c r="H1417" s="14" t="s">
        <v>5601</v>
      </c>
      <c r="I1417" s="14" t="s">
        <v>2458</v>
      </c>
      <c r="J1417" s="33" t="s">
        <v>7110</v>
      </c>
      <c r="K1417" s="33" t="s">
        <v>4307</v>
      </c>
      <c r="L1417" s="68">
        <v>0</v>
      </c>
      <c r="M1417" s="68" t="s">
        <v>8915</v>
      </c>
      <c r="N1417" s="68">
        <v>0</v>
      </c>
      <c r="O1417" s="68">
        <v>0</v>
      </c>
      <c r="P1417" s="198" t="s">
        <v>5694</v>
      </c>
    </row>
    <row r="1418" spans="1:16" ht="18.75" hidden="1">
      <c r="A1418" s="50" t="s">
        <v>4320</v>
      </c>
      <c r="B1418" s="50" t="s">
        <v>4165</v>
      </c>
      <c r="C1418" s="50" t="s">
        <v>4345</v>
      </c>
      <c r="D1418" s="50" t="s">
        <v>4186</v>
      </c>
      <c r="E1418" s="12">
        <v>95</v>
      </c>
      <c r="F1418" s="49">
        <v>82710</v>
      </c>
      <c r="G1418" s="67" t="s">
        <v>5611</v>
      </c>
      <c r="H1418" s="14" t="s">
        <v>5601</v>
      </c>
      <c r="I1418" s="14" t="s">
        <v>2458</v>
      </c>
      <c r="J1418" s="33" t="s">
        <v>7110</v>
      </c>
      <c r="K1418" s="33" t="s">
        <v>4307</v>
      </c>
      <c r="L1418" s="68">
        <v>0</v>
      </c>
      <c r="M1418" s="68" t="s">
        <v>8915</v>
      </c>
      <c r="N1418" s="68">
        <v>0</v>
      </c>
      <c r="O1418" s="68">
        <v>0</v>
      </c>
      <c r="P1418" s="198" t="s">
        <v>5708</v>
      </c>
    </row>
    <row r="1419" spans="1:16" ht="18.75" hidden="1">
      <c r="A1419" s="50" t="s">
        <v>4334</v>
      </c>
      <c r="B1419" s="50" t="s">
        <v>4168</v>
      </c>
      <c r="C1419" s="50" t="s">
        <v>4358</v>
      </c>
      <c r="D1419" s="50" t="s">
        <v>3935</v>
      </c>
      <c r="E1419" s="12">
        <v>95</v>
      </c>
      <c r="F1419" s="49">
        <v>96060</v>
      </c>
      <c r="G1419" s="67" t="s">
        <v>5631</v>
      </c>
      <c r="H1419" s="14" t="s">
        <v>5601</v>
      </c>
      <c r="I1419" s="14" t="s">
        <v>2458</v>
      </c>
      <c r="J1419" s="33" t="s">
        <v>7110</v>
      </c>
      <c r="K1419" s="33" t="s">
        <v>4307</v>
      </c>
      <c r="L1419" s="68">
        <v>0</v>
      </c>
      <c r="M1419" s="68" t="s">
        <v>8915</v>
      </c>
      <c r="N1419" s="68">
        <v>0</v>
      </c>
      <c r="O1419" s="68">
        <v>0</v>
      </c>
      <c r="P1419" s="197" t="s">
        <v>5686</v>
      </c>
    </row>
    <row r="1420" spans="1:16" ht="18.75" hidden="1">
      <c r="A1420" s="50" t="s">
        <v>4334</v>
      </c>
      <c r="B1420" s="50" t="s">
        <v>4168</v>
      </c>
      <c r="C1420" s="50" t="s">
        <v>4356</v>
      </c>
      <c r="D1420" s="50" t="s">
        <v>4184</v>
      </c>
      <c r="E1420" s="12">
        <v>95</v>
      </c>
      <c r="F1420" s="49">
        <v>61020</v>
      </c>
      <c r="G1420" s="67" t="s">
        <v>5631</v>
      </c>
      <c r="H1420" s="14" t="s">
        <v>5601</v>
      </c>
      <c r="I1420" s="14" t="s">
        <v>2458</v>
      </c>
      <c r="J1420" s="33" t="s">
        <v>7110</v>
      </c>
      <c r="K1420" s="33" t="s">
        <v>4307</v>
      </c>
      <c r="L1420" s="68">
        <v>0</v>
      </c>
      <c r="M1420" s="68" t="s">
        <v>8915</v>
      </c>
      <c r="N1420" s="68">
        <v>0</v>
      </c>
      <c r="O1420" s="68">
        <v>0</v>
      </c>
      <c r="P1420" s="197" t="s">
        <v>5698</v>
      </c>
    </row>
    <row r="1421" spans="1:16" ht="18.75" hidden="1">
      <c r="A1421" s="50" t="s">
        <v>4335</v>
      </c>
      <c r="B1421" s="50" t="s">
        <v>4175</v>
      </c>
      <c r="C1421" s="50" t="s">
        <v>4347</v>
      </c>
      <c r="D1421" s="50" t="s">
        <v>4183</v>
      </c>
      <c r="E1421" s="12">
        <v>95</v>
      </c>
      <c r="F1421" s="49">
        <v>51220</v>
      </c>
      <c r="G1421" s="67" t="s">
        <v>5611</v>
      </c>
      <c r="H1421" s="14" t="s">
        <v>5601</v>
      </c>
      <c r="I1421" s="14" t="s">
        <v>2458</v>
      </c>
      <c r="J1421" s="33" t="s">
        <v>7110</v>
      </c>
      <c r="K1421" s="33" t="s">
        <v>4307</v>
      </c>
      <c r="L1421" s="68">
        <v>0</v>
      </c>
      <c r="M1421" s="68" t="s">
        <v>8915</v>
      </c>
      <c r="N1421" s="68">
        <v>0</v>
      </c>
      <c r="O1421" s="68">
        <v>0</v>
      </c>
      <c r="P1421" s="198" t="s">
        <v>5708</v>
      </c>
    </row>
    <row r="1422" spans="1:16" ht="18.75" hidden="1">
      <c r="A1422" s="50" t="s">
        <v>4336</v>
      </c>
      <c r="B1422" s="50" t="s">
        <v>4174</v>
      </c>
      <c r="C1422" s="50" t="s">
        <v>4357</v>
      </c>
      <c r="D1422" s="50" t="s">
        <v>4184</v>
      </c>
      <c r="E1422" s="12">
        <v>95</v>
      </c>
      <c r="F1422" s="49">
        <v>96240</v>
      </c>
      <c r="G1422" s="67" t="s">
        <v>5631</v>
      </c>
      <c r="H1422" s="14" t="s">
        <v>5601</v>
      </c>
      <c r="I1422" s="14" t="s">
        <v>2458</v>
      </c>
      <c r="J1422" s="33" t="s">
        <v>7110</v>
      </c>
      <c r="K1422" s="33" t="s">
        <v>4307</v>
      </c>
      <c r="L1422" s="68">
        <v>0</v>
      </c>
      <c r="M1422" s="68" t="s">
        <v>8915</v>
      </c>
      <c r="N1422" s="68">
        <v>0</v>
      </c>
      <c r="O1422" s="68">
        <v>0</v>
      </c>
      <c r="P1422" s="197" t="s">
        <v>5698</v>
      </c>
    </row>
    <row r="1423" spans="1:16" ht="18.75" hidden="1">
      <c r="A1423" s="50" t="s">
        <v>4334</v>
      </c>
      <c r="B1423" s="50" t="s">
        <v>4168</v>
      </c>
      <c r="C1423" s="50" t="s">
        <v>4359</v>
      </c>
      <c r="D1423" s="50" t="s">
        <v>4184</v>
      </c>
      <c r="E1423" s="12">
        <v>95</v>
      </c>
      <c r="F1423" s="49">
        <v>96900</v>
      </c>
      <c r="G1423" s="67" t="s">
        <v>5631</v>
      </c>
      <c r="H1423" s="14" t="s">
        <v>5601</v>
      </c>
      <c r="I1423" s="14" t="s">
        <v>2458</v>
      </c>
      <c r="J1423" s="33" t="s">
        <v>7110</v>
      </c>
      <c r="K1423" s="33" t="s">
        <v>4307</v>
      </c>
      <c r="L1423" s="68">
        <v>0</v>
      </c>
      <c r="M1423" s="68" t="s">
        <v>8915</v>
      </c>
      <c r="N1423" s="68">
        <v>0</v>
      </c>
      <c r="O1423" s="68">
        <v>0</v>
      </c>
      <c r="P1423" s="197" t="s">
        <v>5698</v>
      </c>
    </row>
    <row r="1424" spans="1:16" ht="18.75" hidden="1">
      <c r="A1424" s="50" t="s">
        <v>4337</v>
      </c>
      <c r="B1424" s="50" t="s">
        <v>4172</v>
      </c>
      <c r="C1424" s="50" t="s">
        <v>4352</v>
      </c>
      <c r="D1424" s="50" t="s">
        <v>4177</v>
      </c>
      <c r="E1424" s="12">
        <v>95</v>
      </c>
      <c r="F1424" s="49">
        <v>24800</v>
      </c>
      <c r="G1424" s="67" t="s">
        <v>5683</v>
      </c>
      <c r="H1424" s="14" t="s">
        <v>5601</v>
      </c>
      <c r="I1424" s="14" t="s">
        <v>2458</v>
      </c>
      <c r="J1424" s="33" t="s">
        <v>7110</v>
      </c>
      <c r="K1424" s="33" t="s">
        <v>4307</v>
      </c>
      <c r="L1424" s="68" t="s">
        <v>6054</v>
      </c>
      <c r="M1424" s="68" t="s">
        <v>8915</v>
      </c>
      <c r="N1424" s="68" t="s">
        <v>6061</v>
      </c>
      <c r="O1424" s="202">
        <v>55301</v>
      </c>
      <c r="P1424" s="198" t="s">
        <v>5727</v>
      </c>
    </row>
    <row r="1425" spans="1:16" ht="18.75" hidden="1">
      <c r="A1425" s="50" t="s">
        <v>4338</v>
      </c>
      <c r="B1425" s="50" t="s">
        <v>4173</v>
      </c>
      <c r="C1425" s="50" t="s">
        <v>4347</v>
      </c>
      <c r="D1425" s="50" t="s">
        <v>4183</v>
      </c>
      <c r="E1425" s="12">
        <v>95</v>
      </c>
      <c r="F1425" s="49">
        <v>49280</v>
      </c>
      <c r="G1425" s="67" t="s">
        <v>5611</v>
      </c>
      <c r="H1425" s="14" t="s">
        <v>5601</v>
      </c>
      <c r="I1425" s="14" t="s">
        <v>2458</v>
      </c>
      <c r="J1425" s="33" t="s">
        <v>7110</v>
      </c>
      <c r="K1425" s="33" t="s">
        <v>4307</v>
      </c>
      <c r="L1425" s="68">
        <v>0</v>
      </c>
      <c r="M1425" s="68" t="s">
        <v>8915</v>
      </c>
      <c r="N1425" s="68">
        <v>0</v>
      </c>
      <c r="O1425" s="68">
        <v>0</v>
      </c>
      <c r="P1425" s="198" t="s">
        <v>5708</v>
      </c>
    </row>
    <row r="1426" spans="1:16" ht="18.75" hidden="1">
      <c r="A1426" s="50" t="s">
        <v>4339</v>
      </c>
      <c r="B1426" s="50" t="s">
        <v>4168</v>
      </c>
      <c r="C1426" s="50" t="s">
        <v>4347</v>
      </c>
      <c r="D1426" s="50" t="s">
        <v>4183</v>
      </c>
      <c r="E1426" s="12">
        <v>95</v>
      </c>
      <c r="F1426" s="49">
        <v>72060</v>
      </c>
      <c r="G1426" s="67" t="s">
        <v>5611</v>
      </c>
      <c r="H1426" s="14" t="s">
        <v>5601</v>
      </c>
      <c r="I1426" s="14" t="s">
        <v>2458</v>
      </c>
      <c r="J1426" s="33" t="s">
        <v>7110</v>
      </c>
      <c r="K1426" s="33" t="s">
        <v>4307</v>
      </c>
      <c r="L1426" s="68">
        <v>0</v>
      </c>
      <c r="M1426" s="68" t="s">
        <v>8915</v>
      </c>
      <c r="N1426" s="68">
        <v>0</v>
      </c>
      <c r="O1426" s="68">
        <v>0</v>
      </c>
      <c r="P1426" s="198" t="s">
        <v>5708</v>
      </c>
    </row>
    <row r="1427" spans="1:16" ht="18.75" hidden="1">
      <c r="A1427" s="50" t="s">
        <v>4340</v>
      </c>
      <c r="B1427" s="50" t="s">
        <v>4169</v>
      </c>
      <c r="C1427" s="50" t="s">
        <v>4357</v>
      </c>
      <c r="D1427" s="50" t="s">
        <v>4184</v>
      </c>
      <c r="E1427" s="12">
        <v>95</v>
      </c>
      <c r="F1427" s="49">
        <v>140160</v>
      </c>
      <c r="G1427" s="67" t="s">
        <v>5631</v>
      </c>
      <c r="H1427" s="14" t="s">
        <v>5601</v>
      </c>
      <c r="I1427" s="14" t="s">
        <v>2458</v>
      </c>
      <c r="J1427" s="33" t="s">
        <v>7110</v>
      </c>
      <c r="K1427" s="33" t="s">
        <v>4307</v>
      </c>
      <c r="L1427" s="68">
        <v>0</v>
      </c>
      <c r="M1427" s="68" t="s">
        <v>8915</v>
      </c>
      <c r="N1427" s="68">
        <v>0</v>
      </c>
      <c r="O1427" s="68">
        <v>0</v>
      </c>
      <c r="P1427" s="197" t="s">
        <v>5698</v>
      </c>
    </row>
    <row r="1428" spans="1:16" ht="18.75" hidden="1">
      <c r="A1428" s="50" t="s">
        <v>4341</v>
      </c>
      <c r="B1428" s="50" t="s">
        <v>4343</v>
      </c>
      <c r="C1428" s="50" t="s">
        <v>4287</v>
      </c>
      <c r="D1428" s="50" t="s">
        <v>3854</v>
      </c>
      <c r="E1428" s="12">
        <v>95</v>
      </c>
      <c r="F1428" s="49">
        <v>7680</v>
      </c>
      <c r="G1428" s="67" t="s">
        <v>5647</v>
      </c>
      <c r="H1428" s="14" t="s">
        <v>5601</v>
      </c>
      <c r="I1428" s="14" t="s">
        <v>2458</v>
      </c>
      <c r="J1428" s="33" t="s">
        <v>7110</v>
      </c>
      <c r="K1428" s="33" t="s">
        <v>4307</v>
      </c>
      <c r="L1428" s="68">
        <v>0</v>
      </c>
      <c r="M1428" s="68" t="s">
        <v>8915</v>
      </c>
      <c r="N1428" s="68">
        <v>0</v>
      </c>
      <c r="O1428" s="68">
        <v>0</v>
      </c>
      <c r="P1428" s="198" t="s">
        <v>5687</v>
      </c>
    </row>
    <row r="1429" spans="1:16" ht="18.75" hidden="1">
      <c r="A1429" s="50" t="s">
        <v>4341</v>
      </c>
      <c r="B1429" s="50" t="s">
        <v>4343</v>
      </c>
      <c r="C1429" s="50" t="s">
        <v>4279</v>
      </c>
      <c r="D1429" s="50" t="s">
        <v>3932</v>
      </c>
      <c r="E1429" s="12">
        <v>95</v>
      </c>
      <c r="F1429" s="49">
        <v>3820</v>
      </c>
      <c r="G1429" s="67" t="s">
        <v>5647</v>
      </c>
      <c r="H1429" s="14" t="s">
        <v>5601</v>
      </c>
      <c r="I1429" s="14" t="s">
        <v>2458</v>
      </c>
      <c r="J1429" s="33" t="s">
        <v>7110</v>
      </c>
      <c r="K1429" s="33" t="s">
        <v>4307</v>
      </c>
      <c r="L1429" s="68">
        <v>0</v>
      </c>
      <c r="M1429" s="68" t="s">
        <v>8915</v>
      </c>
      <c r="N1429" s="68">
        <v>0</v>
      </c>
      <c r="O1429" s="68">
        <v>0</v>
      </c>
      <c r="P1429" s="198" t="s">
        <v>5693</v>
      </c>
    </row>
    <row r="1430" spans="1:16" ht="18.75" hidden="1">
      <c r="A1430" s="50" t="s">
        <v>4341</v>
      </c>
      <c r="B1430" s="50" t="s">
        <v>4343</v>
      </c>
      <c r="C1430" s="50" t="s">
        <v>4360</v>
      </c>
      <c r="D1430" s="50" t="s">
        <v>4171</v>
      </c>
      <c r="E1430" s="12">
        <v>95</v>
      </c>
      <c r="F1430" s="49">
        <v>129040</v>
      </c>
      <c r="G1430" s="67" t="s">
        <v>5647</v>
      </c>
      <c r="H1430" s="14" t="s">
        <v>5601</v>
      </c>
      <c r="I1430" s="14" t="s">
        <v>2458</v>
      </c>
      <c r="J1430" s="33" t="s">
        <v>7110</v>
      </c>
      <c r="K1430" s="33" t="s">
        <v>4307</v>
      </c>
      <c r="L1430" s="68">
        <v>0</v>
      </c>
      <c r="M1430" s="68" t="s">
        <v>8915</v>
      </c>
      <c r="N1430" s="68">
        <v>0</v>
      </c>
      <c r="O1430" s="68">
        <v>0</v>
      </c>
      <c r="P1430" s="198" t="s">
        <v>5728</v>
      </c>
    </row>
    <row r="1431" spans="1:16" ht="18.75" hidden="1">
      <c r="A1431" s="50" t="s">
        <v>4362</v>
      </c>
      <c r="B1431" s="50" t="s">
        <v>4307</v>
      </c>
      <c r="C1431" s="50" t="s">
        <v>4447</v>
      </c>
      <c r="D1431" s="50" t="s">
        <v>4443</v>
      </c>
      <c r="E1431" s="12">
        <v>95</v>
      </c>
      <c r="F1431" s="49">
        <v>161221</v>
      </c>
      <c r="G1431" s="67" t="s">
        <v>5633</v>
      </c>
      <c r="H1431" s="14" t="s">
        <v>5601</v>
      </c>
      <c r="I1431" s="14" t="s">
        <v>2458</v>
      </c>
      <c r="J1431" s="33" t="s">
        <v>7110</v>
      </c>
      <c r="K1431" s="33" t="s">
        <v>4500</v>
      </c>
      <c r="L1431" s="68">
        <v>0</v>
      </c>
      <c r="M1431" s="68" t="s">
        <v>8915</v>
      </c>
      <c r="N1431" s="68">
        <v>0</v>
      </c>
      <c r="O1431" s="68">
        <v>0</v>
      </c>
      <c r="P1431" s="198" t="s">
        <v>5736</v>
      </c>
    </row>
    <row r="1432" spans="1:16" ht="18.75" hidden="1">
      <c r="A1432" s="50" t="s">
        <v>4363</v>
      </c>
      <c r="B1432" s="50" t="s">
        <v>4436</v>
      </c>
      <c r="C1432" s="50" t="s">
        <v>4448</v>
      </c>
      <c r="D1432" s="50" t="s">
        <v>4440</v>
      </c>
      <c r="E1432" s="12">
        <v>95</v>
      </c>
      <c r="F1432" s="49">
        <v>163700</v>
      </c>
      <c r="G1432" s="67" t="s">
        <v>5611</v>
      </c>
      <c r="H1432" s="14" t="s">
        <v>5601</v>
      </c>
      <c r="I1432" s="14" t="s">
        <v>2458</v>
      </c>
      <c r="J1432" s="33" t="s">
        <v>7110</v>
      </c>
      <c r="K1432" s="33" t="s">
        <v>4500</v>
      </c>
      <c r="L1432" s="68">
        <v>0</v>
      </c>
      <c r="M1432" s="68" t="s">
        <v>8915</v>
      </c>
      <c r="N1432" s="68">
        <v>0</v>
      </c>
      <c r="O1432" s="68">
        <v>0</v>
      </c>
      <c r="P1432" s="198" t="s">
        <v>5726</v>
      </c>
    </row>
    <row r="1433" spans="1:16" ht="18.75" hidden="1">
      <c r="A1433" s="50" t="s">
        <v>4364</v>
      </c>
      <c r="B1433" s="50" t="s">
        <v>4437</v>
      </c>
      <c r="C1433" s="50" t="s">
        <v>3843</v>
      </c>
      <c r="D1433" s="50" t="s">
        <v>3723</v>
      </c>
      <c r="E1433" s="12">
        <v>95</v>
      </c>
      <c r="F1433" s="49">
        <v>1840</v>
      </c>
      <c r="G1433" s="67" t="s">
        <v>5611</v>
      </c>
      <c r="H1433" s="14" t="s">
        <v>5601</v>
      </c>
      <c r="I1433" s="14" t="s">
        <v>2458</v>
      </c>
      <c r="J1433" s="33" t="s">
        <v>7110</v>
      </c>
      <c r="K1433" s="33" t="s">
        <v>4500</v>
      </c>
      <c r="L1433" s="68">
        <v>0</v>
      </c>
      <c r="M1433" s="68" t="s">
        <v>8915</v>
      </c>
      <c r="N1433" s="68">
        <v>0</v>
      </c>
      <c r="O1433" s="68">
        <v>0</v>
      </c>
      <c r="P1433" s="198" t="s">
        <v>5659</v>
      </c>
    </row>
    <row r="1434" spans="1:16" ht="18.75" hidden="1">
      <c r="A1434" s="50" t="s">
        <v>4364</v>
      </c>
      <c r="B1434" s="50" t="s">
        <v>4437</v>
      </c>
      <c r="C1434" s="50" t="s">
        <v>4289</v>
      </c>
      <c r="D1434" s="50" t="s">
        <v>3825</v>
      </c>
      <c r="E1434" s="12">
        <v>95</v>
      </c>
      <c r="F1434" s="49">
        <v>165460</v>
      </c>
      <c r="G1434" s="67" t="s">
        <v>5611</v>
      </c>
      <c r="H1434" s="14" t="s">
        <v>5601</v>
      </c>
      <c r="I1434" s="14" t="s">
        <v>2458</v>
      </c>
      <c r="J1434" s="33" t="s">
        <v>7110</v>
      </c>
      <c r="K1434" s="33" t="s">
        <v>4500</v>
      </c>
      <c r="L1434" s="68">
        <v>0</v>
      </c>
      <c r="M1434" s="68" t="s">
        <v>8915</v>
      </c>
      <c r="N1434" s="68">
        <v>0</v>
      </c>
      <c r="O1434" s="68">
        <v>0</v>
      </c>
      <c r="P1434" s="198" t="s">
        <v>5680</v>
      </c>
    </row>
    <row r="1435" spans="1:16" ht="18.75" hidden="1">
      <c r="A1435" s="50" t="s">
        <v>4364</v>
      </c>
      <c r="B1435" s="50" t="s">
        <v>4437</v>
      </c>
      <c r="C1435" s="50" t="s">
        <v>4350</v>
      </c>
      <c r="D1435" s="50" t="s">
        <v>4180</v>
      </c>
      <c r="E1435" s="12">
        <v>95</v>
      </c>
      <c r="F1435" s="49">
        <v>20700</v>
      </c>
      <c r="G1435" s="67" t="s">
        <v>5611</v>
      </c>
      <c r="H1435" s="14" t="s">
        <v>5601</v>
      </c>
      <c r="I1435" s="14" t="s">
        <v>2458</v>
      </c>
      <c r="J1435" s="33" t="s">
        <v>7110</v>
      </c>
      <c r="K1435" s="33" t="s">
        <v>4500</v>
      </c>
      <c r="L1435" s="68">
        <v>0</v>
      </c>
      <c r="M1435" s="68" t="s">
        <v>8915</v>
      </c>
      <c r="N1435" s="68">
        <v>0</v>
      </c>
      <c r="O1435" s="68">
        <v>0</v>
      </c>
      <c r="P1435" s="198" t="s">
        <v>5708</v>
      </c>
    </row>
    <row r="1436" spans="1:16" ht="18.75" hidden="1">
      <c r="A1436" s="50" t="s">
        <v>4365</v>
      </c>
      <c r="B1436" s="50" t="s">
        <v>4438</v>
      </c>
      <c r="C1436" s="50" t="s">
        <v>4447</v>
      </c>
      <c r="D1436" s="50" t="s">
        <v>4443</v>
      </c>
      <c r="E1436" s="12">
        <v>95</v>
      </c>
      <c r="F1436" s="49">
        <v>231040</v>
      </c>
      <c r="G1436" s="67" t="s">
        <v>5633</v>
      </c>
      <c r="H1436" s="14" t="s">
        <v>5601</v>
      </c>
      <c r="I1436" s="14" t="s">
        <v>2458</v>
      </c>
      <c r="J1436" s="33" t="s">
        <v>7110</v>
      </c>
      <c r="K1436" s="33" t="s">
        <v>4500</v>
      </c>
      <c r="L1436" s="68">
        <v>0</v>
      </c>
      <c r="M1436" s="68" t="s">
        <v>8915</v>
      </c>
      <c r="N1436" s="68">
        <v>0</v>
      </c>
      <c r="O1436" s="68">
        <v>0</v>
      </c>
      <c r="P1436" s="198" t="s">
        <v>5736</v>
      </c>
    </row>
    <row r="1437" spans="1:16" ht="18.75" hidden="1">
      <c r="A1437" s="50" t="s">
        <v>4366</v>
      </c>
      <c r="B1437" s="50" t="s">
        <v>4437</v>
      </c>
      <c r="C1437" s="50" t="s">
        <v>4447</v>
      </c>
      <c r="D1437" s="50" t="s">
        <v>4443</v>
      </c>
      <c r="E1437" s="12">
        <v>95</v>
      </c>
      <c r="F1437" s="49">
        <v>46532</v>
      </c>
      <c r="G1437" s="67" t="s">
        <v>5633</v>
      </c>
      <c r="H1437" s="14" t="s">
        <v>5601</v>
      </c>
      <c r="I1437" s="14" t="s">
        <v>2458</v>
      </c>
      <c r="J1437" s="33" t="s">
        <v>7110</v>
      </c>
      <c r="K1437" s="33" t="s">
        <v>4500</v>
      </c>
      <c r="L1437" s="68">
        <v>0</v>
      </c>
      <c r="M1437" s="68" t="s">
        <v>8915</v>
      </c>
      <c r="N1437" s="68">
        <v>0</v>
      </c>
      <c r="O1437" s="68">
        <v>0</v>
      </c>
      <c r="P1437" s="198" t="s">
        <v>5736</v>
      </c>
    </row>
    <row r="1438" spans="1:16" ht="18.75" hidden="1">
      <c r="A1438" s="50" t="s">
        <v>4367</v>
      </c>
      <c r="B1438" s="50" t="s">
        <v>4439</v>
      </c>
      <c r="C1438" s="50" t="s">
        <v>4449</v>
      </c>
      <c r="D1438" s="50" t="s">
        <v>3933</v>
      </c>
      <c r="E1438" s="12">
        <v>95</v>
      </c>
      <c r="F1438" s="49">
        <v>99780</v>
      </c>
      <c r="G1438" s="67" t="s">
        <v>5631</v>
      </c>
      <c r="H1438" s="14" t="s">
        <v>5601</v>
      </c>
      <c r="I1438" s="14" t="s">
        <v>2458</v>
      </c>
      <c r="J1438" s="33" t="s">
        <v>7110</v>
      </c>
      <c r="K1438" s="33" t="s">
        <v>4500</v>
      </c>
      <c r="L1438" s="68">
        <v>0</v>
      </c>
      <c r="M1438" s="68" t="s">
        <v>8915</v>
      </c>
      <c r="N1438" s="68">
        <v>0</v>
      </c>
      <c r="O1438" s="68">
        <v>0</v>
      </c>
      <c r="P1438" s="197" t="s">
        <v>5698</v>
      </c>
    </row>
    <row r="1439" spans="1:16" ht="18.75" hidden="1">
      <c r="A1439" s="50" t="s">
        <v>4368</v>
      </c>
      <c r="B1439" s="50" t="s">
        <v>4440</v>
      </c>
      <c r="C1439" s="50" t="s">
        <v>4450</v>
      </c>
      <c r="D1439" s="50" t="s">
        <v>4180</v>
      </c>
      <c r="E1439" s="12">
        <v>95</v>
      </c>
      <c r="F1439" s="49">
        <v>202180</v>
      </c>
      <c r="G1439" s="67" t="s">
        <v>5611</v>
      </c>
      <c r="H1439" s="14" t="s">
        <v>5601</v>
      </c>
      <c r="I1439" s="14" t="s">
        <v>2458</v>
      </c>
      <c r="J1439" s="33" t="s">
        <v>7110</v>
      </c>
      <c r="K1439" s="33" t="s">
        <v>4500</v>
      </c>
      <c r="L1439" s="68">
        <v>0</v>
      </c>
      <c r="M1439" s="68" t="s">
        <v>8915</v>
      </c>
      <c r="N1439" s="68">
        <v>0</v>
      </c>
      <c r="O1439" s="68">
        <v>0</v>
      </c>
      <c r="P1439" s="198" t="s">
        <v>5708</v>
      </c>
    </row>
    <row r="1440" spans="1:16" ht="18.75" hidden="1">
      <c r="A1440" s="50" t="s">
        <v>4368</v>
      </c>
      <c r="B1440" s="50" t="s">
        <v>4440</v>
      </c>
      <c r="C1440" s="50" t="s">
        <v>4449</v>
      </c>
      <c r="D1440" s="50" t="s">
        <v>3933</v>
      </c>
      <c r="E1440" s="12">
        <v>95</v>
      </c>
      <c r="F1440" s="49">
        <v>92920</v>
      </c>
      <c r="G1440" s="67" t="s">
        <v>5631</v>
      </c>
      <c r="H1440" s="14" t="s">
        <v>5601</v>
      </c>
      <c r="I1440" s="14" t="s">
        <v>2458</v>
      </c>
      <c r="J1440" s="33" t="s">
        <v>7110</v>
      </c>
      <c r="K1440" s="33" t="s">
        <v>4500</v>
      </c>
      <c r="L1440" s="68">
        <v>0</v>
      </c>
      <c r="M1440" s="68" t="s">
        <v>8915</v>
      </c>
      <c r="N1440" s="68">
        <v>0</v>
      </c>
      <c r="O1440" s="68">
        <v>0</v>
      </c>
      <c r="P1440" s="197" t="s">
        <v>5698</v>
      </c>
    </row>
    <row r="1441" spans="1:16" ht="18.75" hidden="1">
      <c r="A1441" s="50" t="s">
        <v>4364</v>
      </c>
      <c r="B1441" s="50" t="s">
        <v>4437</v>
      </c>
      <c r="C1441" s="50" t="s">
        <v>4291</v>
      </c>
      <c r="D1441" s="50" t="s">
        <v>3902</v>
      </c>
      <c r="E1441" s="12">
        <v>95</v>
      </c>
      <c r="F1441" s="49">
        <v>4980</v>
      </c>
      <c r="G1441" s="67" t="s">
        <v>5611</v>
      </c>
      <c r="H1441" s="14" t="s">
        <v>5601</v>
      </c>
      <c r="I1441" s="14" t="s">
        <v>2458</v>
      </c>
      <c r="J1441" s="33" t="s">
        <v>7110</v>
      </c>
      <c r="K1441" s="33" t="s">
        <v>4500</v>
      </c>
      <c r="L1441" s="68">
        <v>0</v>
      </c>
      <c r="M1441" s="68" t="s">
        <v>8915</v>
      </c>
      <c r="N1441" s="68">
        <v>0</v>
      </c>
      <c r="O1441" s="68">
        <v>0</v>
      </c>
      <c r="P1441" s="198" t="s">
        <v>5680</v>
      </c>
    </row>
    <row r="1442" spans="1:16" ht="18.75" hidden="1">
      <c r="A1442" s="50" t="s">
        <v>4364</v>
      </c>
      <c r="B1442" s="50" t="s">
        <v>4437</v>
      </c>
      <c r="C1442" s="50" t="s">
        <v>4290</v>
      </c>
      <c r="D1442" s="50" t="s">
        <v>3936</v>
      </c>
      <c r="E1442" s="12">
        <v>95</v>
      </c>
      <c r="F1442" s="49">
        <v>5560</v>
      </c>
      <c r="G1442" s="67" t="s">
        <v>5611</v>
      </c>
      <c r="H1442" s="14" t="s">
        <v>5601</v>
      </c>
      <c r="I1442" s="14" t="s">
        <v>2458</v>
      </c>
      <c r="J1442" s="33" t="s">
        <v>7110</v>
      </c>
      <c r="K1442" s="33" t="s">
        <v>4500</v>
      </c>
      <c r="L1442" s="68">
        <v>0</v>
      </c>
      <c r="M1442" s="68" t="s">
        <v>8915</v>
      </c>
      <c r="N1442" s="68">
        <v>0</v>
      </c>
      <c r="O1442" s="68">
        <v>0</v>
      </c>
      <c r="P1442" s="198" t="s">
        <v>5680</v>
      </c>
    </row>
    <row r="1443" spans="1:16" ht="18.75" hidden="1">
      <c r="A1443" s="50" t="s">
        <v>4364</v>
      </c>
      <c r="B1443" s="50" t="s">
        <v>4437</v>
      </c>
      <c r="C1443" s="50" t="s">
        <v>4451</v>
      </c>
      <c r="D1443" s="50" t="s">
        <v>4186</v>
      </c>
      <c r="E1443" s="12">
        <v>95</v>
      </c>
      <c r="F1443" s="49">
        <v>40660</v>
      </c>
      <c r="G1443" s="67" t="s">
        <v>5611</v>
      </c>
      <c r="H1443" s="14" t="s">
        <v>5601</v>
      </c>
      <c r="I1443" s="14" t="s">
        <v>2458</v>
      </c>
      <c r="J1443" s="33" t="s">
        <v>7110</v>
      </c>
      <c r="K1443" s="33" t="s">
        <v>4500</v>
      </c>
      <c r="L1443" s="68">
        <v>0</v>
      </c>
      <c r="M1443" s="68" t="s">
        <v>8915</v>
      </c>
      <c r="N1443" s="68">
        <v>0</v>
      </c>
      <c r="O1443" s="68">
        <v>0</v>
      </c>
      <c r="P1443" s="198" t="s">
        <v>5708</v>
      </c>
    </row>
    <row r="1444" spans="1:16" ht="18.75" hidden="1">
      <c r="A1444" s="50" t="s">
        <v>4369</v>
      </c>
      <c r="B1444" s="50" t="s">
        <v>4440</v>
      </c>
      <c r="C1444" s="50" t="s">
        <v>4450</v>
      </c>
      <c r="D1444" s="50" t="s">
        <v>4180</v>
      </c>
      <c r="E1444" s="12">
        <v>95</v>
      </c>
      <c r="F1444" s="49">
        <v>70610</v>
      </c>
      <c r="G1444" s="67" t="s">
        <v>5611</v>
      </c>
      <c r="H1444" s="14" t="s">
        <v>5601</v>
      </c>
      <c r="I1444" s="14" t="s">
        <v>2458</v>
      </c>
      <c r="J1444" s="33" t="s">
        <v>7110</v>
      </c>
      <c r="K1444" s="33" t="s">
        <v>4500</v>
      </c>
      <c r="L1444" s="68">
        <v>0</v>
      </c>
      <c r="M1444" s="68" t="s">
        <v>8915</v>
      </c>
      <c r="N1444" s="68">
        <v>0</v>
      </c>
      <c r="O1444" s="68">
        <v>0</v>
      </c>
      <c r="P1444" s="198" t="s">
        <v>5708</v>
      </c>
    </row>
    <row r="1445" spans="1:16" ht="18.75" hidden="1">
      <c r="A1445" s="50" t="s">
        <v>4370</v>
      </c>
      <c r="B1445" s="50" t="s">
        <v>4440</v>
      </c>
      <c r="C1445" s="50" t="s">
        <v>4450</v>
      </c>
      <c r="D1445" s="50" t="s">
        <v>4180</v>
      </c>
      <c r="E1445" s="12">
        <v>95</v>
      </c>
      <c r="F1445" s="49">
        <v>49720</v>
      </c>
      <c r="G1445" s="67" t="s">
        <v>5611</v>
      </c>
      <c r="H1445" s="14" t="s">
        <v>5601</v>
      </c>
      <c r="I1445" s="14" t="s">
        <v>2458</v>
      </c>
      <c r="J1445" s="33" t="s">
        <v>7110</v>
      </c>
      <c r="K1445" s="33" t="s">
        <v>4500</v>
      </c>
      <c r="L1445" s="68">
        <v>0</v>
      </c>
      <c r="M1445" s="68" t="s">
        <v>8915</v>
      </c>
      <c r="N1445" s="68">
        <v>0</v>
      </c>
      <c r="O1445" s="68">
        <v>0</v>
      </c>
      <c r="P1445" s="198" t="s">
        <v>5708</v>
      </c>
    </row>
    <row r="1446" spans="1:16" ht="18.75" hidden="1">
      <c r="A1446" s="50" t="s">
        <v>4371</v>
      </c>
      <c r="B1446" s="50" t="s">
        <v>4440</v>
      </c>
      <c r="C1446" s="50" t="s">
        <v>4447</v>
      </c>
      <c r="D1446" s="50" t="s">
        <v>4443</v>
      </c>
      <c r="E1446" s="12">
        <v>95</v>
      </c>
      <c r="F1446" s="49">
        <v>235621</v>
      </c>
      <c r="G1446" s="67" t="s">
        <v>5633</v>
      </c>
      <c r="H1446" s="14" t="s">
        <v>5601</v>
      </c>
      <c r="I1446" s="14" t="s">
        <v>2458</v>
      </c>
      <c r="J1446" s="33" t="s">
        <v>7110</v>
      </c>
      <c r="K1446" s="33" t="s">
        <v>4500</v>
      </c>
      <c r="L1446" s="68">
        <v>0</v>
      </c>
      <c r="M1446" s="68" t="s">
        <v>8915</v>
      </c>
      <c r="N1446" s="68">
        <v>0</v>
      </c>
      <c r="O1446" s="68">
        <v>0</v>
      </c>
      <c r="P1446" s="198" t="s">
        <v>5736</v>
      </c>
    </row>
    <row r="1447" spans="1:16" ht="18.75" hidden="1">
      <c r="A1447" s="50" t="s">
        <v>4372</v>
      </c>
      <c r="B1447" s="50" t="s">
        <v>3967</v>
      </c>
      <c r="C1447" s="50" t="s">
        <v>4278</v>
      </c>
      <c r="D1447" s="50" t="s">
        <v>3937</v>
      </c>
      <c r="E1447" s="12">
        <v>95</v>
      </c>
      <c r="F1447" s="49">
        <v>45867</v>
      </c>
      <c r="G1447" s="67" t="s">
        <v>5633</v>
      </c>
      <c r="H1447" s="14" t="s">
        <v>5601</v>
      </c>
      <c r="I1447" s="14" t="s">
        <v>2458</v>
      </c>
      <c r="J1447" s="33" t="s">
        <v>7110</v>
      </c>
      <c r="K1447" s="33" t="s">
        <v>4500</v>
      </c>
      <c r="L1447" s="68">
        <v>0</v>
      </c>
      <c r="M1447" s="68" t="s">
        <v>8915</v>
      </c>
      <c r="N1447" s="68">
        <v>0</v>
      </c>
      <c r="O1447" s="68">
        <v>0</v>
      </c>
      <c r="P1447" s="198" t="s">
        <v>5706</v>
      </c>
    </row>
    <row r="1448" spans="1:16" ht="18.75" hidden="1">
      <c r="A1448" s="50" t="s">
        <v>4373</v>
      </c>
      <c r="B1448" s="50" t="s">
        <v>4441</v>
      </c>
      <c r="C1448" s="50" t="s">
        <v>4278</v>
      </c>
      <c r="D1448" s="50" t="s">
        <v>3937</v>
      </c>
      <c r="E1448" s="12">
        <v>95</v>
      </c>
      <c r="F1448" s="49">
        <v>69848</v>
      </c>
      <c r="G1448" s="67" t="s">
        <v>5633</v>
      </c>
      <c r="H1448" s="14" t="s">
        <v>5601</v>
      </c>
      <c r="I1448" s="14" t="s">
        <v>2458</v>
      </c>
      <c r="J1448" s="33" t="s">
        <v>7110</v>
      </c>
      <c r="K1448" s="33" t="s">
        <v>4500</v>
      </c>
      <c r="L1448" s="68">
        <v>0</v>
      </c>
      <c r="M1448" s="68" t="s">
        <v>8915</v>
      </c>
      <c r="N1448" s="68">
        <v>0</v>
      </c>
      <c r="O1448" s="68">
        <v>0</v>
      </c>
      <c r="P1448" s="198" t="s">
        <v>5706</v>
      </c>
    </row>
    <row r="1449" spans="1:16" ht="18.75" hidden="1">
      <c r="A1449" s="50" t="s">
        <v>4373</v>
      </c>
      <c r="B1449" s="50" t="s">
        <v>4441</v>
      </c>
      <c r="C1449" s="50" t="s">
        <v>4447</v>
      </c>
      <c r="D1449" s="50" t="s">
        <v>4443</v>
      </c>
      <c r="E1449" s="12">
        <v>95</v>
      </c>
      <c r="F1449" s="49">
        <v>159579</v>
      </c>
      <c r="G1449" s="67" t="s">
        <v>5633</v>
      </c>
      <c r="H1449" s="14" t="s">
        <v>5601</v>
      </c>
      <c r="I1449" s="14" t="s">
        <v>2458</v>
      </c>
      <c r="J1449" s="33" t="s">
        <v>7110</v>
      </c>
      <c r="K1449" s="33" t="s">
        <v>4500</v>
      </c>
      <c r="L1449" s="68">
        <v>0</v>
      </c>
      <c r="M1449" s="68" t="s">
        <v>8915</v>
      </c>
      <c r="N1449" s="68">
        <v>0</v>
      </c>
      <c r="O1449" s="68">
        <v>0</v>
      </c>
      <c r="P1449" s="198" t="s">
        <v>5736</v>
      </c>
    </row>
    <row r="1450" spans="1:16" ht="18.75" hidden="1">
      <c r="A1450" s="50" t="s">
        <v>4374</v>
      </c>
      <c r="B1450" s="50" t="s">
        <v>4442</v>
      </c>
      <c r="C1450" s="50" t="s">
        <v>4451</v>
      </c>
      <c r="D1450" s="50" t="s">
        <v>4186</v>
      </c>
      <c r="E1450" s="12">
        <v>95</v>
      </c>
      <c r="F1450" s="49">
        <v>77330</v>
      </c>
      <c r="G1450" s="67" t="s">
        <v>5611</v>
      </c>
      <c r="H1450" s="14" t="s">
        <v>5601</v>
      </c>
      <c r="I1450" s="14" t="s">
        <v>2458</v>
      </c>
      <c r="J1450" s="33" t="s">
        <v>7110</v>
      </c>
      <c r="K1450" s="33" t="s">
        <v>4500</v>
      </c>
      <c r="L1450" s="68">
        <v>0</v>
      </c>
      <c r="M1450" s="68" t="s">
        <v>8915</v>
      </c>
      <c r="N1450" s="68">
        <v>0</v>
      </c>
      <c r="O1450" s="68">
        <v>0</v>
      </c>
      <c r="P1450" s="198" t="s">
        <v>5708</v>
      </c>
    </row>
    <row r="1451" spans="1:16" ht="18.75" hidden="1">
      <c r="A1451" s="50" t="s">
        <v>4375</v>
      </c>
      <c r="B1451" s="50" t="s">
        <v>4307</v>
      </c>
      <c r="C1451" s="50" t="s">
        <v>4271</v>
      </c>
      <c r="D1451" s="50" t="s">
        <v>4182</v>
      </c>
      <c r="E1451" s="12">
        <v>95</v>
      </c>
      <c r="F1451" s="49">
        <v>372300</v>
      </c>
      <c r="G1451" s="67" t="s">
        <v>5647</v>
      </c>
      <c r="H1451" s="14" t="s">
        <v>5601</v>
      </c>
      <c r="I1451" s="14" t="s">
        <v>2458</v>
      </c>
      <c r="J1451" s="33" t="s">
        <v>7110</v>
      </c>
      <c r="K1451" s="33" t="s">
        <v>4500</v>
      </c>
      <c r="L1451" s="68">
        <v>0</v>
      </c>
      <c r="M1451" s="68" t="s">
        <v>8915</v>
      </c>
      <c r="N1451" s="68">
        <v>0</v>
      </c>
      <c r="O1451" s="68">
        <v>0</v>
      </c>
      <c r="P1451" s="198" t="s">
        <v>5714</v>
      </c>
    </row>
    <row r="1452" spans="1:16" ht="18.75" hidden="1">
      <c r="A1452" s="50" t="s">
        <v>4376</v>
      </c>
      <c r="B1452" s="50" t="s">
        <v>4442</v>
      </c>
      <c r="C1452" s="50" t="s">
        <v>4452</v>
      </c>
      <c r="D1452" s="50" t="s">
        <v>4175</v>
      </c>
      <c r="E1452" s="12">
        <v>95</v>
      </c>
      <c r="F1452" s="49">
        <v>96040</v>
      </c>
      <c r="G1452" s="67" t="s">
        <v>5647</v>
      </c>
      <c r="H1452" s="14" t="s">
        <v>5601</v>
      </c>
      <c r="I1452" s="14" t="s">
        <v>2458</v>
      </c>
      <c r="J1452" s="33" t="s">
        <v>7110</v>
      </c>
      <c r="K1452" s="33" t="s">
        <v>4500</v>
      </c>
      <c r="L1452" s="68">
        <v>0</v>
      </c>
      <c r="M1452" s="68" t="s">
        <v>8915</v>
      </c>
      <c r="N1452" s="68">
        <v>0</v>
      </c>
      <c r="O1452" s="68">
        <v>0</v>
      </c>
      <c r="P1452" s="198" t="s">
        <v>5732</v>
      </c>
    </row>
    <row r="1453" spans="1:16" ht="18.75" hidden="1">
      <c r="A1453" s="50" t="s">
        <v>4377</v>
      </c>
      <c r="B1453" s="50" t="s">
        <v>4439</v>
      </c>
      <c r="C1453" s="50" t="s">
        <v>4447</v>
      </c>
      <c r="D1453" s="50" t="s">
        <v>4443</v>
      </c>
      <c r="E1453" s="12">
        <v>95</v>
      </c>
      <c r="F1453" s="49">
        <v>165986</v>
      </c>
      <c r="G1453" s="67" t="s">
        <v>5633</v>
      </c>
      <c r="H1453" s="14" t="s">
        <v>5601</v>
      </c>
      <c r="I1453" s="14" t="s">
        <v>2458</v>
      </c>
      <c r="J1453" s="33" t="s">
        <v>7110</v>
      </c>
      <c r="K1453" s="33" t="s">
        <v>4500</v>
      </c>
      <c r="L1453" s="68">
        <v>0</v>
      </c>
      <c r="M1453" s="68" t="s">
        <v>8915</v>
      </c>
      <c r="N1453" s="68">
        <v>0</v>
      </c>
      <c r="O1453" s="68">
        <v>0</v>
      </c>
      <c r="P1453" s="198" t="s">
        <v>5736</v>
      </c>
    </row>
    <row r="1454" spans="1:16" ht="18.75" hidden="1">
      <c r="A1454" s="50" t="s">
        <v>4378</v>
      </c>
      <c r="B1454" s="50" t="s">
        <v>4443</v>
      </c>
      <c r="C1454" s="50" t="s">
        <v>4278</v>
      </c>
      <c r="D1454" s="50" t="s">
        <v>3937</v>
      </c>
      <c r="E1454" s="12">
        <v>95</v>
      </c>
      <c r="F1454" s="49">
        <v>72431</v>
      </c>
      <c r="G1454" s="67" t="s">
        <v>5633</v>
      </c>
      <c r="H1454" s="14" t="s">
        <v>5601</v>
      </c>
      <c r="I1454" s="14" t="s">
        <v>2458</v>
      </c>
      <c r="J1454" s="33" t="s">
        <v>7110</v>
      </c>
      <c r="K1454" s="33" t="s">
        <v>4500</v>
      </c>
      <c r="L1454" s="68">
        <v>0</v>
      </c>
      <c r="M1454" s="68" t="s">
        <v>8915</v>
      </c>
      <c r="N1454" s="68">
        <v>0</v>
      </c>
      <c r="O1454" s="68">
        <v>0</v>
      </c>
      <c r="P1454" s="198" t="s">
        <v>5706</v>
      </c>
    </row>
    <row r="1455" spans="1:16" ht="18.75" hidden="1">
      <c r="A1455" s="50" t="s">
        <v>4379</v>
      </c>
      <c r="B1455" s="50" t="s">
        <v>4307</v>
      </c>
      <c r="C1455" s="50" t="s">
        <v>4357</v>
      </c>
      <c r="D1455" s="50" t="s">
        <v>4184</v>
      </c>
      <c r="E1455" s="12">
        <v>95</v>
      </c>
      <c r="F1455" s="49">
        <v>74550</v>
      </c>
      <c r="G1455" s="67" t="s">
        <v>5631</v>
      </c>
      <c r="H1455" s="14" t="s">
        <v>5601</v>
      </c>
      <c r="I1455" s="14" t="s">
        <v>2458</v>
      </c>
      <c r="J1455" s="33" t="s">
        <v>7110</v>
      </c>
      <c r="K1455" s="33" t="s">
        <v>4500</v>
      </c>
      <c r="L1455" s="68">
        <v>0</v>
      </c>
      <c r="M1455" s="68" t="s">
        <v>8915</v>
      </c>
      <c r="N1455" s="68">
        <v>0</v>
      </c>
      <c r="O1455" s="68">
        <v>0</v>
      </c>
      <c r="P1455" s="197" t="s">
        <v>5698</v>
      </c>
    </row>
    <row r="1456" spans="1:16" ht="18.75" hidden="1">
      <c r="A1456" s="50" t="s">
        <v>4380</v>
      </c>
      <c r="B1456" s="50" t="s">
        <v>4438</v>
      </c>
      <c r="C1456" s="50" t="s">
        <v>4360</v>
      </c>
      <c r="D1456" s="50" t="s">
        <v>4171</v>
      </c>
      <c r="E1456" s="12">
        <v>95</v>
      </c>
      <c r="F1456" s="49">
        <v>46380</v>
      </c>
      <c r="G1456" s="67" t="s">
        <v>5647</v>
      </c>
      <c r="H1456" s="14" t="s">
        <v>5601</v>
      </c>
      <c r="I1456" s="14" t="s">
        <v>2458</v>
      </c>
      <c r="J1456" s="33" t="s">
        <v>7110</v>
      </c>
      <c r="K1456" s="33" t="s">
        <v>4500</v>
      </c>
      <c r="L1456" s="68">
        <v>0</v>
      </c>
      <c r="M1456" s="68" t="s">
        <v>8915</v>
      </c>
      <c r="N1456" s="68">
        <v>0</v>
      </c>
      <c r="O1456" s="68">
        <v>0</v>
      </c>
      <c r="P1456" s="198" t="s">
        <v>5728</v>
      </c>
    </row>
    <row r="1457" spans="1:16" ht="18.75" hidden="1">
      <c r="A1457" s="50" t="s">
        <v>4381</v>
      </c>
      <c r="B1457" s="50" t="s">
        <v>4438</v>
      </c>
      <c r="C1457" s="50" t="s">
        <v>4354</v>
      </c>
      <c r="D1457" s="50" t="s">
        <v>4170</v>
      </c>
      <c r="E1457" s="12">
        <v>95</v>
      </c>
      <c r="F1457" s="49">
        <v>111680</v>
      </c>
      <c r="G1457" s="67" t="s">
        <v>5631</v>
      </c>
      <c r="H1457" s="14" t="s">
        <v>5601</v>
      </c>
      <c r="I1457" s="14" t="s">
        <v>2458</v>
      </c>
      <c r="J1457" s="33" t="s">
        <v>7110</v>
      </c>
      <c r="K1457" s="33" t="s">
        <v>4500</v>
      </c>
      <c r="L1457" s="68">
        <v>0</v>
      </c>
      <c r="M1457" s="68" t="s">
        <v>8915</v>
      </c>
      <c r="N1457" s="68">
        <v>0</v>
      </c>
      <c r="O1457" s="68">
        <v>0</v>
      </c>
      <c r="P1457" s="197" t="s">
        <v>5712</v>
      </c>
    </row>
    <row r="1458" spans="1:16" ht="18.75" hidden="1">
      <c r="A1458" s="50" t="s">
        <v>4381</v>
      </c>
      <c r="B1458" s="50" t="s">
        <v>4438</v>
      </c>
      <c r="C1458" s="50" t="s">
        <v>4453</v>
      </c>
      <c r="D1458" s="50" t="s">
        <v>4171</v>
      </c>
      <c r="E1458" s="12">
        <v>95</v>
      </c>
      <c r="F1458" s="49">
        <v>26780</v>
      </c>
      <c r="G1458" s="67" t="s">
        <v>5631</v>
      </c>
      <c r="H1458" s="14" t="s">
        <v>5601</v>
      </c>
      <c r="I1458" s="14" t="s">
        <v>2458</v>
      </c>
      <c r="J1458" s="33" t="s">
        <v>7110</v>
      </c>
      <c r="K1458" s="33" t="s">
        <v>4500</v>
      </c>
      <c r="L1458" s="68">
        <v>0</v>
      </c>
      <c r="M1458" s="68" t="s">
        <v>8915</v>
      </c>
      <c r="N1458" s="68">
        <v>0</v>
      </c>
      <c r="O1458" s="68">
        <v>0</v>
      </c>
      <c r="P1458" s="197" t="s">
        <v>5712</v>
      </c>
    </row>
    <row r="1459" spans="1:16" ht="18.75" hidden="1">
      <c r="A1459" s="50" t="s">
        <v>4382</v>
      </c>
      <c r="B1459" s="50" t="s">
        <v>4444</v>
      </c>
      <c r="C1459" s="50" t="s">
        <v>4450</v>
      </c>
      <c r="D1459" s="50" t="s">
        <v>4180</v>
      </c>
      <c r="E1459" s="12">
        <v>95</v>
      </c>
      <c r="F1459" s="49">
        <v>31930</v>
      </c>
      <c r="G1459" s="67" t="s">
        <v>5611</v>
      </c>
      <c r="H1459" s="14" t="s">
        <v>5601</v>
      </c>
      <c r="I1459" s="14" t="s">
        <v>2458</v>
      </c>
      <c r="J1459" s="33" t="s">
        <v>7110</v>
      </c>
      <c r="K1459" s="33" t="s">
        <v>4500</v>
      </c>
      <c r="L1459" s="68">
        <v>0</v>
      </c>
      <c r="M1459" s="68" t="s">
        <v>8915</v>
      </c>
      <c r="N1459" s="68">
        <v>0</v>
      </c>
      <c r="O1459" s="68">
        <v>0</v>
      </c>
      <c r="P1459" s="198" t="s">
        <v>5708</v>
      </c>
    </row>
    <row r="1460" spans="1:16" ht="18.75" hidden="1">
      <c r="A1460" s="50" t="s">
        <v>4382</v>
      </c>
      <c r="B1460" s="50" t="s">
        <v>4444</v>
      </c>
      <c r="C1460" s="50" t="s">
        <v>4351</v>
      </c>
      <c r="D1460" s="50" t="s">
        <v>4183</v>
      </c>
      <c r="E1460" s="12">
        <v>95</v>
      </c>
      <c r="F1460" s="49">
        <v>5675</v>
      </c>
      <c r="G1460" s="67" t="s">
        <v>5647</v>
      </c>
      <c r="H1460" s="14" t="s">
        <v>5601</v>
      </c>
      <c r="I1460" s="14" t="s">
        <v>2458</v>
      </c>
      <c r="J1460" s="33" t="s">
        <v>7110</v>
      </c>
      <c r="K1460" s="33" t="s">
        <v>4500</v>
      </c>
      <c r="L1460" s="68">
        <v>0</v>
      </c>
      <c r="M1460" s="68" t="s">
        <v>8915</v>
      </c>
      <c r="N1460" s="68">
        <v>0</v>
      </c>
      <c r="O1460" s="68">
        <v>0</v>
      </c>
      <c r="P1460" s="198" t="s">
        <v>5720</v>
      </c>
    </row>
    <row r="1461" spans="1:16" ht="18.75" hidden="1">
      <c r="A1461" s="50" t="s">
        <v>4382</v>
      </c>
      <c r="B1461" s="50" t="s">
        <v>4444</v>
      </c>
      <c r="C1461" s="50" t="s">
        <v>4452</v>
      </c>
      <c r="D1461" s="50" t="s">
        <v>4175</v>
      </c>
      <c r="E1461" s="12">
        <v>95</v>
      </c>
      <c r="F1461" s="49">
        <v>190825</v>
      </c>
      <c r="G1461" s="67" t="s">
        <v>5647</v>
      </c>
      <c r="H1461" s="14" t="s">
        <v>5601</v>
      </c>
      <c r="I1461" s="14" t="s">
        <v>2458</v>
      </c>
      <c r="J1461" s="33" t="s">
        <v>7110</v>
      </c>
      <c r="K1461" s="33" t="s">
        <v>4500</v>
      </c>
      <c r="L1461" s="68">
        <v>0</v>
      </c>
      <c r="M1461" s="68" t="s">
        <v>8915</v>
      </c>
      <c r="N1461" s="68">
        <v>0</v>
      </c>
      <c r="O1461" s="68">
        <v>0</v>
      </c>
      <c r="P1461" s="198" t="s">
        <v>5732</v>
      </c>
    </row>
    <row r="1462" spans="1:16" ht="18.75" hidden="1">
      <c r="A1462" s="50" t="s">
        <v>4382</v>
      </c>
      <c r="B1462" s="50" t="s">
        <v>4444</v>
      </c>
      <c r="C1462" s="50" t="s">
        <v>4360</v>
      </c>
      <c r="D1462" s="50" t="s">
        <v>4171</v>
      </c>
      <c r="E1462" s="12">
        <v>95</v>
      </c>
      <c r="F1462" s="49">
        <v>69200</v>
      </c>
      <c r="G1462" s="67" t="s">
        <v>5647</v>
      </c>
      <c r="H1462" s="14" t="s">
        <v>5601</v>
      </c>
      <c r="I1462" s="14" t="s">
        <v>2458</v>
      </c>
      <c r="J1462" s="33" t="s">
        <v>7110</v>
      </c>
      <c r="K1462" s="33" t="s">
        <v>4500</v>
      </c>
      <c r="L1462" s="68">
        <v>0</v>
      </c>
      <c r="M1462" s="68" t="s">
        <v>8915</v>
      </c>
      <c r="N1462" s="68">
        <v>0</v>
      </c>
      <c r="O1462" s="68">
        <v>0</v>
      </c>
      <c r="P1462" s="198" t="s">
        <v>5728</v>
      </c>
    </row>
    <row r="1463" spans="1:16" ht="18.75" hidden="1">
      <c r="A1463" s="50" t="s">
        <v>4383</v>
      </c>
      <c r="B1463" s="50" t="s">
        <v>4438</v>
      </c>
      <c r="C1463" s="50" t="s">
        <v>4283</v>
      </c>
      <c r="D1463" s="50" t="s">
        <v>4182</v>
      </c>
      <c r="E1463" s="12">
        <v>95</v>
      </c>
      <c r="F1463" s="49">
        <v>33510</v>
      </c>
      <c r="G1463" s="67" t="s">
        <v>5631</v>
      </c>
      <c r="H1463" s="14" t="s">
        <v>5601</v>
      </c>
      <c r="I1463" s="14" t="s">
        <v>2458</v>
      </c>
      <c r="J1463" s="33" t="s">
        <v>7110</v>
      </c>
      <c r="K1463" s="33" t="s">
        <v>4500</v>
      </c>
      <c r="L1463" s="68">
        <v>0</v>
      </c>
      <c r="M1463" s="68" t="s">
        <v>8915</v>
      </c>
      <c r="N1463" s="68">
        <v>0</v>
      </c>
      <c r="O1463" s="68">
        <v>0</v>
      </c>
      <c r="P1463" s="197" t="s">
        <v>5712</v>
      </c>
    </row>
    <row r="1464" spans="1:16" ht="18.75" hidden="1">
      <c r="A1464" s="50" t="s">
        <v>4383</v>
      </c>
      <c r="B1464" s="50" t="s">
        <v>4438</v>
      </c>
      <c r="C1464" s="50" t="s">
        <v>4295</v>
      </c>
      <c r="D1464" s="50" t="s">
        <v>3671</v>
      </c>
      <c r="E1464" s="12">
        <v>95</v>
      </c>
      <c r="F1464" s="49">
        <v>40210</v>
      </c>
      <c r="G1464" s="67" t="s">
        <v>5631</v>
      </c>
      <c r="H1464" s="14" t="s">
        <v>5601</v>
      </c>
      <c r="I1464" s="14" t="s">
        <v>2458</v>
      </c>
      <c r="J1464" s="33" t="s">
        <v>7110</v>
      </c>
      <c r="K1464" s="33" t="s">
        <v>4500</v>
      </c>
      <c r="L1464" s="68">
        <v>0</v>
      </c>
      <c r="M1464" s="68" t="s">
        <v>8915</v>
      </c>
      <c r="N1464" s="68">
        <v>0</v>
      </c>
      <c r="O1464" s="68">
        <v>0</v>
      </c>
      <c r="P1464" s="197" t="s">
        <v>5662</v>
      </c>
    </row>
    <row r="1465" spans="1:16" ht="18.75" hidden="1">
      <c r="A1465" s="50" t="s">
        <v>4374</v>
      </c>
      <c r="B1465" s="50" t="s">
        <v>4442</v>
      </c>
      <c r="C1465" s="50" t="s">
        <v>4357</v>
      </c>
      <c r="D1465" s="50" t="s">
        <v>4184</v>
      </c>
      <c r="E1465" s="12">
        <v>95</v>
      </c>
      <c r="F1465" s="49">
        <v>72020</v>
      </c>
      <c r="G1465" s="67" t="s">
        <v>5631</v>
      </c>
      <c r="H1465" s="14" t="s">
        <v>5601</v>
      </c>
      <c r="I1465" s="14" t="s">
        <v>2458</v>
      </c>
      <c r="J1465" s="33" t="s">
        <v>7110</v>
      </c>
      <c r="K1465" s="33" t="s">
        <v>4500</v>
      </c>
      <c r="L1465" s="68">
        <v>0</v>
      </c>
      <c r="M1465" s="68" t="s">
        <v>8915</v>
      </c>
      <c r="N1465" s="68">
        <v>0</v>
      </c>
      <c r="O1465" s="68">
        <v>0</v>
      </c>
      <c r="P1465" s="197" t="s">
        <v>5698</v>
      </c>
    </row>
    <row r="1466" spans="1:16" ht="18.75" hidden="1">
      <c r="A1466" s="50" t="s">
        <v>4384</v>
      </c>
      <c r="B1466" s="50" t="s">
        <v>4436</v>
      </c>
      <c r="C1466" s="50" t="s">
        <v>4357</v>
      </c>
      <c r="D1466" s="50" t="s">
        <v>4184</v>
      </c>
      <c r="E1466" s="12">
        <v>95</v>
      </c>
      <c r="F1466" s="49">
        <v>71570</v>
      </c>
      <c r="G1466" s="67" t="s">
        <v>5631</v>
      </c>
      <c r="H1466" s="14" t="s">
        <v>5601</v>
      </c>
      <c r="I1466" s="14" t="s">
        <v>2458</v>
      </c>
      <c r="J1466" s="33" t="s">
        <v>7110</v>
      </c>
      <c r="K1466" s="33" t="s">
        <v>4500</v>
      </c>
      <c r="L1466" s="68">
        <v>0</v>
      </c>
      <c r="M1466" s="68" t="s">
        <v>8915</v>
      </c>
      <c r="N1466" s="68">
        <v>0</v>
      </c>
      <c r="O1466" s="68">
        <v>0</v>
      </c>
      <c r="P1466" s="197" t="s">
        <v>5698</v>
      </c>
    </row>
    <row r="1467" spans="1:16" ht="18.75" hidden="1">
      <c r="A1467" s="50" t="s">
        <v>4385</v>
      </c>
      <c r="B1467" s="50" t="s">
        <v>4343</v>
      </c>
      <c r="C1467" s="50" t="s">
        <v>4347</v>
      </c>
      <c r="D1467" s="50" t="s">
        <v>4183</v>
      </c>
      <c r="E1467" s="12">
        <v>95</v>
      </c>
      <c r="F1467" s="49">
        <v>25060</v>
      </c>
      <c r="G1467" s="67" t="s">
        <v>5611</v>
      </c>
      <c r="H1467" s="14" t="s">
        <v>5601</v>
      </c>
      <c r="I1467" s="14" t="s">
        <v>2458</v>
      </c>
      <c r="J1467" s="33" t="s">
        <v>7110</v>
      </c>
      <c r="K1467" s="33" t="s">
        <v>4500</v>
      </c>
      <c r="L1467" s="68">
        <v>0</v>
      </c>
      <c r="M1467" s="68" t="s">
        <v>8915</v>
      </c>
      <c r="N1467" s="68">
        <v>0</v>
      </c>
      <c r="O1467" s="68">
        <v>0</v>
      </c>
      <c r="P1467" s="198" t="s">
        <v>5708</v>
      </c>
    </row>
    <row r="1468" spans="1:16" ht="18.75" hidden="1">
      <c r="A1468" s="50" t="s">
        <v>4386</v>
      </c>
      <c r="B1468" s="50" t="s">
        <v>4443</v>
      </c>
      <c r="C1468" s="50" t="s">
        <v>4354</v>
      </c>
      <c r="D1468" s="50" t="s">
        <v>4170</v>
      </c>
      <c r="E1468" s="12">
        <v>95</v>
      </c>
      <c r="F1468" s="49">
        <v>24120</v>
      </c>
      <c r="G1468" s="67" t="s">
        <v>5631</v>
      </c>
      <c r="H1468" s="14" t="s">
        <v>5601</v>
      </c>
      <c r="I1468" s="14" t="s">
        <v>2458</v>
      </c>
      <c r="J1468" s="33" t="s">
        <v>7110</v>
      </c>
      <c r="K1468" s="33" t="s">
        <v>4500</v>
      </c>
      <c r="L1468" s="68">
        <v>0</v>
      </c>
      <c r="M1468" s="68" t="s">
        <v>8915</v>
      </c>
      <c r="N1468" s="68">
        <v>0</v>
      </c>
      <c r="O1468" s="68">
        <v>0</v>
      </c>
      <c r="P1468" s="197" t="s">
        <v>5712</v>
      </c>
    </row>
    <row r="1469" spans="1:16" ht="18.75" hidden="1">
      <c r="A1469" s="50" t="s">
        <v>4386</v>
      </c>
      <c r="B1469" s="50" t="s">
        <v>4443</v>
      </c>
      <c r="C1469" s="50" t="s">
        <v>4453</v>
      </c>
      <c r="D1469" s="50" t="s">
        <v>4171</v>
      </c>
      <c r="E1469" s="12">
        <v>95</v>
      </c>
      <c r="F1469" s="49">
        <v>114660</v>
      </c>
      <c r="G1469" s="67" t="s">
        <v>5631</v>
      </c>
      <c r="H1469" s="14" t="s">
        <v>5601</v>
      </c>
      <c r="I1469" s="14" t="s">
        <v>2458</v>
      </c>
      <c r="J1469" s="33" t="s">
        <v>7110</v>
      </c>
      <c r="K1469" s="33" t="s">
        <v>4500</v>
      </c>
      <c r="L1469" s="68">
        <v>0</v>
      </c>
      <c r="M1469" s="68" t="s">
        <v>8915</v>
      </c>
      <c r="N1469" s="68">
        <v>0</v>
      </c>
      <c r="O1469" s="68">
        <v>0</v>
      </c>
      <c r="P1469" s="197" t="s">
        <v>5712</v>
      </c>
    </row>
    <row r="1470" spans="1:16" ht="18.75" hidden="1">
      <c r="A1470" s="50" t="s">
        <v>4387</v>
      </c>
      <c r="B1470" s="50" t="s">
        <v>4436</v>
      </c>
      <c r="C1470" s="50" t="s">
        <v>4454</v>
      </c>
      <c r="D1470" s="50" t="s">
        <v>4183</v>
      </c>
      <c r="E1470" s="12">
        <v>95</v>
      </c>
      <c r="F1470" s="49">
        <v>148040</v>
      </c>
      <c r="G1470" s="67" t="s">
        <v>5611</v>
      </c>
      <c r="H1470" s="14" t="s">
        <v>5601</v>
      </c>
      <c r="I1470" s="14" t="s">
        <v>2458</v>
      </c>
      <c r="J1470" s="33" t="s">
        <v>7110</v>
      </c>
      <c r="K1470" s="33" t="s">
        <v>4500</v>
      </c>
      <c r="L1470" s="68">
        <v>0</v>
      </c>
      <c r="M1470" s="68" t="s">
        <v>8915</v>
      </c>
      <c r="N1470" s="68">
        <v>0</v>
      </c>
      <c r="O1470" s="68">
        <v>0</v>
      </c>
      <c r="P1470" s="198" t="s">
        <v>5708</v>
      </c>
    </row>
    <row r="1471" spans="1:16" ht="18.75" hidden="1">
      <c r="A1471" s="50" t="s">
        <v>4387</v>
      </c>
      <c r="B1471" s="50" t="s">
        <v>4436</v>
      </c>
      <c r="C1471" s="50" t="s">
        <v>4351</v>
      </c>
      <c r="D1471" s="50" t="s">
        <v>4183</v>
      </c>
      <c r="E1471" s="12">
        <v>95</v>
      </c>
      <c r="F1471" s="49">
        <v>32125</v>
      </c>
      <c r="G1471" s="67" t="s">
        <v>5647</v>
      </c>
      <c r="H1471" s="14" t="s">
        <v>5601</v>
      </c>
      <c r="I1471" s="14" t="s">
        <v>2458</v>
      </c>
      <c r="J1471" s="33" t="s">
        <v>7110</v>
      </c>
      <c r="K1471" s="33" t="s">
        <v>4500</v>
      </c>
      <c r="L1471" s="68">
        <v>0</v>
      </c>
      <c r="M1471" s="68" t="s">
        <v>8915</v>
      </c>
      <c r="N1471" s="68">
        <v>0</v>
      </c>
      <c r="O1471" s="68">
        <v>0</v>
      </c>
      <c r="P1471" s="198" t="s">
        <v>5720</v>
      </c>
    </row>
    <row r="1472" spans="1:16" ht="18.75" hidden="1">
      <c r="A1472" s="50" t="s">
        <v>4387</v>
      </c>
      <c r="B1472" s="50" t="s">
        <v>4436</v>
      </c>
      <c r="C1472" s="50" t="s">
        <v>4271</v>
      </c>
      <c r="D1472" s="50" t="s">
        <v>4182</v>
      </c>
      <c r="E1472" s="12">
        <v>95</v>
      </c>
      <c r="F1472" s="49">
        <v>45080</v>
      </c>
      <c r="G1472" s="67" t="s">
        <v>5647</v>
      </c>
      <c r="H1472" s="14" t="s">
        <v>5601</v>
      </c>
      <c r="I1472" s="14" t="s">
        <v>2458</v>
      </c>
      <c r="J1472" s="33" t="s">
        <v>7110</v>
      </c>
      <c r="K1472" s="33" t="s">
        <v>4500</v>
      </c>
      <c r="L1472" s="68">
        <v>0</v>
      </c>
      <c r="M1472" s="68" t="s">
        <v>8915</v>
      </c>
      <c r="N1472" s="68">
        <v>0</v>
      </c>
      <c r="O1472" s="68">
        <v>0</v>
      </c>
      <c r="P1472" s="198" t="s">
        <v>5714</v>
      </c>
    </row>
    <row r="1473" spans="1:16" ht="18.75" hidden="1">
      <c r="A1473" s="50" t="s">
        <v>4388</v>
      </c>
      <c r="B1473" s="50" t="s">
        <v>4445</v>
      </c>
      <c r="C1473" s="50" t="s">
        <v>4449</v>
      </c>
      <c r="D1473" s="50" t="s">
        <v>3933</v>
      </c>
      <c r="E1473" s="12">
        <v>95</v>
      </c>
      <c r="F1473" s="49">
        <v>283860</v>
      </c>
      <c r="G1473" s="67" t="s">
        <v>5631</v>
      </c>
      <c r="H1473" s="14" t="s">
        <v>5601</v>
      </c>
      <c r="I1473" s="14" t="s">
        <v>2458</v>
      </c>
      <c r="J1473" s="33" t="s">
        <v>7110</v>
      </c>
      <c r="K1473" s="33" t="s">
        <v>4500</v>
      </c>
      <c r="L1473" s="68">
        <v>0</v>
      </c>
      <c r="M1473" s="68" t="s">
        <v>8915</v>
      </c>
      <c r="N1473" s="68">
        <v>0</v>
      </c>
      <c r="O1473" s="68">
        <v>0</v>
      </c>
      <c r="P1473" s="197" t="s">
        <v>5698</v>
      </c>
    </row>
    <row r="1474" spans="1:16" ht="18.75" hidden="1">
      <c r="A1474" s="50" t="s">
        <v>4389</v>
      </c>
      <c r="B1474" s="50" t="s">
        <v>4439</v>
      </c>
      <c r="C1474" s="50" t="s">
        <v>4347</v>
      </c>
      <c r="D1474" s="50" t="s">
        <v>4183</v>
      </c>
      <c r="E1474" s="12">
        <v>95</v>
      </c>
      <c r="F1474" s="49">
        <v>21620</v>
      </c>
      <c r="G1474" s="67" t="s">
        <v>5611</v>
      </c>
      <c r="H1474" s="14" t="s">
        <v>5601</v>
      </c>
      <c r="I1474" s="14" t="s">
        <v>2458</v>
      </c>
      <c r="J1474" s="33" t="s">
        <v>7110</v>
      </c>
      <c r="K1474" s="33" t="s">
        <v>4500</v>
      </c>
      <c r="L1474" s="68">
        <v>0</v>
      </c>
      <c r="M1474" s="68" t="s">
        <v>8915</v>
      </c>
      <c r="N1474" s="68">
        <v>0</v>
      </c>
      <c r="O1474" s="68">
        <v>0</v>
      </c>
      <c r="P1474" s="198" t="s">
        <v>5708</v>
      </c>
    </row>
    <row r="1475" spans="1:16" ht="18.75" hidden="1">
      <c r="A1475" s="50" t="s">
        <v>4389</v>
      </c>
      <c r="B1475" s="50" t="s">
        <v>4439</v>
      </c>
      <c r="C1475" s="50" t="s">
        <v>4353</v>
      </c>
      <c r="D1475" s="50" t="s">
        <v>4170</v>
      </c>
      <c r="E1475" s="12">
        <v>95</v>
      </c>
      <c r="F1475" s="49">
        <v>13540</v>
      </c>
      <c r="G1475" s="67" t="s">
        <v>5631</v>
      </c>
      <c r="H1475" s="14" t="s">
        <v>5601</v>
      </c>
      <c r="I1475" s="14" t="s">
        <v>2458</v>
      </c>
      <c r="J1475" s="33" t="s">
        <v>7110</v>
      </c>
      <c r="K1475" s="33" t="s">
        <v>4500</v>
      </c>
      <c r="L1475" s="68">
        <v>0</v>
      </c>
      <c r="M1475" s="68" t="s">
        <v>8915</v>
      </c>
      <c r="N1475" s="68">
        <v>0</v>
      </c>
      <c r="O1475" s="68">
        <v>0</v>
      </c>
      <c r="P1475" s="197" t="s">
        <v>5712</v>
      </c>
    </row>
    <row r="1476" spans="1:16" ht="18.75" hidden="1">
      <c r="A1476" s="50" t="s">
        <v>4389</v>
      </c>
      <c r="B1476" s="50" t="s">
        <v>4439</v>
      </c>
      <c r="C1476" s="50" t="s">
        <v>4450</v>
      </c>
      <c r="D1476" s="50" t="s">
        <v>4180</v>
      </c>
      <c r="E1476" s="12">
        <v>95</v>
      </c>
      <c r="F1476" s="49">
        <v>26330</v>
      </c>
      <c r="G1476" s="67" t="s">
        <v>5611</v>
      </c>
      <c r="H1476" s="14" t="s">
        <v>5601</v>
      </c>
      <c r="I1476" s="14" t="s">
        <v>2458</v>
      </c>
      <c r="J1476" s="33" t="s">
        <v>7110</v>
      </c>
      <c r="K1476" s="33" t="s">
        <v>4500</v>
      </c>
      <c r="L1476" s="68">
        <v>0</v>
      </c>
      <c r="M1476" s="68" t="s">
        <v>8915</v>
      </c>
      <c r="N1476" s="68">
        <v>0</v>
      </c>
      <c r="O1476" s="68">
        <v>0</v>
      </c>
      <c r="P1476" s="198" t="s">
        <v>5708</v>
      </c>
    </row>
    <row r="1477" spans="1:16" ht="18.75" hidden="1">
      <c r="A1477" s="50" t="s">
        <v>4389</v>
      </c>
      <c r="B1477" s="50" t="s">
        <v>4439</v>
      </c>
      <c r="C1477" s="50" t="s">
        <v>4280</v>
      </c>
      <c r="D1477" s="50" t="s">
        <v>3932</v>
      </c>
      <c r="E1477" s="12">
        <v>95</v>
      </c>
      <c r="F1477" s="49">
        <v>39380</v>
      </c>
      <c r="G1477" s="67" t="s">
        <v>5611</v>
      </c>
      <c r="H1477" s="14" t="s">
        <v>5601</v>
      </c>
      <c r="I1477" s="14" t="s">
        <v>2458</v>
      </c>
      <c r="J1477" s="33" t="s">
        <v>7110</v>
      </c>
      <c r="K1477" s="33" t="s">
        <v>4500</v>
      </c>
      <c r="L1477" s="68">
        <v>0</v>
      </c>
      <c r="M1477" s="68" t="s">
        <v>8915</v>
      </c>
      <c r="N1477" s="68">
        <v>0</v>
      </c>
      <c r="O1477" s="68">
        <v>0</v>
      </c>
      <c r="P1477" s="198" t="s">
        <v>5694</v>
      </c>
    </row>
    <row r="1478" spans="1:16" ht="18.75" hidden="1">
      <c r="A1478" s="50" t="s">
        <v>4388</v>
      </c>
      <c r="B1478" s="50" t="s">
        <v>4445</v>
      </c>
      <c r="C1478" s="50" t="s">
        <v>4283</v>
      </c>
      <c r="D1478" s="50" t="s">
        <v>4182</v>
      </c>
      <c r="E1478" s="12">
        <v>95</v>
      </c>
      <c r="F1478" s="49">
        <v>35240</v>
      </c>
      <c r="G1478" s="67" t="s">
        <v>5631</v>
      </c>
      <c r="H1478" s="14" t="s">
        <v>5601</v>
      </c>
      <c r="I1478" s="14" t="s">
        <v>2458</v>
      </c>
      <c r="J1478" s="33" t="s">
        <v>7110</v>
      </c>
      <c r="K1478" s="33" t="s">
        <v>4500</v>
      </c>
      <c r="L1478" s="68">
        <v>0</v>
      </c>
      <c r="M1478" s="68" t="s">
        <v>8915</v>
      </c>
      <c r="N1478" s="68">
        <v>0</v>
      </c>
      <c r="O1478" s="68">
        <v>0</v>
      </c>
      <c r="P1478" s="197" t="s">
        <v>5712</v>
      </c>
    </row>
    <row r="1479" spans="1:16" ht="18.75" hidden="1">
      <c r="A1479" s="50" t="s">
        <v>4390</v>
      </c>
      <c r="B1479" s="50" t="s">
        <v>4443</v>
      </c>
      <c r="C1479" s="50" t="s">
        <v>4347</v>
      </c>
      <c r="D1479" s="50" t="s">
        <v>4183</v>
      </c>
      <c r="E1479" s="12">
        <v>95</v>
      </c>
      <c r="F1479" s="49">
        <v>47930</v>
      </c>
      <c r="G1479" s="67" t="s">
        <v>5611</v>
      </c>
      <c r="H1479" s="14" t="s">
        <v>5601</v>
      </c>
      <c r="I1479" s="14" t="s">
        <v>2458</v>
      </c>
      <c r="J1479" s="33" t="s">
        <v>7110</v>
      </c>
      <c r="K1479" s="33" t="s">
        <v>4500</v>
      </c>
      <c r="L1479" s="68">
        <v>0</v>
      </c>
      <c r="M1479" s="68" t="s">
        <v>8915</v>
      </c>
      <c r="N1479" s="68">
        <v>0</v>
      </c>
      <c r="O1479" s="68">
        <v>0</v>
      </c>
      <c r="P1479" s="198" t="s">
        <v>5708</v>
      </c>
    </row>
    <row r="1480" spans="1:16" ht="18.75" hidden="1">
      <c r="A1480" s="50" t="s">
        <v>4391</v>
      </c>
      <c r="B1480" s="50" t="s">
        <v>4441</v>
      </c>
      <c r="C1480" s="50" t="s">
        <v>4351</v>
      </c>
      <c r="D1480" s="50" t="s">
        <v>4183</v>
      </c>
      <c r="E1480" s="12">
        <v>95</v>
      </c>
      <c r="F1480" s="49">
        <v>97860</v>
      </c>
      <c r="G1480" s="67" t="s">
        <v>5647</v>
      </c>
      <c r="H1480" s="14" t="s">
        <v>5601</v>
      </c>
      <c r="I1480" s="14" t="s">
        <v>2458</v>
      </c>
      <c r="J1480" s="33" t="s">
        <v>7110</v>
      </c>
      <c r="K1480" s="33" t="s">
        <v>4500</v>
      </c>
      <c r="L1480" s="68">
        <v>0</v>
      </c>
      <c r="M1480" s="68" t="s">
        <v>8915</v>
      </c>
      <c r="N1480" s="68">
        <v>0</v>
      </c>
      <c r="O1480" s="68">
        <v>0</v>
      </c>
      <c r="P1480" s="198" t="s">
        <v>5720</v>
      </c>
    </row>
    <row r="1481" spans="1:16" ht="18.75" hidden="1">
      <c r="A1481" s="50" t="s">
        <v>4392</v>
      </c>
      <c r="B1481" s="50" t="s">
        <v>4444</v>
      </c>
      <c r="C1481" s="50" t="s">
        <v>4357</v>
      </c>
      <c r="D1481" s="50" t="s">
        <v>4184</v>
      </c>
      <c r="E1481" s="12">
        <v>95</v>
      </c>
      <c r="F1481" s="49">
        <v>75850</v>
      </c>
      <c r="G1481" s="67" t="s">
        <v>5631</v>
      </c>
      <c r="H1481" s="14" t="s">
        <v>5601</v>
      </c>
      <c r="I1481" s="14" t="s">
        <v>2458</v>
      </c>
      <c r="J1481" s="33" t="s">
        <v>7110</v>
      </c>
      <c r="K1481" s="33" t="s">
        <v>4500</v>
      </c>
      <c r="L1481" s="68">
        <v>0</v>
      </c>
      <c r="M1481" s="68" t="s">
        <v>8915</v>
      </c>
      <c r="N1481" s="68">
        <v>0</v>
      </c>
      <c r="O1481" s="68">
        <v>0</v>
      </c>
      <c r="P1481" s="197" t="s">
        <v>5698</v>
      </c>
    </row>
    <row r="1482" spans="1:16" ht="18.75" hidden="1">
      <c r="A1482" s="50" t="s">
        <v>4393</v>
      </c>
      <c r="B1482" s="50" t="s">
        <v>4443</v>
      </c>
      <c r="C1482" s="50" t="s">
        <v>4347</v>
      </c>
      <c r="D1482" s="50" t="s">
        <v>4183</v>
      </c>
      <c r="E1482" s="12">
        <v>95</v>
      </c>
      <c r="F1482" s="49">
        <v>222200</v>
      </c>
      <c r="G1482" s="67" t="s">
        <v>5611</v>
      </c>
      <c r="H1482" s="14" t="s">
        <v>5601</v>
      </c>
      <c r="I1482" s="14" t="s">
        <v>2458</v>
      </c>
      <c r="J1482" s="33" t="s">
        <v>7110</v>
      </c>
      <c r="K1482" s="33" t="s">
        <v>4500</v>
      </c>
      <c r="L1482" s="68">
        <v>0</v>
      </c>
      <c r="M1482" s="68" t="s">
        <v>8915</v>
      </c>
      <c r="N1482" s="68">
        <v>0</v>
      </c>
      <c r="O1482" s="68">
        <v>0</v>
      </c>
      <c r="P1482" s="198" t="s">
        <v>5708</v>
      </c>
    </row>
    <row r="1483" spans="1:16" ht="18.75" hidden="1">
      <c r="A1483" s="50" t="s">
        <v>4394</v>
      </c>
      <c r="B1483" s="50" t="s">
        <v>4439</v>
      </c>
      <c r="C1483" s="50" t="s">
        <v>4455</v>
      </c>
      <c r="D1483" s="50" t="s">
        <v>4168</v>
      </c>
      <c r="E1483" s="12">
        <v>95</v>
      </c>
      <c r="F1483" s="49">
        <v>96100</v>
      </c>
      <c r="G1483" s="67" t="s">
        <v>5611</v>
      </c>
      <c r="H1483" s="14" t="s">
        <v>5601</v>
      </c>
      <c r="I1483" s="14" t="s">
        <v>2458</v>
      </c>
      <c r="J1483" s="33" t="s">
        <v>7110</v>
      </c>
      <c r="K1483" s="33" t="s">
        <v>4500</v>
      </c>
      <c r="L1483" s="68">
        <v>0</v>
      </c>
      <c r="M1483" s="68" t="s">
        <v>8915</v>
      </c>
      <c r="N1483" s="68">
        <v>0</v>
      </c>
      <c r="O1483" s="68">
        <v>0</v>
      </c>
      <c r="P1483" s="198" t="s">
        <v>5726</v>
      </c>
    </row>
    <row r="1484" spans="1:16" ht="18.75" hidden="1">
      <c r="A1484" s="50" t="s">
        <v>4395</v>
      </c>
      <c r="B1484" s="50" t="s">
        <v>4439</v>
      </c>
      <c r="C1484" s="50" t="s">
        <v>4449</v>
      </c>
      <c r="D1484" s="50" t="s">
        <v>3933</v>
      </c>
      <c r="E1484" s="12">
        <v>95</v>
      </c>
      <c r="F1484" s="49">
        <v>22620</v>
      </c>
      <c r="G1484" s="67" t="s">
        <v>5631</v>
      </c>
      <c r="H1484" s="14" t="s">
        <v>5601</v>
      </c>
      <c r="I1484" s="14" t="s">
        <v>2458</v>
      </c>
      <c r="J1484" s="33" t="s">
        <v>7110</v>
      </c>
      <c r="K1484" s="33" t="s">
        <v>4500</v>
      </c>
      <c r="L1484" s="68">
        <v>0</v>
      </c>
      <c r="M1484" s="68" t="s">
        <v>8915</v>
      </c>
      <c r="N1484" s="68">
        <v>0</v>
      </c>
      <c r="O1484" s="68">
        <v>0</v>
      </c>
      <c r="P1484" s="197" t="s">
        <v>5698</v>
      </c>
    </row>
    <row r="1485" spans="1:16" ht="18.75" hidden="1">
      <c r="A1485" s="50" t="s">
        <v>4396</v>
      </c>
      <c r="B1485" s="50" t="s">
        <v>4438</v>
      </c>
      <c r="C1485" s="50" t="s">
        <v>4450</v>
      </c>
      <c r="D1485" s="50" t="s">
        <v>4180</v>
      </c>
      <c r="E1485" s="12">
        <v>95</v>
      </c>
      <c r="F1485" s="49">
        <v>198330</v>
      </c>
      <c r="G1485" s="67" t="s">
        <v>5611</v>
      </c>
      <c r="H1485" s="14" t="s">
        <v>5601</v>
      </c>
      <c r="I1485" s="14" t="s">
        <v>2458</v>
      </c>
      <c r="J1485" s="33" t="s">
        <v>7110</v>
      </c>
      <c r="K1485" s="33" t="s">
        <v>4500</v>
      </c>
      <c r="L1485" s="68">
        <v>0</v>
      </c>
      <c r="M1485" s="68" t="s">
        <v>8915</v>
      </c>
      <c r="N1485" s="68">
        <v>0</v>
      </c>
      <c r="O1485" s="68">
        <v>0</v>
      </c>
      <c r="P1485" s="198" t="s">
        <v>5708</v>
      </c>
    </row>
    <row r="1486" spans="1:16" ht="18.75" hidden="1">
      <c r="A1486" s="50" t="s">
        <v>4397</v>
      </c>
      <c r="B1486" s="50" t="s">
        <v>4442</v>
      </c>
      <c r="C1486" s="50" t="s">
        <v>4452</v>
      </c>
      <c r="D1486" s="50" t="s">
        <v>4175</v>
      </c>
      <c r="E1486" s="12">
        <v>95</v>
      </c>
      <c r="F1486" s="49">
        <v>49335</v>
      </c>
      <c r="G1486" s="67" t="s">
        <v>5647</v>
      </c>
      <c r="H1486" s="14" t="s">
        <v>5601</v>
      </c>
      <c r="I1486" s="14" t="s">
        <v>2458</v>
      </c>
      <c r="J1486" s="33" t="s">
        <v>7110</v>
      </c>
      <c r="K1486" s="33" t="s">
        <v>4500</v>
      </c>
      <c r="L1486" s="68">
        <v>0</v>
      </c>
      <c r="M1486" s="68" t="s">
        <v>8915</v>
      </c>
      <c r="N1486" s="68">
        <v>0</v>
      </c>
      <c r="O1486" s="68">
        <v>0</v>
      </c>
      <c r="P1486" s="198" t="s">
        <v>5732</v>
      </c>
    </row>
    <row r="1487" spans="1:16" ht="18.75" hidden="1">
      <c r="A1487" s="50" t="s">
        <v>4397</v>
      </c>
      <c r="B1487" s="50" t="s">
        <v>4442</v>
      </c>
      <c r="C1487" s="50" t="s">
        <v>4351</v>
      </c>
      <c r="D1487" s="50" t="s">
        <v>4183</v>
      </c>
      <c r="E1487" s="12">
        <v>95</v>
      </c>
      <c r="F1487" s="49">
        <v>26020</v>
      </c>
      <c r="G1487" s="67" t="s">
        <v>5647</v>
      </c>
      <c r="H1487" s="14" t="s">
        <v>5601</v>
      </c>
      <c r="I1487" s="14" t="s">
        <v>2458</v>
      </c>
      <c r="J1487" s="33" t="s">
        <v>7110</v>
      </c>
      <c r="K1487" s="33" t="s">
        <v>4500</v>
      </c>
      <c r="L1487" s="68">
        <v>0</v>
      </c>
      <c r="M1487" s="68" t="s">
        <v>8915</v>
      </c>
      <c r="N1487" s="68">
        <v>0</v>
      </c>
      <c r="O1487" s="68">
        <v>0</v>
      </c>
      <c r="P1487" s="198" t="s">
        <v>5720</v>
      </c>
    </row>
    <row r="1488" spans="1:16" ht="18.75" hidden="1">
      <c r="A1488" s="50" t="s">
        <v>4397</v>
      </c>
      <c r="B1488" s="50" t="s">
        <v>4442</v>
      </c>
      <c r="C1488" s="50" t="s">
        <v>4292</v>
      </c>
      <c r="D1488" s="50" t="s">
        <v>3820</v>
      </c>
      <c r="E1488" s="12">
        <v>95</v>
      </c>
      <c r="F1488" s="49">
        <v>2825</v>
      </c>
      <c r="G1488" s="67" t="s">
        <v>5631</v>
      </c>
      <c r="H1488" s="14" t="s">
        <v>5601</v>
      </c>
      <c r="I1488" s="14" t="s">
        <v>2458</v>
      </c>
      <c r="J1488" s="33" t="s">
        <v>7110</v>
      </c>
      <c r="K1488" s="33" t="s">
        <v>4500</v>
      </c>
      <c r="L1488" s="68">
        <v>0</v>
      </c>
      <c r="M1488" s="68" t="s">
        <v>8915</v>
      </c>
      <c r="N1488" s="68">
        <v>0</v>
      </c>
      <c r="O1488" s="68">
        <v>0</v>
      </c>
      <c r="P1488" s="197" t="s">
        <v>5662</v>
      </c>
    </row>
    <row r="1489" spans="1:16" ht="18.75" hidden="1">
      <c r="A1489" s="50" t="s">
        <v>4397</v>
      </c>
      <c r="B1489" s="50" t="s">
        <v>4442</v>
      </c>
      <c r="C1489" s="50" t="s">
        <v>4451</v>
      </c>
      <c r="D1489" s="50" t="s">
        <v>4186</v>
      </c>
      <c r="E1489" s="12">
        <v>95</v>
      </c>
      <c r="F1489" s="49">
        <v>20210</v>
      </c>
      <c r="G1489" s="67" t="s">
        <v>5611</v>
      </c>
      <c r="H1489" s="14" t="s">
        <v>5601</v>
      </c>
      <c r="I1489" s="14" t="s">
        <v>2458</v>
      </c>
      <c r="J1489" s="33" t="s">
        <v>7110</v>
      </c>
      <c r="K1489" s="33" t="s">
        <v>4500</v>
      </c>
      <c r="L1489" s="68">
        <v>0</v>
      </c>
      <c r="M1489" s="68" t="s">
        <v>8915</v>
      </c>
      <c r="N1489" s="68">
        <v>0</v>
      </c>
      <c r="O1489" s="68">
        <v>0</v>
      </c>
      <c r="P1489" s="198" t="s">
        <v>5708</v>
      </c>
    </row>
    <row r="1490" spans="1:16" ht="18.75" hidden="1">
      <c r="A1490" s="50" t="s">
        <v>4398</v>
      </c>
      <c r="B1490" s="50" t="s">
        <v>4436</v>
      </c>
      <c r="C1490" s="50" t="s">
        <v>4226</v>
      </c>
      <c r="D1490" s="50" t="s">
        <v>3664</v>
      </c>
      <c r="E1490" s="12">
        <v>95</v>
      </c>
      <c r="F1490" s="49">
        <v>1024296</v>
      </c>
      <c r="G1490" s="67" t="s">
        <v>5652</v>
      </c>
      <c r="H1490" s="14" t="s">
        <v>5601</v>
      </c>
      <c r="I1490" s="14" t="s">
        <v>2458</v>
      </c>
      <c r="J1490" s="33" t="s">
        <v>7110</v>
      </c>
      <c r="K1490" s="33" t="s">
        <v>4500</v>
      </c>
      <c r="L1490" s="68">
        <v>0</v>
      </c>
      <c r="M1490" s="68" t="s">
        <v>8915</v>
      </c>
      <c r="N1490" s="68">
        <v>0</v>
      </c>
      <c r="O1490" s="68">
        <v>0</v>
      </c>
      <c r="P1490" s="198" t="s">
        <v>5653</v>
      </c>
    </row>
    <row r="1491" spans="1:16" ht="18.75" hidden="1">
      <c r="A1491" s="50" t="s">
        <v>4398</v>
      </c>
      <c r="B1491" s="50" t="s">
        <v>4436</v>
      </c>
      <c r="C1491" s="50" t="s">
        <v>3890</v>
      </c>
      <c r="D1491" s="50" t="s">
        <v>3664</v>
      </c>
      <c r="E1491" s="12">
        <v>95</v>
      </c>
      <c r="F1491" s="49">
        <v>24878</v>
      </c>
      <c r="G1491" s="67" t="s">
        <v>5652</v>
      </c>
      <c r="H1491" s="14" t="s">
        <v>5601</v>
      </c>
      <c r="I1491" s="14" t="s">
        <v>2458</v>
      </c>
      <c r="J1491" s="33" t="s">
        <v>7110</v>
      </c>
      <c r="K1491" s="33" t="s">
        <v>4500</v>
      </c>
      <c r="L1491" s="68">
        <v>0</v>
      </c>
      <c r="M1491" s="68" t="s">
        <v>8915</v>
      </c>
      <c r="N1491" s="68">
        <v>0</v>
      </c>
      <c r="O1491" s="68">
        <v>0</v>
      </c>
      <c r="P1491" s="198" t="s">
        <v>5653</v>
      </c>
    </row>
    <row r="1492" spans="1:16" ht="18.75" hidden="1">
      <c r="A1492" s="50" t="s">
        <v>4398</v>
      </c>
      <c r="B1492" s="50" t="s">
        <v>4436</v>
      </c>
      <c r="C1492" s="50" t="s">
        <v>4456</v>
      </c>
      <c r="D1492" s="50" t="s">
        <v>3664</v>
      </c>
      <c r="E1492" s="12">
        <v>95</v>
      </c>
      <c r="F1492" s="49">
        <v>134826</v>
      </c>
      <c r="G1492" s="67" t="s">
        <v>5652</v>
      </c>
      <c r="H1492" s="14" t="s">
        <v>5601</v>
      </c>
      <c r="I1492" s="14" t="s">
        <v>2458</v>
      </c>
      <c r="J1492" s="33" t="s">
        <v>7110</v>
      </c>
      <c r="K1492" s="33" t="s">
        <v>4500</v>
      </c>
      <c r="L1492" s="68">
        <v>0</v>
      </c>
      <c r="M1492" s="68" t="s">
        <v>8915</v>
      </c>
      <c r="N1492" s="68">
        <v>0</v>
      </c>
      <c r="O1492" s="68">
        <v>0</v>
      </c>
      <c r="P1492" s="198" t="s">
        <v>5653</v>
      </c>
    </row>
    <row r="1493" spans="1:16" ht="18.75" hidden="1">
      <c r="A1493" s="50" t="s">
        <v>4399</v>
      </c>
      <c r="B1493" s="50" t="s">
        <v>4177</v>
      </c>
      <c r="C1493" s="50" t="s">
        <v>4457</v>
      </c>
      <c r="D1493" s="50" t="s">
        <v>4440</v>
      </c>
      <c r="E1493" s="12">
        <v>95</v>
      </c>
      <c r="F1493" s="49">
        <v>1461197</v>
      </c>
      <c r="G1493" s="67" t="s">
        <v>5604</v>
      </c>
      <c r="H1493" s="14" t="s">
        <v>5602</v>
      </c>
      <c r="I1493" s="14" t="s">
        <v>2458</v>
      </c>
      <c r="J1493" s="33" t="s">
        <v>7110</v>
      </c>
      <c r="K1493" s="33" t="s">
        <v>4500</v>
      </c>
      <c r="L1493" s="68">
        <v>0</v>
      </c>
      <c r="M1493" s="68" t="s">
        <v>8915</v>
      </c>
      <c r="N1493" s="68">
        <v>0</v>
      </c>
      <c r="O1493" s="68">
        <v>0</v>
      </c>
      <c r="P1493" s="198" t="s">
        <v>5737</v>
      </c>
    </row>
    <row r="1494" spans="1:16" ht="18.75" hidden="1">
      <c r="A1494" s="50" t="s">
        <v>4400</v>
      </c>
      <c r="B1494" s="50" t="s">
        <v>4307</v>
      </c>
      <c r="C1494" s="50" t="s">
        <v>4458</v>
      </c>
      <c r="D1494" s="50" t="s">
        <v>4180</v>
      </c>
      <c r="E1494" s="12">
        <v>95</v>
      </c>
      <c r="F1494" s="49">
        <v>196660</v>
      </c>
      <c r="G1494" s="67" t="s">
        <v>5611</v>
      </c>
      <c r="H1494" s="14" t="s">
        <v>5601</v>
      </c>
      <c r="I1494" s="14" t="s">
        <v>2458</v>
      </c>
      <c r="J1494" s="33" t="s">
        <v>7110</v>
      </c>
      <c r="K1494" s="33" t="s">
        <v>4500</v>
      </c>
      <c r="L1494" s="68">
        <v>0</v>
      </c>
      <c r="M1494" s="68" t="s">
        <v>8915</v>
      </c>
      <c r="N1494" s="68">
        <v>0</v>
      </c>
      <c r="O1494" s="68">
        <v>0</v>
      </c>
      <c r="P1494" s="198" t="s">
        <v>5708</v>
      </c>
    </row>
    <row r="1495" spans="1:16" ht="18.75" hidden="1">
      <c r="A1495" s="50" t="s">
        <v>4401</v>
      </c>
      <c r="B1495" s="50" t="s">
        <v>4442</v>
      </c>
      <c r="C1495" s="50" t="s">
        <v>4459</v>
      </c>
      <c r="D1495" s="50" t="s">
        <v>3966</v>
      </c>
      <c r="E1495" s="12">
        <v>95</v>
      </c>
      <c r="F1495" s="49">
        <v>119986</v>
      </c>
      <c r="G1495" s="67" t="s">
        <v>5652</v>
      </c>
      <c r="H1495" s="14" t="s">
        <v>5601</v>
      </c>
      <c r="I1495" s="14" t="s">
        <v>2458</v>
      </c>
      <c r="J1495" s="33" t="s">
        <v>7110</v>
      </c>
      <c r="K1495" s="33" t="s">
        <v>4500</v>
      </c>
      <c r="L1495" s="68">
        <v>0</v>
      </c>
      <c r="M1495" s="68" t="s">
        <v>8915</v>
      </c>
      <c r="N1495" s="68">
        <v>0</v>
      </c>
      <c r="O1495" s="68">
        <v>0</v>
      </c>
      <c r="P1495" s="198" t="s">
        <v>5653</v>
      </c>
    </row>
    <row r="1496" spans="1:16" ht="18.75" hidden="1">
      <c r="A1496" s="50" t="s">
        <v>4400</v>
      </c>
      <c r="B1496" s="50" t="s">
        <v>4307</v>
      </c>
      <c r="C1496" s="50" t="s">
        <v>4460</v>
      </c>
      <c r="D1496" s="50" t="s">
        <v>4183</v>
      </c>
      <c r="E1496" s="12">
        <v>95</v>
      </c>
      <c r="F1496" s="49">
        <v>303840</v>
      </c>
      <c r="G1496" s="67" t="s">
        <v>5611</v>
      </c>
      <c r="H1496" s="14" t="s">
        <v>5601</v>
      </c>
      <c r="I1496" s="14" t="s">
        <v>2458</v>
      </c>
      <c r="J1496" s="33" t="s">
        <v>7110</v>
      </c>
      <c r="K1496" s="33" t="s">
        <v>4500</v>
      </c>
      <c r="L1496" s="68">
        <v>0</v>
      </c>
      <c r="M1496" s="68" t="s">
        <v>8915</v>
      </c>
      <c r="N1496" s="68">
        <v>0</v>
      </c>
      <c r="O1496" s="68">
        <v>0</v>
      </c>
      <c r="P1496" s="198" t="s">
        <v>5708</v>
      </c>
    </row>
    <row r="1497" spans="1:16" ht="18.75" hidden="1">
      <c r="A1497" s="50" t="s">
        <v>4402</v>
      </c>
      <c r="B1497" s="50" t="s">
        <v>4442</v>
      </c>
      <c r="C1497" s="50" t="s">
        <v>4461</v>
      </c>
      <c r="D1497" s="50" t="s">
        <v>4186</v>
      </c>
      <c r="E1497" s="12">
        <v>95</v>
      </c>
      <c r="F1497" s="49">
        <v>102000</v>
      </c>
      <c r="G1497" s="67" t="s">
        <v>5609</v>
      </c>
      <c r="H1497" s="14" t="s">
        <v>5601</v>
      </c>
      <c r="I1497" s="14" t="s">
        <v>2458</v>
      </c>
      <c r="J1497" s="33" t="s">
        <v>7110</v>
      </c>
      <c r="K1497" s="33" t="s">
        <v>4500</v>
      </c>
      <c r="L1497" s="68">
        <v>0</v>
      </c>
      <c r="M1497" s="68" t="s">
        <v>8915</v>
      </c>
      <c r="N1497" s="68">
        <v>0</v>
      </c>
      <c r="O1497" s="68">
        <v>0</v>
      </c>
      <c r="P1497" s="198" t="s">
        <v>5711</v>
      </c>
    </row>
    <row r="1498" spans="1:16" ht="18.75" hidden="1">
      <c r="A1498" s="50" t="s">
        <v>4403</v>
      </c>
      <c r="B1498" s="50" t="s">
        <v>4446</v>
      </c>
      <c r="C1498" s="50" t="s">
        <v>4462</v>
      </c>
      <c r="D1498" s="50" t="s">
        <v>4442</v>
      </c>
      <c r="E1498" s="12">
        <v>95</v>
      </c>
      <c r="F1498" s="49">
        <v>1430118</v>
      </c>
      <c r="G1498" s="67" t="s">
        <v>5604</v>
      </c>
      <c r="H1498" s="14" t="s">
        <v>5601</v>
      </c>
      <c r="I1498" s="14" t="s">
        <v>2458</v>
      </c>
      <c r="J1498" s="33" t="s">
        <v>7110</v>
      </c>
      <c r="K1498" s="33" t="s">
        <v>4500</v>
      </c>
      <c r="L1498" s="68">
        <v>0</v>
      </c>
      <c r="M1498" s="68" t="s">
        <v>8915</v>
      </c>
      <c r="N1498" s="68">
        <v>0</v>
      </c>
      <c r="O1498" s="68">
        <v>0</v>
      </c>
      <c r="P1498" s="198" t="s">
        <v>5737</v>
      </c>
    </row>
    <row r="1499" spans="1:16" ht="18.75" hidden="1">
      <c r="A1499" s="50" t="s">
        <v>4404</v>
      </c>
      <c r="B1499" s="50" t="s">
        <v>4440</v>
      </c>
      <c r="C1499" s="50" t="s">
        <v>4463</v>
      </c>
      <c r="D1499" s="50" t="s">
        <v>3671</v>
      </c>
      <c r="E1499" s="12">
        <v>95</v>
      </c>
      <c r="F1499" s="49">
        <v>250000</v>
      </c>
      <c r="G1499" s="67" t="s">
        <v>5611</v>
      </c>
      <c r="H1499" s="14" t="s">
        <v>5601</v>
      </c>
      <c r="I1499" s="14" t="s">
        <v>2458</v>
      </c>
      <c r="J1499" s="33" t="s">
        <v>7110</v>
      </c>
      <c r="K1499" s="33" t="s">
        <v>4500</v>
      </c>
      <c r="L1499" s="68">
        <v>0</v>
      </c>
      <c r="M1499" s="68" t="s">
        <v>8915</v>
      </c>
      <c r="N1499" s="68">
        <v>0</v>
      </c>
      <c r="O1499" s="68">
        <v>0</v>
      </c>
      <c r="P1499" s="198" t="s">
        <v>5659</v>
      </c>
    </row>
    <row r="1500" spans="1:16" ht="18.75" hidden="1">
      <c r="A1500" s="50" t="s">
        <v>4404</v>
      </c>
      <c r="B1500" s="50" t="s">
        <v>4440</v>
      </c>
      <c r="C1500" s="50" t="s">
        <v>4464</v>
      </c>
      <c r="D1500" s="50" t="s">
        <v>3719</v>
      </c>
      <c r="E1500" s="12">
        <v>95</v>
      </c>
      <c r="F1500" s="49">
        <v>512600</v>
      </c>
      <c r="G1500" s="67" t="s">
        <v>5611</v>
      </c>
      <c r="H1500" s="14" t="s">
        <v>5601</v>
      </c>
      <c r="I1500" s="14" t="s">
        <v>2458</v>
      </c>
      <c r="J1500" s="33" t="s">
        <v>7110</v>
      </c>
      <c r="K1500" s="33" t="s">
        <v>4500</v>
      </c>
      <c r="L1500" s="68">
        <v>0</v>
      </c>
      <c r="M1500" s="68" t="s">
        <v>8915</v>
      </c>
      <c r="N1500" s="68">
        <v>0</v>
      </c>
      <c r="O1500" s="68">
        <v>0</v>
      </c>
      <c r="P1500" s="198" t="s">
        <v>5659</v>
      </c>
    </row>
    <row r="1501" spans="1:16" ht="18.75" hidden="1">
      <c r="A1501" s="50" t="s">
        <v>4404</v>
      </c>
      <c r="B1501" s="50" t="s">
        <v>4440</v>
      </c>
      <c r="C1501" s="50" t="s">
        <v>4465</v>
      </c>
      <c r="D1501" s="50" t="s">
        <v>3671</v>
      </c>
      <c r="E1501" s="12">
        <v>95</v>
      </c>
      <c r="F1501" s="49">
        <v>100000</v>
      </c>
      <c r="G1501" s="67" t="s">
        <v>5611</v>
      </c>
      <c r="H1501" s="14" t="s">
        <v>5601</v>
      </c>
      <c r="I1501" s="14" t="s">
        <v>2458</v>
      </c>
      <c r="J1501" s="33" t="s">
        <v>7110</v>
      </c>
      <c r="K1501" s="33" t="s">
        <v>4500</v>
      </c>
      <c r="L1501" s="68">
        <v>0</v>
      </c>
      <c r="M1501" s="68" t="s">
        <v>8915</v>
      </c>
      <c r="N1501" s="68">
        <v>0</v>
      </c>
      <c r="O1501" s="68">
        <v>0</v>
      </c>
      <c r="P1501" s="198" t="s">
        <v>5659</v>
      </c>
    </row>
    <row r="1502" spans="1:16" ht="18.75" hidden="1">
      <c r="A1502" s="50" t="s">
        <v>4404</v>
      </c>
      <c r="B1502" s="50" t="s">
        <v>4440</v>
      </c>
      <c r="C1502" s="50" t="s">
        <v>4466</v>
      </c>
      <c r="D1502" s="50" t="s">
        <v>3935</v>
      </c>
      <c r="E1502" s="12">
        <v>95</v>
      </c>
      <c r="F1502" s="49">
        <v>293756</v>
      </c>
      <c r="G1502" s="67" t="s">
        <v>5611</v>
      </c>
      <c r="H1502" s="14" t="s">
        <v>5601</v>
      </c>
      <c r="I1502" s="14" t="s">
        <v>2458</v>
      </c>
      <c r="J1502" s="33" t="s">
        <v>7110</v>
      </c>
      <c r="K1502" s="33" t="s">
        <v>4500</v>
      </c>
      <c r="L1502" s="68">
        <v>0</v>
      </c>
      <c r="M1502" s="68" t="s">
        <v>8915</v>
      </c>
      <c r="N1502" s="68">
        <v>0</v>
      </c>
      <c r="O1502" s="68">
        <v>0</v>
      </c>
      <c r="P1502" s="198" t="s">
        <v>5675</v>
      </c>
    </row>
    <row r="1503" spans="1:16" ht="18.75" hidden="1">
      <c r="A1503" s="50" t="s">
        <v>4405</v>
      </c>
      <c r="B1503" s="50" t="s">
        <v>4444</v>
      </c>
      <c r="C1503" s="50" t="s">
        <v>4467</v>
      </c>
      <c r="D1503" s="50" t="s">
        <v>3932</v>
      </c>
      <c r="E1503" s="12">
        <v>95</v>
      </c>
      <c r="F1503" s="49">
        <v>991970</v>
      </c>
      <c r="G1503" s="67" t="s">
        <v>5609</v>
      </c>
      <c r="H1503" s="14" t="s">
        <v>5601</v>
      </c>
      <c r="I1503" s="14" t="s">
        <v>2458</v>
      </c>
      <c r="J1503" s="33" t="s">
        <v>7110</v>
      </c>
      <c r="K1503" s="33" t="s">
        <v>4500</v>
      </c>
      <c r="L1503" s="68">
        <v>0</v>
      </c>
      <c r="M1503" s="68" t="s">
        <v>8915</v>
      </c>
      <c r="N1503" s="68">
        <v>0</v>
      </c>
      <c r="O1503" s="68">
        <v>0</v>
      </c>
      <c r="P1503" s="198" t="s">
        <v>5688</v>
      </c>
    </row>
    <row r="1504" spans="1:16" ht="18.75" hidden="1">
      <c r="A1504" s="50" t="s">
        <v>4406</v>
      </c>
      <c r="B1504" s="50" t="s">
        <v>4444</v>
      </c>
      <c r="C1504" s="50" t="s">
        <v>4212</v>
      </c>
      <c r="D1504" s="50" t="s">
        <v>4183</v>
      </c>
      <c r="E1504" s="12">
        <v>95</v>
      </c>
      <c r="F1504" s="49">
        <v>989190</v>
      </c>
      <c r="G1504" s="67" t="s">
        <v>5616</v>
      </c>
      <c r="H1504" s="14" t="s">
        <v>5601</v>
      </c>
      <c r="I1504" s="14" t="s">
        <v>2458</v>
      </c>
      <c r="J1504" s="33" t="s">
        <v>7110</v>
      </c>
      <c r="K1504" s="33" t="s">
        <v>4500</v>
      </c>
      <c r="L1504" s="68">
        <v>0</v>
      </c>
      <c r="M1504" s="68" t="s">
        <v>8915</v>
      </c>
      <c r="N1504" s="68">
        <v>0</v>
      </c>
      <c r="O1504" s="68">
        <v>0</v>
      </c>
      <c r="P1504" s="198" t="s">
        <v>5701</v>
      </c>
    </row>
    <row r="1505" spans="1:16" ht="18.75" hidden="1">
      <c r="A1505" s="50" t="s">
        <v>4404</v>
      </c>
      <c r="B1505" s="50" t="s">
        <v>4440</v>
      </c>
      <c r="C1505" s="50" t="s">
        <v>4468</v>
      </c>
      <c r="D1505" s="50" t="s">
        <v>3767</v>
      </c>
      <c r="E1505" s="12">
        <v>95</v>
      </c>
      <c r="F1505" s="49">
        <v>195840</v>
      </c>
      <c r="G1505" s="67" t="s">
        <v>5611</v>
      </c>
      <c r="H1505" s="14" t="s">
        <v>5601</v>
      </c>
      <c r="I1505" s="14" t="s">
        <v>2458</v>
      </c>
      <c r="J1505" s="33" t="s">
        <v>7110</v>
      </c>
      <c r="K1505" s="33" t="s">
        <v>4500</v>
      </c>
      <c r="L1505" s="68">
        <v>0</v>
      </c>
      <c r="M1505" s="68" t="s">
        <v>8915</v>
      </c>
      <c r="N1505" s="68">
        <v>0</v>
      </c>
      <c r="O1505" s="68">
        <v>0</v>
      </c>
      <c r="P1505" s="198" t="s">
        <v>5659</v>
      </c>
    </row>
    <row r="1506" spans="1:16" ht="18.75" hidden="1">
      <c r="A1506" s="50" t="s">
        <v>4402</v>
      </c>
      <c r="B1506" s="50" t="s">
        <v>4442</v>
      </c>
      <c r="C1506" s="50" t="s">
        <v>4469</v>
      </c>
      <c r="D1506" s="50" t="s">
        <v>3671</v>
      </c>
      <c r="E1506" s="12">
        <v>95</v>
      </c>
      <c r="F1506" s="49">
        <v>200000</v>
      </c>
      <c r="G1506" s="67" t="s">
        <v>5611</v>
      </c>
      <c r="H1506" s="14" t="s">
        <v>5601</v>
      </c>
      <c r="I1506" s="14" t="s">
        <v>2458</v>
      </c>
      <c r="J1506" s="33" t="s">
        <v>7110</v>
      </c>
      <c r="K1506" s="33" t="s">
        <v>4500</v>
      </c>
      <c r="L1506" s="68">
        <v>0</v>
      </c>
      <c r="M1506" s="68" t="s">
        <v>8915</v>
      </c>
      <c r="N1506" s="68">
        <v>0</v>
      </c>
      <c r="O1506" s="68">
        <v>0</v>
      </c>
      <c r="P1506" s="198" t="s">
        <v>5659</v>
      </c>
    </row>
    <row r="1507" spans="1:16" ht="18.75" hidden="1">
      <c r="A1507" s="50" t="s">
        <v>4404</v>
      </c>
      <c r="B1507" s="50" t="s">
        <v>4440</v>
      </c>
      <c r="C1507" s="50" t="s">
        <v>4470</v>
      </c>
      <c r="D1507" s="50" t="s">
        <v>3671</v>
      </c>
      <c r="E1507" s="12">
        <v>95</v>
      </c>
      <c r="F1507" s="49">
        <v>200000</v>
      </c>
      <c r="G1507" s="67" t="s">
        <v>5611</v>
      </c>
      <c r="H1507" s="14" t="s">
        <v>5601</v>
      </c>
      <c r="I1507" s="14" t="s">
        <v>2458</v>
      </c>
      <c r="J1507" s="33" t="s">
        <v>7110</v>
      </c>
      <c r="K1507" s="33" t="s">
        <v>4500</v>
      </c>
      <c r="L1507" s="68">
        <v>0</v>
      </c>
      <c r="M1507" s="68" t="s">
        <v>8915</v>
      </c>
      <c r="N1507" s="68">
        <v>0</v>
      </c>
      <c r="O1507" s="68">
        <v>0</v>
      </c>
      <c r="P1507" s="198" t="s">
        <v>5659</v>
      </c>
    </row>
    <row r="1508" spans="1:16" ht="18.75" hidden="1">
      <c r="A1508" s="50" t="s">
        <v>4404</v>
      </c>
      <c r="B1508" s="50" t="s">
        <v>4440</v>
      </c>
      <c r="C1508" s="50" t="s">
        <v>4471</v>
      </c>
      <c r="D1508" s="50" t="s">
        <v>3719</v>
      </c>
      <c r="E1508" s="12">
        <v>95</v>
      </c>
      <c r="F1508" s="49">
        <v>180000</v>
      </c>
      <c r="G1508" s="67" t="s">
        <v>5611</v>
      </c>
      <c r="H1508" s="14" t="s">
        <v>5601</v>
      </c>
      <c r="I1508" s="14" t="s">
        <v>2458</v>
      </c>
      <c r="J1508" s="33" t="s">
        <v>7110</v>
      </c>
      <c r="K1508" s="33" t="s">
        <v>4500</v>
      </c>
      <c r="L1508" s="68">
        <v>0</v>
      </c>
      <c r="M1508" s="68" t="s">
        <v>8915</v>
      </c>
      <c r="N1508" s="68">
        <v>0</v>
      </c>
      <c r="O1508" s="68">
        <v>0</v>
      </c>
      <c r="P1508" s="198" t="s">
        <v>5659</v>
      </c>
    </row>
    <row r="1509" spans="1:16" ht="18.75" hidden="1">
      <c r="A1509" s="50" t="s">
        <v>4407</v>
      </c>
      <c r="B1509" s="50" t="s">
        <v>4441</v>
      </c>
      <c r="C1509" s="50" t="s">
        <v>4212</v>
      </c>
      <c r="D1509" s="50" t="s">
        <v>4183</v>
      </c>
      <c r="E1509" s="12">
        <v>95</v>
      </c>
      <c r="F1509" s="49">
        <v>989270</v>
      </c>
      <c r="G1509" s="67" t="s">
        <v>5616</v>
      </c>
      <c r="H1509" s="14" t="s">
        <v>5601</v>
      </c>
      <c r="I1509" s="14" t="s">
        <v>2458</v>
      </c>
      <c r="J1509" s="33" t="s">
        <v>7110</v>
      </c>
      <c r="K1509" s="33" t="s">
        <v>4500</v>
      </c>
      <c r="L1509" s="68">
        <v>0</v>
      </c>
      <c r="M1509" s="68" t="s">
        <v>8915</v>
      </c>
      <c r="N1509" s="68">
        <v>0</v>
      </c>
      <c r="O1509" s="68">
        <v>0</v>
      </c>
      <c r="P1509" s="198" t="s">
        <v>5701</v>
      </c>
    </row>
    <row r="1510" spans="1:16" ht="18.75" hidden="1">
      <c r="A1510" s="50" t="s">
        <v>4408</v>
      </c>
      <c r="B1510" s="50" t="s">
        <v>4441</v>
      </c>
      <c r="C1510" s="50" t="s">
        <v>4499</v>
      </c>
      <c r="D1510" s="50" t="s">
        <v>4443</v>
      </c>
      <c r="E1510" s="12">
        <v>95</v>
      </c>
      <c r="F1510" s="49">
        <v>963024</v>
      </c>
      <c r="G1510" s="67" t="s">
        <v>5604</v>
      </c>
      <c r="H1510" s="14" t="s">
        <v>5601</v>
      </c>
      <c r="I1510" s="14" t="s">
        <v>2458</v>
      </c>
      <c r="J1510" s="33" t="s">
        <v>7110</v>
      </c>
      <c r="K1510" s="33" t="s">
        <v>4500</v>
      </c>
      <c r="L1510" s="68">
        <v>0</v>
      </c>
      <c r="M1510" s="68" t="s">
        <v>8915</v>
      </c>
      <c r="N1510" s="68">
        <v>0</v>
      </c>
      <c r="O1510" s="68">
        <v>0</v>
      </c>
      <c r="P1510" s="198" t="s">
        <v>5691</v>
      </c>
    </row>
    <row r="1511" spans="1:16" ht="18.75" hidden="1">
      <c r="A1511" s="50" t="s">
        <v>4404</v>
      </c>
      <c r="B1511" s="50" t="s">
        <v>4440</v>
      </c>
      <c r="C1511" s="50" t="s">
        <v>4213</v>
      </c>
      <c r="D1511" s="50" t="s">
        <v>3767</v>
      </c>
      <c r="E1511" s="12">
        <v>95</v>
      </c>
      <c r="F1511" s="49">
        <v>264304</v>
      </c>
      <c r="G1511" s="67" t="s">
        <v>5611</v>
      </c>
      <c r="H1511" s="14" t="s">
        <v>5601</v>
      </c>
      <c r="I1511" s="14" t="s">
        <v>2458</v>
      </c>
      <c r="J1511" s="33" t="s">
        <v>7110</v>
      </c>
      <c r="K1511" s="33" t="s">
        <v>4500</v>
      </c>
      <c r="L1511" s="68">
        <v>0</v>
      </c>
      <c r="M1511" s="68" t="s">
        <v>8915</v>
      </c>
      <c r="N1511" s="68">
        <v>0</v>
      </c>
      <c r="O1511" s="68">
        <v>0</v>
      </c>
      <c r="P1511" s="198" t="s">
        <v>5659</v>
      </c>
    </row>
    <row r="1512" spans="1:16" ht="18.75" hidden="1">
      <c r="A1512" s="50" t="s">
        <v>4401</v>
      </c>
      <c r="B1512" s="50" t="s">
        <v>4442</v>
      </c>
      <c r="C1512" s="50" t="s">
        <v>4456</v>
      </c>
      <c r="D1512" s="50" t="s">
        <v>3664</v>
      </c>
      <c r="E1512" s="12">
        <v>95</v>
      </c>
      <c r="F1512" s="49">
        <v>365114</v>
      </c>
      <c r="G1512" s="67" t="s">
        <v>5652</v>
      </c>
      <c r="H1512" s="14" t="s">
        <v>5601</v>
      </c>
      <c r="I1512" s="14" t="s">
        <v>2458</v>
      </c>
      <c r="J1512" s="33" t="s">
        <v>7110</v>
      </c>
      <c r="K1512" s="33" t="s">
        <v>4500</v>
      </c>
      <c r="L1512" s="68">
        <v>0</v>
      </c>
      <c r="M1512" s="68" t="s">
        <v>8915</v>
      </c>
      <c r="N1512" s="68">
        <v>0</v>
      </c>
      <c r="O1512" s="68">
        <v>0</v>
      </c>
      <c r="P1512" s="198" t="s">
        <v>5653</v>
      </c>
    </row>
    <row r="1513" spans="1:16" ht="18.75" hidden="1">
      <c r="A1513" s="50" t="s">
        <v>4409</v>
      </c>
      <c r="B1513" s="50" t="s">
        <v>4444</v>
      </c>
      <c r="C1513" s="50" t="s">
        <v>4473</v>
      </c>
      <c r="D1513" s="50" t="s">
        <v>4175</v>
      </c>
      <c r="E1513" s="12">
        <v>95</v>
      </c>
      <c r="F1513" s="49">
        <v>557113</v>
      </c>
      <c r="G1513" s="67" t="s">
        <v>5631</v>
      </c>
      <c r="H1513" s="14" t="s">
        <v>5601</v>
      </c>
      <c r="I1513" s="14" t="s">
        <v>2458</v>
      </c>
      <c r="J1513" s="33" t="s">
        <v>7110</v>
      </c>
      <c r="K1513" s="33" t="s">
        <v>4500</v>
      </c>
      <c r="L1513" s="68">
        <v>0</v>
      </c>
      <c r="M1513" s="68" t="s">
        <v>8915</v>
      </c>
      <c r="N1513" s="68">
        <v>0</v>
      </c>
      <c r="O1513" s="68">
        <v>0</v>
      </c>
      <c r="P1513" s="197" t="s">
        <v>5712</v>
      </c>
    </row>
    <row r="1514" spans="1:16" ht="18.75" hidden="1">
      <c r="A1514" s="50" t="s">
        <v>4409</v>
      </c>
      <c r="B1514" s="50" t="s">
        <v>4444</v>
      </c>
      <c r="C1514" s="50" t="s">
        <v>4188</v>
      </c>
      <c r="D1514" s="50" t="s">
        <v>4186</v>
      </c>
      <c r="E1514" s="12">
        <v>95</v>
      </c>
      <c r="F1514" s="49">
        <v>40187</v>
      </c>
      <c r="G1514" s="67" t="s">
        <v>5631</v>
      </c>
      <c r="H1514" s="14" t="s">
        <v>5601</v>
      </c>
      <c r="I1514" s="14" t="s">
        <v>2458</v>
      </c>
      <c r="J1514" s="33" t="s">
        <v>7110</v>
      </c>
      <c r="K1514" s="33" t="s">
        <v>4500</v>
      </c>
      <c r="L1514" s="68">
        <v>0</v>
      </c>
      <c r="M1514" s="68" t="s">
        <v>8915</v>
      </c>
      <c r="N1514" s="68">
        <v>0</v>
      </c>
      <c r="O1514" s="68">
        <v>0</v>
      </c>
      <c r="P1514" s="197" t="s">
        <v>5698</v>
      </c>
    </row>
    <row r="1515" spans="1:16" ht="18.75" hidden="1">
      <c r="A1515" s="50" t="s">
        <v>4410</v>
      </c>
      <c r="B1515" s="50" t="s">
        <v>4444</v>
      </c>
      <c r="C1515" s="50" t="s">
        <v>4474</v>
      </c>
      <c r="D1515" s="50" t="s">
        <v>4174</v>
      </c>
      <c r="E1515" s="12">
        <v>95</v>
      </c>
      <c r="F1515" s="49">
        <v>870751</v>
      </c>
      <c r="G1515" s="67" t="s">
        <v>5604</v>
      </c>
      <c r="H1515" s="14" t="s">
        <v>5601</v>
      </c>
      <c r="I1515" s="14" t="s">
        <v>2458</v>
      </c>
      <c r="J1515" s="33" t="s">
        <v>7110</v>
      </c>
      <c r="K1515" s="33" t="s">
        <v>4500</v>
      </c>
      <c r="L1515" s="68">
        <v>0</v>
      </c>
      <c r="M1515" s="68" t="s">
        <v>8915</v>
      </c>
      <c r="N1515" s="68">
        <v>0</v>
      </c>
      <c r="O1515" s="68">
        <v>0</v>
      </c>
      <c r="P1515" s="198" t="s">
        <v>5729</v>
      </c>
    </row>
    <row r="1516" spans="1:16" ht="18.75" hidden="1">
      <c r="A1516" s="50" t="s">
        <v>4411</v>
      </c>
      <c r="B1516" s="50" t="s">
        <v>4442</v>
      </c>
      <c r="C1516" s="50" t="s">
        <v>4475</v>
      </c>
      <c r="D1516" s="50" t="s">
        <v>3966</v>
      </c>
      <c r="E1516" s="12">
        <v>95</v>
      </c>
      <c r="F1516" s="49">
        <v>198000</v>
      </c>
      <c r="G1516" s="67" t="s">
        <v>5652</v>
      </c>
      <c r="H1516" s="14" t="s">
        <v>5601</v>
      </c>
      <c r="I1516" s="14" t="s">
        <v>2458</v>
      </c>
      <c r="J1516" s="33" t="s">
        <v>7110</v>
      </c>
      <c r="K1516" s="33" t="s">
        <v>4500</v>
      </c>
      <c r="L1516" s="68">
        <v>0</v>
      </c>
      <c r="M1516" s="68" t="s">
        <v>8915</v>
      </c>
      <c r="N1516" s="68">
        <v>0</v>
      </c>
      <c r="O1516" s="68">
        <v>0</v>
      </c>
      <c r="P1516" s="198" t="s">
        <v>5653</v>
      </c>
    </row>
    <row r="1517" spans="1:16" ht="18.75" hidden="1">
      <c r="A1517" s="50" t="s">
        <v>4412</v>
      </c>
      <c r="B1517" s="50" t="s">
        <v>4437</v>
      </c>
      <c r="C1517" s="50" t="s">
        <v>4202</v>
      </c>
      <c r="D1517" s="50" t="s">
        <v>4182</v>
      </c>
      <c r="E1517" s="12">
        <v>95</v>
      </c>
      <c r="F1517" s="49">
        <v>2030</v>
      </c>
      <c r="G1517" s="67" t="s">
        <v>5607</v>
      </c>
      <c r="H1517" s="14" t="s">
        <v>5601</v>
      </c>
      <c r="I1517" s="14" t="s">
        <v>2458</v>
      </c>
      <c r="J1517" s="33" t="s">
        <v>7110</v>
      </c>
      <c r="K1517" s="33" t="s">
        <v>4500</v>
      </c>
      <c r="L1517" s="68">
        <v>0</v>
      </c>
      <c r="M1517" s="68" t="s">
        <v>8915</v>
      </c>
      <c r="N1517" s="68">
        <v>0</v>
      </c>
      <c r="O1517" s="68">
        <v>0</v>
      </c>
      <c r="P1517" s="198" t="s">
        <v>5690</v>
      </c>
    </row>
    <row r="1518" spans="1:16" ht="18.75" hidden="1">
      <c r="A1518" s="50" t="s">
        <v>4413</v>
      </c>
      <c r="B1518" s="50" t="s">
        <v>4440</v>
      </c>
      <c r="C1518" s="50" t="s">
        <v>4476</v>
      </c>
      <c r="D1518" s="50" t="s">
        <v>4186</v>
      </c>
      <c r="E1518" s="12">
        <v>95</v>
      </c>
      <c r="F1518" s="49">
        <v>137500</v>
      </c>
      <c r="G1518" s="67" t="s">
        <v>5604</v>
      </c>
      <c r="H1518" s="14" t="s">
        <v>5601</v>
      </c>
      <c r="I1518" s="14" t="s">
        <v>2458</v>
      </c>
      <c r="J1518" s="33" t="s">
        <v>7110</v>
      </c>
      <c r="K1518" s="33" t="s">
        <v>4500</v>
      </c>
      <c r="L1518" s="68">
        <v>0</v>
      </c>
      <c r="M1518" s="68" t="s">
        <v>8915</v>
      </c>
      <c r="N1518" s="68">
        <v>0</v>
      </c>
      <c r="O1518" s="68">
        <v>0</v>
      </c>
      <c r="P1518" s="198" t="s">
        <v>5710</v>
      </c>
    </row>
    <row r="1519" spans="1:16" ht="18.75" hidden="1">
      <c r="A1519" s="50" t="s">
        <v>4413</v>
      </c>
      <c r="B1519" s="50" t="s">
        <v>4440</v>
      </c>
      <c r="C1519" s="50" t="s">
        <v>3406</v>
      </c>
      <c r="D1519" s="50" t="s">
        <v>3323</v>
      </c>
      <c r="E1519" s="12">
        <v>95</v>
      </c>
      <c r="F1519" s="49">
        <v>67927</v>
      </c>
      <c r="G1519" s="67" t="s">
        <v>5604</v>
      </c>
      <c r="H1519" s="14" t="s">
        <v>5601</v>
      </c>
      <c r="I1519" s="14" t="s">
        <v>2458</v>
      </c>
      <c r="J1519" s="33" t="s">
        <v>7110</v>
      </c>
      <c r="K1519" s="33" t="s">
        <v>4500</v>
      </c>
      <c r="L1519" s="68">
        <v>0</v>
      </c>
      <c r="M1519" s="68" t="s">
        <v>8915</v>
      </c>
      <c r="N1519" s="68">
        <v>0</v>
      </c>
      <c r="O1519" s="68">
        <v>0</v>
      </c>
      <c r="P1519" s="198" t="s">
        <v>5618</v>
      </c>
    </row>
    <row r="1520" spans="1:16" ht="18.75" hidden="1">
      <c r="A1520" s="50" t="s">
        <v>4413</v>
      </c>
      <c r="B1520" s="50" t="s">
        <v>4440</v>
      </c>
      <c r="C1520" s="50" t="s">
        <v>4477</v>
      </c>
      <c r="D1520" s="50" t="s">
        <v>3453</v>
      </c>
      <c r="E1520" s="12">
        <v>95</v>
      </c>
      <c r="F1520" s="49">
        <v>67094</v>
      </c>
      <c r="G1520" s="67" t="s">
        <v>5604</v>
      </c>
      <c r="H1520" s="14" t="s">
        <v>5601</v>
      </c>
      <c r="I1520" s="14" t="s">
        <v>2458</v>
      </c>
      <c r="J1520" s="33" t="s">
        <v>7110</v>
      </c>
      <c r="K1520" s="33" t="s">
        <v>4500</v>
      </c>
      <c r="L1520" s="68">
        <v>0</v>
      </c>
      <c r="M1520" s="68" t="s">
        <v>8915</v>
      </c>
      <c r="N1520" s="68">
        <v>0</v>
      </c>
      <c r="O1520" s="68">
        <v>0</v>
      </c>
      <c r="P1520" s="198" t="s">
        <v>5618</v>
      </c>
    </row>
    <row r="1521" spans="1:16" ht="18.75" hidden="1">
      <c r="A1521" s="50" t="s">
        <v>4413</v>
      </c>
      <c r="B1521" s="50" t="s">
        <v>4440</v>
      </c>
      <c r="C1521" s="50" t="s">
        <v>3407</v>
      </c>
      <c r="D1521" s="50" t="s">
        <v>3322</v>
      </c>
      <c r="E1521" s="12">
        <v>95</v>
      </c>
      <c r="F1521" s="49">
        <v>17337</v>
      </c>
      <c r="G1521" s="67" t="s">
        <v>5604</v>
      </c>
      <c r="H1521" s="14" t="s">
        <v>5601</v>
      </c>
      <c r="I1521" s="14" t="s">
        <v>2458</v>
      </c>
      <c r="J1521" s="33" t="s">
        <v>7110</v>
      </c>
      <c r="K1521" s="33" t="s">
        <v>4500</v>
      </c>
      <c r="L1521" s="68">
        <v>0</v>
      </c>
      <c r="M1521" s="68" t="s">
        <v>8915</v>
      </c>
      <c r="N1521" s="68">
        <v>0</v>
      </c>
      <c r="O1521" s="68">
        <v>0</v>
      </c>
      <c r="P1521" s="198" t="s">
        <v>5618</v>
      </c>
    </row>
    <row r="1522" spans="1:16" ht="18.75" hidden="1">
      <c r="A1522" s="50" t="s">
        <v>4413</v>
      </c>
      <c r="B1522" s="50" t="s">
        <v>4440</v>
      </c>
      <c r="C1522" s="50" t="s">
        <v>3730</v>
      </c>
      <c r="D1522" s="50" t="s">
        <v>3667</v>
      </c>
      <c r="E1522" s="12">
        <v>95</v>
      </c>
      <c r="F1522" s="49">
        <v>9784</v>
      </c>
      <c r="G1522" s="67" t="s">
        <v>5604</v>
      </c>
      <c r="H1522" s="14" t="s">
        <v>5601</v>
      </c>
      <c r="I1522" s="14" t="s">
        <v>2458</v>
      </c>
      <c r="J1522" s="33" t="s">
        <v>7110</v>
      </c>
      <c r="K1522" s="33" t="s">
        <v>4500</v>
      </c>
      <c r="L1522" s="68">
        <v>0</v>
      </c>
      <c r="M1522" s="68" t="s">
        <v>8915</v>
      </c>
      <c r="N1522" s="68">
        <v>0</v>
      </c>
      <c r="O1522" s="68">
        <v>0</v>
      </c>
      <c r="P1522" s="198" t="s">
        <v>5649</v>
      </c>
    </row>
    <row r="1523" spans="1:16" ht="18.75" hidden="1">
      <c r="A1523" s="50" t="s">
        <v>4413</v>
      </c>
      <c r="B1523" s="50" t="s">
        <v>4440</v>
      </c>
      <c r="C1523" s="50" t="s">
        <v>3184</v>
      </c>
      <c r="D1523" s="50" t="s">
        <v>3051</v>
      </c>
      <c r="E1523" s="12">
        <v>95</v>
      </c>
      <c r="F1523" s="49">
        <v>828</v>
      </c>
      <c r="G1523" s="67" t="s">
        <v>5604</v>
      </c>
      <c r="H1523" s="14" t="s">
        <v>5601</v>
      </c>
      <c r="I1523" s="14" t="s">
        <v>2458</v>
      </c>
      <c r="J1523" s="33" t="s">
        <v>7110</v>
      </c>
      <c r="K1523" s="33" t="s">
        <v>4500</v>
      </c>
      <c r="L1523" s="68">
        <v>0</v>
      </c>
      <c r="M1523" s="68" t="s">
        <v>8915</v>
      </c>
      <c r="N1523" s="68">
        <v>0</v>
      </c>
      <c r="O1523" s="68">
        <v>0</v>
      </c>
      <c r="P1523" s="198" t="s">
        <v>5618</v>
      </c>
    </row>
    <row r="1524" spans="1:16" ht="18.75" hidden="1">
      <c r="A1524" s="50" t="s">
        <v>4412</v>
      </c>
      <c r="B1524" s="50" t="s">
        <v>4437</v>
      </c>
      <c r="C1524" s="50" t="s">
        <v>4478</v>
      </c>
      <c r="D1524" s="50" t="s">
        <v>4180</v>
      </c>
      <c r="E1524" s="12">
        <v>95</v>
      </c>
      <c r="F1524" s="49">
        <v>999150</v>
      </c>
      <c r="G1524" s="67" t="s">
        <v>5607</v>
      </c>
      <c r="H1524" s="14" t="s">
        <v>5601</v>
      </c>
      <c r="I1524" s="14" t="s">
        <v>2458</v>
      </c>
      <c r="J1524" s="33" t="s">
        <v>7110</v>
      </c>
      <c r="K1524" s="33" t="s">
        <v>4500</v>
      </c>
      <c r="L1524" s="68">
        <v>0</v>
      </c>
      <c r="M1524" s="68" t="s">
        <v>8915</v>
      </c>
      <c r="N1524" s="68">
        <v>0</v>
      </c>
      <c r="O1524" s="68">
        <v>0</v>
      </c>
      <c r="P1524" s="198" t="s">
        <v>5690</v>
      </c>
    </row>
    <row r="1525" spans="1:16" ht="18.75" hidden="1">
      <c r="A1525" s="50" t="s">
        <v>4414</v>
      </c>
      <c r="B1525" s="50" t="s">
        <v>4443</v>
      </c>
      <c r="C1525" s="50" t="s">
        <v>4207</v>
      </c>
      <c r="D1525" s="50" t="s">
        <v>3934</v>
      </c>
      <c r="E1525" s="12">
        <v>95</v>
      </c>
      <c r="F1525" s="49">
        <v>267780</v>
      </c>
      <c r="G1525" s="67" t="s">
        <v>5616</v>
      </c>
      <c r="H1525" s="14" t="s">
        <v>5601</v>
      </c>
      <c r="I1525" s="14" t="s">
        <v>2458</v>
      </c>
      <c r="J1525" s="33" t="s">
        <v>7110</v>
      </c>
      <c r="K1525" s="33" t="s">
        <v>4500</v>
      </c>
      <c r="L1525" s="68">
        <v>0</v>
      </c>
      <c r="M1525" s="68" t="s">
        <v>8915</v>
      </c>
      <c r="N1525" s="68">
        <v>0</v>
      </c>
      <c r="O1525" s="68">
        <v>0</v>
      </c>
      <c r="P1525" s="198" t="s">
        <v>5701</v>
      </c>
    </row>
    <row r="1526" spans="1:16" ht="18.75" hidden="1">
      <c r="A1526" s="50" t="s">
        <v>4415</v>
      </c>
      <c r="B1526" s="50" t="s">
        <v>4438</v>
      </c>
      <c r="C1526" s="50" t="s">
        <v>4479</v>
      </c>
      <c r="D1526" s="50" t="s">
        <v>3720</v>
      </c>
      <c r="E1526" s="12">
        <v>95</v>
      </c>
      <c r="F1526" s="49">
        <v>199540</v>
      </c>
      <c r="G1526" s="67" t="s">
        <v>5609</v>
      </c>
      <c r="H1526" s="14" t="s">
        <v>5601</v>
      </c>
      <c r="I1526" s="14" t="s">
        <v>2458</v>
      </c>
      <c r="J1526" s="33" t="s">
        <v>7110</v>
      </c>
      <c r="K1526" s="33" t="s">
        <v>4500</v>
      </c>
      <c r="L1526" s="68">
        <v>0</v>
      </c>
      <c r="M1526" s="68" t="s">
        <v>8915</v>
      </c>
      <c r="N1526" s="68">
        <v>0</v>
      </c>
      <c r="O1526" s="68">
        <v>0</v>
      </c>
      <c r="P1526" s="198" t="s">
        <v>5670</v>
      </c>
    </row>
    <row r="1527" spans="1:16" ht="18.75" hidden="1">
      <c r="A1527" s="50" t="s">
        <v>4416</v>
      </c>
      <c r="B1527" s="50" t="s">
        <v>4441</v>
      </c>
      <c r="C1527" s="50" t="s">
        <v>4480</v>
      </c>
      <c r="D1527" s="50" t="s">
        <v>4443</v>
      </c>
      <c r="E1527" s="12">
        <v>95</v>
      </c>
      <c r="F1527" s="49">
        <v>4194324</v>
      </c>
      <c r="G1527" s="67" t="s">
        <v>5604</v>
      </c>
      <c r="H1527" s="14" t="s">
        <v>5601</v>
      </c>
      <c r="I1527" s="14" t="s">
        <v>2458</v>
      </c>
      <c r="J1527" s="33" t="s">
        <v>7110</v>
      </c>
      <c r="K1527" s="33" t="s">
        <v>4500</v>
      </c>
      <c r="L1527" s="68">
        <v>0</v>
      </c>
      <c r="M1527" s="68" t="s">
        <v>8915</v>
      </c>
      <c r="N1527" s="68">
        <v>0</v>
      </c>
      <c r="O1527" s="68">
        <v>0</v>
      </c>
      <c r="P1527" s="198" t="s">
        <v>5737</v>
      </c>
    </row>
    <row r="1528" spans="1:16" ht="18.75" hidden="1">
      <c r="A1528" s="50" t="s">
        <v>4417</v>
      </c>
      <c r="B1528" s="50" t="s">
        <v>4438</v>
      </c>
      <c r="C1528" s="50" t="s">
        <v>4481</v>
      </c>
      <c r="D1528" s="50" t="s">
        <v>3767</v>
      </c>
      <c r="E1528" s="12">
        <v>95</v>
      </c>
      <c r="F1528" s="49">
        <v>7300</v>
      </c>
      <c r="G1528" s="67" t="s">
        <v>5611</v>
      </c>
      <c r="H1528" s="14" t="s">
        <v>5601</v>
      </c>
      <c r="I1528" s="14" t="s">
        <v>2458</v>
      </c>
      <c r="J1528" s="33" t="s">
        <v>7110</v>
      </c>
      <c r="K1528" s="33" t="s">
        <v>4500</v>
      </c>
      <c r="L1528" s="68">
        <v>0</v>
      </c>
      <c r="M1528" s="68" t="s">
        <v>8915</v>
      </c>
      <c r="N1528" s="68">
        <v>0</v>
      </c>
      <c r="O1528" s="68">
        <v>0</v>
      </c>
      <c r="P1528" s="198" t="s">
        <v>5659</v>
      </c>
    </row>
    <row r="1529" spans="1:16" ht="18.75" hidden="1">
      <c r="A1529" s="50" t="s">
        <v>4415</v>
      </c>
      <c r="B1529" s="50" t="s">
        <v>4438</v>
      </c>
      <c r="C1529" s="50" t="s">
        <v>4467</v>
      </c>
      <c r="D1529" s="50" t="s">
        <v>3932</v>
      </c>
      <c r="E1529" s="12">
        <v>95</v>
      </c>
      <c r="F1529" s="49">
        <v>2604</v>
      </c>
      <c r="G1529" s="67" t="s">
        <v>5609</v>
      </c>
      <c r="H1529" s="14" t="s">
        <v>5601</v>
      </c>
      <c r="I1529" s="14" t="s">
        <v>2458</v>
      </c>
      <c r="J1529" s="33" t="s">
        <v>7110</v>
      </c>
      <c r="K1529" s="33" t="s">
        <v>4500</v>
      </c>
      <c r="L1529" s="68">
        <v>0</v>
      </c>
      <c r="M1529" s="68" t="s">
        <v>8915</v>
      </c>
      <c r="N1529" s="68">
        <v>0</v>
      </c>
      <c r="O1529" s="68">
        <v>0</v>
      </c>
      <c r="P1529" s="198" t="s">
        <v>5688</v>
      </c>
    </row>
    <row r="1530" spans="1:16" ht="18.75" hidden="1">
      <c r="A1530" s="50" t="s">
        <v>4418</v>
      </c>
      <c r="B1530" s="50" t="s">
        <v>4440</v>
      </c>
      <c r="C1530" s="50" t="s">
        <v>4244</v>
      </c>
      <c r="D1530" s="50" t="s">
        <v>3934</v>
      </c>
      <c r="E1530" s="12">
        <v>95</v>
      </c>
      <c r="F1530" s="49">
        <v>47672</v>
      </c>
      <c r="G1530" s="67" t="s">
        <v>5616</v>
      </c>
      <c r="H1530" s="14" t="s">
        <v>5601</v>
      </c>
      <c r="I1530" s="14" t="s">
        <v>2458</v>
      </c>
      <c r="J1530" s="33" t="s">
        <v>7110</v>
      </c>
      <c r="K1530" s="33" t="s">
        <v>4500</v>
      </c>
      <c r="L1530" s="68">
        <v>0</v>
      </c>
      <c r="M1530" s="68" t="s">
        <v>8915</v>
      </c>
      <c r="N1530" s="68">
        <v>0</v>
      </c>
      <c r="O1530" s="68">
        <v>0</v>
      </c>
      <c r="P1530" s="198" t="s">
        <v>5661</v>
      </c>
    </row>
    <row r="1531" spans="1:16" ht="18.75" hidden="1">
      <c r="A1531" s="50" t="s">
        <v>4418</v>
      </c>
      <c r="B1531" s="50" t="s">
        <v>4440</v>
      </c>
      <c r="C1531" s="50" t="s">
        <v>4482</v>
      </c>
      <c r="D1531" s="50" t="s">
        <v>3715</v>
      </c>
      <c r="E1531" s="12">
        <v>95</v>
      </c>
      <c r="F1531" s="49">
        <v>10903</v>
      </c>
      <c r="G1531" s="67" t="s">
        <v>5616</v>
      </c>
      <c r="H1531" s="14" t="s">
        <v>5601</v>
      </c>
      <c r="I1531" s="14" t="s">
        <v>2458</v>
      </c>
      <c r="J1531" s="33" t="s">
        <v>7110</v>
      </c>
      <c r="K1531" s="33" t="s">
        <v>4500</v>
      </c>
      <c r="L1531" s="68">
        <v>0</v>
      </c>
      <c r="M1531" s="68" t="s">
        <v>8915</v>
      </c>
      <c r="N1531" s="68">
        <v>0</v>
      </c>
      <c r="O1531" s="68">
        <v>0</v>
      </c>
      <c r="P1531" s="198" t="s">
        <v>5661</v>
      </c>
    </row>
    <row r="1532" spans="1:16" ht="18.75" hidden="1">
      <c r="A1532" s="50" t="s">
        <v>4419</v>
      </c>
      <c r="B1532" s="50" t="s">
        <v>4440</v>
      </c>
      <c r="C1532" s="50" t="s">
        <v>4483</v>
      </c>
      <c r="D1532" s="50" t="s">
        <v>4182</v>
      </c>
      <c r="E1532" s="12">
        <v>95</v>
      </c>
      <c r="F1532" s="49">
        <v>8760</v>
      </c>
      <c r="G1532" s="67" t="s">
        <v>5631</v>
      </c>
      <c r="H1532" s="14" t="s">
        <v>5601</v>
      </c>
      <c r="I1532" s="14" t="s">
        <v>2458</v>
      </c>
      <c r="J1532" s="33" t="s">
        <v>7110</v>
      </c>
      <c r="K1532" s="33" t="s">
        <v>4500</v>
      </c>
      <c r="L1532" s="68">
        <v>0</v>
      </c>
      <c r="M1532" s="68" t="s">
        <v>8915</v>
      </c>
      <c r="N1532" s="68">
        <v>0</v>
      </c>
      <c r="O1532" s="68">
        <v>0</v>
      </c>
      <c r="P1532" s="197" t="s">
        <v>5713</v>
      </c>
    </row>
    <row r="1533" spans="1:16" ht="18.75" hidden="1">
      <c r="A1533" s="50" t="s">
        <v>4419</v>
      </c>
      <c r="B1533" s="50" t="s">
        <v>4440</v>
      </c>
      <c r="C1533" s="50" t="s">
        <v>4188</v>
      </c>
      <c r="D1533" s="50" t="s">
        <v>4186</v>
      </c>
      <c r="E1533" s="12">
        <v>95</v>
      </c>
      <c r="F1533" s="49">
        <v>229730</v>
      </c>
      <c r="G1533" s="67" t="s">
        <v>5631</v>
      </c>
      <c r="H1533" s="14" t="s">
        <v>5601</v>
      </c>
      <c r="I1533" s="14" t="s">
        <v>2458</v>
      </c>
      <c r="J1533" s="33" t="s">
        <v>7110</v>
      </c>
      <c r="K1533" s="33" t="s">
        <v>4500</v>
      </c>
      <c r="L1533" s="68">
        <v>0</v>
      </c>
      <c r="M1533" s="68" t="s">
        <v>8915</v>
      </c>
      <c r="N1533" s="68">
        <v>0</v>
      </c>
      <c r="O1533" s="68">
        <v>0</v>
      </c>
      <c r="P1533" s="197" t="s">
        <v>5698</v>
      </c>
    </row>
    <row r="1534" spans="1:16" ht="18.75" hidden="1">
      <c r="A1534" s="50" t="s">
        <v>4415</v>
      </c>
      <c r="B1534" s="50" t="s">
        <v>4438</v>
      </c>
      <c r="C1534" s="50" t="s">
        <v>4484</v>
      </c>
      <c r="D1534" s="50" t="s">
        <v>3828</v>
      </c>
      <c r="E1534" s="12">
        <v>95</v>
      </c>
      <c r="F1534" s="49">
        <v>300000</v>
      </c>
      <c r="G1534" s="67" t="s">
        <v>5609</v>
      </c>
      <c r="H1534" s="14" t="s">
        <v>5601</v>
      </c>
      <c r="I1534" s="14" t="s">
        <v>2458</v>
      </c>
      <c r="J1534" s="33" t="s">
        <v>7110</v>
      </c>
      <c r="K1534" s="33" t="s">
        <v>4500</v>
      </c>
      <c r="L1534" s="68">
        <v>0</v>
      </c>
      <c r="M1534" s="68" t="s">
        <v>8915</v>
      </c>
      <c r="N1534" s="68">
        <v>0</v>
      </c>
      <c r="O1534" s="68">
        <v>0</v>
      </c>
      <c r="P1534" s="198" t="s">
        <v>5670</v>
      </c>
    </row>
    <row r="1535" spans="1:16" ht="18.75" hidden="1">
      <c r="A1535" s="50" t="s">
        <v>4420</v>
      </c>
      <c r="B1535" s="50" t="s">
        <v>4307</v>
      </c>
      <c r="C1535" s="50" t="s">
        <v>4478</v>
      </c>
      <c r="D1535" s="50" t="s">
        <v>4180</v>
      </c>
      <c r="E1535" s="12">
        <v>95</v>
      </c>
      <c r="F1535" s="49">
        <v>850</v>
      </c>
      <c r="G1535" s="67" t="s">
        <v>5607</v>
      </c>
      <c r="H1535" s="14" t="s">
        <v>5601</v>
      </c>
      <c r="I1535" s="14" t="s">
        <v>2458</v>
      </c>
      <c r="J1535" s="33" t="s">
        <v>7110</v>
      </c>
      <c r="K1535" s="33" t="s">
        <v>4500</v>
      </c>
      <c r="L1535" s="68">
        <v>0</v>
      </c>
      <c r="M1535" s="68" t="s">
        <v>8915</v>
      </c>
      <c r="N1535" s="68">
        <v>0</v>
      </c>
      <c r="O1535" s="68">
        <v>0</v>
      </c>
      <c r="P1535" s="198" t="s">
        <v>5690</v>
      </c>
    </row>
    <row r="1536" spans="1:16" ht="18.75" hidden="1">
      <c r="A1536" s="50" t="s">
        <v>4420</v>
      </c>
      <c r="B1536" s="50" t="s">
        <v>4307</v>
      </c>
      <c r="C1536" s="50" t="s">
        <v>4485</v>
      </c>
      <c r="D1536" s="50" t="s">
        <v>4178</v>
      </c>
      <c r="E1536" s="12">
        <v>95</v>
      </c>
      <c r="F1536" s="49">
        <v>165800</v>
      </c>
      <c r="G1536" s="67" t="s">
        <v>5607</v>
      </c>
      <c r="H1536" s="14" t="s">
        <v>5601</v>
      </c>
      <c r="I1536" s="14" t="s">
        <v>2458</v>
      </c>
      <c r="J1536" s="33" t="s">
        <v>7110</v>
      </c>
      <c r="K1536" s="33" t="s">
        <v>4500</v>
      </c>
      <c r="L1536" s="68">
        <v>0</v>
      </c>
      <c r="M1536" s="68" t="s">
        <v>8915</v>
      </c>
      <c r="N1536" s="68">
        <v>0</v>
      </c>
      <c r="O1536" s="68">
        <v>0</v>
      </c>
      <c r="P1536" s="198" t="s">
        <v>5690</v>
      </c>
    </row>
    <row r="1537" spans="1:16" ht="18.75" hidden="1">
      <c r="A1537" s="50" t="s">
        <v>4420</v>
      </c>
      <c r="B1537" s="50" t="s">
        <v>4307</v>
      </c>
      <c r="C1537" s="50" t="s">
        <v>4214</v>
      </c>
      <c r="D1537" s="50" t="s">
        <v>4178</v>
      </c>
      <c r="E1537" s="12">
        <v>95</v>
      </c>
      <c r="F1537" s="49">
        <v>527050</v>
      </c>
      <c r="G1537" s="67" t="s">
        <v>5607</v>
      </c>
      <c r="H1537" s="14" t="s">
        <v>5601</v>
      </c>
      <c r="I1537" s="14" t="s">
        <v>2458</v>
      </c>
      <c r="J1537" s="33" t="s">
        <v>7110</v>
      </c>
      <c r="K1537" s="33" t="s">
        <v>4500</v>
      </c>
      <c r="L1537" s="68">
        <v>0</v>
      </c>
      <c r="M1537" s="68" t="s">
        <v>8915</v>
      </c>
      <c r="N1537" s="68">
        <v>0</v>
      </c>
      <c r="O1537" s="68">
        <v>0</v>
      </c>
      <c r="P1537" s="198" t="s">
        <v>5690</v>
      </c>
    </row>
    <row r="1538" spans="1:16" ht="18.75" hidden="1">
      <c r="A1538" s="50" t="s">
        <v>4421</v>
      </c>
      <c r="B1538" s="50" t="s">
        <v>4307</v>
      </c>
      <c r="C1538" s="50" t="s">
        <v>4486</v>
      </c>
      <c r="D1538" s="50" t="s">
        <v>3822</v>
      </c>
      <c r="E1538" s="12">
        <v>95</v>
      </c>
      <c r="F1538" s="49">
        <v>199050</v>
      </c>
      <c r="G1538" s="67" t="s">
        <v>5611</v>
      </c>
      <c r="H1538" s="14" t="s">
        <v>5601</v>
      </c>
      <c r="I1538" s="14" t="s">
        <v>2458</v>
      </c>
      <c r="J1538" s="33" t="s">
        <v>7110</v>
      </c>
      <c r="K1538" s="33" t="s">
        <v>4500</v>
      </c>
      <c r="L1538" s="68">
        <v>0</v>
      </c>
      <c r="M1538" s="68" t="s">
        <v>8915</v>
      </c>
      <c r="N1538" s="68">
        <v>0</v>
      </c>
      <c r="O1538" s="68">
        <v>0</v>
      </c>
      <c r="P1538" s="198" t="s">
        <v>5675</v>
      </c>
    </row>
    <row r="1539" spans="1:16" ht="18.75" hidden="1">
      <c r="A1539" s="50" t="s">
        <v>4421</v>
      </c>
      <c r="B1539" s="50" t="s">
        <v>4307</v>
      </c>
      <c r="C1539" s="50" t="s">
        <v>4487</v>
      </c>
      <c r="D1539" s="50" t="s">
        <v>3822</v>
      </c>
      <c r="E1539" s="12">
        <v>95</v>
      </c>
      <c r="F1539" s="49">
        <v>198723</v>
      </c>
      <c r="G1539" s="67" t="s">
        <v>5611</v>
      </c>
      <c r="H1539" s="14" t="s">
        <v>5601</v>
      </c>
      <c r="I1539" s="14" t="s">
        <v>2458</v>
      </c>
      <c r="J1539" s="33" t="s">
        <v>7110</v>
      </c>
      <c r="K1539" s="33" t="s">
        <v>4500</v>
      </c>
      <c r="L1539" s="68">
        <v>0</v>
      </c>
      <c r="M1539" s="68" t="s">
        <v>8915</v>
      </c>
      <c r="N1539" s="68">
        <v>0</v>
      </c>
      <c r="O1539" s="68">
        <v>0</v>
      </c>
      <c r="P1539" s="198" t="s">
        <v>5675</v>
      </c>
    </row>
    <row r="1540" spans="1:16" ht="18.75" hidden="1">
      <c r="A1540" s="50" t="s">
        <v>4422</v>
      </c>
      <c r="B1540" s="50" t="s">
        <v>4443</v>
      </c>
      <c r="C1540" s="50" t="s">
        <v>4483</v>
      </c>
      <c r="D1540" s="50" t="s">
        <v>4182</v>
      </c>
      <c r="E1540" s="12">
        <v>95</v>
      </c>
      <c r="F1540" s="49">
        <v>298870</v>
      </c>
      <c r="G1540" s="67" t="s">
        <v>5631</v>
      </c>
      <c r="H1540" s="14" t="s">
        <v>5601</v>
      </c>
      <c r="I1540" s="14" t="s">
        <v>2458</v>
      </c>
      <c r="J1540" s="33" t="s">
        <v>7110</v>
      </c>
      <c r="K1540" s="33" t="s">
        <v>4500</v>
      </c>
      <c r="L1540" s="68">
        <v>0</v>
      </c>
      <c r="M1540" s="68" t="s">
        <v>8915</v>
      </c>
      <c r="N1540" s="68">
        <v>0</v>
      </c>
      <c r="O1540" s="68">
        <v>0</v>
      </c>
      <c r="P1540" s="197" t="s">
        <v>5713</v>
      </c>
    </row>
    <row r="1541" spans="1:16" ht="18.75" hidden="1">
      <c r="A1541" s="50" t="s">
        <v>4417</v>
      </c>
      <c r="B1541" s="50" t="s">
        <v>4438</v>
      </c>
      <c r="C1541" s="50" t="s">
        <v>4488</v>
      </c>
      <c r="D1541" s="50" t="s">
        <v>3767</v>
      </c>
      <c r="E1541" s="12">
        <v>95</v>
      </c>
      <c r="F1541" s="49">
        <v>100000</v>
      </c>
      <c r="G1541" s="67" t="s">
        <v>5611</v>
      </c>
      <c r="H1541" s="14" t="s">
        <v>5601</v>
      </c>
      <c r="I1541" s="14" t="s">
        <v>2458</v>
      </c>
      <c r="J1541" s="33" t="s">
        <v>7110</v>
      </c>
      <c r="K1541" s="33" t="s">
        <v>4500</v>
      </c>
      <c r="L1541" s="68">
        <v>0</v>
      </c>
      <c r="M1541" s="68" t="s">
        <v>8915</v>
      </c>
      <c r="N1541" s="68">
        <v>0</v>
      </c>
      <c r="O1541" s="68">
        <v>0</v>
      </c>
      <c r="P1541" s="198" t="s">
        <v>5659</v>
      </c>
    </row>
    <row r="1542" spans="1:16" ht="18.75" hidden="1">
      <c r="A1542" s="50" t="s">
        <v>4421</v>
      </c>
      <c r="B1542" s="50" t="s">
        <v>4307</v>
      </c>
      <c r="C1542" s="50" t="s">
        <v>4489</v>
      </c>
      <c r="D1542" s="50" t="s">
        <v>3821</v>
      </c>
      <c r="E1542" s="12">
        <v>95</v>
      </c>
      <c r="F1542" s="49">
        <v>3327</v>
      </c>
      <c r="G1542" s="67" t="s">
        <v>5611</v>
      </c>
      <c r="H1542" s="14" t="s">
        <v>5601</v>
      </c>
      <c r="I1542" s="14" t="s">
        <v>2458</v>
      </c>
      <c r="J1542" s="33" t="s">
        <v>7110</v>
      </c>
      <c r="K1542" s="33" t="s">
        <v>4500</v>
      </c>
      <c r="L1542" s="68">
        <v>0</v>
      </c>
      <c r="M1542" s="68" t="s">
        <v>8915</v>
      </c>
      <c r="N1542" s="68">
        <v>0</v>
      </c>
      <c r="O1542" s="68">
        <v>0</v>
      </c>
      <c r="P1542" s="198" t="s">
        <v>5675</v>
      </c>
    </row>
    <row r="1543" spans="1:16" ht="18.75" hidden="1">
      <c r="A1543" s="50" t="s">
        <v>4423</v>
      </c>
      <c r="B1543" s="50" t="s">
        <v>4442</v>
      </c>
      <c r="C1543" s="50" t="s">
        <v>4490</v>
      </c>
      <c r="D1543" s="50" t="s">
        <v>4439</v>
      </c>
      <c r="E1543" s="12">
        <v>95</v>
      </c>
      <c r="F1543" s="49">
        <v>379260</v>
      </c>
      <c r="G1543" s="67" t="s">
        <v>5604</v>
      </c>
      <c r="H1543" s="14" t="s">
        <v>5601</v>
      </c>
      <c r="I1543" s="14" t="s">
        <v>2458</v>
      </c>
      <c r="J1543" s="33" t="s">
        <v>7110</v>
      </c>
      <c r="K1543" s="33" t="s">
        <v>4500</v>
      </c>
      <c r="L1543" s="68">
        <v>0</v>
      </c>
      <c r="M1543" s="68" t="s">
        <v>8915</v>
      </c>
      <c r="N1543" s="68">
        <v>0</v>
      </c>
      <c r="O1543" s="68">
        <v>0</v>
      </c>
      <c r="P1543" s="198" t="s">
        <v>5740</v>
      </c>
    </row>
    <row r="1544" spans="1:16" ht="18.75" hidden="1">
      <c r="A1544" s="50" t="s">
        <v>4424</v>
      </c>
      <c r="B1544" s="50" t="s">
        <v>4437</v>
      </c>
      <c r="C1544" s="50" t="s">
        <v>4188</v>
      </c>
      <c r="D1544" s="50" t="s">
        <v>4186</v>
      </c>
      <c r="E1544" s="12">
        <v>95</v>
      </c>
      <c r="F1544" s="49">
        <v>500000</v>
      </c>
      <c r="G1544" s="67" t="s">
        <v>5631</v>
      </c>
      <c r="H1544" s="14" t="s">
        <v>5601</v>
      </c>
      <c r="I1544" s="14" t="s">
        <v>2458</v>
      </c>
      <c r="J1544" s="33" t="s">
        <v>7110</v>
      </c>
      <c r="K1544" s="33" t="s">
        <v>4500</v>
      </c>
      <c r="L1544" s="68">
        <v>0</v>
      </c>
      <c r="M1544" s="68" t="s">
        <v>8915</v>
      </c>
      <c r="N1544" s="68">
        <v>0</v>
      </c>
      <c r="O1544" s="68">
        <v>0</v>
      </c>
      <c r="P1544" s="197" t="s">
        <v>5698</v>
      </c>
    </row>
    <row r="1545" spans="1:16" ht="18.75" hidden="1">
      <c r="A1545" s="50" t="s">
        <v>4425</v>
      </c>
      <c r="B1545" s="50" t="s">
        <v>4307</v>
      </c>
      <c r="C1545" s="50" t="s">
        <v>4226</v>
      </c>
      <c r="D1545" s="50" t="s">
        <v>3664</v>
      </c>
      <c r="E1545" s="12">
        <v>95</v>
      </c>
      <c r="F1545" s="49">
        <v>495000</v>
      </c>
      <c r="G1545" s="67" t="s">
        <v>5652</v>
      </c>
      <c r="H1545" s="14" t="s">
        <v>5601</v>
      </c>
      <c r="I1545" s="14" t="s">
        <v>2458</v>
      </c>
      <c r="J1545" s="33" t="s">
        <v>7110</v>
      </c>
      <c r="K1545" s="33" t="s">
        <v>4500</v>
      </c>
      <c r="L1545" s="68">
        <v>0</v>
      </c>
      <c r="M1545" s="68" t="s">
        <v>8915</v>
      </c>
      <c r="N1545" s="68">
        <v>0</v>
      </c>
      <c r="O1545" s="68">
        <v>0</v>
      </c>
      <c r="P1545" s="198" t="s">
        <v>5653</v>
      </c>
    </row>
    <row r="1546" spans="1:16" ht="18.75" hidden="1">
      <c r="A1546" s="50" t="s">
        <v>4414</v>
      </c>
      <c r="B1546" s="50" t="s">
        <v>4443</v>
      </c>
      <c r="C1546" s="50" t="s">
        <v>4491</v>
      </c>
      <c r="D1546" s="50" t="s">
        <v>4180</v>
      </c>
      <c r="E1546" s="12">
        <v>95</v>
      </c>
      <c r="F1546" s="49">
        <v>68820</v>
      </c>
      <c r="G1546" s="67" t="s">
        <v>5616</v>
      </c>
      <c r="H1546" s="14" t="s">
        <v>5601</v>
      </c>
      <c r="I1546" s="14" t="s">
        <v>2458</v>
      </c>
      <c r="J1546" s="33" t="s">
        <v>7110</v>
      </c>
      <c r="K1546" s="33" t="s">
        <v>4500</v>
      </c>
      <c r="L1546" s="68">
        <v>0</v>
      </c>
      <c r="M1546" s="68" t="s">
        <v>8915</v>
      </c>
      <c r="N1546" s="68">
        <v>0</v>
      </c>
      <c r="O1546" s="68">
        <v>0</v>
      </c>
      <c r="P1546" s="198" t="s">
        <v>5701</v>
      </c>
    </row>
    <row r="1547" spans="1:16" ht="18.75" hidden="1">
      <c r="A1547" s="50" t="s">
        <v>4426</v>
      </c>
      <c r="B1547" s="50" t="s">
        <v>4443</v>
      </c>
      <c r="C1547" s="50" t="s">
        <v>4483</v>
      </c>
      <c r="D1547" s="50" t="s">
        <v>4182</v>
      </c>
      <c r="E1547" s="12">
        <v>95</v>
      </c>
      <c r="F1547" s="49">
        <v>1691670</v>
      </c>
      <c r="G1547" s="67" t="s">
        <v>5631</v>
      </c>
      <c r="H1547" s="14" t="s">
        <v>5601</v>
      </c>
      <c r="I1547" s="14" t="s">
        <v>2458</v>
      </c>
      <c r="J1547" s="33" t="s">
        <v>7110</v>
      </c>
      <c r="K1547" s="33" t="s">
        <v>4500</v>
      </c>
      <c r="L1547" s="68">
        <v>0</v>
      </c>
      <c r="M1547" s="68" t="s">
        <v>8915</v>
      </c>
      <c r="N1547" s="68">
        <v>0</v>
      </c>
      <c r="O1547" s="68">
        <v>0</v>
      </c>
      <c r="P1547" s="197" t="s">
        <v>5713</v>
      </c>
    </row>
    <row r="1548" spans="1:16" ht="18.75" hidden="1">
      <c r="A1548" s="50" t="s">
        <v>4427</v>
      </c>
      <c r="B1548" s="50" t="s">
        <v>4444</v>
      </c>
      <c r="C1548" s="50" t="s">
        <v>4492</v>
      </c>
      <c r="D1548" s="50" t="s">
        <v>4172</v>
      </c>
      <c r="E1548" s="12">
        <v>95</v>
      </c>
      <c r="F1548" s="49">
        <v>983323</v>
      </c>
      <c r="G1548" s="67" t="s">
        <v>5730</v>
      </c>
      <c r="H1548" s="14" t="s">
        <v>5601</v>
      </c>
      <c r="I1548" s="14" t="s">
        <v>2458</v>
      </c>
      <c r="J1548" s="33" t="s">
        <v>7110</v>
      </c>
      <c r="K1548" s="33" t="s">
        <v>4500</v>
      </c>
      <c r="L1548" s="68">
        <v>0</v>
      </c>
      <c r="M1548" s="68" t="s">
        <v>8915</v>
      </c>
      <c r="N1548" s="68">
        <v>0</v>
      </c>
      <c r="O1548" s="68">
        <v>0</v>
      </c>
      <c r="P1548" s="198" t="s">
        <v>5731</v>
      </c>
    </row>
    <row r="1549" spans="1:16" ht="18.75" hidden="1">
      <c r="A1549" s="50" t="s">
        <v>4417</v>
      </c>
      <c r="B1549" s="50" t="s">
        <v>4438</v>
      </c>
      <c r="C1549" s="50" t="s">
        <v>4493</v>
      </c>
      <c r="D1549" s="50" t="s">
        <v>3767</v>
      </c>
      <c r="E1549" s="12">
        <v>95</v>
      </c>
      <c r="F1549" s="49">
        <v>88800</v>
      </c>
      <c r="G1549" s="67" t="s">
        <v>5611</v>
      </c>
      <c r="H1549" s="14" t="s">
        <v>5601</v>
      </c>
      <c r="I1549" s="14" t="s">
        <v>2458</v>
      </c>
      <c r="J1549" s="33" t="s">
        <v>7110</v>
      </c>
      <c r="K1549" s="33" t="s">
        <v>4500</v>
      </c>
      <c r="L1549" s="68">
        <v>0</v>
      </c>
      <c r="M1549" s="68" t="s">
        <v>8915</v>
      </c>
      <c r="N1549" s="68">
        <v>0</v>
      </c>
      <c r="O1549" s="68">
        <v>0</v>
      </c>
      <c r="P1549" s="198" t="s">
        <v>5659</v>
      </c>
    </row>
    <row r="1550" spans="1:16" ht="18.75" hidden="1">
      <c r="A1550" s="50" t="s">
        <v>4428</v>
      </c>
      <c r="B1550" s="50" t="s">
        <v>4437</v>
      </c>
      <c r="C1550" s="50" t="s">
        <v>4491</v>
      </c>
      <c r="D1550" s="50" t="s">
        <v>4180</v>
      </c>
      <c r="E1550" s="12">
        <v>95</v>
      </c>
      <c r="F1550" s="49">
        <v>910800</v>
      </c>
      <c r="G1550" s="67" t="s">
        <v>5616</v>
      </c>
      <c r="H1550" s="14" t="s">
        <v>5601</v>
      </c>
      <c r="I1550" s="14" t="s">
        <v>2458</v>
      </c>
      <c r="J1550" s="33" t="s">
        <v>7110</v>
      </c>
      <c r="K1550" s="33" t="s">
        <v>4500</v>
      </c>
      <c r="L1550" s="68">
        <v>0</v>
      </c>
      <c r="M1550" s="68" t="s">
        <v>8915</v>
      </c>
      <c r="N1550" s="68">
        <v>0</v>
      </c>
      <c r="O1550" s="68">
        <v>0</v>
      </c>
      <c r="P1550" s="198" t="s">
        <v>5701</v>
      </c>
    </row>
    <row r="1551" spans="1:16" ht="18.75" hidden="1">
      <c r="A1551" s="50" t="s">
        <v>4429</v>
      </c>
      <c r="B1551" s="50" t="s">
        <v>4444</v>
      </c>
      <c r="C1551" s="50" t="s">
        <v>4494</v>
      </c>
      <c r="D1551" s="50" t="s">
        <v>4183</v>
      </c>
      <c r="E1551" s="12">
        <v>95</v>
      </c>
      <c r="F1551" s="49">
        <v>499280</v>
      </c>
      <c r="G1551" s="67" t="s">
        <v>5631</v>
      </c>
      <c r="H1551" s="14" t="s">
        <v>5601</v>
      </c>
      <c r="I1551" s="14" t="s">
        <v>2458</v>
      </c>
      <c r="J1551" s="33" t="s">
        <v>7110</v>
      </c>
      <c r="K1551" s="33" t="s">
        <v>4500</v>
      </c>
      <c r="L1551" s="68">
        <v>0</v>
      </c>
      <c r="M1551" s="68" t="s">
        <v>8915</v>
      </c>
      <c r="N1551" s="68">
        <v>0</v>
      </c>
      <c r="O1551" s="68">
        <v>0</v>
      </c>
      <c r="P1551" s="197" t="s">
        <v>5712</v>
      </c>
    </row>
    <row r="1552" spans="1:16" ht="18.75" hidden="1">
      <c r="A1552" s="50" t="s">
        <v>4430</v>
      </c>
      <c r="B1552" s="50" t="s">
        <v>4437</v>
      </c>
      <c r="C1552" s="50" t="s">
        <v>4495</v>
      </c>
      <c r="D1552" s="50" t="s">
        <v>4184</v>
      </c>
      <c r="E1552" s="12">
        <v>95</v>
      </c>
      <c r="F1552" s="49">
        <v>1004820</v>
      </c>
      <c r="G1552" s="67" t="s">
        <v>5609</v>
      </c>
      <c r="H1552" s="14" t="s">
        <v>5601</v>
      </c>
      <c r="I1552" s="14" t="s">
        <v>2458</v>
      </c>
      <c r="J1552" s="33" t="s">
        <v>7110</v>
      </c>
      <c r="K1552" s="33" t="s">
        <v>4500</v>
      </c>
      <c r="L1552" s="68">
        <v>0</v>
      </c>
      <c r="M1552" s="68" t="s">
        <v>8915</v>
      </c>
      <c r="N1552" s="68">
        <v>0</v>
      </c>
      <c r="O1552" s="68">
        <v>0</v>
      </c>
      <c r="P1552" s="198" t="s">
        <v>5688</v>
      </c>
    </row>
    <row r="1553" spans="1:16" ht="18.75" hidden="1">
      <c r="A1553" s="50" t="s">
        <v>4431</v>
      </c>
      <c r="B1553" s="50" t="s">
        <v>4444</v>
      </c>
      <c r="C1553" s="50" t="s">
        <v>4496</v>
      </c>
      <c r="D1553" s="50" t="s">
        <v>4438</v>
      </c>
      <c r="E1553" s="12">
        <v>95</v>
      </c>
      <c r="F1553" s="49">
        <v>196360</v>
      </c>
      <c r="G1553" s="67" t="s">
        <v>5631</v>
      </c>
      <c r="H1553" s="14" t="s">
        <v>5601</v>
      </c>
      <c r="I1553" s="14" t="s">
        <v>2458</v>
      </c>
      <c r="J1553" s="33" t="s">
        <v>7110</v>
      </c>
      <c r="K1553" s="33" t="s">
        <v>4500</v>
      </c>
      <c r="L1553" s="68">
        <v>0</v>
      </c>
      <c r="M1553" s="68" t="s">
        <v>8915</v>
      </c>
      <c r="N1553" s="68">
        <v>0</v>
      </c>
      <c r="O1553" s="68">
        <v>0</v>
      </c>
      <c r="P1553" s="197" t="s">
        <v>5738</v>
      </c>
    </row>
    <row r="1554" spans="1:16" ht="18.75" hidden="1">
      <c r="A1554" s="50" t="s">
        <v>4432</v>
      </c>
      <c r="B1554" s="50" t="s">
        <v>4307</v>
      </c>
      <c r="C1554" s="50" t="s">
        <v>4485</v>
      </c>
      <c r="D1554" s="50" t="s">
        <v>4178</v>
      </c>
      <c r="E1554" s="12">
        <v>95</v>
      </c>
      <c r="F1554" s="49">
        <v>298605</v>
      </c>
      <c r="G1554" s="67" t="s">
        <v>5607</v>
      </c>
      <c r="H1554" s="14" t="s">
        <v>5601</v>
      </c>
      <c r="I1554" s="14" t="s">
        <v>2458</v>
      </c>
      <c r="J1554" s="33" t="s">
        <v>7110</v>
      </c>
      <c r="K1554" s="33" t="s">
        <v>4500</v>
      </c>
      <c r="L1554" s="68">
        <v>0</v>
      </c>
      <c r="M1554" s="68" t="s">
        <v>8915</v>
      </c>
      <c r="N1554" s="68">
        <v>0</v>
      </c>
      <c r="O1554" s="68">
        <v>0</v>
      </c>
      <c r="P1554" s="198" t="s">
        <v>5690</v>
      </c>
    </row>
    <row r="1555" spans="1:16" ht="18.75" hidden="1">
      <c r="A1555" s="50" t="s">
        <v>4433</v>
      </c>
      <c r="B1555" s="50" t="s">
        <v>4438</v>
      </c>
      <c r="C1555" s="50" t="s">
        <v>4481</v>
      </c>
      <c r="D1555" s="50" t="s">
        <v>3767</v>
      </c>
      <c r="E1555" s="12">
        <v>95</v>
      </c>
      <c r="F1555" s="49">
        <v>92700</v>
      </c>
      <c r="G1555" s="67" t="s">
        <v>5611</v>
      </c>
      <c r="H1555" s="14" t="s">
        <v>5601</v>
      </c>
      <c r="I1555" s="14" t="s">
        <v>2458</v>
      </c>
      <c r="J1555" s="33" t="s">
        <v>7110</v>
      </c>
      <c r="K1555" s="33" t="s">
        <v>4500</v>
      </c>
      <c r="L1555" s="68">
        <v>0</v>
      </c>
      <c r="M1555" s="68" t="s">
        <v>8915</v>
      </c>
      <c r="N1555" s="68">
        <v>0</v>
      </c>
      <c r="O1555" s="68">
        <v>0</v>
      </c>
      <c r="P1555" s="198" t="s">
        <v>5659</v>
      </c>
    </row>
    <row r="1556" spans="1:16" ht="18.75" hidden="1">
      <c r="A1556" s="50" t="s">
        <v>4433</v>
      </c>
      <c r="B1556" s="50" t="s">
        <v>4438</v>
      </c>
      <c r="C1556" s="50" t="s">
        <v>4497</v>
      </c>
      <c r="D1556" s="50" t="s">
        <v>3767</v>
      </c>
      <c r="E1556" s="12">
        <v>95</v>
      </c>
      <c r="F1556" s="49">
        <v>200000</v>
      </c>
      <c r="G1556" s="67" t="s">
        <v>5611</v>
      </c>
      <c r="H1556" s="14" t="s">
        <v>5601</v>
      </c>
      <c r="I1556" s="14" t="s">
        <v>2458</v>
      </c>
      <c r="J1556" s="33" t="s">
        <v>7110</v>
      </c>
      <c r="K1556" s="33" t="s">
        <v>4500</v>
      </c>
      <c r="L1556" s="68">
        <v>0</v>
      </c>
      <c r="M1556" s="68" t="s">
        <v>8915</v>
      </c>
      <c r="N1556" s="68">
        <v>0</v>
      </c>
      <c r="O1556" s="68">
        <v>0</v>
      </c>
      <c r="P1556" s="198" t="s">
        <v>5659</v>
      </c>
    </row>
    <row r="1557" spans="1:16" ht="18.75" hidden="1">
      <c r="A1557" s="50" t="s">
        <v>4433</v>
      </c>
      <c r="B1557" s="50" t="s">
        <v>4438</v>
      </c>
      <c r="C1557" s="50" t="s">
        <v>4498</v>
      </c>
      <c r="D1557" s="50" t="s">
        <v>3767</v>
      </c>
      <c r="E1557" s="12">
        <v>95</v>
      </c>
      <c r="F1557" s="49">
        <v>200000</v>
      </c>
      <c r="G1557" s="67" t="s">
        <v>5611</v>
      </c>
      <c r="H1557" s="14" t="s">
        <v>5601</v>
      </c>
      <c r="I1557" s="14" t="s">
        <v>2458</v>
      </c>
      <c r="J1557" s="33" t="s">
        <v>7110</v>
      </c>
      <c r="K1557" s="33" t="s">
        <v>4500</v>
      </c>
      <c r="L1557" s="68">
        <v>0</v>
      </c>
      <c r="M1557" s="68" t="s">
        <v>8915</v>
      </c>
      <c r="N1557" s="68">
        <v>0</v>
      </c>
      <c r="O1557" s="68">
        <v>0</v>
      </c>
      <c r="P1557" s="198" t="s">
        <v>5659</v>
      </c>
    </row>
    <row r="1558" spans="1:16" ht="18.75" hidden="1">
      <c r="A1558" s="50" t="s">
        <v>4434</v>
      </c>
      <c r="B1558" s="50" t="s">
        <v>4442</v>
      </c>
      <c r="C1558" s="50" t="s">
        <v>4473</v>
      </c>
      <c r="D1558" s="50" t="s">
        <v>4175</v>
      </c>
      <c r="E1558" s="12">
        <v>95</v>
      </c>
      <c r="F1558" s="49">
        <v>500500</v>
      </c>
      <c r="G1558" s="67" t="s">
        <v>5631</v>
      </c>
      <c r="H1558" s="14" t="s">
        <v>5601</v>
      </c>
      <c r="I1558" s="14" t="s">
        <v>2458</v>
      </c>
      <c r="J1558" s="33" t="s">
        <v>7110</v>
      </c>
      <c r="K1558" s="33" t="s">
        <v>4500</v>
      </c>
      <c r="L1558" s="68">
        <v>0</v>
      </c>
      <c r="M1558" s="68" t="s">
        <v>8915</v>
      </c>
      <c r="N1558" s="68">
        <v>0</v>
      </c>
      <c r="O1558" s="68">
        <v>0</v>
      </c>
      <c r="P1558" s="197" t="s">
        <v>5712</v>
      </c>
    </row>
    <row r="1559" spans="1:16" ht="18.75" hidden="1">
      <c r="A1559" s="50" t="s">
        <v>4435</v>
      </c>
      <c r="B1559" s="50" t="s">
        <v>4343</v>
      </c>
      <c r="C1559" s="50" t="s">
        <v>4472</v>
      </c>
      <c r="D1559" s="50" t="s">
        <v>4443</v>
      </c>
      <c r="E1559" s="12">
        <v>95</v>
      </c>
      <c r="F1559" s="49">
        <v>969786</v>
      </c>
      <c r="G1559" s="67" t="s">
        <v>5604</v>
      </c>
      <c r="H1559" s="14" t="s">
        <v>5602</v>
      </c>
      <c r="I1559" s="14" t="s">
        <v>2458</v>
      </c>
      <c r="J1559" s="33" t="s">
        <v>7110</v>
      </c>
      <c r="K1559" s="33" t="s">
        <v>4500</v>
      </c>
      <c r="L1559" s="68">
        <v>0</v>
      </c>
      <c r="M1559" s="68" t="s">
        <v>8915</v>
      </c>
      <c r="N1559" s="68">
        <v>0</v>
      </c>
      <c r="O1559" s="68">
        <v>0</v>
      </c>
      <c r="P1559" s="198" t="s">
        <v>5737</v>
      </c>
    </row>
    <row r="1560" spans="1:16" ht="18.75" hidden="1">
      <c r="A1560" s="50" t="s">
        <v>4520</v>
      </c>
      <c r="B1560" s="50" t="s">
        <v>4569</v>
      </c>
      <c r="C1560" s="50" t="s">
        <v>4577</v>
      </c>
      <c r="D1560" s="50" t="s">
        <v>4438</v>
      </c>
      <c r="E1560" s="12">
        <v>95</v>
      </c>
      <c r="F1560" s="49">
        <v>45260</v>
      </c>
      <c r="G1560" s="67" t="s">
        <v>5611</v>
      </c>
      <c r="H1560" s="14" t="s">
        <v>5601</v>
      </c>
      <c r="I1560" s="14" t="s">
        <v>2458</v>
      </c>
      <c r="J1560" s="33" t="s">
        <v>7110</v>
      </c>
      <c r="K1560" s="33" t="s">
        <v>4518</v>
      </c>
      <c r="L1560" s="68">
        <v>0</v>
      </c>
      <c r="M1560" s="68" t="s">
        <v>8915</v>
      </c>
      <c r="N1560" s="68">
        <v>0</v>
      </c>
      <c r="O1560" s="68">
        <v>0</v>
      </c>
      <c r="P1560" s="198" t="s">
        <v>5726</v>
      </c>
    </row>
    <row r="1561" spans="1:16" ht="18.75" hidden="1">
      <c r="A1561" s="50" t="s">
        <v>4521</v>
      </c>
      <c r="B1561" s="50" t="s">
        <v>4570</v>
      </c>
      <c r="C1561" s="50" t="s">
        <v>4577</v>
      </c>
      <c r="D1561" s="50" t="s">
        <v>4438</v>
      </c>
      <c r="E1561" s="12">
        <v>95</v>
      </c>
      <c r="F1561" s="49">
        <v>49600</v>
      </c>
      <c r="G1561" s="67" t="s">
        <v>5611</v>
      </c>
      <c r="H1561" s="14" t="s">
        <v>5601</v>
      </c>
      <c r="I1561" s="14" t="s">
        <v>2458</v>
      </c>
      <c r="J1561" s="33" t="s">
        <v>7110</v>
      </c>
      <c r="K1561" s="33" t="s">
        <v>4518</v>
      </c>
      <c r="L1561" s="68">
        <v>0</v>
      </c>
      <c r="M1561" s="68" t="s">
        <v>8915</v>
      </c>
      <c r="N1561" s="68">
        <v>0</v>
      </c>
      <c r="O1561" s="68">
        <v>0</v>
      </c>
      <c r="P1561" s="198" t="s">
        <v>5726</v>
      </c>
    </row>
    <row r="1562" spans="1:16" ht="18.75" hidden="1">
      <c r="A1562" s="50" t="s">
        <v>4522</v>
      </c>
      <c r="B1562" s="50" t="s">
        <v>4571</v>
      </c>
      <c r="C1562" s="50" t="s">
        <v>3839</v>
      </c>
      <c r="D1562" s="50" t="s">
        <v>3822</v>
      </c>
      <c r="E1562" s="12">
        <v>95</v>
      </c>
      <c r="F1562" s="49">
        <v>9900</v>
      </c>
      <c r="G1562" s="67" t="s">
        <v>5611</v>
      </c>
      <c r="H1562" s="14" t="s">
        <v>5601</v>
      </c>
      <c r="I1562" s="14" t="s">
        <v>2458</v>
      </c>
      <c r="J1562" s="33" t="s">
        <v>7110</v>
      </c>
      <c r="K1562" s="33" t="s">
        <v>4518</v>
      </c>
      <c r="L1562" s="68">
        <v>0</v>
      </c>
      <c r="M1562" s="68" t="s">
        <v>8915</v>
      </c>
      <c r="N1562" s="68">
        <v>0</v>
      </c>
      <c r="O1562" s="68">
        <v>0</v>
      </c>
      <c r="P1562" s="198" t="s">
        <v>5675</v>
      </c>
    </row>
    <row r="1563" spans="1:16" ht="18.75" hidden="1">
      <c r="A1563" s="50" t="s">
        <v>4522</v>
      </c>
      <c r="B1563" s="50" t="s">
        <v>4571</v>
      </c>
      <c r="C1563" s="50" t="s">
        <v>4577</v>
      </c>
      <c r="D1563" s="50" t="s">
        <v>4438</v>
      </c>
      <c r="E1563" s="12">
        <v>95</v>
      </c>
      <c r="F1563" s="49">
        <v>13520</v>
      </c>
      <c r="G1563" s="67" t="s">
        <v>5611</v>
      </c>
      <c r="H1563" s="14" t="s">
        <v>5601</v>
      </c>
      <c r="I1563" s="14" t="s">
        <v>2458</v>
      </c>
      <c r="J1563" s="33" t="s">
        <v>7110</v>
      </c>
      <c r="K1563" s="33" t="s">
        <v>4518</v>
      </c>
      <c r="L1563" s="68">
        <v>0</v>
      </c>
      <c r="M1563" s="68" t="s">
        <v>8915</v>
      </c>
      <c r="N1563" s="68">
        <v>0</v>
      </c>
      <c r="O1563" s="68">
        <v>0</v>
      </c>
      <c r="P1563" s="198" t="s">
        <v>5726</v>
      </c>
    </row>
    <row r="1564" spans="1:16" ht="18.75" hidden="1">
      <c r="A1564" s="50" t="s">
        <v>4523</v>
      </c>
      <c r="B1564" s="50" t="s">
        <v>4569</v>
      </c>
      <c r="C1564" s="50" t="s">
        <v>4452</v>
      </c>
      <c r="D1564" s="50" t="s">
        <v>4175</v>
      </c>
      <c r="E1564" s="12">
        <v>95</v>
      </c>
      <c r="F1564" s="49">
        <v>119140</v>
      </c>
      <c r="G1564" s="67" t="s">
        <v>5647</v>
      </c>
      <c r="H1564" s="14" t="s">
        <v>5601</v>
      </c>
      <c r="I1564" s="14" t="s">
        <v>2458</v>
      </c>
      <c r="J1564" s="33" t="s">
        <v>7110</v>
      </c>
      <c r="K1564" s="33" t="s">
        <v>4518</v>
      </c>
      <c r="L1564" s="68">
        <v>0</v>
      </c>
      <c r="M1564" s="68" t="s">
        <v>8915</v>
      </c>
      <c r="N1564" s="68">
        <v>0</v>
      </c>
      <c r="O1564" s="68">
        <v>0</v>
      </c>
      <c r="P1564" s="198" t="s">
        <v>5732</v>
      </c>
    </row>
    <row r="1565" spans="1:16" ht="18.75" hidden="1">
      <c r="A1565" s="50" t="s">
        <v>4524</v>
      </c>
      <c r="B1565" s="50" t="s">
        <v>4572</v>
      </c>
      <c r="C1565" s="50" t="s">
        <v>4578</v>
      </c>
      <c r="D1565" s="50" t="s">
        <v>4439</v>
      </c>
      <c r="E1565" s="12">
        <v>95</v>
      </c>
      <c r="F1565" s="49">
        <v>173430</v>
      </c>
      <c r="G1565" s="67" t="s">
        <v>5741</v>
      </c>
      <c r="H1565" s="14" t="s">
        <v>5601</v>
      </c>
      <c r="I1565" s="14" t="s">
        <v>2458</v>
      </c>
      <c r="J1565" s="33" t="s">
        <v>7110</v>
      </c>
      <c r="K1565" s="33" t="s">
        <v>4518</v>
      </c>
      <c r="L1565" s="68">
        <v>0</v>
      </c>
      <c r="M1565" s="68" t="s">
        <v>8915</v>
      </c>
      <c r="N1565" s="68">
        <v>0</v>
      </c>
      <c r="O1565" s="68">
        <v>0</v>
      </c>
      <c r="P1565" s="198" t="s">
        <v>5742</v>
      </c>
    </row>
    <row r="1566" spans="1:16" ht="18.75" hidden="1">
      <c r="A1566" s="50" t="s">
        <v>4525</v>
      </c>
      <c r="B1566" s="50" t="s">
        <v>4573</v>
      </c>
      <c r="C1566" s="50" t="s">
        <v>4354</v>
      </c>
      <c r="D1566" s="50" t="s">
        <v>4170</v>
      </c>
      <c r="E1566" s="12">
        <v>95</v>
      </c>
      <c r="F1566" s="49">
        <v>17180</v>
      </c>
      <c r="G1566" s="67" t="s">
        <v>5631</v>
      </c>
      <c r="H1566" s="14" t="s">
        <v>5601</v>
      </c>
      <c r="I1566" s="14" t="s">
        <v>2458</v>
      </c>
      <c r="J1566" s="33" t="s">
        <v>7110</v>
      </c>
      <c r="K1566" s="33" t="s">
        <v>4518</v>
      </c>
      <c r="L1566" s="68">
        <v>0</v>
      </c>
      <c r="M1566" s="68" t="s">
        <v>8915</v>
      </c>
      <c r="N1566" s="68">
        <v>0</v>
      </c>
      <c r="O1566" s="68">
        <v>0</v>
      </c>
      <c r="P1566" s="197" t="s">
        <v>5712</v>
      </c>
    </row>
    <row r="1567" spans="1:16" ht="18.75" hidden="1">
      <c r="A1567" s="50" t="s">
        <v>4525</v>
      </c>
      <c r="B1567" s="50" t="s">
        <v>4573</v>
      </c>
      <c r="C1567" s="50" t="s">
        <v>4453</v>
      </c>
      <c r="D1567" s="50" t="s">
        <v>4171</v>
      </c>
      <c r="E1567" s="12">
        <v>95</v>
      </c>
      <c r="F1567" s="49">
        <v>140520</v>
      </c>
      <c r="G1567" s="67" t="s">
        <v>5631</v>
      </c>
      <c r="H1567" s="14" t="s">
        <v>5601</v>
      </c>
      <c r="I1567" s="14" t="s">
        <v>2458</v>
      </c>
      <c r="J1567" s="33" t="s">
        <v>7110</v>
      </c>
      <c r="K1567" s="33" t="s">
        <v>4518</v>
      </c>
      <c r="L1567" s="68">
        <v>0</v>
      </c>
      <c r="M1567" s="68" t="s">
        <v>8915</v>
      </c>
      <c r="N1567" s="68">
        <v>0</v>
      </c>
      <c r="O1567" s="68">
        <v>0</v>
      </c>
      <c r="P1567" s="197" t="s">
        <v>5712</v>
      </c>
    </row>
    <row r="1568" spans="1:16" ht="18.75" hidden="1">
      <c r="A1568" s="50" t="s">
        <v>4526</v>
      </c>
      <c r="B1568" s="50" t="s">
        <v>4573</v>
      </c>
      <c r="C1568" s="50" t="s">
        <v>4579</v>
      </c>
      <c r="D1568" s="50" t="s">
        <v>4307</v>
      </c>
      <c r="E1568" s="12">
        <v>95</v>
      </c>
      <c r="F1568" s="49">
        <v>554023</v>
      </c>
      <c r="G1568" s="67" t="s">
        <v>5631</v>
      </c>
      <c r="H1568" s="14" t="s">
        <v>5601</v>
      </c>
      <c r="I1568" s="14" t="s">
        <v>2458</v>
      </c>
      <c r="J1568" s="33" t="s">
        <v>7110</v>
      </c>
      <c r="K1568" s="33" t="s">
        <v>4518</v>
      </c>
      <c r="L1568" s="68">
        <v>0</v>
      </c>
      <c r="M1568" s="68" t="s">
        <v>8915</v>
      </c>
      <c r="N1568" s="68">
        <v>0</v>
      </c>
      <c r="O1568" s="68">
        <v>0</v>
      </c>
      <c r="P1568" s="197" t="s">
        <v>5746</v>
      </c>
    </row>
    <row r="1569" spans="1:16" ht="18.75" hidden="1">
      <c r="A1569" s="50" t="s">
        <v>4527</v>
      </c>
      <c r="B1569" s="50" t="s">
        <v>4571</v>
      </c>
      <c r="C1569" s="50" t="s">
        <v>4580</v>
      </c>
      <c r="D1569" s="50" t="s">
        <v>3829</v>
      </c>
      <c r="E1569" s="12">
        <v>95</v>
      </c>
      <c r="F1569" s="49">
        <v>300000</v>
      </c>
      <c r="G1569" s="67" t="s">
        <v>5611</v>
      </c>
      <c r="H1569" s="14" t="s">
        <v>5601</v>
      </c>
      <c r="I1569" s="14" t="s">
        <v>2458</v>
      </c>
      <c r="J1569" s="33" t="s">
        <v>7110</v>
      </c>
      <c r="K1569" s="33" t="s">
        <v>4518</v>
      </c>
      <c r="L1569" s="68">
        <v>0</v>
      </c>
      <c r="M1569" s="68" t="s">
        <v>8915</v>
      </c>
      <c r="N1569" s="68">
        <v>0</v>
      </c>
      <c r="O1569" s="68">
        <v>0</v>
      </c>
      <c r="P1569" s="198" t="s">
        <v>5680</v>
      </c>
    </row>
    <row r="1570" spans="1:16" ht="18.75" hidden="1">
      <c r="A1570" s="50" t="s">
        <v>4526</v>
      </c>
      <c r="B1570" s="50" t="s">
        <v>4573</v>
      </c>
      <c r="C1570" s="50" t="s">
        <v>4512</v>
      </c>
      <c r="D1570" s="50" t="s">
        <v>4440</v>
      </c>
      <c r="E1570" s="12">
        <v>95</v>
      </c>
      <c r="F1570" s="49">
        <v>541027</v>
      </c>
      <c r="G1570" s="67" t="s">
        <v>5631</v>
      </c>
      <c r="H1570" s="14" t="s">
        <v>5601</v>
      </c>
      <c r="I1570" s="14" t="s">
        <v>2458</v>
      </c>
      <c r="J1570" s="33" t="s">
        <v>7110</v>
      </c>
      <c r="K1570" s="33" t="s">
        <v>4518</v>
      </c>
      <c r="L1570" s="68">
        <v>0</v>
      </c>
      <c r="M1570" s="68" t="s">
        <v>8915</v>
      </c>
      <c r="N1570" s="68">
        <v>0</v>
      </c>
      <c r="O1570" s="68">
        <v>0</v>
      </c>
      <c r="P1570" s="197" t="s">
        <v>5738</v>
      </c>
    </row>
    <row r="1571" spans="1:16" ht="18.75" hidden="1">
      <c r="A1571" s="50" t="s">
        <v>4528</v>
      </c>
      <c r="B1571" s="50" t="s">
        <v>4570</v>
      </c>
      <c r="C1571" s="50" t="s">
        <v>4581</v>
      </c>
      <c r="D1571" s="50" t="s">
        <v>4439</v>
      </c>
      <c r="E1571" s="12">
        <v>95</v>
      </c>
      <c r="F1571" s="49">
        <v>994180</v>
      </c>
      <c r="G1571" s="67" t="s">
        <v>5604</v>
      </c>
      <c r="H1571" s="14" t="s">
        <v>5601</v>
      </c>
      <c r="I1571" s="14" t="s">
        <v>2458</v>
      </c>
      <c r="J1571" s="33" t="s">
        <v>7110</v>
      </c>
      <c r="K1571" s="33" t="s">
        <v>4518</v>
      </c>
      <c r="L1571" s="68">
        <v>0</v>
      </c>
      <c r="M1571" s="68" t="s">
        <v>8915</v>
      </c>
      <c r="N1571" s="68">
        <v>0</v>
      </c>
      <c r="O1571" s="68">
        <v>0</v>
      </c>
      <c r="P1571" s="198" t="s">
        <v>5740</v>
      </c>
    </row>
    <row r="1572" spans="1:16" ht="18.75" hidden="1">
      <c r="A1572" s="50" t="s">
        <v>4529</v>
      </c>
      <c r="B1572" s="50" t="s">
        <v>4574</v>
      </c>
      <c r="C1572" s="50" t="s">
        <v>4582</v>
      </c>
      <c r="D1572" s="50" t="s">
        <v>4438</v>
      </c>
      <c r="E1572" s="12">
        <v>95</v>
      </c>
      <c r="F1572" s="49">
        <v>2958</v>
      </c>
      <c r="G1572" s="67" t="s">
        <v>5604</v>
      </c>
      <c r="H1572" s="14" t="s">
        <v>5601</v>
      </c>
      <c r="I1572" s="14" t="s">
        <v>2458</v>
      </c>
      <c r="J1572" s="33" t="s">
        <v>7110</v>
      </c>
      <c r="K1572" s="33" t="s">
        <v>4518</v>
      </c>
      <c r="L1572" s="68">
        <v>0</v>
      </c>
      <c r="M1572" s="68" t="s">
        <v>8915</v>
      </c>
      <c r="N1572" s="68">
        <v>0</v>
      </c>
      <c r="O1572" s="68">
        <v>0</v>
      </c>
      <c r="P1572" s="198" t="s">
        <v>5740</v>
      </c>
    </row>
    <row r="1573" spans="1:16" ht="18.75" hidden="1">
      <c r="A1573" s="50" t="s">
        <v>4529</v>
      </c>
      <c r="B1573" s="50" t="s">
        <v>4574</v>
      </c>
      <c r="C1573" s="50" t="s">
        <v>4474</v>
      </c>
      <c r="D1573" s="50" t="s">
        <v>4174</v>
      </c>
      <c r="E1573" s="12">
        <v>95</v>
      </c>
      <c r="F1573" s="49">
        <v>2495</v>
      </c>
      <c r="G1573" s="67" t="s">
        <v>5604</v>
      </c>
      <c r="H1573" s="14" t="s">
        <v>5601</v>
      </c>
      <c r="I1573" s="14" t="s">
        <v>2458</v>
      </c>
      <c r="J1573" s="33" t="s">
        <v>7110</v>
      </c>
      <c r="K1573" s="33" t="s">
        <v>4518</v>
      </c>
      <c r="L1573" s="68">
        <v>0</v>
      </c>
      <c r="M1573" s="68" t="s">
        <v>8915</v>
      </c>
      <c r="N1573" s="68">
        <v>0</v>
      </c>
      <c r="O1573" s="68">
        <v>0</v>
      </c>
      <c r="P1573" s="198" t="s">
        <v>5729</v>
      </c>
    </row>
    <row r="1574" spans="1:16" ht="18.75" hidden="1">
      <c r="A1574" s="50" t="s">
        <v>4530</v>
      </c>
      <c r="B1574" s="50" t="s">
        <v>4574</v>
      </c>
      <c r="C1574" s="50" t="s">
        <v>4493</v>
      </c>
      <c r="D1574" s="50" t="s">
        <v>3767</v>
      </c>
      <c r="E1574" s="12">
        <v>95</v>
      </c>
      <c r="F1574" s="49">
        <v>11200</v>
      </c>
      <c r="G1574" s="67" t="s">
        <v>5611</v>
      </c>
      <c r="H1574" s="14" t="s">
        <v>5601</v>
      </c>
      <c r="I1574" s="14" t="s">
        <v>2458</v>
      </c>
      <c r="J1574" s="33" t="s">
        <v>7110</v>
      </c>
      <c r="K1574" s="33" t="s">
        <v>4518</v>
      </c>
      <c r="L1574" s="68">
        <v>0</v>
      </c>
      <c r="M1574" s="68" t="s">
        <v>8915</v>
      </c>
      <c r="N1574" s="68">
        <v>0</v>
      </c>
      <c r="O1574" s="68">
        <v>0</v>
      </c>
      <c r="P1574" s="198" t="s">
        <v>5659</v>
      </c>
    </row>
    <row r="1575" spans="1:16" ht="18.75" hidden="1">
      <c r="A1575" s="50" t="s">
        <v>4530</v>
      </c>
      <c r="B1575" s="50" t="s">
        <v>4574</v>
      </c>
      <c r="C1575" s="50" t="s">
        <v>4583</v>
      </c>
      <c r="D1575" s="50" t="s">
        <v>3831</v>
      </c>
      <c r="E1575" s="12">
        <v>95</v>
      </c>
      <c r="F1575" s="49">
        <v>300000</v>
      </c>
      <c r="G1575" s="67" t="s">
        <v>5611</v>
      </c>
      <c r="H1575" s="14" t="s">
        <v>5601</v>
      </c>
      <c r="I1575" s="14" t="s">
        <v>2458</v>
      </c>
      <c r="J1575" s="33" t="s">
        <v>7110</v>
      </c>
      <c r="K1575" s="33" t="s">
        <v>4518</v>
      </c>
      <c r="L1575" s="68">
        <v>0</v>
      </c>
      <c r="M1575" s="68" t="s">
        <v>8915</v>
      </c>
      <c r="N1575" s="68">
        <v>0</v>
      </c>
      <c r="O1575" s="68">
        <v>0</v>
      </c>
      <c r="P1575" s="198" t="s">
        <v>5659</v>
      </c>
    </row>
    <row r="1576" spans="1:16" ht="18.75" hidden="1">
      <c r="A1576" s="50" t="s">
        <v>4531</v>
      </c>
      <c r="B1576" s="50" t="s">
        <v>4569</v>
      </c>
      <c r="C1576" s="50" t="s">
        <v>4461</v>
      </c>
      <c r="D1576" s="50" t="s">
        <v>4186</v>
      </c>
      <c r="E1576" s="12">
        <v>95</v>
      </c>
      <c r="F1576" s="49">
        <v>100055</v>
      </c>
      <c r="G1576" s="67" t="s">
        <v>5609</v>
      </c>
      <c r="H1576" s="14" t="s">
        <v>5601</v>
      </c>
      <c r="I1576" s="14" t="s">
        <v>2458</v>
      </c>
      <c r="J1576" s="33" t="s">
        <v>7110</v>
      </c>
      <c r="K1576" s="33" t="s">
        <v>4518</v>
      </c>
      <c r="L1576" s="68">
        <v>0</v>
      </c>
      <c r="M1576" s="68" t="s">
        <v>8915</v>
      </c>
      <c r="N1576" s="68">
        <v>0</v>
      </c>
      <c r="O1576" s="68">
        <v>0</v>
      </c>
      <c r="P1576" s="198" t="s">
        <v>5711</v>
      </c>
    </row>
    <row r="1577" spans="1:16" ht="18.75" hidden="1">
      <c r="A1577" s="50" t="s">
        <v>4529</v>
      </c>
      <c r="B1577" s="50" t="s">
        <v>4574</v>
      </c>
      <c r="C1577" s="50" t="s">
        <v>4584</v>
      </c>
      <c r="D1577" s="50" t="s">
        <v>4438</v>
      </c>
      <c r="E1577" s="12">
        <v>95</v>
      </c>
      <c r="F1577" s="49">
        <v>387225</v>
      </c>
      <c r="G1577" s="67" t="s">
        <v>5604</v>
      </c>
      <c r="H1577" s="14" t="s">
        <v>5601</v>
      </c>
      <c r="I1577" s="14" t="s">
        <v>2458</v>
      </c>
      <c r="J1577" s="33" t="s">
        <v>7110</v>
      </c>
      <c r="K1577" s="33" t="s">
        <v>4518</v>
      </c>
      <c r="L1577" s="68">
        <v>0</v>
      </c>
      <c r="M1577" s="68" t="s">
        <v>8915</v>
      </c>
      <c r="N1577" s="68">
        <v>0</v>
      </c>
      <c r="O1577" s="68">
        <v>0</v>
      </c>
      <c r="P1577" s="198" t="s">
        <v>5740</v>
      </c>
    </row>
    <row r="1578" spans="1:16" ht="18.75" hidden="1">
      <c r="A1578" s="50" t="s">
        <v>4532</v>
      </c>
      <c r="B1578" s="50" t="s">
        <v>4516</v>
      </c>
      <c r="C1578" s="50" t="s">
        <v>4585</v>
      </c>
      <c r="D1578" s="50" t="s">
        <v>3900</v>
      </c>
      <c r="E1578" s="12">
        <v>95</v>
      </c>
      <c r="F1578" s="49">
        <v>199400</v>
      </c>
      <c r="G1578" s="67" t="s">
        <v>5611</v>
      </c>
      <c r="H1578" s="14" t="s">
        <v>5601</v>
      </c>
      <c r="I1578" s="14" t="s">
        <v>2458</v>
      </c>
      <c r="J1578" s="33" t="s">
        <v>7110</v>
      </c>
      <c r="K1578" s="33" t="s">
        <v>4518</v>
      </c>
      <c r="L1578" s="68">
        <v>0</v>
      </c>
      <c r="M1578" s="68" t="s">
        <v>8915</v>
      </c>
      <c r="N1578" s="68">
        <v>0</v>
      </c>
      <c r="O1578" s="68">
        <v>0</v>
      </c>
      <c r="P1578" s="198" t="s">
        <v>5689</v>
      </c>
    </row>
    <row r="1579" spans="1:16" ht="18.75" hidden="1">
      <c r="A1579" s="50" t="s">
        <v>4530</v>
      </c>
      <c r="B1579" s="50" t="s">
        <v>4574</v>
      </c>
      <c r="C1579" s="50" t="s">
        <v>4586</v>
      </c>
      <c r="D1579" s="50" t="s">
        <v>3821</v>
      </c>
      <c r="E1579" s="12">
        <v>95</v>
      </c>
      <c r="F1579" s="49">
        <v>199797</v>
      </c>
      <c r="G1579" s="67" t="s">
        <v>5611</v>
      </c>
      <c r="H1579" s="14" t="s">
        <v>5601</v>
      </c>
      <c r="I1579" s="14" t="s">
        <v>2458</v>
      </c>
      <c r="J1579" s="33" t="s">
        <v>7110</v>
      </c>
      <c r="K1579" s="33" t="s">
        <v>4518</v>
      </c>
      <c r="L1579" s="68">
        <v>0</v>
      </c>
      <c r="M1579" s="68" t="s">
        <v>8915</v>
      </c>
      <c r="N1579" s="68">
        <v>0</v>
      </c>
      <c r="O1579" s="68">
        <v>0</v>
      </c>
      <c r="P1579" s="198" t="s">
        <v>5675</v>
      </c>
    </row>
    <row r="1580" spans="1:16" ht="18.75" hidden="1">
      <c r="A1580" s="50" t="s">
        <v>4532</v>
      </c>
      <c r="B1580" s="50" t="s">
        <v>4516</v>
      </c>
      <c r="C1580" s="50" t="s">
        <v>4587</v>
      </c>
      <c r="D1580" s="50" t="s">
        <v>3932</v>
      </c>
      <c r="E1580" s="12">
        <v>95</v>
      </c>
      <c r="F1580" s="49">
        <v>199480</v>
      </c>
      <c r="G1580" s="67" t="s">
        <v>5611</v>
      </c>
      <c r="H1580" s="14" t="s">
        <v>5601</v>
      </c>
      <c r="I1580" s="14" t="s">
        <v>2458</v>
      </c>
      <c r="J1580" s="33" t="s">
        <v>7110</v>
      </c>
      <c r="K1580" s="33" t="s">
        <v>4518</v>
      </c>
      <c r="L1580" s="68">
        <v>0</v>
      </c>
      <c r="M1580" s="68" t="s">
        <v>8915</v>
      </c>
      <c r="N1580" s="68">
        <v>0</v>
      </c>
      <c r="O1580" s="68">
        <v>0</v>
      </c>
      <c r="P1580" s="198" t="s">
        <v>5694</v>
      </c>
    </row>
    <row r="1581" spans="1:16" ht="18.75" hidden="1">
      <c r="A1581" s="50" t="s">
        <v>4532</v>
      </c>
      <c r="B1581" s="50" t="s">
        <v>4516</v>
      </c>
      <c r="C1581" s="50" t="s">
        <v>4588</v>
      </c>
      <c r="D1581" s="50" t="s">
        <v>3933</v>
      </c>
      <c r="E1581" s="12">
        <v>95</v>
      </c>
      <c r="F1581" s="49">
        <v>101620</v>
      </c>
      <c r="G1581" s="67" t="s">
        <v>5611</v>
      </c>
      <c r="H1581" s="14" t="s">
        <v>5601</v>
      </c>
      <c r="I1581" s="14" t="s">
        <v>2458</v>
      </c>
      <c r="J1581" s="33" t="s">
        <v>7110</v>
      </c>
      <c r="K1581" s="33" t="s">
        <v>4518</v>
      </c>
      <c r="L1581" s="68">
        <v>0</v>
      </c>
      <c r="M1581" s="68" t="s">
        <v>8915</v>
      </c>
      <c r="N1581" s="68">
        <v>0</v>
      </c>
      <c r="O1581" s="68">
        <v>0</v>
      </c>
      <c r="P1581" s="198" t="s">
        <v>5694</v>
      </c>
    </row>
    <row r="1582" spans="1:16" ht="18.75" hidden="1">
      <c r="A1582" s="50" t="s">
        <v>4530</v>
      </c>
      <c r="B1582" s="50" t="s">
        <v>4574</v>
      </c>
      <c r="C1582" s="50" t="s">
        <v>4589</v>
      </c>
      <c r="D1582" s="50" t="s">
        <v>3671</v>
      </c>
      <c r="E1582" s="12">
        <v>95</v>
      </c>
      <c r="F1582" s="49">
        <v>33740</v>
      </c>
      <c r="G1582" s="67" t="s">
        <v>5611</v>
      </c>
      <c r="H1582" s="14" t="s">
        <v>5601</v>
      </c>
      <c r="I1582" s="14" t="s">
        <v>2458</v>
      </c>
      <c r="J1582" s="33" t="s">
        <v>7110</v>
      </c>
      <c r="K1582" s="33" t="s">
        <v>4518</v>
      </c>
      <c r="L1582" s="68">
        <v>0</v>
      </c>
      <c r="M1582" s="68" t="s">
        <v>8915</v>
      </c>
      <c r="N1582" s="68">
        <v>0</v>
      </c>
      <c r="O1582" s="68">
        <v>0</v>
      </c>
      <c r="P1582" s="198" t="s">
        <v>5659</v>
      </c>
    </row>
    <row r="1583" spans="1:16" ht="18.75" hidden="1">
      <c r="A1583" s="50" t="s">
        <v>4533</v>
      </c>
      <c r="B1583" s="50" t="s">
        <v>4570</v>
      </c>
      <c r="C1583" s="50" t="s">
        <v>4590</v>
      </c>
      <c r="D1583" s="50" t="s">
        <v>4439</v>
      </c>
      <c r="E1583" s="12">
        <v>95</v>
      </c>
      <c r="F1583" s="49">
        <v>992880</v>
      </c>
      <c r="G1583" s="67" t="s">
        <v>5604</v>
      </c>
      <c r="H1583" s="14" t="s">
        <v>5601</v>
      </c>
      <c r="I1583" s="14" t="s">
        <v>2458</v>
      </c>
      <c r="J1583" s="33" t="s">
        <v>7110</v>
      </c>
      <c r="K1583" s="33" t="s">
        <v>4518</v>
      </c>
      <c r="L1583" s="68">
        <v>0</v>
      </c>
      <c r="M1583" s="68" t="s">
        <v>8915</v>
      </c>
      <c r="N1583" s="68">
        <v>0</v>
      </c>
      <c r="O1583" s="68">
        <v>0</v>
      </c>
      <c r="P1583" s="198" t="s">
        <v>5740</v>
      </c>
    </row>
    <row r="1584" spans="1:16" ht="18.75" hidden="1">
      <c r="A1584" s="50" t="s">
        <v>4534</v>
      </c>
      <c r="B1584" s="50" t="s">
        <v>4500</v>
      </c>
      <c r="C1584" s="50" t="s">
        <v>4208</v>
      </c>
      <c r="D1584" s="50" t="s">
        <v>4180</v>
      </c>
      <c r="E1584" s="12">
        <v>95</v>
      </c>
      <c r="F1584" s="49">
        <v>74650</v>
      </c>
      <c r="G1584" s="67" t="s">
        <v>5607</v>
      </c>
      <c r="H1584" s="14" t="s">
        <v>5601</v>
      </c>
      <c r="I1584" s="14" t="s">
        <v>2458</v>
      </c>
      <c r="J1584" s="33" t="s">
        <v>7110</v>
      </c>
      <c r="K1584" s="33" t="s">
        <v>4518</v>
      </c>
      <c r="L1584" s="68">
        <v>0</v>
      </c>
      <c r="M1584" s="68" t="s">
        <v>8915</v>
      </c>
      <c r="N1584" s="68">
        <v>0</v>
      </c>
      <c r="O1584" s="68">
        <v>0</v>
      </c>
      <c r="P1584" s="198" t="s">
        <v>5690</v>
      </c>
    </row>
    <row r="1585" spans="1:16" ht="18.75" hidden="1">
      <c r="A1585" s="50" t="s">
        <v>4535</v>
      </c>
      <c r="B1585" s="50" t="s">
        <v>4575</v>
      </c>
      <c r="C1585" s="50" t="s">
        <v>4511</v>
      </c>
      <c r="D1585" s="50" t="s">
        <v>4438</v>
      </c>
      <c r="E1585" s="12">
        <v>95</v>
      </c>
      <c r="F1585" s="49">
        <v>758313</v>
      </c>
      <c r="G1585" s="67" t="s">
        <v>5631</v>
      </c>
      <c r="H1585" s="14" t="s">
        <v>5601</v>
      </c>
      <c r="I1585" s="14" t="s">
        <v>2458</v>
      </c>
      <c r="J1585" s="33" t="s">
        <v>7110</v>
      </c>
      <c r="K1585" s="33" t="s">
        <v>4518</v>
      </c>
      <c r="L1585" s="68">
        <v>0</v>
      </c>
      <c r="M1585" s="68" t="s">
        <v>8915</v>
      </c>
      <c r="N1585" s="68">
        <v>0</v>
      </c>
      <c r="O1585" s="68">
        <v>0</v>
      </c>
      <c r="P1585" s="197" t="s">
        <v>5738</v>
      </c>
    </row>
    <row r="1586" spans="1:16" ht="18.75" hidden="1">
      <c r="A1586" s="50" t="s">
        <v>4530</v>
      </c>
      <c r="B1586" s="50" t="s">
        <v>4574</v>
      </c>
      <c r="C1586" s="50" t="s">
        <v>4591</v>
      </c>
      <c r="D1586" s="50" t="s">
        <v>3834</v>
      </c>
      <c r="E1586" s="12">
        <v>95</v>
      </c>
      <c r="F1586" s="49">
        <v>200000</v>
      </c>
      <c r="G1586" s="67" t="s">
        <v>5611</v>
      </c>
      <c r="H1586" s="14" t="s">
        <v>5601</v>
      </c>
      <c r="I1586" s="14" t="s">
        <v>2458</v>
      </c>
      <c r="J1586" s="33" t="s">
        <v>7110</v>
      </c>
      <c r="K1586" s="33" t="s">
        <v>4518</v>
      </c>
      <c r="L1586" s="68">
        <v>0</v>
      </c>
      <c r="M1586" s="68" t="s">
        <v>8915</v>
      </c>
      <c r="N1586" s="68">
        <v>0</v>
      </c>
      <c r="O1586" s="68">
        <v>0</v>
      </c>
      <c r="P1586" s="198" t="s">
        <v>5675</v>
      </c>
    </row>
    <row r="1587" spans="1:16" ht="18.75" hidden="1">
      <c r="A1587" s="50" t="s">
        <v>4536</v>
      </c>
      <c r="B1587" s="50" t="s">
        <v>4516</v>
      </c>
      <c r="C1587" s="50" t="s">
        <v>4585</v>
      </c>
      <c r="D1587" s="50" t="s">
        <v>3900</v>
      </c>
      <c r="E1587" s="12">
        <v>95</v>
      </c>
      <c r="F1587" s="49">
        <v>500500</v>
      </c>
      <c r="G1587" s="67" t="s">
        <v>5611</v>
      </c>
      <c r="H1587" s="14" t="s">
        <v>5601</v>
      </c>
      <c r="I1587" s="14" t="s">
        <v>2458</v>
      </c>
      <c r="J1587" s="33" t="s">
        <v>7110</v>
      </c>
      <c r="K1587" s="33" t="s">
        <v>4518</v>
      </c>
      <c r="L1587" s="68">
        <v>0</v>
      </c>
      <c r="M1587" s="68" t="s">
        <v>8915</v>
      </c>
      <c r="N1587" s="68">
        <v>0</v>
      </c>
      <c r="O1587" s="68">
        <v>0</v>
      </c>
      <c r="P1587" s="198" t="s">
        <v>5689</v>
      </c>
    </row>
    <row r="1588" spans="1:16" ht="18.75" hidden="1">
      <c r="A1588" s="50" t="s">
        <v>4537</v>
      </c>
      <c r="B1588" s="50" t="s">
        <v>4576</v>
      </c>
      <c r="C1588" s="50" t="s">
        <v>4508</v>
      </c>
      <c r="D1588" s="50" t="s">
        <v>4183</v>
      </c>
      <c r="E1588" s="12">
        <v>95</v>
      </c>
      <c r="F1588" s="49">
        <v>499020</v>
      </c>
      <c r="G1588" s="67" t="s">
        <v>5699</v>
      </c>
      <c r="H1588" s="14" t="s">
        <v>5601</v>
      </c>
      <c r="I1588" s="14" t="s">
        <v>2458</v>
      </c>
      <c r="J1588" s="33" t="s">
        <v>7110</v>
      </c>
      <c r="K1588" s="33" t="s">
        <v>4518</v>
      </c>
      <c r="L1588" s="68">
        <v>0</v>
      </c>
      <c r="M1588" s="68" t="s">
        <v>8915</v>
      </c>
      <c r="N1588" s="68">
        <v>0</v>
      </c>
      <c r="O1588" s="68">
        <v>0</v>
      </c>
      <c r="P1588" s="198" t="s">
        <v>5715</v>
      </c>
    </row>
    <row r="1589" spans="1:16" ht="18.75" hidden="1">
      <c r="A1589" s="50" t="s">
        <v>4535</v>
      </c>
      <c r="B1589" s="50" t="s">
        <v>4575</v>
      </c>
      <c r="C1589" s="50" t="s">
        <v>4473</v>
      </c>
      <c r="D1589" s="50" t="s">
        <v>4175</v>
      </c>
      <c r="E1589" s="12">
        <v>95</v>
      </c>
      <c r="F1589" s="49">
        <v>242387</v>
      </c>
      <c r="G1589" s="67" t="s">
        <v>5631</v>
      </c>
      <c r="H1589" s="14" t="s">
        <v>5601</v>
      </c>
      <c r="I1589" s="14" t="s">
        <v>2458</v>
      </c>
      <c r="J1589" s="33" t="s">
        <v>7110</v>
      </c>
      <c r="K1589" s="33" t="s">
        <v>4518</v>
      </c>
      <c r="L1589" s="68">
        <v>0</v>
      </c>
      <c r="M1589" s="68" t="s">
        <v>8915</v>
      </c>
      <c r="N1589" s="68">
        <v>0</v>
      </c>
      <c r="O1589" s="68">
        <v>0</v>
      </c>
      <c r="P1589" s="197" t="s">
        <v>5712</v>
      </c>
    </row>
    <row r="1590" spans="1:16" ht="18.75" hidden="1">
      <c r="A1590" s="50" t="s">
        <v>4538</v>
      </c>
      <c r="B1590" s="50" t="s">
        <v>4570</v>
      </c>
      <c r="C1590" s="50" t="s">
        <v>4467</v>
      </c>
      <c r="D1590" s="50" t="s">
        <v>3932</v>
      </c>
      <c r="E1590" s="12">
        <v>95</v>
      </c>
      <c r="F1590" s="49">
        <v>3366</v>
      </c>
      <c r="G1590" s="67" t="s">
        <v>5609</v>
      </c>
      <c r="H1590" s="14" t="s">
        <v>5601</v>
      </c>
      <c r="I1590" s="14" t="s">
        <v>2458</v>
      </c>
      <c r="J1590" s="33" t="s">
        <v>7110</v>
      </c>
      <c r="K1590" s="33" t="s">
        <v>4518</v>
      </c>
      <c r="L1590" s="68">
        <v>0</v>
      </c>
      <c r="M1590" s="68" t="s">
        <v>8915</v>
      </c>
      <c r="N1590" s="68">
        <v>0</v>
      </c>
      <c r="O1590" s="68">
        <v>0</v>
      </c>
      <c r="P1590" s="198" t="s">
        <v>5688</v>
      </c>
    </row>
    <row r="1591" spans="1:16" ht="18.75" hidden="1">
      <c r="A1591" s="50" t="s">
        <v>4534</v>
      </c>
      <c r="B1591" s="50" t="s">
        <v>4500</v>
      </c>
      <c r="C1591" s="50" t="s">
        <v>4592</v>
      </c>
      <c r="D1591" s="50" t="s">
        <v>4180</v>
      </c>
      <c r="E1591" s="12">
        <v>95</v>
      </c>
      <c r="F1591" s="49">
        <v>922300</v>
      </c>
      <c r="G1591" s="67" t="s">
        <v>5607</v>
      </c>
      <c r="H1591" s="14" t="s">
        <v>5601</v>
      </c>
      <c r="I1591" s="14" t="s">
        <v>2458</v>
      </c>
      <c r="J1591" s="33" t="s">
        <v>7110</v>
      </c>
      <c r="K1591" s="33" t="s">
        <v>4518</v>
      </c>
      <c r="L1591" s="68">
        <v>0</v>
      </c>
      <c r="M1591" s="68" t="s">
        <v>8915</v>
      </c>
      <c r="N1591" s="68">
        <v>0</v>
      </c>
      <c r="O1591" s="68">
        <v>0</v>
      </c>
      <c r="P1591" s="198" t="s">
        <v>5690</v>
      </c>
    </row>
    <row r="1592" spans="1:16" ht="18.75" hidden="1">
      <c r="A1592" s="50" t="s">
        <v>4537</v>
      </c>
      <c r="B1592" s="50" t="s">
        <v>4576</v>
      </c>
      <c r="C1592" s="50" t="s">
        <v>4503</v>
      </c>
      <c r="D1592" s="50" t="s">
        <v>4183</v>
      </c>
      <c r="E1592" s="12">
        <v>95</v>
      </c>
      <c r="F1592" s="49">
        <v>498320</v>
      </c>
      <c r="G1592" s="67" t="s">
        <v>5699</v>
      </c>
      <c r="H1592" s="14" t="s">
        <v>5601</v>
      </c>
      <c r="I1592" s="14" t="s">
        <v>2458</v>
      </c>
      <c r="J1592" s="33" t="s">
        <v>7110</v>
      </c>
      <c r="K1592" s="33" t="s">
        <v>4518</v>
      </c>
      <c r="L1592" s="68">
        <v>0</v>
      </c>
      <c r="M1592" s="68" t="s">
        <v>8915</v>
      </c>
      <c r="N1592" s="68">
        <v>0</v>
      </c>
      <c r="O1592" s="68">
        <v>0</v>
      </c>
      <c r="P1592" s="198" t="s">
        <v>5715</v>
      </c>
    </row>
    <row r="1593" spans="1:16" ht="18.75" hidden="1">
      <c r="A1593" s="50" t="s">
        <v>4539</v>
      </c>
      <c r="B1593" s="50" t="s">
        <v>4570</v>
      </c>
      <c r="C1593" s="50" t="s">
        <v>4227</v>
      </c>
      <c r="D1593" s="50" t="s">
        <v>4182</v>
      </c>
      <c r="E1593" s="12">
        <v>95</v>
      </c>
      <c r="F1593" s="49">
        <v>994600</v>
      </c>
      <c r="G1593" s="67" t="s">
        <v>5699</v>
      </c>
      <c r="H1593" s="14" t="s">
        <v>5601</v>
      </c>
      <c r="I1593" s="14" t="s">
        <v>2458</v>
      </c>
      <c r="J1593" s="33" t="s">
        <v>7110</v>
      </c>
      <c r="K1593" s="33" t="s">
        <v>4518</v>
      </c>
      <c r="L1593" s="68">
        <v>0</v>
      </c>
      <c r="M1593" s="68" t="s">
        <v>8915</v>
      </c>
      <c r="N1593" s="68">
        <v>0</v>
      </c>
      <c r="O1593" s="68">
        <v>0</v>
      </c>
      <c r="P1593" s="198" t="s">
        <v>5715</v>
      </c>
    </row>
    <row r="1594" spans="1:16" ht="18.75" hidden="1">
      <c r="A1594" s="50" t="s">
        <v>4539</v>
      </c>
      <c r="B1594" s="50" t="s">
        <v>4570</v>
      </c>
      <c r="C1594" s="50" t="s">
        <v>4505</v>
      </c>
      <c r="D1594" s="50" t="s">
        <v>4183</v>
      </c>
      <c r="E1594" s="12">
        <v>95</v>
      </c>
      <c r="F1594" s="49">
        <v>500000</v>
      </c>
      <c r="G1594" s="67" t="s">
        <v>5699</v>
      </c>
      <c r="H1594" s="14" t="s">
        <v>5601</v>
      </c>
      <c r="I1594" s="14" t="s">
        <v>2458</v>
      </c>
      <c r="J1594" s="33" t="s">
        <v>7110</v>
      </c>
      <c r="K1594" s="33" t="s">
        <v>4518</v>
      </c>
      <c r="L1594" s="68">
        <v>0</v>
      </c>
      <c r="M1594" s="68" t="s">
        <v>8915</v>
      </c>
      <c r="N1594" s="68">
        <v>0</v>
      </c>
      <c r="O1594" s="68">
        <v>0</v>
      </c>
      <c r="P1594" s="198" t="s">
        <v>5715</v>
      </c>
    </row>
    <row r="1595" spans="1:16" ht="18.75" hidden="1">
      <c r="A1595" s="50" t="s">
        <v>4539</v>
      </c>
      <c r="B1595" s="50" t="s">
        <v>4570</v>
      </c>
      <c r="C1595" s="50" t="s">
        <v>4502</v>
      </c>
      <c r="D1595" s="50" t="s">
        <v>4183</v>
      </c>
      <c r="E1595" s="12">
        <v>95</v>
      </c>
      <c r="F1595" s="49">
        <v>312850</v>
      </c>
      <c r="G1595" s="67" t="s">
        <v>5699</v>
      </c>
      <c r="H1595" s="14" t="s">
        <v>5601</v>
      </c>
      <c r="I1595" s="14" t="s">
        <v>2458</v>
      </c>
      <c r="J1595" s="33" t="s">
        <v>7110</v>
      </c>
      <c r="K1595" s="33" t="s">
        <v>4518</v>
      </c>
      <c r="L1595" s="68">
        <v>0</v>
      </c>
      <c r="M1595" s="68" t="s">
        <v>8915</v>
      </c>
      <c r="N1595" s="68">
        <v>0</v>
      </c>
      <c r="O1595" s="68">
        <v>0</v>
      </c>
      <c r="P1595" s="198" t="s">
        <v>5715</v>
      </c>
    </row>
    <row r="1596" spans="1:16" ht="18.75" hidden="1">
      <c r="A1596" s="50" t="s">
        <v>4540</v>
      </c>
      <c r="B1596" s="50" t="s">
        <v>4500</v>
      </c>
      <c r="C1596" s="50" t="s">
        <v>3752</v>
      </c>
      <c r="D1596" s="50" t="s">
        <v>3662</v>
      </c>
      <c r="E1596" s="12">
        <v>95</v>
      </c>
      <c r="F1596" s="49">
        <v>398491</v>
      </c>
      <c r="G1596" s="67" t="s">
        <v>5655</v>
      </c>
      <c r="H1596" s="14" t="s">
        <v>5601</v>
      </c>
      <c r="I1596" s="14" t="s">
        <v>2458</v>
      </c>
      <c r="J1596" s="33" t="s">
        <v>7110</v>
      </c>
      <c r="K1596" s="33" t="s">
        <v>4518</v>
      </c>
      <c r="L1596" s="68">
        <v>0</v>
      </c>
      <c r="M1596" s="68" t="s">
        <v>8915</v>
      </c>
      <c r="N1596" s="68">
        <v>0</v>
      </c>
      <c r="O1596" s="68">
        <v>0</v>
      </c>
      <c r="P1596" s="198" t="s">
        <v>5656</v>
      </c>
    </row>
    <row r="1597" spans="1:16" ht="18.75" hidden="1">
      <c r="A1597" s="50" t="s">
        <v>4540</v>
      </c>
      <c r="B1597" s="50" t="s">
        <v>4500</v>
      </c>
      <c r="C1597" s="50" t="s">
        <v>4593</v>
      </c>
      <c r="D1597" s="50" t="s">
        <v>3822</v>
      </c>
      <c r="E1597" s="12">
        <v>95</v>
      </c>
      <c r="F1597" s="49">
        <v>112540</v>
      </c>
      <c r="G1597" s="67" t="s">
        <v>5611</v>
      </c>
      <c r="H1597" s="14" t="s">
        <v>5601</v>
      </c>
      <c r="I1597" s="14" t="s">
        <v>2458</v>
      </c>
      <c r="J1597" s="33" t="s">
        <v>7110</v>
      </c>
      <c r="K1597" s="33" t="s">
        <v>4518</v>
      </c>
      <c r="L1597" s="68">
        <v>0</v>
      </c>
      <c r="M1597" s="68" t="s">
        <v>8915</v>
      </c>
      <c r="N1597" s="68">
        <v>0</v>
      </c>
      <c r="O1597" s="68">
        <v>0</v>
      </c>
      <c r="P1597" s="198" t="s">
        <v>5659</v>
      </c>
    </row>
    <row r="1598" spans="1:16" ht="18.75" hidden="1">
      <c r="A1598" s="50" t="s">
        <v>4541</v>
      </c>
      <c r="B1598" s="50" t="s">
        <v>4575</v>
      </c>
      <c r="C1598" s="50" t="s">
        <v>4474</v>
      </c>
      <c r="D1598" s="50" t="s">
        <v>4174</v>
      </c>
      <c r="E1598" s="12">
        <v>95</v>
      </c>
      <c r="F1598" s="49">
        <v>494823</v>
      </c>
      <c r="G1598" s="67" t="s">
        <v>5604</v>
      </c>
      <c r="H1598" s="14" t="s">
        <v>5601</v>
      </c>
      <c r="I1598" s="14" t="s">
        <v>2458</v>
      </c>
      <c r="J1598" s="33" t="s">
        <v>7110</v>
      </c>
      <c r="K1598" s="33" t="s">
        <v>4518</v>
      </c>
      <c r="L1598" s="68">
        <v>0</v>
      </c>
      <c r="M1598" s="68" t="s">
        <v>8915</v>
      </c>
      <c r="N1598" s="68">
        <v>0</v>
      </c>
      <c r="O1598" s="68">
        <v>0</v>
      </c>
      <c r="P1598" s="198" t="s">
        <v>5729</v>
      </c>
    </row>
    <row r="1599" spans="1:16" ht="18.75" hidden="1">
      <c r="A1599" s="50" t="s">
        <v>4538</v>
      </c>
      <c r="B1599" s="50" t="s">
        <v>4570</v>
      </c>
      <c r="C1599" s="50" t="s">
        <v>4594</v>
      </c>
      <c r="D1599" s="50" t="s">
        <v>3937</v>
      </c>
      <c r="E1599" s="12">
        <v>95</v>
      </c>
      <c r="F1599" s="49">
        <v>80000</v>
      </c>
      <c r="G1599" s="67" t="s">
        <v>5611</v>
      </c>
      <c r="H1599" s="14" t="s">
        <v>5601</v>
      </c>
      <c r="I1599" s="14" t="s">
        <v>2458</v>
      </c>
      <c r="J1599" s="33" t="s">
        <v>7110</v>
      </c>
      <c r="K1599" s="33" t="s">
        <v>4518</v>
      </c>
      <c r="L1599" s="68">
        <v>0</v>
      </c>
      <c r="M1599" s="68" t="s">
        <v>8915</v>
      </c>
      <c r="N1599" s="68">
        <v>0</v>
      </c>
      <c r="O1599" s="68">
        <v>0</v>
      </c>
      <c r="P1599" s="198" t="s">
        <v>5675</v>
      </c>
    </row>
    <row r="1600" spans="1:16" ht="18.75" hidden="1">
      <c r="A1600" s="50" t="s">
        <v>4538</v>
      </c>
      <c r="B1600" s="50" t="s">
        <v>4570</v>
      </c>
      <c r="C1600" s="50" t="s">
        <v>4595</v>
      </c>
      <c r="D1600" s="50" t="s">
        <v>3934</v>
      </c>
      <c r="E1600" s="12">
        <v>95</v>
      </c>
      <c r="F1600" s="49">
        <v>208455</v>
      </c>
      <c r="G1600" s="67" t="s">
        <v>5611</v>
      </c>
      <c r="H1600" s="14" t="s">
        <v>5601</v>
      </c>
      <c r="I1600" s="14" t="s">
        <v>2458</v>
      </c>
      <c r="J1600" s="33" t="s">
        <v>7110</v>
      </c>
      <c r="K1600" s="33" t="s">
        <v>4518</v>
      </c>
      <c r="L1600" s="68">
        <v>0</v>
      </c>
      <c r="M1600" s="68" t="s">
        <v>8915</v>
      </c>
      <c r="N1600" s="68">
        <v>0</v>
      </c>
      <c r="O1600" s="68">
        <v>0</v>
      </c>
      <c r="P1600" s="198" t="s">
        <v>5675</v>
      </c>
    </row>
    <row r="1601" spans="1:16" ht="18.75" hidden="1">
      <c r="A1601" s="50" t="s">
        <v>4542</v>
      </c>
      <c r="B1601" s="50" t="s">
        <v>4570</v>
      </c>
      <c r="C1601" s="50" t="s">
        <v>4596</v>
      </c>
      <c r="D1601" s="50" t="s">
        <v>4574</v>
      </c>
      <c r="E1601" s="12">
        <v>95</v>
      </c>
      <c r="F1601" s="49">
        <v>1086740</v>
      </c>
      <c r="G1601" s="67" t="s">
        <v>5604</v>
      </c>
      <c r="H1601" s="14" t="s">
        <v>5601</v>
      </c>
      <c r="I1601" s="14" t="s">
        <v>2458</v>
      </c>
      <c r="J1601" s="33" t="s">
        <v>7110</v>
      </c>
      <c r="K1601" s="33" t="s">
        <v>4518</v>
      </c>
      <c r="L1601" s="68">
        <v>0</v>
      </c>
      <c r="M1601" s="68" t="s">
        <v>8915</v>
      </c>
      <c r="N1601" s="68">
        <v>0</v>
      </c>
      <c r="O1601" s="68">
        <v>0</v>
      </c>
      <c r="P1601" s="198" t="s">
        <v>5626</v>
      </c>
    </row>
    <row r="1602" spans="1:16" ht="18.75" hidden="1">
      <c r="A1602" s="50" t="s">
        <v>4543</v>
      </c>
      <c r="B1602" s="50" t="s">
        <v>4516</v>
      </c>
      <c r="C1602" s="50" t="s">
        <v>4459</v>
      </c>
      <c r="D1602" s="50" t="s">
        <v>3966</v>
      </c>
      <c r="E1602" s="12">
        <v>95</v>
      </c>
      <c r="F1602" s="49">
        <v>158750</v>
      </c>
      <c r="G1602" s="67" t="s">
        <v>5652</v>
      </c>
      <c r="H1602" s="14" t="s">
        <v>5601</v>
      </c>
      <c r="I1602" s="14" t="s">
        <v>2458</v>
      </c>
      <c r="J1602" s="33" t="s">
        <v>7110</v>
      </c>
      <c r="K1602" s="33" t="s">
        <v>4518</v>
      </c>
      <c r="L1602" s="68">
        <v>0</v>
      </c>
      <c r="M1602" s="68" t="s">
        <v>8915</v>
      </c>
      <c r="N1602" s="68">
        <v>0</v>
      </c>
      <c r="O1602" s="68">
        <v>0</v>
      </c>
      <c r="P1602" s="198" t="s">
        <v>5653</v>
      </c>
    </row>
    <row r="1603" spans="1:16" ht="18.75" hidden="1">
      <c r="A1603" s="50" t="s">
        <v>4537</v>
      </c>
      <c r="B1603" s="50" t="s">
        <v>4576</v>
      </c>
      <c r="C1603" s="50" t="s">
        <v>4502</v>
      </c>
      <c r="D1603" s="50" t="s">
        <v>4183</v>
      </c>
      <c r="E1603" s="12">
        <v>95</v>
      </c>
      <c r="F1603" s="49">
        <v>109465</v>
      </c>
      <c r="G1603" s="67" t="s">
        <v>5699</v>
      </c>
      <c r="H1603" s="14" t="s">
        <v>5601</v>
      </c>
      <c r="I1603" s="14" t="s">
        <v>2458</v>
      </c>
      <c r="J1603" s="33" t="s">
        <v>7110</v>
      </c>
      <c r="K1603" s="33" t="s">
        <v>4518</v>
      </c>
      <c r="L1603" s="68">
        <v>0</v>
      </c>
      <c r="M1603" s="68" t="s">
        <v>8915</v>
      </c>
      <c r="N1603" s="68">
        <v>0</v>
      </c>
      <c r="O1603" s="68">
        <v>0</v>
      </c>
      <c r="P1603" s="198" t="s">
        <v>5715</v>
      </c>
    </row>
    <row r="1604" spans="1:16" ht="18.75" hidden="1">
      <c r="A1604" s="50" t="s">
        <v>4538</v>
      </c>
      <c r="B1604" s="50" t="s">
        <v>4570</v>
      </c>
      <c r="C1604" s="50" t="s">
        <v>4597</v>
      </c>
      <c r="D1604" s="50" t="s">
        <v>3900</v>
      </c>
      <c r="E1604" s="12">
        <v>95</v>
      </c>
      <c r="F1604" s="49">
        <v>145924</v>
      </c>
      <c r="G1604" s="67" t="s">
        <v>5611</v>
      </c>
      <c r="H1604" s="14" t="s">
        <v>5601</v>
      </c>
      <c r="I1604" s="14" t="s">
        <v>2458</v>
      </c>
      <c r="J1604" s="33" t="s">
        <v>7110</v>
      </c>
      <c r="K1604" s="33" t="s">
        <v>4518</v>
      </c>
      <c r="L1604" s="68">
        <v>0</v>
      </c>
      <c r="M1604" s="68" t="s">
        <v>8915</v>
      </c>
      <c r="N1604" s="68">
        <v>0</v>
      </c>
      <c r="O1604" s="68">
        <v>0</v>
      </c>
      <c r="P1604" s="198" t="s">
        <v>5675</v>
      </c>
    </row>
    <row r="1605" spans="1:16" ht="18.75" hidden="1">
      <c r="A1605" s="50" t="s">
        <v>4538</v>
      </c>
      <c r="B1605" s="50" t="s">
        <v>4570</v>
      </c>
      <c r="C1605" s="50" t="s">
        <v>4466</v>
      </c>
      <c r="D1605" s="50" t="s">
        <v>3935</v>
      </c>
      <c r="E1605" s="12">
        <v>95</v>
      </c>
      <c r="F1605" s="49">
        <v>69205</v>
      </c>
      <c r="G1605" s="67" t="s">
        <v>5611</v>
      </c>
      <c r="H1605" s="14" t="s">
        <v>5601</v>
      </c>
      <c r="I1605" s="14" t="s">
        <v>2458</v>
      </c>
      <c r="J1605" s="33" t="s">
        <v>7110</v>
      </c>
      <c r="K1605" s="33" t="s">
        <v>4518</v>
      </c>
      <c r="L1605" s="68">
        <v>0</v>
      </c>
      <c r="M1605" s="68" t="s">
        <v>8915</v>
      </c>
      <c r="N1605" s="68">
        <v>0</v>
      </c>
      <c r="O1605" s="68">
        <v>0</v>
      </c>
      <c r="P1605" s="198" t="s">
        <v>5675</v>
      </c>
    </row>
    <row r="1606" spans="1:16" ht="18.75" hidden="1">
      <c r="A1606" s="50" t="s">
        <v>4540</v>
      </c>
      <c r="B1606" s="50" t="s">
        <v>4500</v>
      </c>
      <c r="C1606" s="50" t="s">
        <v>4598</v>
      </c>
      <c r="D1606" s="50" t="s">
        <v>3936</v>
      </c>
      <c r="E1606" s="12">
        <v>95</v>
      </c>
      <c r="F1606" s="49">
        <v>54594</v>
      </c>
      <c r="G1606" s="67" t="s">
        <v>5611</v>
      </c>
      <c r="H1606" s="14" t="s">
        <v>5601</v>
      </c>
      <c r="I1606" s="14" t="s">
        <v>2458</v>
      </c>
      <c r="J1606" s="33" t="s">
        <v>7110</v>
      </c>
      <c r="K1606" s="33" t="s">
        <v>4518</v>
      </c>
      <c r="L1606" s="68">
        <v>0</v>
      </c>
      <c r="M1606" s="68" t="s">
        <v>8915</v>
      </c>
      <c r="N1606" s="68">
        <v>0</v>
      </c>
      <c r="O1606" s="68">
        <v>0</v>
      </c>
      <c r="P1606" s="198" t="s">
        <v>5675</v>
      </c>
    </row>
    <row r="1607" spans="1:16" ht="18.75" hidden="1">
      <c r="A1607" s="50" t="s">
        <v>4544</v>
      </c>
      <c r="B1607" s="50" t="s">
        <v>4570</v>
      </c>
      <c r="C1607" s="50" t="s">
        <v>4474</v>
      </c>
      <c r="D1607" s="50" t="s">
        <v>4174</v>
      </c>
      <c r="E1607" s="12">
        <v>95</v>
      </c>
      <c r="F1607" s="49">
        <v>297550</v>
      </c>
      <c r="G1607" s="67" t="s">
        <v>5604</v>
      </c>
      <c r="H1607" s="14" t="s">
        <v>5601</v>
      </c>
      <c r="I1607" s="14" t="s">
        <v>2458</v>
      </c>
      <c r="J1607" s="33" t="s">
        <v>7110</v>
      </c>
      <c r="K1607" s="33" t="s">
        <v>4518</v>
      </c>
      <c r="L1607" s="68">
        <v>0</v>
      </c>
      <c r="M1607" s="68" t="s">
        <v>8915</v>
      </c>
      <c r="N1607" s="68">
        <v>0</v>
      </c>
      <c r="O1607" s="68">
        <v>0</v>
      </c>
      <c r="P1607" s="198" t="s">
        <v>5729</v>
      </c>
    </row>
    <row r="1608" spans="1:16" ht="18.75" hidden="1">
      <c r="A1608" s="50" t="s">
        <v>4545</v>
      </c>
      <c r="B1608" s="50" t="s">
        <v>4514</v>
      </c>
      <c r="C1608" s="50" t="s">
        <v>4485</v>
      </c>
      <c r="D1608" s="50" t="s">
        <v>4178</v>
      </c>
      <c r="E1608" s="12">
        <v>95</v>
      </c>
      <c r="F1608" s="49">
        <v>42020</v>
      </c>
      <c r="G1608" s="67" t="s">
        <v>5607</v>
      </c>
      <c r="H1608" s="14" t="s">
        <v>5601</v>
      </c>
      <c r="I1608" s="14" t="s">
        <v>2458</v>
      </c>
      <c r="J1608" s="33" t="s">
        <v>7110</v>
      </c>
      <c r="K1608" s="33" t="s">
        <v>4518</v>
      </c>
      <c r="L1608" s="68">
        <v>0</v>
      </c>
      <c r="M1608" s="68" t="s">
        <v>8915</v>
      </c>
      <c r="N1608" s="68">
        <v>0</v>
      </c>
      <c r="O1608" s="68">
        <v>0</v>
      </c>
      <c r="P1608" s="198" t="s">
        <v>5690</v>
      </c>
    </row>
    <row r="1609" spans="1:16" ht="18.75" hidden="1">
      <c r="A1609" s="50" t="s">
        <v>4546</v>
      </c>
      <c r="B1609" s="50" t="s">
        <v>4516</v>
      </c>
      <c r="C1609" s="50" t="s">
        <v>4599</v>
      </c>
      <c r="D1609" s="50" t="s">
        <v>4439</v>
      </c>
      <c r="E1609" s="12">
        <v>95</v>
      </c>
      <c r="F1609" s="49">
        <v>449260</v>
      </c>
      <c r="G1609" s="67" t="s">
        <v>5620</v>
      </c>
      <c r="H1609" s="14" t="s">
        <v>5601</v>
      </c>
      <c r="I1609" s="14" t="s">
        <v>2458</v>
      </c>
      <c r="J1609" s="33" t="s">
        <v>7110</v>
      </c>
      <c r="K1609" s="33" t="s">
        <v>4518</v>
      </c>
      <c r="L1609" s="68">
        <v>0</v>
      </c>
      <c r="M1609" s="68" t="s">
        <v>8915</v>
      </c>
      <c r="N1609" s="68">
        <v>0</v>
      </c>
      <c r="O1609" s="68">
        <v>0</v>
      </c>
      <c r="P1609" s="198" t="s">
        <v>5722</v>
      </c>
    </row>
    <row r="1610" spans="1:16" ht="18.75" hidden="1">
      <c r="A1610" s="50" t="s">
        <v>4546</v>
      </c>
      <c r="B1610" s="50" t="s">
        <v>4516</v>
      </c>
      <c r="C1610" s="50" t="s">
        <v>4600</v>
      </c>
      <c r="D1610" s="50" t="s">
        <v>4183</v>
      </c>
      <c r="E1610" s="12">
        <v>95</v>
      </c>
      <c r="F1610" s="49">
        <v>1249020</v>
      </c>
      <c r="G1610" s="67" t="s">
        <v>5620</v>
      </c>
      <c r="H1610" s="14" t="s">
        <v>5601</v>
      </c>
      <c r="I1610" s="14" t="s">
        <v>2458</v>
      </c>
      <c r="J1610" s="33" t="s">
        <v>7110</v>
      </c>
      <c r="K1610" s="33" t="s">
        <v>4518</v>
      </c>
      <c r="L1610" s="68">
        <v>0</v>
      </c>
      <c r="M1610" s="68" t="s">
        <v>8915</v>
      </c>
      <c r="N1610" s="68">
        <v>0</v>
      </c>
      <c r="O1610" s="68">
        <v>0</v>
      </c>
      <c r="P1610" s="198" t="s">
        <v>5722</v>
      </c>
    </row>
    <row r="1611" spans="1:16" ht="18.75" hidden="1">
      <c r="A1611" s="50" t="s">
        <v>4546</v>
      </c>
      <c r="B1611" s="50" t="s">
        <v>4516</v>
      </c>
      <c r="C1611" s="50" t="s">
        <v>4601</v>
      </c>
      <c r="D1611" s="50" t="s">
        <v>4439</v>
      </c>
      <c r="E1611" s="12">
        <v>95</v>
      </c>
      <c r="F1611" s="49">
        <v>283920</v>
      </c>
      <c r="G1611" s="67" t="s">
        <v>5620</v>
      </c>
      <c r="H1611" s="14" t="s">
        <v>5601</v>
      </c>
      <c r="I1611" s="14" t="s">
        <v>2458</v>
      </c>
      <c r="J1611" s="33" t="s">
        <v>7110</v>
      </c>
      <c r="K1611" s="33" t="s">
        <v>4518</v>
      </c>
      <c r="L1611" s="68">
        <v>0</v>
      </c>
      <c r="M1611" s="68" t="s">
        <v>8915</v>
      </c>
      <c r="N1611" s="68">
        <v>0</v>
      </c>
      <c r="O1611" s="68">
        <v>0</v>
      </c>
      <c r="P1611" s="198" t="s">
        <v>5743</v>
      </c>
    </row>
    <row r="1612" spans="1:16" ht="18.75" hidden="1">
      <c r="A1612" s="50" t="s">
        <v>4547</v>
      </c>
      <c r="B1612" s="50" t="s">
        <v>4570</v>
      </c>
      <c r="C1612" s="50" t="s">
        <v>4474</v>
      </c>
      <c r="D1612" s="50" t="s">
        <v>4174</v>
      </c>
      <c r="E1612" s="12">
        <v>95</v>
      </c>
      <c r="F1612" s="49">
        <v>1006805</v>
      </c>
      <c r="G1612" s="67" t="s">
        <v>5604</v>
      </c>
      <c r="H1612" s="14" t="s">
        <v>5601</v>
      </c>
      <c r="I1612" s="14" t="s">
        <v>2458</v>
      </c>
      <c r="J1612" s="33" t="s">
        <v>7110</v>
      </c>
      <c r="K1612" s="33" t="s">
        <v>4518</v>
      </c>
      <c r="L1612" s="68">
        <v>0</v>
      </c>
      <c r="M1612" s="68" t="s">
        <v>8915</v>
      </c>
      <c r="N1612" s="68">
        <v>0</v>
      </c>
      <c r="O1612" s="68">
        <v>0</v>
      </c>
      <c r="P1612" s="198" t="s">
        <v>5729</v>
      </c>
    </row>
    <row r="1613" spans="1:16" ht="18.75" hidden="1">
      <c r="A1613" s="50" t="s">
        <v>4548</v>
      </c>
      <c r="B1613" s="50" t="s">
        <v>4570</v>
      </c>
      <c r="C1613" s="50" t="s">
        <v>4474</v>
      </c>
      <c r="D1613" s="50" t="s">
        <v>4174</v>
      </c>
      <c r="E1613" s="12">
        <v>95</v>
      </c>
      <c r="F1613" s="49">
        <v>694270</v>
      </c>
      <c r="G1613" s="67" t="s">
        <v>5604</v>
      </c>
      <c r="H1613" s="14" t="s">
        <v>5601</v>
      </c>
      <c r="I1613" s="14" t="s">
        <v>2458</v>
      </c>
      <c r="J1613" s="33" t="s">
        <v>7110</v>
      </c>
      <c r="K1613" s="33" t="s">
        <v>4518</v>
      </c>
      <c r="L1613" s="68">
        <v>0</v>
      </c>
      <c r="M1613" s="68" t="s">
        <v>8915</v>
      </c>
      <c r="N1613" s="68">
        <v>0</v>
      </c>
      <c r="O1613" s="68">
        <v>0</v>
      </c>
      <c r="P1613" s="198" t="s">
        <v>5729</v>
      </c>
    </row>
    <row r="1614" spans="1:16" ht="18.75" hidden="1">
      <c r="A1614" s="50" t="s">
        <v>4549</v>
      </c>
      <c r="B1614" s="50" t="s">
        <v>4571</v>
      </c>
      <c r="C1614" s="50" t="s">
        <v>4459</v>
      </c>
      <c r="D1614" s="50" t="s">
        <v>3966</v>
      </c>
      <c r="E1614" s="12">
        <v>95</v>
      </c>
      <c r="F1614" s="49">
        <v>139519</v>
      </c>
      <c r="G1614" s="67" t="s">
        <v>5652</v>
      </c>
      <c r="H1614" s="14" t="s">
        <v>5601</v>
      </c>
      <c r="I1614" s="14" t="s">
        <v>2458</v>
      </c>
      <c r="J1614" s="33" t="s">
        <v>7110</v>
      </c>
      <c r="K1614" s="33" t="s">
        <v>4518</v>
      </c>
      <c r="L1614" s="68">
        <v>0</v>
      </c>
      <c r="M1614" s="68" t="s">
        <v>8915</v>
      </c>
      <c r="N1614" s="68">
        <v>0</v>
      </c>
      <c r="O1614" s="68">
        <v>0</v>
      </c>
      <c r="P1614" s="198" t="s">
        <v>5653</v>
      </c>
    </row>
    <row r="1615" spans="1:16" ht="18.75" hidden="1">
      <c r="A1615" s="50" t="s">
        <v>4550</v>
      </c>
      <c r="B1615" s="50" t="s">
        <v>4571</v>
      </c>
      <c r="C1615" s="50" t="s">
        <v>4485</v>
      </c>
      <c r="D1615" s="50" t="s">
        <v>4178</v>
      </c>
      <c r="E1615" s="12">
        <v>95</v>
      </c>
      <c r="F1615" s="49">
        <v>493575</v>
      </c>
      <c r="G1615" s="67" t="s">
        <v>5607</v>
      </c>
      <c r="H1615" s="14" t="s">
        <v>5601</v>
      </c>
      <c r="I1615" s="14" t="s">
        <v>2458</v>
      </c>
      <c r="J1615" s="33" t="s">
        <v>7110</v>
      </c>
      <c r="K1615" s="33" t="s">
        <v>4518</v>
      </c>
      <c r="L1615" s="68">
        <v>0</v>
      </c>
      <c r="M1615" s="68" t="s">
        <v>8915</v>
      </c>
      <c r="N1615" s="68">
        <v>0</v>
      </c>
      <c r="O1615" s="68">
        <v>0</v>
      </c>
      <c r="P1615" s="198" t="s">
        <v>5690</v>
      </c>
    </row>
    <row r="1616" spans="1:16" ht="18.75" hidden="1">
      <c r="A1616" s="50" t="s">
        <v>4530</v>
      </c>
      <c r="B1616" s="50" t="s">
        <v>4574</v>
      </c>
      <c r="C1616" s="50" t="s">
        <v>4602</v>
      </c>
      <c r="D1616" s="50" t="s">
        <v>4176</v>
      </c>
      <c r="E1616" s="12">
        <v>95</v>
      </c>
      <c r="F1616" s="49">
        <v>245113</v>
      </c>
      <c r="G1616" s="67" t="s">
        <v>5611</v>
      </c>
      <c r="H1616" s="14" t="s">
        <v>5601</v>
      </c>
      <c r="I1616" s="14" t="s">
        <v>2458</v>
      </c>
      <c r="J1616" s="33" t="s">
        <v>7110</v>
      </c>
      <c r="K1616" s="33" t="s">
        <v>4518</v>
      </c>
      <c r="L1616" s="68">
        <v>0</v>
      </c>
      <c r="M1616" s="68" t="s">
        <v>8915</v>
      </c>
      <c r="N1616" s="68">
        <v>0</v>
      </c>
      <c r="O1616" s="68">
        <v>0</v>
      </c>
      <c r="P1616" s="198" t="s">
        <v>5708</v>
      </c>
    </row>
    <row r="1617" spans="1:16" ht="18.75" hidden="1">
      <c r="A1617" s="50" t="s">
        <v>4540</v>
      </c>
      <c r="B1617" s="50" t="s">
        <v>4500</v>
      </c>
      <c r="C1617" s="50" t="s">
        <v>4603</v>
      </c>
      <c r="D1617" s="50" t="s">
        <v>3820</v>
      </c>
      <c r="E1617" s="12">
        <v>95</v>
      </c>
      <c r="F1617" s="49">
        <v>22831</v>
      </c>
      <c r="G1617" s="67" t="s">
        <v>5611</v>
      </c>
      <c r="H1617" s="14" t="s">
        <v>5601</v>
      </c>
      <c r="I1617" s="14" t="s">
        <v>2458</v>
      </c>
      <c r="J1617" s="33" t="s">
        <v>7110</v>
      </c>
      <c r="K1617" s="33" t="s">
        <v>4518</v>
      </c>
      <c r="L1617" s="68">
        <v>0</v>
      </c>
      <c r="M1617" s="68" t="s">
        <v>8915</v>
      </c>
      <c r="N1617" s="68">
        <v>0</v>
      </c>
      <c r="O1617" s="68">
        <v>0</v>
      </c>
      <c r="P1617" s="198" t="s">
        <v>5675</v>
      </c>
    </row>
    <row r="1618" spans="1:16" ht="18.75" hidden="1">
      <c r="A1618" s="50" t="s">
        <v>4551</v>
      </c>
      <c r="B1618" s="50" t="s">
        <v>4570</v>
      </c>
      <c r="C1618" s="50" t="s">
        <v>4212</v>
      </c>
      <c r="D1618" s="50" t="s">
        <v>4183</v>
      </c>
      <c r="E1618" s="12">
        <v>95</v>
      </c>
      <c r="F1618" s="49">
        <v>495545</v>
      </c>
      <c r="G1618" s="67" t="s">
        <v>5616</v>
      </c>
      <c r="H1618" s="14" t="s">
        <v>5601</v>
      </c>
      <c r="I1618" s="14" t="s">
        <v>2458</v>
      </c>
      <c r="J1618" s="33" t="s">
        <v>7110</v>
      </c>
      <c r="K1618" s="33" t="s">
        <v>4518</v>
      </c>
      <c r="L1618" s="68">
        <v>0</v>
      </c>
      <c r="M1618" s="68" t="s">
        <v>8915</v>
      </c>
      <c r="N1618" s="68">
        <v>0</v>
      </c>
      <c r="O1618" s="68">
        <v>0</v>
      </c>
      <c r="P1618" s="198" t="s">
        <v>5701</v>
      </c>
    </row>
    <row r="1619" spans="1:16" ht="18.75" hidden="1">
      <c r="A1619" s="50" t="s">
        <v>4552</v>
      </c>
      <c r="B1619" s="50" t="s">
        <v>4569</v>
      </c>
      <c r="C1619" s="50" t="s">
        <v>4459</v>
      </c>
      <c r="D1619" s="50" t="s">
        <v>3966</v>
      </c>
      <c r="E1619" s="12">
        <v>95</v>
      </c>
      <c r="F1619" s="49">
        <v>198000</v>
      </c>
      <c r="G1619" s="67" t="s">
        <v>5652</v>
      </c>
      <c r="H1619" s="14" t="s">
        <v>5601</v>
      </c>
      <c r="I1619" s="14" t="s">
        <v>2458</v>
      </c>
      <c r="J1619" s="33" t="s">
        <v>7110</v>
      </c>
      <c r="K1619" s="33" t="s">
        <v>4518</v>
      </c>
      <c r="L1619" s="68">
        <v>0</v>
      </c>
      <c r="M1619" s="68" t="s">
        <v>8915</v>
      </c>
      <c r="N1619" s="68">
        <v>0</v>
      </c>
      <c r="O1619" s="68">
        <v>0</v>
      </c>
      <c r="P1619" s="198" t="s">
        <v>5653</v>
      </c>
    </row>
    <row r="1620" spans="1:16" ht="18.75" hidden="1">
      <c r="A1620" s="50" t="s">
        <v>4553</v>
      </c>
      <c r="B1620" s="50" t="s">
        <v>4573</v>
      </c>
      <c r="C1620" s="50" t="s">
        <v>4482</v>
      </c>
      <c r="D1620" s="50" t="s">
        <v>3715</v>
      </c>
      <c r="E1620" s="12">
        <v>95</v>
      </c>
      <c r="F1620" s="49">
        <v>180000</v>
      </c>
      <c r="G1620" s="67" t="s">
        <v>5616</v>
      </c>
      <c r="H1620" s="14" t="s">
        <v>5601</v>
      </c>
      <c r="I1620" s="14" t="s">
        <v>2458</v>
      </c>
      <c r="J1620" s="33" t="s">
        <v>7110</v>
      </c>
      <c r="K1620" s="33" t="s">
        <v>4518</v>
      </c>
      <c r="L1620" s="68">
        <v>0</v>
      </c>
      <c r="M1620" s="68" t="s">
        <v>8915</v>
      </c>
      <c r="N1620" s="68">
        <v>0</v>
      </c>
      <c r="O1620" s="68">
        <v>0</v>
      </c>
      <c r="P1620" s="198" t="s">
        <v>5661</v>
      </c>
    </row>
    <row r="1621" spans="1:16" ht="18.75" hidden="1">
      <c r="A1621" s="50" t="s">
        <v>4554</v>
      </c>
      <c r="B1621" s="50" t="s">
        <v>4575</v>
      </c>
      <c r="C1621" s="50" t="s">
        <v>4474</v>
      </c>
      <c r="D1621" s="50" t="s">
        <v>4174</v>
      </c>
      <c r="E1621" s="12">
        <v>95</v>
      </c>
      <c r="F1621" s="49">
        <v>395148</v>
      </c>
      <c r="G1621" s="67" t="s">
        <v>5604</v>
      </c>
      <c r="H1621" s="14" t="s">
        <v>5601</v>
      </c>
      <c r="I1621" s="14" t="s">
        <v>2458</v>
      </c>
      <c r="J1621" s="33" t="s">
        <v>7110</v>
      </c>
      <c r="K1621" s="33" t="s">
        <v>4518</v>
      </c>
      <c r="L1621" s="68">
        <v>0</v>
      </c>
      <c r="M1621" s="68" t="s">
        <v>8915</v>
      </c>
      <c r="N1621" s="68">
        <v>0</v>
      </c>
      <c r="O1621" s="68">
        <v>0</v>
      </c>
      <c r="P1621" s="198" t="s">
        <v>5729</v>
      </c>
    </row>
    <row r="1622" spans="1:16" ht="18.75" hidden="1">
      <c r="A1622" s="50" t="s">
        <v>4553</v>
      </c>
      <c r="B1622" s="50" t="s">
        <v>4573</v>
      </c>
      <c r="C1622" s="50" t="s">
        <v>4580</v>
      </c>
      <c r="D1622" s="50" t="s">
        <v>3829</v>
      </c>
      <c r="E1622" s="12">
        <v>95</v>
      </c>
      <c r="F1622" s="49">
        <v>20000</v>
      </c>
      <c r="G1622" s="67" t="s">
        <v>5611</v>
      </c>
      <c r="H1622" s="14" t="s">
        <v>5601</v>
      </c>
      <c r="I1622" s="14" t="s">
        <v>2458</v>
      </c>
      <c r="J1622" s="33" t="s">
        <v>7110</v>
      </c>
      <c r="K1622" s="33" t="s">
        <v>4518</v>
      </c>
      <c r="L1622" s="68">
        <v>0</v>
      </c>
      <c r="M1622" s="68" t="s">
        <v>8915</v>
      </c>
      <c r="N1622" s="68">
        <v>0</v>
      </c>
      <c r="O1622" s="68">
        <v>0</v>
      </c>
      <c r="P1622" s="198" t="s">
        <v>5680</v>
      </c>
    </row>
    <row r="1623" spans="1:16" ht="18.75" hidden="1">
      <c r="A1623" s="50" t="s">
        <v>4545</v>
      </c>
      <c r="B1623" s="50" t="s">
        <v>4514</v>
      </c>
      <c r="C1623" s="50" t="s">
        <v>4604</v>
      </c>
      <c r="D1623" s="50" t="s">
        <v>4178</v>
      </c>
      <c r="E1623" s="12">
        <v>95</v>
      </c>
      <c r="F1623" s="49">
        <v>451555</v>
      </c>
      <c r="G1623" s="67" t="s">
        <v>5607</v>
      </c>
      <c r="H1623" s="14" t="s">
        <v>5601</v>
      </c>
      <c r="I1623" s="14" t="s">
        <v>2458</v>
      </c>
      <c r="J1623" s="33" t="s">
        <v>7110</v>
      </c>
      <c r="K1623" s="33" t="s">
        <v>4518</v>
      </c>
      <c r="L1623" s="68">
        <v>0</v>
      </c>
      <c r="M1623" s="68" t="s">
        <v>8915</v>
      </c>
      <c r="N1623" s="68">
        <v>0</v>
      </c>
      <c r="O1623" s="68">
        <v>0</v>
      </c>
      <c r="P1623" s="198" t="s">
        <v>5690</v>
      </c>
    </row>
    <row r="1624" spans="1:16" ht="18.75" hidden="1">
      <c r="A1624" s="50" t="s">
        <v>4555</v>
      </c>
      <c r="B1624" s="50" t="s">
        <v>4571</v>
      </c>
      <c r="C1624" s="50" t="s">
        <v>4605</v>
      </c>
      <c r="D1624" s="50" t="s">
        <v>4440</v>
      </c>
      <c r="E1624" s="12">
        <v>95</v>
      </c>
      <c r="F1624" s="49">
        <v>499481</v>
      </c>
      <c r="G1624" s="67" t="s">
        <v>5744</v>
      </c>
      <c r="H1624" s="14" t="s">
        <v>5601</v>
      </c>
      <c r="I1624" s="14" t="s">
        <v>2458</v>
      </c>
      <c r="J1624" s="33" t="s">
        <v>7110</v>
      </c>
      <c r="K1624" s="33" t="s">
        <v>4518</v>
      </c>
      <c r="L1624" s="68">
        <v>0</v>
      </c>
      <c r="M1624" s="68" t="s">
        <v>8915</v>
      </c>
      <c r="N1624" s="68">
        <v>0</v>
      </c>
      <c r="O1624" s="68">
        <v>0</v>
      </c>
      <c r="P1624" s="198" t="s">
        <v>5745</v>
      </c>
    </row>
    <row r="1625" spans="1:16" ht="18.75" hidden="1">
      <c r="A1625" s="50" t="s">
        <v>4556</v>
      </c>
      <c r="B1625" s="50" t="s">
        <v>4574</v>
      </c>
      <c r="C1625" s="50" t="s">
        <v>4459</v>
      </c>
      <c r="D1625" s="50" t="s">
        <v>3966</v>
      </c>
      <c r="E1625" s="12">
        <v>95</v>
      </c>
      <c r="F1625" s="49">
        <v>237600</v>
      </c>
      <c r="G1625" s="67" t="s">
        <v>5652</v>
      </c>
      <c r="H1625" s="14" t="s">
        <v>5601</v>
      </c>
      <c r="I1625" s="14" t="s">
        <v>2458</v>
      </c>
      <c r="J1625" s="33" t="s">
        <v>7110</v>
      </c>
      <c r="K1625" s="33" t="s">
        <v>4518</v>
      </c>
      <c r="L1625" s="68">
        <v>0</v>
      </c>
      <c r="M1625" s="68" t="s">
        <v>8915</v>
      </c>
      <c r="N1625" s="68">
        <v>0</v>
      </c>
      <c r="O1625" s="68">
        <v>0</v>
      </c>
      <c r="P1625" s="198" t="s">
        <v>5653</v>
      </c>
    </row>
    <row r="1626" spans="1:16" ht="18.75" hidden="1">
      <c r="A1626" s="50" t="s">
        <v>4557</v>
      </c>
      <c r="B1626" s="50" t="s">
        <v>4515</v>
      </c>
      <c r="C1626" s="50" t="s">
        <v>4579</v>
      </c>
      <c r="D1626" s="50" t="s">
        <v>4307</v>
      </c>
      <c r="E1626" s="12">
        <v>95</v>
      </c>
      <c r="F1626" s="49">
        <v>521645</v>
      </c>
      <c r="G1626" s="67" t="s">
        <v>5631</v>
      </c>
      <c r="H1626" s="14" t="s">
        <v>5601</v>
      </c>
      <c r="I1626" s="14" t="s">
        <v>2458</v>
      </c>
      <c r="J1626" s="33" t="s">
        <v>7110</v>
      </c>
      <c r="K1626" s="33" t="s">
        <v>4518</v>
      </c>
      <c r="L1626" s="68">
        <v>0</v>
      </c>
      <c r="M1626" s="68" t="s">
        <v>8915</v>
      </c>
      <c r="N1626" s="68">
        <v>0</v>
      </c>
      <c r="O1626" s="68">
        <v>0</v>
      </c>
      <c r="P1626" s="197" t="s">
        <v>5746</v>
      </c>
    </row>
    <row r="1627" spans="1:16" ht="18.75" hidden="1">
      <c r="A1627" s="50" t="s">
        <v>4539</v>
      </c>
      <c r="B1627" s="50" t="s">
        <v>4570</v>
      </c>
      <c r="C1627" s="50" t="s">
        <v>4507</v>
      </c>
      <c r="D1627" s="50" t="s">
        <v>4183</v>
      </c>
      <c r="E1627" s="12">
        <v>95</v>
      </c>
      <c r="F1627" s="49">
        <v>500000</v>
      </c>
      <c r="G1627" s="67" t="s">
        <v>5699</v>
      </c>
      <c r="H1627" s="14" t="s">
        <v>5601</v>
      </c>
      <c r="I1627" s="14" t="s">
        <v>2458</v>
      </c>
      <c r="J1627" s="33" t="s">
        <v>7110</v>
      </c>
      <c r="K1627" s="33" t="s">
        <v>4518</v>
      </c>
      <c r="L1627" s="68">
        <v>0</v>
      </c>
      <c r="M1627" s="68" t="s">
        <v>8915</v>
      </c>
      <c r="N1627" s="68">
        <v>0</v>
      </c>
      <c r="O1627" s="68">
        <v>0</v>
      </c>
      <c r="P1627" s="198" t="s">
        <v>5715</v>
      </c>
    </row>
    <row r="1628" spans="1:16" ht="18.75" hidden="1">
      <c r="A1628" s="50" t="s">
        <v>4558</v>
      </c>
      <c r="B1628" s="50" t="s">
        <v>4571</v>
      </c>
      <c r="C1628" s="50" t="s">
        <v>4606</v>
      </c>
      <c r="D1628" s="50" t="s">
        <v>4438</v>
      </c>
      <c r="E1628" s="12">
        <v>95</v>
      </c>
      <c r="F1628" s="49">
        <v>999980</v>
      </c>
      <c r="G1628" s="67" t="s">
        <v>5730</v>
      </c>
      <c r="H1628" s="14" t="s">
        <v>5601</v>
      </c>
      <c r="I1628" s="14" t="s">
        <v>2458</v>
      </c>
      <c r="J1628" s="33" t="s">
        <v>7110</v>
      </c>
      <c r="K1628" s="33" t="s">
        <v>4518</v>
      </c>
      <c r="L1628" s="68">
        <v>0</v>
      </c>
      <c r="M1628" s="68" t="s">
        <v>8915</v>
      </c>
      <c r="N1628" s="68">
        <v>0</v>
      </c>
      <c r="O1628" s="68">
        <v>0</v>
      </c>
      <c r="P1628" s="198" t="s">
        <v>5739</v>
      </c>
    </row>
    <row r="1629" spans="1:16" ht="18.75" hidden="1">
      <c r="A1629" s="50" t="s">
        <v>4559</v>
      </c>
      <c r="B1629" s="50" t="s">
        <v>4571</v>
      </c>
      <c r="C1629" s="50" t="s">
        <v>4579</v>
      </c>
      <c r="D1629" s="50" t="s">
        <v>4307</v>
      </c>
      <c r="E1629" s="12">
        <v>95</v>
      </c>
      <c r="F1629" s="49">
        <v>523215</v>
      </c>
      <c r="G1629" s="67" t="s">
        <v>5631</v>
      </c>
      <c r="H1629" s="14" t="s">
        <v>5601</v>
      </c>
      <c r="I1629" s="14" t="s">
        <v>2458</v>
      </c>
      <c r="J1629" s="33" t="s">
        <v>7110</v>
      </c>
      <c r="K1629" s="33" t="s">
        <v>4518</v>
      </c>
      <c r="L1629" s="68">
        <v>0</v>
      </c>
      <c r="M1629" s="68" t="s">
        <v>8915</v>
      </c>
      <c r="N1629" s="68">
        <v>0</v>
      </c>
      <c r="O1629" s="68">
        <v>0</v>
      </c>
      <c r="P1629" s="197" t="s">
        <v>5746</v>
      </c>
    </row>
    <row r="1630" spans="1:16" ht="18.75" hidden="1">
      <c r="A1630" s="50" t="s">
        <v>4538</v>
      </c>
      <c r="B1630" s="50" t="s">
        <v>4570</v>
      </c>
      <c r="C1630" s="50" t="s">
        <v>4248</v>
      </c>
      <c r="D1630" s="50" t="s">
        <v>3854</v>
      </c>
      <c r="E1630" s="12">
        <v>95</v>
      </c>
      <c r="F1630" s="49">
        <v>199740</v>
      </c>
      <c r="G1630" s="67" t="s">
        <v>5609</v>
      </c>
      <c r="H1630" s="14" t="s">
        <v>5601</v>
      </c>
      <c r="I1630" s="14" t="s">
        <v>2458</v>
      </c>
      <c r="J1630" s="33" t="s">
        <v>7110</v>
      </c>
      <c r="K1630" s="33" t="s">
        <v>4518</v>
      </c>
      <c r="L1630" s="68">
        <v>0</v>
      </c>
      <c r="M1630" s="68" t="s">
        <v>8915</v>
      </c>
      <c r="N1630" s="68">
        <v>0</v>
      </c>
      <c r="O1630" s="68">
        <v>0</v>
      </c>
      <c r="P1630" s="198" t="s">
        <v>5688</v>
      </c>
    </row>
    <row r="1631" spans="1:16" ht="18.75" hidden="1">
      <c r="A1631" s="50" t="s">
        <v>4538</v>
      </c>
      <c r="B1631" s="50" t="s">
        <v>4570</v>
      </c>
      <c r="C1631" s="50" t="s">
        <v>4495</v>
      </c>
      <c r="D1631" s="50" t="s">
        <v>4184</v>
      </c>
      <c r="E1631" s="12">
        <v>95</v>
      </c>
      <c r="F1631" s="49">
        <v>294720</v>
      </c>
      <c r="G1631" s="67" t="s">
        <v>5609</v>
      </c>
      <c r="H1631" s="14" t="s">
        <v>5601</v>
      </c>
      <c r="I1631" s="14" t="s">
        <v>2458</v>
      </c>
      <c r="J1631" s="33" t="s">
        <v>7110</v>
      </c>
      <c r="K1631" s="33" t="s">
        <v>4518</v>
      </c>
      <c r="L1631" s="68">
        <v>0</v>
      </c>
      <c r="M1631" s="68" t="s">
        <v>8915</v>
      </c>
      <c r="N1631" s="68">
        <v>0</v>
      </c>
      <c r="O1631" s="68">
        <v>0</v>
      </c>
      <c r="P1631" s="198" t="s">
        <v>5688</v>
      </c>
    </row>
    <row r="1632" spans="1:16" ht="18.75" hidden="1">
      <c r="A1632" s="50" t="s">
        <v>4560</v>
      </c>
      <c r="B1632" s="50" t="s">
        <v>4575</v>
      </c>
      <c r="C1632" s="50" t="s">
        <v>4607</v>
      </c>
      <c r="D1632" s="50" t="s">
        <v>4439</v>
      </c>
      <c r="E1632" s="12">
        <v>95</v>
      </c>
      <c r="F1632" s="49">
        <v>996920</v>
      </c>
      <c r="G1632" s="67" t="s">
        <v>5604</v>
      </c>
      <c r="H1632" s="14" t="s">
        <v>5601</v>
      </c>
      <c r="I1632" s="14" t="s">
        <v>2458</v>
      </c>
      <c r="J1632" s="33" t="s">
        <v>7110</v>
      </c>
      <c r="K1632" s="33" t="s">
        <v>4518</v>
      </c>
      <c r="L1632" s="68">
        <v>0</v>
      </c>
      <c r="M1632" s="68" t="s">
        <v>8915</v>
      </c>
      <c r="N1632" s="68">
        <v>0</v>
      </c>
      <c r="O1632" s="68">
        <v>0</v>
      </c>
      <c r="P1632" s="198" t="s">
        <v>5740</v>
      </c>
    </row>
    <row r="1633" spans="1:16" ht="18.75" hidden="1">
      <c r="A1633" s="50" t="s">
        <v>4560</v>
      </c>
      <c r="B1633" s="50" t="s">
        <v>4575</v>
      </c>
      <c r="C1633" s="50" t="s">
        <v>4590</v>
      </c>
      <c r="D1633" s="50" t="s">
        <v>4439</v>
      </c>
      <c r="E1633" s="12">
        <v>95</v>
      </c>
      <c r="F1633" s="49">
        <v>4840</v>
      </c>
      <c r="G1633" s="67" t="s">
        <v>5604</v>
      </c>
      <c r="H1633" s="14" t="s">
        <v>5601</v>
      </c>
      <c r="I1633" s="14" t="s">
        <v>2458</v>
      </c>
      <c r="J1633" s="33" t="s">
        <v>7110</v>
      </c>
      <c r="K1633" s="33" t="s">
        <v>4518</v>
      </c>
      <c r="L1633" s="68">
        <v>0</v>
      </c>
      <c r="M1633" s="68" t="s">
        <v>8915</v>
      </c>
      <c r="N1633" s="68">
        <v>0</v>
      </c>
      <c r="O1633" s="68">
        <v>0</v>
      </c>
      <c r="P1633" s="198" t="s">
        <v>5740</v>
      </c>
    </row>
    <row r="1634" spans="1:16" ht="18.75" hidden="1">
      <c r="A1634" s="50" t="s">
        <v>4561</v>
      </c>
      <c r="B1634" s="50" t="s">
        <v>4574</v>
      </c>
      <c r="C1634" s="50" t="s">
        <v>4608</v>
      </c>
      <c r="D1634" s="50" t="s">
        <v>3820</v>
      </c>
      <c r="E1634" s="12">
        <v>95</v>
      </c>
      <c r="F1634" s="49">
        <v>133450</v>
      </c>
      <c r="G1634" s="67" t="s">
        <v>5611</v>
      </c>
      <c r="H1634" s="14" t="s">
        <v>5601</v>
      </c>
      <c r="I1634" s="14" t="s">
        <v>2458</v>
      </c>
      <c r="J1634" s="33" t="s">
        <v>7110</v>
      </c>
      <c r="K1634" s="33" t="s">
        <v>4518</v>
      </c>
      <c r="L1634" s="68">
        <v>0</v>
      </c>
      <c r="M1634" s="68" t="s">
        <v>8915</v>
      </c>
      <c r="N1634" s="68">
        <v>0</v>
      </c>
      <c r="O1634" s="68">
        <v>0</v>
      </c>
      <c r="P1634" s="198" t="s">
        <v>5675</v>
      </c>
    </row>
    <row r="1635" spans="1:16" ht="18.75" hidden="1">
      <c r="A1635" s="50" t="s">
        <v>4562</v>
      </c>
      <c r="B1635" s="50" t="s">
        <v>4574</v>
      </c>
      <c r="C1635" s="50" t="s">
        <v>4582</v>
      </c>
      <c r="D1635" s="50" t="s">
        <v>4438</v>
      </c>
      <c r="E1635" s="12">
        <v>95</v>
      </c>
      <c r="F1635" s="49">
        <v>490847</v>
      </c>
      <c r="G1635" s="67" t="s">
        <v>5604</v>
      </c>
      <c r="H1635" s="14" t="s">
        <v>5601</v>
      </c>
      <c r="I1635" s="14" t="s">
        <v>2458</v>
      </c>
      <c r="J1635" s="33" t="s">
        <v>7110</v>
      </c>
      <c r="K1635" s="33" t="s">
        <v>4518</v>
      </c>
      <c r="L1635" s="68">
        <v>0</v>
      </c>
      <c r="M1635" s="68" t="s">
        <v>8915</v>
      </c>
      <c r="N1635" s="68">
        <v>0</v>
      </c>
      <c r="O1635" s="68">
        <v>0</v>
      </c>
      <c r="P1635" s="198" t="s">
        <v>5740</v>
      </c>
    </row>
    <row r="1636" spans="1:16" ht="18.75" hidden="1">
      <c r="A1636" s="50" t="s">
        <v>4563</v>
      </c>
      <c r="B1636" s="50" t="s">
        <v>4515</v>
      </c>
      <c r="C1636" s="50" t="s">
        <v>4609</v>
      </c>
      <c r="D1636" s="50" t="s">
        <v>3932</v>
      </c>
      <c r="E1636" s="12">
        <v>95</v>
      </c>
      <c r="F1636" s="49">
        <v>459120</v>
      </c>
      <c r="G1636" s="67" t="s">
        <v>5611</v>
      </c>
      <c r="H1636" s="14" t="s">
        <v>5601</v>
      </c>
      <c r="I1636" s="14" t="s">
        <v>2458</v>
      </c>
      <c r="J1636" s="33" t="s">
        <v>7110</v>
      </c>
      <c r="K1636" s="33" t="s">
        <v>4518</v>
      </c>
      <c r="L1636" s="68">
        <v>0</v>
      </c>
      <c r="M1636" s="68" t="s">
        <v>8915</v>
      </c>
      <c r="N1636" s="68">
        <v>0</v>
      </c>
      <c r="O1636" s="68">
        <v>0</v>
      </c>
      <c r="P1636" s="198" t="s">
        <v>5694</v>
      </c>
    </row>
    <row r="1637" spans="1:16" ht="18.75" hidden="1">
      <c r="A1637" s="50" t="s">
        <v>4561</v>
      </c>
      <c r="B1637" s="50" t="s">
        <v>4574</v>
      </c>
      <c r="C1637" s="50" t="s">
        <v>4489</v>
      </c>
      <c r="D1637" s="50" t="s">
        <v>3821</v>
      </c>
      <c r="E1637" s="12">
        <v>95</v>
      </c>
      <c r="F1637" s="49">
        <v>241256</v>
      </c>
      <c r="G1637" s="67" t="s">
        <v>5611</v>
      </c>
      <c r="H1637" s="14" t="s">
        <v>5601</v>
      </c>
      <c r="I1637" s="14" t="s">
        <v>2458</v>
      </c>
      <c r="J1637" s="33" t="s">
        <v>7110</v>
      </c>
      <c r="K1637" s="33" t="s">
        <v>4518</v>
      </c>
      <c r="L1637" s="68">
        <v>0</v>
      </c>
      <c r="M1637" s="68" t="s">
        <v>8915</v>
      </c>
      <c r="N1637" s="68">
        <v>0</v>
      </c>
      <c r="O1637" s="68">
        <v>0</v>
      </c>
      <c r="P1637" s="198" t="s">
        <v>5675</v>
      </c>
    </row>
    <row r="1638" spans="1:16" ht="18.75" hidden="1">
      <c r="A1638" s="50" t="s">
        <v>4563</v>
      </c>
      <c r="B1638" s="50" t="s">
        <v>4515</v>
      </c>
      <c r="C1638" s="50" t="s">
        <v>4610</v>
      </c>
      <c r="D1638" s="50" t="s">
        <v>4178</v>
      </c>
      <c r="E1638" s="12">
        <v>95</v>
      </c>
      <c r="F1638" s="49">
        <v>198940</v>
      </c>
      <c r="G1638" s="67" t="s">
        <v>5611</v>
      </c>
      <c r="H1638" s="14" t="s">
        <v>5601</v>
      </c>
      <c r="I1638" s="14" t="s">
        <v>2458</v>
      </c>
      <c r="J1638" s="33" t="s">
        <v>7110</v>
      </c>
      <c r="K1638" s="33" t="s">
        <v>4518</v>
      </c>
      <c r="L1638" s="68">
        <v>0</v>
      </c>
      <c r="M1638" s="68" t="s">
        <v>8915</v>
      </c>
      <c r="N1638" s="68">
        <v>0</v>
      </c>
      <c r="O1638" s="68">
        <v>0</v>
      </c>
      <c r="P1638" s="198" t="s">
        <v>5726</v>
      </c>
    </row>
    <row r="1639" spans="1:16" ht="18.75" hidden="1">
      <c r="A1639" s="50" t="s">
        <v>4563</v>
      </c>
      <c r="B1639" s="50" t="s">
        <v>4515</v>
      </c>
      <c r="C1639" s="50" t="s">
        <v>4597</v>
      </c>
      <c r="D1639" s="50" t="s">
        <v>3900</v>
      </c>
      <c r="E1639" s="12">
        <v>95</v>
      </c>
      <c r="F1639" s="49">
        <v>78154</v>
      </c>
      <c r="G1639" s="67" t="s">
        <v>5611</v>
      </c>
      <c r="H1639" s="14" t="s">
        <v>5601</v>
      </c>
      <c r="I1639" s="14" t="s">
        <v>2458</v>
      </c>
      <c r="J1639" s="33" t="s">
        <v>7110</v>
      </c>
      <c r="K1639" s="33" t="s">
        <v>4518</v>
      </c>
      <c r="L1639" s="68">
        <v>0</v>
      </c>
      <c r="M1639" s="68" t="s">
        <v>8915</v>
      </c>
      <c r="N1639" s="68">
        <v>0</v>
      </c>
      <c r="O1639" s="68">
        <v>0</v>
      </c>
      <c r="P1639" s="198" t="s">
        <v>5675</v>
      </c>
    </row>
    <row r="1640" spans="1:16" ht="18.75" hidden="1">
      <c r="A1640" s="50" t="s">
        <v>4563</v>
      </c>
      <c r="B1640" s="50" t="s">
        <v>4515</v>
      </c>
      <c r="C1640" s="50" t="s">
        <v>4611</v>
      </c>
      <c r="D1640" s="50" t="s">
        <v>3932</v>
      </c>
      <c r="E1640" s="12">
        <v>95</v>
      </c>
      <c r="F1640" s="49">
        <v>268636</v>
      </c>
      <c r="G1640" s="67" t="s">
        <v>5611</v>
      </c>
      <c r="H1640" s="14" t="s">
        <v>5601</v>
      </c>
      <c r="I1640" s="14" t="s">
        <v>2458</v>
      </c>
      <c r="J1640" s="33" t="s">
        <v>7110</v>
      </c>
      <c r="K1640" s="33" t="s">
        <v>4518</v>
      </c>
      <c r="L1640" s="68">
        <v>0</v>
      </c>
      <c r="M1640" s="68" t="s">
        <v>8915</v>
      </c>
      <c r="N1640" s="68">
        <v>0</v>
      </c>
      <c r="O1640" s="68">
        <v>0</v>
      </c>
      <c r="P1640" s="198" t="s">
        <v>5694</v>
      </c>
    </row>
    <row r="1641" spans="1:16" ht="18.75" hidden="1">
      <c r="A1641" s="50" t="s">
        <v>4564</v>
      </c>
      <c r="B1641" s="50" t="s">
        <v>4575</v>
      </c>
      <c r="C1641" s="50" t="s">
        <v>4511</v>
      </c>
      <c r="D1641" s="50" t="s">
        <v>4438</v>
      </c>
      <c r="E1641" s="12">
        <v>95</v>
      </c>
      <c r="F1641" s="49">
        <v>241687</v>
      </c>
      <c r="G1641" s="67" t="s">
        <v>5631</v>
      </c>
      <c r="H1641" s="14" t="s">
        <v>5601</v>
      </c>
      <c r="I1641" s="14" t="s">
        <v>2458</v>
      </c>
      <c r="J1641" s="33" t="s">
        <v>7110</v>
      </c>
      <c r="K1641" s="33" t="s">
        <v>4518</v>
      </c>
      <c r="L1641" s="68">
        <v>0</v>
      </c>
      <c r="M1641" s="68" t="s">
        <v>8915</v>
      </c>
      <c r="N1641" s="68">
        <v>0</v>
      </c>
      <c r="O1641" s="68">
        <v>0</v>
      </c>
      <c r="P1641" s="197" t="s">
        <v>5738</v>
      </c>
    </row>
    <row r="1642" spans="1:16" ht="18.75" hidden="1">
      <c r="A1642" s="50" t="s">
        <v>4565</v>
      </c>
      <c r="B1642" s="50" t="s">
        <v>4516</v>
      </c>
      <c r="C1642" s="50" t="s">
        <v>4579</v>
      </c>
      <c r="D1642" s="50" t="s">
        <v>4307</v>
      </c>
      <c r="E1642" s="12">
        <v>95</v>
      </c>
      <c r="F1642" s="49">
        <v>496670</v>
      </c>
      <c r="G1642" s="67" t="s">
        <v>5631</v>
      </c>
      <c r="H1642" s="14" t="s">
        <v>5601</v>
      </c>
      <c r="I1642" s="14" t="s">
        <v>2458</v>
      </c>
      <c r="J1642" s="33" t="s">
        <v>7110</v>
      </c>
      <c r="K1642" s="33" t="s">
        <v>4518</v>
      </c>
      <c r="L1642" s="68">
        <v>0</v>
      </c>
      <c r="M1642" s="68" t="s">
        <v>8915</v>
      </c>
      <c r="N1642" s="68">
        <v>0</v>
      </c>
      <c r="O1642" s="68">
        <v>0</v>
      </c>
      <c r="P1642" s="197" t="s">
        <v>5746</v>
      </c>
    </row>
    <row r="1643" spans="1:16" ht="18.75" hidden="1">
      <c r="A1643" s="50" t="s">
        <v>4566</v>
      </c>
      <c r="B1643" s="50" t="s">
        <v>4573</v>
      </c>
      <c r="C1643" s="50" t="s">
        <v>4612</v>
      </c>
      <c r="D1643" s="50" t="s">
        <v>3820</v>
      </c>
      <c r="E1643" s="12">
        <v>95</v>
      </c>
      <c r="F1643" s="49">
        <v>118190</v>
      </c>
      <c r="G1643" s="67" t="s">
        <v>5611</v>
      </c>
      <c r="H1643" s="14" t="s">
        <v>5601</v>
      </c>
      <c r="I1643" s="14" t="s">
        <v>2458</v>
      </c>
      <c r="J1643" s="33" t="s">
        <v>7110</v>
      </c>
      <c r="K1643" s="33" t="s">
        <v>4518</v>
      </c>
      <c r="L1643" s="68">
        <v>0</v>
      </c>
      <c r="M1643" s="68" t="s">
        <v>8915</v>
      </c>
      <c r="N1643" s="68">
        <v>0</v>
      </c>
      <c r="O1643" s="68">
        <v>0</v>
      </c>
      <c r="P1643" s="198" t="s">
        <v>5675</v>
      </c>
    </row>
    <row r="1644" spans="1:16" ht="18.75" hidden="1">
      <c r="A1644" s="50" t="s">
        <v>4564</v>
      </c>
      <c r="B1644" s="50" t="s">
        <v>4575</v>
      </c>
      <c r="C1644" s="50" t="s">
        <v>4512</v>
      </c>
      <c r="D1644" s="50" t="s">
        <v>4440</v>
      </c>
      <c r="E1644" s="12">
        <v>95</v>
      </c>
      <c r="F1644" s="49">
        <v>258313</v>
      </c>
      <c r="G1644" s="67" t="s">
        <v>5631</v>
      </c>
      <c r="H1644" s="14" t="s">
        <v>5601</v>
      </c>
      <c r="I1644" s="14" t="s">
        <v>2458</v>
      </c>
      <c r="J1644" s="33" t="s">
        <v>7110</v>
      </c>
      <c r="K1644" s="33" t="s">
        <v>4518</v>
      </c>
      <c r="L1644" s="68">
        <v>0</v>
      </c>
      <c r="M1644" s="68" t="s">
        <v>8915</v>
      </c>
      <c r="N1644" s="68">
        <v>0</v>
      </c>
      <c r="O1644" s="68">
        <v>0</v>
      </c>
      <c r="P1644" s="197" t="s">
        <v>5738</v>
      </c>
    </row>
    <row r="1645" spans="1:16" ht="18.75" hidden="1">
      <c r="A1645" s="50" t="s">
        <v>4567</v>
      </c>
      <c r="B1645" s="50" t="s">
        <v>4571</v>
      </c>
      <c r="C1645" s="50" t="s">
        <v>4613</v>
      </c>
      <c r="D1645" s="50" t="s">
        <v>4442</v>
      </c>
      <c r="E1645" s="12">
        <v>95</v>
      </c>
      <c r="F1645" s="49">
        <v>588803</v>
      </c>
      <c r="G1645" s="67" t="s">
        <v>5604</v>
      </c>
      <c r="H1645" s="14" t="s">
        <v>5601</v>
      </c>
      <c r="I1645" s="14" t="s">
        <v>2458</v>
      </c>
      <c r="J1645" s="33" t="s">
        <v>7110</v>
      </c>
      <c r="K1645" s="33" t="s">
        <v>4518</v>
      </c>
      <c r="L1645" s="68">
        <v>0</v>
      </c>
      <c r="M1645" s="68" t="s">
        <v>8915</v>
      </c>
      <c r="N1645" s="68">
        <v>0</v>
      </c>
      <c r="O1645" s="68">
        <v>0</v>
      </c>
      <c r="P1645" s="198" t="s">
        <v>5740</v>
      </c>
    </row>
    <row r="1646" spans="1:16" ht="18.75" hidden="1">
      <c r="A1646" s="50" t="s">
        <v>4561</v>
      </c>
      <c r="B1646" s="50" t="s">
        <v>4574</v>
      </c>
      <c r="C1646" s="50" t="s">
        <v>4603</v>
      </c>
      <c r="D1646" s="50" t="s">
        <v>3820</v>
      </c>
      <c r="E1646" s="12">
        <v>95</v>
      </c>
      <c r="F1646" s="49">
        <v>127169</v>
      </c>
      <c r="G1646" s="67" t="s">
        <v>5611</v>
      </c>
      <c r="H1646" s="14" t="s">
        <v>5601</v>
      </c>
      <c r="I1646" s="14" t="s">
        <v>2458</v>
      </c>
      <c r="J1646" s="33" t="s">
        <v>7110</v>
      </c>
      <c r="K1646" s="33" t="s">
        <v>4518</v>
      </c>
      <c r="L1646" s="68">
        <v>0</v>
      </c>
      <c r="M1646" s="68" t="s">
        <v>8915</v>
      </c>
      <c r="N1646" s="68">
        <v>0</v>
      </c>
      <c r="O1646" s="68">
        <v>0</v>
      </c>
      <c r="P1646" s="198" t="s">
        <v>5675</v>
      </c>
    </row>
    <row r="1647" spans="1:16" ht="18.75" hidden="1">
      <c r="A1647" s="50" t="s">
        <v>4568</v>
      </c>
      <c r="B1647" s="50" t="s">
        <v>4517</v>
      </c>
      <c r="C1647" s="50" t="s">
        <v>4221</v>
      </c>
      <c r="D1647" s="50" t="s">
        <v>4184</v>
      </c>
      <c r="E1647" s="12">
        <v>95</v>
      </c>
      <c r="F1647" s="49">
        <v>497285</v>
      </c>
      <c r="G1647" s="67" t="s">
        <v>5699</v>
      </c>
      <c r="H1647" s="14" t="s">
        <v>5601</v>
      </c>
      <c r="I1647" s="14" t="s">
        <v>2458</v>
      </c>
      <c r="J1647" s="33" t="s">
        <v>7110</v>
      </c>
      <c r="K1647" s="33" t="s">
        <v>4518</v>
      </c>
      <c r="L1647" s="68">
        <v>0</v>
      </c>
      <c r="M1647" s="68" t="s">
        <v>8915</v>
      </c>
      <c r="N1647" s="68">
        <v>0</v>
      </c>
      <c r="O1647" s="68">
        <v>0</v>
      </c>
      <c r="P1647" s="198" t="s">
        <v>5700</v>
      </c>
    </row>
    <row r="1648" spans="1:16" ht="18.75" hidden="1">
      <c r="A1648" s="50" t="s">
        <v>4616</v>
      </c>
      <c r="B1648" s="50" t="s">
        <v>4656</v>
      </c>
      <c r="C1648" s="50" t="s">
        <v>4667</v>
      </c>
      <c r="D1648" s="50" t="s">
        <v>3768</v>
      </c>
      <c r="E1648" s="12">
        <v>95</v>
      </c>
      <c r="F1648" s="49">
        <v>228763</v>
      </c>
      <c r="G1648" s="67" t="s">
        <v>5671</v>
      </c>
      <c r="H1648" s="14" t="s">
        <v>5602</v>
      </c>
      <c r="I1648" s="14" t="s">
        <v>2458</v>
      </c>
      <c r="J1648" s="33" t="s">
        <v>7110</v>
      </c>
      <c r="K1648" s="33" t="s">
        <v>4707</v>
      </c>
      <c r="L1648" s="68">
        <v>0</v>
      </c>
      <c r="M1648" s="68" t="s">
        <v>8915</v>
      </c>
      <c r="N1648" s="68">
        <v>0</v>
      </c>
      <c r="O1648" s="68">
        <v>0</v>
      </c>
      <c r="P1648" s="198" t="s">
        <v>5672</v>
      </c>
    </row>
    <row r="1649" spans="1:16" ht="18.75" hidden="1">
      <c r="A1649" s="50" t="s">
        <v>4616</v>
      </c>
      <c r="B1649" s="50" t="s">
        <v>4656</v>
      </c>
      <c r="C1649" s="50" t="s">
        <v>4668</v>
      </c>
      <c r="D1649" s="50" t="s">
        <v>3768</v>
      </c>
      <c r="E1649" s="12">
        <v>95</v>
      </c>
      <c r="F1649" s="49">
        <v>39683</v>
      </c>
      <c r="G1649" s="67" t="s">
        <v>5671</v>
      </c>
      <c r="H1649" s="14" t="s">
        <v>5602</v>
      </c>
      <c r="I1649" s="14" t="s">
        <v>2458</v>
      </c>
      <c r="J1649" s="33" t="s">
        <v>7110</v>
      </c>
      <c r="K1649" s="33" t="s">
        <v>4707</v>
      </c>
      <c r="L1649" s="68">
        <v>0</v>
      </c>
      <c r="M1649" s="68" t="s">
        <v>8915</v>
      </c>
      <c r="N1649" s="68">
        <v>0</v>
      </c>
      <c r="O1649" s="68">
        <v>0</v>
      </c>
      <c r="P1649" s="198" t="s">
        <v>5672</v>
      </c>
    </row>
    <row r="1650" spans="1:16" ht="18.75" hidden="1">
      <c r="A1650" s="50" t="s">
        <v>4617</v>
      </c>
      <c r="B1650" s="50" t="s">
        <v>2544</v>
      </c>
      <c r="C1650" s="50" t="s">
        <v>4668</v>
      </c>
      <c r="D1650" s="50" t="s">
        <v>3768</v>
      </c>
      <c r="E1650" s="12">
        <v>95</v>
      </c>
      <c r="F1650" s="49">
        <v>699000</v>
      </c>
      <c r="G1650" s="67" t="s">
        <v>5671</v>
      </c>
      <c r="H1650" s="14" t="s">
        <v>5602</v>
      </c>
      <c r="I1650" s="14" t="s">
        <v>2458</v>
      </c>
      <c r="J1650" s="33" t="s">
        <v>7110</v>
      </c>
      <c r="K1650" s="33" t="s">
        <v>4707</v>
      </c>
      <c r="L1650" s="68">
        <v>0</v>
      </c>
      <c r="M1650" s="68" t="s">
        <v>8915</v>
      </c>
      <c r="N1650" s="68">
        <v>0</v>
      </c>
      <c r="O1650" s="68">
        <v>0</v>
      </c>
      <c r="P1650" s="198" t="s">
        <v>5672</v>
      </c>
    </row>
    <row r="1651" spans="1:16" ht="18.75" hidden="1">
      <c r="A1651" s="50" t="s">
        <v>4616</v>
      </c>
      <c r="B1651" s="50" t="s">
        <v>4656</v>
      </c>
      <c r="C1651" s="50" t="s">
        <v>4669</v>
      </c>
      <c r="D1651" s="50" t="s">
        <v>3822</v>
      </c>
      <c r="E1651" s="12">
        <v>95</v>
      </c>
      <c r="F1651" s="49">
        <v>330000</v>
      </c>
      <c r="G1651" s="67" t="s">
        <v>5671</v>
      </c>
      <c r="H1651" s="14" t="s">
        <v>5602</v>
      </c>
      <c r="I1651" s="14" t="s">
        <v>2458</v>
      </c>
      <c r="J1651" s="33" t="s">
        <v>7110</v>
      </c>
      <c r="K1651" s="33" t="s">
        <v>4707</v>
      </c>
      <c r="L1651" s="68">
        <v>0</v>
      </c>
      <c r="M1651" s="68" t="s">
        <v>8915</v>
      </c>
      <c r="N1651" s="68">
        <v>0</v>
      </c>
      <c r="O1651" s="68">
        <v>0</v>
      </c>
      <c r="P1651" s="198" t="s">
        <v>5672</v>
      </c>
    </row>
    <row r="1652" spans="1:16" ht="18.75" hidden="1">
      <c r="A1652" s="50" t="s">
        <v>4616</v>
      </c>
      <c r="B1652" s="50" t="s">
        <v>4656</v>
      </c>
      <c r="C1652" s="50" t="s">
        <v>4670</v>
      </c>
      <c r="D1652" s="50" t="s">
        <v>3721</v>
      </c>
      <c r="E1652" s="12">
        <v>95</v>
      </c>
      <c r="F1652" s="49">
        <v>100000</v>
      </c>
      <c r="G1652" s="67" t="s">
        <v>5671</v>
      </c>
      <c r="H1652" s="14" t="s">
        <v>5602</v>
      </c>
      <c r="I1652" s="14" t="s">
        <v>2458</v>
      </c>
      <c r="J1652" s="33" t="s">
        <v>7110</v>
      </c>
      <c r="K1652" s="33" t="s">
        <v>4707</v>
      </c>
      <c r="L1652" s="68">
        <v>0</v>
      </c>
      <c r="M1652" s="68" t="s">
        <v>8915</v>
      </c>
      <c r="N1652" s="68">
        <v>0</v>
      </c>
      <c r="O1652" s="68">
        <v>0</v>
      </c>
      <c r="P1652" s="198" t="s">
        <v>5672</v>
      </c>
    </row>
    <row r="1653" spans="1:16" ht="18.75" hidden="1">
      <c r="A1653" s="50" t="s">
        <v>4618</v>
      </c>
      <c r="B1653" s="50" t="s">
        <v>4657</v>
      </c>
      <c r="C1653" s="50" t="s">
        <v>4671</v>
      </c>
      <c r="D1653" s="50" t="s">
        <v>3966</v>
      </c>
      <c r="E1653" s="12">
        <v>95</v>
      </c>
      <c r="F1653" s="49">
        <v>998900</v>
      </c>
      <c r="G1653" s="67" t="s">
        <v>5652</v>
      </c>
      <c r="H1653" s="14" t="s">
        <v>5601</v>
      </c>
      <c r="I1653" s="14" t="s">
        <v>2458</v>
      </c>
      <c r="J1653" s="33" t="s">
        <v>7110</v>
      </c>
      <c r="K1653" s="33" t="s">
        <v>4707</v>
      </c>
      <c r="L1653" s="68">
        <v>0</v>
      </c>
      <c r="M1653" s="68" t="s">
        <v>8915</v>
      </c>
      <c r="N1653" s="68">
        <v>0</v>
      </c>
      <c r="O1653" s="68">
        <v>0</v>
      </c>
      <c r="P1653" s="198" t="s">
        <v>5653</v>
      </c>
    </row>
    <row r="1654" spans="1:16" ht="18.75" hidden="1">
      <c r="A1654" s="50" t="s">
        <v>4618</v>
      </c>
      <c r="B1654" s="50" t="s">
        <v>4657</v>
      </c>
      <c r="C1654" s="50" t="s">
        <v>4459</v>
      </c>
      <c r="D1654" s="50" t="s">
        <v>3966</v>
      </c>
      <c r="E1654" s="12">
        <v>95</v>
      </c>
      <c r="F1654" s="49">
        <v>169100</v>
      </c>
      <c r="G1654" s="67" t="s">
        <v>5652</v>
      </c>
      <c r="H1654" s="14" t="s">
        <v>5601</v>
      </c>
      <c r="I1654" s="14" t="s">
        <v>2458</v>
      </c>
      <c r="J1654" s="33" t="s">
        <v>7110</v>
      </c>
      <c r="K1654" s="33" t="s">
        <v>4707</v>
      </c>
      <c r="L1654" s="68">
        <v>0</v>
      </c>
      <c r="M1654" s="68" t="s">
        <v>8915</v>
      </c>
      <c r="N1654" s="68">
        <v>0</v>
      </c>
      <c r="O1654" s="68">
        <v>0</v>
      </c>
      <c r="P1654" s="198" t="s">
        <v>5653</v>
      </c>
    </row>
    <row r="1655" spans="1:16" ht="18.75" hidden="1">
      <c r="A1655" s="50" t="s">
        <v>4619</v>
      </c>
      <c r="B1655" s="50" t="s">
        <v>4658</v>
      </c>
      <c r="C1655" s="50" t="s">
        <v>4604</v>
      </c>
      <c r="D1655" s="50" t="s">
        <v>4178</v>
      </c>
      <c r="E1655" s="12">
        <v>95</v>
      </c>
      <c r="F1655" s="49">
        <v>301500</v>
      </c>
      <c r="G1655" s="67" t="s">
        <v>5607</v>
      </c>
      <c r="H1655" s="14" t="s">
        <v>5601</v>
      </c>
      <c r="I1655" s="14" t="s">
        <v>2458</v>
      </c>
      <c r="J1655" s="33" t="s">
        <v>7110</v>
      </c>
      <c r="K1655" s="33" t="s">
        <v>4707</v>
      </c>
      <c r="L1655" s="68">
        <v>0</v>
      </c>
      <c r="M1655" s="68" t="s">
        <v>8915</v>
      </c>
      <c r="N1655" s="68">
        <v>0</v>
      </c>
      <c r="O1655" s="68">
        <v>0</v>
      </c>
      <c r="P1655" s="198" t="s">
        <v>5690</v>
      </c>
    </row>
    <row r="1656" spans="1:16" ht="18.75" hidden="1">
      <c r="A1656" s="50" t="s">
        <v>4620</v>
      </c>
      <c r="B1656" s="50" t="s">
        <v>4659</v>
      </c>
      <c r="C1656" s="50" t="s">
        <v>4672</v>
      </c>
      <c r="D1656" s="50" t="s">
        <v>3932</v>
      </c>
      <c r="E1656" s="12">
        <v>95</v>
      </c>
      <c r="F1656" s="49">
        <v>518160</v>
      </c>
      <c r="G1656" s="67" t="s">
        <v>5611</v>
      </c>
      <c r="H1656" s="14" t="s">
        <v>5601</v>
      </c>
      <c r="I1656" s="14" t="s">
        <v>2458</v>
      </c>
      <c r="J1656" s="33" t="s">
        <v>7110</v>
      </c>
      <c r="K1656" s="33" t="s">
        <v>4707</v>
      </c>
      <c r="L1656" s="68">
        <v>0</v>
      </c>
      <c r="M1656" s="68" t="s">
        <v>8915</v>
      </c>
      <c r="N1656" s="68">
        <v>0</v>
      </c>
      <c r="O1656" s="68">
        <v>0</v>
      </c>
      <c r="P1656" s="198" t="s">
        <v>5694</v>
      </c>
    </row>
    <row r="1657" spans="1:16" ht="18.75" hidden="1">
      <c r="A1657" s="50" t="s">
        <v>4621</v>
      </c>
      <c r="B1657" s="50" t="s">
        <v>4659</v>
      </c>
      <c r="C1657" s="50" t="s">
        <v>4579</v>
      </c>
      <c r="D1657" s="50" t="s">
        <v>4307</v>
      </c>
      <c r="E1657" s="12">
        <v>95</v>
      </c>
      <c r="F1657" s="49">
        <v>904267</v>
      </c>
      <c r="G1657" s="67" t="s">
        <v>5631</v>
      </c>
      <c r="H1657" s="14" t="s">
        <v>5601</v>
      </c>
      <c r="I1657" s="14" t="s">
        <v>2458</v>
      </c>
      <c r="J1657" s="33" t="s">
        <v>7110</v>
      </c>
      <c r="K1657" s="33" t="s">
        <v>4707</v>
      </c>
      <c r="L1657" s="68">
        <v>0</v>
      </c>
      <c r="M1657" s="68" t="s">
        <v>8915</v>
      </c>
      <c r="N1657" s="68">
        <v>0</v>
      </c>
      <c r="O1657" s="68">
        <v>0</v>
      </c>
      <c r="P1657" s="197" t="s">
        <v>5746</v>
      </c>
    </row>
    <row r="1658" spans="1:16" ht="18.75" hidden="1">
      <c r="A1658" s="50" t="s">
        <v>4622</v>
      </c>
      <c r="B1658" s="50" t="s">
        <v>4658</v>
      </c>
      <c r="C1658" s="50" t="s">
        <v>4673</v>
      </c>
      <c r="D1658" s="50" t="s">
        <v>4180</v>
      </c>
      <c r="E1658" s="12">
        <v>95</v>
      </c>
      <c r="F1658" s="49">
        <v>83740</v>
      </c>
      <c r="G1658" s="67" t="s">
        <v>5607</v>
      </c>
      <c r="H1658" s="14" t="s">
        <v>5601</v>
      </c>
      <c r="I1658" s="14" t="s">
        <v>2458</v>
      </c>
      <c r="J1658" s="33" t="s">
        <v>7110</v>
      </c>
      <c r="K1658" s="33" t="s">
        <v>4707</v>
      </c>
      <c r="L1658" s="68">
        <v>0</v>
      </c>
      <c r="M1658" s="68" t="s">
        <v>8915</v>
      </c>
      <c r="N1658" s="68">
        <v>0</v>
      </c>
      <c r="O1658" s="68">
        <v>0</v>
      </c>
      <c r="P1658" s="198" t="s">
        <v>5690</v>
      </c>
    </row>
    <row r="1659" spans="1:16" ht="18.75" hidden="1">
      <c r="A1659" s="50" t="s">
        <v>4623</v>
      </c>
      <c r="B1659" s="50" t="s">
        <v>4517</v>
      </c>
      <c r="C1659" s="50" t="s">
        <v>4674</v>
      </c>
      <c r="D1659" s="50" t="s">
        <v>3966</v>
      </c>
      <c r="E1659" s="12">
        <v>95</v>
      </c>
      <c r="F1659" s="49">
        <v>125050</v>
      </c>
      <c r="G1659" s="67" t="s">
        <v>5663</v>
      </c>
      <c r="H1659" s="14" t="s">
        <v>5601</v>
      </c>
      <c r="I1659" s="14" t="s">
        <v>2458</v>
      </c>
      <c r="J1659" s="33" t="s">
        <v>7110</v>
      </c>
      <c r="K1659" s="33" t="s">
        <v>4707</v>
      </c>
      <c r="L1659" s="68">
        <v>0</v>
      </c>
      <c r="M1659" s="68" t="s">
        <v>8915</v>
      </c>
      <c r="N1659" s="68">
        <v>0</v>
      </c>
      <c r="O1659" s="68">
        <v>0</v>
      </c>
      <c r="P1659" s="198" t="s">
        <v>5664</v>
      </c>
    </row>
    <row r="1660" spans="1:16" ht="18.75" hidden="1">
      <c r="A1660" s="50" t="s">
        <v>4620</v>
      </c>
      <c r="B1660" s="50" t="s">
        <v>4659</v>
      </c>
      <c r="C1660" s="50" t="s">
        <v>4611</v>
      </c>
      <c r="D1660" s="50" t="s">
        <v>3932</v>
      </c>
      <c r="E1660" s="12">
        <v>95</v>
      </c>
      <c r="F1660" s="49">
        <v>53360</v>
      </c>
      <c r="G1660" s="67" t="s">
        <v>5611</v>
      </c>
      <c r="H1660" s="14" t="s">
        <v>5601</v>
      </c>
      <c r="I1660" s="14" t="s">
        <v>2458</v>
      </c>
      <c r="J1660" s="33" t="s">
        <v>7110</v>
      </c>
      <c r="K1660" s="33" t="s">
        <v>4707</v>
      </c>
      <c r="L1660" s="68">
        <v>0</v>
      </c>
      <c r="M1660" s="68" t="s">
        <v>8915</v>
      </c>
      <c r="N1660" s="68">
        <v>0</v>
      </c>
      <c r="O1660" s="68">
        <v>0</v>
      </c>
      <c r="P1660" s="198" t="s">
        <v>5694</v>
      </c>
    </row>
    <row r="1661" spans="1:16" ht="18.75" hidden="1">
      <c r="A1661" s="50" t="s">
        <v>4623</v>
      </c>
      <c r="B1661" s="50" t="s">
        <v>4517</v>
      </c>
      <c r="C1661" s="50" t="s">
        <v>4675</v>
      </c>
      <c r="D1661" s="50" t="s">
        <v>3966</v>
      </c>
      <c r="E1661" s="12">
        <v>95</v>
      </c>
      <c r="F1661" s="49">
        <v>28100</v>
      </c>
      <c r="G1661" s="67" t="s">
        <v>5663</v>
      </c>
      <c r="H1661" s="14" t="s">
        <v>5601</v>
      </c>
      <c r="I1661" s="14" t="s">
        <v>2458</v>
      </c>
      <c r="J1661" s="33" t="s">
        <v>7110</v>
      </c>
      <c r="K1661" s="33" t="s">
        <v>4707</v>
      </c>
      <c r="L1661" s="68">
        <v>0</v>
      </c>
      <c r="M1661" s="68" t="s">
        <v>8915</v>
      </c>
      <c r="N1661" s="68">
        <v>0</v>
      </c>
      <c r="O1661" s="68">
        <v>0</v>
      </c>
      <c r="P1661" s="198" t="s">
        <v>5665</v>
      </c>
    </row>
    <row r="1662" spans="1:16" ht="18.75" hidden="1">
      <c r="A1662" s="50" t="s">
        <v>4620</v>
      </c>
      <c r="B1662" s="50" t="s">
        <v>4659</v>
      </c>
      <c r="C1662" s="50" t="s">
        <v>4676</v>
      </c>
      <c r="D1662" s="50" t="s">
        <v>3900</v>
      </c>
      <c r="E1662" s="12">
        <v>95</v>
      </c>
      <c r="F1662" s="49">
        <v>200000</v>
      </c>
      <c r="G1662" s="67" t="s">
        <v>5611</v>
      </c>
      <c r="H1662" s="14" t="s">
        <v>5601</v>
      </c>
      <c r="I1662" s="14" t="s">
        <v>2458</v>
      </c>
      <c r="J1662" s="33" t="s">
        <v>7110</v>
      </c>
      <c r="K1662" s="33" t="s">
        <v>4707</v>
      </c>
      <c r="L1662" s="68">
        <v>0</v>
      </c>
      <c r="M1662" s="68" t="s">
        <v>8915</v>
      </c>
      <c r="N1662" s="68">
        <v>0</v>
      </c>
      <c r="O1662" s="68">
        <v>0</v>
      </c>
      <c r="P1662" s="198" t="s">
        <v>5689</v>
      </c>
    </row>
    <row r="1663" spans="1:16" ht="18.75" hidden="1">
      <c r="A1663" s="50" t="s">
        <v>4621</v>
      </c>
      <c r="B1663" s="50" t="s">
        <v>4659</v>
      </c>
      <c r="C1663" s="50" t="s">
        <v>4677</v>
      </c>
      <c r="D1663" s="50" t="s">
        <v>4182</v>
      </c>
      <c r="E1663" s="12">
        <v>95</v>
      </c>
      <c r="F1663" s="49">
        <v>98063</v>
      </c>
      <c r="G1663" s="67" t="s">
        <v>5611</v>
      </c>
      <c r="H1663" s="14" t="s">
        <v>5601</v>
      </c>
      <c r="I1663" s="14" t="s">
        <v>2458</v>
      </c>
      <c r="J1663" s="33" t="s">
        <v>7110</v>
      </c>
      <c r="K1663" s="33" t="s">
        <v>4707</v>
      </c>
      <c r="L1663" s="68">
        <v>0</v>
      </c>
      <c r="M1663" s="68" t="s">
        <v>8915</v>
      </c>
      <c r="N1663" s="68">
        <v>0</v>
      </c>
      <c r="O1663" s="68">
        <v>0</v>
      </c>
      <c r="P1663" s="198" t="s">
        <v>5708</v>
      </c>
    </row>
    <row r="1664" spans="1:16" ht="18.75" hidden="1">
      <c r="A1664" s="50" t="s">
        <v>4620</v>
      </c>
      <c r="B1664" s="50" t="s">
        <v>4659</v>
      </c>
      <c r="C1664" s="50" t="s">
        <v>4678</v>
      </c>
      <c r="D1664" s="50" t="s">
        <v>3900</v>
      </c>
      <c r="E1664" s="12">
        <v>95</v>
      </c>
      <c r="F1664" s="49">
        <v>220000</v>
      </c>
      <c r="G1664" s="67" t="s">
        <v>5611</v>
      </c>
      <c r="H1664" s="14" t="s">
        <v>5601</v>
      </c>
      <c r="I1664" s="14" t="s">
        <v>2458</v>
      </c>
      <c r="J1664" s="33" t="s">
        <v>7110</v>
      </c>
      <c r="K1664" s="33" t="s">
        <v>4707</v>
      </c>
      <c r="L1664" s="68">
        <v>0</v>
      </c>
      <c r="M1664" s="68" t="s">
        <v>8915</v>
      </c>
      <c r="N1664" s="68">
        <v>0</v>
      </c>
      <c r="O1664" s="68">
        <v>0</v>
      </c>
      <c r="P1664" s="198" t="s">
        <v>5680</v>
      </c>
    </row>
    <row r="1665" spans="1:16" ht="18.75" hidden="1">
      <c r="A1665" s="50" t="s">
        <v>4624</v>
      </c>
      <c r="B1665" s="50" t="s">
        <v>4657</v>
      </c>
      <c r="C1665" s="50" t="s">
        <v>4231</v>
      </c>
      <c r="D1665" s="50" t="s">
        <v>3934</v>
      </c>
      <c r="E1665" s="12">
        <v>95</v>
      </c>
      <c r="F1665" s="49">
        <v>390720</v>
      </c>
      <c r="G1665" s="67" t="s">
        <v>5702</v>
      </c>
      <c r="H1665" s="14" t="s">
        <v>5601</v>
      </c>
      <c r="I1665" s="14" t="s">
        <v>2458</v>
      </c>
      <c r="J1665" s="33" t="s">
        <v>7110</v>
      </c>
      <c r="K1665" s="33" t="s">
        <v>4707</v>
      </c>
      <c r="L1665" s="68">
        <v>0</v>
      </c>
      <c r="M1665" s="68" t="s">
        <v>8915</v>
      </c>
      <c r="N1665" s="68">
        <v>0</v>
      </c>
      <c r="O1665" s="68">
        <v>0</v>
      </c>
      <c r="P1665" s="198" t="s">
        <v>5703</v>
      </c>
    </row>
    <row r="1666" spans="1:16" ht="18.75" hidden="1">
      <c r="A1666" s="50" t="s">
        <v>4625</v>
      </c>
      <c r="B1666" s="50" t="s">
        <v>4659</v>
      </c>
      <c r="C1666" s="50" t="s">
        <v>4675</v>
      </c>
      <c r="D1666" s="50" t="s">
        <v>3966</v>
      </c>
      <c r="E1666" s="12">
        <v>95</v>
      </c>
      <c r="F1666" s="49">
        <v>321900</v>
      </c>
      <c r="G1666" s="67" t="s">
        <v>5663</v>
      </c>
      <c r="H1666" s="14" t="s">
        <v>5601</v>
      </c>
      <c r="I1666" s="14" t="s">
        <v>2458</v>
      </c>
      <c r="J1666" s="33" t="s">
        <v>7110</v>
      </c>
      <c r="K1666" s="33" t="s">
        <v>4707</v>
      </c>
      <c r="L1666" s="68">
        <v>0</v>
      </c>
      <c r="M1666" s="68" t="s">
        <v>8915</v>
      </c>
      <c r="N1666" s="68">
        <v>0</v>
      </c>
      <c r="O1666" s="68">
        <v>0</v>
      </c>
      <c r="P1666" s="198" t="s">
        <v>5665</v>
      </c>
    </row>
    <row r="1667" spans="1:16" ht="18.75" hidden="1">
      <c r="A1667" s="50" t="s">
        <v>4625</v>
      </c>
      <c r="B1667" s="50" t="s">
        <v>4659</v>
      </c>
      <c r="C1667" s="50" t="s">
        <v>4580</v>
      </c>
      <c r="D1667" s="50" t="s">
        <v>3829</v>
      </c>
      <c r="E1667" s="12">
        <v>95</v>
      </c>
      <c r="F1667" s="49">
        <v>1638580</v>
      </c>
      <c r="G1667" s="67" t="s">
        <v>5611</v>
      </c>
      <c r="H1667" s="14" t="s">
        <v>5601</v>
      </c>
      <c r="I1667" s="14" t="s">
        <v>2458</v>
      </c>
      <c r="J1667" s="33" t="s">
        <v>7110</v>
      </c>
      <c r="K1667" s="33" t="s">
        <v>4707</v>
      </c>
      <c r="L1667" s="68">
        <v>0</v>
      </c>
      <c r="M1667" s="68" t="s">
        <v>8915</v>
      </c>
      <c r="N1667" s="68">
        <v>0</v>
      </c>
      <c r="O1667" s="68">
        <v>0</v>
      </c>
      <c r="P1667" s="198" t="s">
        <v>5680</v>
      </c>
    </row>
    <row r="1668" spans="1:16" ht="18.75" hidden="1">
      <c r="A1668" s="50" t="s">
        <v>4625</v>
      </c>
      <c r="B1668" s="50" t="s">
        <v>4659</v>
      </c>
      <c r="C1668" s="50" t="s">
        <v>4679</v>
      </c>
      <c r="D1668" s="50" t="s">
        <v>3829</v>
      </c>
      <c r="E1668" s="12">
        <v>95</v>
      </c>
      <c r="F1668" s="49">
        <v>539520</v>
      </c>
      <c r="G1668" s="67" t="s">
        <v>5609</v>
      </c>
      <c r="H1668" s="14" t="s">
        <v>5601</v>
      </c>
      <c r="I1668" s="14" t="s">
        <v>2458</v>
      </c>
      <c r="J1668" s="33" t="s">
        <v>7110</v>
      </c>
      <c r="K1668" s="33" t="s">
        <v>4707</v>
      </c>
      <c r="L1668" s="68">
        <v>0</v>
      </c>
      <c r="M1668" s="68" t="s">
        <v>8915</v>
      </c>
      <c r="N1668" s="68">
        <v>0</v>
      </c>
      <c r="O1668" s="68">
        <v>0</v>
      </c>
      <c r="P1668" s="198" t="s">
        <v>5674</v>
      </c>
    </row>
    <row r="1669" spans="1:16" ht="18.75" hidden="1">
      <c r="A1669" s="50" t="s">
        <v>4622</v>
      </c>
      <c r="B1669" s="50" t="s">
        <v>4658</v>
      </c>
      <c r="C1669" s="50" t="s">
        <v>4680</v>
      </c>
      <c r="D1669" s="50" t="s">
        <v>4180</v>
      </c>
      <c r="E1669" s="12">
        <v>95</v>
      </c>
      <c r="F1669" s="49">
        <v>913260</v>
      </c>
      <c r="G1669" s="67" t="s">
        <v>5607</v>
      </c>
      <c r="H1669" s="14" t="s">
        <v>5601</v>
      </c>
      <c r="I1669" s="14" t="s">
        <v>2458</v>
      </c>
      <c r="J1669" s="33" t="s">
        <v>7110</v>
      </c>
      <c r="K1669" s="33" t="s">
        <v>4707</v>
      </c>
      <c r="L1669" s="68">
        <v>0</v>
      </c>
      <c r="M1669" s="68" t="s">
        <v>8915</v>
      </c>
      <c r="N1669" s="68">
        <v>0</v>
      </c>
      <c r="O1669" s="68">
        <v>0</v>
      </c>
      <c r="P1669" s="198" t="s">
        <v>5690</v>
      </c>
    </row>
    <row r="1670" spans="1:16" ht="18.75" hidden="1">
      <c r="A1670" s="50" t="s">
        <v>4626</v>
      </c>
      <c r="B1670" s="50" t="s">
        <v>4659</v>
      </c>
      <c r="C1670" s="50" t="s">
        <v>4673</v>
      </c>
      <c r="D1670" s="50" t="s">
        <v>4180</v>
      </c>
      <c r="E1670" s="12">
        <v>95</v>
      </c>
      <c r="F1670" s="49">
        <v>915300</v>
      </c>
      <c r="G1670" s="67" t="s">
        <v>5607</v>
      </c>
      <c r="H1670" s="14" t="s">
        <v>5601</v>
      </c>
      <c r="I1670" s="14" t="s">
        <v>2458</v>
      </c>
      <c r="J1670" s="33" t="s">
        <v>7110</v>
      </c>
      <c r="K1670" s="33" t="s">
        <v>4707</v>
      </c>
      <c r="L1670" s="68">
        <v>0</v>
      </c>
      <c r="M1670" s="68" t="s">
        <v>8915</v>
      </c>
      <c r="N1670" s="68">
        <v>0</v>
      </c>
      <c r="O1670" s="68">
        <v>0</v>
      </c>
      <c r="P1670" s="198" t="s">
        <v>5690</v>
      </c>
    </row>
    <row r="1671" spans="1:16" ht="18.75" hidden="1">
      <c r="A1671" s="50" t="s">
        <v>4623</v>
      </c>
      <c r="B1671" s="50" t="s">
        <v>4517</v>
      </c>
      <c r="C1671" s="50" t="s">
        <v>4681</v>
      </c>
      <c r="D1671" s="50" t="s">
        <v>3671</v>
      </c>
      <c r="E1671" s="12">
        <v>95</v>
      </c>
      <c r="F1671" s="49">
        <v>349700</v>
      </c>
      <c r="G1671" s="67" t="s">
        <v>5663</v>
      </c>
      <c r="H1671" s="14" t="s">
        <v>5601</v>
      </c>
      <c r="I1671" s="14" t="s">
        <v>2458</v>
      </c>
      <c r="J1671" s="33" t="s">
        <v>7110</v>
      </c>
      <c r="K1671" s="33" t="s">
        <v>4707</v>
      </c>
      <c r="L1671" s="68">
        <v>0</v>
      </c>
      <c r="M1671" s="68" t="s">
        <v>8915</v>
      </c>
      <c r="N1671" s="68">
        <v>0</v>
      </c>
      <c r="O1671" s="68">
        <v>0</v>
      </c>
      <c r="P1671" s="198" t="s">
        <v>5667</v>
      </c>
    </row>
    <row r="1672" spans="1:16" ht="18.75" hidden="1">
      <c r="A1672" s="50" t="s">
        <v>4627</v>
      </c>
      <c r="B1672" s="50" t="s">
        <v>4660</v>
      </c>
      <c r="C1672" s="50" t="s">
        <v>4682</v>
      </c>
      <c r="D1672" s="50" t="s">
        <v>3932</v>
      </c>
      <c r="E1672" s="12">
        <v>95</v>
      </c>
      <c r="F1672" s="49">
        <v>90993</v>
      </c>
      <c r="G1672" s="67" t="s">
        <v>5611</v>
      </c>
      <c r="H1672" s="14" t="s">
        <v>5601</v>
      </c>
      <c r="I1672" s="14" t="s">
        <v>2458</v>
      </c>
      <c r="J1672" s="33" t="s">
        <v>7110</v>
      </c>
      <c r="K1672" s="33" t="s">
        <v>4707</v>
      </c>
      <c r="L1672" s="68">
        <v>0</v>
      </c>
      <c r="M1672" s="68" t="s">
        <v>8915</v>
      </c>
      <c r="N1672" s="68">
        <v>0</v>
      </c>
      <c r="O1672" s="68">
        <v>0</v>
      </c>
      <c r="P1672" s="198" t="s">
        <v>5694</v>
      </c>
    </row>
    <row r="1673" spans="1:16" ht="18.75" hidden="1">
      <c r="A1673" s="50" t="s">
        <v>4627</v>
      </c>
      <c r="B1673" s="50" t="s">
        <v>4660</v>
      </c>
      <c r="C1673" s="50" t="s">
        <v>4683</v>
      </c>
      <c r="D1673" s="50" t="s">
        <v>3827</v>
      </c>
      <c r="E1673" s="12">
        <v>95</v>
      </c>
      <c r="F1673" s="49">
        <v>146920</v>
      </c>
      <c r="G1673" s="67" t="s">
        <v>5611</v>
      </c>
      <c r="H1673" s="14" t="s">
        <v>5601</v>
      </c>
      <c r="I1673" s="14" t="s">
        <v>2458</v>
      </c>
      <c r="J1673" s="33" t="s">
        <v>7110</v>
      </c>
      <c r="K1673" s="33" t="s">
        <v>4707</v>
      </c>
      <c r="L1673" s="68">
        <v>0</v>
      </c>
      <c r="M1673" s="68" t="s">
        <v>8915</v>
      </c>
      <c r="N1673" s="68">
        <v>0</v>
      </c>
      <c r="O1673" s="68">
        <v>0</v>
      </c>
      <c r="P1673" s="198" t="s">
        <v>5659</v>
      </c>
    </row>
    <row r="1674" spans="1:16" ht="18.75" hidden="1">
      <c r="A1674" s="50" t="s">
        <v>4628</v>
      </c>
      <c r="B1674" s="50" t="s">
        <v>4658</v>
      </c>
      <c r="C1674" s="50" t="s">
        <v>4458</v>
      </c>
      <c r="D1674" s="50" t="s">
        <v>4180</v>
      </c>
      <c r="E1674" s="12">
        <v>95</v>
      </c>
      <c r="F1674" s="49">
        <v>2540</v>
      </c>
      <c r="G1674" s="67" t="s">
        <v>5611</v>
      </c>
      <c r="H1674" s="14" t="s">
        <v>5601</v>
      </c>
      <c r="I1674" s="14" t="s">
        <v>2458</v>
      </c>
      <c r="J1674" s="33" t="s">
        <v>7110</v>
      </c>
      <c r="K1674" s="33" t="s">
        <v>4707</v>
      </c>
      <c r="L1674" s="68">
        <v>0</v>
      </c>
      <c r="M1674" s="68" t="s">
        <v>8915</v>
      </c>
      <c r="N1674" s="68">
        <v>0</v>
      </c>
      <c r="O1674" s="68">
        <v>0</v>
      </c>
      <c r="P1674" s="198" t="s">
        <v>5708</v>
      </c>
    </row>
    <row r="1675" spans="1:16" ht="18.75" hidden="1">
      <c r="A1675" s="50" t="s">
        <v>4627</v>
      </c>
      <c r="B1675" s="50" t="s">
        <v>4660</v>
      </c>
      <c r="C1675" s="50" t="s">
        <v>4598</v>
      </c>
      <c r="D1675" s="50" t="s">
        <v>3936</v>
      </c>
      <c r="E1675" s="12">
        <v>95</v>
      </c>
      <c r="F1675" s="49">
        <v>34000</v>
      </c>
      <c r="G1675" s="67" t="s">
        <v>5611</v>
      </c>
      <c r="H1675" s="14" t="s">
        <v>5601</v>
      </c>
      <c r="I1675" s="14" t="s">
        <v>2458</v>
      </c>
      <c r="J1675" s="33" t="s">
        <v>7110</v>
      </c>
      <c r="K1675" s="33" t="s">
        <v>4707</v>
      </c>
      <c r="L1675" s="68">
        <v>0</v>
      </c>
      <c r="M1675" s="68" t="s">
        <v>8915</v>
      </c>
      <c r="N1675" s="68">
        <v>0</v>
      </c>
      <c r="O1675" s="68">
        <v>0</v>
      </c>
      <c r="P1675" s="198" t="s">
        <v>5675</v>
      </c>
    </row>
    <row r="1676" spans="1:16" ht="18.75" hidden="1">
      <c r="A1676" s="50" t="s">
        <v>4628</v>
      </c>
      <c r="B1676" s="50" t="s">
        <v>4658</v>
      </c>
      <c r="C1676" s="50" t="s">
        <v>4684</v>
      </c>
      <c r="D1676" s="50" t="s">
        <v>3826</v>
      </c>
      <c r="E1676" s="12">
        <v>95</v>
      </c>
      <c r="F1676" s="49">
        <v>49120</v>
      </c>
      <c r="G1676" s="67" t="s">
        <v>5678</v>
      </c>
      <c r="H1676" s="14" t="s">
        <v>5601</v>
      </c>
      <c r="I1676" s="14" t="s">
        <v>2458</v>
      </c>
      <c r="J1676" s="33" t="s">
        <v>7110</v>
      </c>
      <c r="K1676" s="33" t="s">
        <v>4707</v>
      </c>
      <c r="L1676" s="68">
        <v>0</v>
      </c>
      <c r="M1676" s="68" t="s">
        <v>8915</v>
      </c>
      <c r="N1676" s="68">
        <v>0</v>
      </c>
      <c r="O1676" s="68">
        <v>0</v>
      </c>
      <c r="P1676" s="198" t="s">
        <v>5679</v>
      </c>
    </row>
    <row r="1677" spans="1:16" ht="18.75" hidden="1">
      <c r="A1677" s="50" t="s">
        <v>4628</v>
      </c>
      <c r="B1677" s="50" t="s">
        <v>4658</v>
      </c>
      <c r="C1677" s="50" t="s">
        <v>4685</v>
      </c>
      <c r="D1677" s="50" t="s">
        <v>3933</v>
      </c>
      <c r="E1677" s="12">
        <v>95</v>
      </c>
      <c r="F1677" s="49">
        <v>134515</v>
      </c>
      <c r="G1677" s="67" t="s">
        <v>5611</v>
      </c>
      <c r="H1677" s="14" t="s">
        <v>5601</v>
      </c>
      <c r="I1677" s="14" t="s">
        <v>2458</v>
      </c>
      <c r="J1677" s="33" t="s">
        <v>7110</v>
      </c>
      <c r="K1677" s="33" t="s">
        <v>4707</v>
      </c>
      <c r="L1677" s="68">
        <v>0</v>
      </c>
      <c r="M1677" s="68" t="s">
        <v>8915</v>
      </c>
      <c r="N1677" s="68">
        <v>0</v>
      </c>
      <c r="O1677" s="68">
        <v>0</v>
      </c>
      <c r="P1677" s="198" t="s">
        <v>5694</v>
      </c>
    </row>
    <row r="1678" spans="1:16" ht="18.75" hidden="1">
      <c r="A1678" s="50" t="s">
        <v>4627</v>
      </c>
      <c r="B1678" s="50" t="s">
        <v>4660</v>
      </c>
      <c r="C1678" s="50" t="s">
        <v>4612</v>
      </c>
      <c r="D1678" s="50" t="s">
        <v>3820</v>
      </c>
      <c r="E1678" s="12">
        <v>95</v>
      </c>
      <c r="F1678" s="49">
        <v>127857</v>
      </c>
      <c r="G1678" s="67" t="s">
        <v>5611</v>
      </c>
      <c r="H1678" s="14" t="s">
        <v>5601</v>
      </c>
      <c r="I1678" s="14" t="s">
        <v>2458</v>
      </c>
      <c r="J1678" s="33" t="s">
        <v>7110</v>
      </c>
      <c r="K1678" s="33" t="s">
        <v>4707</v>
      </c>
      <c r="L1678" s="68">
        <v>0</v>
      </c>
      <c r="M1678" s="68" t="s">
        <v>8915</v>
      </c>
      <c r="N1678" s="68">
        <v>0</v>
      </c>
      <c r="O1678" s="68">
        <v>0</v>
      </c>
      <c r="P1678" s="198" t="s">
        <v>5675</v>
      </c>
    </row>
    <row r="1679" spans="1:16" ht="18.75" hidden="1">
      <c r="A1679" s="50" t="s">
        <v>4627</v>
      </c>
      <c r="B1679" s="50" t="s">
        <v>4660</v>
      </c>
      <c r="C1679" s="50" t="s">
        <v>4677</v>
      </c>
      <c r="D1679" s="50" t="s">
        <v>4182</v>
      </c>
      <c r="E1679" s="12">
        <v>95</v>
      </c>
      <c r="F1679" s="49">
        <v>101897</v>
      </c>
      <c r="G1679" s="67" t="s">
        <v>5611</v>
      </c>
      <c r="H1679" s="14" t="s">
        <v>5601</v>
      </c>
      <c r="I1679" s="14" t="s">
        <v>2458</v>
      </c>
      <c r="J1679" s="33" t="s">
        <v>7110</v>
      </c>
      <c r="K1679" s="33" t="s">
        <v>4707</v>
      </c>
      <c r="L1679" s="68">
        <v>0</v>
      </c>
      <c r="M1679" s="68" t="s">
        <v>8915</v>
      </c>
      <c r="N1679" s="68">
        <v>0</v>
      </c>
      <c r="O1679" s="68">
        <v>0</v>
      </c>
      <c r="P1679" s="198" t="s">
        <v>5708</v>
      </c>
    </row>
    <row r="1680" spans="1:16" ht="18.75" hidden="1">
      <c r="A1680" s="50" t="s">
        <v>4628</v>
      </c>
      <c r="B1680" s="50" t="s">
        <v>4658</v>
      </c>
      <c r="C1680" s="50" t="s">
        <v>3947</v>
      </c>
      <c r="D1680" s="50" t="s">
        <v>3661</v>
      </c>
      <c r="E1680" s="12">
        <v>95</v>
      </c>
      <c r="F1680" s="49">
        <v>14795</v>
      </c>
      <c r="G1680" s="67" t="s">
        <v>5611</v>
      </c>
      <c r="H1680" s="14" t="s">
        <v>5601</v>
      </c>
      <c r="I1680" s="14" t="s">
        <v>2458</v>
      </c>
      <c r="J1680" s="33" t="s">
        <v>7110</v>
      </c>
      <c r="K1680" s="33" t="s">
        <v>4707</v>
      </c>
      <c r="L1680" s="68">
        <v>0</v>
      </c>
      <c r="M1680" s="68" t="s">
        <v>8915</v>
      </c>
      <c r="N1680" s="68">
        <v>0</v>
      </c>
      <c r="O1680" s="68">
        <v>0</v>
      </c>
      <c r="P1680" s="198" t="s">
        <v>5654</v>
      </c>
    </row>
    <row r="1681" spans="1:16" ht="18.75" hidden="1">
      <c r="A1681" s="50" t="s">
        <v>4627</v>
      </c>
      <c r="B1681" s="50" t="s">
        <v>4660</v>
      </c>
      <c r="C1681" s="50" t="s">
        <v>4686</v>
      </c>
      <c r="D1681" s="50" t="s">
        <v>4184</v>
      </c>
      <c r="E1681" s="12">
        <v>95</v>
      </c>
      <c r="F1681" s="49">
        <v>393103</v>
      </c>
      <c r="G1681" s="67" t="s">
        <v>5611</v>
      </c>
      <c r="H1681" s="14" t="s">
        <v>5601</v>
      </c>
      <c r="I1681" s="14" t="s">
        <v>2458</v>
      </c>
      <c r="J1681" s="33" t="s">
        <v>7110</v>
      </c>
      <c r="K1681" s="33" t="s">
        <v>4707</v>
      </c>
      <c r="L1681" s="68">
        <v>0</v>
      </c>
      <c r="M1681" s="68" t="s">
        <v>8915</v>
      </c>
      <c r="N1681" s="68">
        <v>0</v>
      </c>
      <c r="O1681" s="68">
        <v>0</v>
      </c>
      <c r="P1681" s="198" t="s">
        <v>5694</v>
      </c>
    </row>
    <row r="1682" spans="1:16" ht="18.75" hidden="1">
      <c r="A1682" s="50" t="s">
        <v>4626</v>
      </c>
      <c r="B1682" s="50" t="s">
        <v>4659</v>
      </c>
      <c r="C1682" s="50" t="s">
        <v>4592</v>
      </c>
      <c r="D1682" s="50" t="s">
        <v>4180</v>
      </c>
      <c r="E1682" s="12">
        <v>95</v>
      </c>
      <c r="F1682" s="49">
        <v>77700</v>
      </c>
      <c r="G1682" s="67" t="s">
        <v>5607</v>
      </c>
      <c r="H1682" s="14" t="s">
        <v>5601</v>
      </c>
      <c r="I1682" s="14" t="s">
        <v>2458</v>
      </c>
      <c r="J1682" s="33" t="s">
        <v>7110</v>
      </c>
      <c r="K1682" s="33" t="s">
        <v>4707</v>
      </c>
      <c r="L1682" s="68">
        <v>0</v>
      </c>
      <c r="M1682" s="68" t="s">
        <v>8915</v>
      </c>
      <c r="N1682" s="68">
        <v>0</v>
      </c>
      <c r="O1682" s="68">
        <v>0</v>
      </c>
      <c r="P1682" s="198" t="s">
        <v>5690</v>
      </c>
    </row>
    <row r="1683" spans="1:16" ht="18.75" hidden="1">
      <c r="A1683" s="50" t="s">
        <v>4629</v>
      </c>
      <c r="B1683" s="50" t="s">
        <v>4658</v>
      </c>
      <c r="C1683" s="50" t="s">
        <v>4687</v>
      </c>
      <c r="D1683" s="50" t="s">
        <v>4184</v>
      </c>
      <c r="E1683" s="12">
        <v>95</v>
      </c>
      <c r="F1683" s="49">
        <v>199320</v>
      </c>
      <c r="G1683" s="67" t="s">
        <v>5611</v>
      </c>
      <c r="H1683" s="14" t="s">
        <v>5601</v>
      </c>
      <c r="I1683" s="14" t="s">
        <v>2458</v>
      </c>
      <c r="J1683" s="33" t="s">
        <v>7110</v>
      </c>
      <c r="K1683" s="33" t="s">
        <v>4707</v>
      </c>
      <c r="L1683" s="68">
        <v>0</v>
      </c>
      <c r="M1683" s="68" t="s">
        <v>8915</v>
      </c>
      <c r="N1683" s="68">
        <v>0</v>
      </c>
      <c r="O1683" s="68">
        <v>0</v>
      </c>
      <c r="P1683" s="198" t="s">
        <v>5708</v>
      </c>
    </row>
    <row r="1684" spans="1:16" ht="18.75" hidden="1">
      <c r="A1684" s="50" t="s">
        <v>4629</v>
      </c>
      <c r="B1684" s="50" t="s">
        <v>4658</v>
      </c>
      <c r="C1684" s="50" t="s">
        <v>4688</v>
      </c>
      <c r="D1684" s="50" t="s">
        <v>4186</v>
      </c>
      <c r="E1684" s="12">
        <v>95</v>
      </c>
      <c r="F1684" s="49">
        <v>700128</v>
      </c>
      <c r="G1684" s="67" t="s">
        <v>5611</v>
      </c>
      <c r="H1684" s="14" t="s">
        <v>5601</v>
      </c>
      <c r="I1684" s="14" t="s">
        <v>2458</v>
      </c>
      <c r="J1684" s="33" t="s">
        <v>7110</v>
      </c>
      <c r="K1684" s="33" t="s">
        <v>4707</v>
      </c>
      <c r="L1684" s="68">
        <v>0</v>
      </c>
      <c r="M1684" s="68" t="s">
        <v>8915</v>
      </c>
      <c r="N1684" s="68">
        <v>0</v>
      </c>
      <c r="O1684" s="68">
        <v>0</v>
      </c>
      <c r="P1684" s="198" t="s">
        <v>5708</v>
      </c>
    </row>
    <row r="1685" spans="1:16" ht="18.75" hidden="1">
      <c r="A1685" s="50" t="s">
        <v>4630</v>
      </c>
      <c r="B1685" s="50" t="s">
        <v>4661</v>
      </c>
      <c r="C1685" s="50" t="s">
        <v>4689</v>
      </c>
      <c r="D1685" s="50" t="s">
        <v>4665</v>
      </c>
      <c r="E1685" s="12">
        <v>95</v>
      </c>
      <c r="F1685" s="49">
        <v>1746663</v>
      </c>
      <c r="G1685" s="67" t="s">
        <v>5604</v>
      </c>
      <c r="H1685" s="14" t="s">
        <v>5601</v>
      </c>
      <c r="I1685" s="14" t="s">
        <v>2458</v>
      </c>
      <c r="J1685" s="33" t="s">
        <v>7110</v>
      </c>
      <c r="K1685" s="33" t="s">
        <v>4707</v>
      </c>
      <c r="L1685" s="68">
        <v>0</v>
      </c>
      <c r="M1685" s="68" t="s">
        <v>8915</v>
      </c>
      <c r="N1685" s="68">
        <v>0</v>
      </c>
      <c r="O1685" s="68">
        <v>0</v>
      </c>
      <c r="P1685" s="198" t="s">
        <v>5749</v>
      </c>
    </row>
    <row r="1686" spans="1:16" ht="18.75" hidden="1">
      <c r="A1686" s="50" t="s">
        <v>4631</v>
      </c>
      <c r="B1686" s="50" t="s">
        <v>4662</v>
      </c>
      <c r="C1686" s="50" t="s">
        <v>4231</v>
      </c>
      <c r="D1686" s="50" t="s">
        <v>3934</v>
      </c>
      <c r="E1686" s="12">
        <v>95</v>
      </c>
      <c r="F1686" s="49">
        <v>601260</v>
      </c>
      <c r="G1686" s="67" t="s">
        <v>5702</v>
      </c>
      <c r="H1686" s="14" t="s">
        <v>5601</v>
      </c>
      <c r="I1686" s="14" t="s">
        <v>2458</v>
      </c>
      <c r="J1686" s="33" t="s">
        <v>7110</v>
      </c>
      <c r="K1686" s="33" t="s">
        <v>4707</v>
      </c>
      <c r="L1686" s="68">
        <v>0</v>
      </c>
      <c r="M1686" s="68" t="s">
        <v>8915</v>
      </c>
      <c r="N1686" s="68">
        <v>0</v>
      </c>
      <c r="O1686" s="68">
        <v>0</v>
      </c>
      <c r="P1686" s="198" t="s">
        <v>5703</v>
      </c>
    </row>
    <row r="1687" spans="1:16" ht="18.75" hidden="1">
      <c r="A1687" s="50" t="s">
        <v>4629</v>
      </c>
      <c r="B1687" s="50" t="s">
        <v>4658</v>
      </c>
      <c r="C1687" s="50" t="s">
        <v>4686</v>
      </c>
      <c r="D1687" s="50" t="s">
        <v>4184</v>
      </c>
      <c r="E1687" s="12">
        <v>95</v>
      </c>
      <c r="F1687" s="49">
        <v>146037</v>
      </c>
      <c r="G1687" s="67" t="s">
        <v>5611</v>
      </c>
      <c r="H1687" s="14" t="s">
        <v>5601</v>
      </c>
      <c r="I1687" s="14" t="s">
        <v>2458</v>
      </c>
      <c r="J1687" s="33" t="s">
        <v>7110</v>
      </c>
      <c r="K1687" s="33" t="s">
        <v>4707</v>
      </c>
      <c r="L1687" s="68">
        <v>0</v>
      </c>
      <c r="M1687" s="68" t="s">
        <v>8915</v>
      </c>
      <c r="N1687" s="68">
        <v>0</v>
      </c>
      <c r="O1687" s="68">
        <v>0</v>
      </c>
      <c r="P1687" s="198" t="s">
        <v>5694</v>
      </c>
    </row>
    <row r="1688" spans="1:16" ht="18.75" hidden="1">
      <c r="A1688" s="50" t="s">
        <v>4629</v>
      </c>
      <c r="B1688" s="50" t="s">
        <v>4658</v>
      </c>
      <c r="C1688" s="50" t="s">
        <v>4690</v>
      </c>
      <c r="D1688" s="50" t="s">
        <v>3937</v>
      </c>
      <c r="E1688" s="12">
        <v>95</v>
      </c>
      <c r="F1688" s="49">
        <v>235880</v>
      </c>
      <c r="G1688" s="67" t="s">
        <v>5611</v>
      </c>
      <c r="H1688" s="14" t="s">
        <v>5601</v>
      </c>
      <c r="I1688" s="14" t="s">
        <v>2458</v>
      </c>
      <c r="J1688" s="33" t="s">
        <v>7110</v>
      </c>
      <c r="K1688" s="33" t="s">
        <v>4707</v>
      </c>
      <c r="L1688" s="68">
        <v>0</v>
      </c>
      <c r="M1688" s="68" t="s">
        <v>8915</v>
      </c>
      <c r="N1688" s="68">
        <v>0</v>
      </c>
      <c r="O1688" s="68">
        <v>0</v>
      </c>
      <c r="P1688" s="198" t="s">
        <v>5694</v>
      </c>
    </row>
    <row r="1689" spans="1:16" ht="18.75" hidden="1">
      <c r="A1689" s="50" t="s">
        <v>4632</v>
      </c>
      <c r="B1689" s="50" t="s">
        <v>4517</v>
      </c>
      <c r="C1689" s="50" t="s">
        <v>4461</v>
      </c>
      <c r="D1689" s="50" t="s">
        <v>4186</v>
      </c>
      <c r="E1689" s="12">
        <v>95</v>
      </c>
      <c r="F1689" s="49">
        <v>182945</v>
      </c>
      <c r="G1689" s="67" t="s">
        <v>5609</v>
      </c>
      <c r="H1689" s="14" t="s">
        <v>5601</v>
      </c>
      <c r="I1689" s="14" t="s">
        <v>2458</v>
      </c>
      <c r="J1689" s="33" t="s">
        <v>7110</v>
      </c>
      <c r="K1689" s="33" t="s">
        <v>4707</v>
      </c>
      <c r="L1689" s="68">
        <v>0</v>
      </c>
      <c r="M1689" s="68" t="s">
        <v>8915</v>
      </c>
      <c r="N1689" s="68">
        <v>0</v>
      </c>
      <c r="O1689" s="68">
        <v>0</v>
      </c>
      <c r="P1689" s="198" t="s">
        <v>5711</v>
      </c>
    </row>
    <row r="1690" spans="1:16" ht="18.75" hidden="1">
      <c r="A1690" s="50" t="s">
        <v>4632</v>
      </c>
      <c r="B1690" s="50" t="s">
        <v>4517</v>
      </c>
      <c r="C1690" s="50" t="s">
        <v>4691</v>
      </c>
      <c r="D1690" s="50" t="s">
        <v>4186</v>
      </c>
      <c r="E1690" s="12">
        <v>95</v>
      </c>
      <c r="F1690" s="49">
        <v>322055</v>
      </c>
      <c r="G1690" s="67" t="s">
        <v>5609</v>
      </c>
      <c r="H1690" s="14" t="s">
        <v>5601</v>
      </c>
      <c r="I1690" s="14" t="s">
        <v>2458</v>
      </c>
      <c r="J1690" s="33" t="s">
        <v>7110</v>
      </c>
      <c r="K1690" s="33" t="s">
        <v>4707</v>
      </c>
      <c r="L1690" s="68">
        <v>0</v>
      </c>
      <c r="M1690" s="68" t="s">
        <v>8915</v>
      </c>
      <c r="N1690" s="68">
        <v>0</v>
      </c>
      <c r="O1690" s="68">
        <v>0</v>
      </c>
      <c r="P1690" s="198" t="s">
        <v>5711</v>
      </c>
    </row>
    <row r="1691" spans="1:16" ht="18.75" hidden="1">
      <c r="A1691" s="50" t="s">
        <v>4633</v>
      </c>
      <c r="B1691" s="50" t="s">
        <v>4661</v>
      </c>
      <c r="C1691" s="50" t="s">
        <v>4459</v>
      </c>
      <c r="D1691" s="50" t="s">
        <v>3966</v>
      </c>
      <c r="E1691" s="12">
        <v>95</v>
      </c>
      <c r="F1691" s="49">
        <v>498620</v>
      </c>
      <c r="G1691" s="67" t="s">
        <v>5652</v>
      </c>
      <c r="H1691" s="14" t="s">
        <v>5601</v>
      </c>
      <c r="I1691" s="14" t="s">
        <v>2458</v>
      </c>
      <c r="J1691" s="33" t="s">
        <v>7110</v>
      </c>
      <c r="K1691" s="33" t="s">
        <v>4707</v>
      </c>
      <c r="L1691" s="68">
        <v>0</v>
      </c>
      <c r="M1691" s="68" t="s">
        <v>8915</v>
      </c>
      <c r="N1691" s="68">
        <v>0</v>
      </c>
      <c r="O1691" s="68">
        <v>0</v>
      </c>
      <c r="P1691" s="198" t="s">
        <v>5653</v>
      </c>
    </row>
    <row r="1692" spans="1:16" ht="18.75" hidden="1">
      <c r="A1692" s="50" t="s">
        <v>4634</v>
      </c>
      <c r="B1692" s="50" t="s">
        <v>4517</v>
      </c>
      <c r="C1692" s="50" t="s">
        <v>4692</v>
      </c>
      <c r="D1692" s="50" t="s">
        <v>4659</v>
      </c>
      <c r="E1692" s="12">
        <v>95</v>
      </c>
      <c r="F1692" s="49">
        <v>409896</v>
      </c>
      <c r="G1692" s="67" t="s">
        <v>5744</v>
      </c>
      <c r="H1692" s="14" t="s">
        <v>5601</v>
      </c>
      <c r="I1692" s="14" t="s">
        <v>2458</v>
      </c>
      <c r="J1692" s="33" t="s">
        <v>7110</v>
      </c>
      <c r="K1692" s="33" t="s">
        <v>4707</v>
      </c>
      <c r="L1692" s="68">
        <v>0</v>
      </c>
      <c r="M1692" s="68" t="s">
        <v>8915</v>
      </c>
      <c r="N1692" s="68">
        <v>0</v>
      </c>
      <c r="O1692" s="68">
        <v>0</v>
      </c>
      <c r="P1692" s="198" t="s">
        <v>5750</v>
      </c>
    </row>
    <row r="1693" spans="1:16" ht="18.75" hidden="1">
      <c r="A1693" s="50" t="s">
        <v>4634</v>
      </c>
      <c r="B1693" s="50" t="s">
        <v>4517</v>
      </c>
      <c r="C1693" s="50" t="s">
        <v>4693</v>
      </c>
      <c r="D1693" s="50" t="s">
        <v>4661</v>
      </c>
      <c r="E1693" s="12">
        <v>95</v>
      </c>
      <c r="F1693" s="49">
        <v>88997</v>
      </c>
      <c r="G1693" s="67" t="s">
        <v>5744</v>
      </c>
      <c r="H1693" s="14" t="s">
        <v>5601</v>
      </c>
      <c r="I1693" s="14" t="s">
        <v>2458</v>
      </c>
      <c r="J1693" s="33" t="s">
        <v>7110</v>
      </c>
      <c r="K1693" s="33" t="s">
        <v>4707</v>
      </c>
      <c r="L1693" s="68">
        <v>0</v>
      </c>
      <c r="M1693" s="68" t="s">
        <v>8915</v>
      </c>
      <c r="N1693" s="68">
        <v>0</v>
      </c>
      <c r="O1693" s="68">
        <v>0</v>
      </c>
      <c r="P1693" s="198" t="s">
        <v>5750</v>
      </c>
    </row>
    <row r="1694" spans="1:16" ht="18.75" hidden="1">
      <c r="A1694" s="50" t="s">
        <v>4627</v>
      </c>
      <c r="B1694" s="50" t="s">
        <v>4660</v>
      </c>
      <c r="C1694" s="50" t="s">
        <v>4694</v>
      </c>
      <c r="D1694" s="50" t="s">
        <v>4178</v>
      </c>
      <c r="E1694" s="12">
        <v>95</v>
      </c>
      <c r="F1694" s="49">
        <v>65000</v>
      </c>
      <c r="G1694" s="67" t="s">
        <v>5609</v>
      </c>
      <c r="H1694" s="14" t="s">
        <v>5601</v>
      </c>
      <c r="I1694" s="14" t="s">
        <v>2458</v>
      </c>
      <c r="J1694" s="33" t="s">
        <v>7110</v>
      </c>
      <c r="K1694" s="33" t="s">
        <v>4707</v>
      </c>
      <c r="L1694" s="68">
        <v>0</v>
      </c>
      <c r="M1694" s="68" t="s">
        <v>8915</v>
      </c>
      <c r="N1694" s="68">
        <v>0</v>
      </c>
      <c r="O1694" s="68">
        <v>0</v>
      </c>
      <c r="P1694" s="198" t="s">
        <v>5717</v>
      </c>
    </row>
    <row r="1695" spans="1:16" ht="18.75" hidden="1">
      <c r="A1695" s="50" t="s">
        <v>4635</v>
      </c>
      <c r="B1695" s="50" t="s">
        <v>4658</v>
      </c>
      <c r="C1695" s="50" t="s">
        <v>4695</v>
      </c>
      <c r="D1695" s="50" t="s">
        <v>4657</v>
      </c>
      <c r="E1695" s="12">
        <v>95</v>
      </c>
      <c r="F1695" s="49">
        <v>492012</v>
      </c>
      <c r="G1695" s="67" t="s">
        <v>5604</v>
      </c>
      <c r="H1695" s="14" t="s">
        <v>5601</v>
      </c>
      <c r="I1695" s="14" t="s">
        <v>2458</v>
      </c>
      <c r="J1695" s="33" t="e">
        <f>VLOOKUP(C1695,شرکتها!A:B,2,FALSE)</f>
        <v>#N/A</v>
      </c>
      <c r="K1695" s="33" t="s">
        <v>4707</v>
      </c>
      <c r="L1695" s="68">
        <v>0</v>
      </c>
      <c r="M1695" s="68" t="s">
        <v>8915</v>
      </c>
      <c r="N1695" s="68">
        <v>0</v>
      </c>
      <c r="O1695" s="68">
        <v>0</v>
      </c>
      <c r="P1695" s="198" t="s">
        <v>5710</v>
      </c>
    </row>
    <row r="1696" spans="1:16" ht="18.75" hidden="1">
      <c r="A1696" s="50" t="s">
        <v>4636</v>
      </c>
      <c r="B1696" s="50" t="s">
        <v>4663</v>
      </c>
      <c r="C1696" s="50" t="s">
        <v>4696</v>
      </c>
      <c r="D1696" s="50" t="s">
        <v>4706</v>
      </c>
      <c r="E1696" s="12">
        <v>95</v>
      </c>
      <c r="F1696" s="49">
        <v>4083203</v>
      </c>
      <c r="G1696" s="67" t="s">
        <v>5604</v>
      </c>
      <c r="H1696" s="14" t="s">
        <v>5602</v>
      </c>
      <c r="I1696" s="14" t="s">
        <v>2458</v>
      </c>
      <c r="J1696" s="33" t="s">
        <v>7110</v>
      </c>
      <c r="K1696" s="33" t="s">
        <v>4707</v>
      </c>
      <c r="L1696" s="68">
        <v>0</v>
      </c>
      <c r="M1696" s="68" t="s">
        <v>8915</v>
      </c>
      <c r="N1696" s="68">
        <v>0</v>
      </c>
      <c r="O1696" s="68">
        <v>0</v>
      </c>
      <c r="P1696" s="198" t="s">
        <v>5756</v>
      </c>
    </row>
    <row r="1697" spans="1:16" ht="18.75" hidden="1">
      <c r="A1697" s="50" t="s">
        <v>4637</v>
      </c>
      <c r="B1697" s="50" t="s">
        <v>4657</v>
      </c>
      <c r="C1697" s="50" t="s">
        <v>4697</v>
      </c>
      <c r="D1697" s="50" t="s">
        <v>4658</v>
      </c>
      <c r="E1697" s="12">
        <v>95</v>
      </c>
      <c r="F1697" s="49">
        <v>1003803</v>
      </c>
      <c r="G1697" s="67" t="s">
        <v>5604</v>
      </c>
      <c r="H1697" s="14" t="s">
        <v>5602</v>
      </c>
      <c r="I1697" s="14" t="s">
        <v>2458</v>
      </c>
      <c r="J1697" s="33" t="s">
        <v>7110</v>
      </c>
      <c r="K1697" s="33" t="s">
        <v>4707</v>
      </c>
      <c r="L1697" s="68">
        <v>0</v>
      </c>
      <c r="M1697" s="68" t="s">
        <v>8915</v>
      </c>
      <c r="N1697" s="68">
        <v>0</v>
      </c>
      <c r="O1697" s="68">
        <v>0</v>
      </c>
      <c r="P1697" s="198" t="s">
        <v>5749</v>
      </c>
    </row>
    <row r="1698" spans="1:16" ht="18.75" hidden="1">
      <c r="A1698" s="50" t="s">
        <v>4638</v>
      </c>
      <c r="B1698" s="50" t="s">
        <v>4657</v>
      </c>
      <c r="C1698" s="50" t="s">
        <v>4698</v>
      </c>
      <c r="D1698" s="50" t="s">
        <v>4517</v>
      </c>
      <c r="E1698" s="12">
        <v>95</v>
      </c>
      <c r="F1698" s="49">
        <v>2823448</v>
      </c>
      <c r="G1698" s="67" t="s">
        <v>5604</v>
      </c>
      <c r="H1698" s="14" t="s">
        <v>5602</v>
      </c>
      <c r="I1698" s="14" t="s">
        <v>2458</v>
      </c>
      <c r="J1698" s="33" t="s">
        <v>7110</v>
      </c>
      <c r="K1698" s="33" t="s">
        <v>4707</v>
      </c>
      <c r="L1698" s="68">
        <v>0</v>
      </c>
      <c r="M1698" s="68" t="s">
        <v>8915</v>
      </c>
      <c r="N1698" s="68">
        <v>0</v>
      </c>
      <c r="O1698" s="68">
        <v>0</v>
      </c>
      <c r="P1698" s="198" t="s">
        <v>5749</v>
      </c>
    </row>
    <row r="1699" spans="1:16" ht="18.75" hidden="1">
      <c r="A1699" s="50" t="s">
        <v>4639</v>
      </c>
      <c r="B1699" s="50" t="s">
        <v>4518</v>
      </c>
      <c r="C1699" s="50" t="s">
        <v>3835</v>
      </c>
      <c r="D1699" s="50" t="s">
        <v>3664</v>
      </c>
      <c r="E1699" s="12">
        <v>95</v>
      </c>
      <c r="F1699" s="49">
        <v>199540</v>
      </c>
      <c r="G1699" s="67" t="s">
        <v>5652</v>
      </c>
      <c r="H1699" s="14" t="s">
        <v>5601</v>
      </c>
      <c r="I1699" s="14" t="s">
        <v>2458</v>
      </c>
      <c r="J1699" s="33" t="s">
        <v>7110</v>
      </c>
      <c r="K1699" s="33" t="s">
        <v>4707</v>
      </c>
      <c r="L1699" s="68">
        <v>0</v>
      </c>
      <c r="M1699" s="68" t="s">
        <v>8915</v>
      </c>
      <c r="N1699" s="68">
        <v>0</v>
      </c>
      <c r="O1699" s="68">
        <v>0</v>
      </c>
      <c r="P1699" s="198" t="s">
        <v>5653</v>
      </c>
    </row>
    <row r="1700" spans="1:16" ht="18.75" hidden="1">
      <c r="A1700" s="50" t="s">
        <v>4640</v>
      </c>
      <c r="B1700" s="50" t="s">
        <v>4663</v>
      </c>
      <c r="C1700" s="50" t="s">
        <v>4699</v>
      </c>
      <c r="D1700" s="50" t="s">
        <v>4657</v>
      </c>
      <c r="E1700" s="12">
        <v>95</v>
      </c>
      <c r="F1700" s="49">
        <v>49965</v>
      </c>
      <c r="G1700" s="67" t="s">
        <v>5611</v>
      </c>
      <c r="H1700" s="14" t="s">
        <v>5601</v>
      </c>
      <c r="I1700" s="14" t="s">
        <v>2458</v>
      </c>
      <c r="J1700" s="33" t="s">
        <v>7110</v>
      </c>
      <c r="K1700" s="33" t="s">
        <v>4707</v>
      </c>
      <c r="L1700" s="68">
        <v>0</v>
      </c>
      <c r="M1700" s="68" t="s">
        <v>8915</v>
      </c>
      <c r="N1700" s="68">
        <v>0</v>
      </c>
      <c r="O1700" s="68">
        <v>0</v>
      </c>
      <c r="P1700" s="198" t="s">
        <v>5752</v>
      </c>
    </row>
    <row r="1701" spans="1:16" ht="18.75" hidden="1">
      <c r="A1701" s="50" t="s">
        <v>4641</v>
      </c>
      <c r="B1701" s="50" t="s">
        <v>4664</v>
      </c>
      <c r="C1701" s="50" t="s">
        <v>4700</v>
      </c>
      <c r="D1701" s="50" t="s">
        <v>4661</v>
      </c>
      <c r="E1701" s="12">
        <v>95</v>
      </c>
      <c r="F1701" s="49">
        <v>44080</v>
      </c>
      <c r="G1701" s="67" t="s">
        <v>5631</v>
      </c>
      <c r="H1701" s="14" t="s">
        <v>5601</v>
      </c>
      <c r="I1701" s="14" t="s">
        <v>2458</v>
      </c>
      <c r="J1701" s="33" t="s">
        <v>7110</v>
      </c>
      <c r="K1701" s="33" t="s">
        <v>4707</v>
      </c>
      <c r="L1701" s="68">
        <v>0</v>
      </c>
      <c r="M1701" s="68" t="s">
        <v>8915</v>
      </c>
      <c r="N1701" s="68">
        <v>0</v>
      </c>
      <c r="O1701" s="68">
        <v>0</v>
      </c>
      <c r="P1701" s="197" t="s">
        <v>5751</v>
      </c>
    </row>
    <row r="1702" spans="1:16" ht="18.75" hidden="1">
      <c r="A1702" s="50" t="s">
        <v>4642</v>
      </c>
      <c r="B1702" s="50" t="s">
        <v>4664</v>
      </c>
      <c r="C1702" s="50" t="s">
        <v>4701</v>
      </c>
      <c r="D1702" s="50" t="s">
        <v>4500</v>
      </c>
      <c r="E1702" s="12">
        <v>95</v>
      </c>
      <c r="F1702" s="49">
        <v>71780</v>
      </c>
      <c r="G1702" s="67" t="s">
        <v>5647</v>
      </c>
      <c r="H1702" s="14" t="s">
        <v>5601</v>
      </c>
      <c r="I1702" s="14" t="s">
        <v>2458</v>
      </c>
      <c r="J1702" s="33" t="s">
        <v>7110</v>
      </c>
      <c r="K1702" s="33" t="s">
        <v>4707</v>
      </c>
      <c r="L1702" s="68">
        <v>0</v>
      </c>
      <c r="M1702" s="68" t="s">
        <v>8915</v>
      </c>
      <c r="N1702" s="68">
        <v>0</v>
      </c>
      <c r="O1702" s="68">
        <v>0</v>
      </c>
      <c r="P1702" s="198" t="s">
        <v>5728</v>
      </c>
    </row>
    <row r="1703" spans="1:16" ht="18.75" hidden="1">
      <c r="A1703" s="50" t="s">
        <v>4643</v>
      </c>
      <c r="B1703" s="50" t="s">
        <v>4660</v>
      </c>
      <c r="C1703" s="50" t="s">
        <v>4578</v>
      </c>
      <c r="D1703" s="50" t="s">
        <v>4439</v>
      </c>
      <c r="E1703" s="12">
        <v>95</v>
      </c>
      <c r="F1703" s="49">
        <v>73750</v>
      </c>
      <c r="G1703" s="67" t="s">
        <v>5741</v>
      </c>
      <c r="H1703" s="14" t="s">
        <v>5601</v>
      </c>
      <c r="I1703" s="14" t="s">
        <v>2458</v>
      </c>
      <c r="J1703" s="33" t="s">
        <v>7110</v>
      </c>
      <c r="K1703" s="33" t="s">
        <v>4707</v>
      </c>
      <c r="L1703" s="68">
        <v>0</v>
      </c>
      <c r="M1703" s="68" t="s">
        <v>8915</v>
      </c>
      <c r="N1703" s="68">
        <v>0</v>
      </c>
      <c r="O1703" s="68">
        <v>0</v>
      </c>
      <c r="P1703" s="198" t="s">
        <v>5742</v>
      </c>
    </row>
    <row r="1704" spans="1:16" ht="18.75" hidden="1">
      <c r="A1704" s="50" t="s">
        <v>4644</v>
      </c>
      <c r="B1704" s="50" t="s">
        <v>4658</v>
      </c>
      <c r="C1704" s="50" t="s">
        <v>4702</v>
      </c>
      <c r="D1704" s="50" t="s">
        <v>4659</v>
      </c>
      <c r="E1704" s="12">
        <v>95</v>
      </c>
      <c r="F1704" s="49">
        <v>46620</v>
      </c>
      <c r="G1704" s="67" t="s">
        <v>5611</v>
      </c>
      <c r="H1704" s="14" t="s">
        <v>5601</v>
      </c>
      <c r="I1704" s="14" t="s">
        <v>2458</v>
      </c>
      <c r="J1704" s="33" t="s">
        <v>7110</v>
      </c>
      <c r="K1704" s="33" t="s">
        <v>4707</v>
      </c>
      <c r="L1704" s="68">
        <v>0</v>
      </c>
      <c r="M1704" s="68" t="s">
        <v>8915</v>
      </c>
      <c r="N1704" s="68">
        <v>0</v>
      </c>
      <c r="O1704" s="68">
        <v>0</v>
      </c>
      <c r="P1704" s="198" t="s">
        <v>5733</v>
      </c>
    </row>
    <row r="1705" spans="1:16" ht="18.75" hidden="1">
      <c r="A1705" s="50" t="s">
        <v>4644</v>
      </c>
      <c r="B1705" s="50" t="s">
        <v>4658</v>
      </c>
      <c r="C1705" s="50" t="s">
        <v>4699</v>
      </c>
      <c r="D1705" s="50" t="s">
        <v>4657</v>
      </c>
      <c r="E1705" s="12">
        <v>95</v>
      </c>
      <c r="F1705" s="49">
        <v>87400</v>
      </c>
      <c r="G1705" s="67" t="s">
        <v>5611</v>
      </c>
      <c r="H1705" s="14" t="s">
        <v>5601</v>
      </c>
      <c r="I1705" s="14" t="s">
        <v>2458</v>
      </c>
      <c r="J1705" s="33" t="s">
        <v>7110</v>
      </c>
      <c r="K1705" s="33" t="s">
        <v>4707</v>
      </c>
      <c r="L1705" s="68">
        <v>0</v>
      </c>
      <c r="M1705" s="68" t="s">
        <v>8915</v>
      </c>
      <c r="N1705" s="68">
        <v>0</v>
      </c>
      <c r="O1705" s="68">
        <v>0</v>
      </c>
      <c r="P1705" s="198" t="s">
        <v>5752</v>
      </c>
    </row>
    <row r="1706" spans="1:16" ht="18.75" hidden="1">
      <c r="A1706" s="50" t="s">
        <v>4643</v>
      </c>
      <c r="B1706" s="50" t="s">
        <v>4660</v>
      </c>
      <c r="C1706" s="50" t="s">
        <v>4448</v>
      </c>
      <c r="D1706" s="50" t="s">
        <v>4440</v>
      </c>
      <c r="E1706" s="12">
        <v>95</v>
      </c>
      <c r="F1706" s="49">
        <v>36020</v>
      </c>
      <c r="G1706" s="67" t="s">
        <v>5611</v>
      </c>
      <c r="H1706" s="14" t="s">
        <v>5601</v>
      </c>
      <c r="I1706" s="14" t="s">
        <v>2458</v>
      </c>
      <c r="J1706" s="33" t="s">
        <v>7110</v>
      </c>
      <c r="K1706" s="33" t="s">
        <v>4707</v>
      </c>
      <c r="L1706" s="68">
        <v>0</v>
      </c>
      <c r="M1706" s="68" t="s">
        <v>8915</v>
      </c>
      <c r="N1706" s="68">
        <v>0</v>
      </c>
      <c r="O1706" s="68">
        <v>0</v>
      </c>
      <c r="P1706" s="198" t="s">
        <v>5726</v>
      </c>
    </row>
    <row r="1707" spans="1:16" ht="18.75" hidden="1">
      <c r="A1707" s="50" t="s">
        <v>4643</v>
      </c>
      <c r="B1707" s="50" t="s">
        <v>4660</v>
      </c>
      <c r="C1707" s="50" t="s">
        <v>4451</v>
      </c>
      <c r="D1707" s="50" t="s">
        <v>4186</v>
      </c>
      <c r="E1707" s="12">
        <v>95</v>
      </c>
      <c r="F1707" s="49">
        <v>50580</v>
      </c>
      <c r="G1707" s="67" t="s">
        <v>5611</v>
      </c>
      <c r="H1707" s="14" t="s">
        <v>5601</v>
      </c>
      <c r="I1707" s="14" t="s">
        <v>2458</v>
      </c>
      <c r="J1707" s="33" t="s">
        <v>7110</v>
      </c>
      <c r="K1707" s="33" t="s">
        <v>4707</v>
      </c>
      <c r="L1707" s="68">
        <v>0</v>
      </c>
      <c r="M1707" s="68" t="s">
        <v>8915</v>
      </c>
      <c r="N1707" s="68">
        <v>0</v>
      </c>
      <c r="O1707" s="68">
        <v>0</v>
      </c>
      <c r="P1707" s="198" t="s">
        <v>5708</v>
      </c>
    </row>
    <row r="1708" spans="1:16" ht="18.75" hidden="1">
      <c r="A1708" s="50" t="s">
        <v>4645</v>
      </c>
      <c r="B1708" s="50" t="s">
        <v>4661</v>
      </c>
      <c r="C1708" s="50" t="s">
        <v>4703</v>
      </c>
      <c r="D1708" s="50" t="s">
        <v>4575</v>
      </c>
      <c r="E1708" s="12">
        <v>95</v>
      </c>
      <c r="F1708" s="49">
        <v>64850</v>
      </c>
      <c r="G1708" s="67" t="s">
        <v>5631</v>
      </c>
      <c r="H1708" s="14" t="s">
        <v>5601</v>
      </c>
      <c r="I1708" s="14" t="s">
        <v>2458</v>
      </c>
      <c r="J1708" s="33" t="s">
        <v>7110</v>
      </c>
      <c r="K1708" s="33" t="s">
        <v>4707</v>
      </c>
      <c r="L1708" s="68">
        <v>0</v>
      </c>
      <c r="M1708" s="68" t="s">
        <v>8915</v>
      </c>
      <c r="N1708" s="68">
        <v>0</v>
      </c>
      <c r="O1708" s="68">
        <v>0</v>
      </c>
      <c r="P1708" s="197" t="s">
        <v>5748</v>
      </c>
    </row>
    <row r="1709" spans="1:16" ht="18.75" hidden="1">
      <c r="A1709" s="50" t="s">
        <v>4643</v>
      </c>
      <c r="B1709" s="50" t="s">
        <v>4660</v>
      </c>
      <c r="C1709" s="50" t="s">
        <v>4704</v>
      </c>
      <c r="D1709" s="50" t="s">
        <v>4436</v>
      </c>
      <c r="E1709" s="12">
        <v>95</v>
      </c>
      <c r="F1709" s="49">
        <v>71460</v>
      </c>
      <c r="G1709" s="67" t="s">
        <v>5611</v>
      </c>
      <c r="H1709" s="14" t="s">
        <v>5601</v>
      </c>
      <c r="I1709" s="14" t="s">
        <v>2458</v>
      </c>
      <c r="J1709" s="33" t="s">
        <v>7110</v>
      </c>
      <c r="K1709" s="33" t="s">
        <v>4707</v>
      </c>
      <c r="L1709" s="68">
        <v>0</v>
      </c>
      <c r="M1709" s="68" t="s">
        <v>8915</v>
      </c>
      <c r="N1709" s="68">
        <v>0</v>
      </c>
      <c r="O1709" s="68">
        <v>0</v>
      </c>
      <c r="P1709" s="198" t="s">
        <v>5726</v>
      </c>
    </row>
    <row r="1710" spans="1:16" ht="18.75" hidden="1">
      <c r="A1710" s="50" t="s">
        <v>4646</v>
      </c>
      <c r="B1710" s="50" t="s">
        <v>4659</v>
      </c>
      <c r="C1710" s="50" t="s">
        <v>4701</v>
      </c>
      <c r="D1710" s="50" t="s">
        <v>4500</v>
      </c>
      <c r="E1710" s="12">
        <v>95</v>
      </c>
      <c r="F1710" s="49">
        <v>74760</v>
      </c>
      <c r="G1710" s="67" t="s">
        <v>5647</v>
      </c>
      <c r="H1710" s="14" t="s">
        <v>5601</v>
      </c>
      <c r="I1710" s="14" t="s">
        <v>2458</v>
      </c>
      <c r="J1710" s="33" t="s">
        <v>7110</v>
      </c>
      <c r="K1710" s="33" t="s">
        <v>4707</v>
      </c>
      <c r="L1710" s="68">
        <v>0</v>
      </c>
      <c r="M1710" s="68" t="s">
        <v>8915</v>
      </c>
      <c r="N1710" s="68">
        <v>0</v>
      </c>
      <c r="O1710" s="68">
        <v>0</v>
      </c>
      <c r="P1710" s="198" t="s">
        <v>5728</v>
      </c>
    </row>
    <row r="1711" spans="1:16" ht="18.75" hidden="1">
      <c r="A1711" s="50" t="s">
        <v>4645</v>
      </c>
      <c r="B1711" s="50" t="s">
        <v>4661</v>
      </c>
      <c r="C1711" s="50" t="s">
        <v>4451</v>
      </c>
      <c r="D1711" s="50" t="s">
        <v>4186</v>
      </c>
      <c r="E1711" s="12">
        <v>95</v>
      </c>
      <c r="F1711" s="49">
        <v>29230</v>
      </c>
      <c r="G1711" s="67" t="s">
        <v>5611</v>
      </c>
      <c r="H1711" s="14" t="s">
        <v>5601</v>
      </c>
      <c r="I1711" s="14" t="s">
        <v>2458</v>
      </c>
      <c r="J1711" s="33" t="s">
        <v>7110</v>
      </c>
      <c r="K1711" s="33" t="s">
        <v>4707</v>
      </c>
      <c r="L1711" s="68">
        <v>0</v>
      </c>
      <c r="M1711" s="68" t="s">
        <v>8915</v>
      </c>
      <c r="N1711" s="68">
        <v>0</v>
      </c>
      <c r="O1711" s="68">
        <v>0</v>
      </c>
      <c r="P1711" s="198" t="s">
        <v>5708</v>
      </c>
    </row>
    <row r="1712" spans="1:16" ht="18.75" hidden="1">
      <c r="A1712" s="50" t="s">
        <v>4643</v>
      </c>
      <c r="B1712" s="50" t="s">
        <v>4660</v>
      </c>
      <c r="C1712" s="50" t="s">
        <v>4705</v>
      </c>
      <c r="D1712" s="50" t="s">
        <v>4438</v>
      </c>
      <c r="E1712" s="12">
        <v>95</v>
      </c>
      <c r="F1712" s="49">
        <v>120000</v>
      </c>
      <c r="G1712" s="67" t="s">
        <v>5611</v>
      </c>
      <c r="H1712" s="14" t="s">
        <v>5601</v>
      </c>
      <c r="I1712" s="14" t="s">
        <v>2458</v>
      </c>
      <c r="J1712" s="33" t="s">
        <v>7110</v>
      </c>
      <c r="K1712" s="33" t="s">
        <v>4707</v>
      </c>
      <c r="L1712" s="68">
        <v>0</v>
      </c>
      <c r="M1712" s="68" t="s">
        <v>8915</v>
      </c>
      <c r="N1712" s="68">
        <v>0</v>
      </c>
      <c r="O1712" s="68">
        <v>0</v>
      </c>
      <c r="P1712" s="198" t="s">
        <v>5726</v>
      </c>
    </row>
    <row r="1713" spans="1:16" ht="18.75" hidden="1">
      <c r="A1713" s="50" t="s">
        <v>4643</v>
      </c>
      <c r="B1713" s="50" t="s">
        <v>4660</v>
      </c>
      <c r="C1713" s="50" t="s">
        <v>4577</v>
      </c>
      <c r="D1713" s="50" t="s">
        <v>4438</v>
      </c>
      <c r="E1713" s="12">
        <v>95</v>
      </c>
      <c r="F1713" s="49">
        <v>21620</v>
      </c>
      <c r="G1713" s="67" t="s">
        <v>5611</v>
      </c>
      <c r="H1713" s="14" t="s">
        <v>5601</v>
      </c>
      <c r="I1713" s="14" t="s">
        <v>2458</v>
      </c>
      <c r="J1713" s="33" t="s">
        <v>7110</v>
      </c>
      <c r="K1713" s="33" t="s">
        <v>4707</v>
      </c>
      <c r="L1713" s="68">
        <v>0</v>
      </c>
      <c r="M1713" s="68" t="s">
        <v>8915</v>
      </c>
      <c r="N1713" s="68">
        <v>0</v>
      </c>
      <c r="O1713" s="68">
        <v>0</v>
      </c>
      <c r="P1713" s="198" t="s">
        <v>5726</v>
      </c>
    </row>
    <row r="1714" spans="1:16" ht="18.75" hidden="1">
      <c r="A1714" s="50" t="s">
        <v>4647</v>
      </c>
      <c r="B1714" s="50" t="s">
        <v>4657</v>
      </c>
      <c r="C1714" s="50" t="s">
        <v>4451</v>
      </c>
      <c r="D1714" s="50" t="s">
        <v>4186</v>
      </c>
      <c r="E1714" s="12">
        <v>95</v>
      </c>
      <c r="F1714" s="49">
        <v>46830</v>
      </c>
      <c r="G1714" s="67" t="s">
        <v>5611</v>
      </c>
      <c r="H1714" s="14" t="s">
        <v>5601</v>
      </c>
      <c r="I1714" s="14" t="s">
        <v>2458</v>
      </c>
      <c r="J1714" s="33" t="s">
        <v>7110</v>
      </c>
      <c r="K1714" s="33" t="s">
        <v>4707</v>
      </c>
      <c r="L1714" s="68">
        <v>0</v>
      </c>
      <c r="M1714" s="68" t="s">
        <v>8915</v>
      </c>
      <c r="N1714" s="68">
        <v>0</v>
      </c>
      <c r="O1714" s="68">
        <v>0</v>
      </c>
      <c r="P1714" s="198" t="s">
        <v>5708</v>
      </c>
    </row>
    <row r="1715" spans="1:16" ht="18.75" hidden="1">
      <c r="A1715" s="50" t="s">
        <v>4648</v>
      </c>
      <c r="B1715" s="50" t="s">
        <v>4661</v>
      </c>
      <c r="C1715" s="50" t="s">
        <v>4701</v>
      </c>
      <c r="D1715" s="50" t="s">
        <v>4500</v>
      </c>
      <c r="E1715" s="12">
        <v>95</v>
      </c>
      <c r="F1715" s="49">
        <v>99780</v>
      </c>
      <c r="G1715" s="67" t="s">
        <v>5647</v>
      </c>
      <c r="H1715" s="14" t="s">
        <v>5601</v>
      </c>
      <c r="I1715" s="14" t="s">
        <v>2458</v>
      </c>
      <c r="J1715" s="33" t="s">
        <v>7110</v>
      </c>
      <c r="K1715" s="33" t="s">
        <v>4707</v>
      </c>
      <c r="L1715" s="68">
        <v>0</v>
      </c>
      <c r="M1715" s="68" t="s">
        <v>8915</v>
      </c>
      <c r="N1715" s="68">
        <v>0</v>
      </c>
      <c r="O1715" s="68">
        <v>0</v>
      </c>
      <c r="P1715" s="198" t="s">
        <v>5728</v>
      </c>
    </row>
    <row r="1716" spans="1:16" ht="18.75" hidden="1">
      <c r="A1716" s="50" t="s">
        <v>4649</v>
      </c>
      <c r="B1716" s="50" t="s">
        <v>4665</v>
      </c>
      <c r="C1716" s="50" t="s">
        <v>4453</v>
      </c>
      <c r="D1716" s="50" t="s">
        <v>4171</v>
      </c>
      <c r="E1716" s="12">
        <v>95</v>
      </c>
      <c r="F1716" s="49">
        <v>5780</v>
      </c>
      <c r="G1716" s="67" t="s">
        <v>5631</v>
      </c>
      <c r="H1716" s="14" t="s">
        <v>5601</v>
      </c>
      <c r="I1716" s="14" t="s">
        <v>2458</v>
      </c>
      <c r="J1716" s="33" t="s">
        <v>7110</v>
      </c>
      <c r="K1716" s="33" t="s">
        <v>4707</v>
      </c>
      <c r="L1716" s="68">
        <v>0</v>
      </c>
      <c r="M1716" s="68" t="s">
        <v>8915</v>
      </c>
      <c r="N1716" s="68">
        <v>0</v>
      </c>
      <c r="O1716" s="68">
        <v>0</v>
      </c>
      <c r="P1716" s="197" t="s">
        <v>5712</v>
      </c>
    </row>
    <row r="1717" spans="1:16" ht="18.75" hidden="1">
      <c r="A1717" s="50" t="s">
        <v>4649</v>
      </c>
      <c r="B1717" s="50" t="s">
        <v>4665</v>
      </c>
      <c r="C1717" s="50" t="s">
        <v>4703</v>
      </c>
      <c r="D1717" s="50" t="s">
        <v>4575</v>
      </c>
      <c r="E1717" s="12">
        <v>95</v>
      </c>
      <c r="F1717" s="49">
        <v>134330</v>
      </c>
      <c r="G1717" s="67" t="s">
        <v>5631</v>
      </c>
      <c r="H1717" s="14" t="s">
        <v>5601</v>
      </c>
      <c r="I1717" s="14" t="s">
        <v>2458</v>
      </c>
      <c r="J1717" s="33" t="s">
        <v>7110</v>
      </c>
      <c r="K1717" s="33" t="s">
        <v>4707</v>
      </c>
      <c r="L1717" s="68">
        <v>0</v>
      </c>
      <c r="M1717" s="68" t="s">
        <v>8915</v>
      </c>
      <c r="N1717" s="68">
        <v>0</v>
      </c>
      <c r="O1717" s="68">
        <v>0</v>
      </c>
      <c r="P1717" s="197" t="s">
        <v>5748</v>
      </c>
    </row>
    <row r="1718" spans="1:16" ht="18.75" hidden="1">
      <c r="A1718" s="50" t="s">
        <v>4650</v>
      </c>
      <c r="B1718" s="50" t="s">
        <v>4657</v>
      </c>
      <c r="C1718" s="50" t="s">
        <v>4702</v>
      </c>
      <c r="D1718" s="50" t="s">
        <v>4659</v>
      </c>
      <c r="E1718" s="12">
        <v>95</v>
      </c>
      <c r="F1718" s="49">
        <v>144960</v>
      </c>
      <c r="G1718" s="67" t="s">
        <v>5611</v>
      </c>
      <c r="H1718" s="14" t="s">
        <v>5601</v>
      </c>
      <c r="I1718" s="14" t="s">
        <v>2458</v>
      </c>
      <c r="J1718" s="33" t="s">
        <v>7110</v>
      </c>
      <c r="K1718" s="33" t="s">
        <v>4707</v>
      </c>
      <c r="L1718" s="68">
        <v>0</v>
      </c>
      <c r="M1718" s="68" t="s">
        <v>8915</v>
      </c>
      <c r="N1718" s="68">
        <v>0</v>
      </c>
      <c r="O1718" s="68">
        <v>0</v>
      </c>
      <c r="P1718" s="198" t="s">
        <v>5733</v>
      </c>
    </row>
    <row r="1719" spans="1:16" ht="18.75" hidden="1">
      <c r="A1719" s="50" t="s">
        <v>4651</v>
      </c>
      <c r="B1719" s="50" t="s">
        <v>4660</v>
      </c>
      <c r="C1719" s="50" t="s">
        <v>4451</v>
      </c>
      <c r="D1719" s="50" t="s">
        <v>4186</v>
      </c>
      <c r="E1719" s="12">
        <v>95</v>
      </c>
      <c r="F1719" s="49">
        <v>2000</v>
      </c>
      <c r="G1719" s="67" t="s">
        <v>5611</v>
      </c>
      <c r="H1719" s="14" t="s">
        <v>5601</v>
      </c>
      <c r="I1719" s="14" t="s">
        <v>2458</v>
      </c>
      <c r="J1719" s="33" t="s">
        <v>7110</v>
      </c>
      <c r="K1719" s="33" t="s">
        <v>4707</v>
      </c>
      <c r="L1719" s="68">
        <v>0</v>
      </c>
      <c r="M1719" s="68" t="s">
        <v>8915</v>
      </c>
      <c r="N1719" s="68">
        <v>0</v>
      </c>
      <c r="O1719" s="68">
        <v>0</v>
      </c>
      <c r="P1719" s="198" t="s">
        <v>5708</v>
      </c>
    </row>
    <row r="1720" spans="1:16" ht="18.75" hidden="1">
      <c r="A1720" s="50" t="s">
        <v>4652</v>
      </c>
      <c r="B1720" s="50" t="s">
        <v>4666</v>
      </c>
      <c r="C1720" s="50" t="s">
        <v>4700</v>
      </c>
      <c r="D1720" s="50" t="s">
        <v>4661</v>
      </c>
      <c r="E1720" s="12">
        <v>95</v>
      </c>
      <c r="F1720" s="49">
        <v>161970</v>
      </c>
      <c r="G1720" s="67" t="s">
        <v>5631</v>
      </c>
      <c r="H1720" s="14" t="s">
        <v>5601</v>
      </c>
      <c r="I1720" s="14" t="s">
        <v>2458</v>
      </c>
      <c r="J1720" s="33" t="s">
        <v>7110</v>
      </c>
      <c r="K1720" s="33" t="s">
        <v>4707</v>
      </c>
      <c r="L1720" s="68">
        <v>0</v>
      </c>
      <c r="M1720" s="68" t="s">
        <v>8915</v>
      </c>
      <c r="N1720" s="68">
        <v>0</v>
      </c>
      <c r="O1720" s="68">
        <v>0</v>
      </c>
      <c r="P1720" s="197" t="s">
        <v>5751</v>
      </c>
    </row>
    <row r="1721" spans="1:16" ht="18.75" hidden="1">
      <c r="A1721" s="50" t="s">
        <v>4653</v>
      </c>
      <c r="B1721" s="50" t="s">
        <v>4666</v>
      </c>
      <c r="C1721" s="50" t="s">
        <v>4702</v>
      </c>
      <c r="D1721" s="50" t="s">
        <v>4659</v>
      </c>
      <c r="E1721" s="12">
        <v>95</v>
      </c>
      <c r="F1721" s="49">
        <v>23180</v>
      </c>
      <c r="G1721" s="67" t="s">
        <v>5611</v>
      </c>
      <c r="H1721" s="14" t="s">
        <v>5601</v>
      </c>
      <c r="I1721" s="14" t="s">
        <v>2458</v>
      </c>
      <c r="J1721" s="33" t="s">
        <v>7110</v>
      </c>
      <c r="K1721" s="33" t="s">
        <v>4707</v>
      </c>
      <c r="L1721" s="68">
        <v>0</v>
      </c>
      <c r="M1721" s="68" t="s">
        <v>8915</v>
      </c>
      <c r="N1721" s="68">
        <v>0</v>
      </c>
      <c r="O1721" s="68">
        <v>0</v>
      </c>
      <c r="P1721" s="198" t="s">
        <v>5733</v>
      </c>
    </row>
    <row r="1722" spans="1:16" ht="18.75" hidden="1">
      <c r="A1722" s="50" t="s">
        <v>4653</v>
      </c>
      <c r="B1722" s="50" t="s">
        <v>4666</v>
      </c>
      <c r="C1722" s="50" t="s">
        <v>4700</v>
      </c>
      <c r="D1722" s="50" t="s">
        <v>4661</v>
      </c>
      <c r="E1722" s="12">
        <v>95</v>
      </c>
      <c r="F1722" s="49">
        <v>160220</v>
      </c>
      <c r="G1722" s="67" t="s">
        <v>5631</v>
      </c>
      <c r="H1722" s="14" t="s">
        <v>5601</v>
      </c>
      <c r="I1722" s="14" t="s">
        <v>2458</v>
      </c>
      <c r="J1722" s="33" t="s">
        <v>7110</v>
      </c>
      <c r="K1722" s="33" t="s">
        <v>4707</v>
      </c>
      <c r="L1722" s="68">
        <v>0</v>
      </c>
      <c r="M1722" s="68" t="s">
        <v>8915</v>
      </c>
      <c r="N1722" s="68">
        <v>0</v>
      </c>
      <c r="O1722" s="68">
        <v>0</v>
      </c>
      <c r="P1722" s="197" t="s">
        <v>5751</v>
      </c>
    </row>
    <row r="1723" spans="1:16" ht="18.75" hidden="1">
      <c r="A1723" s="50" t="s">
        <v>4651</v>
      </c>
      <c r="B1723" s="50" t="s">
        <v>4660</v>
      </c>
      <c r="C1723" s="50" t="s">
        <v>4452</v>
      </c>
      <c r="D1723" s="50" t="s">
        <v>4175</v>
      </c>
      <c r="E1723" s="12">
        <v>95</v>
      </c>
      <c r="F1723" s="49">
        <v>42140</v>
      </c>
      <c r="G1723" s="67" t="s">
        <v>5647</v>
      </c>
      <c r="H1723" s="14" t="s">
        <v>5601</v>
      </c>
      <c r="I1723" s="14" t="s">
        <v>2458</v>
      </c>
      <c r="J1723" s="33" t="s">
        <v>7110</v>
      </c>
      <c r="K1723" s="33" t="s">
        <v>4707</v>
      </c>
      <c r="L1723" s="68">
        <v>0</v>
      </c>
      <c r="M1723" s="68" t="s">
        <v>8915</v>
      </c>
      <c r="N1723" s="68">
        <v>0</v>
      </c>
      <c r="O1723" s="68">
        <v>0</v>
      </c>
      <c r="P1723" s="198" t="s">
        <v>5732</v>
      </c>
    </row>
    <row r="1724" spans="1:16" ht="18.75" hidden="1">
      <c r="A1724" s="50" t="s">
        <v>4654</v>
      </c>
      <c r="B1724" s="50" t="s">
        <v>4664</v>
      </c>
      <c r="C1724" s="50" t="s">
        <v>4700</v>
      </c>
      <c r="D1724" s="50" t="s">
        <v>4661</v>
      </c>
      <c r="E1724" s="12">
        <v>95</v>
      </c>
      <c r="F1724" s="49">
        <v>48890</v>
      </c>
      <c r="G1724" s="67" t="s">
        <v>5631</v>
      </c>
      <c r="H1724" s="14" t="s">
        <v>5601</v>
      </c>
      <c r="I1724" s="14" t="s">
        <v>2458</v>
      </c>
      <c r="J1724" s="33" t="s">
        <v>7110</v>
      </c>
      <c r="K1724" s="33" t="s">
        <v>4707</v>
      </c>
      <c r="L1724" s="68">
        <v>0</v>
      </c>
      <c r="M1724" s="68" t="s">
        <v>8915</v>
      </c>
      <c r="N1724" s="68">
        <v>0</v>
      </c>
      <c r="O1724" s="68">
        <v>0</v>
      </c>
      <c r="P1724" s="197" t="s">
        <v>5751</v>
      </c>
    </row>
    <row r="1725" spans="1:16" ht="18.75" hidden="1">
      <c r="A1725" s="50" t="s">
        <v>4655</v>
      </c>
      <c r="B1725" s="50" t="s">
        <v>4661</v>
      </c>
      <c r="C1725" s="50" t="s">
        <v>4702</v>
      </c>
      <c r="D1725" s="50" t="s">
        <v>4659</v>
      </c>
      <c r="E1725" s="12">
        <v>95</v>
      </c>
      <c r="F1725" s="49">
        <v>278580</v>
      </c>
      <c r="G1725" s="67" t="s">
        <v>5611</v>
      </c>
      <c r="H1725" s="14" t="s">
        <v>5601</v>
      </c>
      <c r="I1725" s="14" t="s">
        <v>2458</v>
      </c>
      <c r="J1725" s="33" t="s">
        <v>7110</v>
      </c>
      <c r="K1725" s="33" t="s">
        <v>4707</v>
      </c>
      <c r="L1725" s="68">
        <v>0</v>
      </c>
      <c r="M1725" s="68" t="s">
        <v>8915</v>
      </c>
      <c r="N1725" s="68">
        <v>0</v>
      </c>
      <c r="O1725" s="68">
        <v>0</v>
      </c>
      <c r="P1725" s="198" t="s">
        <v>5733</v>
      </c>
    </row>
    <row r="1726" spans="1:16" ht="18.75" hidden="1">
      <c r="A1726" s="50" t="s">
        <v>4708</v>
      </c>
      <c r="B1726" s="50" t="s">
        <v>4706</v>
      </c>
      <c r="C1726" s="50" t="s">
        <v>4721</v>
      </c>
      <c r="D1726" s="50" t="s">
        <v>4178</v>
      </c>
      <c r="E1726" s="12">
        <v>95</v>
      </c>
      <c r="F1726" s="49">
        <v>916460</v>
      </c>
      <c r="G1726" s="67" t="s">
        <v>5607</v>
      </c>
      <c r="H1726" s="14" t="s">
        <v>5601</v>
      </c>
      <c r="I1726" s="14" t="s">
        <v>2458</v>
      </c>
      <c r="J1726" s="33" t="s">
        <v>7110</v>
      </c>
      <c r="K1726" s="33" t="s">
        <v>4707</v>
      </c>
      <c r="L1726" s="68">
        <v>0</v>
      </c>
      <c r="M1726" s="68" t="s">
        <v>8915</v>
      </c>
      <c r="N1726" s="68">
        <v>0</v>
      </c>
      <c r="O1726" s="68">
        <v>0</v>
      </c>
      <c r="P1726" s="198" t="s">
        <v>5690</v>
      </c>
    </row>
    <row r="1727" spans="1:16" ht="18.75" hidden="1">
      <c r="A1727" s="50" t="s">
        <v>4709</v>
      </c>
      <c r="B1727" s="50" t="s">
        <v>4719</v>
      </c>
      <c r="C1727" s="50" t="s">
        <v>4722</v>
      </c>
      <c r="D1727" s="50" t="s">
        <v>4173</v>
      </c>
      <c r="E1727" s="12">
        <v>95</v>
      </c>
      <c r="F1727" s="49">
        <v>20613</v>
      </c>
      <c r="G1727" s="67" t="s">
        <v>5611</v>
      </c>
      <c r="H1727" s="14" t="s">
        <v>5601</v>
      </c>
      <c r="I1727" s="14" t="s">
        <v>2458</v>
      </c>
      <c r="J1727" s="33" t="s">
        <v>7110</v>
      </c>
      <c r="K1727" s="33" t="s">
        <v>4707</v>
      </c>
      <c r="L1727" s="68">
        <v>0</v>
      </c>
      <c r="M1727" s="68" t="s">
        <v>8915</v>
      </c>
      <c r="N1727" s="68">
        <v>0</v>
      </c>
      <c r="O1727" s="68">
        <v>0</v>
      </c>
      <c r="P1727" s="198" t="s">
        <v>5726</v>
      </c>
    </row>
    <row r="1728" spans="1:16" ht="18.75" hidden="1">
      <c r="A1728" s="50" t="s">
        <v>4709</v>
      </c>
      <c r="B1728" s="50" t="s">
        <v>4719</v>
      </c>
      <c r="C1728" s="50" t="s">
        <v>4685</v>
      </c>
      <c r="D1728" s="50" t="s">
        <v>3933</v>
      </c>
      <c r="E1728" s="12">
        <v>95</v>
      </c>
      <c r="F1728" s="49">
        <v>105065</v>
      </c>
      <c r="G1728" s="67" t="s">
        <v>5611</v>
      </c>
      <c r="H1728" s="14" t="s">
        <v>5601</v>
      </c>
      <c r="I1728" s="14" t="s">
        <v>2458</v>
      </c>
      <c r="J1728" s="33" t="s">
        <v>7110</v>
      </c>
      <c r="K1728" s="33" t="s">
        <v>4707</v>
      </c>
      <c r="L1728" s="68">
        <v>0</v>
      </c>
      <c r="M1728" s="68" t="s">
        <v>8915</v>
      </c>
      <c r="N1728" s="68">
        <v>0</v>
      </c>
      <c r="O1728" s="68">
        <v>0</v>
      </c>
      <c r="P1728" s="198" t="s">
        <v>5694</v>
      </c>
    </row>
    <row r="1729" spans="1:16" ht="18.75" hidden="1">
      <c r="A1729" s="50" t="s">
        <v>4709</v>
      </c>
      <c r="B1729" s="50" t="s">
        <v>4719</v>
      </c>
      <c r="C1729" s="50" t="s">
        <v>4688</v>
      </c>
      <c r="D1729" s="50" t="s">
        <v>4186</v>
      </c>
      <c r="E1729" s="12">
        <v>95</v>
      </c>
      <c r="F1729" s="49">
        <v>45024</v>
      </c>
      <c r="G1729" s="67" t="s">
        <v>5611</v>
      </c>
      <c r="H1729" s="14" t="s">
        <v>5601</v>
      </c>
      <c r="I1729" s="14" t="s">
        <v>2458</v>
      </c>
      <c r="J1729" s="33" t="s">
        <v>7110</v>
      </c>
      <c r="K1729" s="33" t="s">
        <v>4707</v>
      </c>
      <c r="L1729" s="68">
        <v>0</v>
      </c>
      <c r="M1729" s="68" t="s">
        <v>8915</v>
      </c>
      <c r="N1729" s="68">
        <v>0</v>
      </c>
      <c r="O1729" s="68">
        <v>0</v>
      </c>
      <c r="P1729" s="198" t="s">
        <v>5708</v>
      </c>
    </row>
    <row r="1730" spans="1:16" ht="18.75" hidden="1">
      <c r="A1730" s="50" t="s">
        <v>4708</v>
      </c>
      <c r="B1730" s="50" t="s">
        <v>4706</v>
      </c>
      <c r="C1730" s="50" t="s">
        <v>4680</v>
      </c>
      <c r="D1730" s="50" t="s">
        <v>4180</v>
      </c>
      <c r="E1730" s="12">
        <v>95</v>
      </c>
      <c r="F1730" s="49">
        <v>86740</v>
      </c>
      <c r="G1730" s="67" t="s">
        <v>5607</v>
      </c>
      <c r="H1730" s="14" t="s">
        <v>5601</v>
      </c>
      <c r="I1730" s="14" t="s">
        <v>2458</v>
      </c>
      <c r="J1730" s="33" t="s">
        <v>7110</v>
      </c>
      <c r="K1730" s="33" t="s">
        <v>4707</v>
      </c>
      <c r="L1730" s="68">
        <v>0</v>
      </c>
      <c r="M1730" s="68" t="s">
        <v>8915</v>
      </c>
      <c r="N1730" s="68">
        <v>0</v>
      </c>
      <c r="O1730" s="68">
        <v>0</v>
      </c>
      <c r="P1730" s="198" t="s">
        <v>5690</v>
      </c>
    </row>
    <row r="1731" spans="1:16" ht="18.75" hidden="1">
      <c r="A1731" s="50" t="s">
        <v>4710</v>
      </c>
      <c r="B1731" s="50" t="s">
        <v>4663</v>
      </c>
      <c r="C1731" s="50" t="s">
        <v>4723</v>
      </c>
      <c r="D1731" s="50" t="s">
        <v>4515</v>
      </c>
      <c r="E1731" s="12">
        <v>95</v>
      </c>
      <c r="F1731" s="49">
        <v>887146</v>
      </c>
      <c r="G1731" s="67" t="s">
        <v>5604</v>
      </c>
      <c r="H1731" s="14" t="s">
        <v>5601</v>
      </c>
      <c r="I1731" s="14" t="s">
        <v>2458</v>
      </c>
      <c r="J1731" s="33" t="s">
        <v>7110</v>
      </c>
      <c r="K1731" s="33" t="s">
        <v>4707</v>
      </c>
      <c r="L1731" s="68">
        <v>0</v>
      </c>
      <c r="M1731" s="68" t="s">
        <v>8915</v>
      </c>
      <c r="N1731" s="68">
        <v>0</v>
      </c>
      <c r="O1731" s="68">
        <v>0</v>
      </c>
      <c r="P1731" s="198" t="s">
        <v>5749</v>
      </c>
    </row>
    <row r="1732" spans="1:16" ht="18.75" hidden="1">
      <c r="A1732" s="50" t="s">
        <v>4709</v>
      </c>
      <c r="B1732" s="50" t="s">
        <v>4719</v>
      </c>
      <c r="C1732" s="50" t="s">
        <v>4682</v>
      </c>
      <c r="D1732" s="50" t="s">
        <v>3932</v>
      </c>
      <c r="E1732" s="12">
        <v>95</v>
      </c>
      <c r="F1732" s="49">
        <v>108527</v>
      </c>
      <c r="G1732" s="67" t="s">
        <v>5611</v>
      </c>
      <c r="H1732" s="14" t="s">
        <v>5601</v>
      </c>
      <c r="I1732" s="14" t="s">
        <v>2458</v>
      </c>
      <c r="J1732" s="33" t="s">
        <v>7110</v>
      </c>
      <c r="K1732" s="33" t="s">
        <v>4707</v>
      </c>
      <c r="L1732" s="68">
        <v>0</v>
      </c>
      <c r="M1732" s="68" t="s">
        <v>8915</v>
      </c>
      <c r="N1732" s="68">
        <v>0</v>
      </c>
      <c r="O1732" s="68">
        <v>0</v>
      </c>
      <c r="P1732" s="198" t="s">
        <v>5694</v>
      </c>
    </row>
    <row r="1733" spans="1:16" ht="18.75" hidden="1">
      <c r="A1733" s="50" t="s">
        <v>4711</v>
      </c>
      <c r="B1733" s="50" t="s">
        <v>4706</v>
      </c>
      <c r="C1733" s="50" t="s">
        <v>4691</v>
      </c>
      <c r="D1733" s="50" t="s">
        <v>4186</v>
      </c>
      <c r="E1733" s="12">
        <v>95</v>
      </c>
      <c r="F1733" s="49">
        <v>77945</v>
      </c>
      <c r="G1733" s="67" t="s">
        <v>5609</v>
      </c>
      <c r="H1733" s="14" t="s">
        <v>5601</v>
      </c>
      <c r="I1733" s="14" t="s">
        <v>2458</v>
      </c>
      <c r="J1733" s="33" t="s">
        <v>7110</v>
      </c>
      <c r="K1733" s="33" t="s">
        <v>4707</v>
      </c>
      <c r="L1733" s="68">
        <v>0</v>
      </c>
      <c r="M1733" s="68" t="s">
        <v>8915</v>
      </c>
      <c r="N1733" s="68">
        <v>0</v>
      </c>
      <c r="O1733" s="68">
        <v>0</v>
      </c>
      <c r="P1733" s="198" t="s">
        <v>5711</v>
      </c>
    </row>
    <row r="1734" spans="1:16" ht="18.75" hidden="1">
      <c r="A1734" s="50" t="s">
        <v>4711</v>
      </c>
      <c r="B1734" s="50" t="s">
        <v>4706</v>
      </c>
      <c r="C1734" s="50" t="s">
        <v>4724</v>
      </c>
      <c r="D1734" s="50" t="s">
        <v>3933</v>
      </c>
      <c r="E1734" s="12">
        <v>95</v>
      </c>
      <c r="F1734" s="49">
        <v>172555</v>
      </c>
      <c r="G1734" s="67" t="s">
        <v>5611</v>
      </c>
      <c r="H1734" s="14" t="s">
        <v>5601</v>
      </c>
      <c r="I1734" s="14" t="s">
        <v>2458</v>
      </c>
      <c r="J1734" s="33" t="s">
        <v>7110</v>
      </c>
      <c r="K1734" s="33" t="s">
        <v>4707</v>
      </c>
      <c r="L1734" s="68">
        <v>0</v>
      </c>
      <c r="M1734" s="68" t="s">
        <v>8915</v>
      </c>
      <c r="N1734" s="68">
        <v>0</v>
      </c>
      <c r="O1734" s="68">
        <v>0</v>
      </c>
      <c r="P1734" s="198" t="s">
        <v>5675</v>
      </c>
    </row>
    <row r="1735" spans="1:16" ht="18.75" hidden="1">
      <c r="A1735" s="50" t="s">
        <v>4711</v>
      </c>
      <c r="B1735" s="50" t="s">
        <v>4706</v>
      </c>
      <c r="C1735" s="50" t="s">
        <v>4725</v>
      </c>
      <c r="D1735" s="50" t="s">
        <v>3934</v>
      </c>
      <c r="E1735" s="12">
        <v>95</v>
      </c>
      <c r="F1735" s="49">
        <v>250000</v>
      </c>
      <c r="G1735" s="67" t="s">
        <v>5611</v>
      </c>
      <c r="H1735" s="14" t="s">
        <v>5601</v>
      </c>
      <c r="I1735" s="14" t="s">
        <v>2458</v>
      </c>
      <c r="J1735" s="33" t="s">
        <v>7110</v>
      </c>
      <c r="K1735" s="33" t="s">
        <v>4707</v>
      </c>
      <c r="L1735" s="68">
        <v>0</v>
      </c>
      <c r="M1735" s="68" t="s">
        <v>8915</v>
      </c>
      <c r="N1735" s="68">
        <v>0</v>
      </c>
      <c r="O1735" s="68">
        <v>0</v>
      </c>
      <c r="P1735" s="198" t="s">
        <v>5694</v>
      </c>
    </row>
    <row r="1736" spans="1:16" ht="18.75" hidden="1">
      <c r="A1736" s="50" t="s">
        <v>4712</v>
      </c>
      <c r="B1736" s="50" t="s">
        <v>4720</v>
      </c>
      <c r="C1736" s="50" t="s">
        <v>4726</v>
      </c>
      <c r="D1736" s="50" t="s">
        <v>4518</v>
      </c>
      <c r="E1736" s="12">
        <v>95</v>
      </c>
      <c r="F1736" s="49">
        <v>296178</v>
      </c>
      <c r="G1736" s="67" t="s">
        <v>5754</v>
      </c>
      <c r="H1736" s="14" t="s">
        <v>5601</v>
      </c>
      <c r="I1736" s="14" t="s">
        <v>2458</v>
      </c>
      <c r="J1736" s="33" t="s">
        <v>7110</v>
      </c>
      <c r="K1736" s="33" t="s">
        <v>4707</v>
      </c>
      <c r="L1736" s="68">
        <v>0</v>
      </c>
      <c r="M1736" s="68" t="s">
        <v>8915</v>
      </c>
      <c r="N1736" s="68">
        <v>0</v>
      </c>
      <c r="O1736" s="68">
        <v>0</v>
      </c>
      <c r="P1736" s="198" t="s">
        <v>5755</v>
      </c>
    </row>
    <row r="1737" spans="1:16" ht="18.75" hidden="1">
      <c r="A1737" s="50" t="s">
        <v>4713</v>
      </c>
      <c r="B1737" s="50" t="s">
        <v>4719</v>
      </c>
      <c r="C1737" s="50" t="s">
        <v>4727</v>
      </c>
      <c r="D1737" s="50" t="s">
        <v>4660</v>
      </c>
      <c r="E1737" s="12">
        <v>95</v>
      </c>
      <c r="F1737" s="49">
        <v>976250</v>
      </c>
      <c r="G1737" s="67" t="s">
        <v>5616</v>
      </c>
      <c r="H1737" s="14" t="s">
        <v>5601</v>
      </c>
      <c r="I1737" s="14" t="s">
        <v>2458</v>
      </c>
      <c r="J1737" s="33" t="s">
        <v>7110</v>
      </c>
      <c r="K1737" s="33" t="s">
        <v>4707</v>
      </c>
      <c r="L1737" s="68">
        <v>0</v>
      </c>
      <c r="M1737" s="68" t="s">
        <v>8915</v>
      </c>
      <c r="N1737" s="68">
        <v>0</v>
      </c>
      <c r="O1737" s="68">
        <v>0</v>
      </c>
      <c r="P1737" s="198" t="s">
        <v>5753</v>
      </c>
    </row>
    <row r="1738" spans="1:16" ht="18.75" hidden="1">
      <c r="A1738" s="50" t="s">
        <v>4709</v>
      </c>
      <c r="B1738" s="50" t="s">
        <v>4719</v>
      </c>
      <c r="C1738" s="50" t="s">
        <v>4598</v>
      </c>
      <c r="D1738" s="50" t="s">
        <v>3936</v>
      </c>
      <c r="E1738" s="12">
        <v>95</v>
      </c>
      <c r="F1738" s="49">
        <v>19421</v>
      </c>
      <c r="G1738" s="67" t="s">
        <v>5611</v>
      </c>
      <c r="H1738" s="14" t="s">
        <v>5601</v>
      </c>
      <c r="I1738" s="14" t="s">
        <v>2458</v>
      </c>
      <c r="J1738" s="33" t="s">
        <v>7110</v>
      </c>
      <c r="K1738" s="33" t="s">
        <v>4707</v>
      </c>
      <c r="L1738" s="68">
        <v>0</v>
      </c>
      <c r="M1738" s="68" t="s">
        <v>8915</v>
      </c>
      <c r="N1738" s="68">
        <v>0</v>
      </c>
      <c r="O1738" s="68">
        <v>0</v>
      </c>
      <c r="P1738" s="198" t="s">
        <v>5675</v>
      </c>
    </row>
    <row r="1739" spans="1:16" ht="18.75" hidden="1">
      <c r="A1739" s="50" t="s">
        <v>4714</v>
      </c>
      <c r="B1739" s="50" t="s">
        <v>4720</v>
      </c>
      <c r="C1739" s="50" t="s">
        <v>4688</v>
      </c>
      <c r="D1739" s="50" t="s">
        <v>4186</v>
      </c>
      <c r="E1739" s="12">
        <v>95</v>
      </c>
      <c r="F1739" s="49">
        <v>43170</v>
      </c>
      <c r="G1739" s="67" t="s">
        <v>5611</v>
      </c>
      <c r="H1739" s="14" t="s">
        <v>5601</v>
      </c>
      <c r="I1739" s="14" t="s">
        <v>2458</v>
      </c>
      <c r="J1739" s="33" t="s">
        <v>7110</v>
      </c>
      <c r="K1739" s="33" t="s">
        <v>4707</v>
      </c>
      <c r="L1739" s="68">
        <v>0</v>
      </c>
      <c r="M1739" s="68" t="s">
        <v>8915</v>
      </c>
      <c r="N1739" s="68">
        <v>0</v>
      </c>
      <c r="O1739" s="68">
        <v>0</v>
      </c>
      <c r="P1739" s="198" t="s">
        <v>5708</v>
      </c>
    </row>
    <row r="1740" spans="1:16" ht="18.75" hidden="1">
      <c r="A1740" s="50" t="s">
        <v>4714</v>
      </c>
      <c r="B1740" s="50" t="s">
        <v>4720</v>
      </c>
      <c r="C1740" s="50" t="s">
        <v>4722</v>
      </c>
      <c r="D1740" s="50" t="s">
        <v>4173</v>
      </c>
      <c r="E1740" s="12">
        <v>95</v>
      </c>
      <c r="F1740" s="49">
        <v>155380</v>
      </c>
      <c r="G1740" s="67" t="s">
        <v>5611</v>
      </c>
      <c r="H1740" s="14" t="s">
        <v>5601</v>
      </c>
      <c r="I1740" s="14" t="s">
        <v>2458</v>
      </c>
      <c r="J1740" s="33" t="s">
        <v>7110</v>
      </c>
      <c r="K1740" s="33" t="s">
        <v>4707</v>
      </c>
      <c r="L1740" s="68">
        <v>0</v>
      </c>
      <c r="M1740" s="68" t="s">
        <v>8915</v>
      </c>
      <c r="N1740" s="68">
        <v>0</v>
      </c>
      <c r="O1740" s="68">
        <v>0</v>
      </c>
      <c r="P1740" s="198" t="s">
        <v>5726</v>
      </c>
    </row>
    <row r="1741" spans="1:16" ht="18.75" hidden="1">
      <c r="A1741" s="50" t="s">
        <v>4715</v>
      </c>
      <c r="B1741" s="50" t="s">
        <v>4720</v>
      </c>
      <c r="C1741" s="50" t="s">
        <v>4231</v>
      </c>
      <c r="D1741" s="50" t="s">
        <v>3934</v>
      </c>
      <c r="E1741" s="12">
        <v>95</v>
      </c>
      <c r="F1741" s="49">
        <v>600600</v>
      </c>
      <c r="G1741" s="67" t="s">
        <v>5702</v>
      </c>
      <c r="H1741" s="14" t="s">
        <v>5601</v>
      </c>
      <c r="I1741" s="14" t="s">
        <v>2458</v>
      </c>
      <c r="J1741" s="33" t="s">
        <v>7110</v>
      </c>
      <c r="K1741" s="33" t="s">
        <v>4707</v>
      </c>
      <c r="L1741" s="68">
        <v>0</v>
      </c>
      <c r="M1741" s="68" t="s">
        <v>8915</v>
      </c>
      <c r="N1741" s="68">
        <v>0</v>
      </c>
      <c r="O1741" s="68">
        <v>0</v>
      </c>
      <c r="P1741" s="198" t="s">
        <v>5703</v>
      </c>
    </row>
    <row r="1742" spans="1:16" ht="18.75" hidden="1">
      <c r="A1742" s="50" t="s">
        <v>4716</v>
      </c>
      <c r="B1742" s="50" t="s">
        <v>4706</v>
      </c>
      <c r="C1742" s="50" t="s">
        <v>4728</v>
      </c>
      <c r="D1742" s="50" t="s">
        <v>4177</v>
      </c>
      <c r="E1742" s="12">
        <v>95</v>
      </c>
      <c r="F1742" s="49">
        <v>250455</v>
      </c>
      <c r="G1742" s="67" t="s">
        <v>5607</v>
      </c>
      <c r="H1742" s="14" t="s">
        <v>5601</v>
      </c>
      <c r="I1742" s="14" t="s">
        <v>2458</v>
      </c>
      <c r="J1742" s="33" t="s">
        <v>7110</v>
      </c>
      <c r="K1742" s="33" t="s">
        <v>4707</v>
      </c>
      <c r="L1742" s="68">
        <v>0</v>
      </c>
      <c r="M1742" s="68" t="s">
        <v>8915</v>
      </c>
      <c r="N1742" s="68">
        <v>0</v>
      </c>
      <c r="O1742" s="68">
        <v>0</v>
      </c>
      <c r="P1742" s="198" t="s">
        <v>5690</v>
      </c>
    </row>
    <row r="1743" spans="1:16" ht="18.75" hidden="1">
      <c r="A1743" s="50" t="s">
        <v>4717</v>
      </c>
      <c r="B1743" s="50" t="s">
        <v>4720</v>
      </c>
      <c r="C1743" s="50" t="s">
        <v>4688</v>
      </c>
      <c r="D1743" s="50" t="s">
        <v>4186</v>
      </c>
      <c r="E1743" s="12">
        <v>95</v>
      </c>
      <c r="F1743" s="49">
        <v>158840</v>
      </c>
      <c r="G1743" s="67" t="s">
        <v>5611</v>
      </c>
      <c r="H1743" s="14" t="s">
        <v>5601</v>
      </c>
      <c r="I1743" s="14" t="s">
        <v>2458</v>
      </c>
      <c r="J1743" s="33" t="s">
        <v>7110</v>
      </c>
      <c r="K1743" s="33" t="s">
        <v>4707</v>
      </c>
      <c r="L1743" s="68">
        <v>0</v>
      </c>
      <c r="M1743" s="68" t="s">
        <v>8915</v>
      </c>
      <c r="N1743" s="68">
        <v>0</v>
      </c>
      <c r="O1743" s="68">
        <v>0</v>
      </c>
      <c r="P1743" s="198" t="s">
        <v>5708</v>
      </c>
    </row>
    <row r="1744" spans="1:16" ht="18.75" hidden="1">
      <c r="A1744" s="50" t="s">
        <v>4718</v>
      </c>
      <c r="B1744" s="50" t="s">
        <v>4720</v>
      </c>
      <c r="C1744" s="50" t="s">
        <v>4611</v>
      </c>
      <c r="D1744" s="50" t="s">
        <v>3932</v>
      </c>
      <c r="E1744" s="12">
        <v>95</v>
      </c>
      <c r="F1744" s="49">
        <v>149992</v>
      </c>
      <c r="G1744" s="67" t="s">
        <v>5611</v>
      </c>
      <c r="H1744" s="14" t="s">
        <v>5601</v>
      </c>
      <c r="I1744" s="14" t="s">
        <v>2458</v>
      </c>
      <c r="J1744" s="33" t="s">
        <v>7110</v>
      </c>
      <c r="K1744" s="33" t="s">
        <v>4707</v>
      </c>
      <c r="L1744" s="68">
        <v>0</v>
      </c>
      <c r="M1744" s="68" t="s">
        <v>8915</v>
      </c>
      <c r="N1744" s="68">
        <v>0</v>
      </c>
      <c r="O1744" s="68">
        <v>0</v>
      </c>
      <c r="P1744" s="198" t="s">
        <v>5694</v>
      </c>
    </row>
    <row r="1745" spans="1:16" ht="18.75" hidden="1">
      <c r="A1745" s="50" t="s">
        <v>4718</v>
      </c>
      <c r="B1745" s="50" t="s">
        <v>4720</v>
      </c>
      <c r="C1745" s="50" t="s">
        <v>4688</v>
      </c>
      <c r="D1745" s="50" t="s">
        <v>4186</v>
      </c>
      <c r="E1745" s="12">
        <v>95</v>
      </c>
      <c r="F1745" s="49">
        <v>51278</v>
      </c>
      <c r="G1745" s="67" t="s">
        <v>5611</v>
      </c>
      <c r="H1745" s="14" t="s">
        <v>5601</v>
      </c>
      <c r="I1745" s="14" t="s">
        <v>2458</v>
      </c>
      <c r="J1745" s="33" t="s">
        <v>7110</v>
      </c>
      <c r="K1745" s="33" t="s">
        <v>4707</v>
      </c>
      <c r="L1745" s="68">
        <v>0</v>
      </c>
      <c r="M1745" s="68" t="s">
        <v>8915</v>
      </c>
      <c r="N1745" s="68">
        <v>0</v>
      </c>
      <c r="O1745" s="68">
        <v>0</v>
      </c>
      <c r="P1745" s="198" t="s">
        <v>5708</v>
      </c>
    </row>
    <row r="1746" spans="1:16" ht="18.75" hidden="1">
      <c r="A1746" s="50" t="s">
        <v>4718</v>
      </c>
      <c r="B1746" s="50" t="s">
        <v>4720</v>
      </c>
      <c r="C1746" s="50" t="s">
        <v>4588</v>
      </c>
      <c r="D1746" s="50" t="s">
        <v>3933</v>
      </c>
      <c r="E1746" s="12">
        <v>95</v>
      </c>
      <c r="F1746" s="49">
        <v>96720</v>
      </c>
      <c r="G1746" s="67" t="s">
        <v>5611</v>
      </c>
      <c r="H1746" s="14" t="s">
        <v>5601</v>
      </c>
      <c r="I1746" s="14" t="s">
        <v>2458</v>
      </c>
      <c r="J1746" s="33" t="s">
        <v>7110</v>
      </c>
      <c r="K1746" s="33" t="s">
        <v>4707</v>
      </c>
      <c r="L1746" s="68">
        <v>0</v>
      </c>
      <c r="M1746" s="68" t="s">
        <v>8915</v>
      </c>
      <c r="N1746" s="68">
        <v>0</v>
      </c>
      <c r="O1746" s="68">
        <v>0</v>
      </c>
      <c r="P1746" s="198" t="s">
        <v>5694</v>
      </c>
    </row>
    <row r="1747" spans="1:16" ht="18.75" hidden="1">
      <c r="A1747" s="50" t="s">
        <v>4716</v>
      </c>
      <c r="B1747" s="50" t="s">
        <v>4706</v>
      </c>
      <c r="C1747" s="50" t="s">
        <v>4604</v>
      </c>
      <c r="D1747" s="50" t="s">
        <v>4178</v>
      </c>
      <c r="E1747" s="12">
        <v>95</v>
      </c>
      <c r="F1747" s="49">
        <v>246045</v>
      </c>
      <c r="G1747" s="67" t="s">
        <v>5607</v>
      </c>
      <c r="H1747" s="14" t="s">
        <v>5601</v>
      </c>
      <c r="I1747" s="14" t="s">
        <v>2458</v>
      </c>
      <c r="J1747" s="33" t="s">
        <v>7110</v>
      </c>
      <c r="K1747" s="33" t="s">
        <v>4707</v>
      </c>
      <c r="L1747" s="68">
        <v>0</v>
      </c>
      <c r="M1747" s="68" t="s">
        <v>8915</v>
      </c>
      <c r="N1747" s="68">
        <v>0</v>
      </c>
      <c r="O1747" s="68">
        <v>0</v>
      </c>
      <c r="P1747" s="198" t="s">
        <v>5690</v>
      </c>
    </row>
    <row r="1748" spans="1:16" ht="18.75" hidden="1">
      <c r="A1748" s="50" t="s">
        <v>4730</v>
      </c>
      <c r="B1748" s="50" t="s">
        <v>3824</v>
      </c>
      <c r="C1748" s="50" t="s">
        <v>4668</v>
      </c>
      <c r="D1748" s="50" t="s">
        <v>3768</v>
      </c>
      <c r="E1748" s="12">
        <v>95</v>
      </c>
      <c r="F1748" s="49">
        <v>513106</v>
      </c>
      <c r="G1748" s="67" t="s">
        <v>5671</v>
      </c>
      <c r="H1748" s="14" t="s">
        <v>5602</v>
      </c>
      <c r="I1748" s="14" t="s">
        <v>2458</v>
      </c>
      <c r="J1748" s="33" t="s">
        <v>7110</v>
      </c>
      <c r="K1748" s="33" t="s">
        <v>4731</v>
      </c>
      <c r="L1748" s="68">
        <v>0</v>
      </c>
      <c r="M1748" s="68" t="s">
        <v>8915</v>
      </c>
      <c r="N1748" s="68">
        <v>0</v>
      </c>
      <c r="O1748" s="68">
        <v>0</v>
      </c>
      <c r="P1748" s="198" t="s">
        <v>5672</v>
      </c>
    </row>
    <row r="1749" spans="1:16" ht="18.75" hidden="1">
      <c r="A1749" s="50" t="s">
        <v>4741</v>
      </c>
      <c r="B1749" s="50" t="s">
        <v>4864</v>
      </c>
      <c r="C1749" s="50" t="s">
        <v>4889</v>
      </c>
      <c r="D1749" s="50" t="s">
        <v>4869</v>
      </c>
      <c r="E1749" s="12" t="s">
        <v>3420</v>
      </c>
      <c r="F1749" s="49">
        <v>141580</v>
      </c>
      <c r="G1749" s="67" t="s">
        <v>5647</v>
      </c>
      <c r="H1749" s="14" t="s">
        <v>5601</v>
      </c>
      <c r="I1749" s="14" t="s">
        <v>2458</v>
      </c>
      <c r="J1749" s="33" t="s">
        <v>7110</v>
      </c>
      <c r="K1749" s="33" t="s">
        <v>4972</v>
      </c>
      <c r="L1749" s="68" t="s">
        <v>6054</v>
      </c>
      <c r="M1749" s="68" t="s">
        <v>8915</v>
      </c>
      <c r="N1749" s="68" t="s">
        <v>6061</v>
      </c>
      <c r="O1749" s="202">
        <v>55301</v>
      </c>
      <c r="P1749" s="198" t="s">
        <v>5759</v>
      </c>
    </row>
    <row r="1750" spans="1:16" ht="18.75" hidden="1">
      <c r="A1750" s="50" t="s">
        <v>4742</v>
      </c>
      <c r="B1750" s="50" t="s">
        <v>4865</v>
      </c>
      <c r="C1750" s="50" t="s">
        <v>4890</v>
      </c>
      <c r="D1750" s="50" t="s">
        <v>4720</v>
      </c>
      <c r="E1750" s="12" t="s">
        <v>3420</v>
      </c>
      <c r="F1750" s="49">
        <v>74020</v>
      </c>
      <c r="G1750" s="67" t="s">
        <v>5611</v>
      </c>
      <c r="H1750" s="14" t="s">
        <v>5601</v>
      </c>
      <c r="I1750" s="14" t="s">
        <v>2458</v>
      </c>
      <c r="J1750" s="33" t="s">
        <v>7110</v>
      </c>
      <c r="K1750" s="33" t="s">
        <v>4972</v>
      </c>
      <c r="L1750" s="68">
        <v>0</v>
      </c>
      <c r="M1750" s="68" t="s">
        <v>8915</v>
      </c>
      <c r="N1750" s="68">
        <v>0</v>
      </c>
      <c r="O1750" s="68">
        <v>0</v>
      </c>
      <c r="P1750" s="198" t="s">
        <v>5733</v>
      </c>
    </row>
    <row r="1751" spans="1:16" ht="18.75" hidden="1">
      <c r="A1751" s="50" t="s">
        <v>4742</v>
      </c>
      <c r="B1751" s="50" t="s">
        <v>4865</v>
      </c>
      <c r="C1751" s="50" t="s">
        <v>4891</v>
      </c>
      <c r="D1751" s="50" t="s">
        <v>4720</v>
      </c>
      <c r="E1751" s="12" t="s">
        <v>3420</v>
      </c>
      <c r="F1751" s="49">
        <v>42760</v>
      </c>
      <c r="G1751" s="67" t="s">
        <v>5611</v>
      </c>
      <c r="H1751" s="14" t="s">
        <v>5601</v>
      </c>
      <c r="I1751" s="14" t="s">
        <v>2458</v>
      </c>
      <c r="J1751" s="33" t="s">
        <v>7110</v>
      </c>
      <c r="K1751" s="33" t="s">
        <v>4972</v>
      </c>
      <c r="L1751" s="68">
        <v>0</v>
      </c>
      <c r="M1751" s="68" t="s">
        <v>8915</v>
      </c>
      <c r="N1751" s="68">
        <v>0</v>
      </c>
      <c r="O1751" s="68">
        <v>0</v>
      </c>
      <c r="P1751" s="198" t="s">
        <v>5733</v>
      </c>
    </row>
    <row r="1752" spans="1:16" ht="18.75" hidden="1">
      <c r="A1752" s="50" t="s">
        <v>4743</v>
      </c>
      <c r="B1752" s="50" t="s">
        <v>4866</v>
      </c>
      <c r="C1752" s="50" t="s">
        <v>4892</v>
      </c>
      <c r="D1752" s="50" t="s">
        <v>4868</v>
      </c>
      <c r="E1752" s="12" t="s">
        <v>3420</v>
      </c>
      <c r="F1752" s="49">
        <v>117140</v>
      </c>
      <c r="G1752" s="67" t="s">
        <v>5611</v>
      </c>
      <c r="H1752" s="14" t="s">
        <v>5601</v>
      </c>
      <c r="I1752" s="14" t="s">
        <v>2458</v>
      </c>
      <c r="J1752" s="33" t="s">
        <v>7110</v>
      </c>
      <c r="K1752" s="33" t="s">
        <v>4972</v>
      </c>
      <c r="L1752" s="68">
        <v>0</v>
      </c>
      <c r="M1752" s="68" t="s">
        <v>8915</v>
      </c>
      <c r="N1752" s="68">
        <v>0</v>
      </c>
      <c r="O1752" s="68">
        <v>0</v>
      </c>
      <c r="P1752" s="198" t="s">
        <v>5733</v>
      </c>
    </row>
    <row r="1753" spans="1:16" ht="18.75" hidden="1">
      <c r="A1753" s="50" t="s">
        <v>4744</v>
      </c>
      <c r="B1753" s="50" t="s">
        <v>4720</v>
      </c>
      <c r="C1753" s="50" t="s">
        <v>4699</v>
      </c>
      <c r="D1753" s="50" t="s">
        <v>4657</v>
      </c>
      <c r="E1753" s="12" t="s">
        <v>3420</v>
      </c>
      <c r="F1753" s="49">
        <v>51020</v>
      </c>
      <c r="G1753" s="67" t="s">
        <v>5611</v>
      </c>
      <c r="H1753" s="14" t="s">
        <v>5601</v>
      </c>
      <c r="I1753" s="14" t="s">
        <v>2458</v>
      </c>
      <c r="J1753" s="33" t="s">
        <v>7110</v>
      </c>
      <c r="K1753" s="33" t="s">
        <v>4972</v>
      </c>
      <c r="L1753" s="68">
        <v>0</v>
      </c>
      <c r="M1753" s="68" t="s">
        <v>8915</v>
      </c>
      <c r="N1753" s="68">
        <v>0</v>
      </c>
      <c r="O1753" s="68">
        <v>0</v>
      </c>
      <c r="P1753" s="198" t="s">
        <v>5752</v>
      </c>
    </row>
    <row r="1754" spans="1:16" ht="18.75" hidden="1">
      <c r="A1754" s="50" t="s">
        <v>4745</v>
      </c>
      <c r="B1754" s="50" t="s">
        <v>4719</v>
      </c>
      <c r="C1754" s="50" t="s">
        <v>3835</v>
      </c>
      <c r="D1754" s="50" t="s">
        <v>3664</v>
      </c>
      <c r="E1754" s="12" t="s">
        <v>3420</v>
      </c>
      <c r="F1754" s="49">
        <v>30940</v>
      </c>
      <c r="G1754" s="67" t="s">
        <v>5652</v>
      </c>
      <c r="H1754" s="14" t="s">
        <v>5601</v>
      </c>
      <c r="I1754" s="14" t="s">
        <v>2458</v>
      </c>
      <c r="J1754" s="33" t="s">
        <v>7110</v>
      </c>
      <c r="K1754" s="33" t="s">
        <v>4972</v>
      </c>
      <c r="L1754" s="68">
        <v>0</v>
      </c>
      <c r="M1754" s="68" t="s">
        <v>8915</v>
      </c>
      <c r="N1754" s="68">
        <v>0</v>
      </c>
      <c r="O1754" s="68">
        <v>0</v>
      </c>
      <c r="P1754" s="198" t="s">
        <v>5653</v>
      </c>
    </row>
    <row r="1755" spans="1:16" ht="18.75" hidden="1">
      <c r="A1755" s="50" t="s">
        <v>4745</v>
      </c>
      <c r="B1755" s="50" t="s">
        <v>4719</v>
      </c>
      <c r="C1755" s="50" t="s">
        <v>3654</v>
      </c>
      <c r="D1755" s="50" t="s">
        <v>3664</v>
      </c>
      <c r="E1755" s="12" t="s">
        <v>3420</v>
      </c>
      <c r="F1755" s="49">
        <v>19400</v>
      </c>
      <c r="G1755" s="67" t="s">
        <v>5652</v>
      </c>
      <c r="H1755" s="14" t="s">
        <v>5601</v>
      </c>
      <c r="I1755" s="14" t="s">
        <v>2458</v>
      </c>
      <c r="J1755" s="33" t="s">
        <v>7110</v>
      </c>
      <c r="K1755" s="33" t="s">
        <v>4972</v>
      </c>
      <c r="L1755" s="68">
        <v>0</v>
      </c>
      <c r="M1755" s="68" t="s">
        <v>8915</v>
      </c>
      <c r="N1755" s="68">
        <v>0</v>
      </c>
      <c r="O1755" s="68">
        <v>0</v>
      </c>
      <c r="P1755" s="198" t="s">
        <v>5653</v>
      </c>
    </row>
    <row r="1756" spans="1:16" ht="18.75" hidden="1">
      <c r="A1756" s="50" t="s">
        <v>4746</v>
      </c>
      <c r="B1756" s="50" t="s">
        <v>4867</v>
      </c>
      <c r="C1756" s="50" t="s">
        <v>4891</v>
      </c>
      <c r="D1756" s="50" t="s">
        <v>4720</v>
      </c>
      <c r="E1756" s="12" t="s">
        <v>3420</v>
      </c>
      <c r="F1756" s="49">
        <v>41020</v>
      </c>
      <c r="G1756" s="67" t="s">
        <v>5611</v>
      </c>
      <c r="H1756" s="14" t="s">
        <v>5601</v>
      </c>
      <c r="I1756" s="14" t="s">
        <v>2458</v>
      </c>
      <c r="J1756" s="33" t="s">
        <v>7110</v>
      </c>
      <c r="K1756" s="33" t="s">
        <v>4972</v>
      </c>
      <c r="L1756" s="68">
        <v>0</v>
      </c>
      <c r="M1756" s="68" t="s">
        <v>8915</v>
      </c>
      <c r="N1756" s="68">
        <v>0</v>
      </c>
      <c r="O1756" s="68">
        <v>0</v>
      </c>
      <c r="P1756" s="198" t="s">
        <v>5733</v>
      </c>
    </row>
    <row r="1757" spans="1:16" ht="18.75" hidden="1">
      <c r="A1757" s="50" t="s">
        <v>4746</v>
      </c>
      <c r="B1757" s="50" t="s">
        <v>4867</v>
      </c>
      <c r="C1757" s="50" t="s">
        <v>4699</v>
      </c>
      <c r="D1757" s="50" t="s">
        <v>4657</v>
      </c>
      <c r="E1757" s="12" t="s">
        <v>3420</v>
      </c>
      <c r="F1757" s="49">
        <v>43760</v>
      </c>
      <c r="G1757" s="67" t="s">
        <v>5611</v>
      </c>
      <c r="H1757" s="14" t="s">
        <v>5601</v>
      </c>
      <c r="I1757" s="14" t="s">
        <v>2458</v>
      </c>
      <c r="J1757" s="33" t="s">
        <v>7110</v>
      </c>
      <c r="K1757" s="33" t="s">
        <v>4972</v>
      </c>
      <c r="L1757" s="68">
        <v>0</v>
      </c>
      <c r="M1757" s="68" t="s">
        <v>8915</v>
      </c>
      <c r="N1757" s="68">
        <v>0</v>
      </c>
      <c r="O1757" s="68">
        <v>0</v>
      </c>
      <c r="P1757" s="198" t="s">
        <v>5752</v>
      </c>
    </row>
    <row r="1758" spans="1:16" ht="18.75" hidden="1">
      <c r="A1758" s="50" t="s">
        <v>4747</v>
      </c>
      <c r="B1758" s="50" t="s">
        <v>4866</v>
      </c>
      <c r="C1758" s="50" t="s">
        <v>4893</v>
      </c>
      <c r="D1758" s="50" t="s">
        <v>4707</v>
      </c>
      <c r="E1758" s="12" t="s">
        <v>3420</v>
      </c>
      <c r="F1758" s="49">
        <v>47480</v>
      </c>
      <c r="G1758" s="67" t="s">
        <v>5611</v>
      </c>
      <c r="H1758" s="14" t="s">
        <v>5601</v>
      </c>
      <c r="I1758" s="14" t="s">
        <v>2458</v>
      </c>
      <c r="J1758" s="33" t="s">
        <v>7110</v>
      </c>
      <c r="K1758" s="33" t="s">
        <v>4972</v>
      </c>
      <c r="L1758" s="68">
        <v>0</v>
      </c>
      <c r="M1758" s="68" t="s">
        <v>8915</v>
      </c>
      <c r="N1758" s="68">
        <v>0</v>
      </c>
      <c r="O1758" s="68">
        <v>0</v>
      </c>
      <c r="P1758" s="198" t="s">
        <v>5733</v>
      </c>
    </row>
    <row r="1759" spans="1:16" ht="18.75" hidden="1">
      <c r="A1759" s="50" t="s">
        <v>4748</v>
      </c>
      <c r="B1759" s="50" t="s">
        <v>4866</v>
      </c>
      <c r="C1759" s="50" t="s">
        <v>4889</v>
      </c>
      <c r="D1759" s="50" t="s">
        <v>4869</v>
      </c>
      <c r="E1759" s="12" t="s">
        <v>3420</v>
      </c>
      <c r="F1759" s="49">
        <v>47800</v>
      </c>
      <c r="G1759" s="67" t="s">
        <v>5647</v>
      </c>
      <c r="H1759" s="14" t="s">
        <v>5601</v>
      </c>
      <c r="I1759" s="14" t="s">
        <v>2458</v>
      </c>
      <c r="J1759" s="33" t="s">
        <v>7110</v>
      </c>
      <c r="K1759" s="33" t="s">
        <v>4972</v>
      </c>
      <c r="L1759" s="68" t="s">
        <v>6054</v>
      </c>
      <c r="M1759" s="68" t="s">
        <v>8915</v>
      </c>
      <c r="N1759" s="68" t="s">
        <v>6061</v>
      </c>
      <c r="O1759" s="202">
        <v>55301</v>
      </c>
      <c r="P1759" s="198" t="s">
        <v>5759</v>
      </c>
    </row>
    <row r="1760" spans="1:16" ht="18.75" hidden="1">
      <c r="A1760" s="50" t="s">
        <v>4746</v>
      </c>
      <c r="B1760" s="50" t="s">
        <v>4867</v>
      </c>
      <c r="C1760" s="50" t="s">
        <v>4702</v>
      </c>
      <c r="D1760" s="50" t="s">
        <v>4659</v>
      </c>
      <c r="E1760" s="12" t="s">
        <v>3420</v>
      </c>
      <c r="F1760" s="49">
        <v>6660</v>
      </c>
      <c r="G1760" s="67" t="s">
        <v>5611</v>
      </c>
      <c r="H1760" s="14" t="s">
        <v>5601</v>
      </c>
      <c r="I1760" s="14" t="s">
        <v>2458</v>
      </c>
      <c r="J1760" s="33" t="s">
        <v>7110</v>
      </c>
      <c r="K1760" s="33" t="s">
        <v>4972</v>
      </c>
      <c r="L1760" s="68">
        <v>0</v>
      </c>
      <c r="M1760" s="68" t="s">
        <v>8915</v>
      </c>
      <c r="N1760" s="68">
        <v>0</v>
      </c>
      <c r="O1760" s="68">
        <v>0</v>
      </c>
      <c r="P1760" s="198" t="s">
        <v>5733</v>
      </c>
    </row>
    <row r="1761" spans="1:16" ht="18.75" hidden="1">
      <c r="A1761" s="50" t="s">
        <v>4749</v>
      </c>
      <c r="B1761" s="50" t="s">
        <v>4707</v>
      </c>
      <c r="C1761" s="50" t="s">
        <v>4699</v>
      </c>
      <c r="D1761" s="50" t="s">
        <v>4657</v>
      </c>
      <c r="E1761" s="12" t="s">
        <v>3420</v>
      </c>
      <c r="F1761" s="49">
        <v>50480</v>
      </c>
      <c r="G1761" s="67" t="s">
        <v>5611</v>
      </c>
      <c r="H1761" s="14" t="s">
        <v>5601</v>
      </c>
      <c r="I1761" s="14" t="s">
        <v>2458</v>
      </c>
      <c r="J1761" s="33" t="s">
        <v>7110</v>
      </c>
      <c r="K1761" s="33" t="s">
        <v>4972</v>
      </c>
      <c r="L1761" s="68">
        <v>0</v>
      </c>
      <c r="M1761" s="68" t="s">
        <v>8915</v>
      </c>
      <c r="N1761" s="68">
        <v>0</v>
      </c>
      <c r="O1761" s="68">
        <v>0</v>
      </c>
      <c r="P1761" s="198" t="s">
        <v>5752</v>
      </c>
    </row>
    <row r="1762" spans="1:16" ht="18.75" hidden="1">
      <c r="A1762" s="50" t="s">
        <v>4750</v>
      </c>
      <c r="B1762" s="50" t="s">
        <v>4719</v>
      </c>
      <c r="C1762" s="50" t="s">
        <v>4351</v>
      </c>
      <c r="D1762" s="50" t="s">
        <v>4183</v>
      </c>
      <c r="E1762" s="12" t="s">
        <v>3420</v>
      </c>
      <c r="F1762" s="49">
        <v>23500</v>
      </c>
      <c r="G1762" s="67" t="s">
        <v>5647</v>
      </c>
      <c r="H1762" s="14" t="s">
        <v>5601</v>
      </c>
      <c r="I1762" s="14" t="s">
        <v>2458</v>
      </c>
      <c r="J1762" s="33" t="s">
        <v>7110</v>
      </c>
      <c r="K1762" s="33" t="s">
        <v>4972</v>
      </c>
      <c r="L1762" s="68">
        <v>0</v>
      </c>
      <c r="M1762" s="68" t="s">
        <v>8915</v>
      </c>
      <c r="N1762" s="68">
        <v>0</v>
      </c>
      <c r="O1762" s="68">
        <v>0</v>
      </c>
      <c r="P1762" s="198" t="s">
        <v>5720</v>
      </c>
    </row>
    <row r="1763" spans="1:16" ht="18.75" hidden="1">
      <c r="A1763" s="50" t="s">
        <v>4751</v>
      </c>
      <c r="B1763" s="50" t="s">
        <v>4865</v>
      </c>
      <c r="C1763" s="50" t="s">
        <v>4891</v>
      </c>
      <c r="D1763" s="50" t="s">
        <v>4720</v>
      </c>
      <c r="E1763" s="12" t="s">
        <v>3420</v>
      </c>
      <c r="F1763" s="49">
        <v>66180</v>
      </c>
      <c r="G1763" s="67" t="s">
        <v>5611</v>
      </c>
      <c r="H1763" s="14" t="s">
        <v>5601</v>
      </c>
      <c r="I1763" s="14" t="s">
        <v>2458</v>
      </c>
      <c r="J1763" s="33" t="s">
        <v>7110</v>
      </c>
      <c r="K1763" s="33" t="s">
        <v>4972</v>
      </c>
      <c r="L1763" s="68">
        <v>0</v>
      </c>
      <c r="M1763" s="68" t="s">
        <v>8915</v>
      </c>
      <c r="N1763" s="68">
        <v>0</v>
      </c>
      <c r="O1763" s="68">
        <v>0</v>
      </c>
      <c r="P1763" s="198" t="s">
        <v>5733</v>
      </c>
    </row>
    <row r="1764" spans="1:16" ht="18.75" hidden="1">
      <c r="A1764" s="50" t="s">
        <v>4752</v>
      </c>
      <c r="B1764" s="50" t="s">
        <v>4868</v>
      </c>
      <c r="C1764" s="50" t="s">
        <v>4891</v>
      </c>
      <c r="D1764" s="50" t="s">
        <v>4720</v>
      </c>
      <c r="E1764" s="12" t="s">
        <v>3420</v>
      </c>
      <c r="F1764" s="49">
        <v>68920</v>
      </c>
      <c r="G1764" s="67" t="s">
        <v>5611</v>
      </c>
      <c r="H1764" s="14" t="s">
        <v>5601</v>
      </c>
      <c r="I1764" s="14" t="s">
        <v>2458</v>
      </c>
      <c r="J1764" s="33" t="s">
        <v>7110</v>
      </c>
      <c r="K1764" s="33" t="s">
        <v>4972</v>
      </c>
      <c r="L1764" s="68">
        <v>0</v>
      </c>
      <c r="M1764" s="68" t="s">
        <v>8915</v>
      </c>
      <c r="N1764" s="68">
        <v>0</v>
      </c>
      <c r="O1764" s="68">
        <v>0</v>
      </c>
      <c r="P1764" s="198" t="s">
        <v>5733</v>
      </c>
    </row>
    <row r="1765" spans="1:16" ht="18.75" hidden="1">
      <c r="A1765" s="50" t="s">
        <v>4753</v>
      </c>
      <c r="B1765" s="50" t="s">
        <v>4864</v>
      </c>
      <c r="C1765" s="50" t="s">
        <v>4892</v>
      </c>
      <c r="D1765" s="50" t="s">
        <v>4868</v>
      </c>
      <c r="E1765" s="12" t="s">
        <v>3420</v>
      </c>
      <c r="F1765" s="49">
        <v>111430</v>
      </c>
      <c r="G1765" s="67" t="s">
        <v>5611</v>
      </c>
      <c r="H1765" s="14" t="s">
        <v>5601</v>
      </c>
      <c r="I1765" s="14" t="s">
        <v>2458</v>
      </c>
      <c r="J1765" s="33" t="s">
        <v>7110</v>
      </c>
      <c r="K1765" s="33" t="s">
        <v>4972</v>
      </c>
      <c r="L1765" s="68">
        <v>0</v>
      </c>
      <c r="M1765" s="68" t="s">
        <v>8915</v>
      </c>
      <c r="N1765" s="68">
        <v>0</v>
      </c>
      <c r="O1765" s="68">
        <v>0</v>
      </c>
      <c r="P1765" s="198" t="s">
        <v>5733</v>
      </c>
    </row>
    <row r="1766" spans="1:16" ht="18.75" hidden="1">
      <c r="A1766" s="50" t="s">
        <v>4753</v>
      </c>
      <c r="B1766" s="50" t="s">
        <v>4864</v>
      </c>
      <c r="C1766" s="50" t="s">
        <v>4893</v>
      </c>
      <c r="D1766" s="50" t="s">
        <v>4707</v>
      </c>
      <c r="E1766" s="12" t="s">
        <v>3420</v>
      </c>
      <c r="F1766" s="49">
        <v>51550</v>
      </c>
      <c r="G1766" s="67" t="s">
        <v>5611</v>
      </c>
      <c r="H1766" s="14" t="s">
        <v>5601</v>
      </c>
      <c r="I1766" s="14" t="s">
        <v>2458</v>
      </c>
      <c r="J1766" s="33" t="s">
        <v>7110</v>
      </c>
      <c r="K1766" s="33" t="s">
        <v>4972</v>
      </c>
      <c r="L1766" s="68">
        <v>0</v>
      </c>
      <c r="M1766" s="68" t="s">
        <v>8915</v>
      </c>
      <c r="N1766" s="68">
        <v>0</v>
      </c>
      <c r="O1766" s="68">
        <v>0</v>
      </c>
      <c r="P1766" s="198" t="s">
        <v>5733</v>
      </c>
    </row>
    <row r="1767" spans="1:16" ht="18.75" hidden="1">
      <c r="A1767" s="50" t="s">
        <v>4754</v>
      </c>
      <c r="B1767" s="50" t="s">
        <v>4864</v>
      </c>
      <c r="C1767" s="50" t="s">
        <v>4893</v>
      </c>
      <c r="D1767" s="50" t="s">
        <v>4707</v>
      </c>
      <c r="E1767" s="12" t="s">
        <v>3420</v>
      </c>
      <c r="F1767" s="49">
        <v>10370</v>
      </c>
      <c r="G1767" s="67" t="s">
        <v>5611</v>
      </c>
      <c r="H1767" s="14" t="s">
        <v>5601</v>
      </c>
      <c r="I1767" s="14" t="s">
        <v>2458</v>
      </c>
      <c r="J1767" s="33" t="s">
        <v>7110</v>
      </c>
      <c r="K1767" s="33" t="s">
        <v>4972</v>
      </c>
      <c r="L1767" s="68">
        <v>0</v>
      </c>
      <c r="M1767" s="68" t="s">
        <v>8915</v>
      </c>
      <c r="N1767" s="68">
        <v>0</v>
      </c>
      <c r="O1767" s="68">
        <v>0</v>
      </c>
      <c r="P1767" s="198" t="s">
        <v>5733</v>
      </c>
    </row>
    <row r="1768" spans="1:16" ht="18.75" hidden="1">
      <c r="A1768" s="50" t="s">
        <v>4754</v>
      </c>
      <c r="B1768" s="50" t="s">
        <v>4864</v>
      </c>
      <c r="C1768" s="50" t="s">
        <v>4894</v>
      </c>
      <c r="D1768" s="50" t="s">
        <v>4868</v>
      </c>
      <c r="E1768" s="12" t="s">
        <v>3420</v>
      </c>
      <c r="F1768" s="49">
        <v>79730</v>
      </c>
      <c r="G1768" s="67" t="s">
        <v>5611</v>
      </c>
      <c r="H1768" s="14" t="s">
        <v>5601</v>
      </c>
      <c r="I1768" s="14" t="s">
        <v>2458</v>
      </c>
      <c r="J1768" s="33" t="s">
        <v>7110</v>
      </c>
      <c r="K1768" s="33" t="s">
        <v>4972</v>
      </c>
      <c r="L1768" s="68">
        <v>0</v>
      </c>
      <c r="M1768" s="68" t="s">
        <v>8915</v>
      </c>
      <c r="N1768" s="68">
        <v>0</v>
      </c>
      <c r="O1768" s="68">
        <v>0</v>
      </c>
      <c r="P1768" s="198" t="s">
        <v>5752</v>
      </c>
    </row>
    <row r="1769" spans="1:16" ht="18.75" hidden="1">
      <c r="A1769" s="50" t="s">
        <v>4755</v>
      </c>
      <c r="B1769" s="50" t="s">
        <v>4869</v>
      </c>
      <c r="C1769" s="50" t="s">
        <v>4892</v>
      </c>
      <c r="D1769" s="50" t="s">
        <v>4868</v>
      </c>
      <c r="E1769" s="12" t="s">
        <v>3420</v>
      </c>
      <c r="F1769" s="49">
        <v>98770</v>
      </c>
      <c r="G1769" s="67" t="s">
        <v>5611</v>
      </c>
      <c r="H1769" s="14" t="s">
        <v>5601</v>
      </c>
      <c r="I1769" s="14" t="s">
        <v>2458</v>
      </c>
      <c r="J1769" s="33" t="s">
        <v>7110</v>
      </c>
      <c r="K1769" s="33" t="s">
        <v>4972</v>
      </c>
      <c r="L1769" s="68">
        <v>0</v>
      </c>
      <c r="M1769" s="68" t="s">
        <v>8915</v>
      </c>
      <c r="N1769" s="68">
        <v>0</v>
      </c>
      <c r="O1769" s="68">
        <v>0</v>
      </c>
      <c r="P1769" s="198" t="s">
        <v>5733</v>
      </c>
    </row>
    <row r="1770" spans="1:16" ht="18.75" hidden="1">
      <c r="A1770" s="50" t="s">
        <v>4756</v>
      </c>
      <c r="B1770" s="50" t="s">
        <v>4870</v>
      </c>
      <c r="C1770" s="50" t="s">
        <v>4893</v>
      </c>
      <c r="D1770" s="50" t="s">
        <v>4707</v>
      </c>
      <c r="E1770" s="12" t="s">
        <v>3420</v>
      </c>
      <c r="F1770" s="49">
        <v>150600</v>
      </c>
      <c r="G1770" s="67" t="s">
        <v>5611</v>
      </c>
      <c r="H1770" s="14" t="s">
        <v>5601</v>
      </c>
      <c r="I1770" s="14" t="s">
        <v>2458</v>
      </c>
      <c r="J1770" s="33" t="s">
        <v>7110</v>
      </c>
      <c r="K1770" s="33" t="s">
        <v>4972</v>
      </c>
      <c r="L1770" s="68">
        <v>0</v>
      </c>
      <c r="M1770" s="68" t="s">
        <v>8915</v>
      </c>
      <c r="N1770" s="68">
        <v>0</v>
      </c>
      <c r="O1770" s="68">
        <v>0</v>
      </c>
      <c r="P1770" s="198" t="s">
        <v>5733</v>
      </c>
    </row>
    <row r="1771" spans="1:16" ht="18.75" hidden="1">
      <c r="A1771" s="50" t="s">
        <v>4757</v>
      </c>
      <c r="B1771" s="50" t="s">
        <v>4871</v>
      </c>
      <c r="C1771" s="50" t="s">
        <v>4890</v>
      </c>
      <c r="D1771" s="50" t="s">
        <v>4720</v>
      </c>
      <c r="E1771" s="12" t="s">
        <v>3420</v>
      </c>
      <c r="F1771" s="49">
        <v>117060</v>
      </c>
      <c r="G1771" s="67" t="s">
        <v>5611</v>
      </c>
      <c r="H1771" s="14" t="s">
        <v>5601</v>
      </c>
      <c r="I1771" s="14" t="s">
        <v>2458</v>
      </c>
      <c r="J1771" s="33" t="s">
        <v>7110</v>
      </c>
      <c r="K1771" s="33" t="s">
        <v>4972</v>
      </c>
      <c r="L1771" s="68">
        <v>0</v>
      </c>
      <c r="M1771" s="68" t="s">
        <v>8915</v>
      </c>
      <c r="N1771" s="68">
        <v>0</v>
      </c>
      <c r="O1771" s="68">
        <v>0</v>
      </c>
      <c r="P1771" s="198" t="s">
        <v>5733</v>
      </c>
    </row>
    <row r="1772" spans="1:16" ht="18.75" hidden="1">
      <c r="A1772" s="50" t="s">
        <v>4757</v>
      </c>
      <c r="B1772" s="50" t="s">
        <v>4871</v>
      </c>
      <c r="C1772" s="50" t="s">
        <v>4891</v>
      </c>
      <c r="D1772" s="50" t="s">
        <v>4720</v>
      </c>
      <c r="E1772" s="12" t="s">
        <v>3420</v>
      </c>
      <c r="F1772" s="49">
        <v>181120</v>
      </c>
      <c r="G1772" s="67" t="s">
        <v>5611</v>
      </c>
      <c r="H1772" s="14" t="s">
        <v>5601</v>
      </c>
      <c r="I1772" s="14" t="s">
        <v>2458</v>
      </c>
      <c r="J1772" s="33" t="s">
        <v>7110</v>
      </c>
      <c r="K1772" s="33" t="s">
        <v>4972</v>
      </c>
      <c r="L1772" s="68">
        <v>0</v>
      </c>
      <c r="M1772" s="68" t="s">
        <v>8915</v>
      </c>
      <c r="N1772" s="68">
        <v>0</v>
      </c>
      <c r="O1772" s="68">
        <v>0</v>
      </c>
      <c r="P1772" s="198" t="s">
        <v>5733</v>
      </c>
    </row>
    <row r="1773" spans="1:16" ht="18.75" hidden="1">
      <c r="A1773" s="50" t="s">
        <v>4750</v>
      </c>
      <c r="B1773" s="50" t="s">
        <v>4719</v>
      </c>
      <c r="C1773" s="50" t="s">
        <v>4286</v>
      </c>
      <c r="D1773" s="50" t="s">
        <v>3714</v>
      </c>
      <c r="E1773" s="12" t="s">
        <v>3420</v>
      </c>
      <c r="F1773" s="49">
        <v>650</v>
      </c>
      <c r="G1773" s="67" t="s">
        <v>5611</v>
      </c>
      <c r="H1773" s="14" t="s">
        <v>5601</v>
      </c>
      <c r="I1773" s="14" t="s">
        <v>2458</v>
      </c>
      <c r="J1773" s="33" t="s">
        <v>7110</v>
      </c>
      <c r="K1773" s="33" t="s">
        <v>4972</v>
      </c>
      <c r="L1773" s="68">
        <v>0</v>
      </c>
      <c r="M1773" s="68" t="s">
        <v>8915</v>
      </c>
      <c r="N1773" s="68">
        <v>0</v>
      </c>
      <c r="O1773" s="68">
        <v>0</v>
      </c>
      <c r="P1773" s="198" t="s">
        <v>5659</v>
      </c>
    </row>
    <row r="1774" spans="1:16" ht="18.75" hidden="1">
      <c r="A1774" s="50" t="s">
        <v>4758</v>
      </c>
      <c r="B1774" s="50" t="s">
        <v>4866</v>
      </c>
      <c r="C1774" s="50" t="s">
        <v>4895</v>
      </c>
      <c r="D1774" s="50" t="s">
        <v>4720</v>
      </c>
      <c r="E1774" s="12" t="s">
        <v>3420</v>
      </c>
      <c r="F1774" s="49">
        <v>992030</v>
      </c>
      <c r="G1774" s="67" t="s">
        <v>5616</v>
      </c>
      <c r="H1774" s="14" t="s">
        <v>5601</v>
      </c>
      <c r="I1774" s="14" t="s">
        <v>2458</v>
      </c>
      <c r="J1774" s="33" t="s">
        <v>7110</v>
      </c>
      <c r="K1774" s="33" t="s">
        <v>4972</v>
      </c>
      <c r="L1774" s="68">
        <v>0</v>
      </c>
      <c r="M1774" s="68" t="s">
        <v>8915</v>
      </c>
      <c r="N1774" s="68">
        <v>0</v>
      </c>
      <c r="O1774" s="68">
        <v>0</v>
      </c>
      <c r="P1774" s="198" t="s">
        <v>5753</v>
      </c>
    </row>
    <row r="1775" spans="1:16" ht="18.75" hidden="1">
      <c r="A1775" s="50" t="s">
        <v>4759</v>
      </c>
      <c r="B1775" s="50" t="s">
        <v>4866</v>
      </c>
      <c r="C1775" s="50" t="s">
        <v>4896</v>
      </c>
      <c r="D1775" s="50" t="s">
        <v>4183</v>
      </c>
      <c r="E1775" s="12" t="s">
        <v>3420</v>
      </c>
      <c r="F1775" s="49">
        <v>1168000</v>
      </c>
      <c r="G1775" s="67" t="s">
        <v>5652</v>
      </c>
      <c r="H1775" s="14" t="s">
        <v>5601</v>
      </c>
      <c r="I1775" s="14" t="s">
        <v>2458</v>
      </c>
      <c r="J1775" s="33" t="s">
        <v>7110</v>
      </c>
      <c r="K1775" s="33" t="s">
        <v>4972</v>
      </c>
      <c r="L1775" s="68">
        <v>0</v>
      </c>
      <c r="M1775" s="68" t="s">
        <v>8915</v>
      </c>
      <c r="N1775" s="68">
        <v>0</v>
      </c>
      <c r="O1775" s="68">
        <v>0</v>
      </c>
      <c r="P1775" s="198" t="s">
        <v>5724</v>
      </c>
    </row>
    <row r="1776" spans="1:16" ht="18.75" hidden="1">
      <c r="A1776" s="50" t="s">
        <v>4760</v>
      </c>
      <c r="B1776" s="50" t="s">
        <v>4868</v>
      </c>
      <c r="C1776" s="50" t="s">
        <v>4721</v>
      </c>
      <c r="D1776" s="50" t="s">
        <v>4178</v>
      </c>
      <c r="E1776" s="12" t="s">
        <v>3420</v>
      </c>
      <c r="F1776" s="49">
        <v>7400</v>
      </c>
      <c r="G1776" s="67" t="s">
        <v>5607</v>
      </c>
      <c r="H1776" s="14" t="s">
        <v>5601</v>
      </c>
      <c r="I1776" s="14" t="s">
        <v>2458</v>
      </c>
      <c r="J1776" s="33" t="s">
        <v>7110</v>
      </c>
      <c r="K1776" s="33" t="s">
        <v>4972</v>
      </c>
      <c r="L1776" s="68">
        <v>0</v>
      </c>
      <c r="M1776" s="68" t="s">
        <v>8915</v>
      </c>
      <c r="N1776" s="68">
        <v>0</v>
      </c>
      <c r="O1776" s="68">
        <v>0</v>
      </c>
      <c r="P1776" s="198" t="s">
        <v>5690</v>
      </c>
    </row>
    <row r="1777" spans="1:16" ht="18.75" hidden="1">
      <c r="A1777" s="50" t="s">
        <v>4761</v>
      </c>
      <c r="B1777" s="50" t="s">
        <v>4866</v>
      </c>
      <c r="C1777" s="50" t="s">
        <v>4897</v>
      </c>
      <c r="D1777" s="50" t="s">
        <v>4875</v>
      </c>
      <c r="E1777" s="12" t="s">
        <v>3420</v>
      </c>
      <c r="F1777" s="49">
        <v>1960747</v>
      </c>
      <c r="G1777" s="67" t="s">
        <v>5611</v>
      </c>
      <c r="H1777" s="14" t="s">
        <v>5602</v>
      </c>
      <c r="I1777" s="14" t="s">
        <v>2458</v>
      </c>
      <c r="J1777" s="33" t="s">
        <v>7110</v>
      </c>
      <c r="K1777" s="33" t="s">
        <v>4972</v>
      </c>
      <c r="L1777" s="68">
        <v>0</v>
      </c>
      <c r="M1777" s="68" t="s">
        <v>8915</v>
      </c>
      <c r="N1777" s="68">
        <v>0</v>
      </c>
      <c r="O1777" s="68">
        <v>0</v>
      </c>
      <c r="P1777" s="198" t="s">
        <v>5733</v>
      </c>
    </row>
    <row r="1778" spans="1:16" ht="18.75" hidden="1">
      <c r="A1778" s="50" t="s">
        <v>4762</v>
      </c>
      <c r="B1778" s="50" t="s">
        <v>4707</v>
      </c>
      <c r="C1778" s="50" t="s">
        <v>4898</v>
      </c>
      <c r="D1778" s="50" t="s">
        <v>4660</v>
      </c>
      <c r="E1778" s="12" t="s">
        <v>3420</v>
      </c>
      <c r="F1778" s="49">
        <v>546700</v>
      </c>
      <c r="G1778" s="67" t="s">
        <v>5616</v>
      </c>
      <c r="H1778" s="14" t="s">
        <v>5601</v>
      </c>
      <c r="I1778" s="14" t="s">
        <v>2458</v>
      </c>
      <c r="J1778" s="33" t="s">
        <v>7110</v>
      </c>
      <c r="K1778" s="33" t="s">
        <v>4972</v>
      </c>
      <c r="L1778" s="68">
        <v>0</v>
      </c>
      <c r="M1778" s="68" t="s">
        <v>8915</v>
      </c>
      <c r="N1778" s="68">
        <v>0</v>
      </c>
      <c r="O1778" s="68">
        <v>0</v>
      </c>
      <c r="P1778" s="198" t="s">
        <v>5753</v>
      </c>
    </row>
    <row r="1779" spans="1:16" ht="18.75" hidden="1">
      <c r="A1779" s="50" t="s">
        <v>4760</v>
      </c>
      <c r="B1779" s="50" t="s">
        <v>4868</v>
      </c>
      <c r="C1779" s="50" t="s">
        <v>4899</v>
      </c>
      <c r="D1779" s="50" t="s">
        <v>4178</v>
      </c>
      <c r="E1779" s="12" t="s">
        <v>3420</v>
      </c>
      <c r="F1779" s="49">
        <v>1000000</v>
      </c>
      <c r="G1779" s="67" t="s">
        <v>5607</v>
      </c>
      <c r="H1779" s="14" t="s">
        <v>5601</v>
      </c>
      <c r="I1779" s="14" t="s">
        <v>2458</v>
      </c>
      <c r="J1779" s="33" t="s">
        <v>7110</v>
      </c>
      <c r="K1779" s="33" t="s">
        <v>4972</v>
      </c>
      <c r="L1779" s="68">
        <v>0</v>
      </c>
      <c r="M1779" s="68" t="s">
        <v>8915</v>
      </c>
      <c r="N1779" s="68">
        <v>0</v>
      </c>
      <c r="O1779" s="68">
        <v>0</v>
      </c>
      <c r="P1779" s="198" t="s">
        <v>5690</v>
      </c>
    </row>
    <row r="1780" spans="1:16" ht="18.75" hidden="1">
      <c r="A1780" s="50" t="s">
        <v>4763</v>
      </c>
      <c r="B1780" s="50" t="s">
        <v>4868</v>
      </c>
      <c r="C1780" s="50" t="s">
        <v>4900</v>
      </c>
      <c r="D1780" s="50" t="s">
        <v>4183</v>
      </c>
      <c r="E1780" s="12" t="s">
        <v>3420</v>
      </c>
      <c r="F1780" s="49">
        <v>357296</v>
      </c>
      <c r="G1780" s="67" t="s">
        <v>5702</v>
      </c>
      <c r="H1780" s="14" t="s">
        <v>5601</v>
      </c>
      <c r="I1780" s="14" t="s">
        <v>2458</v>
      </c>
      <c r="J1780" s="33" t="s">
        <v>7110</v>
      </c>
      <c r="K1780" s="33" t="s">
        <v>4972</v>
      </c>
      <c r="L1780" s="68">
        <v>0</v>
      </c>
      <c r="M1780" s="68" t="s">
        <v>8915</v>
      </c>
      <c r="N1780" s="68">
        <v>0</v>
      </c>
      <c r="O1780" s="68">
        <v>0</v>
      </c>
      <c r="P1780" s="198" t="s">
        <v>5719</v>
      </c>
    </row>
    <row r="1781" spans="1:16" ht="18.75" hidden="1">
      <c r="A1781" s="50" t="s">
        <v>4764</v>
      </c>
      <c r="B1781" s="50" t="s">
        <v>4865</v>
      </c>
      <c r="C1781" s="50" t="s">
        <v>4728</v>
      </c>
      <c r="D1781" s="50" t="s">
        <v>4177</v>
      </c>
      <c r="E1781" s="12" t="s">
        <v>3420</v>
      </c>
      <c r="F1781" s="49">
        <v>1035100</v>
      </c>
      <c r="G1781" s="67" t="s">
        <v>5607</v>
      </c>
      <c r="H1781" s="14" t="s">
        <v>5601</v>
      </c>
      <c r="I1781" s="14" t="s">
        <v>2458</v>
      </c>
      <c r="J1781" s="33" t="s">
        <v>7110</v>
      </c>
      <c r="K1781" s="33" t="s">
        <v>4972</v>
      </c>
      <c r="L1781" s="68">
        <v>0</v>
      </c>
      <c r="M1781" s="68" t="s">
        <v>8915</v>
      </c>
      <c r="N1781" s="68">
        <v>0</v>
      </c>
      <c r="O1781" s="68">
        <v>0</v>
      </c>
      <c r="P1781" s="198" t="s">
        <v>5690</v>
      </c>
    </row>
    <row r="1782" spans="1:16" ht="18.75" hidden="1">
      <c r="A1782" s="50" t="s">
        <v>4765</v>
      </c>
      <c r="B1782" s="50" t="s">
        <v>4870</v>
      </c>
      <c r="C1782" s="50" t="s">
        <v>4901</v>
      </c>
      <c r="D1782" s="50" t="s">
        <v>4871</v>
      </c>
      <c r="E1782" s="12" t="s">
        <v>3420</v>
      </c>
      <c r="F1782" s="49">
        <v>490491</v>
      </c>
      <c r="G1782" s="67" t="s">
        <v>5631</v>
      </c>
      <c r="H1782" s="14" t="s">
        <v>5601</v>
      </c>
      <c r="I1782" s="14" t="s">
        <v>2458</v>
      </c>
      <c r="J1782" s="33" t="s">
        <v>7110</v>
      </c>
      <c r="K1782" s="33" t="s">
        <v>4972</v>
      </c>
      <c r="L1782" s="68">
        <v>0</v>
      </c>
      <c r="M1782" s="68" t="s">
        <v>8915</v>
      </c>
      <c r="N1782" s="68">
        <v>0</v>
      </c>
      <c r="O1782" s="68">
        <v>0</v>
      </c>
      <c r="P1782" s="197" t="s">
        <v>5748</v>
      </c>
    </row>
    <row r="1783" spans="1:16" ht="18.75" hidden="1">
      <c r="A1783" s="50" t="s">
        <v>4766</v>
      </c>
      <c r="B1783" s="50" t="s">
        <v>4870</v>
      </c>
      <c r="C1783" s="50" t="s">
        <v>4902</v>
      </c>
      <c r="D1783" s="50" t="s">
        <v>4500</v>
      </c>
      <c r="E1783" s="12" t="s">
        <v>3420</v>
      </c>
      <c r="F1783" s="49">
        <v>93763</v>
      </c>
      <c r="G1783" s="67" t="s">
        <v>5611</v>
      </c>
      <c r="H1783" s="14" t="s">
        <v>5601</v>
      </c>
      <c r="I1783" s="14" t="s">
        <v>2458</v>
      </c>
      <c r="J1783" s="33" t="s">
        <v>7110</v>
      </c>
      <c r="K1783" s="33" t="s">
        <v>4972</v>
      </c>
      <c r="L1783" s="68">
        <v>0</v>
      </c>
      <c r="M1783" s="68" t="s">
        <v>8915</v>
      </c>
      <c r="N1783" s="68">
        <v>0</v>
      </c>
      <c r="O1783" s="68">
        <v>0</v>
      </c>
      <c r="P1783" s="198" t="s">
        <v>5726</v>
      </c>
    </row>
    <row r="1784" spans="1:16" ht="18.75" hidden="1">
      <c r="A1784" s="50" t="s">
        <v>4767</v>
      </c>
      <c r="B1784" s="50" t="s">
        <v>4866</v>
      </c>
      <c r="C1784" s="50" t="s">
        <v>4903</v>
      </c>
      <c r="D1784" s="50" t="s">
        <v>4182</v>
      </c>
      <c r="E1784" s="12" t="s">
        <v>3420</v>
      </c>
      <c r="F1784" s="49">
        <v>94380</v>
      </c>
      <c r="G1784" s="67" t="s">
        <v>5609</v>
      </c>
      <c r="H1784" s="14" t="s">
        <v>5601</v>
      </c>
      <c r="I1784" s="14" t="s">
        <v>2458</v>
      </c>
      <c r="J1784" s="33" t="s">
        <v>7110</v>
      </c>
      <c r="K1784" s="33" t="s">
        <v>4972</v>
      </c>
      <c r="L1784" s="68">
        <v>0</v>
      </c>
      <c r="M1784" s="68" t="s">
        <v>8915</v>
      </c>
      <c r="N1784" s="68">
        <v>0</v>
      </c>
      <c r="O1784" s="68">
        <v>0</v>
      </c>
      <c r="P1784" s="198" t="s">
        <v>5711</v>
      </c>
    </row>
    <row r="1785" spans="1:16" ht="18.75" hidden="1">
      <c r="A1785" s="50" t="s">
        <v>4768</v>
      </c>
      <c r="B1785" s="50" t="s">
        <v>4866</v>
      </c>
      <c r="C1785" s="50" t="s">
        <v>4903</v>
      </c>
      <c r="D1785" s="50" t="s">
        <v>4182</v>
      </c>
      <c r="E1785" s="12" t="s">
        <v>3420</v>
      </c>
      <c r="F1785" s="49">
        <v>398400</v>
      </c>
      <c r="G1785" s="67" t="s">
        <v>5609</v>
      </c>
      <c r="H1785" s="14" t="s">
        <v>5601</v>
      </c>
      <c r="I1785" s="14" t="s">
        <v>2458</v>
      </c>
      <c r="J1785" s="33" t="s">
        <v>7110</v>
      </c>
      <c r="K1785" s="33" t="s">
        <v>4972</v>
      </c>
      <c r="L1785" s="68">
        <v>0</v>
      </c>
      <c r="M1785" s="68" t="s">
        <v>8915</v>
      </c>
      <c r="N1785" s="68">
        <v>0</v>
      </c>
      <c r="O1785" s="68">
        <v>0</v>
      </c>
      <c r="P1785" s="198" t="s">
        <v>5711</v>
      </c>
    </row>
    <row r="1786" spans="1:16" ht="18.75" hidden="1">
      <c r="A1786" s="50" t="s">
        <v>4769</v>
      </c>
      <c r="B1786" s="50" t="s">
        <v>4871</v>
      </c>
      <c r="C1786" s="50" t="s">
        <v>4904</v>
      </c>
      <c r="D1786" s="50" t="s">
        <v>4657</v>
      </c>
      <c r="E1786" s="12" t="s">
        <v>3420</v>
      </c>
      <c r="F1786" s="49">
        <v>1000000</v>
      </c>
      <c r="G1786" s="67" t="s">
        <v>5604</v>
      </c>
      <c r="H1786" s="14" t="s">
        <v>5601</v>
      </c>
      <c r="I1786" s="14" t="s">
        <v>2458</v>
      </c>
      <c r="J1786" s="33" t="e">
        <f>VLOOKUP(C1786,شرکتها!A:B,2,FALSE)</f>
        <v>#N/A</v>
      </c>
      <c r="K1786" s="33" t="s">
        <v>4972</v>
      </c>
      <c r="L1786" s="68">
        <v>0</v>
      </c>
      <c r="M1786" s="68" t="s">
        <v>8915</v>
      </c>
      <c r="N1786" s="68">
        <v>0</v>
      </c>
      <c r="O1786" s="68">
        <v>0</v>
      </c>
      <c r="P1786" s="198" t="s">
        <v>5710</v>
      </c>
    </row>
    <row r="1787" spans="1:16" ht="18.75" hidden="1">
      <c r="A1787" s="50" t="s">
        <v>4769</v>
      </c>
      <c r="B1787" s="50" t="s">
        <v>4871</v>
      </c>
      <c r="C1787" s="50" t="s">
        <v>4695</v>
      </c>
      <c r="D1787" s="50" t="s">
        <v>4657</v>
      </c>
      <c r="E1787" s="12" t="s">
        <v>3420</v>
      </c>
      <c r="F1787" s="49">
        <v>5043</v>
      </c>
      <c r="G1787" s="67" t="s">
        <v>5604</v>
      </c>
      <c r="H1787" s="14" t="s">
        <v>5601</v>
      </c>
      <c r="I1787" s="14" t="s">
        <v>2458</v>
      </c>
      <c r="J1787" s="33" t="e">
        <f>VLOOKUP(C1787,شرکتها!A:B,2,FALSE)</f>
        <v>#N/A</v>
      </c>
      <c r="K1787" s="33" t="s">
        <v>4972</v>
      </c>
      <c r="L1787" s="68">
        <v>0</v>
      </c>
      <c r="M1787" s="68" t="s">
        <v>8915</v>
      </c>
      <c r="N1787" s="68">
        <v>0</v>
      </c>
      <c r="O1787" s="68">
        <v>0</v>
      </c>
      <c r="P1787" s="198" t="s">
        <v>5710</v>
      </c>
    </row>
    <row r="1788" spans="1:16" ht="18.75" hidden="1">
      <c r="A1788" s="50" t="s">
        <v>4770</v>
      </c>
      <c r="B1788" s="50" t="s">
        <v>4871</v>
      </c>
      <c r="C1788" s="50" t="s">
        <v>4905</v>
      </c>
      <c r="D1788" s="50" t="s">
        <v>4865</v>
      </c>
      <c r="E1788" s="12" t="s">
        <v>3420</v>
      </c>
      <c r="F1788" s="49">
        <v>992301</v>
      </c>
      <c r="G1788" s="67" t="s">
        <v>5604</v>
      </c>
      <c r="H1788" s="14" t="s">
        <v>5602</v>
      </c>
      <c r="I1788" s="14" t="s">
        <v>2458</v>
      </c>
      <c r="J1788" s="33" t="s">
        <v>7110</v>
      </c>
      <c r="K1788" s="33" t="s">
        <v>4972</v>
      </c>
      <c r="L1788" s="68">
        <v>0</v>
      </c>
      <c r="M1788" s="68" t="s">
        <v>8915</v>
      </c>
      <c r="N1788" s="68">
        <v>0</v>
      </c>
      <c r="O1788" s="68">
        <v>0</v>
      </c>
      <c r="P1788" s="198" t="s">
        <v>5749</v>
      </c>
    </row>
    <row r="1789" spans="1:16" ht="18.75" hidden="1">
      <c r="A1789" s="50" t="s">
        <v>4771</v>
      </c>
      <c r="B1789" s="50" t="s">
        <v>4869</v>
      </c>
      <c r="C1789" s="50" t="s">
        <v>4906</v>
      </c>
      <c r="D1789" s="50" t="s">
        <v>4183</v>
      </c>
      <c r="E1789" s="12" t="s">
        <v>3420</v>
      </c>
      <c r="F1789" s="49">
        <v>17465</v>
      </c>
      <c r="G1789" s="67" t="s">
        <v>5652</v>
      </c>
      <c r="H1789" s="14" t="s">
        <v>5601</v>
      </c>
      <c r="I1789" s="14" t="s">
        <v>2458</v>
      </c>
      <c r="J1789" s="33" t="s">
        <v>7110</v>
      </c>
      <c r="K1789" s="33" t="s">
        <v>4972</v>
      </c>
      <c r="L1789" s="68">
        <v>0</v>
      </c>
      <c r="M1789" s="68" t="s">
        <v>8915</v>
      </c>
      <c r="N1789" s="68">
        <v>0</v>
      </c>
      <c r="O1789" s="68">
        <v>0</v>
      </c>
      <c r="P1789" s="198" t="s">
        <v>5724</v>
      </c>
    </row>
    <row r="1790" spans="1:16" ht="18.75" hidden="1">
      <c r="A1790" s="50" t="s">
        <v>4772</v>
      </c>
      <c r="B1790" s="50" t="s">
        <v>4871</v>
      </c>
      <c r="C1790" s="50" t="s">
        <v>4907</v>
      </c>
      <c r="D1790" s="50" t="s">
        <v>4871</v>
      </c>
      <c r="E1790" s="12" t="s">
        <v>3420</v>
      </c>
      <c r="F1790" s="49">
        <v>1060507</v>
      </c>
      <c r="G1790" s="67" t="s">
        <v>5604</v>
      </c>
      <c r="H1790" s="14" t="s">
        <v>5601</v>
      </c>
      <c r="I1790" s="14" t="s">
        <v>2458</v>
      </c>
      <c r="J1790" s="33" t="s">
        <v>7110</v>
      </c>
      <c r="K1790" s="33" t="s">
        <v>4972</v>
      </c>
      <c r="L1790" s="68">
        <v>0</v>
      </c>
      <c r="M1790" s="68" t="s">
        <v>8915</v>
      </c>
      <c r="N1790" s="68">
        <v>0</v>
      </c>
      <c r="O1790" s="68">
        <v>0</v>
      </c>
      <c r="P1790" s="198" t="s">
        <v>5749</v>
      </c>
    </row>
    <row r="1791" spans="1:16" ht="18.75" hidden="1">
      <c r="A1791" s="50" t="s">
        <v>4773</v>
      </c>
      <c r="B1791" s="50" t="s">
        <v>4866</v>
      </c>
      <c r="C1791" s="50" t="s">
        <v>4737</v>
      </c>
      <c r="D1791" s="50" t="s">
        <v>4719</v>
      </c>
      <c r="E1791" s="12" t="s">
        <v>3420</v>
      </c>
      <c r="F1791" s="49">
        <v>591638</v>
      </c>
      <c r="G1791" s="67" t="s">
        <v>5754</v>
      </c>
      <c r="H1791" s="14" t="s">
        <v>5601</v>
      </c>
      <c r="I1791" s="14" t="s">
        <v>2458</v>
      </c>
      <c r="J1791" s="33" t="s">
        <v>7110</v>
      </c>
      <c r="K1791" s="33" t="s">
        <v>4972</v>
      </c>
      <c r="L1791" s="68">
        <v>0</v>
      </c>
      <c r="M1791" s="68" t="s">
        <v>8915</v>
      </c>
      <c r="N1791" s="68">
        <v>0</v>
      </c>
      <c r="O1791" s="68">
        <v>0</v>
      </c>
      <c r="P1791" s="198" t="s">
        <v>5755</v>
      </c>
    </row>
    <row r="1792" spans="1:16" ht="18.75" hidden="1">
      <c r="A1792" s="50" t="s">
        <v>4774</v>
      </c>
      <c r="B1792" s="50" t="s">
        <v>4866</v>
      </c>
      <c r="C1792" s="50" t="s">
        <v>4736</v>
      </c>
      <c r="D1792" s="50" t="s">
        <v>4719</v>
      </c>
      <c r="E1792" s="12" t="s">
        <v>3420</v>
      </c>
      <c r="F1792" s="49">
        <v>493075</v>
      </c>
      <c r="G1792" s="67" t="s">
        <v>5754</v>
      </c>
      <c r="H1792" s="14" t="s">
        <v>5601</v>
      </c>
      <c r="I1792" s="14" t="s">
        <v>2458</v>
      </c>
      <c r="J1792" s="33" t="s">
        <v>7110</v>
      </c>
      <c r="K1792" s="33" t="s">
        <v>4972</v>
      </c>
      <c r="L1792" s="68">
        <v>0</v>
      </c>
      <c r="M1792" s="68" t="s">
        <v>8915</v>
      </c>
      <c r="N1792" s="68">
        <v>0</v>
      </c>
      <c r="O1792" s="68">
        <v>0</v>
      </c>
      <c r="P1792" s="198" t="s">
        <v>5755</v>
      </c>
    </row>
    <row r="1793" spans="1:16" ht="18.75" hidden="1">
      <c r="A1793" s="50" t="s">
        <v>4771</v>
      </c>
      <c r="B1793" s="50" t="s">
        <v>4869</v>
      </c>
      <c r="C1793" s="50" t="s">
        <v>4459</v>
      </c>
      <c r="D1793" s="50" t="s">
        <v>3966</v>
      </c>
      <c r="E1793" s="12" t="s">
        <v>3420</v>
      </c>
      <c r="F1793" s="49">
        <v>478425</v>
      </c>
      <c r="G1793" s="67" t="s">
        <v>5652</v>
      </c>
      <c r="H1793" s="14" t="s">
        <v>5601</v>
      </c>
      <c r="I1793" s="14" t="s">
        <v>2458</v>
      </c>
      <c r="J1793" s="33" t="s">
        <v>7110</v>
      </c>
      <c r="K1793" s="33" t="s">
        <v>4972</v>
      </c>
      <c r="L1793" s="68">
        <v>0</v>
      </c>
      <c r="M1793" s="68" t="s">
        <v>8915</v>
      </c>
      <c r="N1793" s="68">
        <v>0</v>
      </c>
      <c r="O1793" s="68">
        <v>0</v>
      </c>
      <c r="P1793" s="198" t="s">
        <v>5653</v>
      </c>
    </row>
    <row r="1794" spans="1:16" ht="18.75" hidden="1">
      <c r="A1794" s="50" t="s">
        <v>4775</v>
      </c>
      <c r="B1794" s="50" t="s">
        <v>4707</v>
      </c>
      <c r="C1794" s="50" t="s">
        <v>4727</v>
      </c>
      <c r="D1794" s="50" t="s">
        <v>4660</v>
      </c>
      <c r="E1794" s="12" t="s">
        <v>3420</v>
      </c>
      <c r="F1794" s="49">
        <v>449075</v>
      </c>
      <c r="G1794" s="67" t="s">
        <v>5616</v>
      </c>
      <c r="H1794" s="14" t="s">
        <v>5601</v>
      </c>
      <c r="I1794" s="14" t="s">
        <v>2458</v>
      </c>
      <c r="J1794" s="33" t="s">
        <v>7110</v>
      </c>
      <c r="K1794" s="33" t="s">
        <v>4972</v>
      </c>
      <c r="L1794" s="68">
        <v>0</v>
      </c>
      <c r="M1794" s="68" t="s">
        <v>8915</v>
      </c>
      <c r="N1794" s="68">
        <v>0</v>
      </c>
      <c r="O1794" s="68">
        <v>0</v>
      </c>
      <c r="P1794" s="198" t="s">
        <v>5753</v>
      </c>
    </row>
    <row r="1795" spans="1:16" ht="18.75" hidden="1">
      <c r="A1795" s="50" t="s">
        <v>4776</v>
      </c>
      <c r="B1795" s="50" t="s">
        <v>4866</v>
      </c>
      <c r="C1795" s="50" t="s">
        <v>4908</v>
      </c>
      <c r="D1795" s="50" t="s">
        <v>4869</v>
      </c>
      <c r="E1795" s="12" t="s">
        <v>3420</v>
      </c>
      <c r="F1795" s="49">
        <v>858186</v>
      </c>
      <c r="G1795" s="67" t="s">
        <v>5631</v>
      </c>
      <c r="H1795" s="14" t="s">
        <v>5601</v>
      </c>
      <c r="I1795" s="14" t="s">
        <v>2458</v>
      </c>
      <c r="J1795" s="33" t="s">
        <v>7110</v>
      </c>
      <c r="K1795" s="33" t="s">
        <v>4972</v>
      </c>
      <c r="L1795" s="68">
        <v>0</v>
      </c>
      <c r="M1795" s="68" t="s">
        <v>8915</v>
      </c>
      <c r="N1795" s="68">
        <v>0</v>
      </c>
      <c r="O1795" s="68">
        <v>0</v>
      </c>
      <c r="P1795" s="197" t="s">
        <v>5748</v>
      </c>
    </row>
    <row r="1796" spans="1:16" ht="18.75" hidden="1">
      <c r="A1796" s="50" t="s">
        <v>4776</v>
      </c>
      <c r="B1796" s="50" t="s">
        <v>4866</v>
      </c>
      <c r="C1796" s="50" t="s">
        <v>4909</v>
      </c>
      <c r="D1796" s="50" t="s">
        <v>4870</v>
      </c>
      <c r="E1796" s="12" t="s">
        <v>3420</v>
      </c>
      <c r="F1796" s="49">
        <v>63500</v>
      </c>
      <c r="G1796" s="67" t="s">
        <v>5631</v>
      </c>
      <c r="H1796" s="14" t="s">
        <v>5601</v>
      </c>
      <c r="I1796" s="14" t="s">
        <v>2458</v>
      </c>
      <c r="J1796" s="33" t="s">
        <v>7110</v>
      </c>
      <c r="K1796" s="33" t="s">
        <v>4972</v>
      </c>
      <c r="L1796" s="68">
        <v>0</v>
      </c>
      <c r="M1796" s="68" t="s">
        <v>8915</v>
      </c>
      <c r="N1796" s="68">
        <v>0</v>
      </c>
      <c r="O1796" s="68">
        <v>0</v>
      </c>
      <c r="P1796" s="197" t="s">
        <v>5748</v>
      </c>
    </row>
    <row r="1797" spans="1:16" ht="18.75" hidden="1">
      <c r="A1797" s="50" t="s">
        <v>4777</v>
      </c>
      <c r="B1797" s="50" t="s">
        <v>4866</v>
      </c>
      <c r="C1797" s="50" t="s">
        <v>4910</v>
      </c>
      <c r="D1797" s="50" t="s">
        <v>4867</v>
      </c>
      <c r="E1797" s="12" t="s">
        <v>3420</v>
      </c>
      <c r="F1797" s="49">
        <v>500000</v>
      </c>
      <c r="G1797" s="67" t="s">
        <v>5631</v>
      </c>
      <c r="H1797" s="14" t="s">
        <v>5601</v>
      </c>
      <c r="I1797" s="14" t="s">
        <v>2458</v>
      </c>
      <c r="J1797" s="33" t="s">
        <v>7110</v>
      </c>
      <c r="K1797" s="33" t="s">
        <v>4972</v>
      </c>
      <c r="L1797" s="68">
        <v>0</v>
      </c>
      <c r="M1797" s="68" t="s">
        <v>8915</v>
      </c>
      <c r="N1797" s="68">
        <v>0</v>
      </c>
      <c r="O1797" s="68">
        <v>0</v>
      </c>
      <c r="P1797" s="197" t="s">
        <v>5748</v>
      </c>
    </row>
    <row r="1798" spans="1:16" ht="18.75" hidden="1">
      <c r="A1798" s="50" t="s">
        <v>4777</v>
      </c>
      <c r="B1798" s="50" t="s">
        <v>4866</v>
      </c>
      <c r="C1798" s="50" t="s">
        <v>4901</v>
      </c>
      <c r="D1798" s="50" t="s">
        <v>4871</v>
      </c>
      <c r="E1798" s="12" t="s">
        <v>3420</v>
      </c>
      <c r="F1798" s="49">
        <v>6336</v>
      </c>
      <c r="G1798" s="67" t="s">
        <v>5631</v>
      </c>
      <c r="H1798" s="14" t="s">
        <v>5601</v>
      </c>
      <c r="I1798" s="14" t="s">
        <v>2458</v>
      </c>
      <c r="J1798" s="33" t="s">
        <v>7110</v>
      </c>
      <c r="K1798" s="33" t="s">
        <v>4972</v>
      </c>
      <c r="L1798" s="68">
        <v>0</v>
      </c>
      <c r="M1798" s="68" t="s">
        <v>8915</v>
      </c>
      <c r="N1798" s="68">
        <v>0</v>
      </c>
      <c r="O1798" s="68">
        <v>0</v>
      </c>
      <c r="P1798" s="197" t="s">
        <v>5748</v>
      </c>
    </row>
    <row r="1799" spans="1:16" ht="18.75" hidden="1">
      <c r="A1799" s="50" t="s">
        <v>4778</v>
      </c>
      <c r="B1799" s="50" t="s">
        <v>4869</v>
      </c>
      <c r="C1799" s="50" t="s">
        <v>4911</v>
      </c>
      <c r="D1799" s="50" t="s">
        <v>4571</v>
      </c>
      <c r="E1799" s="12" t="s">
        <v>3420</v>
      </c>
      <c r="F1799" s="49">
        <v>290643</v>
      </c>
      <c r="G1799" s="67" t="s">
        <v>5611</v>
      </c>
      <c r="H1799" s="14" t="s">
        <v>5601</v>
      </c>
      <c r="I1799" s="14" t="s">
        <v>2458</v>
      </c>
      <c r="J1799" s="33" t="s">
        <v>7110</v>
      </c>
      <c r="K1799" s="33" t="s">
        <v>4972</v>
      </c>
      <c r="L1799" s="68">
        <v>0</v>
      </c>
      <c r="M1799" s="68" t="s">
        <v>8915</v>
      </c>
      <c r="N1799" s="68">
        <v>0</v>
      </c>
      <c r="O1799" s="68">
        <v>0</v>
      </c>
      <c r="P1799" s="198" t="s">
        <v>5733</v>
      </c>
    </row>
    <row r="1800" spans="1:16" ht="18.75" hidden="1">
      <c r="A1800" s="50" t="s">
        <v>4779</v>
      </c>
      <c r="B1800" s="50" t="s">
        <v>4866</v>
      </c>
      <c r="C1800" s="50" t="s">
        <v>4734</v>
      </c>
      <c r="D1800" s="50" t="s">
        <v>4719</v>
      </c>
      <c r="E1800" s="12" t="s">
        <v>3420</v>
      </c>
      <c r="F1800" s="49">
        <v>493075</v>
      </c>
      <c r="G1800" s="67" t="s">
        <v>5754</v>
      </c>
      <c r="H1800" s="14" t="s">
        <v>5601</v>
      </c>
      <c r="I1800" s="14" t="s">
        <v>2458</v>
      </c>
      <c r="J1800" s="33" t="s">
        <v>7110</v>
      </c>
      <c r="K1800" s="33" t="s">
        <v>4972</v>
      </c>
      <c r="L1800" s="68">
        <v>0</v>
      </c>
      <c r="M1800" s="68" t="s">
        <v>8915</v>
      </c>
      <c r="N1800" s="68">
        <v>0</v>
      </c>
      <c r="O1800" s="68">
        <v>0</v>
      </c>
      <c r="P1800" s="198" t="s">
        <v>5755</v>
      </c>
    </row>
    <row r="1801" spans="1:16" ht="18.75" hidden="1">
      <c r="A1801" s="50" t="s">
        <v>4780</v>
      </c>
      <c r="B1801" s="50" t="s">
        <v>4866</v>
      </c>
      <c r="C1801" s="50" t="s">
        <v>4912</v>
      </c>
      <c r="D1801" s="50" t="s">
        <v>4871</v>
      </c>
      <c r="E1801" s="12" t="s">
        <v>3420</v>
      </c>
      <c r="F1801" s="49">
        <v>976250</v>
      </c>
      <c r="G1801" s="67" t="s">
        <v>5616</v>
      </c>
      <c r="H1801" s="14" t="s">
        <v>5601</v>
      </c>
      <c r="I1801" s="14" t="s">
        <v>2458</v>
      </c>
      <c r="J1801" s="33" t="s">
        <v>7110</v>
      </c>
      <c r="K1801" s="33" t="s">
        <v>4972</v>
      </c>
      <c r="L1801" s="68">
        <v>0</v>
      </c>
      <c r="M1801" s="68" t="s">
        <v>8915</v>
      </c>
      <c r="N1801" s="68">
        <v>0</v>
      </c>
      <c r="O1801" s="68">
        <v>0</v>
      </c>
      <c r="P1801" s="198" t="s">
        <v>5753</v>
      </c>
    </row>
    <row r="1802" spans="1:16" ht="18.75" hidden="1">
      <c r="A1802" s="50" t="s">
        <v>4781</v>
      </c>
      <c r="B1802" s="50" t="s">
        <v>4573</v>
      </c>
      <c r="C1802" s="50" t="s">
        <v>4913</v>
      </c>
      <c r="D1802" s="50" t="s">
        <v>4307</v>
      </c>
      <c r="E1802" s="12" t="s">
        <v>3420</v>
      </c>
      <c r="F1802" s="49">
        <v>499165</v>
      </c>
      <c r="G1802" s="67" t="s">
        <v>5681</v>
      </c>
      <c r="H1802" s="14" t="s">
        <v>5601</v>
      </c>
      <c r="I1802" s="14" t="s">
        <v>2458</v>
      </c>
      <c r="J1802" s="33" t="s">
        <v>7110</v>
      </c>
      <c r="K1802" s="33" t="s">
        <v>4972</v>
      </c>
      <c r="L1802" s="68">
        <v>0</v>
      </c>
      <c r="M1802" s="68" t="s">
        <v>8915</v>
      </c>
      <c r="N1802" s="68">
        <v>0</v>
      </c>
      <c r="O1802" s="68">
        <v>0</v>
      </c>
      <c r="P1802" s="198" t="s">
        <v>5747</v>
      </c>
    </row>
    <row r="1803" spans="1:16" ht="18.75" hidden="1">
      <c r="A1803" s="50" t="s">
        <v>4763</v>
      </c>
      <c r="B1803" s="50" t="s">
        <v>4868</v>
      </c>
      <c r="C1803" s="50" t="s">
        <v>4231</v>
      </c>
      <c r="D1803" s="50" t="s">
        <v>3934</v>
      </c>
      <c r="E1803" s="12" t="s">
        <v>3420</v>
      </c>
      <c r="F1803" s="49">
        <v>643704</v>
      </c>
      <c r="G1803" s="67" t="s">
        <v>5702</v>
      </c>
      <c r="H1803" s="14" t="s">
        <v>5601</v>
      </c>
      <c r="I1803" s="14" t="s">
        <v>2458</v>
      </c>
      <c r="J1803" s="33" t="s">
        <v>7110</v>
      </c>
      <c r="K1803" s="33" t="s">
        <v>4972</v>
      </c>
      <c r="L1803" s="68">
        <v>0</v>
      </c>
      <c r="M1803" s="68" t="s">
        <v>8915</v>
      </c>
      <c r="N1803" s="68">
        <v>0</v>
      </c>
      <c r="O1803" s="68">
        <v>0</v>
      </c>
      <c r="P1803" s="198" t="s">
        <v>5703</v>
      </c>
    </row>
    <row r="1804" spans="1:16" ht="18.75" hidden="1">
      <c r="A1804" s="50" t="s">
        <v>4782</v>
      </c>
      <c r="B1804" s="50" t="s">
        <v>4720</v>
      </c>
      <c r="C1804" s="50" t="s">
        <v>4914</v>
      </c>
      <c r="D1804" s="50" t="s">
        <v>4871</v>
      </c>
      <c r="E1804" s="12" t="s">
        <v>3420</v>
      </c>
      <c r="F1804" s="49">
        <v>1094253</v>
      </c>
      <c r="G1804" s="67" t="s">
        <v>5604</v>
      </c>
      <c r="H1804" s="14" t="s">
        <v>5602</v>
      </c>
      <c r="I1804" s="14" t="s">
        <v>2458</v>
      </c>
      <c r="J1804" s="33" t="s">
        <v>7110</v>
      </c>
      <c r="K1804" s="33" t="s">
        <v>4972</v>
      </c>
      <c r="L1804" s="68">
        <v>0</v>
      </c>
      <c r="M1804" s="68" t="s">
        <v>8915</v>
      </c>
      <c r="N1804" s="68">
        <v>0</v>
      </c>
      <c r="O1804" s="68">
        <v>0</v>
      </c>
      <c r="P1804" s="198" t="s">
        <v>5749</v>
      </c>
    </row>
    <row r="1805" spans="1:16" ht="18.75" hidden="1">
      <c r="A1805" s="50" t="s">
        <v>4783</v>
      </c>
      <c r="B1805" s="50" t="s">
        <v>4869</v>
      </c>
      <c r="C1805" s="50" t="s">
        <v>4896</v>
      </c>
      <c r="D1805" s="50" t="s">
        <v>4183</v>
      </c>
      <c r="E1805" s="12" t="s">
        <v>3420</v>
      </c>
      <c r="F1805" s="49">
        <v>500000</v>
      </c>
      <c r="G1805" s="67" t="s">
        <v>5652</v>
      </c>
      <c r="H1805" s="14" t="s">
        <v>5601</v>
      </c>
      <c r="I1805" s="14" t="s">
        <v>2458</v>
      </c>
      <c r="J1805" s="33" t="s">
        <v>7110</v>
      </c>
      <c r="K1805" s="33" t="s">
        <v>4972</v>
      </c>
      <c r="L1805" s="68">
        <v>0</v>
      </c>
      <c r="M1805" s="68" t="s">
        <v>8915</v>
      </c>
      <c r="N1805" s="68">
        <v>0</v>
      </c>
      <c r="O1805" s="68">
        <v>0</v>
      </c>
      <c r="P1805" s="198" t="s">
        <v>5724</v>
      </c>
    </row>
    <row r="1806" spans="1:16" ht="18.75" hidden="1">
      <c r="A1806" s="50" t="s">
        <v>4784</v>
      </c>
      <c r="B1806" s="50" t="s">
        <v>4866</v>
      </c>
      <c r="C1806" s="50" t="s">
        <v>4895</v>
      </c>
      <c r="D1806" s="50" t="s">
        <v>4720</v>
      </c>
      <c r="E1806" s="12" t="s">
        <v>3420</v>
      </c>
      <c r="F1806" s="49">
        <v>997975</v>
      </c>
      <c r="G1806" s="67" t="s">
        <v>5616</v>
      </c>
      <c r="H1806" s="14" t="s">
        <v>5601</v>
      </c>
      <c r="I1806" s="14" t="s">
        <v>2458</v>
      </c>
      <c r="J1806" s="33" t="s">
        <v>7110</v>
      </c>
      <c r="K1806" s="33" t="s">
        <v>4972</v>
      </c>
      <c r="L1806" s="68">
        <v>0</v>
      </c>
      <c r="M1806" s="68" t="s">
        <v>8915</v>
      </c>
      <c r="N1806" s="68">
        <v>0</v>
      </c>
      <c r="O1806" s="68">
        <v>0</v>
      </c>
      <c r="P1806" s="198" t="s">
        <v>5753</v>
      </c>
    </row>
    <row r="1807" spans="1:16" ht="18.75" hidden="1">
      <c r="A1807" s="50" t="s">
        <v>4785</v>
      </c>
      <c r="B1807" s="50" t="s">
        <v>4866</v>
      </c>
      <c r="C1807" s="50" t="s">
        <v>4915</v>
      </c>
      <c r="D1807" s="50" t="s">
        <v>4446</v>
      </c>
      <c r="E1807" s="12" t="s">
        <v>3420</v>
      </c>
      <c r="F1807" s="49">
        <v>502670</v>
      </c>
      <c r="G1807" s="67" t="s">
        <v>5609</v>
      </c>
      <c r="H1807" s="14" t="s">
        <v>5601</v>
      </c>
      <c r="I1807" s="14" t="s">
        <v>2458</v>
      </c>
      <c r="J1807" s="33" t="s">
        <v>7110</v>
      </c>
      <c r="K1807" s="33" t="s">
        <v>4972</v>
      </c>
      <c r="L1807" s="68">
        <v>0</v>
      </c>
      <c r="M1807" s="68" t="s">
        <v>8915</v>
      </c>
      <c r="N1807" s="68">
        <v>0</v>
      </c>
      <c r="O1807" s="68">
        <v>0</v>
      </c>
      <c r="P1807" s="198" t="s">
        <v>5723</v>
      </c>
    </row>
    <row r="1808" spans="1:16" ht="18.75" hidden="1">
      <c r="A1808" s="50" t="s">
        <v>4786</v>
      </c>
      <c r="B1808" s="50" t="s">
        <v>4870</v>
      </c>
      <c r="C1808" s="50" t="s">
        <v>4902</v>
      </c>
      <c r="D1808" s="50" t="s">
        <v>4500</v>
      </c>
      <c r="E1808" s="12" t="s">
        <v>3420</v>
      </c>
      <c r="F1808" s="49">
        <v>24569</v>
      </c>
      <c r="G1808" s="67" t="s">
        <v>5611</v>
      </c>
      <c r="H1808" s="14" t="s">
        <v>5601</v>
      </c>
      <c r="I1808" s="14" t="s">
        <v>2458</v>
      </c>
      <c r="J1808" s="33" t="s">
        <v>7110</v>
      </c>
      <c r="K1808" s="33" t="s">
        <v>4972</v>
      </c>
      <c r="L1808" s="68">
        <v>0</v>
      </c>
      <c r="M1808" s="68" t="s">
        <v>8915</v>
      </c>
      <c r="N1808" s="68">
        <v>0</v>
      </c>
      <c r="O1808" s="68">
        <v>0</v>
      </c>
      <c r="P1808" s="198" t="s">
        <v>5726</v>
      </c>
    </row>
    <row r="1809" spans="1:16" ht="18.75" hidden="1">
      <c r="A1809" s="50" t="s">
        <v>4786</v>
      </c>
      <c r="B1809" s="50" t="s">
        <v>4870</v>
      </c>
      <c r="C1809" s="50" t="s">
        <v>4916</v>
      </c>
      <c r="D1809" s="50" t="s">
        <v>4719</v>
      </c>
      <c r="E1809" s="12" t="s">
        <v>3420</v>
      </c>
      <c r="F1809" s="49">
        <v>195892</v>
      </c>
      <c r="G1809" s="67" t="s">
        <v>5611</v>
      </c>
      <c r="H1809" s="14" t="s">
        <v>5601</v>
      </c>
      <c r="I1809" s="14" t="s">
        <v>2458</v>
      </c>
      <c r="J1809" s="33" t="s">
        <v>7110</v>
      </c>
      <c r="K1809" s="33" t="s">
        <v>4972</v>
      </c>
      <c r="L1809" s="68">
        <v>0</v>
      </c>
      <c r="M1809" s="68" t="s">
        <v>8915</v>
      </c>
      <c r="N1809" s="68">
        <v>0</v>
      </c>
      <c r="O1809" s="68">
        <v>0</v>
      </c>
      <c r="P1809" s="198" t="s">
        <v>5733</v>
      </c>
    </row>
    <row r="1810" spans="1:16" ht="18.75" hidden="1">
      <c r="A1810" s="50" t="s">
        <v>4786</v>
      </c>
      <c r="B1810" s="50" t="s">
        <v>4870</v>
      </c>
      <c r="C1810" s="50" t="s">
        <v>4917</v>
      </c>
      <c r="D1810" s="50" t="s">
        <v>4719</v>
      </c>
      <c r="E1810" s="12" t="s">
        <v>3420</v>
      </c>
      <c r="F1810" s="49">
        <v>158924</v>
      </c>
      <c r="G1810" s="67" t="s">
        <v>5611</v>
      </c>
      <c r="H1810" s="14" t="s">
        <v>5601</v>
      </c>
      <c r="I1810" s="14" t="s">
        <v>2458</v>
      </c>
      <c r="J1810" s="33" t="s">
        <v>7110</v>
      </c>
      <c r="K1810" s="33" t="s">
        <v>4972</v>
      </c>
      <c r="L1810" s="68">
        <v>0</v>
      </c>
      <c r="M1810" s="68" t="s">
        <v>8915</v>
      </c>
      <c r="N1810" s="68">
        <v>0</v>
      </c>
      <c r="O1810" s="68">
        <v>0</v>
      </c>
      <c r="P1810" s="198" t="s">
        <v>5733</v>
      </c>
    </row>
    <row r="1811" spans="1:16" ht="18.75" hidden="1">
      <c r="A1811" s="50" t="s">
        <v>4786</v>
      </c>
      <c r="B1811" s="50" t="s">
        <v>4870</v>
      </c>
      <c r="C1811" s="50" t="s">
        <v>4911</v>
      </c>
      <c r="D1811" s="50" t="s">
        <v>4571</v>
      </c>
      <c r="E1811" s="12" t="s">
        <v>3420</v>
      </c>
      <c r="F1811" s="49">
        <v>20328</v>
      </c>
      <c r="G1811" s="67" t="s">
        <v>5611</v>
      </c>
      <c r="H1811" s="14" t="s">
        <v>5601</v>
      </c>
      <c r="I1811" s="14" t="s">
        <v>2458</v>
      </c>
      <c r="J1811" s="33" t="s">
        <v>7110</v>
      </c>
      <c r="K1811" s="33" t="s">
        <v>4972</v>
      </c>
      <c r="L1811" s="68">
        <v>0</v>
      </c>
      <c r="M1811" s="68" t="s">
        <v>8915</v>
      </c>
      <c r="N1811" s="68">
        <v>0</v>
      </c>
      <c r="O1811" s="68">
        <v>0</v>
      </c>
      <c r="P1811" s="198" t="s">
        <v>5733</v>
      </c>
    </row>
    <row r="1812" spans="1:16" ht="18.75" hidden="1">
      <c r="A1812" s="50" t="s">
        <v>4786</v>
      </c>
      <c r="B1812" s="50" t="s">
        <v>4870</v>
      </c>
      <c r="C1812" s="50" t="s">
        <v>4918</v>
      </c>
      <c r="D1812" s="50" t="s">
        <v>4171</v>
      </c>
      <c r="E1812" s="12" t="s">
        <v>3420</v>
      </c>
      <c r="F1812" s="49">
        <v>119512</v>
      </c>
      <c r="G1812" s="67" t="s">
        <v>5609</v>
      </c>
      <c r="H1812" s="14" t="s">
        <v>5601</v>
      </c>
      <c r="I1812" s="14" t="s">
        <v>2458</v>
      </c>
      <c r="J1812" s="33" t="s">
        <v>7110</v>
      </c>
      <c r="K1812" s="33" t="s">
        <v>4972</v>
      </c>
      <c r="L1812" s="68">
        <v>0</v>
      </c>
      <c r="M1812" s="68" t="s">
        <v>8915</v>
      </c>
      <c r="N1812" s="68">
        <v>0</v>
      </c>
      <c r="O1812" s="68">
        <v>0</v>
      </c>
      <c r="P1812" s="198" t="s">
        <v>5717</v>
      </c>
    </row>
    <row r="1813" spans="1:16" ht="18.75" hidden="1">
      <c r="A1813" s="50" t="s">
        <v>4787</v>
      </c>
      <c r="B1813" s="50" t="s">
        <v>4868</v>
      </c>
      <c r="C1813" s="50" t="s">
        <v>4919</v>
      </c>
      <c r="D1813" s="50" t="s">
        <v>4720</v>
      </c>
      <c r="E1813" s="12" t="s">
        <v>3420</v>
      </c>
      <c r="F1813" s="49">
        <v>442987</v>
      </c>
      <c r="G1813" s="67" t="s">
        <v>5616</v>
      </c>
      <c r="H1813" s="14" t="s">
        <v>5601</v>
      </c>
      <c r="I1813" s="14" t="s">
        <v>2458</v>
      </c>
      <c r="J1813" s="33" t="s">
        <v>7110</v>
      </c>
      <c r="K1813" s="33" t="s">
        <v>4972</v>
      </c>
      <c r="L1813" s="68">
        <v>0</v>
      </c>
      <c r="M1813" s="68" t="s">
        <v>8915</v>
      </c>
      <c r="N1813" s="68">
        <v>0</v>
      </c>
      <c r="O1813" s="68">
        <v>0</v>
      </c>
      <c r="P1813" s="198" t="s">
        <v>5753</v>
      </c>
    </row>
    <row r="1814" spans="1:16" ht="18.75" hidden="1">
      <c r="A1814" s="50" t="s">
        <v>4787</v>
      </c>
      <c r="B1814" s="50" t="s">
        <v>4868</v>
      </c>
      <c r="C1814" s="50" t="s">
        <v>3130</v>
      </c>
      <c r="D1814" s="50" t="s">
        <v>2755</v>
      </c>
      <c r="E1814" s="12" t="s">
        <v>3420</v>
      </c>
      <c r="F1814" s="49">
        <v>42080</v>
      </c>
      <c r="G1814" s="67" t="s">
        <v>5616</v>
      </c>
      <c r="H1814" s="14" t="s">
        <v>5601</v>
      </c>
      <c r="I1814" s="14" t="s">
        <v>2458</v>
      </c>
      <c r="J1814" s="33" t="s">
        <v>7110</v>
      </c>
      <c r="K1814" s="33" t="s">
        <v>4972</v>
      </c>
      <c r="L1814" s="68">
        <v>0</v>
      </c>
      <c r="M1814" s="68" t="s">
        <v>8915</v>
      </c>
      <c r="N1814" s="68">
        <v>0</v>
      </c>
      <c r="O1814" s="68">
        <v>0</v>
      </c>
      <c r="P1814" s="198" t="s">
        <v>5617</v>
      </c>
    </row>
    <row r="1815" spans="1:16" ht="18.75" hidden="1">
      <c r="A1815" s="50" t="s">
        <v>4788</v>
      </c>
      <c r="B1815" s="50" t="s">
        <v>4869</v>
      </c>
      <c r="C1815" s="50" t="s">
        <v>4919</v>
      </c>
      <c r="D1815" s="50" t="s">
        <v>4720</v>
      </c>
      <c r="E1815" s="12" t="s">
        <v>3420</v>
      </c>
      <c r="F1815" s="49">
        <v>485496</v>
      </c>
      <c r="G1815" s="67" t="s">
        <v>5616</v>
      </c>
      <c r="H1815" s="14" t="s">
        <v>5601</v>
      </c>
      <c r="I1815" s="14" t="s">
        <v>2458</v>
      </c>
      <c r="J1815" s="33" t="s">
        <v>7110</v>
      </c>
      <c r="K1815" s="33" t="s">
        <v>4972</v>
      </c>
      <c r="L1815" s="68">
        <v>0</v>
      </c>
      <c r="M1815" s="68" t="s">
        <v>8915</v>
      </c>
      <c r="N1815" s="68">
        <v>0</v>
      </c>
      <c r="O1815" s="68">
        <v>0</v>
      </c>
      <c r="P1815" s="198" t="s">
        <v>5753</v>
      </c>
    </row>
    <row r="1816" spans="1:16" ht="18.75" hidden="1">
      <c r="A1816" s="50" t="s">
        <v>4789</v>
      </c>
      <c r="B1816" s="50" t="s">
        <v>4866</v>
      </c>
      <c r="C1816" s="50" t="s">
        <v>4906</v>
      </c>
      <c r="D1816" s="50" t="s">
        <v>4183</v>
      </c>
      <c r="E1816" s="12" t="s">
        <v>3420</v>
      </c>
      <c r="F1816" s="49">
        <v>296970</v>
      </c>
      <c r="G1816" s="67" t="s">
        <v>5652</v>
      </c>
      <c r="H1816" s="14" t="s">
        <v>5601</v>
      </c>
      <c r="I1816" s="14" t="s">
        <v>2458</v>
      </c>
      <c r="J1816" s="33" t="s">
        <v>7110</v>
      </c>
      <c r="K1816" s="33" t="s">
        <v>4972</v>
      </c>
      <c r="L1816" s="68">
        <v>0</v>
      </c>
      <c r="M1816" s="68" t="s">
        <v>8915</v>
      </c>
      <c r="N1816" s="68">
        <v>0</v>
      </c>
      <c r="O1816" s="68">
        <v>0</v>
      </c>
      <c r="P1816" s="198" t="s">
        <v>5724</v>
      </c>
    </row>
    <row r="1817" spans="1:16" ht="18.75" hidden="1">
      <c r="A1817" s="50" t="s">
        <v>4790</v>
      </c>
      <c r="B1817" s="50" t="s">
        <v>4866</v>
      </c>
      <c r="C1817" s="50" t="s">
        <v>4901</v>
      </c>
      <c r="D1817" s="50" t="s">
        <v>4871</v>
      </c>
      <c r="E1817" s="12" t="s">
        <v>3420</v>
      </c>
      <c r="F1817" s="49">
        <v>3173</v>
      </c>
      <c r="G1817" s="67" t="s">
        <v>5631</v>
      </c>
      <c r="H1817" s="14" t="s">
        <v>5601</v>
      </c>
      <c r="I1817" s="14" t="s">
        <v>2458</v>
      </c>
      <c r="J1817" s="33" t="s">
        <v>7110</v>
      </c>
      <c r="K1817" s="33" t="s">
        <v>4972</v>
      </c>
      <c r="L1817" s="68">
        <v>0</v>
      </c>
      <c r="M1817" s="68" t="s">
        <v>8915</v>
      </c>
      <c r="N1817" s="68">
        <v>0</v>
      </c>
      <c r="O1817" s="68">
        <v>0</v>
      </c>
      <c r="P1817" s="197" t="s">
        <v>5748</v>
      </c>
    </row>
    <row r="1818" spans="1:16" ht="18.75" hidden="1">
      <c r="A1818" s="50" t="s">
        <v>4790</v>
      </c>
      <c r="B1818" s="50" t="s">
        <v>4866</v>
      </c>
      <c r="C1818" s="50" t="s">
        <v>4908</v>
      </c>
      <c r="D1818" s="50" t="s">
        <v>4869</v>
      </c>
      <c r="E1818" s="12" t="s">
        <v>3420</v>
      </c>
      <c r="F1818" s="49">
        <v>141814</v>
      </c>
      <c r="G1818" s="67" t="s">
        <v>5631</v>
      </c>
      <c r="H1818" s="14" t="s">
        <v>5601</v>
      </c>
      <c r="I1818" s="14" t="s">
        <v>2458</v>
      </c>
      <c r="J1818" s="33" t="s">
        <v>7110</v>
      </c>
      <c r="K1818" s="33" t="s">
        <v>4972</v>
      </c>
      <c r="L1818" s="68">
        <v>0</v>
      </c>
      <c r="M1818" s="68" t="s">
        <v>8915</v>
      </c>
      <c r="N1818" s="68">
        <v>0</v>
      </c>
      <c r="O1818" s="68">
        <v>0</v>
      </c>
      <c r="P1818" s="197" t="s">
        <v>5748</v>
      </c>
    </row>
    <row r="1819" spans="1:16" ht="18.75" hidden="1">
      <c r="A1819" s="50" t="s">
        <v>4767</v>
      </c>
      <c r="B1819" s="50" t="s">
        <v>4866</v>
      </c>
      <c r="C1819" s="50" t="s">
        <v>4920</v>
      </c>
      <c r="D1819" s="50" t="s">
        <v>4176</v>
      </c>
      <c r="E1819" s="12" t="s">
        <v>3420</v>
      </c>
      <c r="F1819" s="49">
        <v>300620</v>
      </c>
      <c r="G1819" s="67" t="s">
        <v>5609</v>
      </c>
      <c r="H1819" s="14" t="s">
        <v>5601</v>
      </c>
      <c r="I1819" s="14" t="s">
        <v>2458</v>
      </c>
      <c r="J1819" s="33" t="s">
        <v>7110</v>
      </c>
      <c r="K1819" s="33" t="s">
        <v>4972</v>
      </c>
      <c r="L1819" s="68">
        <v>0</v>
      </c>
      <c r="M1819" s="68" t="s">
        <v>8915</v>
      </c>
      <c r="N1819" s="68">
        <v>0</v>
      </c>
      <c r="O1819" s="68">
        <v>0</v>
      </c>
      <c r="P1819" s="198" t="s">
        <v>5711</v>
      </c>
    </row>
    <row r="1820" spans="1:16" ht="18.75" hidden="1">
      <c r="A1820" s="50" t="s">
        <v>4791</v>
      </c>
      <c r="B1820" s="50" t="s">
        <v>4867</v>
      </c>
      <c r="C1820" s="50" t="s">
        <v>4921</v>
      </c>
      <c r="D1820" s="50" t="s">
        <v>4864</v>
      </c>
      <c r="E1820" s="12" t="s">
        <v>3420</v>
      </c>
      <c r="F1820" s="49">
        <v>978716</v>
      </c>
      <c r="G1820" s="67" t="s">
        <v>5611</v>
      </c>
      <c r="H1820" s="14" t="s">
        <v>5602</v>
      </c>
      <c r="I1820" s="14" t="s">
        <v>2458</v>
      </c>
      <c r="J1820" s="33" t="s">
        <v>7110</v>
      </c>
      <c r="K1820" s="33" t="s">
        <v>4972</v>
      </c>
      <c r="L1820" s="68">
        <v>0</v>
      </c>
      <c r="M1820" s="68" t="s">
        <v>8915</v>
      </c>
      <c r="N1820" s="68">
        <v>0</v>
      </c>
      <c r="O1820" s="68">
        <v>0</v>
      </c>
      <c r="P1820" s="198" t="s">
        <v>5733</v>
      </c>
    </row>
    <row r="1821" spans="1:16" ht="18.75" hidden="1">
      <c r="A1821" s="50" t="s">
        <v>4792</v>
      </c>
      <c r="B1821" s="50" t="s">
        <v>4870</v>
      </c>
      <c r="C1821" s="50" t="s">
        <v>4922</v>
      </c>
      <c r="D1821" s="50" t="s">
        <v>4665</v>
      </c>
      <c r="E1821" s="12" t="s">
        <v>3420</v>
      </c>
      <c r="F1821" s="49">
        <v>498000</v>
      </c>
      <c r="G1821" s="67" t="s">
        <v>5611</v>
      </c>
      <c r="H1821" s="14" t="s">
        <v>5601</v>
      </c>
      <c r="I1821" s="14" t="s">
        <v>2458</v>
      </c>
      <c r="J1821" s="33" t="s">
        <v>7110</v>
      </c>
      <c r="K1821" s="33" t="s">
        <v>4972</v>
      </c>
      <c r="L1821" s="68">
        <v>0</v>
      </c>
      <c r="M1821" s="68" t="s">
        <v>8915</v>
      </c>
      <c r="N1821" s="68">
        <v>0</v>
      </c>
      <c r="O1821" s="68">
        <v>0</v>
      </c>
      <c r="P1821" s="198" t="s">
        <v>5733</v>
      </c>
    </row>
    <row r="1822" spans="1:16" ht="18.75" hidden="1">
      <c r="A1822" s="50" t="s">
        <v>4793</v>
      </c>
      <c r="B1822" s="50" t="s">
        <v>4865</v>
      </c>
      <c r="C1822" s="50" t="s">
        <v>4722</v>
      </c>
      <c r="D1822" s="50" t="s">
        <v>4173</v>
      </c>
      <c r="E1822" s="12" t="s">
        <v>3420</v>
      </c>
      <c r="F1822" s="49">
        <v>317230</v>
      </c>
      <c r="G1822" s="67" t="s">
        <v>5611</v>
      </c>
      <c r="H1822" s="14" t="s">
        <v>5601</v>
      </c>
      <c r="I1822" s="14" t="s">
        <v>2458</v>
      </c>
      <c r="J1822" s="33" t="s">
        <v>7110</v>
      </c>
      <c r="K1822" s="33" t="s">
        <v>4972</v>
      </c>
      <c r="L1822" s="68">
        <v>0</v>
      </c>
      <c r="M1822" s="68" t="s">
        <v>8915</v>
      </c>
      <c r="N1822" s="68">
        <v>0</v>
      </c>
      <c r="O1822" s="68">
        <v>0</v>
      </c>
      <c r="P1822" s="198" t="s">
        <v>5726</v>
      </c>
    </row>
    <row r="1823" spans="1:16" ht="18.75" hidden="1">
      <c r="A1823" s="50" t="s">
        <v>4793</v>
      </c>
      <c r="B1823" s="50" t="s">
        <v>4865</v>
      </c>
      <c r="C1823" s="50" t="s">
        <v>4611</v>
      </c>
      <c r="D1823" s="50" t="s">
        <v>3932</v>
      </c>
      <c r="E1823" s="12" t="s">
        <v>3420</v>
      </c>
      <c r="F1823" s="49">
        <v>96172</v>
      </c>
      <c r="G1823" s="67" t="s">
        <v>5611</v>
      </c>
      <c r="H1823" s="14" t="s">
        <v>5601</v>
      </c>
      <c r="I1823" s="14" t="s">
        <v>2458</v>
      </c>
      <c r="J1823" s="33" t="s">
        <v>7110</v>
      </c>
      <c r="K1823" s="33" t="s">
        <v>4972</v>
      </c>
      <c r="L1823" s="68">
        <v>0</v>
      </c>
      <c r="M1823" s="68" t="s">
        <v>8915</v>
      </c>
      <c r="N1823" s="68">
        <v>0</v>
      </c>
      <c r="O1823" s="68">
        <v>0</v>
      </c>
      <c r="P1823" s="198" t="s">
        <v>5694</v>
      </c>
    </row>
    <row r="1824" spans="1:16" ht="18.75" hidden="1">
      <c r="A1824" s="50" t="s">
        <v>4766</v>
      </c>
      <c r="B1824" s="50" t="s">
        <v>4870</v>
      </c>
      <c r="C1824" s="50" t="s">
        <v>4923</v>
      </c>
      <c r="D1824" s="50" t="s">
        <v>4173</v>
      </c>
      <c r="E1824" s="12" t="s">
        <v>3420</v>
      </c>
      <c r="F1824" s="49">
        <v>199795</v>
      </c>
      <c r="G1824" s="67" t="s">
        <v>5611</v>
      </c>
      <c r="H1824" s="14" t="s">
        <v>5601</v>
      </c>
      <c r="I1824" s="14" t="s">
        <v>2458</v>
      </c>
      <c r="J1824" s="33" t="s">
        <v>7110</v>
      </c>
      <c r="K1824" s="33" t="s">
        <v>4972</v>
      </c>
      <c r="L1824" s="68">
        <v>0</v>
      </c>
      <c r="M1824" s="68" t="s">
        <v>8915</v>
      </c>
      <c r="N1824" s="68">
        <v>0</v>
      </c>
      <c r="O1824" s="68">
        <v>0</v>
      </c>
      <c r="P1824" s="198" t="s">
        <v>5726</v>
      </c>
    </row>
    <row r="1825" spans="1:16" ht="18.75" hidden="1">
      <c r="A1825" s="50" t="s">
        <v>4766</v>
      </c>
      <c r="B1825" s="50" t="s">
        <v>4870</v>
      </c>
      <c r="C1825" s="50" t="s">
        <v>4924</v>
      </c>
      <c r="D1825" s="50" t="s">
        <v>4175</v>
      </c>
      <c r="E1825" s="12" t="s">
        <v>3420</v>
      </c>
      <c r="F1825" s="49">
        <v>197812</v>
      </c>
      <c r="G1825" s="67" t="s">
        <v>5611</v>
      </c>
      <c r="H1825" s="14" t="s">
        <v>5601</v>
      </c>
      <c r="I1825" s="14" t="s">
        <v>2458</v>
      </c>
      <c r="J1825" s="33" t="s">
        <v>7110</v>
      </c>
      <c r="K1825" s="33" t="s">
        <v>4972</v>
      </c>
      <c r="L1825" s="68">
        <v>0</v>
      </c>
      <c r="M1825" s="68" t="s">
        <v>8915</v>
      </c>
      <c r="N1825" s="68">
        <v>0</v>
      </c>
      <c r="O1825" s="68">
        <v>0</v>
      </c>
      <c r="P1825" s="198" t="s">
        <v>5733</v>
      </c>
    </row>
    <row r="1826" spans="1:16" ht="18.75" hidden="1">
      <c r="A1826" s="50" t="s">
        <v>4793</v>
      </c>
      <c r="B1826" s="50" t="s">
        <v>4865</v>
      </c>
      <c r="C1826" s="50" t="s">
        <v>4724</v>
      </c>
      <c r="D1826" s="50" t="s">
        <v>3933</v>
      </c>
      <c r="E1826" s="12" t="s">
        <v>3420</v>
      </c>
      <c r="F1826" s="49">
        <v>47413</v>
      </c>
      <c r="G1826" s="67" t="s">
        <v>5611</v>
      </c>
      <c r="H1826" s="14" t="s">
        <v>5601</v>
      </c>
      <c r="I1826" s="14" t="s">
        <v>2458</v>
      </c>
      <c r="J1826" s="33" t="s">
        <v>7110</v>
      </c>
      <c r="K1826" s="33" t="s">
        <v>4972</v>
      </c>
      <c r="L1826" s="68">
        <v>0</v>
      </c>
      <c r="M1826" s="68" t="s">
        <v>8915</v>
      </c>
      <c r="N1826" s="68">
        <v>0</v>
      </c>
      <c r="O1826" s="68">
        <v>0</v>
      </c>
      <c r="P1826" s="198" t="s">
        <v>5675</v>
      </c>
    </row>
    <row r="1827" spans="1:16" ht="18.75" hidden="1">
      <c r="A1827" s="50" t="s">
        <v>4793</v>
      </c>
      <c r="B1827" s="50" t="s">
        <v>4865</v>
      </c>
      <c r="C1827" s="50" t="s">
        <v>4902</v>
      </c>
      <c r="D1827" s="50" t="s">
        <v>4500</v>
      </c>
      <c r="E1827" s="12" t="s">
        <v>3420</v>
      </c>
      <c r="F1827" s="49">
        <v>359185</v>
      </c>
      <c r="G1827" s="67" t="s">
        <v>5611</v>
      </c>
      <c r="H1827" s="14" t="s">
        <v>5601</v>
      </c>
      <c r="I1827" s="14" t="s">
        <v>2458</v>
      </c>
      <c r="J1827" s="33" t="s">
        <v>7110</v>
      </c>
      <c r="K1827" s="33" t="s">
        <v>4972</v>
      </c>
      <c r="L1827" s="68">
        <v>0</v>
      </c>
      <c r="M1827" s="68" t="s">
        <v>8915</v>
      </c>
      <c r="N1827" s="68">
        <v>0</v>
      </c>
      <c r="O1827" s="68">
        <v>0</v>
      </c>
      <c r="P1827" s="198" t="s">
        <v>5726</v>
      </c>
    </row>
    <row r="1828" spans="1:16" ht="18.75" hidden="1">
      <c r="A1828" s="50" t="s">
        <v>4793</v>
      </c>
      <c r="B1828" s="50" t="s">
        <v>4865</v>
      </c>
      <c r="C1828" s="50" t="s">
        <v>4674</v>
      </c>
      <c r="D1828" s="50" t="s">
        <v>3966</v>
      </c>
      <c r="E1828" s="12" t="s">
        <v>3420</v>
      </c>
      <c r="F1828" s="49">
        <v>174370</v>
      </c>
      <c r="G1828" s="67" t="s">
        <v>5663</v>
      </c>
      <c r="H1828" s="14" t="s">
        <v>5601</v>
      </c>
      <c r="I1828" s="14" t="s">
        <v>2458</v>
      </c>
      <c r="J1828" s="33" t="s">
        <v>7110</v>
      </c>
      <c r="K1828" s="33" t="s">
        <v>4972</v>
      </c>
      <c r="L1828" s="68">
        <v>0</v>
      </c>
      <c r="M1828" s="68" t="s">
        <v>8915</v>
      </c>
      <c r="N1828" s="68">
        <v>0</v>
      </c>
      <c r="O1828" s="68">
        <v>0</v>
      </c>
      <c r="P1828" s="198" t="s">
        <v>5664</v>
      </c>
    </row>
    <row r="1829" spans="1:16" ht="18.75" hidden="1">
      <c r="A1829" s="50" t="s">
        <v>4794</v>
      </c>
      <c r="B1829" s="50" t="s">
        <v>4866</v>
      </c>
      <c r="C1829" s="50" t="s">
        <v>4925</v>
      </c>
      <c r="D1829" s="50" t="s">
        <v>4866</v>
      </c>
      <c r="E1829" s="12" t="s">
        <v>3420</v>
      </c>
      <c r="F1829" s="49">
        <v>2729910</v>
      </c>
      <c r="G1829" s="67" t="s">
        <v>5604</v>
      </c>
      <c r="H1829" s="14" t="s">
        <v>5601</v>
      </c>
      <c r="I1829" s="14" t="s">
        <v>2458</v>
      </c>
      <c r="J1829" s="33" t="s">
        <v>7110</v>
      </c>
      <c r="K1829" s="33" t="s">
        <v>4972</v>
      </c>
      <c r="L1829" s="68">
        <v>0</v>
      </c>
      <c r="M1829" s="68" t="s">
        <v>8915</v>
      </c>
      <c r="N1829" s="68">
        <v>0</v>
      </c>
      <c r="O1829" s="68">
        <v>0</v>
      </c>
      <c r="P1829" s="198" t="s">
        <v>5761</v>
      </c>
    </row>
    <row r="1830" spans="1:16" ht="18.75" hidden="1">
      <c r="A1830" s="50" t="s">
        <v>4790</v>
      </c>
      <c r="B1830" s="50" t="s">
        <v>4866</v>
      </c>
      <c r="C1830" s="50" t="s">
        <v>4918</v>
      </c>
      <c r="D1830" s="50" t="s">
        <v>4171</v>
      </c>
      <c r="E1830" s="12" t="s">
        <v>3420</v>
      </c>
      <c r="F1830" s="49">
        <v>79148</v>
      </c>
      <c r="G1830" s="67" t="s">
        <v>5609</v>
      </c>
      <c r="H1830" s="14" t="s">
        <v>5601</v>
      </c>
      <c r="I1830" s="14" t="s">
        <v>2458</v>
      </c>
      <c r="J1830" s="33" t="s">
        <v>7110</v>
      </c>
      <c r="K1830" s="33" t="s">
        <v>4972</v>
      </c>
      <c r="L1830" s="68">
        <v>0</v>
      </c>
      <c r="M1830" s="68" t="s">
        <v>8915</v>
      </c>
      <c r="N1830" s="68">
        <v>0</v>
      </c>
      <c r="O1830" s="68">
        <v>0</v>
      </c>
      <c r="P1830" s="198" t="s">
        <v>5717</v>
      </c>
    </row>
    <row r="1831" spans="1:16" ht="18.75" hidden="1">
      <c r="A1831" s="50" t="s">
        <v>4790</v>
      </c>
      <c r="B1831" s="50" t="s">
        <v>4866</v>
      </c>
      <c r="C1831" s="50" t="s">
        <v>4694</v>
      </c>
      <c r="D1831" s="50" t="s">
        <v>4178</v>
      </c>
      <c r="E1831" s="12" t="s">
        <v>3420</v>
      </c>
      <c r="F1831" s="49">
        <v>84720</v>
      </c>
      <c r="G1831" s="67" t="s">
        <v>5609</v>
      </c>
      <c r="H1831" s="14" t="s">
        <v>5601</v>
      </c>
      <c r="I1831" s="14" t="s">
        <v>2458</v>
      </c>
      <c r="J1831" s="33" t="s">
        <v>7110</v>
      </c>
      <c r="K1831" s="33" t="s">
        <v>4972</v>
      </c>
      <c r="L1831" s="68">
        <v>0</v>
      </c>
      <c r="M1831" s="68" t="s">
        <v>8915</v>
      </c>
      <c r="N1831" s="68">
        <v>0</v>
      </c>
      <c r="O1831" s="68">
        <v>0</v>
      </c>
      <c r="P1831" s="198" t="s">
        <v>5717</v>
      </c>
    </row>
    <row r="1832" spans="1:16" ht="18.75" hidden="1">
      <c r="A1832" s="50" t="s">
        <v>4790</v>
      </c>
      <c r="B1832" s="50" t="s">
        <v>4866</v>
      </c>
      <c r="C1832" s="50" t="s">
        <v>4210</v>
      </c>
      <c r="D1832" s="50" t="s">
        <v>3932</v>
      </c>
      <c r="E1832" s="12" t="s">
        <v>3420</v>
      </c>
      <c r="F1832" s="49">
        <v>2440</v>
      </c>
      <c r="G1832" s="67" t="s">
        <v>5609</v>
      </c>
      <c r="H1832" s="14" t="s">
        <v>5601</v>
      </c>
      <c r="I1832" s="14" t="s">
        <v>2458</v>
      </c>
      <c r="J1832" s="33" t="s">
        <v>7110</v>
      </c>
      <c r="K1832" s="33" t="s">
        <v>4972</v>
      </c>
      <c r="L1832" s="68">
        <v>0</v>
      </c>
      <c r="M1832" s="68" t="s">
        <v>8915</v>
      </c>
      <c r="N1832" s="68">
        <v>0</v>
      </c>
      <c r="O1832" s="68">
        <v>0</v>
      </c>
      <c r="P1832" s="198" t="s">
        <v>5688</v>
      </c>
    </row>
    <row r="1833" spans="1:16" ht="18.75" hidden="1">
      <c r="A1833" s="50" t="s">
        <v>4790</v>
      </c>
      <c r="B1833" s="50" t="s">
        <v>4866</v>
      </c>
      <c r="C1833" s="50" t="s">
        <v>4915</v>
      </c>
      <c r="D1833" s="50" t="s">
        <v>4446</v>
      </c>
      <c r="E1833" s="12" t="s">
        <v>3420</v>
      </c>
      <c r="F1833" s="49">
        <v>152570</v>
      </c>
      <c r="G1833" s="67" t="s">
        <v>5609</v>
      </c>
      <c r="H1833" s="14" t="s">
        <v>5601</v>
      </c>
      <c r="I1833" s="14" t="s">
        <v>2458</v>
      </c>
      <c r="J1833" s="33" t="s">
        <v>7110</v>
      </c>
      <c r="K1833" s="33" t="s">
        <v>4972</v>
      </c>
      <c r="L1833" s="68">
        <v>0</v>
      </c>
      <c r="M1833" s="68" t="s">
        <v>8915</v>
      </c>
      <c r="N1833" s="68">
        <v>0</v>
      </c>
      <c r="O1833" s="68">
        <v>0</v>
      </c>
      <c r="P1833" s="198" t="s">
        <v>5723</v>
      </c>
    </row>
    <row r="1834" spans="1:16" ht="18.75" hidden="1">
      <c r="A1834" s="50" t="s">
        <v>4793</v>
      </c>
      <c r="B1834" s="50" t="s">
        <v>4865</v>
      </c>
      <c r="C1834" s="50" t="s">
        <v>4491</v>
      </c>
      <c r="D1834" s="50" t="s">
        <v>4180</v>
      </c>
      <c r="E1834" s="12" t="s">
        <v>3420</v>
      </c>
      <c r="F1834" s="49">
        <v>19110</v>
      </c>
      <c r="G1834" s="67" t="s">
        <v>5616</v>
      </c>
      <c r="H1834" s="14" t="s">
        <v>5601</v>
      </c>
      <c r="I1834" s="14" t="s">
        <v>2458</v>
      </c>
      <c r="J1834" s="33" t="s">
        <v>7110</v>
      </c>
      <c r="K1834" s="33" t="s">
        <v>4972</v>
      </c>
      <c r="L1834" s="68">
        <v>0</v>
      </c>
      <c r="M1834" s="68" t="s">
        <v>8915</v>
      </c>
      <c r="N1834" s="68">
        <v>0</v>
      </c>
      <c r="O1834" s="68">
        <v>0</v>
      </c>
      <c r="P1834" s="198" t="s">
        <v>5701</v>
      </c>
    </row>
    <row r="1835" spans="1:16" ht="18.75" hidden="1">
      <c r="A1835" s="50" t="s">
        <v>4795</v>
      </c>
      <c r="B1835" s="50" t="s">
        <v>4866</v>
      </c>
      <c r="C1835" s="50" t="s">
        <v>4926</v>
      </c>
      <c r="D1835" s="50" t="s">
        <v>4870</v>
      </c>
      <c r="E1835" s="12" t="s">
        <v>3420</v>
      </c>
      <c r="F1835" s="49">
        <v>1086961</v>
      </c>
      <c r="G1835" s="67" t="s">
        <v>5604</v>
      </c>
      <c r="H1835" s="14" t="s">
        <v>5601</v>
      </c>
      <c r="I1835" s="14" t="s">
        <v>2458</v>
      </c>
      <c r="J1835" s="33" t="s">
        <v>7110</v>
      </c>
      <c r="K1835" s="33" t="s">
        <v>4972</v>
      </c>
      <c r="L1835" s="68">
        <v>0</v>
      </c>
      <c r="M1835" s="68" t="s">
        <v>8915</v>
      </c>
      <c r="N1835" s="68">
        <v>0</v>
      </c>
      <c r="O1835" s="68">
        <v>0</v>
      </c>
      <c r="P1835" s="198" t="s">
        <v>5761</v>
      </c>
    </row>
    <row r="1836" spans="1:16" ht="18.75" hidden="1">
      <c r="A1836" s="50" t="s">
        <v>4796</v>
      </c>
      <c r="B1836" s="50" t="s">
        <v>4866</v>
      </c>
      <c r="C1836" s="50" t="s">
        <v>4734</v>
      </c>
      <c r="D1836" s="50" t="s">
        <v>4719</v>
      </c>
      <c r="E1836" s="12" t="s">
        <v>3420</v>
      </c>
      <c r="F1836" s="49">
        <v>3792</v>
      </c>
      <c r="G1836" s="67" t="s">
        <v>5754</v>
      </c>
      <c r="H1836" s="14" t="s">
        <v>5601</v>
      </c>
      <c r="I1836" s="14" t="s">
        <v>2458</v>
      </c>
      <c r="J1836" s="33" t="s">
        <v>7110</v>
      </c>
      <c r="K1836" s="33" t="s">
        <v>4972</v>
      </c>
      <c r="L1836" s="68">
        <v>0</v>
      </c>
      <c r="M1836" s="68" t="s">
        <v>8915</v>
      </c>
      <c r="N1836" s="68">
        <v>0</v>
      </c>
      <c r="O1836" s="68">
        <v>0</v>
      </c>
      <c r="P1836" s="198" t="s">
        <v>5755</v>
      </c>
    </row>
    <row r="1837" spans="1:16" ht="18.75" hidden="1">
      <c r="A1837" s="50" t="s">
        <v>4796</v>
      </c>
      <c r="B1837" s="50" t="s">
        <v>4866</v>
      </c>
      <c r="C1837" s="50" t="s">
        <v>4735</v>
      </c>
      <c r="D1837" s="50" t="s">
        <v>4719</v>
      </c>
      <c r="E1837" s="12" t="s">
        <v>3420</v>
      </c>
      <c r="F1837" s="49">
        <v>91173</v>
      </c>
      <c r="G1837" s="67" t="s">
        <v>5754</v>
      </c>
      <c r="H1837" s="14" t="s">
        <v>5601</v>
      </c>
      <c r="I1837" s="14" t="s">
        <v>2458</v>
      </c>
      <c r="J1837" s="33" t="s">
        <v>7110</v>
      </c>
      <c r="K1837" s="33" t="s">
        <v>4972</v>
      </c>
      <c r="L1837" s="68">
        <v>0</v>
      </c>
      <c r="M1837" s="68" t="s">
        <v>8915</v>
      </c>
      <c r="N1837" s="68">
        <v>0</v>
      </c>
      <c r="O1837" s="68">
        <v>0</v>
      </c>
      <c r="P1837" s="198" t="s">
        <v>5755</v>
      </c>
    </row>
    <row r="1838" spans="1:16" ht="18.75" hidden="1">
      <c r="A1838" s="50" t="s">
        <v>4796</v>
      </c>
      <c r="B1838" s="50" t="s">
        <v>4866</v>
      </c>
      <c r="C1838" s="50" t="s">
        <v>4736</v>
      </c>
      <c r="D1838" s="50" t="s">
        <v>4719</v>
      </c>
      <c r="E1838" s="12" t="s">
        <v>3420</v>
      </c>
      <c r="F1838" s="49">
        <v>1295</v>
      </c>
      <c r="G1838" s="67" t="s">
        <v>5754</v>
      </c>
      <c r="H1838" s="14" t="s">
        <v>5601</v>
      </c>
      <c r="I1838" s="14" t="s">
        <v>2458</v>
      </c>
      <c r="J1838" s="33" t="s">
        <v>7110</v>
      </c>
      <c r="K1838" s="33" t="s">
        <v>4972</v>
      </c>
      <c r="L1838" s="68">
        <v>0</v>
      </c>
      <c r="M1838" s="68" t="s">
        <v>8915</v>
      </c>
      <c r="N1838" s="68">
        <v>0</v>
      </c>
      <c r="O1838" s="68">
        <v>0</v>
      </c>
      <c r="P1838" s="198" t="s">
        <v>5755</v>
      </c>
    </row>
    <row r="1839" spans="1:16" ht="18.75" hidden="1">
      <c r="A1839" s="50" t="s">
        <v>4796</v>
      </c>
      <c r="B1839" s="50" t="s">
        <v>4866</v>
      </c>
      <c r="C1839" s="50" t="s">
        <v>4737</v>
      </c>
      <c r="D1839" s="50" t="s">
        <v>4719</v>
      </c>
      <c r="E1839" s="12" t="s">
        <v>3420</v>
      </c>
      <c r="F1839" s="49">
        <v>2355</v>
      </c>
      <c r="G1839" s="67" t="s">
        <v>5754</v>
      </c>
      <c r="H1839" s="14" t="s">
        <v>5601</v>
      </c>
      <c r="I1839" s="14" t="s">
        <v>2458</v>
      </c>
      <c r="J1839" s="33" t="s">
        <v>7110</v>
      </c>
      <c r="K1839" s="33" t="s">
        <v>4972</v>
      </c>
      <c r="L1839" s="68">
        <v>0</v>
      </c>
      <c r="M1839" s="68" t="s">
        <v>8915</v>
      </c>
      <c r="N1839" s="68">
        <v>0</v>
      </c>
      <c r="O1839" s="68">
        <v>0</v>
      </c>
      <c r="P1839" s="198" t="s">
        <v>5755</v>
      </c>
    </row>
    <row r="1840" spans="1:16" ht="18.75" hidden="1">
      <c r="A1840" s="50" t="s">
        <v>4778</v>
      </c>
      <c r="B1840" s="50" t="s">
        <v>4869</v>
      </c>
      <c r="C1840" s="50" t="s">
        <v>4927</v>
      </c>
      <c r="D1840" s="50" t="s">
        <v>3822</v>
      </c>
      <c r="E1840" s="12" t="s">
        <v>3420</v>
      </c>
      <c r="F1840" s="49">
        <v>226860</v>
      </c>
      <c r="G1840" s="67" t="s">
        <v>5611</v>
      </c>
      <c r="H1840" s="14" t="s">
        <v>5601</v>
      </c>
      <c r="I1840" s="14" t="s">
        <v>2458</v>
      </c>
      <c r="J1840" s="33" t="s">
        <v>7110</v>
      </c>
      <c r="K1840" s="33" t="s">
        <v>4972</v>
      </c>
      <c r="L1840" s="68">
        <v>0</v>
      </c>
      <c r="M1840" s="68" t="s">
        <v>8915</v>
      </c>
      <c r="N1840" s="68">
        <v>0</v>
      </c>
      <c r="O1840" s="68">
        <v>0</v>
      </c>
      <c r="P1840" s="198" t="s">
        <v>5654</v>
      </c>
    </row>
    <row r="1841" spans="1:16" ht="18.75" hidden="1">
      <c r="A1841" s="50" t="s">
        <v>4778</v>
      </c>
      <c r="B1841" s="50" t="s">
        <v>4869</v>
      </c>
      <c r="C1841" s="50" t="s">
        <v>4602</v>
      </c>
      <c r="D1841" s="50" t="s">
        <v>4176</v>
      </c>
      <c r="E1841" s="12" t="s">
        <v>3420</v>
      </c>
      <c r="F1841" s="49">
        <v>3447</v>
      </c>
      <c r="G1841" s="67" t="s">
        <v>5611</v>
      </c>
      <c r="H1841" s="14" t="s">
        <v>5601</v>
      </c>
      <c r="I1841" s="14" t="s">
        <v>2458</v>
      </c>
      <c r="J1841" s="33" t="s">
        <v>7110</v>
      </c>
      <c r="K1841" s="33" t="s">
        <v>4972</v>
      </c>
      <c r="L1841" s="68">
        <v>0</v>
      </c>
      <c r="M1841" s="68" t="s">
        <v>8915</v>
      </c>
      <c r="N1841" s="68">
        <v>0</v>
      </c>
      <c r="O1841" s="68">
        <v>0</v>
      </c>
      <c r="P1841" s="198" t="s">
        <v>5708</v>
      </c>
    </row>
    <row r="1842" spans="1:16" ht="18.75" hidden="1">
      <c r="A1842" s="50" t="s">
        <v>4790</v>
      </c>
      <c r="B1842" s="50" t="s">
        <v>4866</v>
      </c>
      <c r="C1842" s="50" t="s">
        <v>4920</v>
      </c>
      <c r="D1842" s="50" t="s">
        <v>4176</v>
      </c>
      <c r="E1842" s="12" t="s">
        <v>3420</v>
      </c>
      <c r="F1842" s="49">
        <v>57600</v>
      </c>
      <c r="G1842" s="67" t="s">
        <v>5609</v>
      </c>
      <c r="H1842" s="14" t="s">
        <v>5601</v>
      </c>
      <c r="I1842" s="14" t="s">
        <v>2458</v>
      </c>
      <c r="J1842" s="33" t="s">
        <v>7110</v>
      </c>
      <c r="K1842" s="33" t="s">
        <v>4972</v>
      </c>
      <c r="L1842" s="68">
        <v>0</v>
      </c>
      <c r="M1842" s="68" t="s">
        <v>8915</v>
      </c>
      <c r="N1842" s="68">
        <v>0</v>
      </c>
      <c r="O1842" s="68">
        <v>0</v>
      </c>
      <c r="P1842" s="198" t="s">
        <v>5711</v>
      </c>
    </row>
    <row r="1843" spans="1:16" ht="18.75" hidden="1">
      <c r="A1843" s="50" t="s">
        <v>4797</v>
      </c>
      <c r="B1843" s="50" t="s">
        <v>4868</v>
      </c>
      <c r="C1843" s="50" t="s">
        <v>4928</v>
      </c>
      <c r="D1843" s="50" t="s">
        <v>4869</v>
      </c>
      <c r="E1843" s="12" t="s">
        <v>3420</v>
      </c>
      <c r="F1843" s="49">
        <v>3330481</v>
      </c>
      <c r="G1843" s="67" t="s">
        <v>5604</v>
      </c>
      <c r="H1843" s="14" t="s">
        <v>5602</v>
      </c>
      <c r="I1843" s="14" t="s">
        <v>2458</v>
      </c>
      <c r="J1843" s="33" t="s">
        <v>7110</v>
      </c>
      <c r="K1843" s="33" t="s">
        <v>4972</v>
      </c>
      <c r="L1843" s="68">
        <v>0</v>
      </c>
      <c r="M1843" s="68" t="s">
        <v>8915</v>
      </c>
      <c r="N1843" s="68">
        <v>0</v>
      </c>
      <c r="O1843" s="68">
        <v>0</v>
      </c>
      <c r="P1843" s="198" t="s">
        <v>5760</v>
      </c>
    </row>
    <row r="1844" spans="1:16" ht="18.75" hidden="1">
      <c r="A1844" s="50" t="s">
        <v>4797</v>
      </c>
      <c r="B1844" s="50" t="s">
        <v>4868</v>
      </c>
      <c r="C1844" s="50" t="s">
        <v>4929</v>
      </c>
      <c r="D1844" s="50" t="s">
        <v>4869</v>
      </c>
      <c r="E1844" s="12" t="s">
        <v>3420</v>
      </c>
      <c r="F1844" s="49">
        <v>916797</v>
      </c>
      <c r="G1844" s="67" t="s">
        <v>5604</v>
      </c>
      <c r="H1844" s="14" t="s">
        <v>5602</v>
      </c>
      <c r="I1844" s="14" t="s">
        <v>2458</v>
      </c>
      <c r="J1844" s="33" t="s">
        <v>7110</v>
      </c>
      <c r="K1844" s="33" t="s">
        <v>4972</v>
      </c>
      <c r="L1844" s="68">
        <v>0</v>
      </c>
      <c r="M1844" s="68" t="s">
        <v>8915</v>
      </c>
      <c r="N1844" s="68">
        <v>0</v>
      </c>
      <c r="O1844" s="68">
        <v>0</v>
      </c>
      <c r="P1844" s="198" t="s">
        <v>5756</v>
      </c>
    </row>
    <row r="1845" spans="1:16" ht="18.75" hidden="1">
      <c r="A1845" s="50" t="s">
        <v>4797</v>
      </c>
      <c r="B1845" s="50" t="s">
        <v>4868</v>
      </c>
      <c r="C1845" s="50" t="s">
        <v>4930</v>
      </c>
      <c r="D1845" s="50" t="s">
        <v>4869</v>
      </c>
      <c r="E1845" s="12" t="s">
        <v>3420</v>
      </c>
      <c r="F1845" s="49">
        <v>350000</v>
      </c>
      <c r="G1845" s="67" t="s">
        <v>5604</v>
      </c>
      <c r="H1845" s="14" t="s">
        <v>5602</v>
      </c>
      <c r="I1845" s="14" t="s">
        <v>2458</v>
      </c>
      <c r="J1845" s="33" t="s">
        <v>7110</v>
      </c>
      <c r="K1845" s="33" t="s">
        <v>4972</v>
      </c>
      <c r="L1845" s="68">
        <v>0</v>
      </c>
      <c r="M1845" s="68" t="s">
        <v>8915</v>
      </c>
      <c r="N1845" s="68">
        <v>0</v>
      </c>
      <c r="O1845" s="68">
        <v>0</v>
      </c>
      <c r="P1845" s="198" t="s">
        <v>5749</v>
      </c>
    </row>
    <row r="1846" spans="1:16" ht="18.75" hidden="1">
      <c r="A1846" s="50" t="s">
        <v>4798</v>
      </c>
      <c r="B1846" s="50" t="s">
        <v>4872</v>
      </c>
      <c r="C1846" s="50" t="s">
        <v>4931</v>
      </c>
      <c r="D1846" s="50" t="s">
        <v>4442</v>
      </c>
      <c r="E1846" s="12" t="s">
        <v>3420</v>
      </c>
      <c r="F1846" s="49">
        <v>97185</v>
      </c>
      <c r="G1846" s="67" t="s">
        <v>5609</v>
      </c>
      <c r="H1846" s="14" t="s">
        <v>5601</v>
      </c>
      <c r="I1846" s="14" t="s">
        <v>2458</v>
      </c>
      <c r="J1846" s="33" t="s">
        <v>7110</v>
      </c>
      <c r="K1846" s="33" t="s">
        <v>4972</v>
      </c>
      <c r="L1846" s="68">
        <v>0</v>
      </c>
      <c r="M1846" s="68" t="s">
        <v>8915</v>
      </c>
      <c r="N1846" s="68">
        <v>0</v>
      </c>
      <c r="O1846" s="68">
        <v>0</v>
      </c>
      <c r="P1846" s="198" t="s">
        <v>5717</v>
      </c>
    </row>
    <row r="1847" spans="1:16" ht="18.75" hidden="1">
      <c r="A1847" s="50" t="s">
        <v>4799</v>
      </c>
      <c r="B1847" s="50" t="s">
        <v>4872</v>
      </c>
      <c r="C1847" s="50" t="s">
        <v>4932</v>
      </c>
      <c r="D1847" s="50" t="s">
        <v>4866</v>
      </c>
      <c r="E1847" s="12" t="s">
        <v>3420</v>
      </c>
      <c r="F1847" s="49">
        <v>200630</v>
      </c>
      <c r="G1847" s="67" t="s">
        <v>5631</v>
      </c>
      <c r="H1847" s="14" t="s">
        <v>5601</v>
      </c>
      <c r="I1847" s="14" t="s">
        <v>2458</v>
      </c>
      <c r="J1847" s="33" t="s">
        <v>7110</v>
      </c>
      <c r="K1847" s="33" t="s">
        <v>4972</v>
      </c>
      <c r="L1847" s="68">
        <v>0</v>
      </c>
      <c r="M1847" s="68" t="s">
        <v>8915</v>
      </c>
      <c r="N1847" s="68">
        <v>0</v>
      </c>
      <c r="O1847" s="68">
        <v>0</v>
      </c>
      <c r="P1847" s="197" t="s">
        <v>5748</v>
      </c>
    </row>
    <row r="1848" spans="1:16" ht="18.75" hidden="1">
      <c r="A1848" s="50" t="s">
        <v>4800</v>
      </c>
      <c r="B1848" s="50" t="s">
        <v>4873</v>
      </c>
      <c r="C1848" s="50" t="s">
        <v>4900</v>
      </c>
      <c r="D1848" s="50" t="s">
        <v>4183</v>
      </c>
      <c r="E1848" s="12" t="s">
        <v>3420</v>
      </c>
      <c r="F1848" s="49">
        <v>99935</v>
      </c>
      <c r="G1848" s="67" t="s">
        <v>5702</v>
      </c>
      <c r="H1848" s="14" t="s">
        <v>5601</v>
      </c>
      <c r="I1848" s="14" t="s">
        <v>2458</v>
      </c>
      <c r="J1848" s="33" t="s">
        <v>7110</v>
      </c>
      <c r="K1848" s="33" t="s">
        <v>4972</v>
      </c>
      <c r="L1848" s="68">
        <v>0</v>
      </c>
      <c r="M1848" s="68" t="s">
        <v>8915</v>
      </c>
      <c r="N1848" s="68">
        <v>0</v>
      </c>
      <c r="O1848" s="68">
        <v>0</v>
      </c>
      <c r="P1848" s="198" t="s">
        <v>5719</v>
      </c>
    </row>
    <row r="1849" spans="1:16" ht="18.75" hidden="1">
      <c r="A1849" s="50" t="s">
        <v>4801</v>
      </c>
      <c r="B1849" s="50" t="s">
        <v>4731</v>
      </c>
      <c r="C1849" s="50" t="s">
        <v>4919</v>
      </c>
      <c r="D1849" s="50" t="s">
        <v>4720</v>
      </c>
      <c r="E1849" s="12" t="s">
        <v>3420</v>
      </c>
      <c r="F1849" s="49">
        <v>785</v>
      </c>
      <c r="G1849" s="67" t="s">
        <v>5616</v>
      </c>
      <c r="H1849" s="14" t="s">
        <v>5601</v>
      </c>
      <c r="I1849" s="14" t="s">
        <v>2458</v>
      </c>
      <c r="J1849" s="33" t="s">
        <v>7110</v>
      </c>
      <c r="K1849" s="33" t="s">
        <v>4972</v>
      </c>
      <c r="L1849" s="68">
        <v>0</v>
      </c>
      <c r="M1849" s="68" t="s">
        <v>8915</v>
      </c>
      <c r="N1849" s="68">
        <v>0</v>
      </c>
      <c r="O1849" s="68">
        <v>0</v>
      </c>
      <c r="P1849" s="198" t="s">
        <v>5753</v>
      </c>
    </row>
    <row r="1850" spans="1:16" ht="18.75" hidden="1">
      <c r="A1850" s="50" t="s">
        <v>4802</v>
      </c>
      <c r="B1850" s="50" t="s">
        <v>4872</v>
      </c>
      <c r="C1850" s="50" t="s">
        <v>4919</v>
      </c>
      <c r="D1850" s="50" t="s">
        <v>4720</v>
      </c>
      <c r="E1850" s="12" t="s">
        <v>3420</v>
      </c>
      <c r="F1850" s="49">
        <v>486008</v>
      </c>
      <c r="G1850" s="67" t="s">
        <v>5616</v>
      </c>
      <c r="H1850" s="14" t="s">
        <v>5601</v>
      </c>
      <c r="I1850" s="14" t="s">
        <v>2458</v>
      </c>
      <c r="J1850" s="33" t="s">
        <v>7110</v>
      </c>
      <c r="K1850" s="33" t="s">
        <v>4972</v>
      </c>
      <c r="L1850" s="68">
        <v>0</v>
      </c>
      <c r="M1850" s="68" t="s">
        <v>8915</v>
      </c>
      <c r="N1850" s="68">
        <v>0</v>
      </c>
      <c r="O1850" s="68">
        <v>0</v>
      </c>
      <c r="P1850" s="198" t="s">
        <v>5753</v>
      </c>
    </row>
    <row r="1851" spans="1:16" ht="18.75" hidden="1">
      <c r="A1851" s="50" t="s">
        <v>4801</v>
      </c>
      <c r="B1851" s="50" t="s">
        <v>4731</v>
      </c>
      <c r="C1851" s="50" t="s">
        <v>4895</v>
      </c>
      <c r="D1851" s="50" t="s">
        <v>4720</v>
      </c>
      <c r="E1851" s="12" t="s">
        <v>3420</v>
      </c>
      <c r="F1851" s="49">
        <v>993615</v>
      </c>
      <c r="G1851" s="67" t="s">
        <v>5616</v>
      </c>
      <c r="H1851" s="14" t="s">
        <v>5601</v>
      </c>
      <c r="I1851" s="14" t="s">
        <v>2458</v>
      </c>
      <c r="J1851" s="33" t="s">
        <v>7110</v>
      </c>
      <c r="K1851" s="33" t="s">
        <v>4972</v>
      </c>
      <c r="L1851" s="68">
        <v>0</v>
      </c>
      <c r="M1851" s="68" t="s">
        <v>8915</v>
      </c>
      <c r="N1851" s="68">
        <v>0</v>
      </c>
      <c r="O1851" s="68">
        <v>0</v>
      </c>
      <c r="P1851" s="198" t="s">
        <v>5753</v>
      </c>
    </row>
    <row r="1852" spans="1:16" ht="18.75" hidden="1">
      <c r="A1852" s="50" t="s">
        <v>4803</v>
      </c>
      <c r="B1852" s="50" t="s">
        <v>4872</v>
      </c>
      <c r="C1852" s="50" t="s">
        <v>4461</v>
      </c>
      <c r="D1852" s="50" t="s">
        <v>4186</v>
      </c>
      <c r="E1852" s="12" t="s">
        <v>3420</v>
      </c>
      <c r="F1852" s="49">
        <v>115000</v>
      </c>
      <c r="G1852" s="67" t="s">
        <v>5609</v>
      </c>
      <c r="H1852" s="14" t="s">
        <v>5601</v>
      </c>
      <c r="I1852" s="14" t="s">
        <v>2458</v>
      </c>
      <c r="J1852" s="33" t="s">
        <v>7110</v>
      </c>
      <c r="K1852" s="33" t="s">
        <v>4972</v>
      </c>
      <c r="L1852" s="68">
        <v>0</v>
      </c>
      <c r="M1852" s="68" t="s">
        <v>8915</v>
      </c>
      <c r="N1852" s="68">
        <v>0</v>
      </c>
      <c r="O1852" s="68">
        <v>0</v>
      </c>
      <c r="P1852" s="198" t="s">
        <v>5711</v>
      </c>
    </row>
    <row r="1853" spans="1:16" ht="18.75" hidden="1">
      <c r="A1853" s="50" t="s">
        <v>4803</v>
      </c>
      <c r="B1853" s="50" t="s">
        <v>4872</v>
      </c>
      <c r="C1853" s="50" t="s">
        <v>4728</v>
      </c>
      <c r="D1853" s="50" t="s">
        <v>4177</v>
      </c>
      <c r="E1853" s="12" t="s">
        <v>3420</v>
      </c>
      <c r="F1853" s="49">
        <v>272065</v>
      </c>
      <c r="G1853" s="67" t="s">
        <v>5607</v>
      </c>
      <c r="H1853" s="14" t="s">
        <v>5601</v>
      </c>
      <c r="I1853" s="14" t="s">
        <v>2458</v>
      </c>
      <c r="J1853" s="33" t="s">
        <v>7110</v>
      </c>
      <c r="K1853" s="33" t="s">
        <v>4972</v>
      </c>
      <c r="L1853" s="68">
        <v>0</v>
      </c>
      <c r="M1853" s="68" t="s">
        <v>8915</v>
      </c>
      <c r="N1853" s="68">
        <v>0</v>
      </c>
      <c r="O1853" s="68">
        <v>0</v>
      </c>
      <c r="P1853" s="198" t="s">
        <v>5690</v>
      </c>
    </row>
    <row r="1854" spans="1:16" ht="18.75" hidden="1">
      <c r="A1854" s="50" t="s">
        <v>4803</v>
      </c>
      <c r="B1854" s="50" t="s">
        <v>4872</v>
      </c>
      <c r="C1854" s="50" t="s">
        <v>4721</v>
      </c>
      <c r="D1854" s="50" t="s">
        <v>4178</v>
      </c>
      <c r="E1854" s="12" t="s">
        <v>3420</v>
      </c>
      <c r="F1854" s="49">
        <v>75700</v>
      </c>
      <c r="G1854" s="67" t="s">
        <v>5607</v>
      </c>
      <c r="H1854" s="14" t="s">
        <v>5601</v>
      </c>
      <c r="I1854" s="14" t="s">
        <v>2458</v>
      </c>
      <c r="J1854" s="33" t="s">
        <v>7110</v>
      </c>
      <c r="K1854" s="33" t="s">
        <v>4972</v>
      </c>
      <c r="L1854" s="68">
        <v>0</v>
      </c>
      <c r="M1854" s="68" t="s">
        <v>8915</v>
      </c>
      <c r="N1854" s="68">
        <v>0</v>
      </c>
      <c r="O1854" s="68">
        <v>0</v>
      </c>
      <c r="P1854" s="198" t="s">
        <v>5690</v>
      </c>
    </row>
    <row r="1855" spans="1:16" ht="18.75" hidden="1">
      <c r="A1855" s="50" t="s">
        <v>4803</v>
      </c>
      <c r="B1855" s="50" t="s">
        <v>4872</v>
      </c>
      <c r="C1855" s="50" t="s">
        <v>4691</v>
      </c>
      <c r="D1855" s="50" t="s">
        <v>4186</v>
      </c>
      <c r="E1855" s="12" t="s">
        <v>3420</v>
      </c>
      <c r="F1855" s="49">
        <v>33235</v>
      </c>
      <c r="G1855" s="67" t="s">
        <v>5609</v>
      </c>
      <c r="H1855" s="14" t="s">
        <v>5601</v>
      </c>
      <c r="I1855" s="14" t="s">
        <v>2458</v>
      </c>
      <c r="J1855" s="33" t="s">
        <v>7110</v>
      </c>
      <c r="K1855" s="33" t="s">
        <v>4972</v>
      </c>
      <c r="L1855" s="68">
        <v>0</v>
      </c>
      <c r="M1855" s="68" t="s">
        <v>8915</v>
      </c>
      <c r="N1855" s="68">
        <v>0</v>
      </c>
      <c r="O1855" s="68">
        <v>0</v>
      </c>
      <c r="P1855" s="198" t="s">
        <v>5711</v>
      </c>
    </row>
    <row r="1856" spans="1:16" ht="18.75" hidden="1">
      <c r="A1856" s="50" t="s">
        <v>4804</v>
      </c>
      <c r="B1856" s="50" t="s">
        <v>4874</v>
      </c>
      <c r="C1856" s="50" t="s">
        <v>4915</v>
      </c>
      <c r="D1856" s="50" t="s">
        <v>4446</v>
      </c>
      <c r="E1856" s="12" t="s">
        <v>3420</v>
      </c>
      <c r="F1856" s="49">
        <v>42740</v>
      </c>
      <c r="G1856" s="67" t="s">
        <v>5609</v>
      </c>
      <c r="H1856" s="14" t="s">
        <v>5601</v>
      </c>
      <c r="I1856" s="14" t="s">
        <v>2458</v>
      </c>
      <c r="J1856" s="33" t="s">
        <v>7110</v>
      </c>
      <c r="K1856" s="33" t="s">
        <v>4972</v>
      </c>
      <c r="L1856" s="68">
        <v>0</v>
      </c>
      <c r="M1856" s="68" t="s">
        <v>8915</v>
      </c>
      <c r="N1856" s="68">
        <v>0</v>
      </c>
      <c r="O1856" s="68">
        <v>0</v>
      </c>
      <c r="P1856" s="198" t="s">
        <v>5723</v>
      </c>
    </row>
    <row r="1857" spans="1:16" ht="18.75" hidden="1">
      <c r="A1857" s="50" t="s">
        <v>4805</v>
      </c>
      <c r="B1857" s="50" t="s">
        <v>4875</v>
      </c>
      <c r="C1857" s="50" t="s">
        <v>4933</v>
      </c>
      <c r="D1857" s="50" t="s">
        <v>4871</v>
      </c>
      <c r="E1857" s="12" t="s">
        <v>3420</v>
      </c>
      <c r="F1857" s="49">
        <v>808445</v>
      </c>
      <c r="G1857" s="67" t="s">
        <v>5616</v>
      </c>
      <c r="H1857" s="14" t="s">
        <v>5601</v>
      </c>
      <c r="I1857" s="14" t="s">
        <v>2458</v>
      </c>
      <c r="J1857" s="33" t="s">
        <v>7110</v>
      </c>
      <c r="K1857" s="33" t="s">
        <v>4972</v>
      </c>
      <c r="L1857" s="68">
        <v>0</v>
      </c>
      <c r="M1857" s="68" t="s">
        <v>8915</v>
      </c>
      <c r="N1857" s="68">
        <v>0</v>
      </c>
      <c r="O1857" s="68">
        <v>0</v>
      </c>
      <c r="P1857" s="198" t="s">
        <v>5753</v>
      </c>
    </row>
    <row r="1858" spans="1:16" ht="18.75" hidden="1">
      <c r="A1858" s="50" t="s">
        <v>4806</v>
      </c>
      <c r="B1858" s="50" t="s">
        <v>4874</v>
      </c>
      <c r="C1858" s="50" t="s">
        <v>4934</v>
      </c>
      <c r="D1858" s="50" t="s">
        <v>4442</v>
      </c>
      <c r="E1858" s="12" t="s">
        <v>3420</v>
      </c>
      <c r="F1858" s="49">
        <v>146990</v>
      </c>
      <c r="G1858" s="67" t="s">
        <v>5609</v>
      </c>
      <c r="H1858" s="14" t="s">
        <v>5601</v>
      </c>
      <c r="I1858" s="14" t="s">
        <v>2458</v>
      </c>
      <c r="J1858" s="33" t="s">
        <v>7110</v>
      </c>
      <c r="K1858" s="33" t="s">
        <v>4972</v>
      </c>
      <c r="L1858" s="68">
        <v>0</v>
      </c>
      <c r="M1858" s="68" t="s">
        <v>8915</v>
      </c>
      <c r="N1858" s="68">
        <v>0</v>
      </c>
      <c r="O1858" s="68">
        <v>0</v>
      </c>
      <c r="P1858" s="198" t="s">
        <v>5723</v>
      </c>
    </row>
    <row r="1859" spans="1:16" ht="18.75" hidden="1">
      <c r="A1859" s="50" t="s">
        <v>4804</v>
      </c>
      <c r="B1859" s="50" t="s">
        <v>4874</v>
      </c>
      <c r="C1859" s="50" t="s">
        <v>4934</v>
      </c>
      <c r="D1859" s="50" t="s">
        <v>4442</v>
      </c>
      <c r="E1859" s="12" t="s">
        <v>3420</v>
      </c>
      <c r="F1859" s="49">
        <v>553010</v>
      </c>
      <c r="G1859" s="67" t="s">
        <v>5609</v>
      </c>
      <c r="H1859" s="14" t="s">
        <v>5601</v>
      </c>
      <c r="I1859" s="14" t="s">
        <v>2458</v>
      </c>
      <c r="J1859" s="33" t="s">
        <v>7110</v>
      </c>
      <c r="K1859" s="33" t="s">
        <v>4972</v>
      </c>
      <c r="L1859" s="68">
        <v>0</v>
      </c>
      <c r="M1859" s="68" t="s">
        <v>8915</v>
      </c>
      <c r="N1859" s="68">
        <v>0</v>
      </c>
      <c r="O1859" s="68">
        <v>0</v>
      </c>
      <c r="P1859" s="198" t="s">
        <v>5723</v>
      </c>
    </row>
    <row r="1860" spans="1:16" ht="18.75" hidden="1">
      <c r="A1860" s="50" t="s">
        <v>4803</v>
      </c>
      <c r="B1860" s="50" t="s">
        <v>4872</v>
      </c>
      <c r="C1860" s="50" t="s">
        <v>4935</v>
      </c>
      <c r="D1860" s="50" t="s">
        <v>3900</v>
      </c>
      <c r="E1860" s="12" t="s">
        <v>3420</v>
      </c>
      <c r="F1860" s="49">
        <v>500000</v>
      </c>
      <c r="G1860" s="67" t="s">
        <v>5609</v>
      </c>
      <c r="H1860" s="14" t="s">
        <v>5601</v>
      </c>
      <c r="I1860" s="14" t="s">
        <v>2458</v>
      </c>
      <c r="J1860" s="33" t="s">
        <v>7110</v>
      </c>
      <c r="K1860" s="33" t="s">
        <v>4972</v>
      </c>
      <c r="L1860" s="68">
        <v>0</v>
      </c>
      <c r="M1860" s="68" t="s">
        <v>8915</v>
      </c>
      <c r="N1860" s="68">
        <v>0</v>
      </c>
      <c r="O1860" s="68">
        <v>0</v>
      </c>
      <c r="P1860" s="198" t="s">
        <v>5688</v>
      </c>
    </row>
    <row r="1861" spans="1:16" ht="18.75" hidden="1">
      <c r="A1861" s="50" t="s">
        <v>4806</v>
      </c>
      <c r="B1861" s="50" t="s">
        <v>4874</v>
      </c>
      <c r="C1861" s="50" t="s">
        <v>4931</v>
      </c>
      <c r="D1861" s="50" t="s">
        <v>4442</v>
      </c>
      <c r="E1861" s="12" t="s">
        <v>3420</v>
      </c>
      <c r="F1861" s="49">
        <v>75550</v>
      </c>
      <c r="G1861" s="67" t="s">
        <v>5609</v>
      </c>
      <c r="H1861" s="14" t="s">
        <v>5601</v>
      </c>
      <c r="I1861" s="14" t="s">
        <v>2458</v>
      </c>
      <c r="J1861" s="33" t="s">
        <v>7110</v>
      </c>
      <c r="K1861" s="33" t="s">
        <v>4972</v>
      </c>
      <c r="L1861" s="68">
        <v>0</v>
      </c>
      <c r="M1861" s="68" t="s">
        <v>8915</v>
      </c>
      <c r="N1861" s="68">
        <v>0</v>
      </c>
      <c r="O1861" s="68">
        <v>0</v>
      </c>
      <c r="P1861" s="198" t="s">
        <v>5717</v>
      </c>
    </row>
    <row r="1862" spans="1:16" ht="18.75" hidden="1">
      <c r="A1862" s="50" t="s">
        <v>4807</v>
      </c>
      <c r="B1862" s="50" t="s">
        <v>4875</v>
      </c>
      <c r="C1862" s="50" t="s">
        <v>4936</v>
      </c>
      <c r="D1862" s="50" t="s">
        <v>4731</v>
      </c>
      <c r="E1862" s="12" t="s">
        <v>3420</v>
      </c>
      <c r="F1862" s="49">
        <v>682140</v>
      </c>
      <c r="G1862" s="67" t="s">
        <v>5604</v>
      </c>
      <c r="H1862" s="14" t="s">
        <v>5601</v>
      </c>
      <c r="I1862" s="14" t="s">
        <v>2458</v>
      </c>
      <c r="J1862" s="33" t="e">
        <f>VLOOKUP(C1862,شرکتها!A:B,2,FALSE)</f>
        <v>#N/A</v>
      </c>
      <c r="K1862" s="33" t="s">
        <v>4972</v>
      </c>
      <c r="L1862" s="68">
        <v>0</v>
      </c>
      <c r="M1862" s="68" t="s">
        <v>8915</v>
      </c>
      <c r="N1862" s="68">
        <v>0</v>
      </c>
      <c r="O1862" s="68">
        <v>0</v>
      </c>
      <c r="P1862" s="198" t="s">
        <v>5710</v>
      </c>
    </row>
    <row r="1863" spans="1:16" ht="18.75" hidden="1">
      <c r="A1863" s="50" t="s">
        <v>4808</v>
      </c>
      <c r="B1863" s="50" t="s">
        <v>4731</v>
      </c>
      <c r="C1863" s="50" t="s">
        <v>4906</v>
      </c>
      <c r="D1863" s="50" t="s">
        <v>4183</v>
      </c>
      <c r="E1863" s="12" t="s">
        <v>3420</v>
      </c>
      <c r="F1863" s="49">
        <v>430000</v>
      </c>
      <c r="G1863" s="67" t="s">
        <v>5652</v>
      </c>
      <c r="H1863" s="14" t="s">
        <v>5601</v>
      </c>
      <c r="I1863" s="14" t="s">
        <v>2458</v>
      </c>
      <c r="J1863" s="33" t="s">
        <v>7110</v>
      </c>
      <c r="K1863" s="33" t="s">
        <v>4972</v>
      </c>
      <c r="L1863" s="68">
        <v>0</v>
      </c>
      <c r="M1863" s="68" t="s">
        <v>8915</v>
      </c>
      <c r="N1863" s="68">
        <v>0</v>
      </c>
      <c r="O1863" s="68">
        <v>0</v>
      </c>
      <c r="P1863" s="198" t="s">
        <v>5724</v>
      </c>
    </row>
    <row r="1864" spans="1:16" ht="18.75" hidden="1">
      <c r="A1864" s="50" t="s">
        <v>4809</v>
      </c>
      <c r="B1864" s="50" t="s">
        <v>4875</v>
      </c>
      <c r="C1864" s="50" t="s">
        <v>4900</v>
      </c>
      <c r="D1864" s="50" t="s">
        <v>4183</v>
      </c>
      <c r="E1864" s="12" t="s">
        <v>3420</v>
      </c>
      <c r="F1864" s="49">
        <v>1002650</v>
      </c>
      <c r="G1864" s="67" t="s">
        <v>5702</v>
      </c>
      <c r="H1864" s="14" t="s">
        <v>5601</v>
      </c>
      <c r="I1864" s="14" t="s">
        <v>2458</v>
      </c>
      <c r="J1864" s="33" t="s">
        <v>7110</v>
      </c>
      <c r="K1864" s="33" t="s">
        <v>4972</v>
      </c>
      <c r="L1864" s="68">
        <v>0</v>
      </c>
      <c r="M1864" s="68" t="s">
        <v>8915</v>
      </c>
      <c r="N1864" s="68">
        <v>0</v>
      </c>
      <c r="O1864" s="68">
        <v>0</v>
      </c>
      <c r="P1864" s="198" t="s">
        <v>5719</v>
      </c>
    </row>
    <row r="1865" spans="1:16" ht="18.75" hidden="1">
      <c r="A1865" s="50" t="s">
        <v>4810</v>
      </c>
      <c r="B1865" s="50" t="s">
        <v>4876</v>
      </c>
      <c r="C1865" s="50" t="s">
        <v>4937</v>
      </c>
      <c r="D1865" s="50" t="s">
        <v>4514</v>
      </c>
      <c r="E1865" s="12" t="s">
        <v>3420</v>
      </c>
      <c r="F1865" s="49">
        <v>255068</v>
      </c>
      <c r="G1865" s="67" t="s">
        <v>5652</v>
      </c>
      <c r="H1865" s="14" t="s">
        <v>5601</v>
      </c>
      <c r="I1865" s="14" t="s">
        <v>2458</v>
      </c>
      <c r="J1865" s="33" t="s">
        <v>7110</v>
      </c>
      <c r="K1865" s="33" t="s">
        <v>4972</v>
      </c>
      <c r="L1865" s="68">
        <v>0</v>
      </c>
      <c r="M1865" s="68" t="s">
        <v>8915</v>
      </c>
      <c r="N1865" s="68">
        <v>0</v>
      </c>
      <c r="O1865" s="68">
        <v>0</v>
      </c>
      <c r="P1865" s="198" t="s">
        <v>5724</v>
      </c>
    </row>
    <row r="1866" spans="1:16" ht="18.75" hidden="1">
      <c r="A1866" s="50" t="s">
        <v>4811</v>
      </c>
      <c r="B1866" s="50" t="s">
        <v>4872</v>
      </c>
      <c r="C1866" s="50" t="s">
        <v>4909</v>
      </c>
      <c r="D1866" s="50" t="s">
        <v>4870</v>
      </c>
      <c r="E1866" s="12" t="s">
        <v>3420</v>
      </c>
      <c r="F1866" s="49">
        <v>436500</v>
      </c>
      <c r="G1866" s="67" t="s">
        <v>5631</v>
      </c>
      <c r="H1866" s="14" t="s">
        <v>5601</v>
      </c>
      <c r="I1866" s="14" t="s">
        <v>2458</v>
      </c>
      <c r="J1866" s="33" t="s">
        <v>7110</v>
      </c>
      <c r="K1866" s="33" t="s">
        <v>4972</v>
      </c>
      <c r="L1866" s="68">
        <v>0</v>
      </c>
      <c r="M1866" s="68" t="s">
        <v>8915</v>
      </c>
      <c r="N1866" s="68">
        <v>0</v>
      </c>
      <c r="O1866" s="68">
        <v>0</v>
      </c>
      <c r="P1866" s="197" t="s">
        <v>5748</v>
      </c>
    </row>
    <row r="1867" spans="1:16" ht="18.75" hidden="1">
      <c r="A1867" s="50" t="s">
        <v>4811</v>
      </c>
      <c r="B1867" s="50" t="s">
        <v>4872</v>
      </c>
      <c r="C1867" s="50" t="s">
        <v>4932</v>
      </c>
      <c r="D1867" s="50" t="s">
        <v>4866</v>
      </c>
      <c r="E1867" s="12" t="s">
        <v>3420</v>
      </c>
      <c r="F1867" s="49">
        <v>85885</v>
      </c>
      <c r="G1867" s="67" t="s">
        <v>5631</v>
      </c>
      <c r="H1867" s="14" t="s">
        <v>5601</v>
      </c>
      <c r="I1867" s="14" t="s">
        <v>2458</v>
      </c>
      <c r="J1867" s="33" t="s">
        <v>7110</v>
      </c>
      <c r="K1867" s="33" t="s">
        <v>4972</v>
      </c>
      <c r="L1867" s="68">
        <v>0</v>
      </c>
      <c r="M1867" s="68" t="s">
        <v>8915</v>
      </c>
      <c r="N1867" s="68">
        <v>0</v>
      </c>
      <c r="O1867" s="68">
        <v>0</v>
      </c>
      <c r="P1867" s="197" t="s">
        <v>5748</v>
      </c>
    </row>
    <row r="1868" spans="1:16" ht="18.75" hidden="1">
      <c r="A1868" s="50" t="s">
        <v>4812</v>
      </c>
      <c r="B1868" s="50" t="s">
        <v>4874</v>
      </c>
      <c r="C1868" s="50" t="s">
        <v>4938</v>
      </c>
      <c r="D1868" s="50" t="s">
        <v>4864</v>
      </c>
      <c r="E1868" s="12" t="s">
        <v>3420</v>
      </c>
      <c r="F1868" s="49">
        <v>300000</v>
      </c>
      <c r="G1868" s="67" t="s">
        <v>5611</v>
      </c>
      <c r="H1868" s="14" t="s">
        <v>5601</v>
      </c>
      <c r="I1868" s="14" t="s">
        <v>2458</v>
      </c>
      <c r="J1868" s="33" t="s">
        <v>7110</v>
      </c>
      <c r="K1868" s="33" t="s">
        <v>4972</v>
      </c>
      <c r="L1868" s="68">
        <v>0</v>
      </c>
      <c r="M1868" s="68" t="s">
        <v>8915</v>
      </c>
      <c r="N1868" s="68">
        <v>0</v>
      </c>
      <c r="O1868" s="68">
        <v>0</v>
      </c>
      <c r="P1868" s="198" t="s">
        <v>5752</v>
      </c>
    </row>
    <row r="1869" spans="1:16" ht="18.75" hidden="1">
      <c r="A1869" s="50" t="s">
        <v>4812</v>
      </c>
      <c r="B1869" s="50" t="s">
        <v>4874</v>
      </c>
      <c r="C1869" s="50" t="s">
        <v>4939</v>
      </c>
      <c r="D1869" s="50" t="s">
        <v>4872</v>
      </c>
      <c r="E1869" s="12" t="s">
        <v>3420</v>
      </c>
      <c r="F1869" s="49">
        <v>199284</v>
      </c>
      <c r="G1869" s="67" t="s">
        <v>5611</v>
      </c>
      <c r="H1869" s="14" t="s">
        <v>5601</v>
      </c>
      <c r="I1869" s="14" t="s">
        <v>2458</v>
      </c>
      <c r="J1869" s="33" t="s">
        <v>7110</v>
      </c>
      <c r="K1869" s="33" t="s">
        <v>4972</v>
      </c>
      <c r="L1869" s="68">
        <v>0</v>
      </c>
      <c r="M1869" s="68" t="s">
        <v>8915</v>
      </c>
      <c r="N1869" s="68">
        <v>0</v>
      </c>
      <c r="O1869" s="68">
        <v>0</v>
      </c>
      <c r="P1869" s="198" t="s">
        <v>5762</v>
      </c>
    </row>
    <row r="1870" spans="1:16" ht="18.75" hidden="1">
      <c r="A1870" s="50" t="s">
        <v>4813</v>
      </c>
      <c r="B1870" s="50" t="s">
        <v>4877</v>
      </c>
      <c r="C1870" s="50" t="s">
        <v>4940</v>
      </c>
      <c r="D1870" s="50" t="s">
        <v>4865</v>
      </c>
      <c r="E1870" s="12" t="s">
        <v>3420</v>
      </c>
      <c r="F1870" s="49">
        <v>497850</v>
      </c>
      <c r="G1870" s="67" t="s">
        <v>5616</v>
      </c>
      <c r="H1870" s="14" t="s">
        <v>5601</v>
      </c>
      <c r="I1870" s="14" t="s">
        <v>2458</v>
      </c>
      <c r="J1870" s="33" t="s">
        <v>7110</v>
      </c>
      <c r="K1870" s="33" t="s">
        <v>4972</v>
      </c>
      <c r="L1870" s="68">
        <v>0</v>
      </c>
      <c r="M1870" s="68" t="s">
        <v>8915</v>
      </c>
      <c r="N1870" s="68">
        <v>0</v>
      </c>
      <c r="O1870" s="68">
        <v>0</v>
      </c>
      <c r="P1870" s="198" t="s">
        <v>5753</v>
      </c>
    </row>
    <row r="1871" spans="1:16" ht="18.75" hidden="1">
      <c r="A1871" s="50" t="s">
        <v>4814</v>
      </c>
      <c r="B1871" s="50" t="s">
        <v>4872</v>
      </c>
      <c r="C1871" s="50" t="s">
        <v>4941</v>
      </c>
      <c r="D1871" s="50" t="s">
        <v>4870</v>
      </c>
      <c r="E1871" s="12" t="s">
        <v>3420</v>
      </c>
      <c r="F1871" s="49">
        <v>292875</v>
      </c>
      <c r="G1871" s="67" t="s">
        <v>5616</v>
      </c>
      <c r="H1871" s="14" t="s">
        <v>5601</v>
      </c>
      <c r="I1871" s="14" t="s">
        <v>2458</v>
      </c>
      <c r="J1871" s="33" t="s">
        <v>7110</v>
      </c>
      <c r="K1871" s="33" t="s">
        <v>4972</v>
      </c>
      <c r="L1871" s="68">
        <v>0</v>
      </c>
      <c r="M1871" s="68" t="s">
        <v>8915</v>
      </c>
      <c r="N1871" s="68">
        <v>0</v>
      </c>
      <c r="O1871" s="68">
        <v>0</v>
      </c>
      <c r="P1871" s="198" t="s">
        <v>5753</v>
      </c>
    </row>
    <row r="1872" spans="1:16" ht="18.75" hidden="1">
      <c r="A1872" s="50" t="s">
        <v>4815</v>
      </c>
      <c r="B1872" s="50" t="s">
        <v>4731</v>
      </c>
      <c r="C1872" s="50" t="s">
        <v>4906</v>
      </c>
      <c r="D1872" s="50" t="s">
        <v>4183</v>
      </c>
      <c r="E1872" s="12" t="s">
        <v>3420</v>
      </c>
      <c r="F1872" s="49">
        <v>200000</v>
      </c>
      <c r="G1872" s="67" t="s">
        <v>5652</v>
      </c>
      <c r="H1872" s="14" t="s">
        <v>5601</v>
      </c>
      <c r="I1872" s="14" t="s">
        <v>2458</v>
      </c>
      <c r="J1872" s="33" t="s">
        <v>7110</v>
      </c>
      <c r="K1872" s="33" t="s">
        <v>4972</v>
      </c>
      <c r="L1872" s="68">
        <v>0</v>
      </c>
      <c r="M1872" s="68" t="s">
        <v>8915</v>
      </c>
      <c r="N1872" s="68">
        <v>0</v>
      </c>
      <c r="O1872" s="68">
        <v>0</v>
      </c>
      <c r="P1872" s="198" t="s">
        <v>5724</v>
      </c>
    </row>
    <row r="1873" spans="1:16" ht="18.75" hidden="1">
      <c r="A1873" s="50" t="s">
        <v>4816</v>
      </c>
      <c r="B1873" s="50" t="s">
        <v>4872</v>
      </c>
      <c r="C1873" s="50" t="s">
        <v>4942</v>
      </c>
      <c r="D1873" s="50" t="s">
        <v>4865</v>
      </c>
      <c r="E1873" s="12" t="s">
        <v>3420</v>
      </c>
      <c r="F1873" s="49">
        <v>298371</v>
      </c>
      <c r="G1873" s="67" t="s">
        <v>5604</v>
      </c>
      <c r="H1873" s="14" t="s">
        <v>5601</v>
      </c>
      <c r="I1873" s="14" t="s">
        <v>2458</v>
      </c>
      <c r="J1873" s="33" t="e">
        <f>VLOOKUP(C1873,شرکتها!A:B,2,FALSE)</f>
        <v>#N/A</v>
      </c>
      <c r="K1873" s="33" t="s">
        <v>4972</v>
      </c>
      <c r="L1873" s="68">
        <v>0</v>
      </c>
      <c r="M1873" s="68" t="s">
        <v>8915</v>
      </c>
      <c r="N1873" s="68">
        <v>0</v>
      </c>
      <c r="O1873" s="68">
        <v>0</v>
      </c>
      <c r="P1873" s="198" t="s">
        <v>5710</v>
      </c>
    </row>
    <row r="1874" spans="1:16" ht="18.75" hidden="1">
      <c r="A1874" s="50" t="s">
        <v>4806</v>
      </c>
      <c r="B1874" s="50" t="s">
        <v>4874</v>
      </c>
      <c r="C1874" s="50" t="s">
        <v>4691</v>
      </c>
      <c r="D1874" s="50" t="s">
        <v>4186</v>
      </c>
      <c r="E1874" s="12" t="s">
        <v>3420</v>
      </c>
      <c r="F1874" s="49">
        <v>63385</v>
      </c>
      <c r="G1874" s="67" t="s">
        <v>5609</v>
      </c>
      <c r="H1874" s="14" t="s">
        <v>5601</v>
      </c>
      <c r="I1874" s="14" t="s">
        <v>2458</v>
      </c>
      <c r="J1874" s="33" t="s">
        <v>7110</v>
      </c>
      <c r="K1874" s="33" t="s">
        <v>4972</v>
      </c>
      <c r="L1874" s="68">
        <v>0</v>
      </c>
      <c r="M1874" s="68" t="s">
        <v>8915</v>
      </c>
      <c r="N1874" s="68">
        <v>0</v>
      </c>
      <c r="O1874" s="68">
        <v>0</v>
      </c>
      <c r="P1874" s="198" t="s">
        <v>5711</v>
      </c>
    </row>
    <row r="1875" spans="1:16" ht="18.75" hidden="1">
      <c r="A1875" s="50" t="s">
        <v>4817</v>
      </c>
      <c r="B1875" s="50" t="s">
        <v>4872</v>
      </c>
      <c r="C1875" s="50" t="s">
        <v>4900</v>
      </c>
      <c r="D1875" s="50" t="s">
        <v>4183</v>
      </c>
      <c r="E1875" s="12" t="s">
        <v>3420</v>
      </c>
      <c r="F1875" s="49">
        <v>1004850</v>
      </c>
      <c r="G1875" s="67" t="s">
        <v>5702</v>
      </c>
      <c r="H1875" s="14" t="s">
        <v>5601</v>
      </c>
      <c r="I1875" s="14" t="s">
        <v>2458</v>
      </c>
      <c r="J1875" s="33" t="s">
        <v>7110</v>
      </c>
      <c r="K1875" s="33" t="s">
        <v>4972</v>
      </c>
      <c r="L1875" s="68">
        <v>0</v>
      </c>
      <c r="M1875" s="68" t="s">
        <v>8915</v>
      </c>
      <c r="N1875" s="68">
        <v>0</v>
      </c>
      <c r="O1875" s="68">
        <v>0</v>
      </c>
      <c r="P1875" s="198" t="s">
        <v>5719</v>
      </c>
    </row>
    <row r="1876" spans="1:16" ht="18.75" hidden="1">
      <c r="A1876" s="50" t="s">
        <v>4808</v>
      </c>
      <c r="B1876" s="50" t="s">
        <v>4731</v>
      </c>
      <c r="C1876" s="50" t="s">
        <v>4896</v>
      </c>
      <c r="D1876" s="50" t="s">
        <v>4183</v>
      </c>
      <c r="E1876" s="12" t="s">
        <v>3420</v>
      </c>
      <c r="F1876" s="49">
        <v>70000</v>
      </c>
      <c r="G1876" s="67" t="s">
        <v>5652</v>
      </c>
      <c r="H1876" s="14" t="s">
        <v>5601</v>
      </c>
      <c r="I1876" s="14" t="s">
        <v>2458</v>
      </c>
      <c r="J1876" s="33" t="s">
        <v>7110</v>
      </c>
      <c r="K1876" s="33" t="s">
        <v>4972</v>
      </c>
      <c r="L1876" s="68">
        <v>0</v>
      </c>
      <c r="M1876" s="68" t="s">
        <v>8915</v>
      </c>
      <c r="N1876" s="68">
        <v>0</v>
      </c>
      <c r="O1876" s="68">
        <v>0</v>
      </c>
      <c r="P1876" s="198" t="s">
        <v>5724</v>
      </c>
    </row>
    <row r="1877" spans="1:16" ht="18.75" hidden="1">
      <c r="A1877" s="50" t="s">
        <v>4818</v>
      </c>
      <c r="B1877" s="50" t="s">
        <v>4878</v>
      </c>
      <c r="C1877" s="50" t="s">
        <v>4943</v>
      </c>
      <c r="D1877" s="50" t="s">
        <v>4878</v>
      </c>
      <c r="E1877" s="12" t="s">
        <v>3420</v>
      </c>
      <c r="F1877" s="49">
        <v>1090314</v>
      </c>
      <c r="G1877" s="67" t="s">
        <v>5604</v>
      </c>
      <c r="H1877" s="14" t="s">
        <v>5601</v>
      </c>
      <c r="I1877" s="14" t="s">
        <v>2458</v>
      </c>
      <c r="J1877" s="33" t="s">
        <v>7110</v>
      </c>
      <c r="K1877" s="33" t="s">
        <v>4972</v>
      </c>
      <c r="L1877" s="68">
        <v>0</v>
      </c>
      <c r="M1877" s="68" t="s">
        <v>8915</v>
      </c>
      <c r="N1877" s="68">
        <v>0</v>
      </c>
      <c r="O1877" s="68">
        <v>0</v>
      </c>
      <c r="P1877" s="198" t="s">
        <v>5761</v>
      </c>
    </row>
    <row r="1878" spans="1:16" ht="18.75" hidden="1">
      <c r="A1878" s="50" t="s">
        <v>4819</v>
      </c>
      <c r="B1878" s="50" t="s">
        <v>4872</v>
      </c>
      <c r="C1878" s="50" t="s">
        <v>4931</v>
      </c>
      <c r="D1878" s="50" t="s">
        <v>4442</v>
      </c>
      <c r="E1878" s="12" t="s">
        <v>3420</v>
      </c>
      <c r="F1878" s="49">
        <v>376945</v>
      </c>
      <c r="G1878" s="67" t="s">
        <v>5609</v>
      </c>
      <c r="H1878" s="14" t="s">
        <v>5601</v>
      </c>
      <c r="I1878" s="14" t="s">
        <v>2458</v>
      </c>
      <c r="J1878" s="33" t="s">
        <v>7110</v>
      </c>
      <c r="K1878" s="33" t="s">
        <v>4972</v>
      </c>
      <c r="L1878" s="68">
        <v>0</v>
      </c>
      <c r="M1878" s="68" t="s">
        <v>8915</v>
      </c>
      <c r="N1878" s="68">
        <v>0</v>
      </c>
      <c r="O1878" s="68">
        <v>0</v>
      </c>
      <c r="P1878" s="198" t="s">
        <v>5717</v>
      </c>
    </row>
    <row r="1879" spans="1:16" ht="18.75" hidden="1">
      <c r="A1879" s="50" t="s">
        <v>4820</v>
      </c>
      <c r="B1879" s="50" t="s">
        <v>4877</v>
      </c>
      <c r="C1879" s="50" t="s">
        <v>4937</v>
      </c>
      <c r="D1879" s="50" t="s">
        <v>4514</v>
      </c>
      <c r="E1879" s="12" t="s">
        <v>3420</v>
      </c>
      <c r="F1879" s="49">
        <v>488400</v>
      </c>
      <c r="G1879" s="67" t="s">
        <v>5652</v>
      </c>
      <c r="H1879" s="14" t="s">
        <v>5601</v>
      </c>
      <c r="I1879" s="14" t="s">
        <v>2458</v>
      </c>
      <c r="J1879" s="33" t="s">
        <v>7110</v>
      </c>
      <c r="K1879" s="33" t="s">
        <v>4972</v>
      </c>
      <c r="L1879" s="68">
        <v>0</v>
      </c>
      <c r="M1879" s="68" t="s">
        <v>8915</v>
      </c>
      <c r="N1879" s="68">
        <v>0</v>
      </c>
      <c r="O1879" s="68">
        <v>0</v>
      </c>
      <c r="P1879" s="198" t="s">
        <v>5724</v>
      </c>
    </row>
    <row r="1880" spans="1:16" ht="18.75" hidden="1">
      <c r="A1880" s="50" t="s">
        <v>4806</v>
      </c>
      <c r="B1880" s="50" t="s">
        <v>4874</v>
      </c>
      <c r="C1880" s="50" t="s">
        <v>4944</v>
      </c>
      <c r="D1880" s="50" t="s">
        <v>3937</v>
      </c>
      <c r="E1880" s="12" t="s">
        <v>3420</v>
      </c>
      <c r="F1880" s="49">
        <v>9450</v>
      </c>
      <c r="G1880" s="67" t="s">
        <v>5611</v>
      </c>
      <c r="H1880" s="14" t="s">
        <v>5601</v>
      </c>
      <c r="I1880" s="14" t="s">
        <v>2458</v>
      </c>
      <c r="J1880" s="33" t="s">
        <v>7110</v>
      </c>
      <c r="K1880" s="33" t="s">
        <v>4972</v>
      </c>
      <c r="L1880" s="68">
        <v>0</v>
      </c>
      <c r="M1880" s="68" t="s">
        <v>8915</v>
      </c>
      <c r="N1880" s="68">
        <v>0</v>
      </c>
      <c r="O1880" s="68">
        <v>0</v>
      </c>
      <c r="P1880" s="198" t="s">
        <v>5694</v>
      </c>
    </row>
    <row r="1881" spans="1:16" ht="18.75" hidden="1">
      <c r="A1881" s="50" t="s">
        <v>4821</v>
      </c>
      <c r="B1881" s="50" t="s">
        <v>4876</v>
      </c>
      <c r="C1881" s="50" t="s">
        <v>4945</v>
      </c>
      <c r="D1881" s="50" t="s">
        <v>4870</v>
      </c>
      <c r="E1881" s="12" t="s">
        <v>3420</v>
      </c>
      <c r="F1881" s="49">
        <v>976250</v>
      </c>
      <c r="G1881" s="67" t="s">
        <v>5616</v>
      </c>
      <c r="H1881" s="14" t="s">
        <v>5601</v>
      </c>
      <c r="I1881" s="14" t="s">
        <v>2458</v>
      </c>
      <c r="J1881" s="33" t="s">
        <v>7110</v>
      </c>
      <c r="K1881" s="33" t="s">
        <v>4972</v>
      </c>
      <c r="L1881" s="68">
        <v>0</v>
      </c>
      <c r="M1881" s="68" t="s">
        <v>8915</v>
      </c>
      <c r="N1881" s="68">
        <v>0</v>
      </c>
      <c r="O1881" s="68">
        <v>0</v>
      </c>
      <c r="P1881" s="198" t="s">
        <v>5753</v>
      </c>
    </row>
    <row r="1882" spans="1:16" ht="18.75" hidden="1">
      <c r="A1882" s="50" t="s">
        <v>4822</v>
      </c>
      <c r="B1882" s="50" t="s">
        <v>4872</v>
      </c>
      <c r="C1882" s="50" t="s">
        <v>4941</v>
      </c>
      <c r="D1882" s="50" t="s">
        <v>4870</v>
      </c>
      <c r="E1882" s="12" t="s">
        <v>3420</v>
      </c>
      <c r="F1882" s="49">
        <v>683375</v>
      </c>
      <c r="G1882" s="67" t="s">
        <v>5616</v>
      </c>
      <c r="H1882" s="14" t="s">
        <v>5601</v>
      </c>
      <c r="I1882" s="14" t="s">
        <v>2458</v>
      </c>
      <c r="J1882" s="33" t="s">
        <v>7110</v>
      </c>
      <c r="K1882" s="33" t="s">
        <v>4972</v>
      </c>
      <c r="L1882" s="68">
        <v>0</v>
      </c>
      <c r="M1882" s="68" t="s">
        <v>8915</v>
      </c>
      <c r="N1882" s="68">
        <v>0</v>
      </c>
      <c r="O1882" s="68">
        <v>0</v>
      </c>
      <c r="P1882" s="198" t="s">
        <v>5753</v>
      </c>
    </row>
    <row r="1883" spans="1:16" ht="18.75" hidden="1">
      <c r="A1883" s="50" t="s">
        <v>4823</v>
      </c>
      <c r="B1883" s="50" t="s">
        <v>4872</v>
      </c>
      <c r="C1883" s="50" t="s">
        <v>4946</v>
      </c>
      <c r="D1883" s="50" t="s">
        <v>4867</v>
      </c>
      <c r="E1883" s="12" t="s">
        <v>3420</v>
      </c>
      <c r="F1883" s="49">
        <v>498300</v>
      </c>
      <c r="G1883" s="67" t="s">
        <v>5611</v>
      </c>
      <c r="H1883" s="14" t="s">
        <v>5601</v>
      </c>
      <c r="I1883" s="14" t="s">
        <v>2458</v>
      </c>
      <c r="J1883" s="33" t="s">
        <v>7110</v>
      </c>
      <c r="K1883" s="33" t="s">
        <v>4972</v>
      </c>
      <c r="L1883" s="68">
        <v>0</v>
      </c>
      <c r="M1883" s="68" t="s">
        <v>8915</v>
      </c>
      <c r="N1883" s="68">
        <v>0</v>
      </c>
      <c r="O1883" s="68">
        <v>0</v>
      </c>
      <c r="P1883" s="198" t="s">
        <v>5758</v>
      </c>
    </row>
    <row r="1884" spans="1:16" ht="18.75" hidden="1">
      <c r="A1884" s="50" t="s">
        <v>4824</v>
      </c>
      <c r="B1884" s="50" t="s">
        <v>4872</v>
      </c>
      <c r="C1884" s="50" t="s">
        <v>4932</v>
      </c>
      <c r="D1884" s="50" t="s">
        <v>4866</v>
      </c>
      <c r="E1884" s="12" t="s">
        <v>3420</v>
      </c>
      <c r="F1884" s="49">
        <v>99070</v>
      </c>
      <c r="G1884" s="67" t="s">
        <v>5631</v>
      </c>
      <c r="H1884" s="14" t="s">
        <v>5601</v>
      </c>
      <c r="I1884" s="14" t="s">
        <v>2458</v>
      </c>
      <c r="J1884" s="33" t="s">
        <v>7110</v>
      </c>
      <c r="K1884" s="33" t="s">
        <v>4972</v>
      </c>
      <c r="L1884" s="68">
        <v>0</v>
      </c>
      <c r="M1884" s="68" t="s">
        <v>8915</v>
      </c>
      <c r="N1884" s="68">
        <v>0</v>
      </c>
      <c r="O1884" s="68">
        <v>0</v>
      </c>
      <c r="P1884" s="197" t="s">
        <v>5748</v>
      </c>
    </row>
    <row r="1885" spans="1:16" ht="18.75" hidden="1">
      <c r="A1885" s="50" t="s">
        <v>4825</v>
      </c>
      <c r="B1885" s="50" t="s">
        <v>4872</v>
      </c>
      <c r="C1885" s="50" t="s">
        <v>4931</v>
      </c>
      <c r="D1885" s="50" t="s">
        <v>4442</v>
      </c>
      <c r="E1885" s="12" t="s">
        <v>3420</v>
      </c>
      <c r="F1885" s="49">
        <v>100320</v>
      </c>
      <c r="G1885" s="67" t="s">
        <v>5609</v>
      </c>
      <c r="H1885" s="14" t="s">
        <v>5601</v>
      </c>
      <c r="I1885" s="14" t="s">
        <v>2458</v>
      </c>
      <c r="J1885" s="33" t="s">
        <v>7110</v>
      </c>
      <c r="K1885" s="33" t="s">
        <v>4972</v>
      </c>
      <c r="L1885" s="68">
        <v>0</v>
      </c>
      <c r="M1885" s="68" t="s">
        <v>8915</v>
      </c>
      <c r="N1885" s="68">
        <v>0</v>
      </c>
      <c r="O1885" s="68">
        <v>0</v>
      </c>
      <c r="P1885" s="198" t="s">
        <v>5717</v>
      </c>
    </row>
    <row r="1886" spans="1:16" ht="18.75" hidden="1">
      <c r="A1886" s="50" t="s">
        <v>4826</v>
      </c>
      <c r="B1886" s="50" t="s">
        <v>4872</v>
      </c>
      <c r="C1886" s="50" t="s">
        <v>4947</v>
      </c>
      <c r="D1886" s="50" t="s">
        <v>4872</v>
      </c>
      <c r="E1886" s="12" t="s">
        <v>3420</v>
      </c>
      <c r="F1886" s="49">
        <v>944000</v>
      </c>
      <c r="G1886" s="67" t="s">
        <v>5604</v>
      </c>
      <c r="H1886" s="14" t="s">
        <v>5601</v>
      </c>
      <c r="I1886" s="14" t="s">
        <v>2458</v>
      </c>
      <c r="J1886" s="33" t="s">
        <v>7110</v>
      </c>
      <c r="K1886" s="33" t="s">
        <v>4972</v>
      </c>
      <c r="L1886" s="68">
        <v>0</v>
      </c>
      <c r="M1886" s="68" t="s">
        <v>8915</v>
      </c>
      <c r="N1886" s="68">
        <v>0</v>
      </c>
      <c r="O1886" s="68">
        <v>0</v>
      </c>
      <c r="P1886" s="198" t="s">
        <v>5737</v>
      </c>
    </row>
    <row r="1887" spans="1:16" ht="18.75" hidden="1">
      <c r="A1887" s="50" t="s">
        <v>4826</v>
      </c>
      <c r="B1887" s="50" t="s">
        <v>4872</v>
      </c>
      <c r="C1887" s="50" t="s">
        <v>4948</v>
      </c>
      <c r="D1887" s="50" t="s">
        <v>4872</v>
      </c>
      <c r="E1887" s="12" t="s">
        <v>3420</v>
      </c>
      <c r="F1887" s="49">
        <v>483718</v>
      </c>
      <c r="G1887" s="67" t="s">
        <v>5604</v>
      </c>
      <c r="H1887" s="14" t="s">
        <v>5601</v>
      </c>
      <c r="I1887" s="14" t="s">
        <v>2458</v>
      </c>
      <c r="J1887" s="33" t="s">
        <v>7110</v>
      </c>
      <c r="K1887" s="33" t="s">
        <v>4972</v>
      </c>
      <c r="L1887" s="68">
        <v>0</v>
      </c>
      <c r="M1887" s="68" t="s">
        <v>8915</v>
      </c>
      <c r="N1887" s="68">
        <v>0</v>
      </c>
      <c r="O1887" s="68">
        <v>0</v>
      </c>
      <c r="P1887" s="198" t="s">
        <v>5761</v>
      </c>
    </row>
    <row r="1888" spans="1:16" ht="18.75" hidden="1">
      <c r="A1888" s="50" t="s">
        <v>4827</v>
      </c>
      <c r="B1888" s="50" t="s">
        <v>4877</v>
      </c>
      <c r="C1888" s="50" t="s">
        <v>4739</v>
      </c>
      <c r="D1888" s="50" t="s">
        <v>4868</v>
      </c>
      <c r="E1888" s="12" t="s">
        <v>3420</v>
      </c>
      <c r="F1888" s="49">
        <v>959409</v>
      </c>
      <c r="G1888" s="67" t="s">
        <v>5744</v>
      </c>
      <c r="H1888" s="14" t="s">
        <v>5601</v>
      </c>
      <c r="I1888" s="14" t="s">
        <v>2458</v>
      </c>
      <c r="J1888" s="33" t="s">
        <v>7110</v>
      </c>
      <c r="K1888" s="33" t="s">
        <v>4972</v>
      </c>
      <c r="L1888" s="68">
        <v>0</v>
      </c>
      <c r="M1888" s="68" t="s">
        <v>8915</v>
      </c>
      <c r="N1888" s="68">
        <v>0</v>
      </c>
      <c r="O1888" s="68">
        <v>0</v>
      </c>
      <c r="P1888" s="198" t="s">
        <v>5757</v>
      </c>
    </row>
    <row r="1889" spans="1:16" ht="18.75" hidden="1">
      <c r="A1889" s="50" t="s">
        <v>4819</v>
      </c>
      <c r="B1889" s="50" t="s">
        <v>4872</v>
      </c>
      <c r="C1889" s="50" t="s">
        <v>4920</v>
      </c>
      <c r="D1889" s="50" t="s">
        <v>4176</v>
      </c>
      <c r="E1889" s="12" t="s">
        <v>3420</v>
      </c>
      <c r="F1889" s="49">
        <v>139980</v>
      </c>
      <c r="G1889" s="67" t="s">
        <v>5609</v>
      </c>
      <c r="H1889" s="14" t="s">
        <v>5601</v>
      </c>
      <c r="I1889" s="14" t="s">
        <v>2458</v>
      </c>
      <c r="J1889" s="33" t="s">
        <v>7110</v>
      </c>
      <c r="K1889" s="33" t="s">
        <v>4972</v>
      </c>
      <c r="L1889" s="68">
        <v>0</v>
      </c>
      <c r="M1889" s="68" t="s">
        <v>8915</v>
      </c>
      <c r="N1889" s="68">
        <v>0</v>
      </c>
      <c r="O1889" s="68">
        <v>0</v>
      </c>
      <c r="P1889" s="198" t="s">
        <v>5711</v>
      </c>
    </row>
    <row r="1890" spans="1:16" ht="18.75" hidden="1">
      <c r="A1890" s="50" t="s">
        <v>4828</v>
      </c>
      <c r="B1890" s="50" t="s">
        <v>4873</v>
      </c>
      <c r="C1890" s="50" t="s">
        <v>4944</v>
      </c>
      <c r="D1890" s="50" t="s">
        <v>3937</v>
      </c>
      <c r="E1890" s="12" t="s">
        <v>3420</v>
      </c>
      <c r="F1890" s="49">
        <v>160550</v>
      </c>
      <c r="G1890" s="67" t="s">
        <v>5611</v>
      </c>
      <c r="H1890" s="14" t="s">
        <v>5601</v>
      </c>
      <c r="I1890" s="14" t="s">
        <v>2458</v>
      </c>
      <c r="J1890" s="33" t="s">
        <v>7110</v>
      </c>
      <c r="K1890" s="33" t="s">
        <v>4972</v>
      </c>
      <c r="L1890" s="68">
        <v>0</v>
      </c>
      <c r="M1890" s="68" t="s">
        <v>8915</v>
      </c>
      <c r="N1890" s="68">
        <v>0</v>
      </c>
      <c r="O1890" s="68">
        <v>0</v>
      </c>
      <c r="P1890" s="198" t="s">
        <v>5694</v>
      </c>
    </row>
    <row r="1891" spans="1:16" ht="18.75" hidden="1">
      <c r="A1891" s="50" t="s">
        <v>4828</v>
      </c>
      <c r="B1891" s="50" t="s">
        <v>4873</v>
      </c>
      <c r="C1891" s="50" t="s">
        <v>4939</v>
      </c>
      <c r="D1891" s="50" t="s">
        <v>4872</v>
      </c>
      <c r="E1891" s="12" t="s">
        <v>3420</v>
      </c>
      <c r="F1891" s="49">
        <v>49176</v>
      </c>
      <c r="G1891" s="67" t="s">
        <v>5611</v>
      </c>
      <c r="H1891" s="14" t="s">
        <v>5601</v>
      </c>
      <c r="I1891" s="14" t="s">
        <v>2458</v>
      </c>
      <c r="J1891" s="33" t="s">
        <v>7110</v>
      </c>
      <c r="K1891" s="33" t="s">
        <v>4972</v>
      </c>
      <c r="L1891" s="68">
        <v>0</v>
      </c>
      <c r="M1891" s="68" t="s">
        <v>8915</v>
      </c>
      <c r="N1891" s="68">
        <v>0</v>
      </c>
      <c r="O1891" s="68">
        <v>0</v>
      </c>
      <c r="P1891" s="198" t="s">
        <v>5762</v>
      </c>
    </row>
    <row r="1892" spans="1:16" ht="18.75" hidden="1">
      <c r="A1892" s="50" t="s">
        <v>4828</v>
      </c>
      <c r="B1892" s="50" t="s">
        <v>4873</v>
      </c>
      <c r="C1892" s="50" t="s">
        <v>4949</v>
      </c>
      <c r="D1892" s="50" t="s">
        <v>4879</v>
      </c>
      <c r="E1892" s="12" t="s">
        <v>3420</v>
      </c>
      <c r="F1892" s="49">
        <v>293249</v>
      </c>
      <c r="G1892" s="67" t="s">
        <v>5611</v>
      </c>
      <c r="H1892" s="14" t="s">
        <v>5601</v>
      </c>
      <c r="I1892" s="14" t="s">
        <v>2458</v>
      </c>
      <c r="J1892" s="33" t="s">
        <v>7110</v>
      </c>
      <c r="K1892" s="33" t="s">
        <v>4972</v>
      </c>
      <c r="L1892" s="68">
        <v>0</v>
      </c>
      <c r="M1892" s="68" t="s">
        <v>8915</v>
      </c>
      <c r="N1892" s="68">
        <v>0</v>
      </c>
      <c r="O1892" s="68">
        <v>0</v>
      </c>
      <c r="P1892" s="198" t="s">
        <v>5752</v>
      </c>
    </row>
    <row r="1893" spans="1:16" ht="18.75" hidden="1">
      <c r="A1893" s="50" t="s">
        <v>4829</v>
      </c>
      <c r="B1893" s="50" t="s">
        <v>4876</v>
      </c>
      <c r="C1893" s="50" t="s">
        <v>4950</v>
      </c>
      <c r="D1893" s="50" t="s">
        <v>4874</v>
      </c>
      <c r="E1893" s="12" t="s">
        <v>3420</v>
      </c>
      <c r="F1893" s="49">
        <v>109967</v>
      </c>
      <c r="G1893" s="67" t="s">
        <v>5611</v>
      </c>
      <c r="H1893" s="14" t="s">
        <v>5601</v>
      </c>
      <c r="I1893" s="14" t="s">
        <v>2458</v>
      </c>
      <c r="J1893" s="33" t="s">
        <v>7110</v>
      </c>
      <c r="K1893" s="33" t="s">
        <v>4972</v>
      </c>
      <c r="L1893" s="68">
        <v>0</v>
      </c>
      <c r="M1893" s="68" t="s">
        <v>8915</v>
      </c>
      <c r="N1893" s="68">
        <v>0</v>
      </c>
      <c r="O1893" s="68">
        <v>0</v>
      </c>
      <c r="P1893" s="198" t="s">
        <v>5752</v>
      </c>
    </row>
    <row r="1894" spans="1:16" ht="18.75" hidden="1">
      <c r="A1894" s="50" t="s">
        <v>4830</v>
      </c>
      <c r="B1894" s="50" t="s">
        <v>4878</v>
      </c>
      <c r="C1894" s="50" t="s">
        <v>4951</v>
      </c>
      <c r="D1894" s="50" t="s">
        <v>4880</v>
      </c>
      <c r="E1894" s="12" t="s">
        <v>3420</v>
      </c>
      <c r="F1894" s="49">
        <v>46380</v>
      </c>
      <c r="G1894" s="67" t="s">
        <v>5611</v>
      </c>
      <c r="H1894" s="14" t="s">
        <v>5601</v>
      </c>
      <c r="I1894" s="14" t="s">
        <v>2458</v>
      </c>
      <c r="J1894" s="33" t="s">
        <v>7110</v>
      </c>
      <c r="K1894" s="33" t="s">
        <v>4972</v>
      </c>
      <c r="L1894" s="68" t="s">
        <v>8663</v>
      </c>
      <c r="M1894" s="68" t="s">
        <v>8915</v>
      </c>
      <c r="N1894" s="68" t="s">
        <v>6058</v>
      </c>
      <c r="O1894" s="68">
        <v>60400</v>
      </c>
      <c r="P1894" s="198" t="s">
        <v>5752</v>
      </c>
    </row>
    <row r="1895" spans="1:16" ht="18.75" hidden="1">
      <c r="A1895" s="50" t="s">
        <v>4830</v>
      </c>
      <c r="B1895" s="50" t="s">
        <v>4878</v>
      </c>
      <c r="C1895" s="50" t="s">
        <v>4952</v>
      </c>
      <c r="D1895" s="50" t="s">
        <v>4874</v>
      </c>
      <c r="E1895" s="12" t="s">
        <v>3420</v>
      </c>
      <c r="F1895" s="49">
        <v>22460</v>
      </c>
      <c r="G1895" s="67" t="s">
        <v>5611</v>
      </c>
      <c r="H1895" s="14" t="s">
        <v>5601</v>
      </c>
      <c r="I1895" s="14" t="s">
        <v>2458</v>
      </c>
      <c r="J1895" s="33" t="s">
        <v>7110</v>
      </c>
      <c r="K1895" s="33" t="s">
        <v>4972</v>
      </c>
      <c r="L1895" s="68">
        <v>0</v>
      </c>
      <c r="M1895" s="68" t="s">
        <v>8915</v>
      </c>
      <c r="N1895" s="68">
        <v>0</v>
      </c>
      <c r="O1895" s="68">
        <v>0</v>
      </c>
      <c r="P1895" s="198" t="s">
        <v>5752</v>
      </c>
    </row>
    <row r="1896" spans="1:16" ht="18.75" hidden="1">
      <c r="A1896" s="50" t="s">
        <v>4831</v>
      </c>
      <c r="B1896" s="50" t="s">
        <v>4876</v>
      </c>
      <c r="C1896" s="50" t="s">
        <v>4952</v>
      </c>
      <c r="D1896" s="50" t="s">
        <v>4874</v>
      </c>
      <c r="E1896" s="12" t="s">
        <v>3420</v>
      </c>
      <c r="F1896" s="49">
        <v>95760</v>
      </c>
      <c r="G1896" s="67" t="s">
        <v>5611</v>
      </c>
      <c r="H1896" s="14" t="s">
        <v>5601</v>
      </c>
      <c r="I1896" s="14" t="s">
        <v>2458</v>
      </c>
      <c r="J1896" s="33" t="s">
        <v>7110</v>
      </c>
      <c r="K1896" s="33" t="s">
        <v>4972</v>
      </c>
      <c r="L1896" s="68">
        <v>0</v>
      </c>
      <c r="M1896" s="68" t="s">
        <v>8915</v>
      </c>
      <c r="N1896" s="68">
        <v>0</v>
      </c>
      <c r="O1896" s="68">
        <v>0</v>
      </c>
      <c r="P1896" s="198" t="s">
        <v>5752</v>
      </c>
    </row>
    <row r="1897" spans="1:16" ht="18.75" hidden="1">
      <c r="A1897" s="50" t="s">
        <v>4832</v>
      </c>
      <c r="B1897" s="50" t="s">
        <v>4731</v>
      </c>
      <c r="C1897" s="50" t="s">
        <v>4953</v>
      </c>
      <c r="D1897" s="50" t="s">
        <v>4866</v>
      </c>
      <c r="E1897" s="12" t="s">
        <v>3420</v>
      </c>
      <c r="F1897" s="49">
        <v>47360</v>
      </c>
      <c r="G1897" s="67" t="s">
        <v>5611</v>
      </c>
      <c r="H1897" s="14" t="s">
        <v>5601</v>
      </c>
      <c r="I1897" s="14" t="s">
        <v>2458</v>
      </c>
      <c r="J1897" s="33" t="s">
        <v>7110</v>
      </c>
      <c r="K1897" s="33" t="s">
        <v>4972</v>
      </c>
      <c r="L1897" s="68">
        <v>0</v>
      </c>
      <c r="M1897" s="68" t="s">
        <v>8915</v>
      </c>
      <c r="N1897" s="68">
        <v>0</v>
      </c>
      <c r="O1897" s="68">
        <v>0</v>
      </c>
      <c r="P1897" s="198" t="s">
        <v>5752</v>
      </c>
    </row>
    <row r="1898" spans="1:16" ht="18.75" hidden="1">
      <c r="A1898" s="50" t="s">
        <v>4833</v>
      </c>
      <c r="B1898" s="50" t="s">
        <v>4876</v>
      </c>
      <c r="C1898" s="50" t="s">
        <v>4954</v>
      </c>
      <c r="D1898" s="50" t="s">
        <v>4877</v>
      </c>
      <c r="E1898" s="12" t="s">
        <v>3420</v>
      </c>
      <c r="F1898" s="49">
        <v>50640</v>
      </c>
      <c r="G1898" s="67" t="s">
        <v>5611</v>
      </c>
      <c r="H1898" s="14" t="s">
        <v>5601</v>
      </c>
      <c r="I1898" s="14" t="s">
        <v>2458</v>
      </c>
      <c r="J1898" s="33" t="s">
        <v>7110</v>
      </c>
      <c r="K1898" s="33" t="s">
        <v>4972</v>
      </c>
      <c r="L1898" s="68">
        <v>0</v>
      </c>
      <c r="M1898" s="68" t="s">
        <v>8915</v>
      </c>
      <c r="N1898" s="68">
        <v>0</v>
      </c>
      <c r="O1898" s="68">
        <v>0</v>
      </c>
      <c r="P1898" s="198" t="s">
        <v>5752</v>
      </c>
    </row>
    <row r="1899" spans="1:16" ht="18.75" hidden="1">
      <c r="A1899" s="50" t="s">
        <v>4831</v>
      </c>
      <c r="B1899" s="50" t="s">
        <v>4876</v>
      </c>
      <c r="C1899" s="50" t="s">
        <v>4954</v>
      </c>
      <c r="D1899" s="50" t="s">
        <v>4877</v>
      </c>
      <c r="E1899" s="12" t="s">
        <v>3420</v>
      </c>
      <c r="F1899" s="49">
        <v>23120</v>
      </c>
      <c r="G1899" s="67" t="s">
        <v>5611</v>
      </c>
      <c r="H1899" s="14" t="s">
        <v>5601</v>
      </c>
      <c r="I1899" s="14" t="s">
        <v>2458</v>
      </c>
      <c r="J1899" s="33" t="s">
        <v>7110</v>
      </c>
      <c r="K1899" s="33" t="s">
        <v>4972</v>
      </c>
      <c r="L1899" s="68">
        <v>0</v>
      </c>
      <c r="M1899" s="68" t="s">
        <v>8915</v>
      </c>
      <c r="N1899" s="68">
        <v>0</v>
      </c>
      <c r="O1899" s="68">
        <v>0</v>
      </c>
      <c r="P1899" s="198" t="s">
        <v>5752</v>
      </c>
    </row>
    <row r="1900" spans="1:16" ht="18.75" hidden="1">
      <c r="A1900" s="50" t="s">
        <v>4834</v>
      </c>
      <c r="B1900" s="50" t="s">
        <v>4874</v>
      </c>
      <c r="C1900" s="50" t="s">
        <v>4955</v>
      </c>
      <c r="D1900" s="50" t="s">
        <v>4183</v>
      </c>
      <c r="E1900" s="12" t="s">
        <v>3420</v>
      </c>
      <c r="F1900" s="49">
        <v>143605</v>
      </c>
      <c r="G1900" s="67" t="s">
        <v>5609</v>
      </c>
      <c r="H1900" s="14" t="s">
        <v>5601</v>
      </c>
      <c r="I1900" s="14" t="s">
        <v>2458</v>
      </c>
      <c r="J1900" s="33" t="s">
        <v>7110</v>
      </c>
      <c r="K1900" s="33" t="s">
        <v>4972</v>
      </c>
      <c r="L1900" s="68">
        <v>0</v>
      </c>
      <c r="M1900" s="68" t="s">
        <v>8915</v>
      </c>
      <c r="N1900" s="68">
        <v>0</v>
      </c>
      <c r="O1900" s="68">
        <v>0</v>
      </c>
      <c r="P1900" s="198" t="s">
        <v>5723</v>
      </c>
    </row>
    <row r="1901" spans="1:16" ht="18.75" hidden="1">
      <c r="A1901" s="50" t="s">
        <v>4835</v>
      </c>
      <c r="B1901" s="50" t="s">
        <v>4876</v>
      </c>
      <c r="C1901" s="50" t="s">
        <v>4578</v>
      </c>
      <c r="D1901" s="50" t="s">
        <v>4439</v>
      </c>
      <c r="E1901" s="12" t="s">
        <v>3420</v>
      </c>
      <c r="F1901" s="49">
        <v>10675</v>
      </c>
      <c r="G1901" s="67" t="s">
        <v>5741</v>
      </c>
      <c r="H1901" s="14" t="s">
        <v>5601</v>
      </c>
      <c r="I1901" s="14" t="s">
        <v>2458</v>
      </c>
      <c r="J1901" s="33" t="s">
        <v>7110</v>
      </c>
      <c r="K1901" s="33" t="s">
        <v>4972</v>
      </c>
      <c r="L1901" s="68">
        <v>0</v>
      </c>
      <c r="M1901" s="68" t="s">
        <v>8915</v>
      </c>
      <c r="N1901" s="68">
        <v>0</v>
      </c>
      <c r="O1901" s="68">
        <v>0</v>
      </c>
      <c r="P1901" s="198" t="s">
        <v>5742</v>
      </c>
    </row>
    <row r="1902" spans="1:16" ht="18.75" hidden="1">
      <c r="A1902" s="50" t="s">
        <v>4835</v>
      </c>
      <c r="B1902" s="50" t="s">
        <v>4876</v>
      </c>
      <c r="C1902" s="50" t="s">
        <v>4955</v>
      </c>
      <c r="D1902" s="50" t="s">
        <v>4183</v>
      </c>
      <c r="E1902" s="12" t="s">
        <v>3420</v>
      </c>
      <c r="F1902" s="49">
        <v>87125</v>
      </c>
      <c r="G1902" s="67" t="s">
        <v>5609</v>
      </c>
      <c r="H1902" s="14" t="s">
        <v>5601</v>
      </c>
      <c r="I1902" s="14" t="s">
        <v>2458</v>
      </c>
      <c r="J1902" s="33" t="s">
        <v>7110</v>
      </c>
      <c r="K1902" s="33" t="s">
        <v>4972</v>
      </c>
      <c r="L1902" s="68">
        <v>0</v>
      </c>
      <c r="M1902" s="68" t="s">
        <v>8915</v>
      </c>
      <c r="N1902" s="68">
        <v>0</v>
      </c>
      <c r="O1902" s="68">
        <v>0</v>
      </c>
      <c r="P1902" s="198" t="s">
        <v>5723</v>
      </c>
    </row>
    <row r="1903" spans="1:16" ht="18.75" hidden="1">
      <c r="A1903" s="50" t="s">
        <v>4836</v>
      </c>
      <c r="B1903" s="50" t="s">
        <v>4877</v>
      </c>
      <c r="C1903" s="50" t="s">
        <v>4955</v>
      </c>
      <c r="D1903" s="50" t="s">
        <v>4183</v>
      </c>
      <c r="E1903" s="12" t="s">
        <v>3420</v>
      </c>
      <c r="F1903" s="49">
        <v>94600</v>
      </c>
      <c r="G1903" s="67" t="s">
        <v>5609</v>
      </c>
      <c r="H1903" s="14" t="s">
        <v>5601</v>
      </c>
      <c r="I1903" s="14" t="s">
        <v>2458</v>
      </c>
      <c r="J1903" s="33" t="s">
        <v>7110</v>
      </c>
      <c r="K1903" s="33" t="s">
        <v>4972</v>
      </c>
      <c r="L1903" s="68">
        <v>0</v>
      </c>
      <c r="M1903" s="68" t="s">
        <v>8915</v>
      </c>
      <c r="N1903" s="68">
        <v>0</v>
      </c>
      <c r="O1903" s="68">
        <v>0</v>
      </c>
      <c r="P1903" s="198" t="s">
        <v>5723</v>
      </c>
    </row>
    <row r="1904" spans="1:16" ht="18.75" hidden="1">
      <c r="A1904" s="50" t="s">
        <v>4837</v>
      </c>
      <c r="B1904" s="50" t="s">
        <v>4879</v>
      </c>
      <c r="C1904" s="50" t="s">
        <v>4956</v>
      </c>
      <c r="D1904" s="50" t="s">
        <v>4872</v>
      </c>
      <c r="E1904" s="12" t="s">
        <v>3420</v>
      </c>
      <c r="F1904" s="49">
        <v>137920</v>
      </c>
      <c r="G1904" s="67" t="s">
        <v>5647</v>
      </c>
      <c r="H1904" s="14" t="s">
        <v>5601</v>
      </c>
      <c r="I1904" s="14" t="s">
        <v>2458</v>
      </c>
      <c r="J1904" s="33" t="s">
        <v>7110</v>
      </c>
      <c r="K1904" s="33" t="s">
        <v>4972</v>
      </c>
      <c r="L1904" s="68" t="s">
        <v>6054</v>
      </c>
      <c r="M1904" s="68" t="s">
        <v>8915</v>
      </c>
      <c r="N1904" s="68" t="s">
        <v>6061</v>
      </c>
      <c r="O1904" s="202">
        <v>55301</v>
      </c>
      <c r="P1904" s="198" t="s">
        <v>5759</v>
      </c>
    </row>
    <row r="1905" spans="1:16" ht="18.75" hidden="1">
      <c r="A1905" s="50" t="s">
        <v>4838</v>
      </c>
      <c r="B1905" s="50" t="s">
        <v>4877</v>
      </c>
      <c r="C1905" s="50" t="s">
        <v>4700</v>
      </c>
      <c r="D1905" s="50" t="s">
        <v>4661</v>
      </c>
      <c r="E1905" s="12" t="s">
        <v>3420</v>
      </c>
      <c r="F1905" s="49">
        <v>38980</v>
      </c>
      <c r="G1905" s="67" t="s">
        <v>5631</v>
      </c>
      <c r="H1905" s="14" t="s">
        <v>5601</v>
      </c>
      <c r="I1905" s="14" t="s">
        <v>2458</v>
      </c>
      <c r="J1905" s="33" t="s">
        <v>7110</v>
      </c>
      <c r="K1905" s="33" t="s">
        <v>4972</v>
      </c>
      <c r="L1905" s="68">
        <v>0</v>
      </c>
      <c r="M1905" s="68" t="s">
        <v>8915</v>
      </c>
      <c r="N1905" s="68">
        <v>0</v>
      </c>
      <c r="O1905" s="68">
        <v>0</v>
      </c>
      <c r="P1905" s="197" t="s">
        <v>5751</v>
      </c>
    </row>
    <row r="1906" spans="1:16" ht="18.75" hidden="1">
      <c r="A1906" s="50" t="s">
        <v>4838</v>
      </c>
      <c r="B1906" s="50" t="s">
        <v>4877</v>
      </c>
      <c r="C1906" s="50" t="s">
        <v>4957</v>
      </c>
      <c r="D1906" s="50" t="s">
        <v>4731</v>
      </c>
      <c r="E1906" s="12" t="s">
        <v>3420</v>
      </c>
      <c r="F1906" s="49">
        <v>148900</v>
      </c>
      <c r="G1906" s="67" t="s">
        <v>5631</v>
      </c>
      <c r="H1906" s="14" t="s">
        <v>5601</v>
      </c>
      <c r="I1906" s="14" t="s">
        <v>2458</v>
      </c>
      <c r="J1906" s="33" t="s">
        <v>7110</v>
      </c>
      <c r="K1906" s="33" t="s">
        <v>4972</v>
      </c>
      <c r="L1906" s="68">
        <v>0</v>
      </c>
      <c r="M1906" s="68" t="s">
        <v>8915</v>
      </c>
      <c r="N1906" s="68">
        <v>0</v>
      </c>
      <c r="O1906" s="68">
        <v>0</v>
      </c>
      <c r="P1906" s="197" t="s">
        <v>5748</v>
      </c>
    </row>
    <row r="1907" spans="1:16" ht="18.75" hidden="1">
      <c r="A1907" s="50" t="s">
        <v>4839</v>
      </c>
      <c r="B1907" s="50" t="s">
        <v>4875</v>
      </c>
      <c r="C1907" s="50" t="s">
        <v>4957</v>
      </c>
      <c r="D1907" s="50" t="s">
        <v>4731</v>
      </c>
      <c r="E1907" s="12" t="s">
        <v>3420</v>
      </c>
      <c r="F1907" s="49">
        <v>50200</v>
      </c>
      <c r="G1907" s="67" t="s">
        <v>5631</v>
      </c>
      <c r="H1907" s="14" t="s">
        <v>5601</v>
      </c>
      <c r="I1907" s="14" t="s">
        <v>2458</v>
      </c>
      <c r="J1907" s="33" t="s">
        <v>7110</v>
      </c>
      <c r="K1907" s="33" t="s">
        <v>4972</v>
      </c>
      <c r="L1907" s="68">
        <v>0</v>
      </c>
      <c r="M1907" s="68" t="s">
        <v>8915</v>
      </c>
      <c r="N1907" s="68">
        <v>0</v>
      </c>
      <c r="O1907" s="68">
        <v>0</v>
      </c>
      <c r="P1907" s="197" t="s">
        <v>5748</v>
      </c>
    </row>
    <row r="1908" spans="1:16" ht="18.75" hidden="1">
      <c r="A1908" s="50" t="s">
        <v>4836</v>
      </c>
      <c r="B1908" s="50" t="s">
        <v>4877</v>
      </c>
      <c r="C1908" s="50" t="s">
        <v>4286</v>
      </c>
      <c r="D1908" s="50" t="s">
        <v>3714</v>
      </c>
      <c r="E1908" s="12" t="s">
        <v>3420</v>
      </c>
      <c r="F1908" s="49">
        <v>24270</v>
      </c>
      <c r="G1908" s="67" t="s">
        <v>5611</v>
      </c>
      <c r="H1908" s="14" t="s">
        <v>5601</v>
      </c>
      <c r="I1908" s="14" t="s">
        <v>2458</v>
      </c>
      <c r="J1908" s="33" t="s">
        <v>7110</v>
      </c>
      <c r="K1908" s="33" t="s">
        <v>4972</v>
      </c>
      <c r="L1908" s="68">
        <v>0</v>
      </c>
      <c r="M1908" s="68" t="s">
        <v>8915</v>
      </c>
      <c r="N1908" s="68">
        <v>0</v>
      </c>
      <c r="O1908" s="68">
        <v>0</v>
      </c>
      <c r="P1908" s="198" t="s">
        <v>5659</v>
      </c>
    </row>
    <row r="1909" spans="1:16" ht="18.75" hidden="1">
      <c r="A1909" s="50" t="s">
        <v>4840</v>
      </c>
      <c r="B1909" s="50" t="s">
        <v>4879</v>
      </c>
      <c r="C1909" s="50" t="s">
        <v>4953</v>
      </c>
      <c r="D1909" s="50" t="s">
        <v>4866</v>
      </c>
      <c r="E1909" s="12" t="s">
        <v>3420</v>
      </c>
      <c r="F1909" s="49">
        <v>47730</v>
      </c>
      <c r="G1909" s="67" t="s">
        <v>5611</v>
      </c>
      <c r="H1909" s="14" t="s">
        <v>5601</v>
      </c>
      <c r="I1909" s="14" t="s">
        <v>2458</v>
      </c>
      <c r="J1909" s="33" t="s">
        <v>7110</v>
      </c>
      <c r="K1909" s="33" t="s">
        <v>4972</v>
      </c>
      <c r="L1909" s="68">
        <v>0</v>
      </c>
      <c r="M1909" s="68" t="s">
        <v>8915</v>
      </c>
      <c r="N1909" s="68">
        <v>0</v>
      </c>
      <c r="O1909" s="68">
        <v>0</v>
      </c>
      <c r="P1909" s="198" t="s">
        <v>5752</v>
      </c>
    </row>
    <row r="1910" spans="1:16" ht="18.75" hidden="1">
      <c r="A1910" s="50" t="s">
        <v>4841</v>
      </c>
      <c r="B1910" s="50" t="s">
        <v>4880</v>
      </c>
      <c r="C1910" s="50" t="s">
        <v>4578</v>
      </c>
      <c r="D1910" s="50" t="s">
        <v>4439</v>
      </c>
      <c r="E1910" s="12" t="s">
        <v>3420</v>
      </c>
      <c r="F1910" s="49">
        <v>151305</v>
      </c>
      <c r="G1910" s="67" t="s">
        <v>5741</v>
      </c>
      <c r="H1910" s="14" t="s">
        <v>5601</v>
      </c>
      <c r="I1910" s="14" t="s">
        <v>2458</v>
      </c>
      <c r="J1910" s="33" t="s">
        <v>7110</v>
      </c>
      <c r="K1910" s="33" t="s">
        <v>4972</v>
      </c>
      <c r="L1910" s="68">
        <v>0</v>
      </c>
      <c r="M1910" s="68" t="s">
        <v>8915</v>
      </c>
      <c r="N1910" s="68">
        <v>0</v>
      </c>
      <c r="O1910" s="68">
        <v>0</v>
      </c>
      <c r="P1910" s="198" t="s">
        <v>5742</v>
      </c>
    </row>
    <row r="1911" spans="1:16" ht="18.75" hidden="1">
      <c r="A1911" s="50" t="s">
        <v>4842</v>
      </c>
      <c r="B1911" s="50" t="s">
        <v>4874</v>
      </c>
      <c r="C1911" s="50" t="s">
        <v>4578</v>
      </c>
      <c r="D1911" s="50" t="s">
        <v>4439</v>
      </c>
      <c r="E1911" s="12" t="s">
        <v>3420</v>
      </c>
      <c r="F1911" s="49">
        <v>76340</v>
      </c>
      <c r="G1911" s="67" t="s">
        <v>5741</v>
      </c>
      <c r="H1911" s="14" t="s">
        <v>5601</v>
      </c>
      <c r="I1911" s="14" t="s">
        <v>2458</v>
      </c>
      <c r="J1911" s="33" t="s">
        <v>7110</v>
      </c>
      <c r="K1911" s="33" t="s">
        <v>4972</v>
      </c>
      <c r="L1911" s="68">
        <v>0</v>
      </c>
      <c r="M1911" s="68" t="s">
        <v>8915</v>
      </c>
      <c r="N1911" s="68">
        <v>0</v>
      </c>
      <c r="O1911" s="68">
        <v>0</v>
      </c>
      <c r="P1911" s="198" t="s">
        <v>5742</v>
      </c>
    </row>
    <row r="1912" spans="1:16" ht="18.75" hidden="1">
      <c r="A1912" s="50" t="s">
        <v>4842</v>
      </c>
      <c r="B1912" s="50" t="s">
        <v>4874</v>
      </c>
      <c r="C1912" s="50" t="s">
        <v>4955</v>
      </c>
      <c r="D1912" s="50" t="s">
        <v>4183</v>
      </c>
      <c r="E1912" s="12" t="s">
        <v>3420</v>
      </c>
      <c r="F1912" s="49">
        <v>51770</v>
      </c>
      <c r="G1912" s="67" t="s">
        <v>5609</v>
      </c>
      <c r="H1912" s="14" t="s">
        <v>5601</v>
      </c>
      <c r="I1912" s="14" t="s">
        <v>2458</v>
      </c>
      <c r="J1912" s="33" t="s">
        <v>7110</v>
      </c>
      <c r="K1912" s="33" t="s">
        <v>4972</v>
      </c>
      <c r="L1912" s="68">
        <v>0</v>
      </c>
      <c r="M1912" s="68" t="s">
        <v>8915</v>
      </c>
      <c r="N1912" s="68">
        <v>0</v>
      </c>
      <c r="O1912" s="68">
        <v>0</v>
      </c>
      <c r="P1912" s="198" t="s">
        <v>5723</v>
      </c>
    </row>
    <row r="1913" spans="1:16" ht="18.75" hidden="1">
      <c r="A1913" s="50" t="s">
        <v>4843</v>
      </c>
      <c r="B1913" s="50" t="s">
        <v>4873</v>
      </c>
      <c r="C1913" s="50" t="s">
        <v>4955</v>
      </c>
      <c r="D1913" s="50" t="s">
        <v>4183</v>
      </c>
      <c r="E1913" s="12" t="s">
        <v>3420</v>
      </c>
      <c r="F1913" s="49">
        <v>122700</v>
      </c>
      <c r="G1913" s="67" t="s">
        <v>5609</v>
      </c>
      <c r="H1913" s="14" t="s">
        <v>5601</v>
      </c>
      <c r="I1913" s="14" t="s">
        <v>2458</v>
      </c>
      <c r="J1913" s="33" t="s">
        <v>7110</v>
      </c>
      <c r="K1913" s="33" t="s">
        <v>4972</v>
      </c>
      <c r="L1913" s="68">
        <v>0</v>
      </c>
      <c r="M1913" s="68" t="s">
        <v>8915</v>
      </c>
      <c r="N1913" s="68">
        <v>0</v>
      </c>
      <c r="O1913" s="68">
        <v>0</v>
      </c>
      <c r="P1913" s="198" t="s">
        <v>5723</v>
      </c>
    </row>
    <row r="1914" spans="1:16" ht="18.75" hidden="1">
      <c r="A1914" s="50" t="s">
        <v>4844</v>
      </c>
      <c r="B1914" s="50" t="s">
        <v>4874</v>
      </c>
      <c r="C1914" s="50" t="s">
        <v>4951</v>
      </c>
      <c r="D1914" s="50" t="s">
        <v>4880</v>
      </c>
      <c r="E1914" s="12" t="s">
        <v>3420</v>
      </c>
      <c r="F1914" s="49">
        <v>70520</v>
      </c>
      <c r="G1914" s="67" t="s">
        <v>5611</v>
      </c>
      <c r="H1914" s="14" t="s">
        <v>5601</v>
      </c>
      <c r="I1914" s="14" t="s">
        <v>2458</v>
      </c>
      <c r="J1914" s="33" t="s">
        <v>7110</v>
      </c>
      <c r="K1914" s="33" t="s">
        <v>4972</v>
      </c>
      <c r="L1914" s="68" t="s">
        <v>8663</v>
      </c>
      <c r="M1914" s="68" t="s">
        <v>8915</v>
      </c>
      <c r="N1914" s="68" t="s">
        <v>6058</v>
      </c>
      <c r="O1914" s="68">
        <v>60400</v>
      </c>
      <c r="P1914" s="198" t="s">
        <v>5752</v>
      </c>
    </row>
    <row r="1915" spans="1:16" ht="18.75" hidden="1">
      <c r="A1915" s="50" t="s">
        <v>4845</v>
      </c>
      <c r="B1915" s="50" t="s">
        <v>4881</v>
      </c>
      <c r="C1915" s="50" t="s">
        <v>4958</v>
      </c>
      <c r="D1915" s="50" t="s">
        <v>4888</v>
      </c>
      <c r="E1915" s="12" t="s">
        <v>4971</v>
      </c>
      <c r="F1915" s="49">
        <v>300000</v>
      </c>
      <c r="G1915" s="67" t="s">
        <v>5631</v>
      </c>
      <c r="H1915" s="14" t="s">
        <v>5601</v>
      </c>
      <c r="I1915" s="14" t="s">
        <v>2458</v>
      </c>
      <c r="J1915" s="33" t="s">
        <v>7110</v>
      </c>
      <c r="K1915" s="33" t="s">
        <v>4972</v>
      </c>
      <c r="L1915" s="68" t="s">
        <v>6283</v>
      </c>
      <c r="M1915" s="68" t="s">
        <v>8912</v>
      </c>
      <c r="N1915" s="68" t="s">
        <v>8665</v>
      </c>
      <c r="O1915" s="202">
        <v>50100</v>
      </c>
      <c r="P1915" s="197" t="s">
        <v>5748</v>
      </c>
    </row>
    <row r="1916" spans="1:16" ht="18.75" hidden="1">
      <c r="A1916" s="50" t="s">
        <v>4845</v>
      </c>
      <c r="B1916" s="50" t="s">
        <v>4881</v>
      </c>
      <c r="C1916" s="50" t="s">
        <v>4959</v>
      </c>
      <c r="D1916" s="50" t="s">
        <v>4883</v>
      </c>
      <c r="E1916" s="12" t="s">
        <v>4971</v>
      </c>
      <c r="F1916" s="49">
        <v>94731</v>
      </c>
      <c r="G1916" s="67" t="s">
        <v>5631</v>
      </c>
      <c r="H1916" s="14" t="s">
        <v>5601</v>
      </c>
      <c r="I1916" s="14" t="s">
        <v>2458</v>
      </c>
      <c r="J1916" s="33" t="s">
        <v>7110</v>
      </c>
      <c r="K1916" s="33" t="s">
        <v>4972</v>
      </c>
      <c r="L1916" s="68" t="s">
        <v>6283</v>
      </c>
      <c r="M1916" s="68" t="s">
        <v>8912</v>
      </c>
      <c r="N1916" s="68" t="s">
        <v>8665</v>
      </c>
      <c r="O1916" s="202">
        <v>50100</v>
      </c>
      <c r="P1916" s="197" t="s">
        <v>5748</v>
      </c>
    </row>
    <row r="1917" spans="1:16" ht="18.75" hidden="1">
      <c r="A1917" s="50" t="s">
        <v>4846</v>
      </c>
      <c r="B1917" s="50" t="s">
        <v>4882</v>
      </c>
      <c r="C1917" s="50" t="s">
        <v>4960</v>
      </c>
      <c r="D1917" s="50" t="s">
        <v>4882</v>
      </c>
      <c r="E1917" s="12" t="s">
        <v>4971</v>
      </c>
      <c r="F1917" s="49">
        <v>1446242</v>
      </c>
      <c r="G1917" s="67" t="s">
        <v>5604</v>
      </c>
      <c r="H1917" s="14" t="s">
        <v>5601</v>
      </c>
      <c r="I1917" s="14" t="s">
        <v>2458</v>
      </c>
      <c r="J1917" s="33" t="s">
        <v>7110</v>
      </c>
      <c r="K1917" s="33" t="s">
        <v>4972</v>
      </c>
      <c r="L1917" s="68" t="s">
        <v>8670</v>
      </c>
      <c r="M1917" s="68" t="s">
        <v>8913</v>
      </c>
      <c r="N1917" s="68" t="s">
        <v>8665</v>
      </c>
      <c r="O1917" s="202">
        <v>50100</v>
      </c>
      <c r="P1917" s="198" t="s">
        <v>5761</v>
      </c>
    </row>
    <row r="1918" spans="1:16" ht="18.75" hidden="1">
      <c r="A1918" s="50" t="s">
        <v>4847</v>
      </c>
      <c r="B1918" s="50" t="s">
        <v>4882</v>
      </c>
      <c r="C1918" s="50" t="s">
        <v>4961</v>
      </c>
      <c r="D1918" s="50" t="s">
        <v>4731</v>
      </c>
      <c r="E1918" s="12" t="s">
        <v>3420</v>
      </c>
      <c r="F1918" s="49">
        <v>891528</v>
      </c>
      <c r="G1918" s="67" t="s">
        <v>5616</v>
      </c>
      <c r="H1918" s="14" t="s">
        <v>5601</v>
      </c>
      <c r="I1918" s="14" t="s">
        <v>2458</v>
      </c>
      <c r="J1918" s="33" t="s">
        <v>7110</v>
      </c>
      <c r="K1918" s="33" t="s">
        <v>4972</v>
      </c>
      <c r="L1918" s="68">
        <v>0</v>
      </c>
      <c r="M1918" s="68" t="s">
        <v>8912</v>
      </c>
      <c r="N1918" s="68">
        <v>0</v>
      </c>
      <c r="O1918" s="68">
        <v>0</v>
      </c>
      <c r="P1918" s="198" t="s">
        <v>5753</v>
      </c>
    </row>
    <row r="1919" spans="1:16" ht="18.75" hidden="1">
      <c r="A1919" s="50" t="s">
        <v>4848</v>
      </c>
      <c r="B1919" s="50" t="s">
        <v>4881</v>
      </c>
      <c r="C1919" s="50" t="s">
        <v>4962</v>
      </c>
      <c r="D1919" s="50" t="s">
        <v>4881</v>
      </c>
      <c r="E1919" s="12" t="s">
        <v>4971</v>
      </c>
      <c r="F1919" s="49">
        <v>975787</v>
      </c>
      <c r="G1919" s="67" t="s">
        <v>5604</v>
      </c>
      <c r="H1919" s="14" t="s">
        <v>5601</v>
      </c>
      <c r="I1919" s="14" t="s">
        <v>2458</v>
      </c>
      <c r="J1919" s="33" t="s">
        <v>7110</v>
      </c>
      <c r="K1919" s="33" t="s">
        <v>4972</v>
      </c>
      <c r="L1919" s="68" t="s">
        <v>8670</v>
      </c>
      <c r="M1919" s="68" t="s">
        <v>8913</v>
      </c>
      <c r="N1919" s="68" t="s">
        <v>8665</v>
      </c>
      <c r="O1919" s="202">
        <v>50100</v>
      </c>
      <c r="P1919" s="198" t="s">
        <v>5761</v>
      </c>
    </row>
    <row r="1920" spans="1:16" ht="18.75" hidden="1">
      <c r="A1920" s="50" t="s">
        <v>4849</v>
      </c>
      <c r="B1920" s="50" t="s">
        <v>4882</v>
      </c>
      <c r="C1920" s="50" t="s">
        <v>4963</v>
      </c>
      <c r="D1920" s="50" t="s">
        <v>4731</v>
      </c>
      <c r="E1920" s="12" t="s">
        <v>3420</v>
      </c>
      <c r="F1920" s="49">
        <v>200000</v>
      </c>
      <c r="G1920" s="67" t="s">
        <v>5631</v>
      </c>
      <c r="H1920" s="14" t="s">
        <v>5601</v>
      </c>
      <c r="I1920" s="14" t="s">
        <v>2458</v>
      </c>
      <c r="J1920" s="33" t="s">
        <v>7110</v>
      </c>
      <c r="K1920" s="33" t="s">
        <v>4972</v>
      </c>
      <c r="L1920" s="68" t="s">
        <v>6283</v>
      </c>
      <c r="M1920" s="68" t="s">
        <v>8912</v>
      </c>
      <c r="N1920" s="68" t="s">
        <v>8665</v>
      </c>
      <c r="O1920" s="202">
        <v>50100</v>
      </c>
      <c r="P1920" s="197" t="s">
        <v>5748</v>
      </c>
    </row>
    <row r="1921" spans="1:16" ht="18.75" hidden="1">
      <c r="A1921" s="50" t="s">
        <v>4849</v>
      </c>
      <c r="B1921" s="50" t="s">
        <v>4882</v>
      </c>
      <c r="C1921" s="50" t="s">
        <v>4932</v>
      </c>
      <c r="D1921" s="50" t="s">
        <v>4866</v>
      </c>
      <c r="E1921" s="12" t="s">
        <v>3420</v>
      </c>
      <c r="F1921" s="49">
        <v>114415</v>
      </c>
      <c r="G1921" s="67" t="s">
        <v>5631</v>
      </c>
      <c r="H1921" s="14" t="s">
        <v>5601</v>
      </c>
      <c r="I1921" s="14" t="s">
        <v>2458</v>
      </c>
      <c r="J1921" s="33" t="s">
        <v>7110</v>
      </c>
      <c r="K1921" s="33" t="s">
        <v>4972</v>
      </c>
      <c r="L1921" s="68" t="s">
        <v>6283</v>
      </c>
      <c r="M1921" s="68" t="s">
        <v>8912</v>
      </c>
      <c r="N1921" s="68" t="s">
        <v>8665</v>
      </c>
      <c r="O1921" s="202">
        <v>50100</v>
      </c>
      <c r="P1921" s="197" t="s">
        <v>5748</v>
      </c>
    </row>
    <row r="1922" spans="1:16" ht="18.75" hidden="1">
      <c r="A1922" s="50" t="s">
        <v>4849</v>
      </c>
      <c r="B1922" s="50" t="s">
        <v>4882</v>
      </c>
      <c r="C1922" s="50" t="s">
        <v>4959</v>
      </c>
      <c r="D1922" s="50" t="s">
        <v>4883</v>
      </c>
      <c r="E1922" s="12" t="s">
        <v>4971</v>
      </c>
      <c r="F1922" s="49">
        <v>204810</v>
      </c>
      <c r="G1922" s="67" t="s">
        <v>5631</v>
      </c>
      <c r="H1922" s="14" t="s">
        <v>5601</v>
      </c>
      <c r="I1922" s="14" t="s">
        <v>2458</v>
      </c>
      <c r="J1922" s="33" t="s">
        <v>7110</v>
      </c>
      <c r="K1922" s="33" t="s">
        <v>4972</v>
      </c>
      <c r="L1922" s="68" t="s">
        <v>6283</v>
      </c>
      <c r="M1922" s="68" t="s">
        <v>8912</v>
      </c>
      <c r="N1922" s="68" t="s">
        <v>8665</v>
      </c>
      <c r="O1922" s="202">
        <v>50100</v>
      </c>
      <c r="P1922" s="197" t="s">
        <v>5748</v>
      </c>
    </row>
    <row r="1923" spans="1:16" ht="18.75" hidden="1">
      <c r="A1923" s="50" t="s">
        <v>4850</v>
      </c>
      <c r="B1923" s="50" t="s">
        <v>4883</v>
      </c>
      <c r="C1923" s="50" t="s">
        <v>4906</v>
      </c>
      <c r="D1923" s="50" t="s">
        <v>4183</v>
      </c>
      <c r="E1923" s="12" t="s">
        <v>3420</v>
      </c>
      <c r="F1923" s="49">
        <v>497910</v>
      </c>
      <c r="G1923" s="67" t="s">
        <v>5652</v>
      </c>
      <c r="H1923" s="14" t="s">
        <v>5601</v>
      </c>
      <c r="I1923" s="14" t="s">
        <v>2458</v>
      </c>
      <c r="J1923" s="33" t="s">
        <v>7110</v>
      </c>
      <c r="K1923" s="33" t="s">
        <v>4972</v>
      </c>
      <c r="L1923" s="68">
        <v>0</v>
      </c>
      <c r="M1923" s="68" t="s">
        <v>8912</v>
      </c>
      <c r="N1923" s="68">
        <v>0</v>
      </c>
      <c r="O1923" s="68">
        <v>0</v>
      </c>
      <c r="P1923" s="198" t="s">
        <v>5724</v>
      </c>
    </row>
    <row r="1924" spans="1:16" ht="18.75" hidden="1">
      <c r="A1924" s="50" t="s">
        <v>4851</v>
      </c>
      <c r="B1924" s="50" t="s">
        <v>4882</v>
      </c>
      <c r="C1924" s="50" t="s">
        <v>4964</v>
      </c>
      <c r="D1924" s="50" t="s">
        <v>4884</v>
      </c>
      <c r="E1924" s="12" t="s">
        <v>4971</v>
      </c>
      <c r="F1924" s="49">
        <v>46020</v>
      </c>
      <c r="G1924" s="67" t="s">
        <v>5647</v>
      </c>
      <c r="H1924" s="14" t="s">
        <v>5601</v>
      </c>
      <c r="I1924" s="14" t="s">
        <v>2458</v>
      </c>
      <c r="J1924" s="33" t="s">
        <v>7110</v>
      </c>
      <c r="K1924" s="33" t="s">
        <v>4972</v>
      </c>
      <c r="L1924" s="68" t="s">
        <v>8663</v>
      </c>
      <c r="M1924" s="68" t="s">
        <v>8913</v>
      </c>
      <c r="N1924" s="68" t="s">
        <v>6058</v>
      </c>
      <c r="O1924" s="68">
        <v>60400</v>
      </c>
      <c r="P1924" s="198" t="s">
        <v>5764</v>
      </c>
    </row>
    <row r="1925" spans="1:16" ht="18.75" hidden="1">
      <c r="A1925" s="50" t="s">
        <v>4851</v>
      </c>
      <c r="B1925" s="50" t="s">
        <v>4882</v>
      </c>
      <c r="C1925" s="50" t="s">
        <v>4952</v>
      </c>
      <c r="D1925" s="50" t="s">
        <v>4874</v>
      </c>
      <c r="E1925" s="12" t="s">
        <v>3420</v>
      </c>
      <c r="F1925" s="49">
        <v>21780</v>
      </c>
      <c r="G1925" s="67" t="s">
        <v>5611</v>
      </c>
      <c r="H1925" s="14" t="s">
        <v>5601</v>
      </c>
      <c r="I1925" s="14" t="s">
        <v>2458</v>
      </c>
      <c r="J1925" s="33" t="s">
        <v>7110</v>
      </c>
      <c r="K1925" s="33" t="s">
        <v>4972</v>
      </c>
      <c r="L1925" s="68" t="s">
        <v>8663</v>
      </c>
      <c r="M1925" s="68" t="s">
        <v>8913</v>
      </c>
      <c r="N1925" s="68" t="s">
        <v>6058</v>
      </c>
      <c r="O1925" s="68">
        <v>60400</v>
      </c>
      <c r="P1925" s="198" t="s">
        <v>5752</v>
      </c>
    </row>
    <row r="1926" spans="1:16" ht="18.75" hidden="1">
      <c r="A1926" s="50" t="s">
        <v>4852</v>
      </c>
      <c r="B1926" s="50" t="s">
        <v>4884</v>
      </c>
      <c r="C1926" s="50" t="s">
        <v>4951</v>
      </c>
      <c r="D1926" s="50" t="s">
        <v>4880</v>
      </c>
      <c r="E1926" s="12" t="s">
        <v>3420</v>
      </c>
      <c r="F1926" s="49">
        <v>22180</v>
      </c>
      <c r="G1926" s="67" t="s">
        <v>5611</v>
      </c>
      <c r="H1926" s="14" t="s">
        <v>5601</v>
      </c>
      <c r="I1926" s="14" t="s">
        <v>2458</v>
      </c>
      <c r="J1926" s="33" t="s">
        <v>7110</v>
      </c>
      <c r="K1926" s="33" t="s">
        <v>4972</v>
      </c>
      <c r="L1926" s="68" t="s">
        <v>8663</v>
      </c>
      <c r="M1926" s="68" t="s">
        <v>8913</v>
      </c>
      <c r="N1926" s="68" t="s">
        <v>6058</v>
      </c>
      <c r="O1926" s="68">
        <v>60400</v>
      </c>
      <c r="P1926" s="198" t="s">
        <v>5752</v>
      </c>
    </row>
    <row r="1927" spans="1:16" ht="18.75" hidden="1">
      <c r="A1927" s="50" t="s">
        <v>4852</v>
      </c>
      <c r="B1927" s="50" t="s">
        <v>4884</v>
      </c>
      <c r="C1927" s="50" t="s">
        <v>4965</v>
      </c>
      <c r="D1927" s="50" t="s">
        <v>4878</v>
      </c>
      <c r="E1927" s="12" t="s">
        <v>3420</v>
      </c>
      <c r="F1927" s="49">
        <v>71300</v>
      </c>
      <c r="G1927" s="67" t="s">
        <v>5611</v>
      </c>
      <c r="H1927" s="14" t="s">
        <v>5601</v>
      </c>
      <c r="I1927" s="14" t="s">
        <v>2458</v>
      </c>
      <c r="J1927" s="33" t="s">
        <v>7110</v>
      </c>
      <c r="K1927" s="33" t="s">
        <v>4972</v>
      </c>
      <c r="L1927" s="68">
        <v>0</v>
      </c>
      <c r="M1927" s="68" t="s">
        <v>8913</v>
      </c>
      <c r="N1927" s="68">
        <v>0</v>
      </c>
      <c r="O1927" s="68">
        <v>0</v>
      </c>
      <c r="P1927" s="198" t="s">
        <v>5752</v>
      </c>
    </row>
    <row r="1928" spans="1:16" ht="18.75" hidden="1">
      <c r="A1928" s="50" t="s">
        <v>4852</v>
      </c>
      <c r="B1928" s="50" t="s">
        <v>4884</v>
      </c>
      <c r="C1928" s="50" t="s">
        <v>4954</v>
      </c>
      <c r="D1928" s="50" t="s">
        <v>4877</v>
      </c>
      <c r="E1928" s="12" t="s">
        <v>3420</v>
      </c>
      <c r="F1928" s="49">
        <v>96240</v>
      </c>
      <c r="G1928" s="67" t="s">
        <v>5611</v>
      </c>
      <c r="H1928" s="14" t="s">
        <v>5601</v>
      </c>
      <c r="I1928" s="14" t="s">
        <v>2458</v>
      </c>
      <c r="J1928" s="33" t="s">
        <v>7110</v>
      </c>
      <c r="K1928" s="33" t="s">
        <v>4972</v>
      </c>
      <c r="L1928" s="68">
        <v>0</v>
      </c>
      <c r="M1928" s="68" t="s">
        <v>8913</v>
      </c>
      <c r="N1928" s="68">
        <v>0</v>
      </c>
      <c r="O1928" s="68">
        <v>0</v>
      </c>
      <c r="P1928" s="198" t="s">
        <v>5752</v>
      </c>
    </row>
    <row r="1929" spans="1:16" ht="18.75" hidden="1">
      <c r="A1929" s="50" t="s">
        <v>4851</v>
      </c>
      <c r="B1929" s="50" t="s">
        <v>4882</v>
      </c>
      <c r="C1929" s="50" t="s">
        <v>4965</v>
      </c>
      <c r="D1929" s="50" t="s">
        <v>4878</v>
      </c>
      <c r="E1929" s="12" t="s">
        <v>3420</v>
      </c>
      <c r="F1929" s="49">
        <v>23700</v>
      </c>
      <c r="G1929" s="67" t="s">
        <v>5611</v>
      </c>
      <c r="H1929" s="14" t="s">
        <v>5601</v>
      </c>
      <c r="I1929" s="14" t="s">
        <v>2458</v>
      </c>
      <c r="J1929" s="33" t="s">
        <v>7110</v>
      </c>
      <c r="K1929" s="33" t="s">
        <v>4972</v>
      </c>
      <c r="L1929" s="68" t="s">
        <v>8663</v>
      </c>
      <c r="M1929" s="68" t="s">
        <v>8913</v>
      </c>
      <c r="N1929" s="68" t="s">
        <v>6058</v>
      </c>
      <c r="O1929" s="68">
        <v>60400</v>
      </c>
      <c r="P1929" s="198" t="s">
        <v>5752</v>
      </c>
    </row>
    <row r="1930" spans="1:16" ht="18.75" hidden="1">
      <c r="A1930" s="50" t="s">
        <v>4853</v>
      </c>
      <c r="B1930" s="50" t="s">
        <v>4885</v>
      </c>
      <c r="C1930" s="50" t="s">
        <v>4964</v>
      </c>
      <c r="D1930" s="50" t="s">
        <v>4884</v>
      </c>
      <c r="E1930" s="12" t="s">
        <v>4971</v>
      </c>
      <c r="F1930" s="49">
        <v>73320</v>
      </c>
      <c r="G1930" s="67" t="s">
        <v>5647</v>
      </c>
      <c r="H1930" s="14" t="s">
        <v>5601</v>
      </c>
      <c r="I1930" s="14" t="s">
        <v>2458</v>
      </c>
      <c r="J1930" s="33" t="s">
        <v>7110</v>
      </c>
      <c r="K1930" s="33" t="s">
        <v>4972</v>
      </c>
      <c r="L1930" s="68" t="s">
        <v>6054</v>
      </c>
      <c r="M1930" s="68" t="s">
        <v>8913</v>
      </c>
      <c r="N1930" s="68" t="s">
        <v>6061</v>
      </c>
      <c r="O1930" s="202">
        <v>55301</v>
      </c>
      <c r="P1930" s="198" t="s">
        <v>5764</v>
      </c>
    </row>
    <row r="1931" spans="1:16" ht="18.75" hidden="1">
      <c r="A1931" s="50" t="s">
        <v>4854</v>
      </c>
      <c r="B1931" s="50" t="s">
        <v>4881</v>
      </c>
      <c r="C1931" s="50" t="s">
        <v>4966</v>
      </c>
      <c r="D1931" s="50" t="s">
        <v>4878</v>
      </c>
      <c r="E1931" s="12" t="s">
        <v>3420</v>
      </c>
      <c r="F1931" s="49">
        <v>151410</v>
      </c>
      <c r="G1931" s="67" t="s">
        <v>5765</v>
      </c>
      <c r="H1931" s="14" t="s">
        <v>5601</v>
      </c>
      <c r="I1931" s="14" t="s">
        <v>2458</v>
      </c>
      <c r="J1931" s="33" t="s">
        <v>7110</v>
      </c>
      <c r="K1931" s="33" t="s">
        <v>4972</v>
      </c>
      <c r="L1931" s="68">
        <v>0</v>
      </c>
      <c r="M1931" s="68" t="s">
        <v>8912</v>
      </c>
      <c r="N1931" s="68">
        <v>0</v>
      </c>
      <c r="O1931" s="68">
        <v>0</v>
      </c>
      <c r="P1931" s="198" t="s">
        <v>5766</v>
      </c>
    </row>
    <row r="1932" spans="1:16" ht="18.75" hidden="1">
      <c r="A1932" s="50" t="s">
        <v>4855</v>
      </c>
      <c r="B1932" s="50" t="s">
        <v>4886</v>
      </c>
      <c r="C1932" s="50" t="s">
        <v>4967</v>
      </c>
      <c r="D1932" s="50" t="s">
        <v>4873</v>
      </c>
      <c r="E1932" s="12" t="s">
        <v>3420</v>
      </c>
      <c r="F1932" s="49">
        <v>77600</v>
      </c>
      <c r="G1932" s="67" t="s">
        <v>5647</v>
      </c>
      <c r="H1932" s="14" t="s">
        <v>5601</v>
      </c>
      <c r="I1932" s="14" t="s">
        <v>2458</v>
      </c>
      <c r="J1932" s="33" t="s">
        <v>7110</v>
      </c>
      <c r="K1932" s="33" t="s">
        <v>4972</v>
      </c>
      <c r="L1932" s="68" t="s">
        <v>6054</v>
      </c>
      <c r="M1932" s="68" t="s">
        <v>8913</v>
      </c>
      <c r="N1932" s="68" t="s">
        <v>6061</v>
      </c>
      <c r="O1932" s="202">
        <v>55301</v>
      </c>
      <c r="P1932" s="198" t="s">
        <v>5764</v>
      </c>
    </row>
    <row r="1933" spans="1:16" ht="18.75" hidden="1">
      <c r="A1933" s="50" t="s">
        <v>4855</v>
      </c>
      <c r="B1933" s="50" t="s">
        <v>4886</v>
      </c>
      <c r="C1933" s="50" t="s">
        <v>4968</v>
      </c>
      <c r="D1933" s="50" t="s">
        <v>4874</v>
      </c>
      <c r="E1933" s="12" t="s">
        <v>3420</v>
      </c>
      <c r="F1933" s="49">
        <v>69800</v>
      </c>
      <c r="G1933" s="67" t="s">
        <v>5647</v>
      </c>
      <c r="H1933" s="14" t="s">
        <v>5601</v>
      </c>
      <c r="I1933" s="14" t="s">
        <v>2458</v>
      </c>
      <c r="J1933" s="33" t="s">
        <v>7110</v>
      </c>
      <c r="K1933" s="33" t="s">
        <v>4972</v>
      </c>
      <c r="L1933" s="68" t="s">
        <v>6054</v>
      </c>
      <c r="M1933" s="68" t="s">
        <v>8913</v>
      </c>
      <c r="N1933" s="68" t="s">
        <v>6061</v>
      </c>
      <c r="O1933" s="202">
        <v>55301</v>
      </c>
      <c r="P1933" s="198" t="s">
        <v>5759</v>
      </c>
    </row>
    <row r="1934" spans="1:16" ht="18.75" hidden="1">
      <c r="A1934" s="50" t="s">
        <v>4855</v>
      </c>
      <c r="B1934" s="50" t="s">
        <v>4886</v>
      </c>
      <c r="C1934" s="50" t="s">
        <v>4889</v>
      </c>
      <c r="D1934" s="50" t="s">
        <v>4869</v>
      </c>
      <c r="E1934" s="12" t="s">
        <v>3420</v>
      </c>
      <c r="F1934" s="49">
        <v>10620</v>
      </c>
      <c r="G1934" s="67" t="s">
        <v>5647</v>
      </c>
      <c r="H1934" s="14" t="s">
        <v>5601</v>
      </c>
      <c r="I1934" s="14" t="s">
        <v>2458</v>
      </c>
      <c r="J1934" s="33" t="s">
        <v>7110</v>
      </c>
      <c r="K1934" s="33" t="s">
        <v>4972</v>
      </c>
      <c r="L1934" s="68" t="s">
        <v>6054</v>
      </c>
      <c r="M1934" s="68" t="s">
        <v>8913</v>
      </c>
      <c r="N1934" s="68" t="s">
        <v>6061</v>
      </c>
      <c r="O1934" s="202">
        <v>55301</v>
      </c>
      <c r="P1934" s="198" t="s">
        <v>5759</v>
      </c>
    </row>
    <row r="1935" spans="1:16" ht="18.75" hidden="1">
      <c r="A1935" s="50" t="s">
        <v>4855</v>
      </c>
      <c r="B1935" s="50" t="s">
        <v>4886</v>
      </c>
      <c r="C1935" s="50" t="s">
        <v>4956</v>
      </c>
      <c r="D1935" s="50" t="s">
        <v>4872</v>
      </c>
      <c r="E1935" s="12" t="s">
        <v>3420</v>
      </c>
      <c r="F1935" s="49">
        <v>5440</v>
      </c>
      <c r="G1935" s="67" t="s">
        <v>5647</v>
      </c>
      <c r="H1935" s="14" t="s">
        <v>5601</v>
      </c>
      <c r="I1935" s="14" t="s">
        <v>2458</v>
      </c>
      <c r="J1935" s="33" t="s">
        <v>7110</v>
      </c>
      <c r="K1935" s="33" t="s">
        <v>4972</v>
      </c>
      <c r="L1935" s="68" t="s">
        <v>6054</v>
      </c>
      <c r="M1935" s="68" t="s">
        <v>8913</v>
      </c>
      <c r="N1935" s="68" t="s">
        <v>6061</v>
      </c>
      <c r="O1935" s="202">
        <v>55301</v>
      </c>
      <c r="P1935" s="198" t="s">
        <v>5759</v>
      </c>
    </row>
    <row r="1936" spans="1:16" ht="18.75" hidden="1">
      <c r="A1936" s="50" t="s">
        <v>4856</v>
      </c>
      <c r="B1936" s="50" t="s">
        <v>4887</v>
      </c>
      <c r="C1936" s="50" t="s">
        <v>4969</v>
      </c>
      <c r="D1936" s="50" t="s">
        <v>4884</v>
      </c>
      <c r="E1936" s="12" t="s">
        <v>4971</v>
      </c>
      <c r="F1936" s="49">
        <v>331980</v>
      </c>
      <c r="G1936" s="67" t="s">
        <v>5611</v>
      </c>
      <c r="H1936" s="14" t="s">
        <v>5601</v>
      </c>
      <c r="I1936" s="14" t="s">
        <v>2458</v>
      </c>
      <c r="J1936" s="33" t="s">
        <v>7110</v>
      </c>
      <c r="K1936" s="33" t="s">
        <v>4972</v>
      </c>
      <c r="L1936" s="68" t="s">
        <v>6054</v>
      </c>
      <c r="M1936" s="68" t="s">
        <v>8913</v>
      </c>
      <c r="N1936" s="68" t="s">
        <v>6061</v>
      </c>
      <c r="O1936" s="202">
        <v>55301</v>
      </c>
      <c r="P1936" s="198" t="s">
        <v>5752</v>
      </c>
    </row>
    <row r="1937" spans="1:16" ht="18.75" hidden="1">
      <c r="A1937" s="50" t="s">
        <v>4857</v>
      </c>
      <c r="B1937" s="50" t="s">
        <v>4886</v>
      </c>
      <c r="C1937" s="50" t="s">
        <v>4699</v>
      </c>
      <c r="D1937" s="50" t="s">
        <v>4657</v>
      </c>
      <c r="E1937" s="12" t="s">
        <v>3420</v>
      </c>
      <c r="F1937" s="49">
        <v>16795</v>
      </c>
      <c r="G1937" s="67" t="s">
        <v>5611</v>
      </c>
      <c r="H1937" s="14" t="s">
        <v>5601</v>
      </c>
      <c r="I1937" s="14" t="s">
        <v>2458</v>
      </c>
      <c r="J1937" s="33" t="s">
        <v>7110</v>
      </c>
      <c r="K1937" s="33" t="s">
        <v>4972</v>
      </c>
      <c r="L1937" s="68">
        <v>0</v>
      </c>
      <c r="M1937" s="68" t="s">
        <v>8913</v>
      </c>
      <c r="N1937" s="68">
        <v>0</v>
      </c>
      <c r="O1937" s="68">
        <v>0</v>
      </c>
      <c r="P1937" s="198" t="s">
        <v>5752</v>
      </c>
    </row>
    <row r="1938" spans="1:16" ht="18.75" hidden="1">
      <c r="A1938" s="50" t="s">
        <v>4857</v>
      </c>
      <c r="B1938" s="50" t="s">
        <v>4886</v>
      </c>
      <c r="C1938" s="50" t="s">
        <v>4451</v>
      </c>
      <c r="D1938" s="50" t="s">
        <v>4186</v>
      </c>
      <c r="E1938" s="12" t="s">
        <v>3420</v>
      </c>
      <c r="F1938" s="49">
        <v>16060</v>
      </c>
      <c r="G1938" s="67" t="s">
        <v>5611</v>
      </c>
      <c r="H1938" s="14" t="s">
        <v>5601</v>
      </c>
      <c r="I1938" s="14" t="s">
        <v>2458</v>
      </c>
      <c r="J1938" s="33" t="s">
        <v>7110</v>
      </c>
      <c r="K1938" s="33" t="s">
        <v>4972</v>
      </c>
      <c r="L1938" s="68">
        <v>0</v>
      </c>
      <c r="M1938" s="68" t="s">
        <v>8913</v>
      </c>
      <c r="N1938" s="68">
        <v>0</v>
      </c>
      <c r="O1938" s="68">
        <v>0</v>
      </c>
      <c r="P1938" s="198" t="s">
        <v>5708</v>
      </c>
    </row>
    <row r="1939" spans="1:16" ht="18.75" hidden="1">
      <c r="A1939" s="50" t="s">
        <v>4857</v>
      </c>
      <c r="B1939" s="50" t="s">
        <v>4886</v>
      </c>
      <c r="C1939" s="50" t="s">
        <v>4894</v>
      </c>
      <c r="D1939" s="50" t="s">
        <v>4868</v>
      </c>
      <c r="E1939" s="12" t="s">
        <v>3420</v>
      </c>
      <c r="F1939" s="49">
        <v>60165</v>
      </c>
      <c r="G1939" s="67" t="s">
        <v>5611</v>
      </c>
      <c r="H1939" s="14" t="s">
        <v>5601</v>
      </c>
      <c r="I1939" s="14" t="s">
        <v>2458</v>
      </c>
      <c r="J1939" s="33" t="s">
        <v>7110</v>
      </c>
      <c r="K1939" s="33" t="s">
        <v>4972</v>
      </c>
      <c r="L1939" s="68">
        <v>0</v>
      </c>
      <c r="M1939" s="68" t="s">
        <v>8913</v>
      </c>
      <c r="N1939" s="68">
        <v>0</v>
      </c>
      <c r="O1939" s="68">
        <v>0</v>
      </c>
      <c r="P1939" s="198" t="s">
        <v>5752</v>
      </c>
    </row>
    <row r="1940" spans="1:16" ht="18.75" hidden="1">
      <c r="A1940" s="50" t="s">
        <v>4858</v>
      </c>
      <c r="B1940" s="50" t="s">
        <v>4887</v>
      </c>
      <c r="C1940" s="50" t="s">
        <v>4966</v>
      </c>
      <c r="D1940" s="50" t="s">
        <v>4878</v>
      </c>
      <c r="E1940" s="12" t="s">
        <v>3420</v>
      </c>
      <c r="F1940" s="49">
        <v>370115</v>
      </c>
      <c r="G1940" s="67" t="s">
        <v>5765</v>
      </c>
      <c r="H1940" s="14" t="s">
        <v>5601</v>
      </c>
      <c r="I1940" s="14" t="s">
        <v>2458</v>
      </c>
      <c r="J1940" s="33" t="s">
        <v>7110</v>
      </c>
      <c r="K1940" s="33" t="s">
        <v>4972</v>
      </c>
      <c r="L1940" s="68">
        <v>0</v>
      </c>
      <c r="M1940" s="68" t="s">
        <v>8912</v>
      </c>
      <c r="N1940" s="68">
        <v>0</v>
      </c>
      <c r="O1940" s="68">
        <v>0</v>
      </c>
      <c r="P1940" s="198" t="s">
        <v>5766</v>
      </c>
    </row>
    <row r="1941" spans="1:16" ht="18.75" hidden="1">
      <c r="A1941" s="50" t="s">
        <v>4859</v>
      </c>
      <c r="B1941" s="50" t="s">
        <v>4888</v>
      </c>
      <c r="C1941" s="50" t="s">
        <v>4967</v>
      </c>
      <c r="D1941" s="50" t="s">
        <v>4873</v>
      </c>
      <c r="E1941" s="12" t="s">
        <v>3420</v>
      </c>
      <c r="F1941" s="49">
        <v>71380</v>
      </c>
      <c r="G1941" s="67" t="s">
        <v>5647</v>
      </c>
      <c r="H1941" s="14" t="s">
        <v>5601</v>
      </c>
      <c r="I1941" s="14" t="s">
        <v>2458</v>
      </c>
      <c r="J1941" s="33" t="s">
        <v>7110</v>
      </c>
      <c r="K1941" s="33" t="s">
        <v>4972</v>
      </c>
      <c r="L1941" s="68" t="s">
        <v>6054</v>
      </c>
      <c r="M1941" s="68" t="s">
        <v>8913</v>
      </c>
      <c r="N1941" s="68" t="s">
        <v>6061</v>
      </c>
      <c r="O1941" s="202">
        <v>55301</v>
      </c>
      <c r="P1941" s="198" t="s">
        <v>5764</v>
      </c>
    </row>
    <row r="1942" spans="1:16" ht="18.75" hidden="1">
      <c r="A1942" s="50" t="s">
        <v>4860</v>
      </c>
      <c r="B1942" s="50" t="s">
        <v>4881</v>
      </c>
      <c r="C1942" s="50" t="s">
        <v>4964</v>
      </c>
      <c r="D1942" s="50" t="s">
        <v>4884</v>
      </c>
      <c r="E1942" s="12" t="s">
        <v>4971</v>
      </c>
      <c r="F1942" s="49">
        <v>20660</v>
      </c>
      <c r="G1942" s="67" t="s">
        <v>5647</v>
      </c>
      <c r="H1942" s="14" t="s">
        <v>5601</v>
      </c>
      <c r="I1942" s="14" t="s">
        <v>2458</v>
      </c>
      <c r="J1942" s="33" t="s">
        <v>7110</v>
      </c>
      <c r="K1942" s="33" t="s">
        <v>4972</v>
      </c>
      <c r="L1942" s="68" t="s">
        <v>6054</v>
      </c>
      <c r="M1942" s="68" t="s">
        <v>8913</v>
      </c>
      <c r="N1942" s="68" t="s">
        <v>6061</v>
      </c>
      <c r="O1942" s="202">
        <v>55301</v>
      </c>
      <c r="P1942" s="198" t="s">
        <v>5764</v>
      </c>
    </row>
    <row r="1943" spans="1:16" ht="18.75" hidden="1">
      <c r="A1943" s="50" t="s">
        <v>4860</v>
      </c>
      <c r="B1943" s="50" t="s">
        <v>4881</v>
      </c>
      <c r="C1943" s="50" t="s">
        <v>4968</v>
      </c>
      <c r="D1943" s="50" t="s">
        <v>4874</v>
      </c>
      <c r="E1943" s="12" t="s">
        <v>3420</v>
      </c>
      <c r="F1943" s="49">
        <v>1460</v>
      </c>
      <c r="G1943" s="67" t="s">
        <v>5647</v>
      </c>
      <c r="H1943" s="14" t="s">
        <v>5601</v>
      </c>
      <c r="I1943" s="14" t="s">
        <v>2458</v>
      </c>
      <c r="J1943" s="33" t="s">
        <v>7110</v>
      </c>
      <c r="K1943" s="33" t="s">
        <v>4972</v>
      </c>
      <c r="L1943" s="68" t="s">
        <v>6054</v>
      </c>
      <c r="M1943" s="68" t="s">
        <v>8913</v>
      </c>
      <c r="N1943" s="68" t="s">
        <v>6061</v>
      </c>
      <c r="O1943" s="202">
        <v>55301</v>
      </c>
      <c r="P1943" s="198" t="s">
        <v>5759</v>
      </c>
    </row>
    <row r="1944" spans="1:16" ht="18.75" hidden="1">
      <c r="A1944" s="50" t="s">
        <v>4861</v>
      </c>
      <c r="B1944" s="50" t="s">
        <v>4884</v>
      </c>
      <c r="C1944" s="50" t="s">
        <v>4968</v>
      </c>
      <c r="D1944" s="50" t="s">
        <v>4874</v>
      </c>
      <c r="E1944" s="12" t="s">
        <v>3420</v>
      </c>
      <c r="F1944" s="49">
        <v>70900</v>
      </c>
      <c r="G1944" s="67" t="s">
        <v>5647</v>
      </c>
      <c r="H1944" s="14" t="s">
        <v>5601</v>
      </c>
      <c r="I1944" s="14" t="s">
        <v>2458</v>
      </c>
      <c r="J1944" s="33" t="s">
        <v>7110</v>
      </c>
      <c r="K1944" s="33" t="s">
        <v>4972</v>
      </c>
      <c r="L1944" s="68" t="s">
        <v>6054</v>
      </c>
      <c r="M1944" s="68" t="s">
        <v>8913</v>
      </c>
      <c r="N1944" s="68" t="s">
        <v>6061</v>
      </c>
      <c r="O1944" s="202">
        <v>55301</v>
      </c>
      <c r="P1944" s="198" t="s">
        <v>5759</v>
      </c>
    </row>
    <row r="1945" spans="1:16" ht="18.75" hidden="1">
      <c r="A1945" s="50" t="s">
        <v>4862</v>
      </c>
      <c r="B1945" s="50" t="s">
        <v>4887</v>
      </c>
      <c r="C1945" s="50" t="s">
        <v>4970</v>
      </c>
      <c r="D1945" s="50" t="s">
        <v>4873</v>
      </c>
      <c r="E1945" s="12" t="s">
        <v>3420</v>
      </c>
      <c r="F1945" s="49">
        <v>214320</v>
      </c>
      <c r="G1945" s="67" t="s">
        <v>5765</v>
      </c>
      <c r="H1945" s="14" t="s">
        <v>5601</v>
      </c>
      <c r="I1945" s="14" t="s">
        <v>2458</v>
      </c>
      <c r="J1945" s="33" t="s">
        <v>7110</v>
      </c>
      <c r="K1945" s="33" t="s">
        <v>4972</v>
      </c>
      <c r="L1945" s="68" t="s">
        <v>6054</v>
      </c>
      <c r="M1945" s="68" t="s">
        <v>8913</v>
      </c>
      <c r="N1945" s="68" t="s">
        <v>6061</v>
      </c>
      <c r="O1945" s="202">
        <v>55301</v>
      </c>
      <c r="P1945" s="198" t="s">
        <v>5766</v>
      </c>
    </row>
    <row r="1946" spans="1:16" ht="18.75" hidden="1">
      <c r="A1946" s="50" t="s">
        <v>4863</v>
      </c>
      <c r="B1946" s="50" t="s">
        <v>4881</v>
      </c>
      <c r="C1946" s="50" t="s">
        <v>4954</v>
      </c>
      <c r="D1946" s="50" t="s">
        <v>4877</v>
      </c>
      <c r="E1946" s="12" t="s">
        <v>3420</v>
      </c>
      <c r="F1946" s="49">
        <v>28300</v>
      </c>
      <c r="G1946" s="67" t="s">
        <v>5611</v>
      </c>
      <c r="H1946" s="14" t="s">
        <v>5601</v>
      </c>
      <c r="I1946" s="14" t="s">
        <v>2458</v>
      </c>
      <c r="J1946" s="33" t="s">
        <v>7110</v>
      </c>
      <c r="K1946" s="33" t="s">
        <v>4972</v>
      </c>
      <c r="L1946" s="68" t="s">
        <v>6054</v>
      </c>
      <c r="M1946" s="68" t="s">
        <v>8913</v>
      </c>
      <c r="N1946" s="68" t="s">
        <v>6061</v>
      </c>
      <c r="O1946" s="202">
        <v>55301</v>
      </c>
      <c r="P1946" s="198" t="s">
        <v>5752</v>
      </c>
    </row>
    <row r="1947" spans="1:16" ht="18.75" hidden="1">
      <c r="A1947" s="50" t="s">
        <v>4863</v>
      </c>
      <c r="B1947" s="50" t="s">
        <v>4881</v>
      </c>
      <c r="C1947" s="50" t="s">
        <v>4953</v>
      </c>
      <c r="D1947" s="50" t="s">
        <v>4866</v>
      </c>
      <c r="E1947" s="12" t="s">
        <v>3420</v>
      </c>
      <c r="F1947" s="49">
        <v>42370</v>
      </c>
      <c r="G1947" s="67" t="s">
        <v>5611</v>
      </c>
      <c r="H1947" s="14" t="s">
        <v>5601</v>
      </c>
      <c r="I1947" s="14" t="s">
        <v>2458</v>
      </c>
      <c r="J1947" s="33" t="s">
        <v>7110</v>
      </c>
      <c r="K1947" s="33" t="s">
        <v>4972</v>
      </c>
      <c r="L1947" s="68" t="s">
        <v>6054</v>
      </c>
      <c r="M1947" s="68" t="s">
        <v>8913</v>
      </c>
      <c r="N1947" s="68" t="s">
        <v>6061</v>
      </c>
      <c r="O1947" s="202">
        <v>55301</v>
      </c>
      <c r="P1947" s="198" t="s">
        <v>5752</v>
      </c>
    </row>
    <row r="1948" spans="1:16" ht="18.75" hidden="1">
      <c r="A1948" s="50" t="s">
        <v>4863</v>
      </c>
      <c r="B1948" s="50" t="s">
        <v>4881</v>
      </c>
      <c r="C1948" s="50" t="s">
        <v>4969</v>
      </c>
      <c r="D1948" s="50" t="s">
        <v>4884</v>
      </c>
      <c r="E1948" s="12" t="s">
        <v>4971</v>
      </c>
      <c r="F1948" s="49">
        <v>252570</v>
      </c>
      <c r="G1948" s="67" t="s">
        <v>5611</v>
      </c>
      <c r="H1948" s="14" t="s">
        <v>5601</v>
      </c>
      <c r="I1948" s="14" t="s">
        <v>2458</v>
      </c>
      <c r="J1948" s="33" t="s">
        <v>7110</v>
      </c>
      <c r="K1948" s="33" t="s">
        <v>4972</v>
      </c>
      <c r="L1948" s="68" t="s">
        <v>6054</v>
      </c>
      <c r="M1948" s="68" t="s">
        <v>8913</v>
      </c>
      <c r="N1948" s="68" t="s">
        <v>6061</v>
      </c>
      <c r="O1948" s="202">
        <v>55301</v>
      </c>
      <c r="P1948" s="198" t="s">
        <v>5752</v>
      </c>
    </row>
    <row r="1949" spans="1:16" ht="18.75" hidden="1">
      <c r="A1949" s="50" t="s">
        <v>4976</v>
      </c>
      <c r="B1949" s="50" t="s">
        <v>5007</v>
      </c>
      <c r="C1949" s="50" t="s">
        <v>5015</v>
      </c>
      <c r="D1949" s="50" t="s">
        <v>5045</v>
      </c>
      <c r="E1949" s="12" t="s">
        <v>4971</v>
      </c>
      <c r="F1949" s="49">
        <v>500000</v>
      </c>
      <c r="G1949" s="67" t="s">
        <v>5611</v>
      </c>
      <c r="H1949" s="14" t="s">
        <v>5601</v>
      </c>
      <c r="I1949" s="14" t="s">
        <v>2458</v>
      </c>
      <c r="J1949" s="33" t="s">
        <v>7110</v>
      </c>
      <c r="K1949" s="33" t="s">
        <v>5047</v>
      </c>
      <c r="L1949" s="68" t="s">
        <v>8664</v>
      </c>
      <c r="M1949" s="68" t="s">
        <v>8912</v>
      </c>
      <c r="N1949" s="68" t="s">
        <v>8665</v>
      </c>
      <c r="O1949" s="202">
        <v>50101</v>
      </c>
      <c r="P1949" s="198" t="s">
        <v>5758</v>
      </c>
    </row>
    <row r="1950" spans="1:16" ht="18.75" hidden="1">
      <c r="A1950" s="50" t="s">
        <v>4976</v>
      </c>
      <c r="B1950" s="50" t="s">
        <v>5007</v>
      </c>
      <c r="C1950" s="50" t="s">
        <v>5016</v>
      </c>
      <c r="D1950" s="50" t="s">
        <v>5011</v>
      </c>
      <c r="E1950" s="12" t="s">
        <v>4971</v>
      </c>
      <c r="F1950" s="49">
        <v>240000</v>
      </c>
      <c r="G1950" s="67" t="s">
        <v>5611</v>
      </c>
      <c r="H1950" s="14" t="s">
        <v>5601</v>
      </c>
      <c r="I1950" s="14" t="s">
        <v>2458</v>
      </c>
      <c r="J1950" s="33" t="s">
        <v>7110</v>
      </c>
      <c r="K1950" s="33" t="s">
        <v>5047</v>
      </c>
      <c r="L1950" s="68" t="s">
        <v>8664</v>
      </c>
      <c r="M1950" s="68" t="s">
        <v>8912</v>
      </c>
      <c r="N1950" s="68" t="s">
        <v>8665</v>
      </c>
      <c r="O1950" s="202">
        <v>50101</v>
      </c>
      <c r="P1950" s="198" t="s">
        <v>5758</v>
      </c>
    </row>
    <row r="1951" spans="1:16" ht="18.75" hidden="1">
      <c r="A1951" s="50" t="s">
        <v>4977</v>
      </c>
      <c r="B1951" s="50" t="s">
        <v>5008</v>
      </c>
      <c r="C1951" s="50" t="s">
        <v>4949</v>
      </c>
      <c r="D1951" s="50" t="s">
        <v>4879</v>
      </c>
      <c r="E1951" s="12" t="s">
        <v>3420</v>
      </c>
      <c r="F1951" s="49">
        <v>205851</v>
      </c>
      <c r="G1951" s="67" t="s">
        <v>5611</v>
      </c>
      <c r="H1951" s="14" t="s">
        <v>5601</v>
      </c>
      <c r="I1951" s="14" t="s">
        <v>2458</v>
      </c>
      <c r="J1951" s="33" t="s">
        <v>7110</v>
      </c>
      <c r="K1951" s="33" t="s">
        <v>5047</v>
      </c>
      <c r="L1951" s="68" t="s">
        <v>8671</v>
      </c>
      <c r="M1951" s="68" t="s">
        <v>8912</v>
      </c>
      <c r="N1951" s="68" t="s">
        <v>8665</v>
      </c>
      <c r="O1951" s="202">
        <v>50100</v>
      </c>
      <c r="P1951" s="198" t="s">
        <v>5752</v>
      </c>
    </row>
    <row r="1952" spans="1:16" ht="18.75" hidden="1">
      <c r="A1952" s="50" t="s">
        <v>4978</v>
      </c>
      <c r="B1952" s="50" t="s">
        <v>4972</v>
      </c>
      <c r="C1952" s="50" t="s">
        <v>5017</v>
      </c>
      <c r="D1952" s="50" t="s">
        <v>5046</v>
      </c>
      <c r="E1952" s="12" t="s">
        <v>4971</v>
      </c>
      <c r="F1952" s="49">
        <v>253825</v>
      </c>
      <c r="G1952" s="67" t="s">
        <v>5616</v>
      </c>
      <c r="H1952" s="14" t="s">
        <v>5601</v>
      </c>
      <c r="I1952" s="14" t="s">
        <v>2458</v>
      </c>
      <c r="J1952" s="33" t="s">
        <v>7110</v>
      </c>
      <c r="K1952" s="33" t="s">
        <v>5047</v>
      </c>
      <c r="L1952" s="68" t="s">
        <v>6277</v>
      </c>
      <c r="M1952" s="68" t="s">
        <v>8912</v>
      </c>
      <c r="N1952" s="68" t="s">
        <v>8665</v>
      </c>
      <c r="O1952" s="202">
        <v>50101</v>
      </c>
      <c r="P1952" s="198" t="s">
        <v>5781</v>
      </c>
    </row>
    <row r="1953" spans="1:16" ht="18.75" hidden="1">
      <c r="A1953" s="50" t="s">
        <v>4979</v>
      </c>
      <c r="B1953" s="50" t="s">
        <v>5009</v>
      </c>
      <c r="C1953" s="50" t="s">
        <v>4961</v>
      </c>
      <c r="D1953" s="50" t="s">
        <v>4731</v>
      </c>
      <c r="E1953" s="12" t="s">
        <v>3420</v>
      </c>
      <c r="F1953" s="49">
        <v>306652</v>
      </c>
      <c r="G1953" s="67" t="s">
        <v>5616</v>
      </c>
      <c r="H1953" s="14" t="s">
        <v>5601</v>
      </c>
      <c r="I1953" s="14" t="s">
        <v>2458</v>
      </c>
      <c r="J1953" s="33" t="s">
        <v>7110</v>
      </c>
      <c r="K1953" s="33" t="s">
        <v>5047</v>
      </c>
      <c r="L1953" s="68" t="s">
        <v>6277</v>
      </c>
      <c r="M1953" s="68" t="s">
        <v>8912</v>
      </c>
      <c r="N1953" s="68" t="s">
        <v>8665</v>
      </c>
      <c r="O1953" s="202">
        <v>50100</v>
      </c>
      <c r="P1953" s="198" t="s">
        <v>5753</v>
      </c>
    </row>
    <row r="1954" spans="1:16" ht="18.75" hidden="1">
      <c r="A1954" s="50" t="s">
        <v>4979</v>
      </c>
      <c r="B1954" s="50" t="s">
        <v>5009</v>
      </c>
      <c r="C1954" s="50" t="s">
        <v>4933</v>
      </c>
      <c r="D1954" s="50" t="s">
        <v>4871</v>
      </c>
      <c r="E1954" s="12" t="s">
        <v>3420</v>
      </c>
      <c r="F1954" s="49">
        <v>191555</v>
      </c>
      <c r="G1954" s="67" t="s">
        <v>5616</v>
      </c>
      <c r="H1954" s="14" t="s">
        <v>5601</v>
      </c>
      <c r="I1954" s="14" t="s">
        <v>2458</v>
      </c>
      <c r="J1954" s="33" t="s">
        <v>7110</v>
      </c>
      <c r="K1954" s="33" t="s">
        <v>5047</v>
      </c>
      <c r="L1954" s="68" t="s">
        <v>6277</v>
      </c>
      <c r="M1954" s="68" t="s">
        <v>8912</v>
      </c>
      <c r="N1954" s="68" t="s">
        <v>8665</v>
      </c>
      <c r="O1954" s="202">
        <v>50100</v>
      </c>
      <c r="P1954" s="198" t="s">
        <v>5753</v>
      </c>
    </row>
    <row r="1955" spans="1:16" ht="18.75" hidden="1">
      <c r="A1955" s="50" t="s">
        <v>4979</v>
      </c>
      <c r="B1955" s="50" t="s">
        <v>5009</v>
      </c>
      <c r="C1955" s="50" t="s">
        <v>5018</v>
      </c>
      <c r="D1955" s="50" t="s">
        <v>4887</v>
      </c>
      <c r="E1955" s="12" t="s">
        <v>4971</v>
      </c>
      <c r="F1955" s="49">
        <v>312025</v>
      </c>
      <c r="G1955" s="67" t="s">
        <v>5616</v>
      </c>
      <c r="H1955" s="14" t="s">
        <v>5601</v>
      </c>
      <c r="I1955" s="14" t="s">
        <v>2458</v>
      </c>
      <c r="J1955" s="33" t="s">
        <v>7110</v>
      </c>
      <c r="K1955" s="33" t="s">
        <v>5047</v>
      </c>
      <c r="L1955" s="68" t="s">
        <v>6277</v>
      </c>
      <c r="M1955" s="68" t="s">
        <v>8912</v>
      </c>
      <c r="N1955" s="68" t="s">
        <v>8665</v>
      </c>
      <c r="O1955" s="202">
        <v>50100</v>
      </c>
      <c r="P1955" s="198" t="s">
        <v>5753</v>
      </c>
    </row>
    <row r="1956" spans="1:16" ht="18.75" hidden="1">
      <c r="A1956" s="50" t="s">
        <v>4980</v>
      </c>
      <c r="B1956" s="50" t="s">
        <v>5010</v>
      </c>
      <c r="C1956" s="50" t="s">
        <v>5019</v>
      </c>
      <c r="D1956" s="50" t="s">
        <v>5008</v>
      </c>
      <c r="E1956" s="12" t="s">
        <v>4971</v>
      </c>
      <c r="F1956" s="49">
        <v>1200000</v>
      </c>
      <c r="G1956" s="67" t="s">
        <v>5652</v>
      </c>
      <c r="H1956" s="14" t="s">
        <v>5601</v>
      </c>
      <c r="I1956" s="14" t="s">
        <v>2458</v>
      </c>
      <c r="J1956" s="33" t="s">
        <v>7110</v>
      </c>
      <c r="K1956" s="33" t="s">
        <v>5047</v>
      </c>
      <c r="L1956" s="68" t="s">
        <v>8672</v>
      </c>
      <c r="M1956" s="68" t="s">
        <v>8912</v>
      </c>
      <c r="N1956" s="68" t="s">
        <v>8665</v>
      </c>
      <c r="O1956" s="202">
        <v>50100</v>
      </c>
      <c r="P1956" s="198" t="s">
        <v>5769</v>
      </c>
    </row>
    <row r="1957" spans="1:16" ht="18.75" hidden="1">
      <c r="A1957" s="50" t="s">
        <v>4981</v>
      </c>
      <c r="B1957" s="50" t="s">
        <v>4972</v>
      </c>
      <c r="C1957" s="50" t="s">
        <v>4937</v>
      </c>
      <c r="D1957" s="50" t="s">
        <v>4514</v>
      </c>
      <c r="E1957" s="12" t="s">
        <v>3420</v>
      </c>
      <c r="F1957" s="49">
        <v>35812</v>
      </c>
      <c r="G1957" s="67" t="s">
        <v>5652</v>
      </c>
      <c r="H1957" s="14" t="s">
        <v>5601</v>
      </c>
      <c r="I1957" s="14" t="s">
        <v>2458</v>
      </c>
      <c r="J1957" s="33" t="s">
        <v>7110</v>
      </c>
      <c r="K1957" s="33" t="s">
        <v>5047</v>
      </c>
      <c r="L1957" s="68" t="s">
        <v>6277</v>
      </c>
      <c r="M1957" s="68" t="s">
        <v>8912</v>
      </c>
      <c r="N1957" s="68" t="s">
        <v>8665</v>
      </c>
      <c r="O1957" s="202">
        <v>50101</v>
      </c>
      <c r="P1957" s="198" t="s">
        <v>5724</v>
      </c>
    </row>
    <row r="1958" spans="1:16" ht="18.75" hidden="1">
      <c r="A1958" s="50" t="s">
        <v>4981</v>
      </c>
      <c r="B1958" s="50" t="s">
        <v>4972</v>
      </c>
      <c r="C1958" s="50" t="s">
        <v>4896</v>
      </c>
      <c r="D1958" s="50" t="s">
        <v>4183</v>
      </c>
      <c r="E1958" s="12" t="s">
        <v>3420</v>
      </c>
      <c r="F1958" s="49">
        <v>21560</v>
      </c>
      <c r="G1958" s="67" t="s">
        <v>5652</v>
      </c>
      <c r="H1958" s="14" t="s">
        <v>5601</v>
      </c>
      <c r="I1958" s="14" t="s">
        <v>2458</v>
      </c>
      <c r="J1958" s="33" t="s">
        <v>7110</v>
      </c>
      <c r="K1958" s="33" t="s">
        <v>5047</v>
      </c>
      <c r="L1958" s="68" t="s">
        <v>6277</v>
      </c>
      <c r="M1958" s="68" t="s">
        <v>8912</v>
      </c>
      <c r="N1958" s="68" t="s">
        <v>8665</v>
      </c>
      <c r="O1958" s="202">
        <v>50101</v>
      </c>
      <c r="P1958" s="198" t="s">
        <v>5724</v>
      </c>
    </row>
    <row r="1959" spans="1:16" ht="18.75" hidden="1">
      <c r="A1959" s="50" t="s">
        <v>4981</v>
      </c>
      <c r="B1959" s="50" t="s">
        <v>4972</v>
      </c>
      <c r="C1959" s="50" t="s">
        <v>5020</v>
      </c>
      <c r="D1959" s="50" t="s">
        <v>5011</v>
      </c>
      <c r="E1959" s="12" t="s">
        <v>4971</v>
      </c>
      <c r="F1959" s="49">
        <v>434328</v>
      </c>
      <c r="G1959" s="67" t="s">
        <v>5652</v>
      </c>
      <c r="H1959" s="14" t="s">
        <v>5601</v>
      </c>
      <c r="I1959" s="14" t="s">
        <v>2458</v>
      </c>
      <c r="J1959" s="33" t="s">
        <v>7110</v>
      </c>
      <c r="K1959" s="33" t="s">
        <v>5047</v>
      </c>
      <c r="L1959" s="68" t="s">
        <v>6277</v>
      </c>
      <c r="M1959" s="68" t="s">
        <v>8912</v>
      </c>
      <c r="N1959" s="68" t="s">
        <v>8665</v>
      </c>
      <c r="O1959" s="202">
        <v>50101</v>
      </c>
      <c r="P1959" s="198" t="s">
        <v>5785</v>
      </c>
    </row>
    <row r="1960" spans="1:16" ht="18.75" hidden="1">
      <c r="A1960" s="50" t="s">
        <v>4977</v>
      </c>
      <c r="B1960" s="50" t="s">
        <v>5008</v>
      </c>
      <c r="C1960" s="50" t="s">
        <v>5021</v>
      </c>
      <c r="D1960" s="50" t="s">
        <v>4877</v>
      </c>
      <c r="E1960" s="12" t="s">
        <v>3420</v>
      </c>
      <c r="F1960" s="49">
        <v>149480</v>
      </c>
      <c r="G1960" s="67" t="s">
        <v>5611</v>
      </c>
      <c r="H1960" s="14" t="s">
        <v>5601</v>
      </c>
      <c r="I1960" s="14" t="s">
        <v>2458</v>
      </c>
      <c r="J1960" s="33" t="s">
        <v>7110</v>
      </c>
      <c r="K1960" s="33" t="s">
        <v>5047</v>
      </c>
      <c r="L1960" s="68" t="s">
        <v>8671</v>
      </c>
      <c r="M1960" s="68" t="s">
        <v>8912</v>
      </c>
      <c r="N1960" s="68" t="s">
        <v>8665</v>
      </c>
      <c r="O1960" s="202">
        <v>50100</v>
      </c>
      <c r="P1960" s="198" t="s">
        <v>5752</v>
      </c>
    </row>
    <row r="1961" spans="1:16" ht="18.75" hidden="1">
      <c r="A1961" s="50" t="s">
        <v>4977</v>
      </c>
      <c r="B1961" s="50" t="s">
        <v>5008</v>
      </c>
      <c r="C1961" s="50" t="s">
        <v>5022</v>
      </c>
      <c r="D1961" s="50" t="s">
        <v>4886</v>
      </c>
      <c r="E1961" s="12" t="s">
        <v>4971</v>
      </c>
      <c r="F1961" s="49">
        <v>721569</v>
      </c>
      <c r="G1961" s="67" t="s">
        <v>5611</v>
      </c>
      <c r="H1961" s="14" t="s">
        <v>5601</v>
      </c>
      <c r="I1961" s="14" t="s">
        <v>2458</v>
      </c>
      <c r="J1961" s="33" t="s">
        <v>7110</v>
      </c>
      <c r="K1961" s="33" t="s">
        <v>5047</v>
      </c>
      <c r="L1961" s="68" t="s">
        <v>8671</v>
      </c>
      <c r="M1961" s="68" t="s">
        <v>8912</v>
      </c>
      <c r="N1961" s="68" t="s">
        <v>8665</v>
      </c>
      <c r="O1961" s="202">
        <v>50100</v>
      </c>
      <c r="P1961" s="198" t="s">
        <v>5752</v>
      </c>
    </row>
    <row r="1962" spans="1:16" ht="18.75" hidden="1">
      <c r="A1962" s="50" t="s">
        <v>4982</v>
      </c>
      <c r="B1962" s="50" t="s">
        <v>5011</v>
      </c>
      <c r="C1962" s="50" t="s">
        <v>5023</v>
      </c>
      <c r="D1962" s="50" t="s">
        <v>5046</v>
      </c>
      <c r="E1962" s="12" t="s">
        <v>4971</v>
      </c>
      <c r="F1962" s="49">
        <v>905385</v>
      </c>
      <c r="G1962" s="67" t="s">
        <v>5779</v>
      </c>
      <c r="H1962" s="14" t="s">
        <v>5601</v>
      </c>
      <c r="I1962" s="14" t="s">
        <v>2458</v>
      </c>
      <c r="J1962" s="33" t="e">
        <f>VLOOKUP(C1962,شرکتها!A:B,2,FALSE)</f>
        <v>#N/A</v>
      </c>
      <c r="K1962" s="33" t="s">
        <v>5047</v>
      </c>
      <c r="L1962" s="68" t="s">
        <v>8670</v>
      </c>
      <c r="M1962" s="68" t="s">
        <v>8913</v>
      </c>
      <c r="N1962" s="68" t="s">
        <v>8665</v>
      </c>
      <c r="O1962" s="202">
        <v>50100</v>
      </c>
      <c r="P1962" s="198" t="s">
        <v>5783</v>
      </c>
    </row>
    <row r="1963" spans="1:16" ht="18.75" hidden="1">
      <c r="A1963" s="50" t="s">
        <v>4983</v>
      </c>
      <c r="B1963" s="50" t="s">
        <v>5008</v>
      </c>
      <c r="C1963" s="50" t="s">
        <v>5024</v>
      </c>
      <c r="D1963" s="50" t="s">
        <v>5008</v>
      </c>
      <c r="E1963" s="12" t="s">
        <v>4971</v>
      </c>
      <c r="F1963" s="49">
        <v>1049749</v>
      </c>
      <c r="G1963" s="67" t="s">
        <v>5604</v>
      </c>
      <c r="H1963" s="14" t="s">
        <v>5601</v>
      </c>
      <c r="I1963" s="14" t="s">
        <v>2458</v>
      </c>
      <c r="J1963" s="33" t="s">
        <v>7110</v>
      </c>
      <c r="K1963" s="33" t="s">
        <v>5047</v>
      </c>
      <c r="L1963" s="68" t="s">
        <v>8670</v>
      </c>
      <c r="M1963" s="68" t="s">
        <v>8913</v>
      </c>
      <c r="N1963" s="68" t="s">
        <v>8665</v>
      </c>
      <c r="O1963" s="202">
        <v>50100</v>
      </c>
      <c r="P1963" s="198" t="s">
        <v>5760</v>
      </c>
    </row>
    <row r="1964" spans="1:16" ht="18.75" hidden="1">
      <c r="A1964" s="50" t="s">
        <v>4984</v>
      </c>
      <c r="B1964" s="50" t="s">
        <v>4972</v>
      </c>
      <c r="C1964" s="50" t="s">
        <v>5025</v>
      </c>
      <c r="D1964" s="50" t="s">
        <v>4887</v>
      </c>
      <c r="E1964" s="12" t="s">
        <v>4971</v>
      </c>
      <c r="F1964" s="49">
        <v>1300</v>
      </c>
      <c r="G1964" s="67" t="s">
        <v>5611</v>
      </c>
      <c r="H1964" s="14" t="s">
        <v>5601</v>
      </c>
      <c r="I1964" s="14" t="s">
        <v>2458</v>
      </c>
      <c r="J1964" s="33" t="s">
        <v>7110</v>
      </c>
      <c r="K1964" s="33" t="s">
        <v>5047</v>
      </c>
      <c r="L1964" s="68" t="s">
        <v>8674</v>
      </c>
      <c r="M1964" s="68" t="s">
        <v>8912</v>
      </c>
      <c r="N1964" s="68" t="s">
        <v>8665</v>
      </c>
      <c r="O1964" s="202">
        <v>50101</v>
      </c>
      <c r="P1964" s="198" t="s">
        <v>5752</v>
      </c>
    </row>
    <row r="1965" spans="1:16" ht="18.75" hidden="1">
      <c r="A1965" s="50" t="s">
        <v>4984</v>
      </c>
      <c r="B1965" s="50" t="s">
        <v>4972</v>
      </c>
      <c r="C1965" s="50" t="s">
        <v>5026</v>
      </c>
      <c r="D1965" s="50" t="s">
        <v>5045</v>
      </c>
      <c r="E1965" s="12" t="s">
        <v>4971</v>
      </c>
      <c r="F1965" s="49">
        <v>197200</v>
      </c>
      <c r="G1965" s="67" t="s">
        <v>5611</v>
      </c>
      <c r="H1965" s="14" t="s">
        <v>5601</v>
      </c>
      <c r="I1965" s="14" t="s">
        <v>2458</v>
      </c>
      <c r="J1965" s="33" t="s">
        <v>7110</v>
      </c>
      <c r="K1965" s="33" t="s">
        <v>5047</v>
      </c>
      <c r="L1965" s="68" t="s">
        <v>8674</v>
      </c>
      <c r="M1965" s="68" t="s">
        <v>8912</v>
      </c>
      <c r="N1965" s="68" t="s">
        <v>8665</v>
      </c>
      <c r="O1965" s="202">
        <v>50101</v>
      </c>
      <c r="P1965" s="198" t="s">
        <v>5758</v>
      </c>
    </row>
    <row r="1966" spans="1:16" ht="18.75" hidden="1">
      <c r="A1966" s="50" t="s">
        <v>4985</v>
      </c>
      <c r="B1966" s="50" t="s">
        <v>4972</v>
      </c>
      <c r="C1966" s="50" t="s">
        <v>5025</v>
      </c>
      <c r="D1966" s="50" t="s">
        <v>4887</v>
      </c>
      <c r="E1966" s="12" t="s">
        <v>4971</v>
      </c>
      <c r="F1966" s="49">
        <v>498700</v>
      </c>
      <c r="G1966" s="67" t="s">
        <v>5611</v>
      </c>
      <c r="H1966" s="14" t="s">
        <v>5601</v>
      </c>
      <c r="I1966" s="14" t="s">
        <v>2458</v>
      </c>
      <c r="J1966" s="33" t="s">
        <v>7110</v>
      </c>
      <c r="K1966" s="33" t="s">
        <v>5047</v>
      </c>
      <c r="L1966" s="68" t="s">
        <v>8674</v>
      </c>
      <c r="M1966" s="68" t="s">
        <v>8912</v>
      </c>
      <c r="N1966" s="68" t="s">
        <v>8665</v>
      </c>
      <c r="O1966" s="202">
        <v>50100</v>
      </c>
      <c r="P1966" s="198" t="s">
        <v>5752</v>
      </c>
    </row>
    <row r="1967" spans="1:16" ht="18.75" hidden="1">
      <c r="A1967" s="50" t="s">
        <v>4986</v>
      </c>
      <c r="B1967" s="50" t="s">
        <v>5007</v>
      </c>
      <c r="C1967" s="50" t="s">
        <v>5027</v>
      </c>
      <c r="D1967" s="50" t="s">
        <v>5009</v>
      </c>
      <c r="E1967" s="12" t="s">
        <v>4971</v>
      </c>
      <c r="F1967" s="49">
        <v>447983</v>
      </c>
      <c r="G1967" s="67" t="s">
        <v>5604</v>
      </c>
      <c r="H1967" s="14" t="s">
        <v>5601</v>
      </c>
      <c r="I1967" s="14" t="s">
        <v>2458</v>
      </c>
      <c r="J1967" s="33" t="s">
        <v>7110</v>
      </c>
      <c r="K1967" s="33" t="s">
        <v>5047</v>
      </c>
      <c r="L1967" s="68" t="s">
        <v>6277</v>
      </c>
      <c r="M1967" s="68" t="s">
        <v>8912</v>
      </c>
      <c r="N1967" s="68" t="s">
        <v>8665</v>
      </c>
      <c r="O1967" s="202">
        <v>50101</v>
      </c>
      <c r="P1967" s="198" t="s">
        <v>5729</v>
      </c>
    </row>
    <row r="1968" spans="1:16" ht="18.75" hidden="1">
      <c r="A1968" s="50" t="s">
        <v>4986</v>
      </c>
      <c r="B1968" s="50" t="s">
        <v>5007</v>
      </c>
      <c r="C1968" s="50" t="s">
        <v>5028</v>
      </c>
      <c r="D1968" s="50" t="s">
        <v>4881</v>
      </c>
      <c r="E1968" s="12" t="s">
        <v>4971</v>
      </c>
      <c r="F1968" s="49">
        <v>43616</v>
      </c>
      <c r="G1968" s="67" t="s">
        <v>5604</v>
      </c>
      <c r="H1968" s="14" t="s">
        <v>5601</v>
      </c>
      <c r="I1968" s="14" t="s">
        <v>2458</v>
      </c>
      <c r="J1968" s="33" t="e">
        <f>VLOOKUP(C1968,شرکتها!A:B,2,FALSE)</f>
        <v>#N/A</v>
      </c>
      <c r="K1968" s="33" t="s">
        <v>5047</v>
      </c>
      <c r="L1968" s="68" t="s">
        <v>6277</v>
      </c>
      <c r="M1968" s="68" t="s">
        <v>8912</v>
      </c>
      <c r="N1968" s="68" t="s">
        <v>8665</v>
      </c>
      <c r="O1968" s="202">
        <v>50101</v>
      </c>
      <c r="P1968" s="198" t="s">
        <v>5710</v>
      </c>
    </row>
    <row r="1969" spans="1:16" ht="18.75" hidden="1">
      <c r="A1969" s="50" t="s">
        <v>4987</v>
      </c>
      <c r="B1969" s="50" t="s">
        <v>5012</v>
      </c>
      <c r="C1969" s="50" t="s">
        <v>12177</v>
      </c>
      <c r="D1969" s="50" t="s">
        <v>5007</v>
      </c>
      <c r="E1969" s="12" t="s">
        <v>4971</v>
      </c>
      <c r="F1969" s="49">
        <v>947025</v>
      </c>
      <c r="G1969" s="67" t="s">
        <v>5779</v>
      </c>
      <c r="H1969" s="14" t="s">
        <v>5602</v>
      </c>
      <c r="I1969" s="14" t="s">
        <v>2458</v>
      </c>
      <c r="J1969" s="33" t="e">
        <f>VLOOKUP(C1969,شرکتها!A:B,2,FALSE)</f>
        <v>#N/A</v>
      </c>
      <c r="K1969" s="33" t="s">
        <v>5047</v>
      </c>
      <c r="L1969" s="68" t="s">
        <v>8670</v>
      </c>
      <c r="M1969" s="68" t="s">
        <v>8913</v>
      </c>
      <c r="N1969" s="68" t="s">
        <v>8665</v>
      </c>
      <c r="O1969" s="202">
        <v>50100</v>
      </c>
      <c r="P1969" s="198" t="s">
        <v>5797</v>
      </c>
    </row>
    <row r="1970" spans="1:16" ht="18.75" hidden="1">
      <c r="A1970" s="50" t="s">
        <v>4988</v>
      </c>
      <c r="B1970" s="50" t="s">
        <v>5009</v>
      </c>
      <c r="C1970" s="50" t="s">
        <v>5030</v>
      </c>
      <c r="D1970" s="50" t="s">
        <v>5046</v>
      </c>
      <c r="E1970" s="12" t="s">
        <v>4971</v>
      </c>
      <c r="F1970" s="49">
        <v>2837151</v>
      </c>
      <c r="G1970" s="67" t="s">
        <v>5779</v>
      </c>
      <c r="H1970" s="14" t="s">
        <v>5602</v>
      </c>
      <c r="I1970" s="14" t="s">
        <v>2458</v>
      </c>
      <c r="J1970" s="33" t="e">
        <f>VLOOKUP(C1970,شرکتها!A:B,2,FALSE)</f>
        <v>#N/A</v>
      </c>
      <c r="K1970" s="33" t="s">
        <v>5047</v>
      </c>
      <c r="L1970" s="68" t="s">
        <v>6283</v>
      </c>
      <c r="M1970" s="68" t="s">
        <v>8913</v>
      </c>
      <c r="N1970" s="68" t="s">
        <v>8665</v>
      </c>
      <c r="O1970" s="202">
        <v>50100</v>
      </c>
      <c r="P1970" s="198" t="s">
        <v>5782</v>
      </c>
    </row>
    <row r="1971" spans="1:16" ht="18.75" hidden="1">
      <c r="A1971" s="50" t="s">
        <v>4989</v>
      </c>
      <c r="B1971" s="50" t="s">
        <v>5012</v>
      </c>
      <c r="C1971" s="50" t="s">
        <v>5031</v>
      </c>
      <c r="D1971" s="50" t="s">
        <v>5008</v>
      </c>
      <c r="E1971" s="12" t="s">
        <v>4971</v>
      </c>
      <c r="F1971" s="49">
        <v>490003</v>
      </c>
      <c r="G1971" s="67" t="s">
        <v>5607</v>
      </c>
      <c r="H1971" s="14" t="s">
        <v>5601</v>
      </c>
      <c r="I1971" s="14" t="s">
        <v>2458</v>
      </c>
      <c r="J1971" s="33" t="s">
        <v>7110</v>
      </c>
      <c r="K1971" s="33" t="s">
        <v>5047</v>
      </c>
      <c r="L1971" s="68" t="s">
        <v>6283</v>
      </c>
      <c r="M1971" s="68" t="s">
        <v>8912</v>
      </c>
      <c r="N1971" s="68" t="s">
        <v>8665</v>
      </c>
      <c r="O1971" s="202">
        <v>50100</v>
      </c>
      <c r="P1971" s="198" t="s">
        <v>5771</v>
      </c>
    </row>
    <row r="1972" spans="1:16" ht="18.75" hidden="1">
      <c r="A1972" s="50" t="s">
        <v>4990</v>
      </c>
      <c r="B1972" s="50" t="s">
        <v>5012</v>
      </c>
      <c r="C1972" s="50" t="s">
        <v>5032</v>
      </c>
      <c r="D1972" s="50" t="s">
        <v>5009</v>
      </c>
      <c r="E1972" s="12" t="s">
        <v>4971</v>
      </c>
      <c r="F1972" s="49">
        <v>25434</v>
      </c>
      <c r="G1972" s="67" t="s">
        <v>5631</v>
      </c>
      <c r="H1972" s="14" t="s">
        <v>5601</v>
      </c>
      <c r="I1972" s="14" t="s">
        <v>2458</v>
      </c>
      <c r="J1972" s="33" t="s">
        <v>7110</v>
      </c>
      <c r="K1972" s="33" t="s">
        <v>5047</v>
      </c>
      <c r="L1972" s="68" t="s">
        <v>6283</v>
      </c>
      <c r="M1972" s="68" t="s">
        <v>8912</v>
      </c>
      <c r="N1972" s="68" t="s">
        <v>8665</v>
      </c>
      <c r="O1972" s="202">
        <v>50100</v>
      </c>
      <c r="P1972" s="197" t="s">
        <v>5775</v>
      </c>
    </row>
    <row r="1973" spans="1:16" ht="18.75" hidden="1">
      <c r="A1973" s="50" t="s">
        <v>4990</v>
      </c>
      <c r="B1973" s="50" t="s">
        <v>5012</v>
      </c>
      <c r="C1973" s="50" t="s">
        <v>5033</v>
      </c>
      <c r="D1973" s="50" t="s">
        <v>5046</v>
      </c>
      <c r="E1973" s="12" t="s">
        <v>4971</v>
      </c>
      <c r="F1973" s="49">
        <v>496591</v>
      </c>
      <c r="G1973" s="67" t="s">
        <v>5631</v>
      </c>
      <c r="H1973" s="14" t="s">
        <v>5601</v>
      </c>
      <c r="I1973" s="14" t="s">
        <v>2458</v>
      </c>
      <c r="J1973" s="33" t="s">
        <v>7110</v>
      </c>
      <c r="K1973" s="33" t="s">
        <v>5047</v>
      </c>
      <c r="L1973" s="68" t="s">
        <v>6283</v>
      </c>
      <c r="M1973" s="68" t="s">
        <v>8912</v>
      </c>
      <c r="N1973" s="68" t="s">
        <v>8665</v>
      </c>
      <c r="O1973" s="202">
        <v>50100</v>
      </c>
      <c r="P1973" s="197" t="s">
        <v>5777</v>
      </c>
    </row>
    <row r="1974" spans="1:16" ht="18.75" hidden="1">
      <c r="A1974" s="50" t="s">
        <v>4991</v>
      </c>
      <c r="B1974" s="50" t="s">
        <v>5011</v>
      </c>
      <c r="C1974" s="50" t="s">
        <v>4959</v>
      </c>
      <c r="D1974" s="50" t="s">
        <v>4883</v>
      </c>
      <c r="E1974" s="12" t="s">
        <v>4971</v>
      </c>
      <c r="F1974" s="49">
        <v>522215</v>
      </c>
      <c r="G1974" s="67" t="s">
        <v>5631</v>
      </c>
      <c r="H1974" s="14" t="s">
        <v>5601</v>
      </c>
      <c r="I1974" s="14" t="s">
        <v>2458</v>
      </c>
      <c r="J1974" s="33" t="s">
        <v>7110</v>
      </c>
      <c r="K1974" s="33" t="s">
        <v>5047</v>
      </c>
      <c r="L1974" s="68" t="s">
        <v>6283</v>
      </c>
      <c r="M1974" s="68" t="s">
        <v>8912</v>
      </c>
      <c r="N1974" s="68" t="s">
        <v>8665</v>
      </c>
      <c r="O1974" s="202">
        <v>50100</v>
      </c>
      <c r="P1974" s="197" t="s">
        <v>5748</v>
      </c>
    </row>
    <row r="1975" spans="1:16" ht="18.75" hidden="1">
      <c r="A1975" s="50" t="s">
        <v>4992</v>
      </c>
      <c r="B1975" s="50" t="s">
        <v>5012</v>
      </c>
      <c r="C1975" s="50" t="s">
        <v>5034</v>
      </c>
      <c r="D1975" s="50" t="s">
        <v>5012</v>
      </c>
      <c r="E1975" s="12" t="s">
        <v>4971</v>
      </c>
      <c r="F1975" s="49">
        <v>1413901</v>
      </c>
      <c r="G1975" s="67" t="s">
        <v>5779</v>
      </c>
      <c r="H1975" s="14" t="s">
        <v>5601</v>
      </c>
      <c r="I1975" s="14" t="s">
        <v>2458</v>
      </c>
      <c r="J1975" s="33" t="e">
        <f>VLOOKUP(C1975,شرکتها!A:B,2,FALSE)</f>
        <v>#N/A</v>
      </c>
      <c r="K1975" s="33" t="s">
        <v>5047</v>
      </c>
      <c r="L1975" s="68" t="s">
        <v>6284</v>
      </c>
      <c r="M1975" s="68" t="s">
        <v>8913</v>
      </c>
      <c r="N1975" s="68" t="s">
        <v>8665</v>
      </c>
      <c r="O1975" s="202">
        <v>50100</v>
      </c>
      <c r="P1975" s="198" t="s">
        <v>5783</v>
      </c>
    </row>
    <row r="1976" spans="1:16" ht="18.75" hidden="1">
      <c r="A1976" s="50" t="s">
        <v>4993</v>
      </c>
      <c r="B1976" s="50" t="s">
        <v>5010</v>
      </c>
      <c r="C1976" s="50" t="s">
        <v>5019</v>
      </c>
      <c r="D1976" s="50" t="s">
        <v>5008</v>
      </c>
      <c r="E1976" s="12" t="s">
        <v>4971</v>
      </c>
      <c r="F1976" s="49">
        <v>990000</v>
      </c>
      <c r="G1976" s="67" t="s">
        <v>5652</v>
      </c>
      <c r="H1976" s="14" t="s">
        <v>5601</v>
      </c>
      <c r="I1976" s="14" t="s">
        <v>2458</v>
      </c>
      <c r="J1976" s="33" t="s">
        <v>7110</v>
      </c>
      <c r="K1976" s="33" t="s">
        <v>5047</v>
      </c>
      <c r="L1976" s="68" t="s">
        <v>6283</v>
      </c>
      <c r="M1976" s="68" t="s">
        <v>8912</v>
      </c>
      <c r="N1976" s="68" t="s">
        <v>8665</v>
      </c>
      <c r="O1976" s="202">
        <v>50100</v>
      </c>
      <c r="P1976" s="198" t="s">
        <v>5769</v>
      </c>
    </row>
    <row r="1977" spans="1:16" ht="18.75" hidden="1">
      <c r="A1977" s="50" t="s">
        <v>4994</v>
      </c>
      <c r="B1977" s="50" t="s">
        <v>4972</v>
      </c>
      <c r="C1977" s="50" t="s">
        <v>5017</v>
      </c>
      <c r="D1977" s="50" t="s">
        <v>5046</v>
      </c>
      <c r="E1977" s="12" t="s">
        <v>4971</v>
      </c>
      <c r="F1977" s="49">
        <v>488125</v>
      </c>
      <c r="G1977" s="67" t="s">
        <v>5616</v>
      </c>
      <c r="H1977" s="14" t="s">
        <v>5601</v>
      </c>
      <c r="I1977" s="14" t="s">
        <v>2458</v>
      </c>
      <c r="J1977" s="33" t="s">
        <v>7110</v>
      </c>
      <c r="K1977" s="33" t="s">
        <v>5047</v>
      </c>
      <c r="L1977" s="68" t="s">
        <v>6283</v>
      </c>
      <c r="M1977" s="68" t="s">
        <v>8912</v>
      </c>
      <c r="N1977" s="68" t="s">
        <v>8665</v>
      </c>
      <c r="O1977" s="202">
        <v>50101</v>
      </c>
      <c r="P1977" s="198" t="s">
        <v>5781</v>
      </c>
    </row>
    <row r="1978" spans="1:16" ht="18.75" hidden="1">
      <c r="A1978" s="50" t="s">
        <v>4995</v>
      </c>
      <c r="B1978" s="50" t="s">
        <v>5011</v>
      </c>
      <c r="C1978" s="50" t="s">
        <v>5050</v>
      </c>
      <c r="D1978" s="50" t="s">
        <v>5011</v>
      </c>
      <c r="E1978" s="12" t="s">
        <v>4971</v>
      </c>
      <c r="F1978" s="49">
        <v>1000000</v>
      </c>
      <c r="G1978" s="67" t="s">
        <v>5779</v>
      </c>
      <c r="H1978" s="14" t="s">
        <v>5601</v>
      </c>
      <c r="I1978" s="14" t="s">
        <v>2458</v>
      </c>
      <c r="J1978" s="33" t="e">
        <f>VLOOKUP(C1978,شرکتها!A:B,2,FALSE)</f>
        <v>#N/A</v>
      </c>
      <c r="K1978" s="33" t="s">
        <v>5047</v>
      </c>
      <c r="L1978" s="68" t="s">
        <v>8670</v>
      </c>
      <c r="M1978" s="68" t="s">
        <v>8913</v>
      </c>
      <c r="N1978" s="68" t="s">
        <v>8665</v>
      </c>
      <c r="O1978" s="202">
        <v>50100</v>
      </c>
      <c r="P1978" s="198" t="s">
        <v>5783</v>
      </c>
    </row>
    <row r="1979" spans="1:16" ht="18.75" hidden="1">
      <c r="A1979" s="50" t="s">
        <v>4996</v>
      </c>
      <c r="B1979" s="50" t="s">
        <v>5013</v>
      </c>
      <c r="C1979" s="50" t="s">
        <v>5035</v>
      </c>
      <c r="D1979" s="50" t="s">
        <v>5046</v>
      </c>
      <c r="E1979" s="12" t="s">
        <v>4971</v>
      </c>
      <c r="F1979" s="49">
        <v>500000</v>
      </c>
      <c r="G1979" s="67" t="s">
        <v>5652</v>
      </c>
      <c r="H1979" s="14" t="s">
        <v>5601</v>
      </c>
      <c r="I1979" s="14" t="s">
        <v>2458</v>
      </c>
      <c r="J1979" s="33" t="s">
        <v>7110</v>
      </c>
      <c r="K1979" s="33" t="s">
        <v>5047</v>
      </c>
      <c r="L1979" s="68" t="s">
        <v>6283</v>
      </c>
      <c r="M1979" s="68" t="s">
        <v>8912</v>
      </c>
      <c r="N1979" s="68" t="s">
        <v>8665</v>
      </c>
      <c r="O1979" s="202">
        <v>50100</v>
      </c>
      <c r="P1979" s="198" t="s">
        <v>5769</v>
      </c>
    </row>
    <row r="1980" spans="1:16" ht="18.75" hidden="1">
      <c r="A1980" s="50" t="s">
        <v>4996</v>
      </c>
      <c r="B1980" s="50" t="s">
        <v>5013</v>
      </c>
      <c r="C1980" s="50" t="s">
        <v>5019</v>
      </c>
      <c r="D1980" s="50" t="s">
        <v>5008</v>
      </c>
      <c r="E1980" s="12" t="s">
        <v>4971</v>
      </c>
      <c r="F1980" s="49">
        <v>310000</v>
      </c>
      <c r="G1980" s="67" t="s">
        <v>5652</v>
      </c>
      <c r="H1980" s="14" t="s">
        <v>5601</v>
      </c>
      <c r="I1980" s="14" t="s">
        <v>2458</v>
      </c>
      <c r="J1980" s="33" t="s">
        <v>7110</v>
      </c>
      <c r="K1980" s="33" t="s">
        <v>5047</v>
      </c>
      <c r="L1980" s="68" t="s">
        <v>6283</v>
      </c>
      <c r="M1980" s="68" t="s">
        <v>8912</v>
      </c>
      <c r="N1980" s="68" t="s">
        <v>8665</v>
      </c>
      <c r="O1980" s="202">
        <v>50100</v>
      </c>
      <c r="P1980" s="198" t="s">
        <v>5769</v>
      </c>
    </row>
    <row r="1981" spans="1:16" ht="18.75" hidden="1">
      <c r="A1981" s="50" t="s">
        <v>4996</v>
      </c>
      <c r="B1981" s="50" t="s">
        <v>5013</v>
      </c>
      <c r="C1981" s="50" t="s">
        <v>5036</v>
      </c>
      <c r="D1981" s="50" t="s">
        <v>5045</v>
      </c>
      <c r="E1981" s="12" t="s">
        <v>4971</v>
      </c>
      <c r="F1981" s="49">
        <v>180000</v>
      </c>
      <c r="G1981" s="67" t="s">
        <v>5631</v>
      </c>
      <c r="H1981" s="14" t="s">
        <v>5601</v>
      </c>
      <c r="I1981" s="14" t="s">
        <v>2458</v>
      </c>
      <c r="J1981" s="33" t="s">
        <v>7110</v>
      </c>
      <c r="K1981" s="33" t="s">
        <v>5047</v>
      </c>
      <c r="L1981" s="68" t="s">
        <v>6283</v>
      </c>
      <c r="M1981" s="68" t="s">
        <v>8912</v>
      </c>
      <c r="N1981" s="68" t="s">
        <v>8665</v>
      </c>
      <c r="O1981" s="202">
        <v>50100</v>
      </c>
      <c r="P1981" s="197" t="s">
        <v>5751</v>
      </c>
    </row>
    <row r="1982" spans="1:16" ht="18.75" hidden="1">
      <c r="A1982" s="50" t="s">
        <v>4997</v>
      </c>
      <c r="B1982" s="50" t="s">
        <v>4972</v>
      </c>
      <c r="C1982" s="50" t="s">
        <v>5037</v>
      </c>
      <c r="D1982" s="50" t="s">
        <v>5046</v>
      </c>
      <c r="E1982" s="12" t="s">
        <v>4971</v>
      </c>
      <c r="F1982" s="49">
        <v>195250</v>
      </c>
      <c r="G1982" s="67" t="s">
        <v>5616</v>
      </c>
      <c r="H1982" s="14" t="s">
        <v>5601</v>
      </c>
      <c r="I1982" s="14" t="s">
        <v>2458</v>
      </c>
      <c r="J1982" s="33" t="s">
        <v>7110</v>
      </c>
      <c r="K1982" s="33" t="s">
        <v>5047</v>
      </c>
      <c r="L1982" s="68" t="s">
        <v>6283</v>
      </c>
      <c r="M1982" s="68" t="s">
        <v>8912</v>
      </c>
      <c r="N1982" s="68" t="s">
        <v>8665</v>
      </c>
      <c r="O1982" s="202">
        <v>50101</v>
      </c>
      <c r="P1982" s="198" t="s">
        <v>5781</v>
      </c>
    </row>
    <row r="1983" spans="1:16" ht="18.75" hidden="1">
      <c r="A1983" s="50" t="s">
        <v>4998</v>
      </c>
      <c r="B1983" s="50" t="s">
        <v>5011</v>
      </c>
      <c r="C1983" s="50" t="s">
        <v>5038</v>
      </c>
      <c r="D1983" s="50" t="s">
        <v>4887</v>
      </c>
      <c r="E1983" s="12" t="s">
        <v>4971</v>
      </c>
      <c r="F1983" s="49">
        <v>200000</v>
      </c>
      <c r="G1983" s="67" t="s">
        <v>5631</v>
      </c>
      <c r="H1983" s="14" t="s">
        <v>5601</v>
      </c>
      <c r="I1983" s="14" t="s">
        <v>2458</v>
      </c>
      <c r="J1983" s="33" t="s">
        <v>7110</v>
      </c>
      <c r="K1983" s="33" t="s">
        <v>5047</v>
      </c>
      <c r="L1983" s="68" t="s">
        <v>6283</v>
      </c>
      <c r="M1983" s="68" t="s">
        <v>8912</v>
      </c>
      <c r="N1983" s="68" t="s">
        <v>8665</v>
      </c>
      <c r="O1983" s="202">
        <v>50100</v>
      </c>
      <c r="P1983" s="197" t="s">
        <v>5751</v>
      </c>
    </row>
    <row r="1984" spans="1:16" ht="18.75" hidden="1">
      <c r="A1984" s="50" t="s">
        <v>4998</v>
      </c>
      <c r="B1984" s="50" t="s">
        <v>5011</v>
      </c>
      <c r="C1984" s="50" t="s">
        <v>4959</v>
      </c>
      <c r="D1984" s="50" t="s">
        <v>4883</v>
      </c>
      <c r="E1984" s="12" t="s">
        <v>4971</v>
      </c>
      <c r="F1984" s="49">
        <v>278244</v>
      </c>
      <c r="G1984" s="67" t="s">
        <v>5631</v>
      </c>
      <c r="H1984" s="14" t="s">
        <v>5601</v>
      </c>
      <c r="I1984" s="14" t="s">
        <v>2458</v>
      </c>
      <c r="J1984" s="33" t="s">
        <v>7110</v>
      </c>
      <c r="K1984" s="33" t="s">
        <v>5047</v>
      </c>
      <c r="L1984" s="68" t="s">
        <v>6283</v>
      </c>
      <c r="M1984" s="68" t="s">
        <v>8912</v>
      </c>
      <c r="N1984" s="68" t="s">
        <v>8665</v>
      </c>
      <c r="O1984" s="202">
        <v>50100</v>
      </c>
      <c r="P1984" s="197" t="s">
        <v>5748</v>
      </c>
    </row>
    <row r="1985" spans="1:16" ht="18.75" hidden="1">
      <c r="A1985" s="50" t="s">
        <v>4998</v>
      </c>
      <c r="B1985" s="50" t="s">
        <v>5011</v>
      </c>
      <c r="C1985" s="50" t="s">
        <v>5036</v>
      </c>
      <c r="D1985" s="50" t="s">
        <v>5045</v>
      </c>
      <c r="E1985" s="12" t="s">
        <v>4971</v>
      </c>
      <c r="F1985" s="49">
        <v>45006</v>
      </c>
      <c r="G1985" s="67" t="s">
        <v>5631</v>
      </c>
      <c r="H1985" s="14" t="s">
        <v>5601</v>
      </c>
      <c r="I1985" s="14" t="s">
        <v>2458</v>
      </c>
      <c r="J1985" s="33" t="s">
        <v>7110</v>
      </c>
      <c r="K1985" s="33" t="s">
        <v>5047</v>
      </c>
      <c r="L1985" s="68" t="s">
        <v>6283</v>
      </c>
      <c r="M1985" s="68" t="s">
        <v>8912</v>
      </c>
      <c r="N1985" s="68" t="s">
        <v>8665</v>
      </c>
      <c r="O1985" s="202">
        <v>50100</v>
      </c>
      <c r="P1985" s="197" t="s">
        <v>5751</v>
      </c>
    </row>
    <row r="1986" spans="1:16" ht="18.75" hidden="1">
      <c r="A1986" s="50" t="s">
        <v>4999</v>
      </c>
      <c r="B1986" s="50" t="s">
        <v>5012</v>
      </c>
      <c r="C1986" s="50" t="s">
        <v>4919</v>
      </c>
      <c r="D1986" s="50" t="s">
        <v>4720</v>
      </c>
      <c r="E1986" s="12" t="s">
        <v>3420</v>
      </c>
      <c r="F1986" s="49">
        <v>84724</v>
      </c>
      <c r="G1986" s="67" t="s">
        <v>5616</v>
      </c>
      <c r="H1986" s="14" t="s">
        <v>5601</v>
      </c>
      <c r="I1986" s="14" t="s">
        <v>2458</v>
      </c>
      <c r="J1986" s="33" t="s">
        <v>7110</v>
      </c>
      <c r="K1986" s="33" t="s">
        <v>5047</v>
      </c>
      <c r="L1986" s="68" t="s">
        <v>6283</v>
      </c>
      <c r="M1986" s="68" t="s">
        <v>8912</v>
      </c>
      <c r="N1986" s="68" t="s">
        <v>8665</v>
      </c>
      <c r="O1986" s="202">
        <v>50100</v>
      </c>
      <c r="P1986" s="198" t="s">
        <v>5753</v>
      </c>
    </row>
    <row r="1987" spans="1:16" ht="18.75" hidden="1">
      <c r="A1987" s="50" t="s">
        <v>4999</v>
      </c>
      <c r="B1987" s="50" t="s">
        <v>5012</v>
      </c>
      <c r="C1987" s="50" t="s">
        <v>5018</v>
      </c>
      <c r="D1987" s="50" t="s">
        <v>4887</v>
      </c>
      <c r="E1987" s="12" t="s">
        <v>4971</v>
      </c>
      <c r="F1987" s="49">
        <v>487975</v>
      </c>
      <c r="G1987" s="67" t="s">
        <v>5616</v>
      </c>
      <c r="H1987" s="14" t="s">
        <v>5601</v>
      </c>
      <c r="I1987" s="14" t="s">
        <v>2458</v>
      </c>
      <c r="J1987" s="33" t="s">
        <v>7110</v>
      </c>
      <c r="K1987" s="33" t="s">
        <v>5047</v>
      </c>
      <c r="L1987" s="68" t="s">
        <v>6283</v>
      </c>
      <c r="M1987" s="68" t="s">
        <v>8912</v>
      </c>
      <c r="N1987" s="68" t="s">
        <v>8665</v>
      </c>
      <c r="O1987" s="202">
        <v>50100</v>
      </c>
      <c r="P1987" s="198" t="s">
        <v>5753</v>
      </c>
    </row>
    <row r="1988" spans="1:16" ht="18.75" hidden="1">
      <c r="A1988" s="50" t="s">
        <v>4999</v>
      </c>
      <c r="B1988" s="50" t="s">
        <v>5012</v>
      </c>
      <c r="C1988" s="50" t="s">
        <v>5039</v>
      </c>
      <c r="D1988" s="50" t="s">
        <v>4881</v>
      </c>
      <c r="E1988" s="12" t="s">
        <v>4971</v>
      </c>
      <c r="F1988" s="49">
        <v>423718</v>
      </c>
      <c r="G1988" s="67" t="s">
        <v>5616</v>
      </c>
      <c r="H1988" s="14" t="s">
        <v>5601</v>
      </c>
      <c r="I1988" s="14" t="s">
        <v>2458</v>
      </c>
      <c r="J1988" s="33" t="s">
        <v>7110</v>
      </c>
      <c r="K1988" s="33" t="s">
        <v>5047</v>
      </c>
      <c r="L1988" s="68" t="s">
        <v>6283</v>
      </c>
      <c r="M1988" s="68" t="s">
        <v>8912</v>
      </c>
      <c r="N1988" s="68" t="s">
        <v>8665</v>
      </c>
      <c r="O1988" s="202">
        <v>50100</v>
      </c>
      <c r="P1988" s="198" t="s">
        <v>5753</v>
      </c>
    </row>
    <row r="1989" spans="1:16" ht="18.75" hidden="1">
      <c r="A1989" s="50" t="s">
        <v>5000</v>
      </c>
      <c r="B1989" s="50" t="s">
        <v>4972</v>
      </c>
      <c r="C1989" s="50" t="s">
        <v>5040</v>
      </c>
      <c r="D1989" s="50" t="s">
        <v>5009</v>
      </c>
      <c r="E1989" s="12" t="s">
        <v>4971</v>
      </c>
      <c r="F1989" s="49">
        <v>491722</v>
      </c>
      <c r="G1989" s="67" t="s">
        <v>5611</v>
      </c>
      <c r="H1989" s="14" t="s">
        <v>5601</v>
      </c>
      <c r="I1989" s="14" t="s">
        <v>2458</v>
      </c>
      <c r="J1989" s="33" t="s">
        <v>7110</v>
      </c>
      <c r="K1989" s="33" t="s">
        <v>5047</v>
      </c>
      <c r="L1989" s="68" t="s">
        <v>6283</v>
      </c>
      <c r="M1989" s="68" t="s">
        <v>8912</v>
      </c>
      <c r="N1989" s="68" t="s">
        <v>8665</v>
      </c>
      <c r="O1989" s="202">
        <v>50101</v>
      </c>
      <c r="P1989" s="198" t="s">
        <v>5758</v>
      </c>
    </row>
    <row r="1990" spans="1:16" ht="18.75" hidden="1">
      <c r="A1990" s="50" t="s">
        <v>5000</v>
      </c>
      <c r="B1990" s="50" t="s">
        <v>4972</v>
      </c>
      <c r="C1990" s="50" t="s">
        <v>5026</v>
      </c>
      <c r="D1990" s="50" t="s">
        <v>5045</v>
      </c>
      <c r="E1990" s="12" t="s">
        <v>4971</v>
      </c>
      <c r="F1990" s="49">
        <v>19165</v>
      </c>
      <c r="G1990" s="67" t="s">
        <v>5611</v>
      </c>
      <c r="H1990" s="14" t="s">
        <v>5601</v>
      </c>
      <c r="I1990" s="14" t="s">
        <v>2458</v>
      </c>
      <c r="J1990" s="33" t="s">
        <v>7110</v>
      </c>
      <c r="K1990" s="33" t="s">
        <v>5047</v>
      </c>
      <c r="L1990" s="68" t="s">
        <v>6283</v>
      </c>
      <c r="M1990" s="68" t="s">
        <v>8912</v>
      </c>
      <c r="N1990" s="68" t="s">
        <v>8665</v>
      </c>
      <c r="O1990" s="202">
        <v>50101</v>
      </c>
      <c r="P1990" s="198" t="s">
        <v>5758</v>
      </c>
    </row>
    <row r="1991" spans="1:16" ht="18.75" hidden="1">
      <c r="A1991" s="50" t="s">
        <v>5001</v>
      </c>
      <c r="B1991" s="50" t="s">
        <v>4972</v>
      </c>
      <c r="C1991" s="50" t="s">
        <v>5026</v>
      </c>
      <c r="D1991" s="50" t="s">
        <v>5045</v>
      </c>
      <c r="E1991" s="12" t="s">
        <v>4971</v>
      </c>
      <c r="F1991" s="49">
        <v>79200</v>
      </c>
      <c r="G1991" s="67" t="s">
        <v>5611</v>
      </c>
      <c r="H1991" s="14" t="s">
        <v>5601</v>
      </c>
      <c r="I1991" s="14" t="s">
        <v>2458</v>
      </c>
      <c r="J1991" s="33" t="s">
        <v>7110</v>
      </c>
      <c r="K1991" s="33" t="s">
        <v>5047</v>
      </c>
      <c r="L1991" s="68" t="s">
        <v>8664</v>
      </c>
      <c r="M1991" s="68" t="s">
        <v>8912</v>
      </c>
      <c r="N1991" s="68" t="s">
        <v>8665</v>
      </c>
      <c r="O1991" s="202">
        <v>50101</v>
      </c>
      <c r="P1991" s="198" t="s">
        <v>5758</v>
      </c>
    </row>
    <row r="1992" spans="1:16" ht="18.75" hidden="1">
      <c r="A1992" s="50" t="s">
        <v>5002</v>
      </c>
      <c r="B1992" s="50" t="s">
        <v>5009</v>
      </c>
      <c r="C1992" s="50" t="s">
        <v>5041</v>
      </c>
      <c r="D1992" s="50" t="s">
        <v>5046</v>
      </c>
      <c r="E1992" s="12" t="s">
        <v>4971</v>
      </c>
      <c r="F1992" s="49">
        <v>1760103</v>
      </c>
      <c r="G1992" s="67" t="s">
        <v>5779</v>
      </c>
      <c r="H1992" s="14" t="s">
        <v>5602</v>
      </c>
      <c r="I1992" s="14" t="s">
        <v>2458</v>
      </c>
      <c r="J1992" s="33" t="e">
        <f>VLOOKUP(C1992,شرکتها!A:B,2,FALSE)</f>
        <v>#N/A</v>
      </c>
      <c r="K1992" s="33" t="s">
        <v>5047</v>
      </c>
      <c r="L1992" s="68" t="s">
        <v>8670</v>
      </c>
      <c r="M1992" s="68" t="s">
        <v>8913</v>
      </c>
      <c r="N1992" s="68" t="s">
        <v>8665</v>
      </c>
      <c r="O1992" s="202">
        <v>50100</v>
      </c>
      <c r="P1992" s="198" t="s">
        <v>5782</v>
      </c>
    </row>
    <row r="1993" spans="1:16" ht="18.75" hidden="1">
      <c r="A1993" s="50" t="s">
        <v>5003</v>
      </c>
      <c r="B1993" s="50" t="s">
        <v>5014</v>
      </c>
      <c r="C1993" s="50" t="s">
        <v>5036</v>
      </c>
      <c r="D1993" s="50" t="s">
        <v>5045</v>
      </c>
      <c r="E1993" s="12" t="s">
        <v>4971</v>
      </c>
      <c r="F1993" s="49">
        <v>319994</v>
      </c>
      <c r="G1993" s="67" t="s">
        <v>5631</v>
      </c>
      <c r="H1993" s="14" t="s">
        <v>5601</v>
      </c>
      <c r="I1993" s="14" t="s">
        <v>2458</v>
      </c>
      <c r="J1993" s="33" t="s">
        <v>7110</v>
      </c>
      <c r="K1993" s="33" t="s">
        <v>5047</v>
      </c>
      <c r="L1993" s="68" t="s">
        <v>8673</v>
      </c>
      <c r="M1993" s="68" t="s">
        <v>8912</v>
      </c>
      <c r="N1993" s="68" t="s">
        <v>8665</v>
      </c>
      <c r="O1993" s="202">
        <v>50100</v>
      </c>
      <c r="P1993" s="197" t="s">
        <v>5751</v>
      </c>
    </row>
    <row r="1994" spans="1:16" ht="18.75" hidden="1">
      <c r="A1994" s="50" t="s">
        <v>5003</v>
      </c>
      <c r="B1994" s="50" t="s">
        <v>5014</v>
      </c>
      <c r="C1994" s="50" t="s">
        <v>5032</v>
      </c>
      <c r="D1994" s="50" t="s">
        <v>5009</v>
      </c>
      <c r="E1994" s="12" t="s">
        <v>4971</v>
      </c>
      <c r="F1994" s="49">
        <v>474206</v>
      </c>
      <c r="G1994" s="67" t="s">
        <v>5631</v>
      </c>
      <c r="H1994" s="14" t="s">
        <v>5601</v>
      </c>
      <c r="I1994" s="14" t="s">
        <v>2458</v>
      </c>
      <c r="J1994" s="33" t="s">
        <v>7110</v>
      </c>
      <c r="K1994" s="33" t="s">
        <v>5047</v>
      </c>
      <c r="L1994" s="68" t="s">
        <v>8673</v>
      </c>
      <c r="M1994" s="68" t="s">
        <v>8912</v>
      </c>
      <c r="N1994" s="68" t="s">
        <v>8665</v>
      </c>
      <c r="O1994" s="202">
        <v>50100</v>
      </c>
      <c r="P1994" s="197" t="s">
        <v>5775</v>
      </c>
    </row>
    <row r="1995" spans="1:16" ht="18.75" hidden="1">
      <c r="A1995" s="50" t="s">
        <v>5004</v>
      </c>
      <c r="B1995" s="50" t="s">
        <v>5012</v>
      </c>
      <c r="C1995" s="50" t="s">
        <v>5028</v>
      </c>
      <c r="D1995" s="50" t="s">
        <v>4881</v>
      </c>
      <c r="E1995" s="12" t="s">
        <v>4971</v>
      </c>
      <c r="F1995" s="49">
        <v>1010973</v>
      </c>
      <c r="G1995" s="67" t="s">
        <v>5604</v>
      </c>
      <c r="H1995" s="14" t="s">
        <v>5601</v>
      </c>
      <c r="I1995" s="14" t="s">
        <v>2458</v>
      </c>
      <c r="J1995" s="33" t="e">
        <f>VLOOKUP(C1995,شرکتها!A:B,2,FALSE)</f>
        <v>#N/A</v>
      </c>
      <c r="K1995" s="33" t="s">
        <v>5047</v>
      </c>
      <c r="L1995" s="68" t="s">
        <v>8674</v>
      </c>
      <c r="M1995" s="68" t="s">
        <v>8912</v>
      </c>
      <c r="N1995" s="68" t="s">
        <v>8665</v>
      </c>
      <c r="O1995" s="202">
        <v>50100</v>
      </c>
      <c r="P1995" s="198" t="s">
        <v>5710</v>
      </c>
    </row>
    <row r="1996" spans="1:16" ht="18.75" hidden="1">
      <c r="A1996" s="50" t="s">
        <v>5005</v>
      </c>
      <c r="B1996" s="50" t="s">
        <v>4972</v>
      </c>
      <c r="C1996" s="50" t="s">
        <v>5042</v>
      </c>
      <c r="D1996" s="50" t="s">
        <v>5046</v>
      </c>
      <c r="E1996" s="12" t="s">
        <v>4971</v>
      </c>
      <c r="F1996" s="49">
        <v>489835</v>
      </c>
      <c r="G1996" s="67" t="s">
        <v>5754</v>
      </c>
      <c r="H1996" s="14" t="s">
        <v>5601</v>
      </c>
      <c r="I1996" s="14" t="s">
        <v>2458</v>
      </c>
      <c r="J1996" s="33" t="s">
        <v>7110</v>
      </c>
      <c r="K1996" s="33" t="s">
        <v>5047</v>
      </c>
      <c r="L1996" s="68" t="s">
        <v>6283</v>
      </c>
      <c r="M1996" s="68" t="s">
        <v>8912</v>
      </c>
      <c r="N1996" s="68" t="s">
        <v>8665</v>
      </c>
      <c r="O1996" s="202">
        <v>50101</v>
      </c>
      <c r="P1996" s="198" t="s">
        <v>5778</v>
      </c>
    </row>
    <row r="1997" spans="1:16" ht="18.75" hidden="1">
      <c r="A1997" s="50" t="s">
        <v>5006</v>
      </c>
      <c r="B1997" s="50" t="s">
        <v>5008</v>
      </c>
      <c r="C1997" s="50" t="s">
        <v>5043</v>
      </c>
      <c r="D1997" s="50" t="s">
        <v>5008</v>
      </c>
      <c r="E1997" s="12" t="s">
        <v>4971</v>
      </c>
      <c r="F1997" s="49">
        <v>594519</v>
      </c>
      <c r="G1997" s="67" t="s">
        <v>5604</v>
      </c>
      <c r="H1997" s="14" t="s">
        <v>5601</v>
      </c>
      <c r="I1997" s="14" t="s">
        <v>2458</v>
      </c>
      <c r="J1997" s="33" t="s">
        <v>7110</v>
      </c>
      <c r="K1997" s="33" t="s">
        <v>5047</v>
      </c>
      <c r="L1997" s="68" t="s">
        <v>6284</v>
      </c>
      <c r="M1997" s="68" t="s">
        <v>8913</v>
      </c>
      <c r="N1997" s="68" t="s">
        <v>8665</v>
      </c>
      <c r="O1997" s="202">
        <v>50100</v>
      </c>
      <c r="P1997" s="198" t="s">
        <v>5760</v>
      </c>
    </row>
    <row r="1998" spans="1:16" ht="18.75" hidden="1">
      <c r="A1998" s="50" t="s">
        <v>5006</v>
      </c>
      <c r="B1998" s="50" t="s">
        <v>5008</v>
      </c>
      <c r="C1998" s="50" t="s">
        <v>5044</v>
      </c>
      <c r="D1998" s="50" t="s">
        <v>5008</v>
      </c>
      <c r="E1998" s="12" t="s">
        <v>4971</v>
      </c>
      <c r="F1998" s="49">
        <v>1948910</v>
      </c>
      <c r="G1998" s="67" t="s">
        <v>5604</v>
      </c>
      <c r="H1998" s="14" t="s">
        <v>5601</v>
      </c>
      <c r="I1998" s="14" t="s">
        <v>2458</v>
      </c>
      <c r="J1998" s="33" t="s">
        <v>7110</v>
      </c>
      <c r="K1998" s="33" t="s">
        <v>5047</v>
      </c>
      <c r="L1998" s="68" t="s">
        <v>6284</v>
      </c>
      <c r="M1998" s="68" t="s">
        <v>8913</v>
      </c>
      <c r="N1998" s="68" t="s">
        <v>8665</v>
      </c>
      <c r="O1998" s="202">
        <v>50100</v>
      </c>
      <c r="P1998" s="198" t="s">
        <v>5761</v>
      </c>
    </row>
    <row r="1999" spans="1:16" ht="18.75" hidden="1">
      <c r="A1999" s="50" t="s">
        <v>4995</v>
      </c>
      <c r="B1999" s="50" t="s">
        <v>5011</v>
      </c>
      <c r="C1999" s="50" t="s">
        <v>5051</v>
      </c>
      <c r="D1999" s="50" t="s">
        <v>5011</v>
      </c>
      <c r="E1999" s="12" t="s">
        <v>4971</v>
      </c>
      <c r="F1999" s="49">
        <v>421469</v>
      </c>
      <c r="G1999" s="67" t="s">
        <v>5779</v>
      </c>
      <c r="H1999" s="14" t="s">
        <v>5601</v>
      </c>
      <c r="I1999" s="14" t="s">
        <v>2458</v>
      </c>
      <c r="J1999" s="33" t="e">
        <f>VLOOKUP(C1999,شرکتها!A:B,2,FALSE)</f>
        <v>#N/A</v>
      </c>
      <c r="K1999" s="33" t="s">
        <v>5047</v>
      </c>
      <c r="L1999" s="68" t="s">
        <v>8670</v>
      </c>
      <c r="M1999" s="68" t="s">
        <v>8913</v>
      </c>
      <c r="N1999" s="68" t="s">
        <v>8665</v>
      </c>
      <c r="O1999" s="202">
        <v>50100</v>
      </c>
      <c r="P1999" s="198" t="s">
        <v>5783</v>
      </c>
    </row>
    <row r="2000" spans="1:16" ht="18.75" hidden="1">
      <c r="A2000" s="50" t="str">
        <f>"15100-399667"</f>
        <v>15100-399667</v>
      </c>
      <c r="B2000" s="50" t="str">
        <f>"96/01/19"</f>
        <v>96/01/19</v>
      </c>
      <c r="C2000" s="50" t="s">
        <v>4966</v>
      </c>
      <c r="D2000" s="50" t="s">
        <v>4878</v>
      </c>
      <c r="E2000" s="12" t="s">
        <v>3420</v>
      </c>
      <c r="F2000" s="49">
        <v>53665</v>
      </c>
      <c r="G2000" s="67" t="s">
        <v>5765</v>
      </c>
      <c r="H2000" s="14" t="s">
        <v>5601</v>
      </c>
      <c r="I2000" s="14" t="s">
        <v>2458</v>
      </c>
      <c r="J2000" s="33" t="s">
        <v>7110</v>
      </c>
      <c r="K2000" s="33" t="s">
        <v>5077</v>
      </c>
      <c r="L2000" s="68" t="s">
        <v>6054</v>
      </c>
      <c r="M2000" s="68" t="s">
        <v>8912</v>
      </c>
      <c r="N2000" s="68" t="s">
        <v>6059</v>
      </c>
      <c r="O2000" s="202">
        <v>55200</v>
      </c>
      <c r="P2000" s="198" t="s">
        <v>5766</v>
      </c>
    </row>
    <row r="2001" spans="1:16" ht="18.75" hidden="1">
      <c r="A2001" s="50" t="str">
        <f>"15100-398821"</f>
        <v>15100-398821</v>
      </c>
      <c r="B2001" s="50" t="str">
        <f>"96/01/16"</f>
        <v>96/01/16</v>
      </c>
      <c r="C2001" s="50" t="s">
        <v>4968</v>
      </c>
      <c r="D2001" s="50" t="s">
        <v>4874</v>
      </c>
      <c r="E2001" s="12" t="s">
        <v>3420</v>
      </c>
      <c r="F2001" s="49">
        <v>7840</v>
      </c>
      <c r="G2001" s="67" t="s">
        <v>5647</v>
      </c>
      <c r="H2001" s="14" t="s">
        <v>5601</v>
      </c>
      <c r="I2001" s="14" t="s">
        <v>2458</v>
      </c>
      <c r="J2001" s="33" t="s">
        <v>7110</v>
      </c>
      <c r="K2001" s="33" t="s">
        <v>5077</v>
      </c>
      <c r="L2001" s="68" t="s">
        <v>6054</v>
      </c>
      <c r="M2001" s="68" t="s">
        <v>8913</v>
      </c>
      <c r="N2001" s="68" t="s">
        <v>6061</v>
      </c>
      <c r="O2001" s="202">
        <v>55301</v>
      </c>
      <c r="P2001" s="198" t="s">
        <v>5759</v>
      </c>
    </row>
    <row r="2002" spans="1:16" ht="18.75" hidden="1">
      <c r="A2002" s="50" t="str">
        <f>"15100-398821"</f>
        <v>15100-398821</v>
      </c>
      <c r="B2002" s="50" t="str">
        <f>"96/01/16"</f>
        <v>96/01/16</v>
      </c>
      <c r="C2002" s="50" t="s">
        <v>4956</v>
      </c>
      <c r="D2002" s="50" t="s">
        <v>4872</v>
      </c>
      <c r="E2002" s="12" t="s">
        <v>3420</v>
      </c>
      <c r="F2002" s="49">
        <v>6640</v>
      </c>
      <c r="G2002" s="67" t="s">
        <v>5647</v>
      </c>
      <c r="H2002" s="14" t="s">
        <v>5601</v>
      </c>
      <c r="I2002" s="14" t="s">
        <v>2458</v>
      </c>
      <c r="J2002" s="33" t="s">
        <v>7110</v>
      </c>
      <c r="K2002" s="33" t="s">
        <v>5077</v>
      </c>
      <c r="L2002" s="68" t="s">
        <v>6054</v>
      </c>
      <c r="M2002" s="68" t="s">
        <v>8913</v>
      </c>
      <c r="N2002" s="68" t="s">
        <v>6061</v>
      </c>
      <c r="O2002" s="202">
        <v>55301</v>
      </c>
      <c r="P2002" s="198" t="s">
        <v>5759</v>
      </c>
    </row>
    <row r="2003" spans="1:16" ht="18.75" hidden="1">
      <c r="A2003" s="50" t="str">
        <f>"15100-398821"</f>
        <v>15100-398821</v>
      </c>
      <c r="B2003" s="50" t="str">
        <f>"96/01/16"</f>
        <v>96/01/16</v>
      </c>
      <c r="C2003" s="50" t="s">
        <v>5240</v>
      </c>
      <c r="D2003" s="50" t="s">
        <v>4887</v>
      </c>
      <c r="E2003" s="12" t="s">
        <v>3420</v>
      </c>
      <c r="F2003" s="49">
        <v>269660</v>
      </c>
      <c r="G2003" s="67" t="s">
        <v>5647</v>
      </c>
      <c r="H2003" s="14" t="s">
        <v>5601</v>
      </c>
      <c r="I2003" s="14" t="s">
        <v>2458</v>
      </c>
      <c r="J2003" s="33" t="s">
        <v>7110</v>
      </c>
      <c r="K2003" s="33" t="s">
        <v>5077</v>
      </c>
      <c r="L2003" s="68" t="s">
        <v>6054</v>
      </c>
      <c r="M2003" s="68" t="s">
        <v>8913</v>
      </c>
      <c r="N2003" s="68" t="s">
        <v>6061</v>
      </c>
      <c r="O2003" s="202">
        <v>55301</v>
      </c>
      <c r="P2003" s="198" t="s">
        <v>5767</v>
      </c>
    </row>
    <row r="2004" spans="1:16" ht="18.75" hidden="1">
      <c r="A2004" s="50" t="str">
        <f>"15100-399667"</f>
        <v>15100-399667</v>
      </c>
      <c r="B2004" s="50" t="str">
        <f>"96/01/19"</f>
        <v>96/01/19</v>
      </c>
      <c r="C2004" s="50" t="s">
        <v>5052</v>
      </c>
      <c r="D2004" s="50" t="s">
        <v>4878</v>
      </c>
      <c r="E2004" s="12" t="s">
        <v>3420</v>
      </c>
      <c r="F2004" s="49">
        <v>322815</v>
      </c>
      <c r="G2004" s="67" t="s">
        <v>5765</v>
      </c>
      <c r="H2004" s="14" t="s">
        <v>5601</v>
      </c>
      <c r="I2004" s="14" t="s">
        <v>2458</v>
      </c>
      <c r="J2004" s="33" t="s">
        <v>7110</v>
      </c>
      <c r="K2004" s="33" t="s">
        <v>5077</v>
      </c>
      <c r="L2004" s="68" t="s">
        <v>6054</v>
      </c>
      <c r="M2004" s="68" t="s">
        <v>8912</v>
      </c>
      <c r="N2004" s="68" t="s">
        <v>6059</v>
      </c>
      <c r="O2004" s="202">
        <v>55200</v>
      </c>
      <c r="P2004" s="198" t="s">
        <v>5766</v>
      </c>
    </row>
    <row r="2005" spans="1:16" ht="18.75" hidden="1">
      <c r="A2005" s="50" t="str">
        <f t="shared" ref="A2005:A2007" si="18">"15100-405804"</f>
        <v>15100-405804</v>
      </c>
      <c r="B2005" s="50" t="str">
        <f t="shared" ref="B2005:B2007" si="19">"96/01/31"</f>
        <v>96/01/31</v>
      </c>
      <c r="C2005" s="50" t="s">
        <v>5214</v>
      </c>
      <c r="D2005" s="50" t="s">
        <v>5012</v>
      </c>
      <c r="E2005" s="12" t="s">
        <v>4971</v>
      </c>
      <c r="F2005" s="49">
        <v>27660</v>
      </c>
      <c r="G2005" s="67" t="s">
        <v>5647</v>
      </c>
      <c r="H2005" s="14" t="s">
        <v>5601</v>
      </c>
      <c r="I2005" s="14" t="s">
        <v>2458</v>
      </c>
      <c r="J2005" s="33" t="s">
        <v>7110</v>
      </c>
      <c r="K2005" s="33" t="s">
        <v>5077</v>
      </c>
      <c r="L2005" s="68" t="s">
        <v>6054</v>
      </c>
      <c r="M2005" s="68" t="s">
        <v>8913</v>
      </c>
      <c r="N2005" s="68" t="s">
        <v>6061</v>
      </c>
      <c r="O2005" s="202">
        <v>55301</v>
      </c>
      <c r="P2005" s="198" t="s">
        <v>5795</v>
      </c>
    </row>
    <row r="2006" spans="1:16" ht="18.75" hidden="1">
      <c r="A2006" s="50" t="str">
        <f t="shared" si="18"/>
        <v>15100-405804</v>
      </c>
      <c r="B2006" s="50" t="str">
        <f t="shared" si="19"/>
        <v>96/01/31</v>
      </c>
      <c r="C2006" s="50" t="s">
        <v>5054</v>
      </c>
      <c r="D2006" s="50" t="s">
        <v>5012</v>
      </c>
      <c r="E2006" s="12" t="s">
        <v>4971</v>
      </c>
      <c r="F2006" s="49">
        <v>90000</v>
      </c>
      <c r="G2006" s="67" t="s">
        <v>5647</v>
      </c>
      <c r="H2006" s="14" t="s">
        <v>5601</v>
      </c>
      <c r="I2006" s="14" t="s">
        <v>2458</v>
      </c>
      <c r="J2006" s="33" t="s">
        <v>7110</v>
      </c>
      <c r="K2006" s="33" t="s">
        <v>5077</v>
      </c>
      <c r="L2006" s="68" t="s">
        <v>6054</v>
      </c>
      <c r="M2006" s="68" t="s">
        <v>8913</v>
      </c>
      <c r="N2006" s="68" t="s">
        <v>6061</v>
      </c>
      <c r="O2006" s="202">
        <v>55301</v>
      </c>
      <c r="P2006" s="198" t="s">
        <v>5767</v>
      </c>
    </row>
    <row r="2007" spans="1:16" ht="18.75" hidden="1">
      <c r="A2007" s="50" t="str">
        <f t="shared" si="18"/>
        <v>15100-405804</v>
      </c>
      <c r="B2007" s="50" t="str">
        <f t="shared" si="19"/>
        <v>96/01/31</v>
      </c>
      <c r="C2007" s="50" t="s">
        <v>5055</v>
      </c>
      <c r="D2007" s="50" t="s">
        <v>5010</v>
      </c>
      <c r="E2007" s="12" t="s">
        <v>4971</v>
      </c>
      <c r="F2007" s="49">
        <v>90440</v>
      </c>
      <c r="G2007" s="67" t="s">
        <v>5683</v>
      </c>
      <c r="H2007" s="14" t="s">
        <v>5601</v>
      </c>
      <c r="I2007" s="14" t="s">
        <v>2458</v>
      </c>
      <c r="J2007" s="33" t="s">
        <v>7110</v>
      </c>
      <c r="K2007" s="33" t="s">
        <v>5077</v>
      </c>
      <c r="L2007" s="68" t="s">
        <v>6054</v>
      </c>
      <c r="M2007" s="68" t="s">
        <v>8913</v>
      </c>
      <c r="N2007" s="68" t="s">
        <v>6061</v>
      </c>
      <c r="O2007" s="202">
        <v>55301</v>
      </c>
      <c r="P2007" s="198" t="s">
        <v>5787</v>
      </c>
    </row>
    <row r="2008" spans="1:16" ht="18.75" hidden="1">
      <c r="A2008" s="50" t="str">
        <f>"15100-405804"</f>
        <v>15100-405804</v>
      </c>
      <c r="B2008" s="50" t="str">
        <f>"96/01/31"</f>
        <v>96/01/31</v>
      </c>
      <c r="C2008" s="50" t="s">
        <v>5056</v>
      </c>
      <c r="D2008" s="50" t="s">
        <v>5009</v>
      </c>
      <c r="E2008" s="12" t="s">
        <v>4971</v>
      </c>
      <c r="F2008" s="49">
        <v>98580</v>
      </c>
      <c r="G2008" s="67" t="s">
        <v>5611</v>
      </c>
      <c r="H2008" s="14" t="s">
        <v>5601</v>
      </c>
      <c r="I2008" s="14" t="s">
        <v>2458</v>
      </c>
      <c r="J2008" s="33" t="s">
        <v>7110</v>
      </c>
      <c r="K2008" s="33" t="s">
        <v>5077</v>
      </c>
      <c r="L2008" s="68" t="s">
        <v>6054</v>
      </c>
      <c r="M2008" s="68" t="s">
        <v>8913</v>
      </c>
      <c r="N2008" s="68" t="s">
        <v>6061</v>
      </c>
      <c r="O2008" s="202">
        <v>55301</v>
      </c>
      <c r="P2008" s="198" t="s">
        <v>5758</v>
      </c>
    </row>
    <row r="2009" spans="1:16" ht="18.75" hidden="1">
      <c r="A2009" s="50" t="str">
        <f>"15100-405804"</f>
        <v>15100-405804</v>
      </c>
      <c r="B2009" s="50" t="str">
        <f>"96/01/31"</f>
        <v>96/01/31</v>
      </c>
      <c r="C2009" s="50" t="s">
        <v>5057</v>
      </c>
      <c r="D2009" s="50" t="s">
        <v>5012</v>
      </c>
      <c r="E2009" s="12" t="s">
        <v>4971</v>
      </c>
      <c r="F2009" s="49">
        <v>68180</v>
      </c>
      <c r="G2009" s="67" t="s">
        <v>5611</v>
      </c>
      <c r="H2009" s="14" t="s">
        <v>5601</v>
      </c>
      <c r="I2009" s="14" t="s">
        <v>2458</v>
      </c>
      <c r="J2009" s="33" t="s">
        <v>7110</v>
      </c>
      <c r="K2009" s="33" t="s">
        <v>5077</v>
      </c>
      <c r="L2009" s="68" t="s">
        <v>6054</v>
      </c>
      <c r="M2009" s="68" t="s">
        <v>8913</v>
      </c>
      <c r="N2009" s="68" t="s">
        <v>6061</v>
      </c>
      <c r="O2009" s="202">
        <v>55301</v>
      </c>
      <c r="P2009" s="198" t="s">
        <v>5762</v>
      </c>
    </row>
    <row r="2010" spans="1:16" ht="18.75" hidden="1">
      <c r="A2010" s="50" t="str">
        <f>"15100-402715"</f>
        <v>15100-402715</v>
      </c>
      <c r="B2010" s="50" t="str">
        <f>"96/01/26"</f>
        <v>96/01/26</v>
      </c>
      <c r="C2010" s="50" t="s">
        <v>5058</v>
      </c>
      <c r="D2010" s="50" t="s">
        <v>5009</v>
      </c>
      <c r="E2010" s="12" t="s">
        <v>4971</v>
      </c>
      <c r="F2010" s="49">
        <v>44900</v>
      </c>
      <c r="G2010" s="67" t="s">
        <v>5773</v>
      </c>
      <c r="H2010" s="14" t="s">
        <v>5601</v>
      </c>
      <c r="I2010" s="14" t="s">
        <v>2458</v>
      </c>
      <c r="J2010" s="33" t="s">
        <v>7110</v>
      </c>
      <c r="K2010" s="33" t="s">
        <v>5077</v>
      </c>
      <c r="L2010" s="68" t="s">
        <v>6054</v>
      </c>
      <c r="M2010" s="68" t="s">
        <v>8913</v>
      </c>
      <c r="N2010" s="68" t="s">
        <v>6061</v>
      </c>
      <c r="O2010" s="202">
        <v>55301</v>
      </c>
      <c r="P2010" s="198" t="s">
        <v>5774</v>
      </c>
    </row>
    <row r="2011" spans="1:16" ht="18.75" hidden="1">
      <c r="A2011" s="50" t="str">
        <f>"15100-402724"</f>
        <v>15100-402724</v>
      </c>
      <c r="B2011" s="50" t="str">
        <f>"96/01/26"</f>
        <v>96/01/26</v>
      </c>
      <c r="C2011" s="50" t="s">
        <v>5059</v>
      </c>
      <c r="D2011" s="50" t="s">
        <v>5011</v>
      </c>
      <c r="E2011" s="12" t="s">
        <v>4971</v>
      </c>
      <c r="F2011" s="49">
        <v>188200</v>
      </c>
      <c r="G2011" s="67" t="s">
        <v>5683</v>
      </c>
      <c r="H2011" s="14" t="s">
        <v>5601</v>
      </c>
      <c r="I2011" s="14" t="s">
        <v>2458</v>
      </c>
      <c r="J2011" s="33" t="s">
        <v>7110</v>
      </c>
      <c r="K2011" s="33" t="s">
        <v>5077</v>
      </c>
      <c r="L2011" s="68" t="s">
        <v>6054</v>
      </c>
      <c r="M2011" s="68" t="s">
        <v>8913</v>
      </c>
      <c r="N2011" s="68" t="s">
        <v>6061</v>
      </c>
      <c r="O2011" s="202">
        <v>55301</v>
      </c>
      <c r="P2011" s="198" t="s">
        <v>5784</v>
      </c>
    </row>
    <row r="2012" spans="1:16" ht="18.75" hidden="1">
      <c r="A2012" s="50" t="str">
        <f>"15100-399199"</f>
        <v>15100-399199</v>
      </c>
      <c r="B2012" s="50" t="str">
        <f>"96/01/17"</f>
        <v>96/01/17</v>
      </c>
      <c r="C2012" s="50" t="s">
        <v>4966</v>
      </c>
      <c r="D2012" s="50" t="s">
        <v>4878</v>
      </c>
      <c r="E2012" s="12" t="s">
        <v>3420</v>
      </c>
      <c r="F2012" s="49">
        <v>199190</v>
      </c>
      <c r="G2012" s="67" t="s">
        <v>5765</v>
      </c>
      <c r="H2012" s="14" t="s">
        <v>5601</v>
      </c>
      <c r="I2012" s="14" t="s">
        <v>2458</v>
      </c>
      <c r="J2012" s="33" t="s">
        <v>7110</v>
      </c>
      <c r="K2012" s="33" t="s">
        <v>5077</v>
      </c>
      <c r="L2012" s="68">
        <v>0</v>
      </c>
      <c r="M2012" s="68" t="s">
        <v>8912</v>
      </c>
      <c r="N2012" s="68">
        <v>0</v>
      </c>
      <c r="O2012" s="68">
        <v>0</v>
      </c>
      <c r="P2012" s="198" t="s">
        <v>5766</v>
      </c>
    </row>
    <row r="2013" spans="1:16" ht="18.75" hidden="1">
      <c r="A2013" s="50" t="str">
        <f>"15100-398641"</f>
        <v>15100-398641</v>
      </c>
      <c r="B2013" s="50" t="str">
        <f>"96/01/16"</f>
        <v>96/01/16</v>
      </c>
      <c r="C2013" s="50" t="s">
        <v>4352</v>
      </c>
      <c r="D2013" s="50" t="s">
        <v>4177</v>
      </c>
      <c r="E2013" s="12" t="s">
        <v>3420</v>
      </c>
      <c r="F2013" s="49">
        <v>69760</v>
      </c>
      <c r="G2013" s="67" t="s">
        <v>5683</v>
      </c>
      <c r="H2013" s="14" t="s">
        <v>5601</v>
      </c>
      <c r="I2013" s="14" t="s">
        <v>2458</v>
      </c>
      <c r="J2013" s="33" t="s">
        <v>7110</v>
      </c>
      <c r="K2013" s="33" t="s">
        <v>5077</v>
      </c>
      <c r="L2013" s="68" t="s">
        <v>6054</v>
      </c>
      <c r="M2013" s="68" t="s">
        <v>8913</v>
      </c>
      <c r="N2013" s="68" t="s">
        <v>6061</v>
      </c>
      <c r="O2013" s="202">
        <v>55301</v>
      </c>
      <c r="P2013" s="198" t="s">
        <v>5727</v>
      </c>
    </row>
    <row r="2014" spans="1:16" ht="18.75" hidden="1">
      <c r="A2014" s="50" t="str">
        <f>"15100-403972"</f>
        <v>15100-403972</v>
      </c>
      <c r="B2014" s="50" t="str">
        <f>"96/01/28"</f>
        <v>96/01/28</v>
      </c>
      <c r="C2014" s="50" t="s">
        <v>5060</v>
      </c>
      <c r="D2014" s="50" t="s">
        <v>5009</v>
      </c>
      <c r="E2014" s="12" t="s">
        <v>4971</v>
      </c>
      <c r="F2014" s="49">
        <v>72680</v>
      </c>
      <c r="G2014" s="67" t="s">
        <v>5611</v>
      </c>
      <c r="H2014" s="14" t="s">
        <v>5601</v>
      </c>
      <c r="I2014" s="14" t="s">
        <v>2458</v>
      </c>
      <c r="J2014" s="33" t="s">
        <v>7110</v>
      </c>
      <c r="K2014" s="33" t="s">
        <v>5077</v>
      </c>
      <c r="L2014" s="68" t="s">
        <v>6054</v>
      </c>
      <c r="M2014" s="68" t="s">
        <v>8912</v>
      </c>
      <c r="N2014" s="68" t="s">
        <v>6059</v>
      </c>
      <c r="O2014" s="202">
        <v>55200</v>
      </c>
      <c r="P2014" s="198" t="s">
        <v>5758</v>
      </c>
    </row>
    <row r="2015" spans="1:16" ht="18.75" hidden="1">
      <c r="A2015" s="50" t="str">
        <f>"15100-402206"</f>
        <v>15100-402206</v>
      </c>
      <c r="B2015" s="50" t="str">
        <f>"96/01/24"</f>
        <v>96/01/24</v>
      </c>
      <c r="C2015" s="50" t="s">
        <v>5061</v>
      </c>
      <c r="D2015" s="50" t="s">
        <v>5045</v>
      </c>
      <c r="E2015" s="12" t="s">
        <v>4971</v>
      </c>
      <c r="F2015" s="49">
        <v>170820</v>
      </c>
      <c r="G2015" s="67" t="s">
        <v>5611</v>
      </c>
      <c r="H2015" s="14" t="s">
        <v>5601</v>
      </c>
      <c r="I2015" s="14" t="s">
        <v>2458</v>
      </c>
      <c r="J2015" s="33" t="s">
        <v>7110</v>
      </c>
      <c r="K2015" s="33" t="s">
        <v>5077</v>
      </c>
      <c r="L2015" s="68" t="s">
        <v>6054</v>
      </c>
      <c r="M2015" s="68" t="s">
        <v>8913</v>
      </c>
      <c r="N2015" s="68" t="s">
        <v>6061</v>
      </c>
      <c r="O2015" s="202">
        <v>55301</v>
      </c>
      <c r="P2015" s="198" t="s">
        <v>5758</v>
      </c>
    </row>
    <row r="2016" spans="1:16" ht="18.75" hidden="1">
      <c r="A2016" s="50" t="str">
        <f>"15100-402293"</f>
        <v>15100-402293</v>
      </c>
      <c r="B2016" s="50" t="str">
        <f>"96/01/24"</f>
        <v>96/01/24</v>
      </c>
      <c r="C2016" s="50" t="s">
        <v>5061</v>
      </c>
      <c r="D2016" s="50" t="s">
        <v>5045</v>
      </c>
      <c r="E2016" s="12" t="s">
        <v>4971</v>
      </c>
      <c r="F2016" s="49">
        <v>74830</v>
      </c>
      <c r="G2016" s="67" t="s">
        <v>5611</v>
      </c>
      <c r="H2016" s="14" t="s">
        <v>5601</v>
      </c>
      <c r="I2016" s="14" t="s">
        <v>2458</v>
      </c>
      <c r="J2016" s="33" t="s">
        <v>7110</v>
      </c>
      <c r="K2016" s="33" t="s">
        <v>5077</v>
      </c>
      <c r="L2016" s="68" t="s">
        <v>6054</v>
      </c>
      <c r="M2016" s="68" t="s">
        <v>8912</v>
      </c>
      <c r="N2016" s="68" t="s">
        <v>6059</v>
      </c>
      <c r="O2016" s="202">
        <v>55200</v>
      </c>
      <c r="P2016" s="198" t="s">
        <v>5758</v>
      </c>
    </row>
    <row r="2017" spans="1:16" ht="18.75" hidden="1">
      <c r="A2017" s="50" t="str">
        <f>"15100-398551"</f>
        <v>15100-398551</v>
      </c>
      <c r="B2017" s="50" t="str">
        <f>"96/01/16"</f>
        <v>96/01/16</v>
      </c>
      <c r="C2017" s="50" t="s">
        <v>4346</v>
      </c>
      <c r="D2017" s="50" t="s">
        <v>4183</v>
      </c>
      <c r="E2017" s="12" t="s">
        <v>3420</v>
      </c>
      <c r="F2017" s="49">
        <v>100985</v>
      </c>
      <c r="G2017" s="67" t="s">
        <v>5683</v>
      </c>
      <c r="H2017" s="14" t="s">
        <v>5601</v>
      </c>
      <c r="I2017" s="14" t="s">
        <v>2458</v>
      </c>
      <c r="J2017" s="33" t="s">
        <v>7110</v>
      </c>
      <c r="K2017" s="33" t="s">
        <v>5077</v>
      </c>
      <c r="L2017" s="68">
        <v>0</v>
      </c>
      <c r="M2017" s="68" t="s">
        <v>8912</v>
      </c>
      <c r="N2017" s="68">
        <v>0</v>
      </c>
      <c r="O2017" s="68">
        <v>0</v>
      </c>
      <c r="P2017" s="198" t="s">
        <v>5725</v>
      </c>
    </row>
    <row r="2018" spans="1:16" ht="18.75" hidden="1">
      <c r="A2018" s="50" t="str">
        <f>"15100-402227"</f>
        <v>15100-402227</v>
      </c>
      <c r="B2018" s="50" t="str">
        <f>"96/01/24"</f>
        <v>96/01/24</v>
      </c>
      <c r="C2018" s="50" t="s">
        <v>5062</v>
      </c>
      <c r="D2018" s="50" t="s">
        <v>5009</v>
      </c>
      <c r="E2018" s="12" t="s">
        <v>4971</v>
      </c>
      <c r="F2018" s="49">
        <v>73280</v>
      </c>
      <c r="G2018" s="67" t="s">
        <v>5611</v>
      </c>
      <c r="H2018" s="14" t="s">
        <v>5601</v>
      </c>
      <c r="I2018" s="14" t="s">
        <v>2458</v>
      </c>
      <c r="J2018" s="33" t="s">
        <v>7110</v>
      </c>
      <c r="K2018" s="33" t="s">
        <v>5077</v>
      </c>
      <c r="L2018" s="68" t="s">
        <v>8663</v>
      </c>
      <c r="M2018" s="68" t="s">
        <v>8913</v>
      </c>
      <c r="N2018" s="68" t="s">
        <v>6058</v>
      </c>
      <c r="O2018" s="68">
        <v>60400</v>
      </c>
      <c r="P2018" s="198" t="s">
        <v>5758</v>
      </c>
    </row>
    <row r="2019" spans="1:16" ht="18.75" hidden="1">
      <c r="A2019" s="50" t="str">
        <f>"15100-399754"</f>
        <v>15100-399754</v>
      </c>
      <c r="B2019" s="50" t="str">
        <f>"96/01/19"</f>
        <v>96/01/19</v>
      </c>
      <c r="C2019" s="50" t="s">
        <v>4352</v>
      </c>
      <c r="D2019" s="50" t="s">
        <v>4177</v>
      </c>
      <c r="E2019" s="12" t="s">
        <v>3420</v>
      </c>
      <c r="F2019" s="49">
        <v>68340</v>
      </c>
      <c r="G2019" s="67" t="s">
        <v>5683</v>
      </c>
      <c r="H2019" s="14" t="s">
        <v>5601</v>
      </c>
      <c r="I2019" s="14" t="s">
        <v>2458</v>
      </c>
      <c r="J2019" s="33" t="s">
        <v>7110</v>
      </c>
      <c r="K2019" s="33" t="s">
        <v>5077</v>
      </c>
      <c r="L2019" s="68" t="s">
        <v>6054</v>
      </c>
      <c r="M2019" s="68" t="s">
        <v>8913</v>
      </c>
      <c r="N2019" s="68" t="s">
        <v>6061</v>
      </c>
      <c r="O2019" s="202">
        <v>55301</v>
      </c>
      <c r="P2019" s="198" t="s">
        <v>5727</v>
      </c>
    </row>
    <row r="2020" spans="1:16" ht="18.75" hidden="1">
      <c r="A2020" s="50" t="str">
        <f>"15100-399754"</f>
        <v>15100-399754</v>
      </c>
      <c r="B2020" s="50" t="str">
        <f>"96/01/19"</f>
        <v>96/01/19</v>
      </c>
      <c r="C2020" s="50" t="s">
        <v>5063</v>
      </c>
      <c r="D2020" s="50" t="s">
        <v>5008</v>
      </c>
      <c r="E2020" s="12" t="s">
        <v>4971</v>
      </c>
      <c r="F2020" s="49">
        <v>114820</v>
      </c>
      <c r="G2020" s="67" t="s">
        <v>5683</v>
      </c>
      <c r="H2020" s="14" t="s">
        <v>5601</v>
      </c>
      <c r="I2020" s="14" t="s">
        <v>2458</v>
      </c>
      <c r="J2020" s="33" t="s">
        <v>7110</v>
      </c>
      <c r="K2020" s="33" t="s">
        <v>5077</v>
      </c>
      <c r="L2020" s="68" t="s">
        <v>6054</v>
      </c>
      <c r="M2020" s="68" t="s">
        <v>8913</v>
      </c>
      <c r="N2020" s="68" t="s">
        <v>6061</v>
      </c>
      <c r="O2020" s="202">
        <v>55301</v>
      </c>
      <c r="P2020" s="198" t="s">
        <v>5770</v>
      </c>
    </row>
    <row r="2021" spans="1:16" ht="18.75" hidden="1">
      <c r="A2021" s="50" t="str">
        <f>"15100-404062"</f>
        <v>15100-404062</v>
      </c>
      <c r="B2021" s="50" t="str">
        <f>"96/01/28"</f>
        <v>96/01/28</v>
      </c>
      <c r="C2021" s="50" t="s">
        <v>5064</v>
      </c>
      <c r="D2021" s="50" t="s">
        <v>5010</v>
      </c>
      <c r="E2021" s="12" t="s">
        <v>4971</v>
      </c>
      <c r="F2021" s="49">
        <v>49380</v>
      </c>
      <c r="G2021" s="67" t="s">
        <v>5683</v>
      </c>
      <c r="H2021" s="14" t="s">
        <v>5601</v>
      </c>
      <c r="I2021" s="14" t="s">
        <v>2458</v>
      </c>
      <c r="J2021" s="33" t="s">
        <v>7110</v>
      </c>
      <c r="K2021" s="33" t="s">
        <v>5077</v>
      </c>
      <c r="L2021" s="68" t="s">
        <v>6054</v>
      </c>
      <c r="M2021" s="68" t="s">
        <v>8913</v>
      </c>
      <c r="N2021" s="68" t="s">
        <v>6060</v>
      </c>
      <c r="O2021" s="202">
        <v>55107</v>
      </c>
      <c r="P2021" s="198" t="s">
        <v>5788</v>
      </c>
    </row>
    <row r="2022" spans="1:16" ht="18.75" hidden="1">
      <c r="A2022" s="50" t="str">
        <f>"15100-403957"</f>
        <v>15100-403957</v>
      </c>
      <c r="B2022" s="50" t="str">
        <f>"96/01/28"</f>
        <v>96/01/28</v>
      </c>
      <c r="C2022" s="50" t="s">
        <v>5065</v>
      </c>
      <c r="D2022" s="50" t="s">
        <v>5046</v>
      </c>
      <c r="E2022" s="12" t="s">
        <v>4971</v>
      </c>
      <c r="F2022" s="49">
        <v>142910</v>
      </c>
      <c r="G2022" s="67" t="s">
        <v>5611</v>
      </c>
      <c r="H2022" s="14" t="s">
        <v>5601</v>
      </c>
      <c r="I2022" s="14" t="s">
        <v>2458</v>
      </c>
      <c r="J2022" s="33" t="s">
        <v>7110</v>
      </c>
      <c r="K2022" s="33" t="s">
        <v>5077</v>
      </c>
      <c r="L2022" s="68" t="s">
        <v>6054</v>
      </c>
      <c r="M2022" s="68" t="s">
        <v>8912</v>
      </c>
      <c r="N2022" s="68" t="s">
        <v>6061</v>
      </c>
      <c r="O2022" s="202">
        <v>55301</v>
      </c>
      <c r="P2022" s="198" t="s">
        <v>5758</v>
      </c>
    </row>
    <row r="2023" spans="1:16" ht="18.75" hidden="1">
      <c r="A2023" s="50" t="str">
        <f>"15100-402003"</f>
        <v>15100-402003</v>
      </c>
      <c r="B2023" s="50" t="str">
        <f>"96/01/24"</f>
        <v>96/01/24</v>
      </c>
      <c r="C2023" s="50" t="s">
        <v>5052</v>
      </c>
      <c r="D2023" s="50" t="s">
        <v>4878</v>
      </c>
      <c r="E2023" s="12" t="s">
        <v>3420</v>
      </c>
      <c r="F2023" s="49">
        <v>73000</v>
      </c>
      <c r="G2023" s="67" t="s">
        <v>5765</v>
      </c>
      <c r="H2023" s="14" t="s">
        <v>5601</v>
      </c>
      <c r="I2023" s="14" t="s">
        <v>2458</v>
      </c>
      <c r="J2023" s="33" t="s">
        <v>7110</v>
      </c>
      <c r="K2023" s="33" t="s">
        <v>5077</v>
      </c>
      <c r="L2023" s="68" t="s">
        <v>6054</v>
      </c>
      <c r="M2023" s="68" t="s">
        <v>8912</v>
      </c>
      <c r="N2023" s="68" t="s">
        <v>6059</v>
      </c>
      <c r="O2023" s="202">
        <v>55200</v>
      </c>
      <c r="P2023" s="198" t="s">
        <v>5766</v>
      </c>
    </row>
    <row r="2024" spans="1:16" ht="18.75" hidden="1">
      <c r="A2024" s="50" t="str">
        <f>"15100-402317"</f>
        <v>15100-402317</v>
      </c>
      <c r="B2024" s="50" t="str">
        <f>"96/01/24"</f>
        <v>96/01/24</v>
      </c>
      <c r="C2024" s="50" t="s">
        <v>5066</v>
      </c>
      <c r="D2024" s="50" t="s">
        <v>5045</v>
      </c>
      <c r="E2024" s="12" t="s">
        <v>4971</v>
      </c>
      <c r="F2024" s="49">
        <v>354270</v>
      </c>
      <c r="G2024" s="67" t="s">
        <v>5611</v>
      </c>
      <c r="H2024" s="14" t="s">
        <v>5601</v>
      </c>
      <c r="I2024" s="14" t="s">
        <v>2458</v>
      </c>
      <c r="J2024" s="33" t="s">
        <v>7110</v>
      </c>
      <c r="K2024" s="33" t="s">
        <v>5077</v>
      </c>
      <c r="L2024" s="68" t="s">
        <v>6054</v>
      </c>
      <c r="M2024" s="68" t="s">
        <v>8912</v>
      </c>
      <c r="N2024" s="68" t="s">
        <v>6061</v>
      </c>
      <c r="O2024" s="202">
        <v>55301</v>
      </c>
      <c r="P2024" s="198" t="s">
        <v>5758</v>
      </c>
    </row>
    <row r="2025" spans="1:16" ht="18.75" hidden="1">
      <c r="A2025" s="50" t="str">
        <f>"15100-404592"</f>
        <v>15100-404592</v>
      </c>
      <c r="B2025" s="50" t="str">
        <f>"96/01/29"</f>
        <v>96/01/29</v>
      </c>
      <c r="C2025" s="50" t="s">
        <v>5067</v>
      </c>
      <c r="D2025" s="50" t="s">
        <v>5010</v>
      </c>
      <c r="E2025" s="12" t="s">
        <v>4971</v>
      </c>
      <c r="F2025" s="49">
        <v>72300</v>
      </c>
      <c r="G2025" s="67" t="s">
        <v>5683</v>
      </c>
      <c r="H2025" s="14" t="s">
        <v>5601</v>
      </c>
      <c r="I2025" s="14" t="s">
        <v>2458</v>
      </c>
      <c r="J2025" s="33" t="s">
        <v>7110</v>
      </c>
      <c r="K2025" s="33" t="s">
        <v>5077</v>
      </c>
      <c r="L2025" s="68" t="s">
        <v>6054</v>
      </c>
      <c r="M2025" s="68" t="s">
        <v>8913</v>
      </c>
      <c r="N2025" s="68" t="s">
        <v>6061</v>
      </c>
      <c r="O2025" s="202">
        <v>55301</v>
      </c>
      <c r="P2025" s="198" t="s">
        <v>5788</v>
      </c>
    </row>
    <row r="2026" spans="1:16" ht="18.75" hidden="1">
      <c r="A2026" s="50" t="str">
        <f>"15100-404592"</f>
        <v>15100-404592</v>
      </c>
      <c r="B2026" s="50" t="str">
        <f>"96/01/29"</f>
        <v>96/01/29</v>
      </c>
      <c r="C2026" s="50" t="s">
        <v>5056</v>
      </c>
      <c r="D2026" s="50" t="s">
        <v>5009</v>
      </c>
      <c r="E2026" s="12" t="s">
        <v>4971</v>
      </c>
      <c r="F2026" s="49">
        <v>65920</v>
      </c>
      <c r="G2026" s="67" t="s">
        <v>5611</v>
      </c>
      <c r="H2026" s="14" t="s">
        <v>5601</v>
      </c>
      <c r="I2026" s="14" t="s">
        <v>2458</v>
      </c>
      <c r="J2026" s="33" t="s">
        <v>7110</v>
      </c>
      <c r="K2026" s="33" t="s">
        <v>5077</v>
      </c>
      <c r="L2026" s="68" t="s">
        <v>6054</v>
      </c>
      <c r="M2026" s="68" t="s">
        <v>8913</v>
      </c>
      <c r="N2026" s="68" t="s">
        <v>6061</v>
      </c>
      <c r="O2026" s="202">
        <v>55301</v>
      </c>
      <c r="P2026" s="198" t="s">
        <v>5758</v>
      </c>
    </row>
    <row r="2027" spans="1:16" ht="18.75" hidden="1">
      <c r="A2027" s="50" t="str">
        <f>"15100-404592"</f>
        <v>15100-404592</v>
      </c>
      <c r="B2027" s="50" t="str">
        <f>"96/01/29"</f>
        <v>96/01/29</v>
      </c>
      <c r="C2027" s="50" t="s">
        <v>5053</v>
      </c>
      <c r="D2027" s="50" t="s">
        <v>5012</v>
      </c>
      <c r="E2027" s="12" t="s">
        <v>4971</v>
      </c>
      <c r="F2027" s="49">
        <v>72860</v>
      </c>
      <c r="G2027" s="67" t="s">
        <v>5647</v>
      </c>
      <c r="H2027" s="14" t="s">
        <v>5601</v>
      </c>
      <c r="I2027" s="14" t="s">
        <v>2458</v>
      </c>
      <c r="J2027" s="33" t="s">
        <v>7110</v>
      </c>
      <c r="K2027" s="33" t="s">
        <v>5077</v>
      </c>
      <c r="L2027" s="68" t="s">
        <v>6054</v>
      </c>
      <c r="M2027" s="68" t="s">
        <v>8913</v>
      </c>
      <c r="N2027" s="68" t="s">
        <v>6061</v>
      </c>
      <c r="O2027" s="202">
        <v>55301</v>
      </c>
      <c r="P2027" s="198" t="s">
        <v>5795</v>
      </c>
    </row>
    <row r="2028" spans="1:16" ht="18.75" hidden="1">
      <c r="A2028" s="50" t="str">
        <f>"15100-403282"</f>
        <v>15100-403282</v>
      </c>
      <c r="B2028" s="50" t="str">
        <f>"96/01/27"</f>
        <v>96/01/27</v>
      </c>
      <c r="C2028" s="50" t="s">
        <v>5065</v>
      </c>
      <c r="D2028" s="50" t="s">
        <v>5046</v>
      </c>
      <c r="E2028" s="12" t="s">
        <v>4971</v>
      </c>
      <c r="F2028" s="49">
        <v>95270</v>
      </c>
      <c r="G2028" s="67" t="s">
        <v>5611</v>
      </c>
      <c r="H2028" s="14" t="s">
        <v>5601</v>
      </c>
      <c r="I2028" s="14" t="s">
        <v>2458</v>
      </c>
      <c r="J2028" s="33" t="s">
        <v>7110</v>
      </c>
      <c r="K2028" s="33" t="s">
        <v>5077</v>
      </c>
      <c r="L2028" s="68" t="s">
        <v>6054</v>
      </c>
      <c r="M2028" s="68" t="s">
        <v>8912</v>
      </c>
      <c r="N2028" s="68" t="s">
        <v>6060</v>
      </c>
      <c r="O2028" s="202">
        <v>55107</v>
      </c>
      <c r="P2028" s="198" t="s">
        <v>5758</v>
      </c>
    </row>
    <row r="2029" spans="1:16" ht="18.75" hidden="1">
      <c r="A2029" s="50" t="str">
        <f>"15100-402703"</f>
        <v>15100-402703</v>
      </c>
      <c r="B2029" s="50" t="str">
        <f>"96/01/26"</f>
        <v>96/01/26</v>
      </c>
      <c r="C2029" s="50" t="s">
        <v>5068</v>
      </c>
      <c r="D2029" s="50" t="s">
        <v>4881</v>
      </c>
      <c r="E2029" s="12" t="s">
        <v>4971</v>
      </c>
      <c r="F2029" s="49">
        <v>16660</v>
      </c>
      <c r="G2029" s="67" t="s">
        <v>5611</v>
      </c>
      <c r="H2029" s="14" t="s">
        <v>5601</v>
      </c>
      <c r="I2029" s="14" t="s">
        <v>2458</v>
      </c>
      <c r="J2029" s="33" t="s">
        <v>7110</v>
      </c>
      <c r="K2029" s="33" t="s">
        <v>5077</v>
      </c>
      <c r="L2029" s="68" t="s">
        <v>6054</v>
      </c>
      <c r="M2029" s="68" t="s">
        <v>8913</v>
      </c>
      <c r="N2029" s="68" t="s">
        <v>6061</v>
      </c>
      <c r="O2029" s="202">
        <v>55301</v>
      </c>
      <c r="P2029" s="198" t="s">
        <v>5752</v>
      </c>
    </row>
    <row r="2030" spans="1:16" ht="18.75" hidden="1">
      <c r="A2030" s="50" t="str">
        <f>"15100-402703"</f>
        <v>15100-402703</v>
      </c>
      <c r="B2030" s="50" t="str">
        <f>"96/01/26"</f>
        <v>96/01/26</v>
      </c>
      <c r="C2030" s="50" t="s">
        <v>5069</v>
      </c>
      <c r="D2030" s="50" t="s">
        <v>5008</v>
      </c>
      <c r="E2030" s="12" t="s">
        <v>4971</v>
      </c>
      <c r="F2030" s="49">
        <v>25320</v>
      </c>
      <c r="G2030" s="67" t="s">
        <v>5611</v>
      </c>
      <c r="H2030" s="14" t="s">
        <v>5601</v>
      </c>
      <c r="I2030" s="14" t="s">
        <v>2458</v>
      </c>
      <c r="J2030" s="33" t="s">
        <v>7110</v>
      </c>
      <c r="K2030" s="33" t="s">
        <v>5077</v>
      </c>
      <c r="L2030" s="68" t="s">
        <v>6054</v>
      </c>
      <c r="M2030" s="68" t="s">
        <v>8913</v>
      </c>
      <c r="N2030" s="68" t="s">
        <v>6061</v>
      </c>
      <c r="O2030" s="202">
        <v>55301</v>
      </c>
      <c r="P2030" s="198" t="s">
        <v>5752</v>
      </c>
    </row>
    <row r="2031" spans="1:16" ht="18.75" hidden="1">
      <c r="A2031" s="50" t="str">
        <f>"15100-402703"</f>
        <v>15100-402703</v>
      </c>
      <c r="B2031" s="50" t="str">
        <f>"96/01/26"</f>
        <v>96/01/26</v>
      </c>
      <c r="C2031" s="50" t="s">
        <v>5061</v>
      </c>
      <c r="D2031" s="50" t="s">
        <v>5045</v>
      </c>
      <c r="E2031" s="12" t="s">
        <v>4971</v>
      </c>
      <c r="F2031" s="49">
        <v>110230</v>
      </c>
      <c r="G2031" s="67" t="s">
        <v>5611</v>
      </c>
      <c r="H2031" s="14" t="s">
        <v>5601</v>
      </c>
      <c r="I2031" s="14" t="s">
        <v>2458</v>
      </c>
      <c r="J2031" s="33" t="s">
        <v>7110</v>
      </c>
      <c r="K2031" s="33" t="s">
        <v>5077</v>
      </c>
      <c r="L2031" s="68" t="s">
        <v>6054</v>
      </c>
      <c r="M2031" s="68" t="s">
        <v>8913</v>
      </c>
      <c r="N2031" s="68" t="s">
        <v>6061</v>
      </c>
      <c r="O2031" s="202">
        <v>55301</v>
      </c>
      <c r="P2031" s="198" t="s">
        <v>5758</v>
      </c>
    </row>
    <row r="2032" spans="1:16" ht="18.75" hidden="1">
      <c r="A2032" s="50" t="str">
        <f>"15100-402703"</f>
        <v>15100-402703</v>
      </c>
      <c r="B2032" s="50" t="str">
        <f>"96/01/26"</f>
        <v>96/01/26</v>
      </c>
      <c r="C2032" s="50" t="s">
        <v>5066</v>
      </c>
      <c r="D2032" s="50" t="s">
        <v>5045</v>
      </c>
      <c r="E2032" s="12" t="s">
        <v>4971</v>
      </c>
      <c r="F2032" s="49">
        <v>35730</v>
      </c>
      <c r="G2032" s="67" t="s">
        <v>5611</v>
      </c>
      <c r="H2032" s="14" t="s">
        <v>5601</v>
      </c>
      <c r="I2032" s="14" t="s">
        <v>2458</v>
      </c>
      <c r="J2032" s="33" t="s">
        <v>7110</v>
      </c>
      <c r="K2032" s="33" t="s">
        <v>5077</v>
      </c>
      <c r="L2032" s="68" t="s">
        <v>6054</v>
      </c>
      <c r="M2032" s="68" t="s">
        <v>8913</v>
      </c>
      <c r="N2032" s="68" t="s">
        <v>6061</v>
      </c>
      <c r="O2032" s="202">
        <v>55301</v>
      </c>
      <c r="P2032" s="198" t="s">
        <v>5758</v>
      </c>
    </row>
    <row r="2033" spans="1:16" ht="18.75" hidden="1">
      <c r="A2033" s="50" t="str">
        <f>"15100-402703"</f>
        <v>15100-402703</v>
      </c>
      <c r="B2033" s="50" t="str">
        <f>"96/01/26"</f>
        <v>96/01/26</v>
      </c>
      <c r="C2033" s="50" t="s">
        <v>5070</v>
      </c>
      <c r="D2033" s="50" t="s">
        <v>5009</v>
      </c>
      <c r="E2033" s="12" t="s">
        <v>4971</v>
      </c>
      <c r="F2033" s="49">
        <v>117240</v>
      </c>
      <c r="G2033" s="67" t="s">
        <v>5611</v>
      </c>
      <c r="H2033" s="14" t="s">
        <v>5601</v>
      </c>
      <c r="I2033" s="14" t="s">
        <v>2458</v>
      </c>
      <c r="J2033" s="33" t="s">
        <v>7110</v>
      </c>
      <c r="K2033" s="33" t="s">
        <v>5077</v>
      </c>
      <c r="L2033" s="68" t="s">
        <v>6054</v>
      </c>
      <c r="M2033" s="68" t="s">
        <v>8913</v>
      </c>
      <c r="N2033" s="68" t="s">
        <v>6061</v>
      </c>
      <c r="O2033" s="202">
        <v>55301</v>
      </c>
      <c r="P2033" s="198" t="s">
        <v>5758</v>
      </c>
    </row>
    <row r="2034" spans="1:16" ht="18.75" hidden="1">
      <c r="A2034" s="50" t="str">
        <f>"15100-403984"</f>
        <v>15100-403984</v>
      </c>
      <c r="B2034" s="50" t="str">
        <f>"96/01/28"</f>
        <v>96/01/28</v>
      </c>
      <c r="C2034" s="50" t="s">
        <v>5071</v>
      </c>
      <c r="D2034" s="50" t="s">
        <v>5011</v>
      </c>
      <c r="E2034" s="12" t="s">
        <v>4971</v>
      </c>
      <c r="F2034" s="49">
        <v>71640</v>
      </c>
      <c r="G2034" s="67" t="s">
        <v>5611</v>
      </c>
      <c r="H2034" s="14" t="s">
        <v>5601</v>
      </c>
      <c r="I2034" s="14" t="s">
        <v>2458</v>
      </c>
      <c r="J2034" s="33" t="s">
        <v>7110</v>
      </c>
      <c r="K2034" s="33" t="s">
        <v>5077</v>
      </c>
      <c r="L2034" s="68" t="s">
        <v>8663</v>
      </c>
      <c r="M2034" s="68" t="s">
        <v>8913</v>
      </c>
      <c r="N2034" s="68" t="s">
        <v>6058</v>
      </c>
      <c r="O2034" s="68">
        <v>60400</v>
      </c>
      <c r="P2034" s="198" t="s">
        <v>5758</v>
      </c>
    </row>
    <row r="2035" spans="1:16" ht="18.75" hidden="1">
      <c r="A2035" s="50" t="str">
        <f>"15100-399812"</f>
        <v>15100-399812</v>
      </c>
      <c r="B2035" s="50" t="str">
        <f>"96/01/19"</f>
        <v>96/01/19</v>
      </c>
      <c r="C2035" s="50" t="s">
        <v>5072</v>
      </c>
      <c r="D2035" s="50" t="s">
        <v>4887</v>
      </c>
      <c r="E2035" s="12" t="s">
        <v>4971</v>
      </c>
      <c r="F2035" s="49">
        <v>119960</v>
      </c>
      <c r="G2035" s="67" t="s">
        <v>5611</v>
      </c>
      <c r="H2035" s="14" t="s">
        <v>5601</v>
      </c>
      <c r="I2035" s="14" t="s">
        <v>2458</v>
      </c>
      <c r="J2035" s="33" t="s">
        <v>7110</v>
      </c>
      <c r="K2035" s="33" t="s">
        <v>5077</v>
      </c>
      <c r="L2035" s="68" t="s">
        <v>6054</v>
      </c>
      <c r="M2035" s="68" t="s">
        <v>8913</v>
      </c>
      <c r="N2035" s="68" t="s">
        <v>6060</v>
      </c>
      <c r="O2035" s="202">
        <v>55107</v>
      </c>
      <c r="P2035" s="198" t="s">
        <v>5752</v>
      </c>
    </row>
    <row r="2036" spans="1:16" ht="18.75" hidden="1">
      <c r="A2036" s="50" t="str">
        <f>"15100-404119"</f>
        <v>15100-404119</v>
      </c>
      <c r="B2036" s="50" t="str">
        <f>"96/01/28"</f>
        <v>96/01/28</v>
      </c>
      <c r="C2036" s="50" t="s">
        <v>5067</v>
      </c>
      <c r="D2036" s="50" t="s">
        <v>5010</v>
      </c>
      <c r="E2036" s="12" t="s">
        <v>4971</v>
      </c>
      <c r="F2036" s="49">
        <v>67620</v>
      </c>
      <c r="G2036" s="67" t="s">
        <v>5683</v>
      </c>
      <c r="H2036" s="14" t="s">
        <v>5601</v>
      </c>
      <c r="I2036" s="14" t="s">
        <v>2458</v>
      </c>
      <c r="J2036" s="33" t="s">
        <v>7110</v>
      </c>
      <c r="K2036" s="33" t="s">
        <v>5077</v>
      </c>
      <c r="L2036" s="68" t="s">
        <v>6054</v>
      </c>
      <c r="M2036" s="68" t="s">
        <v>8913</v>
      </c>
      <c r="N2036" s="68" t="s">
        <v>6061</v>
      </c>
      <c r="O2036" s="202">
        <v>55301</v>
      </c>
      <c r="P2036" s="198" t="s">
        <v>5788</v>
      </c>
    </row>
    <row r="2037" spans="1:16" ht="18.75" hidden="1">
      <c r="A2037" s="50" t="str">
        <f>"15100-404119"</f>
        <v>15100-404119</v>
      </c>
      <c r="B2037" s="50" t="str">
        <f>"96/01/28"</f>
        <v>96/01/28</v>
      </c>
      <c r="C2037" s="50" t="s">
        <v>5073</v>
      </c>
      <c r="D2037" s="50" t="s">
        <v>5011</v>
      </c>
      <c r="E2037" s="12" t="s">
        <v>4971</v>
      </c>
      <c r="F2037" s="49">
        <v>53100</v>
      </c>
      <c r="G2037" s="67" t="s">
        <v>5647</v>
      </c>
      <c r="H2037" s="14" t="s">
        <v>5601</v>
      </c>
      <c r="I2037" s="14" t="s">
        <v>2458</v>
      </c>
      <c r="J2037" s="33" t="s">
        <v>7110</v>
      </c>
      <c r="K2037" s="33" t="s">
        <v>5077</v>
      </c>
      <c r="L2037" s="68" t="s">
        <v>6054</v>
      </c>
      <c r="M2037" s="68" t="s">
        <v>8913</v>
      </c>
      <c r="N2037" s="68" t="s">
        <v>6061</v>
      </c>
      <c r="O2037" s="202">
        <v>55301</v>
      </c>
      <c r="P2037" s="198" t="s">
        <v>5764</v>
      </c>
    </row>
    <row r="2038" spans="1:16" ht="18.75" hidden="1">
      <c r="A2038" s="50" t="str">
        <f>"15100-404119"</f>
        <v>15100-404119</v>
      </c>
      <c r="B2038" s="50" t="str">
        <f>"96/01/28"</f>
        <v>96/01/28</v>
      </c>
      <c r="C2038" s="50" t="s">
        <v>5056</v>
      </c>
      <c r="D2038" s="50" t="s">
        <v>5009</v>
      </c>
      <c r="E2038" s="12" t="s">
        <v>4971</v>
      </c>
      <c r="F2038" s="49">
        <v>119740</v>
      </c>
      <c r="G2038" s="67" t="s">
        <v>5611</v>
      </c>
      <c r="H2038" s="14" t="s">
        <v>5601</v>
      </c>
      <c r="I2038" s="14" t="s">
        <v>2458</v>
      </c>
      <c r="J2038" s="33" t="s">
        <v>7110</v>
      </c>
      <c r="K2038" s="33" t="s">
        <v>5077</v>
      </c>
      <c r="L2038" s="68" t="s">
        <v>6054</v>
      </c>
      <c r="M2038" s="68" t="s">
        <v>8913</v>
      </c>
      <c r="N2038" s="68" t="s">
        <v>6061</v>
      </c>
      <c r="O2038" s="202">
        <v>55301</v>
      </c>
      <c r="P2038" s="198" t="s">
        <v>5758</v>
      </c>
    </row>
    <row r="2039" spans="1:16" ht="18.75" hidden="1">
      <c r="A2039" s="50" t="str">
        <f>"15100-403264"</f>
        <v>15100-403264</v>
      </c>
      <c r="B2039" s="50" t="str">
        <f>"96/01/27"</f>
        <v>96/01/27</v>
      </c>
      <c r="C2039" s="50" t="s">
        <v>5074</v>
      </c>
      <c r="D2039" s="50" t="s">
        <v>5045</v>
      </c>
      <c r="E2039" s="12" t="s">
        <v>4971</v>
      </c>
      <c r="F2039" s="49">
        <v>126380</v>
      </c>
      <c r="G2039" s="67" t="s">
        <v>5631</v>
      </c>
      <c r="H2039" s="14" t="s">
        <v>5601</v>
      </c>
      <c r="I2039" s="14" t="s">
        <v>2458</v>
      </c>
      <c r="J2039" s="33" t="s">
        <v>7110</v>
      </c>
      <c r="K2039" s="33" t="s">
        <v>5077</v>
      </c>
      <c r="L2039" s="68" t="s">
        <v>6054</v>
      </c>
      <c r="M2039" s="68" t="s">
        <v>8912</v>
      </c>
      <c r="N2039" s="68" t="s">
        <v>6059</v>
      </c>
      <c r="O2039" s="202">
        <v>55200</v>
      </c>
      <c r="P2039" s="197" t="s">
        <v>5751</v>
      </c>
    </row>
    <row r="2040" spans="1:16" ht="18.75" hidden="1">
      <c r="A2040" s="50" t="str">
        <f>"15100-402691"</f>
        <v>15100-402691</v>
      </c>
      <c r="B2040" s="50" t="str">
        <f>"96/01/26"</f>
        <v>96/01/26</v>
      </c>
      <c r="C2040" s="50" t="s">
        <v>5065</v>
      </c>
      <c r="D2040" s="50" t="s">
        <v>5046</v>
      </c>
      <c r="E2040" s="12" t="s">
        <v>4971</v>
      </c>
      <c r="F2040" s="49">
        <v>98140</v>
      </c>
      <c r="G2040" s="67" t="s">
        <v>5611</v>
      </c>
      <c r="H2040" s="14" t="s">
        <v>5601</v>
      </c>
      <c r="I2040" s="14" t="s">
        <v>2458</v>
      </c>
      <c r="J2040" s="33" t="s">
        <v>7110</v>
      </c>
      <c r="K2040" s="33" t="s">
        <v>5077</v>
      </c>
      <c r="L2040" s="68" t="s">
        <v>6054</v>
      </c>
      <c r="M2040" s="68" t="s">
        <v>8912</v>
      </c>
      <c r="N2040" s="68" t="s">
        <v>6061</v>
      </c>
      <c r="O2040" s="202">
        <v>55301</v>
      </c>
      <c r="P2040" s="198" t="s">
        <v>5758</v>
      </c>
    </row>
    <row r="2041" spans="1:16" ht="18.75" hidden="1">
      <c r="A2041" s="50" t="str">
        <f>"15100-402691"</f>
        <v>15100-402691</v>
      </c>
      <c r="B2041" s="50" t="str">
        <f>"96/01/26"</f>
        <v>96/01/26</v>
      </c>
      <c r="C2041" s="50" t="s">
        <v>5072</v>
      </c>
      <c r="D2041" s="50" t="s">
        <v>4887</v>
      </c>
      <c r="E2041" s="12" t="s">
        <v>4971</v>
      </c>
      <c r="F2041" s="49">
        <v>71050</v>
      </c>
      <c r="G2041" s="67" t="s">
        <v>5611</v>
      </c>
      <c r="H2041" s="14" t="s">
        <v>5601</v>
      </c>
      <c r="I2041" s="14" t="s">
        <v>2458</v>
      </c>
      <c r="J2041" s="33" t="s">
        <v>7110</v>
      </c>
      <c r="K2041" s="33" t="s">
        <v>5077</v>
      </c>
      <c r="L2041" s="68" t="s">
        <v>6054</v>
      </c>
      <c r="M2041" s="68" t="s">
        <v>8912</v>
      </c>
      <c r="N2041" s="68" t="s">
        <v>6061</v>
      </c>
      <c r="O2041" s="202">
        <v>55301</v>
      </c>
      <c r="P2041" s="198" t="s">
        <v>5752</v>
      </c>
    </row>
    <row r="2042" spans="1:16" ht="18.75" hidden="1">
      <c r="A2042" s="50" t="str">
        <f>"15100-402691"</f>
        <v>15100-402691</v>
      </c>
      <c r="B2042" s="50" t="str">
        <f>"96/01/26"</f>
        <v>96/01/26</v>
      </c>
      <c r="C2042" s="50" t="s">
        <v>5068</v>
      </c>
      <c r="D2042" s="50" t="s">
        <v>4881</v>
      </c>
      <c r="E2042" s="12" t="s">
        <v>4971</v>
      </c>
      <c r="F2042" s="49">
        <v>45500</v>
      </c>
      <c r="G2042" s="67" t="s">
        <v>5611</v>
      </c>
      <c r="H2042" s="14" t="s">
        <v>5601</v>
      </c>
      <c r="I2042" s="14" t="s">
        <v>2458</v>
      </c>
      <c r="J2042" s="33" t="s">
        <v>7110</v>
      </c>
      <c r="K2042" s="33" t="s">
        <v>5077</v>
      </c>
      <c r="L2042" s="68" t="s">
        <v>6054</v>
      </c>
      <c r="M2042" s="68" t="s">
        <v>8912</v>
      </c>
      <c r="N2042" s="68" t="s">
        <v>6061</v>
      </c>
      <c r="O2042" s="202">
        <v>55301</v>
      </c>
      <c r="P2042" s="198" t="s">
        <v>5752</v>
      </c>
    </row>
    <row r="2043" spans="1:16" ht="18.75" hidden="1">
      <c r="A2043" s="50" t="str">
        <f>"15100-402290"</f>
        <v>15100-402290</v>
      </c>
      <c r="B2043" s="50" t="str">
        <f>"96/01/24"</f>
        <v>96/01/24</v>
      </c>
      <c r="C2043" s="50" t="s">
        <v>5058</v>
      </c>
      <c r="D2043" s="50" t="s">
        <v>5009</v>
      </c>
      <c r="E2043" s="12" t="s">
        <v>4971</v>
      </c>
      <c r="F2043" s="49">
        <v>89600</v>
      </c>
      <c r="G2043" s="67" t="s">
        <v>5773</v>
      </c>
      <c r="H2043" s="14" t="s">
        <v>5601</v>
      </c>
      <c r="I2043" s="14" t="s">
        <v>2458</v>
      </c>
      <c r="J2043" s="33" t="s">
        <v>7110</v>
      </c>
      <c r="K2043" s="33" t="s">
        <v>5077</v>
      </c>
      <c r="L2043" s="68" t="s">
        <v>6054</v>
      </c>
      <c r="M2043" s="68" t="s">
        <v>8913</v>
      </c>
      <c r="N2043" s="68" t="s">
        <v>6061</v>
      </c>
      <c r="O2043" s="202">
        <v>55301</v>
      </c>
      <c r="P2043" s="198" t="s">
        <v>5774</v>
      </c>
    </row>
    <row r="2044" spans="1:16" ht="18.75" hidden="1">
      <c r="A2044" s="50" t="str">
        <f>"15100-401498"</f>
        <v>15100-401498</v>
      </c>
      <c r="B2044" s="50" t="str">
        <f>"96/01/23"</f>
        <v>96/01/23</v>
      </c>
      <c r="C2044" s="50" t="s">
        <v>5052</v>
      </c>
      <c r="D2044" s="50" t="s">
        <v>4878</v>
      </c>
      <c r="E2044" s="12" t="s">
        <v>3420</v>
      </c>
      <c r="F2044" s="49">
        <v>272070</v>
      </c>
      <c r="G2044" s="67" t="s">
        <v>5765</v>
      </c>
      <c r="H2044" s="14" t="s">
        <v>5601</v>
      </c>
      <c r="I2044" s="14" t="s">
        <v>2458</v>
      </c>
      <c r="J2044" s="33" t="s">
        <v>7110</v>
      </c>
      <c r="K2044" s="33" t="s">
        <v>5077</v>
      </c>
      <c r="L2044" s="68" t="s">
        <v>6054</v>
      </c>
      <c r="M2044" s="68" t="s">
        <v>8912</v>
      </c>
      <c r="N2044" s="68" t="s">
        <v>6059</v>
      </c>
      <c r="O2044" s="202">
        <v>55200</v>
      </c>
      <c r="P2044" s="198" t="s">
        <v>5766</v>
      </c>
    </row>
    <row r="2045" spans="1:16" ht="18.75" hidden="1">
      <c r="A2045" s="50" t="str">
        <f>"15100-405705"</f>
        <v>15100-405705</v>
      </c>
      <c r="B2045" s="50" t="str">
        <f>"96/01/31"</f>
        <v>96/01/31</v>
      </c>
      <c r="C2045" s="50" t="s">
        <v>5071</v>
      </c>
      <c r="D2045" s="50" t="s">
        <v>5011</v>
      </c>
      <c r="E2045" s="12" t="s">
        <v>4971</v>
      </c>
      <c r="F2045" s="49">
        <v>70360</v>
      </c>
      <c r="G2045" s="67" t="s">
        <v>5611</v>
      </c>
      <c r="H2045" s="14" t="s">
        <v>5601</v>
      </c>
      <c r="I2045" s="14" t="s">
        <v>2458</v>
      </c>
      <c r="J2045" s="33" t="s">
        <v>7110</v>
      </c>
      <c r="K2045" s="33" t="s">
        <v>5077</v>
      </c>
      <c r="L2045" s="68" t="s">
        <v>8663</v>
      </c>
      <c r="M2045" s="68" t="s">
        <v>8913</v>
      </c>
      <c r="N2045" s="68" t="s">
        <v>6058</v>
      </c>
      <c r="O2045" s="68">
        <v>60400</v>
      </c>
      <c r="P2045" s="198" t="s">
        <v>5758</v>
      </c>
    </row>
    <row r="2046" spans="1:16" ht="18.75" hidden="1">
      <c r="A2046" s="50" t="str">
        <f>"15100-401633"</f>
        <v>15100-401633</v>
      </c>
      <c r="B2046" s="50" t="str">
        <f>"96/01/23"</f>
        <v>96/01/23</v>
      </c>
      <c r="C2046" s="50" t="s">
        <v>5062</v>
      </c>
      <c r="D2046" s="50" t="s">
        <v>5009</v>
      </c>
      <c r="E2046" s="12" t="s">
        <v>4971</v>
      </c>
      <c r="F2046" s="49">
        <v>122480</v>
      </c>
      <c r="G2046" s="67" t="s">
        <v>5611</v>
      </c>
      <c r="H2046" s="14" t="s">
        <v>5601</v>
      </c>
      <c r="I2046" s="14" t="s">
        <v>2458</v>
      </c>
      <c r="J2046" s="33" t="s">
        <v>7110</v>
      </c>
      <c r="K2046" s="33" t="s">
        <v>5077</v>
      </c>
      <c r="L2046" s="68" t="s">
        <v>8663</v>
      </c>
      <c r="M2046" s="68" t="s">
        <v>8913</v>
      </c>
      <c r="N2046" s="68" t="s">
        <v>6058</v>
      </c>
      <c r="O2046" s="68">
        <v>60400</v>
      </c>
      <c r="P2046" s="198" t="s">
        <v>5758</v>
      </c>
    </row>
    <row r="2047" spans="1:16" ht="18.75" hidden="1">
      <c r="A2047" s="50" t="str">
        <f>"15100-400754"</f>
        <v>15100-400754</v>
      </c>
      <c r="B2047" s="50" t="str">
        <f>"96/01/21"</f>
        <v>96/01/21</v>
      </c>
      <c r="C2047" s="50" t="s">
        <v>5072</v>
      </c>
      <c r="D2047" s="50" t="s">
        <v>4887</v>
      </c>
      <c r="E2047" s="12" t="s">
        <v>4971</v>
      </c>
      <c r="F2047" s="49">
        <v>47620</v>
      </c>
      <c r="G2047" s="67" t="s">
        <v>5611</v>
      </c>
      <c r="H2047" s="14" t="s">
        <v>5601</v>
      </c>
      <c r="I2047" s="14" t="s">
        <v>2458</v>
      </c>
      <c r="J2047" s="33" t="s">
        <v>7110</v>
      </c>
      <c r="K2047" s="33" t="s">
        <v>5077</v>
      </c>
      <c r="L2047" s="68" t="s">
        <v>8663</v>
      </c>
      <c r="M2047" s="68" t="s">
        <v>8913</v>
      </c>
      <c r="N2047" s="68" t="s">
        <v>6058</v>
      </c>
      <c r="O2047" s="68">
        <v>60400</v>
      </c>
      <c r="P2047" s="198" t="s">
        <v>5752</v>
      </c>
    </row>
    <row r="2048" spans="1:16" ht="18.75" hidden="1">
      <c r="A2048" s="50" t="str">
        <f>"15100-405133"</f>
        <v>15100-405133</v>
      </c>
      <c r="B2048" s="50" t="str">
        <f>"96/01/30"</f>
        <v>96/01/30</v>
      </c>
      <c r="C2048" s="50" t="s">
        <v>5075</v>
      </c>
      <c r="D2048" s="50" t="s">
        <v>5011</v>
      </c>
      <c r="E2048" s="12" t="s">
        <v>4971</v>
      </c>
      <c r="F2048" s="49">
        <v>73420</v>
      </c>
      <c r="G2048" s="67" t="s">
        <v>5631</v>
      </c>
      <c r="H2048" s="14" t="s">
        <v>5601</v>
      </c>
      <c r="I2048" s="14" t="s">
        <v>2458</v>
      </c>
      <c r="J2048" s="33" t="s">
        <v>7110</v>
      </c>
      <c r="K2048" s="33" t="s">
        <v>5077</v>
      </c>
      <c r="L2048" s="68" t="s">
        <v>6054</v>
      </c>
      <c r="M2048" s="68" t="s">
        <v>8912</v>
      </c>
      <c r="N2048" s="68" t="s">
        <v>6061</v>
      </c>
      <c r="O2048" s="202">
        <v>55301</v>
      </c>
      <c r="P2048" s="197" t="s">
        <v>5777</v>
      </c>
    </row>
    <row r="2049" spans="1:16" ht="18.75" hidden="1">
      <c r="A2049" s="50" t="str">
        <f>"15100-405133"</f>
        <v>15100-405133</v>
      </c>
      <c r="B2049" s="50" t="str">
        <f>"96/01/30"</f>
        <v>96/01/30</v>
      </c>
      <c r="C2049" s="50" t="s">
        <v>5056</v>
      </c>
      <c r="D2049" s="50" t="s">
        <v>5009</v>
      </c>
      <c r="E2049" s="12" t="s">
        <v>4971</v>
      </c>
      <c r="F2049" s="49">
        <v>23420</v>
      </c>
      <c r="G2049" s="67" t="s">
        <v>5611</v>
      </c>
      <c r="H2049" s="14" t="s">
        <v>5601</v>
      </c>
      <c r="I2049" s="14" t="s">
        <v>2458</v>
      </c>
      <c r="J2049" s="33" t="s">
        <v>7110</v>
      </c>
      <c r="K2049" s="33" t="s">
        <v>5077</v>
      </c>
      <c r="L2049" s="68" t="s">
        <v>6054</v>
      </c>
      <c r="M2049" s="68" t="s">
        <v>8912</v>
      </c>
      <c r="N2049" s="68" t="s">
        <v>6061</v>
      </c>
      <c r="O2049" s="202">
        <v>55301</v>
      </c>
      <c r="P2049" s="198" t="s">
        <v>5758</v>
      </c>
    </row>
    <row r="2050" spans="1:16" ht="18.75" hidden="1">
      <c r="A2050" s="50" t="str">
        <f>"15100-404462"</f>
        <v>15100-404462</v>
      </c>
      <c r="B2050" s="50" t="str">
        <f>"96/01/29"</f>
        <v>96/01/29</v>
      </c>
      <c r="C2050" s="50" t="s">
        <v>5060</v>
      </c>
      <c r="D2050" s="50" t="s">
        <v>5009</v>
      </c>
      <c r="E2050" s="12" t="s">
        <v>4971</v>
      </c>
      <c r="F2050" s="49">
        <v>72230</v>
      </c>
      <c r="G2050" s="67" t="s">
        <v>5611</v>
      </c>
      <c r="H2050" s="14" t="s">
        <v>5601</v>
      </c>
      <c r="I2050" s="14" t="s">
        <v>2458</v>
      </c>
      <c r="J2050" s="33" t="s">
        <v>7110</v>
      </c>
      <c r="K2050" s="33" t="s">
        <v>5077</v>
      </c>
      <c r="L2050" s="68" t="s">
        <v>6054</v>
      </c>
      <c r="M2050" s="68" t="s">
        <v>8912</v>
      </c>
      <c r="N2050" s="68" t="s">
        <v>6059</v>
      </c>
      <c r="O2050" s="202">
        <v>55200</v>
      </c>
      <c r="P2050" s="198" t="s">
        <v>5758</v>
      </c>
    </row>
    <row r="2051" spans="1:16" ht="18.75" hidden="1">
      <c r="A2051" s="50" t="str">
        <f>"15100-404462"</f>
        <v>15100-404462</v>
      </c>
      <c r="B2051" s="50" t="str">
        <f>"96/01/29"</f>
        <v>96/01/29</v>
      </c>
      <c r="C2051" s="50" t="s">
        <v>5065</v>
      </c>
      <c r="D2051" s="50" t="s">
        <v>5046</v>
      </c>
      <c r="E2051" s="12" t="s">
        <v>4971</v>
      </c>
      <c r="F2051" s="49">
        <v>50350</v>
      </c>
      <c r="G2051" s="67" t="s">
        <v>5611</v>
      </c>
      <c r="H2051" s="14" t="s">
        <v>5601</v>
      </c>
      <c r="I2051" s="14" t="s">
        <v>2458</v>
      </c>
      <c r="J2051" s="33" t="s">
        <v>7110</v>
      </c>
      <c r="K2051" s="33" t="s">
        <v>5077</v>
      </c>
      <c r="L2051" s="68" t="s">
        <v>6054</v>
      </c>
      <c r="M2051" s="68" t="s">
        <v>8912</v>
      </c>
      <c r="N2051" s="68" t="s">
        <v>6059</v>
      </c>
      <c r="O2051" s="202">
        <v>55200</v>
      </c>
      <c r="P2051" s="198" t="s">
        <v>5758</v>
      </c>
    </row>
    <row r="2052" spans="1:16" ht="18.75" hidden="1">
      <c r="A2052" s="50" t="str">
        <f>"15100-404537"</f>
        <v>15100-404537</v>
      </c>
      <c r="B2052" s="50" t="str">
        <f>"96/01/29"</f>
        <v>96/01/29</v>
      </c>
      <c r="C2052" s="50" t="s">
        <v>5075</v>
      </c>
      <c r="D2052" s="50" t="s">
        <v>5011</v>
      </c>
      <c r="E2052" s="12" t="s">
        <v>4971</v>
      </c>
      <c r="F2052" s="49">
        <v>96720</v>
      </c>
      <c r="G2052" s="67" t="s">
        <v>5631</v>
      </c>
      <c r="H2052" s="14" t="s">
        <v>5601</v>
      </c>
      <c r="I2052" s="14" t="s">
        <v>2458</v>
      </c>
      <c r="J2052" s="33" t="s">
        <v>7110</v>
      </c>
      <c r="K2052" s="33" t="s">
        <v>5077</v>
      </c>
      <c r="L2052" s="68" t="s">
        <v>6054</v>
      </c>
      <c r="M2052" s="68" t="s">
        <v>8912</v>
      </c>
      <c r="N2052" s="68" t="s">
        <v>6061</v>
      </c>
      <c r="O2052" s="202">
        <v>55301</v>
      </c>
      <c r="P2052" s="197" t="s">
        <v>5777</v>
      </c>
    </row>
    <row r="2053" spans="1:16" ht="18.75" hidden="1">
      <c r="A2053" s="50" t="str">
        <f>"15100-404537"</f>
        <v>15100-404537</v>
      </c>
      <c r="B2053" s="50" t="str">
        <f>"96/01/29"</f>
        <v>96/01/29</v>
      </c>
      <c r="C2053" s="50" t="s">
        <v>5056</v>
      </c>
      <c r="D2053" s="50" t="s">
        <v>5009</v>
      </c>
      <c r="E2053" s="12" t="s">
        <v>4971</v>
      </c>
      <c r="F2053" s="49">
        <v>97020</v>
      </c>
      <c r="G2053" s="67" t="s">
        <v>5611</v>
      </c>
      <c r="H2053" s="14" t="s">
        <v>5601</v>
      </c>
      <c r="I2053" s="14" t="s">
        <v>2458</v>
      </c>
      <c r="J2053" s="33" t="s">
        <v>7110</v>
      </c>
      <c r="K2053" s="33" t="s">
        <v>5077</v>
      </c>
      <c r="L2053" s="68" t="s">
        <v>6054</v>
      </c>
      <c r="M2053" s="68" t="s">
        <v>8912</v>
      </c>
      <c r="N2053" s="68" t="s">
        <v>6061</v>
      </c>
      <c r="O2053" s="202">
        <v>55301</v>
      </c>
      <c r="P2053" s="198" t="s">
        <v>5758</v>
      </c>
    </row>
    <row r="2054" spans="1:16" ht="18.75" hidden="1">
      <c r="A2054" s="50" t="str">
        <f>"15100-405653"</f>
        <v>15100-405653</v>
      </c>
      <c r="B2054" s="50" t="str">
        <f>"96/01/31"</f>
        <v>96/01/31</v>
      </c>
      <c r="C2054" s="50" t="s">
        <v>5060</v>
      </c>
      <c r="D2054" s="50" t="s">
        <v>5009</v>
      </c>
      <c r="E2054" s="12" t="s">
        <v>4971</v>
      </c>
      <c r="F2054" s="49">
        <v>76780</v>
      </c>
      <c r="G2054" s="67" t="s">
        <v>5611</v>
      </c>
      <c r="H2054" s="14" t="s">
        <v>5601</v>
      </c>
      <c r="I2054" s="14" t="s">
        <v>2458</v>
      </c>
      <c r="J2054" s="33" t="s">
        <v>7110</v>
      </c>
      <c r="K2054" s="33" t="s">
        <v>5077</v>
      </c>
      <c r="L2054" s="68" t="s">
        <v>6054</v>
      </c>
      <c r="M2054" s="68" t="s">
        <v>8912</v>
      </c>
      <c r="N2054" s="68" t="s">
        <v>6059</v>
      </c>
      <c r="O2054" s="202">
        <v>55200</v>
      </c>
      <c r="P2054" s="198" t="s">
        <v>5758</v>
      </c>
    </row>
    <row r="2055" spans="1:16" ht="18.75" hidden="1">
      <c r="A2055" s="50" t="str">
        <f>"15100-405687"</f>
        <v>15100-405687</v>
      </c>
      <c r="B2055" s="50" t="str">
        <f>"96/01/31"</f>
        <v>96/01/31</v>
      </c>
      <c r="C2055" s="50" t="s">
        <v>5064</v>
      </c>
      <c r="D2055" s="50" t="s">
        <v>5010</v>
      </c>
      <c r="E2055" s="12" t="s">
        <v>4971</v>
      </c>
      <c r="F2055" s="49">
        <v>23540</v>
      </c>
      <c r="G2055" s="67" t="s">
        <v>5683</v>
      </c>
      <c r="H2055" s="14" t="s">
        <v>5601</v>
      </c>
      <c r="I2055" s="14" t="s">
        <v>2458</v>
      </c>
      <c r="J2055" s="33" t="s">
        <v>7110</v>
      </c>
      <c r="K2055" s="33" t="s">
        <v>5077</v>
      </c>
      <c r="L2055" s="68" t="s">
        <v>6054</v>
      </c>
      <c r="M2055" s="68" t="s">
        <v>8913</v>
      </c>
      <c r="N2055" s="68" t="s">
        <v>6060</v>
      </c>
      <c r="O2055" s="202">
        <v>55107</v>
      </c>
      <c r="P2055" s="198" t="s">
        <v>5788</v>
      </c>
    </row>
    <row r="2056" spans="1:16" ht="18.75" hidden="1">
      <c r="A2056" s="50" t="str">
        <f>"15100-403400"</f>
        <v>15100-403400</v>
      </c>
      <c r="B2056" s="50" t="str">
        <f>"96/01/27"</f>
        <v>96/01/27</v>
      </c>
      <c r="C2056" s="50" t="s">
        <v>5058</v>
      </c>
      <c r="D2056" s="50" t="s">
        <v>5009</v>
      </c>
      <c r="E2056" s="12" t="s">
        <v>4971</v>
      </c>
      <c r="F2056" s="49">
        <v>72360</v>
      </c>
      <c r="G2056" s="67" t="s">
        <v>5773</v>
      </c>
      <c r="H2056" s="14" t="s">
        <v>5601</v>
      </c>
      <c r="I2056" s="14" t="s">
        <v>2458</v>
      </c>
      <c r="J2056" s="33" t="s">
        <v>7110</v>
      </c>
      <c r="K2056" s="33" t="s">
        <v>5077</v>
      </c>
      <c r="L2056" s="68" t="s">
        <v>6054</v>
      </c>
      <c r="M2056" s="68" t="s">
        <v>8913</v>
      </c>
      <c r="N2056" s="68" t="s">
        <v>6061</v>
      </c>
      <c r="O2056" s="202">
        <v>55301</v>
      </c>
      <c r="P2056" s="198" t="s">
        <v>5774</v>
      </c>
    </row>
    <row r="2057" spans="1:16" ht="18.75" hidden="1">
      <c r="A2057" s="50" t="str">
        <f>"15100-403394"</f>
        <v>15100-403394</v>
      </c>
      <c r="B2057" s="50" t="str">
        <f>"96/01/27"</f>
        <v>96/01/27</v>
      </c>
      <c r="C2057" s="50" t="s">
        <v>5073</v>
      </c>
      <c r="D2057" s="50" t="s">
        <v>5011</v>
      </c>
      <c r="E2057" s="12" t="s">
        <v>4971</v>
      </c>
      <c r="F2057" s="49">
        <v>143300</v>
      </c>
      <c r="G2057" s="67" t="s">
        <v>5647</v>
      </c>
      <c r="H2057" s="14" t="s">
        <v>5601</v>
      </c>
      <c r="I2057" s="14" t="s">
        <v>2458</v>
      </c>
      <c r="J2057" s="33" t="s">
        <v>7110</v>
      </c>
      <c r="K2057" s="33" t="s">
        <v>5077</v>
      </c>
      <c r="L2057" s="68" t="s">
        <v>6054</v>
      </c>
      <c r="M2057" s="68" t="s">
        <v>8913</v>
      </c>
      <c r="N2057" s="68" t="s">
        <v>6061</v>
      </c>
      <c r="O2057" s="202">
        <v>55301</v>
      </c>
      <c r="P2057" s="198" t="s">
        <v>5764</v>
      </c>
    </row>
    <row r="2058" spans="1:16" ht="18.75" hidden="1">
      <c r="A2058" s="50" t="str">
        <f>"15100-401588"</f>
        <v>15100-401588</v>
      </c>
      <c r="B2058" s="50" t="str">
        <f>"96/01/23"</f>
        <v>96/01/23</v>
      </c>
      <c r="C2058" s="50" t="s">
        <v>5069</v>
      </c>
      <c r="D2058" s="50" t="s">
        <v>5008</v>
      </c>
      <c r="E2058" s="12" t="s">
        <v>4971</v>
      </c>
      <c r="F2058" s="49">
        <v>97000</v>
      </c>
      <c r="G2058" s="67" t="s">
        <v>5611</v>
      </c>
      <c r="H2058" s="14" t="s">
        <v>5601</v>
      </c>
      <c r="I2058" s="14" t="s">
        <v>2458</v>
      </c>
      <c r="J2058" s="33" t="s">
        <v>7110</v>
      </c>
      <c r="K2058" s="33" t="s">
        <v>5077</v>
      </c>
      <c r="L2058" s="68" t="s">
        <v>6054</v>
      </c>
      <c r="M2058" s="68" t="s">
        <v>8912</v>
      </c>
      <c r="N2058" s="68" t="s">
        <v>6061</v>
      </c>
      <c r="O2058" s="202">
        <v>55301</v>
      </c>
      <c r="P2058" s="198" t="s">
        <v>5752</v>
      </c>
    </row>
    <row r="2059" spans="1:16" ht="18.75" hidden="1">
      <c r="A2059" s="50" t="str">
        <f>"15100-401588"</f>
        <v>15100-401588</v>
      </c>
      <c r="B2059" s="50" t="str">
        <f>"96/01/23"</f>
        <v>96/01/23</v>
      </c>
      <c r="C2059" s="50" t="s">
        <v>5068</v>
      </c>
      <c r="D2059" s="50" t="s">
        <v>4881</v>
      </c>
      <c r="E2059" s="12" t="s">
        <v>4971</v>
      </c>
      <c r="F2059" s="49">
        <v>137840</v>
      </c>
      <c r="G2059" s="67" t="s">
        <v>5611</v>
      </c>
      <c r="H2059" s="14" t="s">
        <v>5601</v>
      </c>
      <c r="I2059" s="14" t="s">
        <v>2458</v>
      </c>
      <c r="J2059" s="33" t="s">
        <v>7110</v>
      </c>
      <c r="K2059" s="33" t="s">
        <v>5077</v>
      </c>
      <c r="L2059" s="68" t="s">
        <v>6054</v>
      </c>
      <c r="M2059" s="68" t="s">
        <v>8912</v>
      </c>
      <c r="N2059" s="68" t="s">
        <v>6061</v>
      </c>
      <c r="O2059" s="202">
        <v>55301</v>
      </c>
      <c r="P2059" s="198" t="s">
        <v>5752</v>
      </c>
    </row>
    <row r="2060" spans="1:16" ht="18.75" hidden="1">
      <c r="A2060" s="50" t="str">
        <f>"15100-401540"</f>
        <v>15100-401540</v>
      </c>
      <c r="B2060" s="50" t="str">
        <f>"96/01/23"</f>
        <v>96/01/23</v>
      </c>
      <c r="C2060" s="50" t="s">
        <v>5069</v>
      </c>
      <c r="D2060" s="50" t="s">
        <v>5008</v>
      </c>
      <c r="E2060" s="12" t="s">
        <v>4971</v>
      </c>
      <c r="F2060" s="49">
        <v>177680</v>
      </c>
      <c r="G2060" s="67" t="s">
        <v>5611</v>
      </c>
      <c r="H2060" s="14" t="s">
        <v>5601</v>
      </c>
      <c r="I2060" s="14" t="s">
        <v>2458</v>
      </c>
      <c r="J2060" s="33" t="s">
        <v>7110</v>
      </c>
      <c r="K2060" s="33" t="s">
        <v>5077</v>
      </c>
      <c r="L2060" s="68" t="s">
        <v>6054</v>
      </c>
      <c r="M2060" s="68" t="s">
        <v>8912</v>
      </c>
      <c r="N2060" s="68" t="s">
        <v>6059</v>
      </c>
      <c r="O2060" s="202">
        <v>55200</v>
      </c>
      <c r="P2060" s="198" t="s">
        <v>5752</v>
      </c>
    </row>
    <row r="2061" spans="1:16" ht="18.75" hidden="1">
      <c r="A2061" s="50" t="str">
        <f>"15100-399827"</f>
        <v>15100-399827</v>
      </c>
      <c r="B2061" s="50" t="str">
        <f>"96/01/19"</f>
        <v>96/01/19</v>
      </c>
      <c r="C2061" s="50" t="s">
        <v>5072</v>
      </c>
      <c r="D2061" s="50" t="s">
        <v>4887</v>
      </c>
      <c r="E2061" s="12" t="s">
        <v>4971</v>
      </c>
      <c r="F2061" s="49">
        <v>67940</v>
      </c>
      <c r="G2061" s="67" t="s">
        <v>5611</v>
      </c>
      <c r="H2061" s="14" t="s">
        <v>5601</v>
      </c>
      <c r="I2061" s="14" t="s">
        <v>2458</v>
      </c>
      <c r="J2061" s="33" t="s">
        <v>7110</v>
      </c>
      <c r="K2061" s="33" t="s">
        <v>5077</v>
      </c>
      <c r="L2061" s="68" t="s">
        <v>6054</v>
      </c>
      <c r="M2061" s="68" t="s">
        <v>8913</v>
      </c>
      <c r="N2061" s="68" t="s">
        <v>6061</v>
      </c>
      <c r="O2061" s="202">
        <v>55301</v>
      </c>
      <c r="P2061" s="198" t="s">
        <v>5752</v>
      </c>
    </row>
    <row r="2062" spans="1:16" ht="18.75" hidden="1">
      <c r="A2062" s="50" t="str">
        <f>"15100-404480"</f>
        <v>15100-404480</v>
      </c>
      <c r="B2062" s="50" t="str">
        <f>"96/01/29"</f>
        <v>96/01/29</v>
      </c>
      <c r="C2062" s="50" t="s">
        <v>5060</v>
      </c>
      <c r="D2062" s="50" t="s">
        <v>5009</v>
      </c>
      <c r="E2062" s="12" t="s">
        <v>4971</v>
      </c>
      <c r="F2062" s="49">
        <v>26340</v>
      </c>
      <c r="G2062" s="67" t="s">
        <v>5611</v>
      </c>
      <c r="H2062" s="14" t="s">
        <v>5601</v>
      </c>
      <c r="I2062" s="14" t="s">
        <v>2458</v>
      </c>
      <c r="J2062" s="33" t="s">
        <v>7110</v>
      </c>
      <c r="K2062" s="33" t="s">
        <v>5077</v>
      </c>
      <c r="L2062" s="68" t="s">
        <v>6054</v>
      </c>
      <c r="M2062" s="68" t="s">
        <v>8912</v>
      </c>
      <c r="N2062" s="68" t="s">
        <v>6060</v>
      </c>
      <c r="O2062" s="202">
        <v>55107</v>
      </c>
      <c r="P2062" s="198" t="s">
        <v>5758</v>
      </c>
    </row>
    <row r="2063" spans="1:16" ht="18.75" hidden="1">
      <c r="A2063" s="50" t="str">
        <f>"15100-404480"</f>
        <v>15100-404480</v>
      </c>
      <c r="B2063" s="50" t="str">
        <f>"96/01/29"</f>
        <v>96/01/29</v>
      </c>
      <c r="C2063" s="50" t="s">
        <v>5075</v>
      </c>
      <c r="D2063" s="50" t="s">
        <v>5011</v>
      </c>
      <c r="E2063" s="12" t="s">
        <v>4971</v>
      </c>
      <c r="F2063" s="49">
        <v>73240</v>
      </c>
      <c r="G2063" s="67" t="s">
        <v>5631</v>
      </c>
      <c r="H2063" s="14" t="s">
        <v>5601</v>
      </c>
      <c r="I2063" s="14" t="s">
        <v>2458</v>
      </c>
      <c r="J2063" s="33" t="s">
        <v>7110</v>
      </c>
      <c r="K2063" s="33" t="s">
        <v>5077</v>
      </c>
      <c r="L2063" s="68" t="s">
        <v>6054</v>
      </c>
      <c r="M2063" s="68" t="s">
        <v>8912</v>
      </c>
      <c r="N2063" s="68" t="s">
        <v>6060</v>
      </c>
      <c r="O2063" s="202">
        <v>55107</v>
      </c>
      <c r="P2063" s="197" t="s">
        <v>5777</v>
      </c>
    </row>
    <row r="2064" spans="1:16" ht="18.75" hidden="1">
      <c r="A2064" s="50" t="str">
        <f>"15100-403228"</f>
        <v>15100-403228</v>
      </c>
      <c r="B2064" s="50" t="str">
        <f>"96/01/27"</f>
        <v>96/01/27</v>
      </c>
      <c r="C2064" s="50" t="s">
        <v>5074</v>
      </c>
      <c r="D2064" s="50" t="s">
        <v>5045</v>
      </c>
      <c r="E2064" s="12" t="s">
        <v>4971</v>
      </c>
      <c r="F2064" s="49">
        <v>139730</v>
      </c>
      <c r="G2064" s="67" t="s">
        <v>5631</v>
      </c>
      <c r="H2064" s="14" t="s">
        <v>5601</v>
      </c>
      <c r="I2064" s="14" t="s">
        <v>2458</v>
      </c>
      <c r="J2064" s="33" t="s">
        <v>7110</v>
      </c>
      <c r="K2064" s="33" t="s">
        <v>5077</v>
      </c>
      <c r="L2064" s="68" t="s">
        <v>6054</v>
      </c>
      <c r="M2064" s="68" t="s">
        <v>8912</v>
      </c>
      <c r="N2064" s="68" t="s">
        <v>6061</v>
      </c>
      <c r="O2064" s="202">
        <v>55301</v>
      </c>
      <c r="P2064" s="197" t="s">
        <v>5751</v>
      </c>
    </row>
    <row r="2065" spans="1:16" ht="18.75" hidden="1">
      <c r="A2065" s="50" t="str">
        <f>"15100-402598"</f>
        <v>15100-402598</v>
      </c>
      <c r="B2065" s="50" t="str">
        <f>"96/01/26"</f>
        <v>96/01/26</v>
      </c>
      <c r="C2065" s="50" t="s">
        <v>5062</v>
      </c>
      <c r="D2065" s="50" t="s">
        <v>5009</v>
      </c>
      <c r="E2065" s="12" t="s">
        <v>4971</v>
      </c>
      <c r="F2065" s="49">
        <v>89240</v>
      </c>
      <c r="G2065" s="67" t="s">
        <v>5611</v>
      </c>
      <c r="H2065" s="14" t="s">
        <v>5601</v>
      </c>
      <c r="I2065" s="14" t="s">
        <v>2458</v>
      </c>
      <c r="J2065" s="33" t="s">
        <v>7110</v>
      </c>
      <c r="K2065" s="33" t="s">
        <v>5077</v>
      </c>
      <c r="L2065" s="68" t="s">
        <v>8663</v>
      </c>
      <c r="M2065" s="68" t="s">
        <v>8913</v>
      </c>
      <c r="N2065" s="68" t="s">
        <v>6058</v>
      </c>
      <c r="O2065" s="68">
        <v>60400</v>
      </c>
      <c r="P2065" s="198" t="s">
        <v>5758</v>
      </c>
    </row>
    <row r="2066" spans="1:16" ht="18.75" hidden="1">
      <c r="A2066" s="50" t="str">
        <f>"15100-402598"</f>
        <v>15100-402598</v>
      </c>
      <c r="B2066" s="50" t="str">
        <f>"96/01/26"</f>
        <v>96/01/26</v>
      </c>
      <c r="C2066" s="50" t="s">
        <v>5065</v>
      </c>
      <c r="D2066" s="50" t="s">
        <v>5046</v>
      </c>
      <c r="E2066" s="12" t="s">
        <v>4971</v>
      </c>
      <c r="F2066" s="49">
        <v>30280</v>
      </c>
      <c r="G2066" s="67" t="s">
        <v>5611</v>
      </c>
      <c r="H2066" s="14" t="s">
        <v>5601</v>
      </c>
      <c r="I2066" s="14" t="s">
        <v>2458</v>
      </c>
      <c r="J2066" s="33" t="s">
        <v>7110</v>
      </c>
      <c r="K2066" s="33" t="s">
        <v>5077</v>
      </c>
      <c r="L2066" s="68" t="s">
        <v>8663</v>
      </c>
      <c r="M2066" s="68" t="s">
        <v>8913</v>
      </c>
      <c r="N2066" s="68" t="s">
        <v>6058</v>
      </c>
      <c r="O2066" s="68">
        <v>60400</v>
      </c>
      <c r="P2066" s="198" t="s">
        <v>5758</v>
      </c>
    </row>
    <row r="2067" spans="1:16" ht="18.75" hidden="1">
      <c r="A2067" s="50" t="str">
        <f>"15100-400907"</f>
        <v>15100-400907</v>
      </c>
      <c r="B2067" s="50" t="str">
        <f>"96/01/21"</f>
        <v>96/01/21</v>
      </c>
      <c r="C2067" s="50" t="s">
        <v>5072</v>
      </c>
      <c r="D2067" s="50" t="s">
        <v>4887</v>
      </c>
      <c r="E2067" s="12" t="s">
        <v>4971</v>
      </c>
      <c r="F2067" s="49">
        <v>122880</v>
      </c>
      <c r="G2067" s="67" t="s">
        <v>5611</v>
      </c>
      <c r="H2067" s="14" t="s">
        <v>5601</v>
      </c>
      <c r="I2067" s="14" t="s">
        <v>2458</v>
      </c>
      <c r="J2067" s="33" t="s">
        <v>7110</v>
      </c>
      <c r="K2067" s="33" t="s">
        <v>5077</v>
      </c>
      <c r="L2067" s="68" t="s">
        <v>6054</v>
      </c>
      <c r="M2067" s="68" t="s">
        <v>8912</v>
      </c>
      <c r="N2067" s="68" t="s">
        <v>6059</v>
      </c>
      <c r="O2067" s="202">
        <v>55200</v>
      </c>
      <c r="P2067" s="198" t="s">
        <v>5752</v>
      </c>
    </row>
    <row r="2068" spans="1:16" ht="18.75" hidden="1">
      <c r="A2068" s="50" t="str">
        <f>"15100-405115"</f>
        <v>15100-405115</v>
      </c>
      <c r="B2068" s="50" t="str">
        <f>"96/01/30"</f>
        <v>96/01/30</v>
      </c>
      <c r="C2068" s="50" t="s">
        <v>5053</v>
      </c>
      <c r="D2068" s="50" t="s">
        <v>5012</v>
      </c>
      <c r="E2068" s="12" t="s">
        <v>4971</v>
      </c>
      <c r="F2068" s="49">
        <v>99860</v>
      </c>
      <c r="G2068" s="67" t="s">
        <v>5647</v>
      </c>
      <c r="H2068" s="14" t="s">
        <v>5601</v>
      </c>
      <c r="I2068" s="14" t="s">
        <v>2458</v>
      </c>
      <c r="J2068" s="33" t="s">
        <v>7110</v>
      </c>
      <c r="K2068" s="33" t="s">
        <v>5077</v>
      </c>
      <c r="L2068" s="68" t="s">
        <v>6054</v>
      </c>
      <c r="M2068" s="68" t="s">
        <v>8913</v>
      </c>
      <c r="N2068" s="68" t="s">
        <v>6061</v>
      </c>
      <c r="O2068" s="202">
        <v>55301</v>
      </c>
      <c r="P2068" s="198" t="s">
        <v>5795</v>
      </c>
    </row>
    <row r="2069" spans="1:16" ht="18.75" hidden="1">
      <c r="A2069" s="50" t="str">
        <f t="shared" ref="A2069:A2070" si="20">"15100-405115"</f>
        <v>15100-405115</v>
      </c>
      <c r="B2069" s="50" t="str">
        <f t="shared" ref="B2069:B2070" si="21">"96/01/30"</f>
        <v>96/01/30</v>
      </c>
      <c r="C2069" s="50" t="s">
        <v>5067</v>
      </c>
      <c r="D2069" s="50" t="s">
        <v>5010</v>
      </c>
      <c r="E2069" s="12" t="s">
        <v>4971</v>
      </c>
      <c r="F2069" s="49">
        <v>51180</v>
      </c>
      <c r="G2069" s="67" t="s">
        <v>5683</v>
      </c>
      <c r="H2069" s="14" t="s">
        <v>5601</v>
      </c>
      <c r="I2069" s="14" t="s">
        <v>2458</v>
      </c>
      <c r="J2069" s="33" t="s">
        <v>7110</v>
      </c>
      <c r="K2069" s="33" t="s">
        <v>5077</v>
      </c>
      <c r="L2069" s="68" t="s">
        <v>6054</v>
      </c>
      <c r="M2069" s="68" t="s">
        <v>8913</v>
      </c>
      <c r="N2069" s="68" t="s">
        <v>6061</v>
      </c>
      <c r="O2069" s="202">
        <v>55301</v>
      </c>
      <c r="P2069" s="198" t="s">
        <v>5788</v>
      </c>
    </row>
    <row r="2070" spans="1:16" ht="18.75" hidden="1">
      <c r="A2070" s="50" t="str">
        <f t="shared" si="20"/>
        <v>15100-405115</v>
      </c>
      <c r="B2070" s="50" t="str">
        <f t="shared" si="21"/>
        <v>96/01/30</v>
      </c>
      <c r="C2070" s="50" t="s">
        <v>5056</v>
      </c>
      <c r="D2070" s="50" t="s">
        <v>5009</v>
      </c>
      <c r="E2070" s="12" t="s">
        <v>4971</v>
      </c>
      <c r="F2070" s="49">
        <v>25320</v>
      </c>
      <c r="G2070" s="67" t="s">
        <v>5611</v>
      </c>
      <c r="H2070" s="14" t="s">
        <v>5601</v>
      </c>
      <c r="I2070" s="14" t="s">
        <v>2458</v>
      </c>
      <c r="J2070" s="33" t="s">
        <v>7110</v>
      </c>
      <c r="K2070" s="33" t="s">
        <v>5077</v>
      </c>
      <c r="L2070" s="68" t="s">
        <v>6054</v>
      </c>
      <c r="M2070" s="68" t="s">
        <v>8913</v>
      </c>
      <c r="N2070" s="68" t="s">
        <v>6061</v>
      </c>
      <c r="O2070" s="202">
        <v>55301</v>
      </c>
      <c r="P2070" s="198" t="s">
        <v>5758</v>
      </c>
    </row>
    <row r="2071" spans="1:16" ht="18.75" hidden="1">
      <c r="A2071" s="50" t="str">
        <f>"15100-400796"</f>
        <v>15100-400796</v>
      </c>
      <c r="B2071" s="50" t="str">
        <f>"96/01/21"</f>
        <v>96/01/21</v>
      </c>
      <c r="C2071" s="50" t="s">
        <v>5076</v>
      </c>
      <c r="D2071" s="50" t="s">
        <v>5008</v>
      </c>
      <c r="E2071" s="12" t="s">
        <v>4971</v>
      </c>
      <c r="F2071" s="49">
        <v>70740</v>
      </c>
      <c r="G2071" s="67" t="s">
        <v>5631</v>
      </c>
      <c r="H2071" s="14" t="s">
        <v>5601</v>
      </c>
      <c r="I2071" s="14" t="s">
        <v>2458</v>
      </c>
      <c r="J2071" s="33" t="s">
        <v>7110</v>
      </c>
      <c r="K2071" s="33" t="s">
        <v>5077</v>
      </c>
      <c r="L2071" s="68" t="s">
        <v>6054</v>
      </c>
      <c r="M2071" s="68" t="s">
        <v>8912</v>
      </c>
      <c r="N2071" s="68" t="s">
        <v>6059</v>
      </c>
      <c r="O2071" s="202">
        <v>55200</v>
      </c>
      <c r="P2071" s="197" t="s">
        <v>5751</v>
      </c>
    </row>
    <row r="2072" spans="1:16" ht="18.75" hidden="1">
      <c r="A2072" s="50" t="str">
        <f>"15100-405082"</f>
        <v>15100-405082</v>
      </c>
      <c r="B2072" s="50" t="str">
        <f>"96/01/30"</f>
        <v>96/01/30</v>
      </c>
      <c r="C2072" s="50" t="s">
        <v>5075</v>
      </c>
      <c r="D2072" s="50" t="s">
        <v>5011</v>
      </c>
      <c r="E2072" s="12" t="s">
        <v>4971</v>
      </c>
      <c r="F2072" s="49">
        <v>50750</v>
      </c>
      <c r="G2072" s="67" t="s">
        <v>5631</v>
      </c>
      <c r="H2072" s="14" t="s">
        <v>5601</v>
      </c>
      <c r="I2072" s="14" t="s">
        <v>2458</v>
      </c>
      <c r="J2072" s="33" t="s">
        <v>7110</v>
      </c>
      <c r="K2072" s="33" t="s">
        <v>5077</v>
      </c>
      <c r="L2072" s="68" t="s">
        <v>6054</v>
      </c>
      <c r="M2072" s="68" t="s">
        <v>8912</v>
      </c>
      <c r="N2072" s="68" t="s">
        <v>6059</v>
      </c>
      <c r="O2072" s="202">
        <v>55200</v>
      </c>
      <c r="P2072" s="197" t="s">
        <v>5777</v>
      </c>
    </row>
    <row r="2073" spans="1:16" ht="18.75" hidden="1">
      <c r="A2073" s="50" t="str">
        <f>"15100-405082"</f>
        <v>15100-405082</v>
      </c>
      <c r="B2073" s="50" t="str">
        <f>"96/01/30"</f>
        <v>96/01/30</v>
      </c>
      <c r="C2073" s="50" t="s">
        <v>5060</v>
      </c>
      <c r="D2073" s="50" t="s">
        <v>5009</v>
      </c>
      <c r="E2073" s="12" t="s">
        <v>4971</v>
      </c>
      <c r="F2073" s="49">
        <v>75490</v>
      </c>
      <c r="G2073" s="67" t="s">
        <v>5611</v>
      </c>
      <c r="H2073" s="14" t="s">
        <v>5601</v>
      </c>
      <c r="I2073" s="14" t="s">
        <v>2458</v>
      </c>
      <c r="J2073" s="33" t="s">
        <v>7110</v>
      </c>
      <c r="K2073" s="33" t="s">
        <v>5077</v>
      </c>
      <c r="L2073" s="68" t="s">
        <v>6054</v>
      </c>
      <c r="M2073" s="68" t="s">
        <v>8912</v>
      </c>
      <c r="N2073" s="68" t="s">
        <v>6059</v>
      </c>
      <c r="O2073" s="202">
        <v>55200</v>
      </c>
      <c r="P2073" s="198" t="s">
        <v>5758</v>
      </c>
    </row>
    <row r="2074" spans="1:16" ht="18.75" hidden="1">
      <c r="A2074" s="50" t="str">
        <f>"15100-400889"</f>
        <v>15100-400889</v>
      </c>
      <c r="B2074" s="50" t="str">
        <f>"96/01/21"</f>
        <v>96/01/21</v>
      </c>
      <c r="C2074" s="50" t="s">
        <v>5072</v>
      </c>
      <c r="D2074" s="50" t="s">
        <v>4887</v>
      </c>
      <c r="E2074" s="12" t="s">
        <v>4971</v>
      </c>
      <c r="F2074" s="49">
        <v>70550</v>
      </c>
      <c r="G2074" s="67" t="s">
        <v>5611</v>
      </c>
      <c r="H2074" s="14" t="s">
        <v>5601</v>
      </c>
      <c r="I2074" s="14" t="s">
        <v>2458</v>
      </c>
      <c r="J2074" s="33" t="s">
        <v>7110</v>
      </c>
      <c r="K2074" s="33" t="s">
        <v>5077</v>
      </c>
      <c r="L2074" s="68" t="s">
        <v>6054</v>
      </c>
      <c r="M2074" s="68" t="s">
        <v>8912</v>
      </c>
      <c r="N2074" s="68" t="s">
        <v>6061</v>
      </c>
      <c r="O2074" s="202">
        <v>55301</v>
      </c>
      <c r="P2074" s="198" t="s">
        <v>5752</v>
      </c>
    </row>
    <row r="2075" spans="1:16" ht="18.75" hidden="1">
      <c r="A2075" s="50" t="str">
        <f>"15100-400865"</f>
        <v>15100-400865</v>
      </c>
      <c r="B2075" s="50" t="str">
        <f>"96/01/21"</f>
        <v>96/01/21</v>
      </c>
      <c r="C2075" s="50" t="s">
        <v>5061</v>
      </c>
      <c r="D2075" s="50" t="s">
        <v>5045</v>
      </c>
      <c r="E2075" s="12" t="s">
        <v>4971</v>
      </c>
      <c r="F2075" s="49">
        <v>44120</v>
      </c>
      <c r="G2075" s="67" t="s">
        <v>5611</v>
      </c>
      <c r="H2075" s="14" t="s">
        <v>5601</v>
      </c>
      <c r="I2075" s="14" t="s">
        <v>2458</v>
      </c>
      <c r="J2075" s="33" t="s">
        <v>7110</v>
      </c>
      <c r="K2075" s="33" t="s">
        <v>5077</v>
      </c>
      <c r="L2075" s="68" t="s">
        <v>6054</v>
      </c>
      <c r="M2075" s="68" t="s">
        <v>8913</v>
      </c>
      <c r="N2075" s="68" t="s">
        <v>6061</v>
      </c>
      <c r="O2075" s="202">
        <v>55301</v>
      </c>
      <c r="P2075" s="198" t="s">
        <v>5758</v>
      </c>
    </row>
    <row r="2076" spans="1:16" ht="18.75" hidden="1">
      <c r="A2076" s="50" t="str">
        <f>"15100-400248"</f>
        <v>15100-400248</v>
      </c>
      <c r="B2076" s="50" t="str">
        <f>"96/01/20"</f>
        <v>96/01/20</v>
      </c>
      <c r="C2076" s="50" t="s">
        <v>5076</v>
      </c>
      <c r="D2076" s="50" t="s">
        <v>5008</v>
      </c>
      <c r="E2076" s="12" t="s">
        <v>4971</v>
      </c>
      <c r="F2076" s="49">
        <v>116290</v>
      </c>
      <c r="G2076" s="67" t="s">
        <v>5631</v>
      </c>
      <c r="H2076" s="14" t="s">
        <v>5601</v>
      </c>
      <c r="I2076" s="14" t="s">
        <v>2458</v>
      </c>
      <c r="J2076" s="33" t="s">
        <v>7110</v>
      </c>
      <c r="K2076" s="33" t="s">
        <v>5077</v>
      </c>
      <c r="L2076" s="68" t="s">
        <v>6054</v>
      </c>
      <c r="M2076" s="68" t="s">
        <v>8912</v>
      </c>
      <c r="N2076" s="68" t="s">
        <v>6061</v>
      </c>
      <c r="O2076" s="202">
        <v>55301</v>
      </c>
      <c r="P2076" s="197" t="s">
        <v>5751</v>
      </c>
    </row>
    <row r="2077" spans="1:16" ht="18.75" hidden="1">
      <c r="A2077" s="50" t="str">
        <f>"15100-400272"</f>
        <v>15100-400272</v>
      </c>
      <c r="B2077" s="50" t="str">
        <f>"96/01/20"</f>
        <v>96/01/20</v>
      </c>
      <c r="C2077" s="50" t="s">
        <v>5052</v>
      </c>
      <c r="D2077" s="50" t="s">
        <v>4878</v>
      </c>
      <c r="E2077" s="12" t="s">
        <v>3420</v>
      </c>
      <c r="F2077" s="49">
        <v>272920</v>
      </c>
      <c r="G2077" s="67" t="s">
        <v>5765</v>
      </c>
      <c r="H2077" s="14" t="s">
        <v>5601</v>
      </c>
      <c r="I2077" s="14" t="s">
        <v>2458</v>
      </c>
      <c r="J2077" s="33" t="s">
        <v>7110</v>
      </c>
      <c r="K2077" s="33" t="s">
        <v>5077</v>
      </c>
      <c r="L2077" s="68" t="s">
        <v>6054</v>
      </c>
      <c r="M2077" s="68" t="s">
        <v>8912</v>
      </c>
      <c r="N2077" s="68" t="s">
        <v>6059</v>
      </c>
      <c r="O2077" s="202">
        <v>55200</v>
      </c>
      <c r="P2077" s="198" t="s">
        <v>5766</v>
      </c>
    </row>
    <row r="2078" spans="1:16" ht="18.75" hidden="1">
      <c r="A2078" s="50" t="str">
        <f>"15100-400706"</f>
        <v>15100-400706</v>
      </c>
      <c r="B2078" s="50" t="str">
        <f>"96/01/21"</f>
        <v>96/01/21</v>
      </c>
      <c r="C2078" s="50" t="s">
        <v>5052</v>
      </c>
      <c r="D2078" s="50" t="s">
        <v>4878</v>
      </c>
      <c r="E2078" s="12" t="s">
        <v>3420</v>
      </c>
      <c r="F2078" s="49">
        <v>49790</v>
      </c>
      <c r="G2078" s="67" t="s">
        <v>5765</v>
      </c>
      <c r="H2078" s="14" t="s">
        <v>5601</v>
      </c>
      <c r="I2078" s="14" t="s">
        <v>2458</v>
      </c>
      <c r="J2078" s="33" t="s">
        <v>7110</v>
      </c>
      <c r="K2078" s="33" t="s">
        <v>5077</v>
      </c>
      <c r="L2078" s="68" t="s">
        <v>6054</v>
      </c>
      <c r="M2078" s="68" t="s">
        <v>8912</v>
      </c>
      <c r="N2078" s="68" t="s">
        <v>6059</v>
      </c>
      <c r="O2078" s="202">
        <v>55200</v>
      </c>
      <c r="P2078" s="198" t="s">
        <v>5766</v>
      </c>
    </row>
    <row r="2079" spans="1:16" ht="18.75" hidden="1">
      <c r="A2079" s="50" t="s">
        <v>5090</v>
      </c>
      <c r="B2079" s="50" t="s">
        <v>5160</v>
      </c>
      <c r="C2079" s="50" t="s">
        <v>5172</v>
      </c>
      <c r="D2079" s="50" t="s">
        <v>5011</v>
      </c>
      <c r="E2079" s="12" t="s">
        <v>4971</v>
      </c>
      <c r="F2079" s="49">
        <v>250000</v>
      </c>
      <c r="G2079" s="67" t="s">
        <v>5631</v>
      </c>
      <c r="H2079" s="14" t="s">
        <v>5601</v>
      </c>
      <c r="I2079" s="14" t="s">
        <v>2458</v>
      </c>
      <c r="J2079" s="33" t="s">
        <v>7110</v>
      </c>
      <c r="K2079" s="33" t="s">
        <v>5231</v>
      </c>
      <c r="L2079" s="68" t="s">
        <v>8664</v>
      </c>
      <c r="M2079" s="68" t="s">
        <v>8912</v>
      </c>
      <c r="N2079" s="68" t="s">
        <v>8665</v>
      </c>
      <c r="O2079" s="202">
        <v>50101</v>
      </c>
      <c r="P2079" s="197" t="s">
        <v>5777</v>
      </c>
    </row>
    <row r="2080" spans="1:16" ht="18.75" hidden="1">
      <c r="A2080" s="50" t="s">
        <v>5090</v>
      </c>
      <c r="B2080" s="50" t="s">
        <v>5160</v>
      </c>
      <c r="C2080" s="50" t="s">
        <v>5173</v>
      </c>
      <c r="D2080" s="50" t="s">
        <v>5014</v>
      </c>
      <c r="E2080" s="12" t="s">
        <v>4971</v>
      </c>
      <c r="F2080" s="49">
        <v>199760</v>
      </c>
      <c r="G2080" s="67" t="s">
        <v>5611</v>
      </c>
      <c r="H2080" s="14" t="s">
        <v>5601</v>
      </c>
      <c r="I2080" s="14" t="s">
        <v>2458</v>
      </c>
      <c r="J2080" s="33" t="s">
        <v>7110</v>
      </c>
      <c r="K2080" s="33" t="s">
        <v>5231</v>
      </c>
      <c r="L2080" s="68" t="s">
        <v>8664</v>
      </c>
      <c r="M2080" s="68" t="s">
        <v>8912</v>
      </c>
      <c r="N2080" s="68" t="s">
        <v>8665</v>
      </c>
      <c r="O2080" s="202">
        <v>50101</v>
      </c>
      <c r="P2080" s="198" t="s">
        <v>5762</v>
      </c>
    </row>
    <row r="2081" spans="1:16" ht="18.75" hidden="1">
      <c r="A2081" s="50" t="s">
        <v>5090</v>
      </c>
      <c r="B2081" s="50" t="s">
        <v>5160</v>
      </c>
      <c r="C2081" s="50" t="s">
        <v>5174</v>
      </c>
      <c r="D2081" s="50" t="s">
        <v>5014</v>
      </c>
      <c r="E2081" s="12" t="s">
        <v>4971</v>
      </c>
      <c r="F2081" s="49">
        <v>50240</v>
      </c>
      <c r="G2081" s="67" t="s">
        <v>5611</v>
      </c>
      <c r="H2081" s="14" t="s">
        <v>5601</v>
      </c>
      <c r="I2081" s="14" t="s">
        <v>2458</v>
      </c>
      <c r="J2081" s="33" t="s">
        <v>7110</v>
      </c>
      <c r="K2081" s="33" t="s">
        <v>5231</v>
      </c>
      <c r="L2081" s="68" t="s">
        <v>8664</v>
      </c>
      <c r="M2081" s="68" t="s">
        <v>8912</v>
      </c>
      <c r="N2081" s="68" t="s">
        <v>8665</v>
      </c>
      <c r="O2081" s="202">
        <v>50101</v>
      </c>
      <c r="P2081" s="198" t="s">
        <v>5762</v>
      </c>
    </row>
    <row r="2082" spans="1:16" ht="18.75" hidden="1">
      <c r="A2082" s="50" t="s">
        <v>5091</v>
      </c>
      <c r="B2082" s="50" t="s">
        <v>5161</v>
      </c>
      <c r="C2082" s="50" t="s">
        <v>5039</v>
      </c>
      <c r="D2082" s="50" t="s">
        <v>4881</v>
      </c>
      <c r="E2082" s="12" t="s">
        <v>4971</v>
      </c>
      <c r="F2082" s="49">
        <v>989560</v>
      </c>
      <c r="G2082" s="67" t="s">
        <v>5616</v>
      </c>
      <c r="H2082" s="14" t="s">
        <v>5601</v>
      </c>
      <c r="I2082" s="14" t="s">
        <v>2458</v>
      </c>
      <c r="J2082" s="33" t="s">
        <v>7110</v>
      </c>
      <c r="K2082" s="33" t="s">
        <v>5231</v>
      </c>
      <c r="L2082" s="68" t="s">
        <v>8672</v>
      </c>
      <c r="M2082" s="68" t="s">
        <v>8912</v>
      </c>
      <c r="N2082" s="68" t="s">
        <v>8665</v>
      </c>
      <c r="O2082" s="202">
        <v>50101</v>
      </c>
      <c r="P2082" s="198" t="s">
        <v>5753</v>
      </c>
    </row>
    <row r="2083" spans="1:16" ht="18.75" hidden="1">
      <c r="A2083" s="50" t="s">
        <v>5092</v>
      </c>
      <c r="B2083" s="50" t="s">
        <v>5162</v>
      </c>
      <c r="C2083" s="50" t="s">
        <v>5175</v>
      </c>
      <c r="D2083" s="50" t="s">
        <v>5012</v>
      </c>
      <c r="E2083" s="12" t="s">
        <v>4971</v>
      </c>
      <c r="F2083" s="49">
        <v>995500</v>
      </c>
      <c r="G2083" s="67" t="s">
        <v>5652</v>
      </c>
      <c r="H2083" s="14" t="s">
        <v>5601</v>
      </c>
      <c r="I2083" s="14" t="s">
        <v>2458</v>
      </c>
      <c r="J2083" s="33" t="s">
        <v>7110</v>
      </c>
      <c r="K2083" s="33" t="s">
        <v>5231</v>
      </c>
      <c r="L2083" s="68" t="s">
        <v>6277</v>
      </c>
      <c r="M2083" s="68" t="s">
        <v>8912</v>
      </c>
      <c r="N2083" s="68" t="s">
        <v>8665</v>
      </c>
      <c r="O2083" s="202">
        <v>50101</v>
      </c>
      <c r="P2083" s="198" t="s">
        <v>5794</v>
      </c>
    </row>
    <row r="2084" spans="1:16" ht="18.75" hidden="1">
      <c r="A2084" s="50" t="s">
        <v>5093</v>
      </c>
      <c r="B2084" s="50" t="s">
        <v>5160</v>
      </c>
      <c r="C2084" s="50" t="s">
        <v>5022</v>
      </c>
      <c r="D2084" s="50" t="s">
        <v>4886</v>
      </c>
      <c r="E2084" s="12" t="s">
        <v>4971</v>
      </c>
      <c r="F2084" s="49">
        <v>378431</v>
      </c>
      <c r="G2084" s="67" t="s">
        <v>5611</v>
      </c>
      <c r="H2084" s="14" t="s">
        <v>5601</v>
      </c>
      <c r="I2084" s="14" t="s">
        <v>2458</v>
      </c>
      <c r="J2084" s="33" t="s">
        <v>7110</v>
      </c>
      <c r="K2084" s="33" t="s">
        <v>5231</v>
      </c>
      <c r="L2084" s="68" t="s">
        <v>8677</v>
      </c>
      <c r="M2084" s="68" t="s">
        <v>8912</v>
      </c>
      <c r="N2084" s="68" t="s">
        <v>8665</v>
      </c>
      <c r="O2084" s="202">
        <v>50101</v>
      </c>
      <c r="P2084" s="198" t="s">
        <v>5752</v>
      </c>
    </row>
    <row r="2085" spans="1:16" ht="18.75" hidden="1">
      <c r="A2085" s="50" t="s">
        <v>5093</v>
      </c>
      <c r="B2085" s="50" t="s">
        <v>5160</v>
      </c>
      <c r="C2085" s="50" t="s">
        <v>5176</v>
      </c>
      <c r="D2085" s="50" t="s">
        <v>5014</v>
      </c>
      <c r="E2085" s="12" t="s">
        <v>4971</v>
      </c>
      <c r="F2085" s="49">
        <v>250000</v>
      </c>
      <c r="G2085" s="67" t="s">
        <v>5611</v>
      </c>
      <c r="H2085" s="14" t="s">
        <v>5601</v>
      </c>
      <c r="I2085" s="14" t="s">
        <v>2458</v>
      </c>
      <c r="J2085" s="33" t="s">
        <v>7110</v>
      </c>
      <c r="K2085" s="33" t="s">
        <v>5231</v>
      </c>
      <c r="L2085" s="68" t="s">
        <v>8677</v>
      </c>
      <c r="M2085" s="68" t="s">
        <v>8912</v>
      </c>
      <c r="N2085" s="68" t="s">
        <v>8665</v>
      </c>
      <c r="O2085" s="202">
        <v>50101</v>
      </c>
      <c r="P2085" s="198" t="s">
        <v>5762</v>
      </c>
    </row>
    <row r="2086" spans="1:16" ht="18.75" hidden="1">
      <c r="A2086" s="50" t="s">
        <v>5093</v>
      </c>
      <c r="B2086" s="50" t="s">
        <v>5160</v>
      </c>
      <c r="C2086" s="50" t="s">
        <v>5177</v>
      </c>
      <c r="D2086" s="50" t="s">
        <v>5012</v>
      </c>
      <c r="E2086" s="12" t="s">
        <v>4971</v>
      </c>
      <c r="F2086" s="49">
        <v>499020</v>
      </c>
      <c r="G2086" s="67" t="s">
        <v>5611</v>
      </c>
      <c r="H2086" s="14" t="s">
        <v>5601</v>
      </c>
      <c r="I2086" s="14" t="s">
        <v>2458</v>
      </c>
      <c r="J2086" s="33" t="s">
        <v>7110</v>
      </c>
      <c r="K2086" s="33" t="s">
        <v>5231</v>
      </c>
      <c r="L2086" s="68" t="s">
        <v>8677</v>
      </c>
      <c r="M2086" s="68" t="s">
        <v>8912</v>
      </c>
      <c r="N2086" s="68" t="s">
        <v>8665</v>
      </c>
      <c r="O2086" s="202">
        <v>50101</v>
      </c>
      <c r="P2086" s="198" t="s">
        <v>5762</v>
      </c>
    </row>
    <row r="2087" spans="1:16" ht="18.75" hidden="1">
      <c r="A2087" s="50" t="s">
        <v>5093</v>
      </c>
      <c r="B2087" s="50" t="s">
        <v>5160</v>
      </c>
      <c r="C2087" s="50" t="s">
        <v>5178</v>
      </c>
      <c r="D2087" s="50" t="s">
        <v>5014</v>
      </c>
      <c r="E2087" s="12" t="s">
        <v>4971</v>
      </c>
      <c r="F2087" s="49">
        <v>372399</v>
      </c>
      <c r="G2087" s="67" t="s">
        <v>5611</v>
      </c>
      <c r="H2087" s="14" t="s">
        <v>5601</v>
      </c>
      <c r="I2087" s="14" t="s">
        <v>2458</v>
      </c>
      <c r="J2087" s="33" t="s">
        <v>7110</v>
      </c>
      <c r="K2087" s="33" t="s">
        <v>5231</v>
      </c>
      <c r="L2087" s="68" t="s">
        <v>8677</v>
      </c>
      <c r="M2087" s="68" t="s">
        <v>8912</v>
      </c>
      <c r="N2087" s="68" t="s">
        <v>8665</v>
      </c>
      <c r="O2087" s="202">
        <v>50101</v>
      </c>
      <c r="P2087" s="198" t="s">
        <v>5762</v>
      </c>
    </row>
    <row r="2088" spans="1:16" ht="18.75" hidden="1">
      <c r="A2088" s="50" t="s">
        <v>5094</v>
      </c>
      <c r="B2088" s="50" t="s">
        <v>5163</v>
      </c>
      <c r="C2088" s="50" t="s">
        <v>5179</v>
      </c>
      <c r="D2088" s="50" t="s">
        <v>5010</v>
      </c>
      <c r="E2088" s="12" t="s">
        <v>4971</v>
      </c>
      <c r="F2088" s="49">
        <v>390000</v>
      </c>
      <c r="G2088" s="67" t="s">
        <v>5611</v>
      </c>
      <c r="H2088" s="14" t="s">
        <v>5601</v>
      </c>
      <c r="I2088" s="14" t="s">
        <v>2458</v>
      </c>
      <c r="J2088" s="33" t="s">
        <v>7110</v>
      </c>
      <c r="K2088" s="33" t="s">
        <v>5231</v>
      </c>
      <c r="L2088" s="68" t="s">
        <v>8677</v>
      </c>
      <c r="M2088" s="68" t="s">
        <v>8912</v>
      </c>
      <c r="N2088" s="68" t="s">
        <v>8665</v>
      </c>
      <c r="O2088" s="202">
        <v>50101</v>
      </c>
      <c r="P2088" s="198" t="s">
        <v>5758</v>
      </c>
    </row>
    <row r="2089" spans="1:16" ht="18.75" hidden="1">
      <c r="A2089" s="50" t="s">
        <v>5094</v>
      </c>
      <c r="B2089" s="50" t="s">
        <v>5163</v>
      </c>
      <c r="C2089" s="50" t="s">
        <v>5180</v>
      </c>
      <c r="D2089" s="50" t="s">
        <v>5014</v>
      </c>
      <c r="E2089" s="12" t="s">
        <v>4971</v>
      </c>
      <c r="F2089" s="49">
        <v>235400</v>
      </c>
      <c r="G2089" s="67" t="s">
        <v>5611</v>
      </c>
      <c r="H2089" s="14" t="s">
        <v>5601</v>
      </c>
      <c r="I2089" s="14" t="s">
        <v>2458</v>
      </c>
      <c r="J2089" s="33" t="s">
        <v>7110</v>
      </c>
      <c r="K2089" s="33" t="s">
        <v>5231</v>
      </c>
      <c r="L2089" s="68" t="s">
        <v>8677</v>
      </c>
      <c r="M2089" s="68" t="s">
        <v>8912</v>
      </c>
      <c r="N2089" s="68" t="s">
        <v>8665</v>
      </c>
      <c r="O2089" s="202">
        <v>50101</v>
      </c>
      <c r="P2089" s="198" t="s">
        <v>5762</v>
      </c>
    </row>
    <row r="2090" spans="1:16" ht="18.75" hidden="1">
      <c r="A2090" s="50" t="s">
        <v>5094</v>
      </c>
      <c r="B2090" s="50" t="s">
        <v>5163</v>
      </c>
      <c r="C2090" s="50" t="s">
        <v>5178</v>
      </c>
      <c r="D2090" s="50" t="s">
        <v>5014</v>
      </c>
      <c r="E2090" s="12" t="s">
        <v>4971</v>
      </c>
      <c r="F2090" s="49">
        <v>69525</v>
      </c>
      <c r="G2090" s="67" t="s">
        <v>5611</v>
      </c>
      <c r="H2090" s="14" t="s">
        <v>5601</v>
      </c>
      <c r="I2090" s="14" t="s">
        <v>2458</v>
      </c>
      <c r="J2090" s="33" t="s">
        <v>7110</v>
      </c>
      <c r="K2090" s="33" t="s">
        <v>5231</v>
      </c>
      <c r="L2090" s="68" t="s">
        <v>8677</v>
      </c>
      <c r="M2090" s="68" t="s">
        <v>8912</v>
      </c>
      <c r="N2090" s="68" t="s">
        <v>8665</v>
      </c>
      <c r="O2090" s="202">
        <v>50101</v>
      </c>
      <c r="P2090" s="198" t="s">
        <v>5762</v>
      </c>
    </row>
    <row r="2091" spans="1:16" ht="18.75" hidden="1">
      <c r="A2091" s="50" t="s">
        <v>5095</v>
      </c>
      <c r="B2091" s="50" t="s">
        <v>5164</v>
      </c>
      <c r="C2091" s="50" t="s">
        <v>5181</v>
      </c>
      <c r="D2091" s="50" t="s">
        <v>5046</v>
      </c>
      <c r="E2091" s="12" t="s">
        <v>4971</v>
      </c>
      <c r="F2091" s="49">
        <v>492510</v>
      </c>
      <c r="G2091" s="67" t="s">
        <v>5779</v>
      </c>
      <c r="H2091" s="14" t="s">
        <v>5601</v>
      </c>
      <c r="I2091" s="14" t="s">
        <v>2458</v>
      </c>
      <c r="J2091" s="33" t="e">
        <f>VLOOKUP(C2091,شرکتها!A:B,2,FALSE)</f>
        <v>#N/A</v>
      </c>
      <c r="K2091" s="33" t="s">
        <v>5231</v>
      </c>
      <c r="L2091" s="68" t="s">
        <v>6277</v>
      </c>
      <c r="M2091" s="68" t="s">
        <v>8912</v>
      </c>
      <c r="N2091" s="68" t="s">
        <v>8665</v>
      </c>
      <c r="O2091" s="202">
        <v>50101</v>
      </c>
      <c r="P2091" s="198" t="s">
        <v>5780</v>
      </c>
    </row>
    <row r="2092" spans="1:16" ht="18.75" hidden="1">
      <c r="A2092" s="50" t="s">
        <v>5096</v>
      </c>
      <c r="B2092" s="50" t="s">
        <v>5165</v>
      </c>
      <c r="C2092" s="50" t="s">
        <v>5182</v>
      </c>
      <c r="D2092" s="50" t="s">
        <v>5160</v>
      </c>
      <c r="E2092" s="12" t="s">
        <v>4971</v>
      </c>
      <c r="F2092" s="49">
        <v>96800</v>
      </c>
      <c r="G2092" s="67" t="s">
        <v>5754</v>
      </c>
      <c r="H2092" s="14" t="s">
        <v>5602</v>
      </c>
      <c r="I2092" s="14" t="s">
        <v>2458</v>
      </c>
      <c r="J2092" s="33" t="s">
        <v>7110</v>
      </c>
      <c r="K2092" s="33" t="s">
        <v>5231</v>
      </c>
      <c r="L2092" s="68" t="s">
        <v>8679</v>
      </c>
      <c r="M2092" s="68" t="s">
        <v>8912</v>
      </c>
      <c r="N2092" s="68" t="s">
        <v>8665</v>
      </c>
      <c r="O2092" s="202">
        <v>50100</v>
      </c>
      <c r="P2092" s="198" t="s">
        <v>5778</v>
      </c>
    </row>
    <row r="2093" spans="1:16" ht="18.75" hidden="1">
      <c r="A2093" s="50" t="s">
        <v>5097</v>
      </c>
      <c r="B2093" s="50" t="s">
        <v>5166</v>
      </c>
      <c r="C2093" s="50" t="s">
        <v>5183</v>
      </c>
      <c r="D2093" s="50" t="s">
        <v>5164</v>
      </c>
      <c r="E2093" s="12" t="s">
        <v>4971</v>
      </c>
      <c r="F2093" s="49">
        <v>1959100</v>
      </c>
      <c r="G2093" s="67" t="s">
        <v>5611</v>
      </c>
      <c r="H2093" s="14" t="s">
        <v>5602</v>
      </c>
      <c r="I2093" s="14" t="s">
        <v>2458</v>
      </c>
      <c r="J2093" s="33" t="s">
        <v>7110</v>
      </c>
      <c r="K2093" s="33" t="s">
        <v>5231</v>
      </c>
      <c r="L2093" s="68" t="s">
        <v>8680</v>
      </c>
      <c r="M2093" s="68" t="s">
        <v>8912</v>
      </c>
      <c r="N2093" s="68" t="s">
        <v>8665</v>
      </c>
      <c r="O2093" s="202">
        <v>50100</v>
      </c>
      <c r="P2093" s="198" t="s">
        <v>5762</v>
      </c>
    </row>
    <row r="2094" spans="1:16" ht="18.75" hidden="1">
      <c r="A2094" s="50" t="s">
        <v>5098</v>
      </c>
      <c r="B2094" s="50" t="s">
        <v>5167</v>
      </c>
      <c r="C2094" s="50" t="s">
        <v>5037</v>
      </c>
      <c r="D2094" s="50" t="s">
        <v>5046</v>
      </c>
      <c r="E2094" s="12" t="s">
        <v>4971</v>
      </c>
      <c r="F2094" s="49">
        <v>137060</v>
      </c>
      <c r="G2094" s="67" t="s">
        <v>5616</v>
      </c>
      <c r="H2094" s="14" t="s">
        <v>5601</v>
      </c>
      <c r="I2094" s="14" t="s">
        <v>2458</v>
      </c>
      <c r="J2094" s="33" t="s">
        <v>7110</v>
      </c>
      <c r="K2094" s="33" t="s">
        <v>5231</v>
      </c>
      <c r="L2094" s="68" t="s">
        <v>8675</v>
      </c>
      <c r="M2094" s="68" t="s">
        <v>8912</v>
      </c>
      <c r="N2094" s="68" t="s">
        <v>8665</v>
      </c>
      <c r="O2094" s="202">
        <v>50101</v>
      </c>
      <c r="P2094" s="198" t="s">
        <v>5781</v>
      </c>
    </row>
    <row r="2095" spans="1:16" ht="18.75" hidden="1">
      <c r="A2095" s="50" t="s">
        <v>5099</v>
      </c>
      <c r="B2095" s="50" t="s">
        <v>5165</v>
      </c>
      <c r="C2095" s="50" t="s">
        <v>5184</v>
      </c>
      <c r="D2095" s="50" t="s">
        <v>5160</v>
      </c>
      <c r="E2095" s="12" t="s">
        <v>4971</v>
      </c>
      <c r="F2095" s="49">
        <v>491024</v>
      </c>
      <c r="G2095" s="67" t="s">
        <v>5631</v>
      </c>
      <c r="H2095" s="14" t="s">
        <v>5602</v>
      </c>
      <c r="I2095" s="14" t="s">
        <v>2458</v>
      </c>
      <c r="J2095" s="33" t="s">
        <v>7110</v>
      </c>
      <c r="K2095" s="33" t="s">
        <v>5231</v>
      </c>
      <c r="L2095" s="68" t="s">
        <v>6283</v>
      </c>
      <c r="M2095" s="68" t="s">
        <v>8912</v>
      </c>
      <c r="N2095" s="68" t="s">
        <v>8665</v>
      </c>
      <c r="O2095" s="202">
        <v>50100</v>
      </c>
      <c r="P2095" s="197" t="s">
        <v>5801</v>
      </c>
    </row>
    <row r="2096" spans="1:16" ht="18.75" hidden="1">
      <c r="A2096" s="50" t="s">
        <v>5100</v>
      </c>
      <c r="B2096" s="50" t="s">
        <v>5161</v>
      </c>
      <c r="C2096" s="50" t="s">
        <v>5185</v>
      </c>
      <c r="D2096" s="50" t="s">
        <v>5161</v>
      </c>
      <c r="E2096" s="12" t="s">
        <v>4971</v>
      </c>
      <c r="F2096" s="49">
        <v>962231</v>
      </c>
      <c r="G2096" s="67" t="s">
        <v>5779</v>
      </c>
      <c r="H2096" s="14" t="s">
        <v>5601</v>
      </c>
      <c r="I2096" s="14" t="s">
        <v>2458</v>
      </c>
      <c r="J2096" s="33" t="e">
        <f>VLOOKUP(C2096,شرکتها!A:B,2,FALSE)</f>
        <v>#N/A</v>
      </c>
      <c r="K2096" s="33" t="s">
        <v>5231</v>
      </c>
      <c r="L2096" s="68" t="s">
        <v>8670</v>
      </c>
      <c r="M2096" s="68" t="s">
        <v>8912</v>
      </c>
      <c r="N2096" s="68" t="s">
        <v>8665</v>
      </c>
      <c r="O2096" s="202">
        <v>50101</v>
      </c>
      <c r="P2096" s="198" t="s">
        <v>5797</v>
      </c>
    </row>
    <row r="2097" spans="1:16" ht="18.75" hidden="1">
      <c r="A2097" s="50" t="s">
        <v>5101</v>
      </c>
      <c r="B2097" s="50" t="s">
        <v>5161</v>
      </c>
      <c r="C2097" s="50" t="s">
        <v>5186</v>
      </c>
      <c r="D2097" s="50" t="s">
        <v>5011</v>
      </c>
      <c r="E2097" s="12" t="s">
        <v>4971</v>
      </c>
      <c r="F2097" s="49">
        <v>200000</v>
      </c>
      <c r="G2097" s="67" t="s">
        <v>5611</v>
      </c>
      <c r="H2097" s="14" t="s">
        <v>5601</v>
      </c>
      <c r="I2097" s="14" t="s">
        <v>2458</v>
      </c>
      <c r="J2097" s="33" t="s">
        <v>7110</v>
      </c>
      <c r="K2097" s="33" t="s">
        <v>5231</v>
      </c>
      <c r="L2097" s="68" t="s">
        <v>6277</v>
      </c>
      <c r="M2097" s="68" t="s">
        <v>8912</v>
      </c>
      <c r="N2097" s="68" t="s">
        <v>8665</v>
      </c>
      <c r="O2097" s="202">
        <v>50101</v>
      </c>
      <c r="P2097" s="198" t="s">
        <v>5758</v>
      </c>
    </row>
    <row r="2098" spans="1:16" ht="18.75" hidden="1">
      <c r="A2098" s="50" t="s">
        <v>5101</v>
      </c>
      <c r="B2098" s="50" t="s">
        <v>5161</v>
      </c>
      <c r="C2098" s="50" t="s">
        <v>5187</v>
      </c>
      <c r="D2098" s="50" t="s">
        <v>5008</v>
      </c>
      <c r="E2098" s="12" t="s">
        <v>4971</v>
      </c>
      <c r="F2098" s="49">
        <v>45850</v>
      </c>
      <c r="G2098" s="67" t="s">
        <v>5611</v>
      </c>
      <c r="H2098" s="14" t="s">
        <v>5601</v>
      </c>
      <c r="I2098" s="14" t="s">
        <v>2458</v>
      </c>
      <c r="J2098" s="33" t="s">
        <v>7110</v>
      </c>
      <c r="K2098" s="33" t="s">
        <v>5231</v>
      </c>
      <c r="L2098" s="68" t="s">
        <v>6277</v>
      </c>
      <c r="M2098" s="68" t="s">
        <v>8912</v>
      </c>
      <c r="N2098" s="68" t="s">
        <v>8665</v>
      </c>
      <c r="O2098" s="202">
        <v>50101</v>
      </c>
      <c r="P2098" s="198" t="s">
        <v>5752</v>
      </c>
    </row>
    <row r="2099" spans="1:16" ht="18.75" hidden="1">
      <c r="A2099" s="50" t="s">
        <v>5102</v>
      </c>
      <c r="B2099" s="50" t="s">
        <v>5161</v>
      </c>
      <c r="C2099" s="50" t="s">
        <v>5188</v>
      </c>
      <c r="D2099" s="50" t="s">
        <v>5046</v>
      </c>
      <c r="E2099" s="12" t="s">
        <v>4971</v>
      </c>
      <c r="F2099" s="49">
        <v>500000</v>
      </c>
      <c r="G2099" s="67" t="s">
        <v>5779</v>
      </c>
      <c r="H2099" s="14" t="s">
        <v>5601</v>
      </c>
      <c r="I2099" s="14" t="s">
        <v>2458</v>
      </c>
      <c r="J2099" s="33" t="e">
        <f>VLOOKUP(C2099,شرکتها!A:B,2,FALSE)</f>
        <v>#N/A</v>
      </c>
      <c r="K2099" s="33" t="s">
        <v>5231</v>
      </c>
      <c r="L2099" s="68" t="s">
        <v>6277</v>
      </c>
      <c r="M2099" s="68" t="s">
        <v>8912</v>
      </c>
      <c r="N2099" s="68" t="s">
        <v>8665</v>
      </c>
      <c r="O2099" s="202">
        <v>50101</v>
      </c>
      <c r="P2099" s="198" t="s">
        <v>5780</v>
      </c>
    </row>
    <row r="2100" spans="1:16" ht="18.75" hidden="1">
      <c r="A2100" s="50" t="s">
        <v>5103</v>
      </c>
      <c r="B2100" s="50" t="s">
        <v>5007</v>
      </c>
      <c r="C2100" s="50" t="s">
        <v>5029</v>
      </c>
      <c r="D2100" s="50" t="s">
        <v>5007</v>
      </c>
      <c r="E2100" s="12" t="s">
        <v>4971</v>
      </c>
      <c r="F2100" s="49">
        <v>1070469</v>
      </c>
      <c r="G2100" s="67" t="s">
        <v>5779</v>
      </c>
      <c r="H2100" s="14" t="s">
        <v>5601</v>
      </c>
      <c r="I2100" s="14" t="s">
        <v>2458</v>
      </c>
      <c r="J2100" s="33" t="e">
        <f>VLOOKUP(C2100,شرکتها!A:B,2,FALSE)</f>
        <v>#N/A</v>
      </c>
      <c r="K2100" s="33" t="s">
        <v>5231</v>
      </c>
      <c r="L2100" s="68" t="s">
        <v>8670</v>
      </c>
      <c r="M2100" s="68" t="s">
        <v>8913</v>
      </c>
      <c r="N2100" s="68" t="s">
        <v>8665</v>
      </c>
      <c r="O2100" s="202">
        <v>50101</v>
      </c>
      <c r="P2100" s="198" t="s">
        <v>5797</v>
      </c>
    </row>
    <row r="2101" spans="1:16" ht="18.75" hidden="1">
      <c r="A2101" s="50" t="s">
        <v>5104</v>
      </c>
      <c r="B2101" s="50" t="s">
        <v>5162</v>
      </c>
      <c r="C2101" s="50" t="s">
        <v>4945</v>
      </c>
      <c r="D2101" s="50" t="s">
        <v>4870</v>
      </c>
      <c r="E2101" s="12" t="s">
        <v>3420</v>
      </c>
      <c r="F2101" s="49">
        <v>12594</v>
      </c>
      <c r="G2101" s="67" t="s">
        <v>5616</v>
      </c>
      <c r="H2101" s="14" t="s">
        <v>5601</v>
      </c>
      <c r="I2101" s="14" t="s">
        <v>2458</v>
      </c>
      <c r="J2101" s="33" t="s">
        <v>7110</v>
      </c>
      <c r="K2101" s="33" t="s">
        <v>5231</v>
      </c>
      <c r="L2101" s="68" t="s">
        <v>6283</v>
      </c>
      <c r="M2101" s="68" t="s">
        <v>8912</v>
      </c>
      <c r="N2101" s="68" t="s">
        <v>8665</v>
      </c>
      <c r="O2101" s="202">
        <v>50101</v>
      </c>
      <c r="P2101" s="198" t="s">
        <v>5753</v>
      </c>
    </row>
    <row r="2102" spans="1:16" ht="18.75" hidden="1">
      <c r="A2102" s="50" t="s">
        <v>5104</v>
      </c>
      <c r="B2102" s="50" t="s">
        <v>5162</v>
      </c>
      <c r="C2102" s="50" t="s">
        <v>4941</v>
      </c>
      <c r="D2102" s="50" t="s">
        <v>4870</v>
      </c>
      <c r="E2102" s="12" t="s">
        <v>3420</v>
      </c>
      <c r="F2102" s="49">
        <v>23621</v>
      </c>
      <c r="G2102" s="67" t="s">
        <v>5616</v>
      </c>
      <c r="H2102" s="14" t="s">
        <v>5601</v>
      </c>
      <c r="I2102" s="14" t="s">
        <v>2458</v>
      </c>
      <c r="J2102" s="33" t="s">
        <v>7110</v>
      </c>
      <c r="K2102" s="33" t="s">
        <v>5231</v>
      </c>
      <c r="L2102" s="68" t="s">
        <v>6283</v>
      </c>
      <c r="M2102" s="68" t="s">
        <v>8912</v>
      </c>
      <c r="N2102" s="68" t="s">
        <v>8665</v>
      </c>
      <c r="O2102" s="202">
        <v>50101</v>
      </c>
      <c r="P2102" s="198" t="s">
        <v>5753</v>
      </c>
    </row>
    <row r="2103" spans="1:16" ht="18.75" hidden="1">
      <c r="A2103" s="50" t="s">
        <v>5104</v>
      </c>
      <c r="B2103" s="50" t="s">
        <v>5162</v>
      </c>
      <c r="C2103" s="50" t="s">
        <v>4912</v>
      </c>
      <c r="D2103" s="50" t="s">
        <v>4871</v>
      </c>
      <c r="E2103" s="12" t="s">
        <v>3420</v>
      </c>
      <c r="F2103" s="49">
        <v>23677</v>
      </c>
      <c r="G2103" s="67" t="s">
        <v>5616</v>
      </c>
      <c r="H2103" s="14" t="s">
        <v>5601</v>
      </c>
      <c r="I2103" s="14" t="s">
        <v>2458</v>
      </c>
      <c r="J2103" s="33" t="s">
        <v>7110</v>
      </c>
      <c r="K2103" s="33" t="s">
        <v>5231</v>
      </c>
      <c r="L2103" s="68" t="s">
        <v>6283</v>
      </c>
      <c r="M2103" s="68" t="s">
        <v>8912</v>
      </c>
      <c r="N2103" s="68" t="s">
        <v>8665</v>
      </c>
      <c r="O2103" s="202">
        <v>50101</v>
      </c>
      <c r="P2103" s="198" t="s">
        <v>5753</v>
      </c>
    </row>
    <row r="2104" spans="1:16" ht="18.75" hidden="1">
      <c r="A2104" s="50" t="s">
        <v>5104</v>
      </c>
      <c r="B2104" s="50" t="s">
        <v>5162</v>
      </c>
      <c r="C2104" s="50" t="s">
        <v>5017</v>
      </c>
      <c r="D2104" s="50" t="s">
        <v>5046</v>
      </c>
      <c r="E2104" s="12" t="s">
        <v>4971</v>
      </c>
      <c r="F2104" s="49">
        <v>873876</v>
      </c>
      <c r="G2104" s="67" t="s">
        <v>5616</v>
      </c>
      <c r="H2104" s="14" t="s">
        <v>5601</v>
      </c>
      <c r="I2104" s="14" t="s">
        <v>2458</v>
      </c>
      <c r="J2104" s="33" t="s">
        <v>7110</v>
      </c>
      <c r="K2104" s="33" t="s">
        <v>5231</v>
      </c>
      <c r="L2104" s="68" t="s">
        <v>6283</v>
      </c>
      <c r="M2104" s="68" t="s">
        <v>8912</v>
      </c>
      <c r="N2104" s="68" t="s">
        <v>8665</v>
      </c>
      <c r="O2104" s="202">
        <v>50101</v>
      </c>
      <c r="P2104" s="198" t="s">
        <v>5781</v>
      </c>
    </row>
    <row r="2105" spans="1:16" ht="18.75" hidden="1">
      <c r="A2105" s="50" t="s">
        <v>5104</v>
      </c>
      <c r="B2105" s="50" t="s">
        <v>5162</v>
      </c>
      <c r="C2105" s="50" t="s">
        <v>5037</v>
      </c>
      <c r="D2105" s="50" t="s">
        <v>5046</v>
      </c>
      <c r="E2105" s="12" t="s">
        <v>4971</v>
      </c>
      <c r="F2105" s="49">
        <v>6072</v>
      </c>
      <c r="G2105" s="67" t="s">
        <v>5616</v>
      </c>
      <c r="H2105" s="14" t="s">
        <v>5601</v>
      </c>
      <c r="I2105" s="14" t="s">
        <v>2458</v>
      </c>
      <c r="J2105" s="33" t="s">
        <v>7110</v>
      </c>
      <c r="K2105" s="33" t="s">
        <v>5231</v>
      </c>
      <c r="L2105" s="68" t="s">
        <v>6283</v>
      </c>
      <c r="M2105" s="68" t="s">
        <v>8912</v>
      </c>
      <c r="N2105" s="68" t="s">
        <v>8665</v>
      </c>
      <c r="O2105" s="202">
        <v>50101</v>
      </c>
      <c r="P2105" s="198" t="s">
        <v>5781</v>
      </c>
    </row>
    <row r="2106" spans="1:16" ht="18.75" hidden="1">
      <c r="A2106" s="50" t="s">
        <v>5105</v>
      </c>
      <c r="B2106" s="50" t="s">
        <v>5167</v>
      </c>
      <c r="C2106" s="50" t="s">
        <v>5026</v>
      </c>
      <c r="D2106" s="50" t="s">
        <v>5045</v>
      </c>
      <c r="E2106" s="12" t="s">
        <v>4971</v>
      </c>
      <c r="F2106" s="49">
        <v>98315</v>
      </c>
      <c r="G2106" s="67" t="s">
        <v>5611</v>
      </c>
      <c r="H2106" s="14" t="s">
        <v>5601</v>
      </c>
      <c r="I2106" s="14" t="s">
        <v>2458</v>
      </c>
      <c r="J2106" s="33" t="s">
        <v>7110</v>
      </c>
      <c r="K2106" s="33" t="s">
        <v>5231</v>
      </c>
      <c r="L2106" s="68" t="s">
        <v>6283</v>
      </c>
      <c r="M2106" s="68" t="s">
        <v>8912</v>
      </c>
      <c r="N2106" s="68" t="s">
        <v>8665</v>
      </c>
      <c r="O2106" s="202">
        <v>50101</v>
      </c>
      <c r="P2106" s="198" t="s">
        <v>5758</v>
      </c>
    </row>
    <row r="2107" spans="1:16" ht="18.75" hidden="1">
      <c r="A2107" s="50" t="s">
        <v>5106</v>
      </c>
      <c r="B2107" s="50" t="s">
        <v>5166</v>
      </c>
      <c r="C2107" s="50" t="s">
        <v>5042</v>
      </c>
      <c r="D2107" s="50" t="s">
        <v>5046</v>
      </c>
      <c r="E2107" s="12" t="s">
        <v>4971</v>
      </c>
      <c r="F2107" s="49">
        <v>5700</v>
      </c>
      <c r="G2107" s="67" t="s">
        <v>5754</v>
      </c>
      <c r="H2107" s="14" t="s">
        <v>5601</v>
      </c>
      <c r="I2107" s="14" t="s">
        <v>2458</v>
      </c>
      <c r="J2107" s="33" t="s">
        <v>7110</v>
      </c>
      <c r="K2107" s="33" t="s">
        <v>5231</v>
      </c>
      <c r="L2107" s="68" t="s">
        <v>6283</v>
      </c>
      <c r="M2107" s="68" t="s">
        <v>8912</v>
      </c>
      <c r="N2107" s="68" t="s">
        <v>8665</v>
      </c>
      <c r="O2107" s="202">
        <v>50101</v>
      </c>
      <c r="P2107" s="198" t="s">
        <v>5778</v>
      </c>
    </row>
    <row r="2108" spans="1:16" ht="18.75" hidden="1">
      <c r="A2108" s="50" t="s">
        <v>5106</v>
      </c>
      <c r="B2108" s="50" t="s">
        <v>5166</v>
      </c>
      <c r="C2108" s="50" t="s">
        <v>5189</v>
      </c>
      <c r="D2108" s="50" t="s">
        <v>5046</v>
      </c>
      <c r="E2108" s="12" t="s">
        <v>4971</v>
      </c>
      <c r="F2108" s="49">
        <v>483140</v>
      </c>
      <c r="G2108" s="67" t="s">
        <v>5754</v>
      </c>
      <c r="H2108" s="14" t="s">
        <v>5601</v>
      </c>
      <c r="I2108" s="14" t="s">
        <v>2458</v>
      </c>
      <c r="J2108" s="33" t="s">
        <v>7110</v>
      </c>
      <c r="K2108" s="33" t="s">
        <v>5231</v>
      </c>
      <c r="L2108" s="68" t="s">
        <v>6283</v>
      </c>
      <c r="M2108" s="68" t="s">
        <v>8912</v>
      </c>
      <c r="N2108" s="68" t="s">
        <v>8665</v>
      </c>
      <c r="O2108" s="202">
        <v>50101</v>
      </c>
      <c r="P2108" s="198" t="s">
        <v>5778</v>
      </c>
    </row>
    <row r="2109" spans="1:16" ht="18.75" hidden="1">
      <c r="A2109" s="50" t="s">
        <v>5107</v>
      </c>
      <c r="B2109" s="50" t="s">
        <v>5168</v>
      </c>
      <c r="C2109" s="50" t="s">
        <v>5190</v>
      </c>
      <c r="D2109" s="50" t="s">
        <v>5169</v>
      </c>
      <c r="E2109" s="12" t="s">
        <v>4971</v>
      </c>
      <c r="F2109" s="49">
        <v>600000</v>
      </c>
      <c r="G2109" s="67" t="s">
        <v>5631</v>
      </c>
      <c r="H2109" s="14" t="s">
        <v>5601</v>
      </c>
      <c r="I2109" s="14" t="s">
        <v>2458</v>
      </c>
      <c r="J2109" s="33" t="s">
        <v>7110</v>
      </c>
      <c r="K2109" s="33" t="s">
        <v>5231</v>
      </c>
      <c r="L2109" s="68" t="s">
        <v>6283</v>
      </c>
      <c r="M2109" s="68" t="s">
        <v>8912</v>
      </c>
      <c r="N2109" s="68" t="s">
        <v>8665</v>
      </c>
      <c r="O2109" s="202">
        <v>50101</v>
      </c>
      <c r="P2109" s="197" t="s">
        <v>5801</v>
      </c>
    </row>
    <row r="2110" spans="1:16" ht="18.75" hidden="1">
      <c r="A2110" s="50" t="s">
        <v>5107</v>
      </c>
      <c r="B2110" s="50" t="s">
        <v>5168</v>
      </c>
      <c r="C2110" s="50" t="s">
        <v>5191</v>
      </c>
      <c r="D2110" s="50" t="s">
        <v>5169</v>
      </c>
      <c r="E2110" s="12" t="s">
        <v>4971</v>
      </c>
      <c r="F2110" s="49">
        <v>390000</v>
      </c>
      <c r="G2110" s="67" t="s">
        <v>5631</v>
      </c>
      <c r="H2110" s="14" t="s">
        <v>5601</v>
      </c>
      <c r="I2110" s="14" t="s">
        <v>2458</v>
      </c>
      <c r="J2110" s="33" t="s">
        <v>7110</v>
      </c>
      <c r="K2110" s="33" t="s">
        <v>5231</v>
      </c>
      <c r="L2110" s="68" t="s">
        <v>6283</v>
      </c>
      <c r="M2110" s="68" t="s">
        <v>8912</v>
      </c>
      <c r="N2110" s="68" t="s">
        <v>8665</v>
      </c>
      <c r="O2110" s="202">
        <v>50101</v>
      </c>
      <c r="P2110" s="197" t="s">
        <v>5803</v>
      </c>
    </row>
    <row r="2111" spans="1:16" ht="18.75" hidden="1">
      <c r="A2111" s="50" t="s">
        <v>5108</v>
      </c>
      <c r="B2111" s="50" t="s">
        <v>5166</v>
      </c>
      <c r="C2111" s="50" t="s">
        <v>5020</v>
      </c>
      <c r="D2111" s="50" t="s">
        <v>5011</v>
      </c>
      <c r="E2111" s="12" t="s">
        <v>4971</v>
      </c>
      <c r="F2111" s="49">
        <v>990000</v>
      </c>
      <c r="G2111" s="67" t="s">
        <v>5652</v>
      </c>
      <c r="H2111" s="14" t="s">
        <v>5601</v>
      </c>
      <c r="I2111" s="14" t="s">
        <v>2458</v>
      </c>
      <c r="J2111" s="33" t="s">
        <v>7110</v>
      </c>
      <c r="K2111" s="33" t="s">
        <v>5231</v>
      </c>
      <c r="L2111" s="68" t="s">
        <v>6283</v>
      </c>
      <c r="M2111" s="68" t="s">
        <v>8912</v>
      </c>
      <c r="N2111" s="68" t="s">
        <v>8665</v>
      </c>
      <c r="O2111" s="202">
        <v>50101</v>
      </c>
      <c r="P2111" s="198" t="s">
        <v>5785</v>
      </c>
    </row>
    <row r="2112" spans="1:16" ht="18.75" hidden="1">
      <c r="A2112" s="50" t="s">
        <v>5109</v>
      </c>
      <c r="B2112" s="50" t="s">
        <v>5166</v>
      </c>
      <c r="C2112" s="50" t="s">
        <v>5192</v>
      </c>
      <c r="D2112" s="50" t="s">
        <v>5011</v>
      </c>
      <c r="E2112" s="12" t="s">
        <v>4971</v>
      </c>
      <c r="F2112" s="49">
        <v>313087</v>
      </c>
      <c r="G2112" s="67" t="s">
        <v>5631</v>
      </c>
      <c r="H2112" s="14" t="s">
        <v>5601</v>
      </c>
      <c r="I2112" s="14" t="s">
        <v>2458</v>
      </c>
      <c r="J2112" s="33" t="s">
        <v>7110</v>
      </c>
      <c r="K2112" s="33" t="s">
        <v>5231</v>
      </c>
      <c r="L2112" s="68" t="s">
        <v>6283</v>
      </c>
      <c r="M2112" s="68" t="s">
        <v>8912</v>
      </c>
      <c r="N2112" s="68" t="s">
        <v>8665</v>
      </c>
      <c r="O2112" s="202">
        <v>50101</v>
      </c>
      <c r="P2112" s="197" t="s">
        <v>5777</v>
      </c>
    </row>
    <row r="2113" spans="1:16" ht="18.75" hidden="1">
      <c r="A2113" s="50" t="s">
        <v>5110</v>
      </c>
      <c r="B2113" s="50" t="s">
        <v>5166</v>
      </c>
      <c r="C2113" s="50" t="s">
        <v>5193</v>
      </c>
      <c r="D2113" s="50" t="s">
        <v>5010</v>
      </c>
      <c r="E2113" s="12" t="s">
        <v>4971</v>
      </c>
      <c r="F2113" s="49">
        <v>676940</v>
      </c>
      <c r="G2113" s="67" t="s">
        <v>5652</v>
      </c>
      <c r="H2113" s="14" t="s">
        <v>5601</v>
      </c>
      <c r="I2113" s="14" t="s">
        <v>2458</v>
      </c>
      <c r="J2113" s="33" t="s">
        <v>7110</v>
      </c>
      <c r="K2113" s="33" t="s">
        <v>5231</v>
      </c>
      <c r="L2113" s="68" t="s">
        <v>6283</v>
      </c>
      <c r="M2113" s="68" t="s">
        <v>8912</v>
      </c>
      <c r="N2113" s="68" t="s">
        <v>8665</v>
      </c>
      <c r="O2113" s="202">
        <v>50101</v>
      </c>
      <c r="P2113" s="198" t="s">
        <v>5786</v>
      </c>
    </row>
    <row r="2114" spans="1:16" ht="18.75" hidden="1">
      <c r="A2114" s="50" t="s">
        <v>5111</v>
      </c>
      <c r="B2114" s="50" t="s">
        <v>5169</v>
      </c>
      <c r="C2114" s="50" t="s">
        <v>5194</v>
      </c>
      <c r="D2114" s="50" t="s">
        <v>5169</v>
      </c>
      <c r="E2114" s="12" t="s">
        <v>4971</v>
      </c>
      <c r="F2114" s="49">
        <v>2831224</v>
      </c>
      <c r="G2114" s="67" t="s">
        <v>5779</v>
      </c>
      <c r="H2114" s="14" t="s">
        <v>5601</v>
      </c>
      <c r="I2114" s="14" t="s">
        <v>2458</v>
      </c>
      <c r="J2114" s="33" t="e">
        <f>VLOOKUP(C2114,شرکتها!A:B,2,FALSE)</f>
        <v>#N/A</v>
      </c>
      <c r="K2114" s="33" t="s">
        <v>5231</v>
      </c>
      <c r="L2114" s="68" t="s">
        <v>6283</v>
      </c>
      <c r="M2114" s="68" t="s">
        <v>8913</v>
      </c>
      <c r="N2114" s="68" t="s">
        <v>8665</v>
      </c>
      <c r="O2114" s="202">
        <v>50101</v>
      </c>
      <c r="P2114" s="198" t="s">
        <v>5804</v>
      </c>
    </row>
    <row r="2115" spans="1:16" ht="18.75" hidden="1">
      <c r="A2115" s="50" t="s">
        <v>5112</v>
      </c>
      <c r="B2115" s="50" t="s">
        <v>5047</v>
      </c>
      <c r="C2115" s="50" t="s">
        <v>5189</v>
      </c>
      <c r="D2115" s="50" t="s">
        <v>5046</v>
      </c>
      <c r="E2115" s="12" t="s">
        <v>4971</v>
      </c>
      <c r="F2115" s="49">
        <v>489090</v>
      </c>
      <c r="G2115" s="67" t="s">
        <v>5754</v>
      </c>
      <c r="H2115" s="14" t="s">
        <v>5601</v>
      </c>
      <c r="I2115" s="14" t="s">
        <v>2458</v>
      </c>
      <c r="J2115" s="33" t="s">
        <v>7110</v>
      </c>
      <c r="K2115" s="33" t="s">
        <v>5231</v>
      </c>
      <c r="L2115" s="68" t="s">
        <v>6283</v>
      </c>
      <c r="M2115" s="68" t="s">
        <v>8912</v>
      </c>
      <c r="N2115" s="68" t="s">
        <v>8665</v>
      </c>
      <c r="O2115" s="202">
        <v>50101</v>
      </c>
      <c r="P2115" s="198" t="s">
        <v>5778</v>
      </c>
    </row>
    <row r="2116" spans="1:16" ht="18.75" hidden="1">
      <c r="A2116" s="50" t="s">
        <v>5113</v>
      </c>
      <c r="B2116" s="50" t="s">
        <v>5162</v>
      </c>
      <c r="C2116" s="50" t="s">
        <v>5195</v>
      </c>
      <c r="D2116" s="50" t="s">
        <v>5161</v>
      </c>
      <c r="E2116" s="12" t="s">
        <v>4971</v>
      </c>
      <c r="F2116" s="49">
        <v>989345</v>
      </c>
      <c r="G2116" s="67" t="s">
        <v>5779</v>
      </c>
      <c r="H2116" s="14" t="s">
        <v>5601</v>
      </c>
      <c r="I2116" s="14" t="s">
        <v>2458</v>
      </c>
      <c r="J2116" s="33" t="e">
        <f>VLOOKUP(C2116,شرکتها!A:B,2,FALSE)</f>
        <v>#N/A</v>
      </c>
      <c r="K2116" s="33" t="s">
        <v>5231</v>
      </c>
      <c r="L2116" s="68" t="s">
        <v>6284</v>
      </c>
      <c r="M2116" s="68" t="s">
        <v>8913</v>
      </c>
      <c r="N2116" s="68" t="s">
        <v>8665</v>
      </c>
      <c r="O2116" s="202">
        <v>50101</v>
      </c>
      <c r="P2116" s="198" t="s">
        <v>5797</v>
      </c>
    </row>
    <row r="2117" spans="1:16" ht="18.75" hidden="1">
      <c r="A2117" s="50" t="s">
        <v>5114</v>
      </c>
      <c r="B2117" s="50" t="s">
        <v>5007</v>
      </c>
      <c r="C2117" s="50" t="s">
        <v>5020</v>
      </c>
      <c r="D2117" s="50" t="s">
        <v>5011</v>
      </c>
      <c r="E2117" s="12" t="s">
        <v>4971</v>
      </c>
      <c r="F2117" s="49">
        <v>990000</v>
      </c>
      <c r="G2117" s="67" t="s">
        <v>5652</v>
      </c>
      <c r="H2117" s="14" t="s">
        <v>5601</v>
      </c>
      <c r="I2117" s="14" t="s">
        <v>2458</v>
      </c>
      <c r="J2117" s="33" t="s">
        <v>7110</v>
      </c>
      <c r="K2117" s="33" t="s">
        <v>5231</v>
      </c>
      <c r="L2117" s="68" t="s">
        <v>6283</v>
      </c>
      <c r="M2117" s="68" t="s">
        <v>8912</v>
      </c>
      <c r="N2117" s="68" t="s">
        <v>8665</v>
      </c>
      <c r="O2117" s="202">
        <v>50101</v>
      </c>
      <c r="P2117" s="198" t="s">
        <v>5785</v>
      </c>
    </row>
    <row r="2118" spans="1:16" ht="18.75" hidden="1">
      <c r="A2118" s="50" t="s">
        <v>5115</v>
      </c>
      <c r="B2118" s="50" t="s">
        <v>5169</v>
      </c>
      <c r="C2118" s="50" t="s">
        <v>5193</v>
      </c>
      <c r="D2118" s="50" t="s">
        <v>5010</v>
      </c>
      <c r="E2118" s="12" t="s">
        <v>4971</v>
      </c>
      <c r="F2118" s="49">
        <v>258830</v>
      </c>
      <c r="G2118" s="67" t="s">
        <v>5652</v>
      </c>
      <c r="H2118" s="14" t="s">
        <v>5601</v>
      </c>
      <c r="I2118" s="14" t="s">
        <v>2458</v>
      </c>
      <c r="J2118" s="33" t="s">
        <v>7110</v>
      </c>
      <c r="K2118" s="33" t="s">
        <v>5231</v>
      </c>
      <c r="L2118" s="68" t="s">
        <v>6283</v>
      </c>
      <c r="M2118" s="68" t="s">
        <v>8912</v>
      </c>
      <c r="N2118" s="68" t="s">
        <v>8665</v>
      </c>
      <c r="O2118" s="202">
        <v>50101</v>
      </c>
      <c r="P2118" s="198" t="s">
        <v>5786</v>
      </c>
    </row>
    <row r="2119" spans="1:16" ht="18.75" hidden="1">
      <c r="A2119" s="50" t="s">
        <v>5116</v>
      </c>
      <c r="B2119" s="50" t="s">
        <v>5169</v>
      </c>
      <c r="C2119" s="50" t="s">
        <v>5196</v>
      </c>
      <c r="D2119" s="50" t="s">
        <v>5160</v>
      </c>
      <c r="E2119" s="12" t="s">
        <v>4971</v>
      </c>
      <c r="F2119" s="49">
        <v>487971</v>
      </c>
      <c r="G2119" s="67" t="s">
        <v>5611</v>
      </c>
      <c r="H2119" s="14" t="s">
        <v>5602</v>
      </c>
      <c r="I2119" s="14" t="s">
        <v>2458</v>
      </c>
      <c r="J2119" s="33" t="s">
        <v>7110</v>
      </c>
      <c r="K2119" s="33" t="s">
        <v>5231</v>
      </c>
      <c r="L2119" s="68" t="s">
        <v>6283</v>
      </c>
      <c r="M2119" s="68" t="s">
        <v>8912</v>
      </c>
      <c r="N2119" s="68" t="s">
        <v>8665</v>
      </c>
      <c r="O2119" s="202">
        <v>50100</v>
      </c>
      <c r="P2119" s="198" t="s">
        <v>5762</v>
      </c>
    </row>
    <row r="2120" spans="1:16" ht="18.75" hidden="1">
      <c r="A2120" s="50" t="s">
        <v>5117</v>
      </c>
      <c r="B2120" s="50" t="s">
        <v>5165</v>
      </c>
      <c r="C2120" s="50" t="s">
        <v>5197</v>
      </c>
      <c r="D2120" s="50" t="s">
        <v>5010</v>
      </c>
      <c r="E2120" s="12" t="s">
        <v>4971</v>
      </c>
      <c r="F2120" s="49">
        <v>790313</v>
      </c>
      <c r="G2120" s="67" t="s">
        <v>5744</v>
      </c>
      <c r="H2120" s="14" t="s">
        <v>5601</v>
      </c>
      <c r="I2120" s="14" t="s">
        <v>2458</v>
      </c>
      <c r="J2120" s="33" t="s">
        <v>7110</v>
      </c>
      <c r="K2120" s="33" t="s">
        <v>5231</v>
      </c>
      <c r="L2120" s="68" t="s">
        <v>8676</v>
      </c>
      <c r="M2120" s="68" t="s">
        <v>8912</v>
      </c>
      <c r="N2120" s="68" t="s">
        <v>8665</v>
      </c>
      <c r="O2120" s="202">
        <v>50101</v>
      </c>
      <c r="P2120" s="198" t="s">
        <v>5792</v>
      </c>
    </row>
    <row r="2121" spans="1:16" ht="18.75" hidden="1">
      <c r="A2121" s="50" t="s">
        <v>5117</v>
      </c>
      <c r="B2121" s="50" t="s">
        <v>5165</v>
      </c>
      <c r="C2121" s="50" t="s">
        <v>5198</v>
      </c>
      <c r="D2121" s="50" t="s">
        <v>5047</v>
      </c>
      <c r="E2121" s="12" t="s">
        <v>4971</v>
      </c>
      <c r="F2121" s="49">
        <v>184089</v>
      </c>
      <c r="G2121" s="67" t="s">
        <v>5744</v>
      </c>
      <c r="H2121" s="14" t="s">
        <v>5601</v>
      </c>
      <c r="I2121" s="14" t="s">
        <v>2458</v>
      </c>
      <c r="J2121" s="33" t="s">
        <v>7110</v>
      </c>
      <c r="K2121" s="33" t="s">
        <v>5231</v>
      </c>
      <c r="L2121" s="68" t="s">
        <v>8676</v>
      </c>
      <c r="M2121" s="68" t="s">
        <v>8912</v>
      </c>
      <c r="N2121" s="68" t="s">
        <v>8665</v>
      </c>
      <c r="O2121" s="202">
        <v>50101</v>
      </c>
      <c r="P2121" s="198" t="s">
        <v>5792</v>
      </c>
    </row>
    <row r="2122" spans="1:16" ht="18.75" hidden="1">
      <c r="A2122" s="50" t="s">
        <v>5118</v>
      </c>
      <c r="B2122" s="50" t="s">
        <v>5170</v>
      </c>
      <c r="C2122" s="50" t="s">
        <v>5199</v>
      </c>
      <c r="D2122" s="50" t="s">
        <v>5161</v>
      </c>
      <c r="E2122" s="12" t="s">
        <v>4971</v>
      </c>
      <c r="F2122" s="49">
        <v>982261</v>
      </c>
      <c r="G2122" s="67" t="s">
        <v>5754</v>
      </c>
      <c r="H2122" s="14" t="s">
        <v>5602</v>
      </c>
      <c r="I2122" s="14" t="s">
        <v>2458</v>
      </c>
      <c r="J2122" s="33" t="s">
        <v>7110</v>
      </c>
      <c r="K2122" s="33" t="s">
        <v>5231</v>
      </c>
      <c r="L2122" s="68" t="s">
        <v>6283</v>
      </c>
      <c r="M2122" s="68" t="s">
        <v>8912</v>
      </c>
      <c r="N2122" s="68" t="s">
        <v>8665</v>
      </c>
      <c r="O2122" s="202">
        <v>50100</v>
      </c>
      <c r="P2122" s="198" t="s">
        <v>5798</v>
      </c>
    </row>
    <row r="2123" spans="1:16" ht="18.75" hidden="1">
      <c r="A2123" s="50" t="s">
        <v>5118</v>
      </c>
      <c r="B2123" s="50" t="s">
        <v>5170</v>
      </c>
      <c r="C2123" s="50" t="s">
        <v>5200</v>
      </c>
      <c r="D2123" s="50" t="s">
        <v>5171</v>
      </c>
      <c r="E2123" s="12" t="s">
        <v>4971</v>
      </c>
      <c r="F2123" s="49">
        <v>491142</v>
      </c>
      <c r="G2123" s="67" t="s">
        <v>5754</v>
      </c>
      <c r="H2123" s="14" t="s">
        <v>5602</v>
      </c>
      <c r="I2123" s="14" t="s">
        <v>2458</v>
      </c>
      <c r="J2123" s="33" t="s">
        <v>7110</v>
      </c>
      <c r="K2123" s="33" t="s">
        <v>5231</v>
      </c>
      <c r="L2123" s="68" t="s">
        <v>6283</v>
      </c>
      <c r="M2123" s="68" t="s">
        <v>8912</v>
      </c>
      <c r="N2123" s="68" t="s">
        <v>8665</v>
      </c>
      <c r="O2123" s="202">
        <v>50100</v>
      </c>
      <c r="P2123" s="198" t="s">
        <v>5798</v>
      </c>
    </row>
    <row r="2124" spans="1:16" ht="18.75" hidden="1">
      <c r="A2124" s="50" t="s">
        <v>5118</v>
      </c>
      <c r="B2124" s="50" t="s">
        <v>5170</v>
      </c>
      <c r="C2124" s="50" t="s">
        <v>5201</v>
      </c>
      <c r="D2124" s="50" t="s">
        <v>5230</v>
      </c>
      <c r="E2124" s="12" t="s">
        <v>4971</v>
      </c>
      <c r="F2124" s="49">
        <v>982261</v>
      </c>
      <c r="G2124" s="67" t="s">
        <v>5754</v>
      </c>
      <c r="H2124" s="14" t="s">
        <v>5602</v>
      </c>
      <c r="I2124" s="14" t="s">
        <v>2458</v>
      </c>
      <c r="J2124" s="33" t="s">
        <v>7110</v>
      </c>
      <c r="K2124" s="33" t="s">
        <v>5231</v>
      </c>
      <c r="L2124" s="68" t="s">
        <v>6283</v>
      </c>
      <c r="M2124" s="68" t="s">
        <v>8912</v>
      </c>
      <c r="N2124" s="68" t="s">
        <v>8665</v>
      </c>
      <c r="O2124" s="202">
        <v>50100</v>
      </c>
      <c r="P2124" s="198" t="s">
        <v>5798</v>
      </c>
    </row>
    <row r="2125" spans="1:16" ht="18.75" hidden="1">
      <c r="A2125" s="50" t="s">
        <v>5119</v>
      </c>
      <c r="B2125" s="50" t="s">
        <v>5162</v>
      </c>
      <c r="C2125" s="50" t="s">
        <v>5202</v>
      </c>
      <c r="D2125" s="50" t="s">
        <v>5011</v>
      </c>
      <c r="E2125" s="12" t="s">
        <v>4971</v>
      </c>
      <c r="F2125" s="49">
        <v>100000</v>
      </c>
      <c r="G2125" s="67" t="s">
        <v>5611</v>
      </c>
      <c r="H2125" s="14" t="s">
        <v>5601</v>
      </c>
      <c r="I2125" s="14" t="s">
        <v>2458</v>
      </c>
      <c r="J2125" s="33" t="s">
        <v>7110</v>
      </c>
      <c r="K2125" s="33" t="s">
        <v>5231</v>
      </c>
      <c r="L2125" s="68" t="s">
        <v>6283</v>
      </c>
      <c r="M2125" s="68" t="s">
        <v>8912</v>
      </c>
      <c r="N2125" s="68" t="s">
        <v>8665</v>
      </c>
      <c r="O2125" s="202">
        <v>50101</v>
      </c>
      <c r="P2125" s="198" t="s">
        <v>5758</v>
      </c>
    </row>
    <row r="2126" spans="1:16" ht="18.75" hidden="1">
      <c r="A2126" s="50" t="s">
        <v>5119</v>
      </c>
      <c r="B2126" s="50" t="s">
        <v>5162</v>
      </c>
      <c r="C2126" s="50" t="s">
        <v>5203</v>
      </c>
      <c r="D2126" s="50" t="s">
        <v>5011</v>
      </c>
      <c r="E2126" s="12" t="s">
        <v>4971</v>
      </c>
      <c r="F2126" s="49">
        <v>96970</v>
      </c>
      <c r="G2126" s="67" t="s">
        <v>5611</v>
      </c>
      <c r="H2126" s="14" t="s">
        <v>5601</v>
      </c>
      <c r="I2126" s="14" t="s">
        <v>2458</v>
      </c>
      <c r="J2126" s="33" t="s">
        <v>7110</v>
      </c>
      <c r="K2126" s="33" t="s">
        <v>5231</v>
      </c>
      <c r="L2126" s="68" t="s">
        <v>6283</v>
      </c>
      <c r="M2126" s="68" t="s">
        <v>8912</v>
      </c>
      <c r="N2126" s="68" t="s">
        <v>8665</v>
      </c>
      <c r="O2126" s="202">
        <v>50101</v>
      </c>
      <c r="P2126" s="198" t="s">
        <v>5758</v>
      </c>
    </row>
    <row r="2127" spans="1:16" ht="18.75" hidden="1">
      <c r="A2127" s="50" t="s">
        <v>5120</v>
      </c>
      <c r="B2127" s="50" t="s">
        <v>5168</v>
      </c>
      <c r="C2127" s="50" t="s">
        <v>5204</v>
      </c>
      <c r="D2127" s="50" t="s">
        <v>5011</v>
      </c>
      <c r="E2127" s="12" t="s">
        <v>4971</v>
      </c>
      <c r="F2127" s="49">
        <v>250000</v>
      </c>
      <c r="G2127" s="67" t="s">
        <v>5631</v>
      </c>
      <c r="H2127" s="14" t="s">
        <v>5601</v>
      </c>
      <c r="I2127" s="14" t="s">
        <v>2458</v>
      </c>
      <c r="J2127" s="33" t="s">
        <v>7110</v>
      </c>
      <c r="K2127" s="33" t="s">
        <v>5231</v>
      </c>
      <c r="L2127" s="68" t="s">
        <v>6283</v>
      </c>
      <c r="M2127" s="68" t="s">
        <v>8912</v>
      </c>
      <c r="N2127" s="68" t="s">
        <v>8665</v>
      </c>
      <c r="O2127" s="202">
        <v>50101</v>
      </c>
      <c r="P2127" s="197" t="s">
        <v>5777</v>
      </c>
    </row>
    <row r="2128" spans="1:16" ht="18.75" hidden="1">
      <c r="A2128" s="50" t="s">
        <v>5120</v>
      </c>
      <c r="B2128" s="50" t="s">
        <v>5168</v>
      </c>
      <c r="C2128" s="50" t="s">
        <v>5192</v>
      </c>
      <c r="D2128" s="50" t="s">
        <v>5011</v>
      </c>
      <c r="E2128" s="12" t="s">
        <v>4971</v>
      </c>
      <c r="F2128" s="49">
        <v>181302</v>
      </c>
      <c r="G2128" s="67" t="s">
        <v>5631</v>
      </c>
      <c r="H2128" s="14" t="s">
        <v>5601</v>
      </c>
      <c r="I2128" s="14" t="s">
        <v>2458</v>
      </c>
      <c r="J2128" s="33" t="s">
        <v>7110</v>
      </c>
      <c r="K2128" s="33" t="s">
        <v>5231</v>
      </c>
      <c r="L2128" s="68" t="s">
        <v>6283</v>
      </c>
      <c r="M2128" s="68" t="s">
        <v>8912</v>
      </c>
      <c r="N2128" s="68" t="s">
        <v>8665</v>
      </c>
      <c r="O2128" s="202">
        <v>50101</v>
      </c>
      <c r="P2128" s="197" t="s">
        <v>5777</v>
      </c>
    </row>
    <row r="2129" spans="1:16" ht="18.75" hidden="1">
      <c r="A2129" s="50" t="s">
        <v>5120</v>
      </c>
      <c r="B2129" s="50" t="s">
        <v>5168</v>
      </c>
      <c r="C2129" s="50" t="s">
        <v>5205</v>
      </c>
      <c r="D2129" s="50" t="s">
        <v>5010</v>
      </c>
      <c r="E2129" s="12" t="s">
        <v>4971</v>
      </c>
      <c r="F2129" s="49">
        <v>91613</v>
      </c>
      <c r="G2129" s="67" t="s">
        <v>5631</v>
      </c>
      <c r="H2129" s="14" t="s">
        <v>5601</v>
      </c>
      <c r="I2129" s="14" t="s">
        <v>2458</v>
      </c>
      <c r="J2129" s="33" t="s">
        <v>7110</v>
      </c>
      <c r="K2129" s="33" t="s">
        <v>5231</v>
      </c>
      <c r="L2129" s="68" t="s">
        <v>6283</v>
      </c>
      <c r="M2129" s="68" t="s">
        <v>8912</v>
      </c>
      <c r="N2129" s="68" t="s">
        <v>8665</v>
      </c>
      <c r="O2129" s="202">
        <v>50101</v>
      </c>
      <c r="P2129" s="197" t="s">
        <v>5789</v>
      </c>
    </row>
    <row r="2130" spans="1:16" ht="18.75" hidden="1">
      <c r="A2130" s="50" t="s">
        <v>5121</v>
      </c>
      <c r="B2130" s="50" t="s">
        <v>5167</v>
      </c>
      <c r="C2130" s="50" t="s">
        <v>5033</v>
      </c>
      <c r="D2130" s="50" t="s">
        <v>5046</v>
      </c>
      <c r="E2130" s="12" t="s">
        <v>4971</v>
      </c>
      <c r="F2130" s="49">
        <v>203409</v>
      </c>
      <c r="G2130" s="67" t="s">
        <v>5631</v>
      </c>
      <c r="H2130" s="14" t="s">
        <v>5601</v>
      </c>
      <c r="I2130" s="14" t="s">
        <v>2458</v>
      </c>
      <c r="J2130" s="33" t="s">
        <v>7110</v>
      </c>
      <c r="K2130" s="33" t="s">
        <v>5231</v>
      </c>
      <c r="L2130" s="68" t="s">
        <v>6283</v>
      </c>
      <c r="M2130" s="68" t="s">
        <v>8912</v>
      </c>
      <c r="N2130" s="68" t="s">
        <v>8665</v>
      </c>
      <c r="O2130" s="202">
        <v>50101</v>
      </c>
      <c r="P2130" s="197" t="s">
        <v>5777</v>
      </c>
    </row>
    <row r="2131" spans="1:16" ht="18.75" hidden="1">
      <c r="A2131" s="50" t="s">
        <v>5121</v>
      </c>
      <c r="B2131" s="50" t="s">
        <v>5167</v>
      </c>
      <c r="C2131" s="50" t="s">
        <v>5192</v>
      </c>
      <c r="D2131" s="50" t="s">
        <v>5011</v>
      </c>
      <c r="E2131" s="12" t="s">
        <v>4971</v>
      </c>
      <c r="F2131" s="49">
        <v>5611</v>
      </c>
      <c r="G2131" s="67" t="s">
        <v>5631</v>
      </c>
      <c r="H2131" s="14" t="s">
        <v>5601</v>
      </c>
      <c r="I2131" s="14" t="s">
        <v>2458</v>
      </c>
      <c r="J2131" s="33" t="s">
        <v>7110</v>
      </c>
      <c r="K2131" s="33" t="s">
        <v>5231</v>
      </c>
      <c r="L2131" s="68" t="s">
        <v>6283</v>
      </c>
      <c r="M2131" s="68" t="s">
        <v>8912</v>
      </c>
      <c r="N2131" s="68" t="s">
        <v>8665</v>
      </c>
      <c r="O2131" s="202">
        <v>50101</v>
      </c>
      <c r="P2131" s="197" t="s">
        <v>5777</v>
      </c>
    </row>
    <row r="2132" spans="1:16" ht="18.75" hidden="1">
      <c r="A2132" s="50" t="s">
        <v>5122</v>
      </c>
      <c r="B2132" s="50" t="s">
        <v>5166</v>
      </c>
      <c r="C2132" s="50" t="s">
        <v>5020</v>
      </c>
      <c r="D2132" s="50" t="s">
        <v>5011</v>
      </c>
      <c r="E2132" s="12" t="s">
        <v>4971</v>
      </c>
      <c r="F2132" s="49">
        <v>85672</v>
      </c>
      <c r="G2132" s="67" t="s">
        <v>5652</v>
      </c>
      <c r="H2132" s="14" t="s">
        <v>5601</v>
      </c>
      <c r="I2132" s="14" t="s">
        <v>2458</v>
      </c>
      <c r="J2132" s="33" t="s">
        <v>7110</v>
      </c>
      <c r="K2132" s="33" t="s">
        <v>5231</v>
      </c>
      <c r="L2132" s="68" t="s">
        <v>6283</v>
      </c>
      <c r="M2132" s="68" t="s">
        <v>8912</v>
      </c>
      <c r="N2132" s="68" t="s">
        <v>8665</v>
      </c>
      <c r="O2132" s="202">
        <v>50101</v>
      </c>
      <c r="P2132" s="198" t="s">
        <v>5785</v>
      </c>
    </row>
    <row r="2133" spans="1:16" ht="18.75" hidden="1">
      <c r="A2133" s="50" t="s">
        <v>5122</v>
      </c>
      <c r="B2133" s="50" t="s">
        <v>5166</v>
      </c>
      <c r="C2133" s="50" t="s">
        <v>5193</v>
      </c>
      <c r="D2133" s="50" t="s">
        <v>5010</v>
      </c>
      <c r="E2133" s="12" t="s">
        <v>4971</v>
      </c>
      <c r="F2133" s="49">
        <v>904328</v>
      </c>
      <c r="G2133" s="67" t="s">
        <v>5652</v>
      </c>
      <c r="H2133" s="14" t="s">
        <v>5601</v>
      </c>
      <c r="I2133" s="14" t="s">
        <v>2458</v>
      </c>
      <c r="J2133" s="33" t="s">
        <v>7110</v>
      </c>
      <c r="K2133" s="33" t="s">
        <v>5231</v>
      </c>
      <c r="L2133" s="68" t="s">
        <v>6283</v>
      </c>
      <c r="M2133" s="68" t="s">
        <v>8912</v>
      </c>
      <c r="N2133" s="68" t="s">
        <v>8665</v>
      </c>
      <c r="O2133" s="202">
        <v>50101</v>
      </c>
      <c r="P2133" s="198" t="s">
        <v>5786</v>
      </c>
    </row>
    <row r="2134" spans="1:16" ht="18.75" hidden="1">
      <c r="A2134" s="50" t="s">
        <v>5123</v>
      </c>
      <c r="B2134" s="50" t="s">
        <v>5169</v>
      </c>
      <c r="C2134" s="50" t="s">
        <v>5206</v>
      </c>
      <c r="D2134" s="50" t="s">
        <v>5010</v>
      </c>
      <c r="E2134" s="12" t="s">
        <v>4971</v>
      </c>
      <c r="F2134" s="49">
        <v>95030</v>
      </c>
      <c r="G2134" s="67" t="s">
        <v>5790</v>
      </c>
      <c r="H2134" s="14" t="s">
        <v>5601</v>
      </c>
      <c r="I2134" s="14" t="s">
        <v>2458</v>
      </c>
      <c r="J2134" s="33" t="s">
        <v>7110</v>
      </c>
      <c r="K2134" s="33" t="s">
        <v>5231</v>
      </c>
      <c r="L2134" s="68" t="s">
        <v>6283</v>
      </c>
      <c r="M2134" s="68" t="s">
        <v>8912</v>
      </c>
      <c r="N2134" s="68" t="s">
        <v>8665</v>
      </c>
      <c r="O2134" s="202">
        <v>50101</v>
      </c>
      <c r="P2134" s="198" t="s">
        <v>5791</v>
      </c>
    </row>
    <row r="2135" spans="1:16" ht="18.75" hidden="1">
      <c r="A2135" s="50" t="s">
        <v>5124</v>
      </c>
      <c r="B2135" s="50" t="s">
        <v>5160</v>
      </c>
      <c r="C2135" s="50" t="s">
        <v>5207</v>
      </c>
      <c r="D2135" s="50" t="s">
        <v>5169</v>
      </c>
      <c r="E2135" s="12" t="s">
        <v>4971</v>
      </c>
      <c r="F2135" s="49">
        <v>44060</v>
      </c>
      <c r="G2135" s="67" t="s">
        <v>5611</v>
      </c>
      <c r="H2135" s="14" t="s">
        <v>5601</v>
      </c>
      <c r="I2135" s="14" t="s">
        <v>2458</v>
      </c>
      <c r="J2135" s="33" t="s">
        <v>7110</v>
      </c>
      <c r="K2135" s="33" t="s">
        <v>5231</v>
      </c>
      <c r="L2135" s="68" t="s">
        <v>8663</v>
      </c>
      <c r="M2135" s="68" t="s">
        <v>8913</v>
      </c>
      <c r="N2135" s="68" t="s">
        <v>6058</v>
      </c>
      <c r="O2135" s="68">
        <v>60400</v>
      </c>
      <c r="P2135" s="198" t="s">
        <v>5762</v>
      </c>
    </row>
    <row r="2136" spans="1:16" ht="18.75" hidden="1">
      <c r="A2136" s="50" t="s">
        <v>5124</v>
      </c>
      <c r="B2136" s="50" t="s">
        <v>5160</v>
      </c>
      <c r="C2136" s="50" t="s">
        <v>5071</v>
      </c>
      <c r="D2136" s="50" t="s">
        <v>5011</v>
      </c>
      <c r="E2136" s="12" t="s">
        <v>4971</v>
      </c>
      <c r="F2136" s="49">
        <v>28040</v>
      </c>
      <c r="G2136" s="67" t="s">
        <v>5611</v>
      </c>
      <c r="H2136" s="14" t="s">
        <v>5601</v>
      </c>
      <c r="I2136" s="14" t="s">
        <v>2458</v>
      </c>
      <c r="J2136" s="33" t="s">
        <v>7110</v>
      </c>
      <c r="K2136" s="33" t="s">
        <v>5231</v>
      </c>
      <c r="L2136" s="68" t="s">
        <v>8663</v>
      </c>
      <c r="M2136" s="68" t="s">
        <v>8913</v>
      </c>
      <c r="N2136" s="68" t="s">
        <v>6058</v>
      </c>
      <c r="O2136" s="68">
        <v>60400</v>
      </c>
      <c r="P2136" s="198" t="s">
        <v>5758</v>
      </c>
    </row>
    <row r="2137" spans="1:16" ht="18.75" hidden="1">
      <c r="A2137" s="50" t="s">
        <v>5125</v>
      </c>
      <c r="B2137" s="50" t="s">
        <v>5163</v>
      </c>
      <c r="C2137" s="50" t="s">
        <v>5208</v>
      </c>
      <c r="D2137" s="50" t="s">
        <v>5165</v>
      </c>
      <c r="E2137" s="12" t="s">
        <v>4971</v>
      </c>
      <c r="F2137" s="49">
        <v>48280</v>
      </c>
      <c r="G2137" s="67" t="s">
        <v>5611</v>
      </c>
      <c r="H2137" s="14" t="s">
        <v>5601</v>
      </c>
      <c r="I2137" s="14" t="s">
        <v>2458</v>
      </c>
      <c r="J2137" s="33" t="s">
        <v>7110</v>
      </c>
      <c r="K2137" s="33" t="s">
        <v>5231</v>
      </c>
      <c r="L2137" s="68" t="s">
        <v>8663</v>
      </c>
      <c r="M2137" s="68" t="s">
        <v>8913</v>
      </c>
      <c r="N2137" s="68" t="s">
        <v>6058</v>
      </c>
      <c r="O2137" s="68">
        <v>60400</v>
      </c>
      <c r="P2137" s="198" t="s">
        <v>5762</v>
      </c>
    </row>
    <row r="2138" spans="1:16" ht="18.75" hidden="1">
      <c r="A2138" s="50" t="s">
        <v>5125</v>
      </c>
      <c r="B2138" s="50" t="s">
        <v>5163</v>
      </c>
      <c r="C2138" s="50" t="s">
        <v>5209</v>
      </c>
      <c r="D2138" s="50" t="s">
        <v>5047</v>
      </c>
      <c r="E2138" s="12" t="s">
        <v>4971</v>
      </c>
      <c r="F2138" s="49">
        <v>71580</v>
      </c>
      <c r="G2138" s="67" t="s">
        <v>5611</v>
      </c>
      <c r="H2138" s="14" t="s">
        <v>5601</v>
      </c>
      <c r="I2138" s="14" t="s">
        <v>2458</v>
      </c>
      <c r="J2138" s="33" t="s">
        <v>7110</v>
      </c>
      <c r="K2138" s="33" t="s">
        <v>5231</v>
      </c>
      <c r="L2138" s="68" t="s">
        <v>8663</v>
      </c>
      <c r="M2138" s="68" t="s">
        <v>8913</v>
      </c>
      <c r="N2138" s="68" t="s">
        <v>6058</v>
      </c>
      <c r="O2138" s="68">
        <v>60400</v>
      </c>
      <c r="P2138" s="198" t="s">
        <v>5762</v>
      </c>
    </row>
    <row r="2139" spans="1:16" ht="18.75" hidden="1">
      <c r="A2139" s="50" t="s">
        <v>5126</v>
      </c>
      <c r="B2139" s="50" t="s">
        <v>5165</v>
      </c>
      <c r="C2139" s="50" t="s">
        <v>5207</v>
      </c>
      <c r="D2139" s="50" t="s">
        <v>5169</v>
      </c>
      <c r="E2139" s="12" t="s">
        <v>4971</v>
      </c>
      <c r="F2139" s="49">
        <v>141120</v>
      </c>
      <c r="G2139" s="67" t="s">
        <v>5611</v>
      </c>
      <c r="H2139" s="14" t="s">
        <v>5601</v>
      </c>
      <c r="I2139" s="14" t="s">
        <v>2458</v>
      </c>
      <c r="J2139" s="33" t="s">
        <v>7110</v>
      </c>
      <c r="K2139" s="33" t="s">
        <v>5231</v>
      </c>
      <c r="L2139" s="68" t="s">
        <v>8663</v>
      </c>
      <c r="M2139" s="68" t="s">
        <v>8913</v>
      </c>
      <c r="N2139" s="68" t="s">
        <v>6058</v>
      </c>
      <c r="O2139" s="68">
        <v>60400</v>
      </c>
      <c r="P2139" s="198" t="s">
        <v>5762</v>
      </c>
    </row>
    <row r="2140" spans="1:16" ht="18.75" hidden="1">
      <c r="A2140" s="50" t="s">
        <v>5127</v>
      </c>
      <c r="B2140" s="50" t="s">
        <v>5162</v>
      </c>
      <c r="C2140" s="50" t="s">
        <v>5065</v>
      </c>
      <c r="D2140" s="50" t="s">
        <v>5046</v>
      </c>
      <c r="E2140" s="12" t="s">
        <v>4971</v>
      </c>
      <c r="F2140" s="49">
        <v>13050</v>
      </c>
      <c r="G2140" s="67" t="s">
        <v>5611</v>
      </c>
      <c r="H2140" s="14" t="s">
        <v>5601</v>
      </c>
      <c r="I2140" s="14" t="s">
        <v>2458</v>
      </c>
      <c r="J2140" s="33" t="s">
        <v>7110</v>
      </c>
      <c r="K2140" s="33" t="s">
        <v>5231</v>
      </c>
      <c r="L2140" s="68" t="s">
        <v>6054</v>
      </c>
      <c r="M2140" s="68" t="s">
        <v>8912</v>
      </c>
      <c r="N2140" s="68" t="s">
        <v>6060</v>
      </c>
      <c r="O2140" s="202">
        <v>55107</v>
      </c>
      <c r="P2140" s="198" t="s">
        <v>5758</v>
      </c>
    </row>
    <row r="2141" spans="1:16" ht="18.75" hidden="1">
      <c r="A2141" s="50" t="s">
        <v>5128</v>
      </c>
      <c r="B2141" s="50" t="s">
        <v>5165</v>
      </c>
      <c r="C2141" s="50" t="s">
        <v>5210</v>
      </c>
      <c r="D2141" s="50" t="s">
        <v>5047</v>
      </c>
      <c r="E2141" s="12" t="s">
        <v>4971</v>
      </c>
      <c r="F2141" s="49">
        <v>118440</v>
      </c>
      <c r="G2141" s="67" t="s">
        <v>5631</v>
      </c>
      <c r="H2141" s="14" t="s">
        <v>5601</v>
      </c>
      <c r="I2141" s="14" t="s">
        <v>2458</v>
      </c>
      <c r="J2141" s="33" t="s">
        <v>7110</v>
      </c>
      <c r="K2141" s="33" t="s">
        <v>5231</v>
      </c>
      <c r="L2141" s="68" t="s">
        <v>6054</v>
      </c>
      <c r="M2141" s="68" t="s">
        <v>8912</v>
      </c>
      <c r="N2141" s="68" t="s">
        <v>6061</v>
      </c>
      <c r="O2141" s="202">
        <v>55301</v>
      </c>
      <c r="P2141" s="197" t="s">
        <v>5801</v>
      </c>
    </row>
    <row r="2142" spans="1:16" ht="18.75" hidden="1">
      <c r="A2142" s="50" t="s">
        <v>5129</v>
      </c>
      <c r="B2142" s="50" t="s">
        <v>5161</v>
      </c>
      <c r="C2142" s="50" t="s">
        <v>5075</v>
      </c>
      <c r="D2142" s="50" t="s">
        <v>5011</v>
      </c>
      <c r="E2142" s="12" t="s">
        <v>4971</v>
      </c>
      <c r="F2142" s="49">
        <v>68410</v>
      </c>
      <c r="G2142" s="67" t="s">
        <v>5631</v>
      </c>
      <c r="H2142" s="14" t="s">
        <v>5601</v>
      </c>
      <c r="I2142" s="14" t="s">
        <v>2458</v>
      </c>
      <c r="J2142" s="33" t="s">
        <v>7110</v>
      </c>
      <c r="K2142" s="33" t="s">
        <v>5231</v>
      </c>
      <c r="L2142" s="68" t="s">
        <v>6054</v>
      </c>
      <c r="M2142" s="68" t="s">
        <v>8912</v>
      </c>
      <c r="N2142" s="68" t="s">
        <v>6060</v>
      </c>
      <c r="O2142" s="202">
        <v>55107</v>
      </c>
      <c r="P2142" s="197" t="s">
        <v>5777</v>
      </c>
    </row>
    <row r="2143" spans="1:16" ht="18.75" hidden="1">
      <c r="A2143" s="50" t="s">
        <v>5127</v>
      </c>
      <c r="B2143" s="50" t="s">
        <v>5162</v>
      </c>
      <c r="C2143" s="50" t="s">
        <v>5075</v>
      </c>
      <c r="D2143" s="50" t="s">
        <v>5011</v>
      </c>
      <c r="E2143" s="12" t="s">
        <v>4971</v>
      </c>
      <c r="F2143" s="49">
        <v>27160</v>
      </c>
      <c r="G2143" s="67" t="s">
        <v>5631</v>
      </c>
      <c r="H2143" s="14" t="s">
        <v>5601</v>
      </c>
      <c r="I2143" s="14" t="s">
        <v>2458</v>
      </c>
      <c r="J2143" s="33" t="s">
        <v>7110</v>
      </c>
      <c r="K2143" s="33" t="s">
        <v>5231</v>
      </c>
      <c r="L2143" s="68" t="s">
        <v>6054</v>
      </c>
      <c r="M2143" s="68" t="s">
        <v>8912</v>
      </c>
      <c r="N2143" s="68" t="s">
        <v>6060</v>
      </c>
      <c r="O2143" s="202">
        <v>55107</v>
      </c>
      <c r="P2143" s="197" t="s">
        <v>5777</v>
      </c>
    </row>
    <row r="2144" spans="1:16" ht="18.75" hidden="1">
      <c r="A2144" s="50" t="s">
        <v>5127</v>
      </c>
      <c r="B2144" s="50" t="s">
        <v>5162</v>
      </c>
      <c r="C2144" s="50" t="s">
        <v>5071</v>
      </c>
      <c r="D2144" s="50" t="s">
        <v>5011</v>
      </c>
      <c r="E2144" s="12" t="s">
        <v>4971</v>
      </c>
      <c r="F2144" s="49">
        <v>31000</v>
      </c>
      <c r="G2144" s="67" t="s">
        <v>5611</v>
      </c>
      <c r="H2144" s="14" t="s">
        <v>5601</v>
      </c>
      <c r="I2144" s="14" t="s">
        <v>2458</v>
      </c>
      <c r="J2144" s="33" t="s">
        <v>7110</v>
      </c>
      <c r="K2144" s="33" t="s">
        <v>5231</v>
      </c>
      <c r="L2144" s="68" t="s">
        <v>6054</v>
      </c>
      <c r="M2144" s="68" t="s">
        <v>8912</v>
      </c>
      <c r="N2144" s="68" t="s">
        <v>6060</v>
      </c>
      <c r="O2144" s="202">
        <v>55107</v>
      </c>
      <c r="P2144" s="198" t="s">
        <v>5758</v>
      </c>
    </row>
    <row r="2145" spans="1:16" ht="18.75" hidden="1">
      <c r="A2145" s="50" t="s">
        <v>5130</v>
      </c>
      <c r="B2145" s="50" t="s">
        <v>5161</v>
      </c>
      <c r="C2145" s="50" t="s">
        <v>5211</v>
      </c>
      <c r="D2145" s="50" t="s">
        <v>5046</v>
      </c>
      <c r="E2145" s="12" t="s">
        <v>4971</v>
      </c>
      <c r="F2145" s="49">
        <v>24460</v>
      </c>
      <c r="G2145" s="67" t="s">
        <v>5631</v>
      </c>
      <c r="H2145" s="14" t="s">
        <v>5601</v>
      </c>
      <c r="I2145" s="14" t="s">
        <v>2458</v>
      </c>
      <c r="J2145" s="33" t="s">
        <v>7110</v>
      </c>
      <c r="K2145" s="33" t="s">
        <v>5231</v>
      </c>
      <c r="L2145" s="68" t="s">
        <v>6054</v>
      </c>
      <c r="M2145" s="68" t="s">
        <v>8912</v>
      </c>
      <c r="N2145" s="68" t="s">
        <v>6059</v>
      </c>
      <c r="O2145" s="202">
        <v>55200</v>
      </c>
      <c r="P2145" s="197" t="s">
        <v>5777</v>
      </c>
    </row>
    <row r="2146" spans="1:16" ht="18.75" hidden="1">
      <c r="A2146" s="50" t="s">
        <v>5131</v>
      </c>
      <c r="B2146" s="50" t="s">
        <v>5162</v>
      </c>
      <c r="C2146" s="50" t="s">
        <v>5211</v>
      </c>
      <c r="D2146" s="50" t="s">
        <v>5046</v>
      </c>
      <c r="E2146" s="12" t="s">
        <v>4971</v>
      </c>
      <c r="F2146" s="49">
        <v>76950</v>
      </c>
      <c r="G2146" s="67" t="s">
        <v>5631</v>
      </c>
      <c r="H2146" s="14" t="s">
        <v>5601</v>
      </c>
      <c r="I2146" s="14" t="s">
        <v>2458</v>
      </c>
      <c r="J2146" s="33" t="s">
        <v>7110</v>
      </c>
      <c r="K2146" s="33" t="s">
        <v>5231</v>
      </c>
      <c r="L2146" s="68" t="s">
        <v>6054</v>
      </c>
      <c r="M2146" s="68" t="s">
        <v>8912</v>
      </c>
      <c r="N2146" s="68" t="s">
        <v>6059</v>
      </c>
      <c r="O2146" s="202">
        <v>55200</v>
      </c>
      <c r="P2146" s="197" t="s">
        <v>5777</v>
      </c>
    </row>
    <row r="2147" spans="1:16" ht="18.75" hidden="1">
      <c r="A2147" s="50" t="s">
        <v>5132</v>
      </c>
      <c r="B2147" s="50" t="s">
        <v>5171</v>
      </c>
      <c r="C2147" s="50" t="s">
        <v>5210</v>
      </c>
      <c r="D2147" s="50" t="s">
        <v>5047</v>
      </c>
      <c r="E2147" s="12" t="s">
        <v>4971</v>
      </c>
      <c r="F2147" s="49">
        <v>143050</v>
      </c>
      <c r="G2147" s="67" t="s">
        <v>5631</v>
      </c>
      <c r="H2147" s="14" t="s">
        <v>5601</v>
      </c>
      <c r="I2147" s="14" t="s">
        <v>2458</v>
      </c>
      <c r="J2147" s="33" t="s">
        <v>7110</v>
      </c>
      <c r="K2147" s="33" t="s">
        <v>5231</v>
      </c>
      <c r="L2147" s="68" t="s">
        <v>6054</v>
      </c>
      <c r="M2147" s="68" t="s">
        <v>8912</v>
      </c>
      <c r="N2147" s="68" t="s">
        <v>6061</v>
      </c>
      <c r="O2147" s="202">
        <v>55301</v>
      </c>
      <c r="P2147" s="197" t="s">
        <v>5801</v>
      </c>
    </row>
    <row r="2148" spans="1:16" ht="18.75" hidden="1">
      <c r="A2148" s="50" t="s">
        <v>5133</v>
      </c>
      <c r="B2148" s="50" t="s">
        <v>5165</v>
      </c>
      <c r="C2148" s="50" t="s">
        <v>5212</v>
      </c>
      <c r="D2148" s="50" t="s">
        <v>5047</v>
      </c>
      <c r="E2148" s="12" t="s">
        <v>4971</v>
      </c>
      <c r="F2148" s="49">
        <v>250000</v>
      </c>
      <c r="G2148" s="67" t="s">
        <v>5647</v>
      </c>
      <c r="H2148" s="14" t="s">
        <v>5601</v>
      </c>
      <c r="I2148" s="14" t="s">
        <v>2458</v>
      </c>
      <c r="J2148" s="33" t="s">
        <v>7110</v>
      </c>
      <c r="K2148" s="33" t="s">
        <v>5231</v>
      </c>
      <c r="L2148" s="68" t="s">
        <v>6054</v>
      </c>
      <c r="M2148" s="68" t="s">
        <v>8913</v>
      </c>
      <c r="N2148" s="68" t="s">
        <v>6061</v>
      </c>
      <c r="O2148" s="202">
        <v>55301</v>
      </c>
      <c r="P2148" s="198" t="s">
        <v>5800</v>
      </c>
    </row>
    <row r="2149" spans="1:16" ht="18.75" hidden="1">
      <c r="A2149" s="50" t="s">
        <v>5133</v>
      </c>
      <c r="B2149" s="50" t="s">
        <v>5165</v>
      </c>
      <c r="C2149" s="50" t="s">
        <v>5213</v>
      </c>
      <c r="D2149" s="50" t="s">
        <v>5047</v>
      </c>
      <c r="E2149" s="12" t="s">
        <v>4971</v>
      </c>
      <c r="F2149" s="49">
        <v>54680</v>
      </c>
      <c r="G2149" s="67" t="s">
        <v>5611</v>
      </c>
      <c r="H2149" s="14" t="s">
        <v>5601</v>
      </c>
      <c r="I2149" s="14" t="s">
        <v>2458</v>
      </c>
      <c r="J2149" s="33" t="s">
        <v>7110</v>
      </c>
      <c r="K2149" s="33" t="s">
        <v>5231</v>
      </c>
      <c r="L2149" s="68" t="s">
        <v>6054</v>
      </c>
      <c r="M2149" s="68" t="s">
        <v>8913</v>
      </c>
      <c r="N2149" s="68" t="s">
        <v>6061</v>
      </c>
      <c r="O2149" s="202">
        <v>55301</v>
      </c>
      <c r="P2149" s="198" t="s">
        <v>5762</v>
      </c>
    </row>
    <row r="2150" spans="1:16" ht="18.75" hidden="1">
      <c r="A2150" s="50" t="s">
        <v>5134</v>
      </c>
      <c r="B2150" s="50" t="s">
        <v>5162</v>
      </c>
      <c r="C2150" s="50" t="s">
        <v>5214</v>
      </c>
      <c r="D2150" s="50" t="s">
        <v>4972</v>
      </c>
      <c r="E2150" s="12" t="s">
        <v>4971</v>
      </c>
      <c r="F2150" s="49">
        <v>39000</v>
      </c>
      <c r="G2150" s="67" t="s">
        <v>5647</v>
      </c>
      <c r="H2150" s="14" t="s">
        <v>5601</v>
      </c>
      <c r="I2150" s="14" t="s">
        <v>2458</v>
      </c>
      <c r="J2150" s="33" t="s">
        <v>7110</v>
      </c>
      <c r="K2150" s="33" t="s">
        <v>5231</v>
      </c>
      <c r="L2150" s="68" t="s">
        <v>6054</v>
      </c>
      <c r="M2150" s="68" t="s">
        <v>8913</v>
      </c>
      <c r="N2150" s="68" t="s">
        <v>6061</v>
      </c>
      <c r="O2150" s="202">
        <v>55301</v>
      </c>
      <c r="P2150" s="198" t="s">
        <v>5795</v>
      </c>
    </row>
    <row r="2151" spans="1:16" ht="18.75" hidden="1">
      <c r="A2151" s="50" t="s">
        <v>5134</v>
      </c>
      <c r="B2151" s="50" t="s">
        <v>5162</v>
      </c>
      <c r="C2151" s="50" t="s">
        <v>5053</v>
      </c>
      <c r="D2151" s="50" t="s">
        <v>5012</v>
      </c>
      <c r="E2151" s="12" t="s">
        <v>4971</v>
      </c>
      <c r="F2151" s="49">
        <v>65160</v>
      </c>
      <c r="G2151" s="67" t="s">
        <v>5647</v>
      </c>
      <c r="H2151" s="14" t="s">
        <v>5601</v>
      </c>
      <c r="I2151" s="14" t="s">
        <v>2458</v>
      </c>
      <c r="J2151" s="33" t="s">
        <v>7110</v>
      </c>
      <c r="K2151" s="33" t="s">
        <v>5231</v>
      </c>
      <c r="L2151" s="68" t="s">
        <v>6054</v>
      </c>
      <c r="M2151" s="68" t="s">
        <v>8913</v>
      </c>
      <c r="N2151" s="68" t="s">
        <v>6061</v>
      </c>
      <c r="O2151" s="202">
        <v>55301</v>
      </c>
      <c r="P2151" s="198" t="s">
        <v>5795</v>
      </c>
    </row>
    <row r="2152" spans="1:16" ht="18.75" hidden="1">
      <c r="A2152" s="50" t="s">
        <v>5134</v>
      </c>
      <c r="B2152" s="50" t="s">
        <v>5162</v>
      </c>
      <c r="C2152" s="50" t="s">
        <v>5055</v>
      </c>
      <c r="D2152" s="50" t="s">
        <v>5010</v>
      </c>
      <c r="E2152" s="12" t="s">
        <v>4971</v>
      </c>
      <c r="F2152" s="49">
        <v>97660</v>
      </c>
      <c r="G2152" s="67" t="s">
        <v>5683</v>
      </c>
      <c r="H2152" s="14" t="s">
        <v>5601</v>
      </c>
      <c r="I2152" s="14" t="s">
        <v>2458</v>
      </c>
      <c r="J2152" s="33" t="s">
        <v>7110</v>
      </c>
      <c r="K2152" s="33" t="s">
        <v>5231</v>
      </c>
      <c r="L2152" s="68" t="s">
        <v>6054</v>
      </c>
      <c r="M2152" s="68" t="s">
        <v>8913</v>
      </c>
      <c r="N2152" s="68" t="s">
        <v>6061</v>
      </c>
      <c r="O2152" s="202">
        <v>55301</v>
      </c>
      <c r="P2152" s="198" t="s">
        <v>5787</v>
      </c>
    </row>
    <row r="2153" spans="1:16" ht="18.75" hidden="1">
      <c r="A2153" s="50" t="s">
        <v>5134</v>
      </c>
      <c r="B2153" s="50" t="s">
        <v>5162</v>
      </c>
      <c r="C2153" s="50" t="s">
        <v>5215</v>
      </c>
      <c r="D2153" s="50" t="s">
        <v>4887</v>
      </c>
      <c r="E2153" s="12" t="s">
        <v>4971</v>
      </c>
      <c r="F2153" s="49">
        <v>119540</v>
      </c>
      <c r="G2153" s="67" t="s">
        <v>5611</v>
      </c>
      <c r="H2153" s="14" t="s">
        <v>5601</v>
      </c>
      <c r="I2153" s="14" t="s">
        <v>2458</v>
      </c>
      <c r="J2153" s="33" t="s">
        <v>7110</v>
      </c>
      <c r="K2153" s="33" t="s">
        <v>5231</v>
      </c>
      <c r="L2153" s="68" t="s">
        <v>6054</v>
      </c>
      <c r="M2153" s="68" t="s">
        <v>8913</v>
      </c>
      <c r="N2153" s="68" t="s">
        <v>6061</v>
      </c>
      <c r="O2153" s="202">
        <v>55301</v>
      </c>
      <c r="P2153" s="198" t="s">
        <v>5752</v>
      </c>
    </row>
    <row r="2154" spans="1:16" ht="18.75" hidden="1">
      <c r="A2154" s="50" t="s">
        <v>5134</v>
      </c>
      <c r="B2154" s="50" t="s">
        <v>5162</v>
      </c>
      <c r="C2154" s="50" t="s">
        <v>5057</v>
      </c>
      <c r="D2154" s="50" t="s">
        <v>5012</v>
      </c>
      <c r="E2154" s="12" t="s">
        <v>4971</v>
      </c>
      <c r="F2154" s="49">
        <v>31570</v>
      </c>
      <c r="G2154" s="67" t="s">
        <v>5611</v>
      </c>
      <c r="H2154" s="14" t="s">
        <v>5601</v>
      </c>
      <c r="I2154" s="14" t="s">
        <v>2458</v>
      </c>
      <c r="J2154" s="33" t="s">
        <v>7110</v>
      </c>
      <c r="K2154" s="33" t="s">
        <v>5231</v>
      </c>
      <c r="L2154" s="68" t="s">
        <v>6054</v>
      </c>
      <c r="M2154" s="68" t="s">
        <v>8913</v>
      </c>
      <c r="N2154" s="68" t="s">
        <v>6061</v>
      </c>
      <c r="O2154" s="202">
        <v>55301</v>
      </c>
      <c r="P2154" s="198" t="s">
        <v>5762</v>
      </c>
    </row>
    <row r="2155" spans="1:16" ht="18.75" hidden="1">
      <c r="A2155" s="50" t="s">
        <v>5134</v>
      </c>
      <c r="B2155" s="50" t="s">
        <v>5162</v>
      </c>
      <c r="C2155" s="50" t="s">
        <v>5216</v>
      </c>
      <c r="D2155" s="50" t="s">
        <v>5011</v>
      </c>
      <c r="E2155" s="12" t="s">
        <v>4971</v>
      </c>
      <c r="F2155" s="49">
        <v>35500</v>
      </c>
      <c r="G2155" s="67" t="s">
        <v>5647</v>
      </c>
      <c r="H2155" s="14" t="s">
        <v>5601</v>
      </c>
      <c r="I2155" s="14" t="s">
        <v>2458</v>
      </c>
      <c r="J2155" s="33" t="s">
        <v>7110</v>
      </c>
      <c r="K2155" s="33" t="s">
        <v>5231</v>
      </c>
      <c r="L2155" s="68" t="s">
        <v>6054</v>
      </c>
      <c r="M2155" s="68" t="s">
        <v>8913</v>
      </c>
      <c r="N2155" s="68" t="s">
        <v>6061</v>
      </c>
      <c r="O2155" s="202">
        <v>55301</v>
      </c>
      <c r="P2155" s="198" t="s">
        <v>5767</v>
      </c>
    </row>
    <row r="2156" spans="1:16" ht="18.75" hidden="1">
      <c r="A2156" s="50" t="s">
        <v>5134</v>
      </c>
      <c r="B2156" s="50" t="s">
        <v>5162</v>
      </c>
      <c r="C2156" s="50" t="s">
        <v>5070</v>
      </c>
      <c r="D2156" s="50" t="s">
        <v>5009</v>
      </c>
      <c r="E2156" s="12" t="s">
        <v>4971</v>
      </c>
      <c r="F2156" s="49">
        <v>27760</v>
      </c>
      <c r="G2156" s="67" t="s">
        <v>5611</v>
      </c>
      <c r="H2156" s="14" t="s">
        <v>5601</v>
      </c>
      <c r="I2156" s="14" t="s">
        <v>2458</v>
      </c>
      <c r="J2156" s="33" t="s">
        <v>7110</v>
      </c>
      <c r="K2156" s="33" t="s">
        <v>5231</v>
      </c>
      <c r="L2156" s="68" t="s">
        <v>6054</v>
      </c>
      <c r="M2156" s="68" t="s">
        <v>8913</v>
      </c>
      <c r="N2156" s="68" t="s">
        <v>6061</v>
      </c>
      <c r="O2156" s="202">
        <v>55301</v>
      </c>
      <c r="P2156" s="198" t="s">
        <v>5758</v>
      </c>
    </row>
    <row r="2157" spans="1:16" ht="18.75" hidden="1">
      <c r="A2157" s="50" t="s">
        <v>5135</v>
      </c>
      <c r="B2157" s="50" t="s">
        <v>5169</v>
      </c>
      <c r="C2157" s="50" t="s">
        <v>5217</v>
      </c>
      <c r="D2157" s="50" t="s">
        <v>5009</v>
      </c>
      <c r="E2157" s="12" t="s">
        <v>4971</v>
      </c>
      <c r="F2157" s="49">
        <v>103080</v>
      </c>
      <c r="G2157" s="67" t="s">
        <v>5631</v>
      </c>
      <c r="H2157" s="14" t="s">
        <v>5601</v>
      </c>
      <c r="I2157" s="14" t="s">
        <v>2458</v>
      </c>
      <c r="J2157" s="33" t="s">
        <v>7110</v>
      </c>
      <c r="K2157" s="33" t="s">
        <v>5231</v>
      </c>
      <c r="L2157" s="68" t="s">
        <v>6054</v>
      </c>
      <c r="M2157" s="68" t="s">
        <v>8912</v>
      </c>
      <c r="N2157" s="68" t="s">
        <v>6059</v>
      </c>
      <c r="O2157" s="202">
        <v>55200</v>
      </c>
      <c r="P2157" s="197" t="s">
        <v>5775</v>
      </c>
    </row>
    <row r="2158" spans="1:16" ht="18.75" hidden="1">
      <c r="A2158" s="50" t="s">
        <v>5136</v>
      </c>
      <c r="B2158" s="50" t="s">
        <v>5160</v>
      </c>
      <c r="C2158" s="50" t="s">
        <v>4969</v>
      </c>
      <c r="D2158" s="50" t="s">
        <v>4884</v>
      </c>
      <c r="E2158" s="12" t="s">
        <v>4971</v>
      </c>
      <c r="F2158" s="49">
        <v>15450</v>
      </c>
      <c r="G2158" s="67" t="s">
        <v>5611</v>
      </c>
      <c r="H2158" s="14" t="s">
        <v>5601</v>
      </c>
      <c r="I2158" s="14" t="s">
        <v>2458</v>
      </c>
      <c r="J2158" s="33" t="s">
        <v>7110</v>
      </c>
      <c r="K2158" s="33" t="s">
        <v>5231</v>
      </c>
      <c r="L2158" s="68" t="s">
        <v>6054</v>
      </c>
      <c r="M2158" s="68" t="s">
        <v>8913</v>
      </c>
      <c r="N2158" s="68" t="s">
        <v>6061</v>
      </c>
      <c r="O2158" s="202">
        <v>55301</v>
      </c>
      <c r="P2158" s="198" t="s">
        <v>5752</v>
      </c>
    </row>
    <row r="2159" spans="1:16" ht="18.75" hidden="1">
      <c r="A2159" s="50" t="s">
        <v>5136</v>
      </c>
      <c r="B2159" s="50" t="s">
        <v>5160</v>
      </c>
      <c r="C2159" s="50" t="s">
        <v>5057</v>
      </c>
      <c r="D2159" s="50" t="s">
        <v>5012</v>
      </c>
      <c r="E2159" s="12" t="s">
        <v>4971</v>
      </c>
      <c r="F2159" s="49">
        <v>6090</v>
      </c>
      <c r="G2159" s="67" t="s">
        <v>5611</v>
      </c>
      <c r="H2159" s="14" t="s">
        <v>5601</v>
      </c>
      <c r="I2159" s="14" t="s">
        <v>2458</v>
      </c>
      <c r="J2159" s="33" t="s">
        <v>7110</v>
      </c>
      <c r="K2159" s="33" t="s">
        <v>5231</v>
      </c>
      <c r="L2159" s="68" t="s">
        <v>6054</v>
      </c>
      <c r="M2159" s="68" t="s">
        <v>8913</v>
      </c>
      <c r="N2159" s="68" t="s">
        <v>6061</v>
      </c>
      <c r="O2159" s="202">
        <v>55301</v>
      </c>
      <c r="P2159" s="198" t="s">
        <v>5762</v>
      </c>
    </row>
    <row r="2160" spans="1:16" ht="18.75" hidden="1">
      <c r="A2160" s="50" t="s">
        <v>5137</v>
      </c>
      <c r="B2160" s="50" t="s">
        <v>5164</v>
      </c>
      <c r="C2160" s="50" t="s">
        <v>5218</v>
      </c>
      <c r="D2160" s="50" t="s">
        <v>5161</v>
      </c>
      <c r="E2160" s="12" t="s">
        <v>4971</v>
      </c>
      <c r="F2160" s="49">
        <v>150000</v>
      </c>
      <c r="G2160" s="67" t="s">
        <v>5647</v>
      </c>
      <c r="H2160" s="14" t="s">
        <v>5601</v>
      </c>
      <c r="I2160" s="14" t="s">
        <v>2458</v>
      </c>
      <c r="J2160" s="33" t="s">
        <v>7110</v>
      </c>
      <c r="K2160" s="33" t="s">
        <v>5231</v>
      </c>
      <c r="L2160" s="68" t="s">
        <v>6054</v>
      </c>
      <c r="M2160" s="68" t="s">
        <v>8913</v>
      </c>
      <c r="N2160" s="68" t="s">
        <v>6061</v>
      </c>
      <c r="O2160" s="202">
        <v>55301</v>
      </c>
      <c r="P2160" s="198" t="s">
        <v>5795</v>
      </c>
    </row>
    <row r="2161" spans="1:16" ht="18.75" hidden="1">
      <c r="A2161" s="50" t="s">
        <v>5137</v>
      </c>
      <c r="B2161" s="50" t="s">
        <v>5164</v>
      </c>
      <c r="C2161" s="50" t="s">
        <v>5055</v>
      </c>
      <c r="D2161" s="50" t="s">
        <v>5010</v>
      </c>
      <c r="E2161" s="12" t="s">
        <v>4971</v>
      </c>
      <c r="F2161" s="49">
        <v>88400</v>
      </c>
      <c r="G2161" s="67" t="s">
        <v>5683</v>
      </c>
      <c r="H2161" s="14" t="s">
        <v>5601</v>
      </c>
      <c r="I2161" s="14" t="s">
        <v>2458</v>
      </c>
      <c r="J2161" s="33" t="s">
        <v>7110</v>
      </c>
      <c r="K2161" s="33" t="s">
        <v>5231</v>
      </c>
      <c r="L2161" s="68" t="s">
        <v>6054</v>
      </c>
      <c r="M2161" s="68" t="s">
        <v>8913</v>
      </c>
      <c r="N2161" s="68" t="s">
        <v>6061</v>
      </c>
      <c r="O2161" s="202">
        <v>55301</v>
      </c>
      <c r="P2161" s="198" t="s">
        <v>5787</v>
      </c>
    </row>
    <row r="2162" spans="1:16" ht="18.75" hidden="1">
      <c r="A2162" s="50" t="s">
        <v>5137</v>
      </c>
      <c r="B2162" s="50" t="s">
        <v>5164</v>
      </c>
      <c r="C2162" s="50" t="s">
        <v>5219</v>
      </c>
      <c r="D2162" s="50" t="s">
        <v>5010</v>
      </c>
      <c r="E2162" s="12" t="s">
        <v>4971</v>
      </c>
      <c r="F2162" s="49">
        <v>159940</v>
      </c>
      <c r="G2162" s="67" t="s">
        <v>5631</v>
      </c>
      <c r="H2162" s="14" t="s">
        <v>5601</v>
      </c>
      <c r="I2162" s="14" t="s">
        <v>2458</v>
      </c>
      <c r="J2162" s="33" t="s">
        <v>7110</v>
      </c>
      <c r="K2162" s="33" t="s">
        <v>5231</v>
      </c>
      <c r="L2162" s="68" t="s">
        <v>6054</v>
      </c>
      <c r="M2162" s="68" t="s">
        <v>8913</v>
      </c>
      <c r="N2162" s="68" t="s">
        <v>6061</v>
      </c>
      <c r="O2162" s="202">
        <v>55301</v>
      </c>
      <c r="P2162" s="197" t="s">
        <v>5777</v>
      </c>
    </row>
    <row r="2163" spans="1:16" ht="18.75" hidden="1">
      <c r="A2163" s="50" t="s">
        <v>5135</v>
      </c>
      <c r="B2163" s="50" t="s">
        <v>5169</v>
      </c>
      <c r="C2163" s="50" t="s">
        <v>5220</v>
      </c>
      <c r="D2163" s="50" t="s">
        <v>5007</v>
      </c>
      <c r="E2163" s="12" t="s">
        <v>4971</v>
      </c>
      <c r="F2163" s="49">
        <v>101320</v>
      </c>
      <c r="G2163" s="67" t="s">
        <v>5611</v>
      </c>
      <c r="H2163" s="14" t="s">
        <v>5601</v>
      </c>
      <c r="I2163" s="14" t="s">
        <v>2458</v>
      </c>
      <c r="J2163" s="33" t="s">
        <v>7110</v>
      </c>
      <c r="K2163" s="33" t="s">
        <v>5231</v>
      </c>
      <c r="L2163" s="68" t="s">
        <v>6054</v>
      </c>
      <c r="M2163" s="68" t="s">
        <v>8912</v>
      </c>
      <c r="N2163" s="68" t="s">
        <v>6059</v>
      </c>
      <c r="O2163" s="202">
        <v>55200</v>
      </c>
      <c r="P2163" s="198" t="s">
        <v>5762</v>
      </c>
    </row>
    <row r="2164" spans="1:16" ht="18.75" hidden="1">
      <c r="A2164" s="50" t="s">
        <v>5137</v>
      </c>
      <c r="B2164" s="50" t="s">
        <v>5164</v>
      </c>
      <c r="C2164" s="50" t="s">
        <v>5216</v>
      </c>
      <c r="D2164" s="50" t="s">
        <v>5011</v>
      </c>
      <c r="E2164" s="12" t="s">
        <v>4971</v>
      </c>
      <c r="F2164" s="49">
        <v>74500</v>
      </c>
      <c r="G2164" s="67" t="s">
        <v>5647</v>
      </c>
      <c r="H2164" s="14" t="s">
        <v>5601</v>
      </c>
      <c r="I2164" s="14" t="s">
        <v>2458</v>
      </c>
      <c r="J2164" s="33" t="s">
        <v>7110</v>
      </c>
      <c r="K2164" s="33" t="s">
        <v>5231</v>
      </c>
      <c r="L2164" s="68" t="s">
        <v>6054</v>
      </c>
      <c r="M2164" s="68" t="s">
        <v>8913</v>
      </c>
      <c r="N2164" s="68" t="s">
        <v>6061</v>
      </c>
      <c r="O2164" s="202">
        <v>55301</v>
      </c>
      <c r="P2164" s="198" t="s">
        <v>5767</v>
      </c>
    </row>
    <row r="2165" spans="1:16" ht="18.75" hidden="1">
      <c r="A2165" s="50" t="s">
        <v>5138</v>
      </c>
      <c r="B2165" s="50" t="s">
        <v>5169</v>
      </c>
      <c r="C2165" s="50" t="s">
        <v>5221</v>
      </c>
      <c r="D2165" s="50" t="s">
        <v>5010</v>
      </c>
      <c r="E2165" s="12" t="s">
        <v>4971</v>
      </c>
      <c r="F2165" s="49">
        <v>46260</v>
      </c>
      <c r="G2165" s="67" t="s">
        <v>5611</v>
      </c>
      <c r="H2165" s="14" t="s">
        <v>5601</v>
      </c>
      <c r="I2165" s="14" t="s">
        <v>2458</v>
      </c>
      <c r="J2165" s="33" t="s">
        <v>7110</v>
      </c>
      <c r="K2165" s="33" t="s">
        <v>5231</v>
      </c>
      <c r="L2165" s="68" t="s">
        <v>6054</v>
      </c>
      <c r="M2165" s="68" t="s">
        <v>8913</v>
      </c>
      <c r="N2165" s="68" t="s">
        <v>6060</v>
      </c>
      <c r="O2165" s="202">
        <v>55107</v>
      </c>
      <c r="P2165" s="198" t="s">
        <v>5758</v>
      </c>
    </row>
    <row r="2166" spans="1:16" ht="18.75" hidden="1">
      <c r="A2166" s="50" t="s">
        <v>5136</v>
      </c>
      <c r="B2166" s="50" t="s">
        <v>5160</v>
      </c>
      <c r="C2166" s="50" t="s">
        <v>5222</v>
      </c>
      <c r="D2166" s="50" t="s">
        <v>5045</v>
      </c>
      <c r="E2166" s="12" t="s">
        <v>4971</v>
      </c>
      <c r="F2166" s="49">
        <v>25200</v>
      </c>
      <c r="G2166" s="67" t="s">
        <v>5611</v>
      </c>
      <c r="H2166" s="14" t="s">
        <v>5601</v>
      </c>
      <c r="I2166" s="14" t="s">
        <v>2458</v>
      </c>
      <c r="J2166" s="33" t="s">
        <v>7110</v>
      </c>
      <c r="K2166" s="33" t="s">
        <v>5231</v>
      </c>
      <c r="L2166" s="68" t="s">
        <v>6054</v>
      </c>
      <c r="M2166" s="68" t="s">
        <v>8913</v>
      </c>
      <c r="N2166" s="68" t="s">
        <v>6061</v>
      </c>
      <c r="O2166" s="202">
        <v>55301</v>
      </c>
      <c r="P2166" s="198" t="s">
        <v>5758</v>
      </c>
    </row>
    <row r="2167" spans="1:16" ht="18.75" hidden="1">
      <c r="A2167" s="50" t="s">
        <v>5139</v>
      </c>
      <c r="B2167" s="50" t="s">
        <v>5164</v>
      </c>
      <c r="C2167" s="50" t="s">
        <v>5221</v>
      </c>
      <c r="D2167" s="50" t="s">
        <v>5010</v>
      </c>
      <c r="E2167" s="12" t="s">
        <v>4971</v>
      </c>
      <c r="F2167" s="49">
        <v>137360</v>
      </c>
      <c r="G2167" s="67" t="s">
        <v>5611</v>
      </c>
      <c r="H2167" s="14" t="s">
        <v>5601</v>
      </c>
      <c r="I2167" s="14" t="s">
        <v>2458</v>
      </c>
      <c r="J2167" s="33" t="s">
        <v>7110</v>
      </c>
      <c r="K2167" s="33" t="s">
        <v>5231</v>
      </c>
      <c r="L2167" s="68" t="s">
        <v>6054</v>
      </c>
      <c r="M2167" s="68" t="s">
        <v>8913</v>
      </c>
      <c r="N2167" s="68" t="s">
        <v>6060</v>
      </c>
      <c r="O2167" s="202">
        <v>55107</v>
      </c>
      <c r="P2167" s="198" t="s">
        <v>5758</v>
      </c>
    </row>
    <row r="2168" spans="1:16" ht="18.75" hidden="1">
      <c r="A2168" s="50" t="s">
        <v>5137</v>
      </c>
      <c r="B2168" s="50" t="s">
        <v>5164</v>
      </c>
      <c r="C2168" s="50" t="s">
        <v>5222</v>
      </c>
      <c r="D2168" s="50" t="s">
        <v>5045</v>
      </c>
      <c r="E2168" s="12" t="s">
        <v>4971</v>
      </c>
      <c r="F2168" s="49">
        <v>89220</v>
      </c>
      <c r="G2168" s="67" t="s">
        <v>5611</v>
      </c>
      <c r="H2168" s="14" t="s">
        <v>5601</v>
      </c>
      <c r="I2168" s="14" t="s">
        <v>2458</v>
      </c>
      <c r="J2168" s="33" t="s">
        <v>7110</v>
      </c>
      <c r="K2168" s="33" t="s">
        <v>5231</v>
      </c>
      <c r="L2168" s="68" t="s">
        <v>6054</v>
      </c>
      <c r="M2168" s="68" t="s">
        <v>8913</v>
      </c>
      <c r="N2168" s="68" t="s">
        <v>6061</v>
      </c>
      <c r="O2168" s="202">
        <v>55301</v>
      </c>
      <c r="P2168" s="198" t="s">
        <v>5758</v>
      </c>
    </row>
    <row r="2169" spans="1:16" ht="18.75" hidden="1">
      <c r="A2169" s="50" t="s">
        <v>5137</v>
      </c>
      <c r="B2169" s="50" t="s">
        <v>5164</v>
      </c>
      <c r="C2169" s="50" t="s">
        <v>5221</v>
      </c>
      <c r="D2169" s="50" t="s">
        <v>5010</v>
      </c>
      <c r="E2169" s="12" t="s">
        <v>4971</v>
      </c>
      <c r="F2169" s="49">
        <v>45640</v>
      </c>
      <c r="G2169" s="67" t="s">
        <v>5611</v>
      </c>
      <c r="H2169" s="14" t="s">
        <v>5601</v>
      </c>
      <c r="I2169" s="14" t="s">
        <v>2458</v>
      </c>
      <c r="J2169" s="33" t="s">
        <v>7110</v>
      </c>
      <c r="K2169" s="33" t="s">
        <v>5231</v>
      </c>
      <c r="L2169" s="68" t="s">
        <v>6054</v>
      </c>
      <c r="M2169" s="68" t="s">
        <v>8913</v>
      </c>
      <c r="N2169" s="68" t="s">
        <v>6061</v>
      </c>
      <c r="O2169" s="202">
        <v>55301</v>
      </c>
      <c r="P2169" s="198" t="s">
        <v>5758</v>
      </c>
    </row>
    <row r="2170" spans="1:16" ht="18.75" hidden="1">
      <c r="A2170" s="50" t="s">
        <v>5140</v>
      </c>
      <c r="B2170" s="50" t="s">
        <v>5168</v>
      </c>
      <c r="C2170" s="50" t="s">
        <v>5217</v>
      </c>
      <c r="D2170" s="50" t="s">
        <v>5009</v>
      </c>
      <c r="E2170" s="12" t="s">
        <v>4971</v>
      </c>
      <c r="F2170" s="49">
        <v>93490</v>
      </c>
      <c r="G2170" s="67" t="s">
        <v>5631</v>
      </c>
      <c r="H2170" s="14" t="s">
        <v>5601</v>
      </c>
      <c r="I2170" s="14" t="s">
        <v>2458</v>
      </c>
      <c r="J2170" s="33" t="s">
        <v>7110</v>
      </c>
      <c r="K2170" s="33" t="s">
        <v>5231</v>
      </c>
      <c r="L2170" s="68" t="s">
        <v>6054</v>
      </c>
      <c r="M2170" s="68" t="s">
        <v>8912</v>
      </c>
      <c r="N2170" s="68" t="s">
        <v>8668</v>
      </c>
      <c r="O2170" s="202">
        <v>55107</v>
      </c>
      <c r="P2170" s="197" t="s">
        <v>5775</v>
      </c>
    </row>
    <row r="2171" spans="1:16" ht="18.75" hidden="1">
      <c r="A2171" s="50" t="s">
        <v>5141</v>
      </c>
      <c r="B2171" s="50" t="s">
        <v>5047</v>
      </c>
      <c r="C2171" s="50" t="s">
        <v>5223</v>
      </c>
      <c r="D2171" s="50" t="s">
        <v>5011</v>
      </c>
      <c r="E2171" s="12" t="s">
        <v>4971</v>
      </c>
      <c r="F2171" s="49">
        <v>25680</v>
      </c>
      <c r="G2171" s="67" t="s">
        <v>5611</v>
      </c>
      <c r="H2171" s="14" t="s">
        <v>5601</v>
      </c>
      <c r="I2171" s="14" t="s">
        <v>2458</v>
      </c>
      <c r="J2171" s="33" t="s">
        <v>7110</v>
      </c>
      <c r="K2171" s="33" t="s">
        <v>5231</v>
      </c>
      <c r="L2171" s="68" t="s">
        <v>6054</v>
      </c>
      <c r="M2171" s="68" t="s">
        <v>8912</v>
      </c>
      <c r="N2171" s="68" t="s">
        <v>6059</v>
      </c>
      <c r="O2171" s="202">
        <v>55200</v>
      </c>
      <c r="P2171" s="198" t="s">
        <v>5758</v>
      </c>
    </row>
    <row r="2172" spans="1:16" ht="18.75" hidden="1">
      <c r="A2172" s="50" t="s">
        <v>5141</v>
      </c>
      <c r="B2172" s="50" t="s">
        <v>5047</v>
      </c>
      <c r="C2172" s="50" t="s">
        <v>5211</v>
      </c>
      <c r="D2172" s="50" t="s">
        <v>5046</v>
      </c>
      <c r="E2172" s="12" t="s">
        <v>4971</v>
      </c>
      <c r="F2172" s="49">
        <v>123320</v>
      </c>
      <c r="G2172" s="67" t="s">
        <v>5631</v>
      </c>
      <c r="H2172" s="14" t="s">
        <v>5601</v>
      </c>
      <c r="I2172" s="14" t="s">
        <v>2458</v>
      </c>
      <c r="J2172" s="33" t="s">
        <v>7110</v>
      </c>
      <c r="K2172" s="33" t="s">
        <v>5231</v>
      </c>
      <c r="L2172" s="68" t="s">
        <v>6054</v>
      </c>
      <c r="M2172" s="68" t="s">
        <v>8912</v>
      </c>
      <c r="N2172" s="68" t="s">
        <v>6059</v>
      </c>
      <c r="O2172" s="202">
        <v>55200</v>
      </c>
      <c r="P2172" s="197" t="s">
        <v>5777</v>
      </c>
    </row>
    <row r="2173" spans="1:16" ht="18.75" hidden="1">
      <c r="A2173" s="50" t="s">
        <v>5142</v>
      </c>
      <c r="B2173" s="50" t="s">
        <v>5165</v>
      </c>
      <c r="C2173" s="50" t="s">
        <v>5213</v>
      </c>
      <c r="D2173" s="50" t="s">
        <v>5047</v>
      </c>
      <c r="E2173" s="12" t="s">
        <v>4971</v>
      </c>
      <c r="F2173" s="49">
        <v>70320</v>
      </c>
      <c r="G2173" s="67" t="s">
        <v>5611</v>
      </c>
      <c r="H2173" s="14" t="s">
        <v>5601</v>
      </c>
      <c r="I2173" s="14" t="s">
        <v>2458</v>
      </c>
      <c r="J2173" s="33" t="s">
        <v>7110</v>
      </c>
      <c r="K2173" s="33" t="s">
        <v>5231</v>
      </c>
      <c r="L2173" s="68" t="s">
        <v>6054</v>
      </c>
      <c r="M2173" s="68" t="s">
        <v>8913</v>
      </c>
      <c r="N2173" s="68" t="s">
        <v>8667</v>
      </c>
      <c r="O2173" s="68">
        <v>0</v>
      </c>
      <c r="P2173" s="198" t="s">
        <v>5762</v>
      </c>
    </row>
    <row r="2174" spans="1:16" ht="18.75" hidden="1">
      <c r="A2174" s="50" t="s">
        <v>5143</v>
      </c>
      <c r="B2174" s="50" t="s">
        <v>5166</v>
      </c>
      <c r="C2174" s="50" t="s">
        <v>5055</v>
      </c>
      <c r="D2174" s="50" t="s">
        <v>5010</v>
      </c>
      <c r="E2174" s="12" t="s">
        <v>4971</v>
      </c>
      <c r="F2174" s="49">
        <v>70890</v>
      </c>
      <c r="G2174" s="67" t="s">
        <v>5683</v>
      </c>
      <c r="H2174" s="14" t="s">
        <v>5601</v>
      </c>
      <c r="I2174" s="14" t="s">
        <v>2458</v>
      </c>
      <c r="J2174" s="33" t="s">
        <v>7110</v>
      </c>
      <c r="K2174" s="33" t="s">
        <v>5231</v>
      </c>
      <c r="L2174" s="68" t="s">
        <v>6054</v>
      </c>
      <c r="M2174" s="68" t="s">
        <v>8913</v>
      </c>
      <c r="N2174" s="68" t="s">
        <v>6061</v>
      </c>
      <c r="O2174" s="202">
        <v>55301</v>
      </c>
      <c r="P2174" s="198" t="s">
        <v>5787</v>
      </c>
    </row>
    <row r="2175" spans="1:16" ht="18.75" hidden="1">
      <c r="A2175" s="50" t="s">
        <v>5143</v>
      </c>
      <c r="B2175" s="50" t="s">
        <v>5166</v>
      </c>
      <c r="C2175" s="50" t="s">
        <v>5053</v>
      </c>
      <c r="D2175" s="50" t="s">
        <v>5012</v>
      </c>
      <c r="E2175" s="12" t="s">
        <v>4971</v>
      </c>
      <c r="F2175" s="49">
        <v>8340</v>
      </c>
      <c r="G2175" s="67" t="s">
        <v>5647</v>
      </c>
      <c r="H2175" s="14" t="s">
        <v>5601</v>
      </c>
      <c r="I2175" s="14" t="s">
        <v>2458</v>
      </c>
      <c r="J2175" s="33" t="s">
        <v>7110</v>
      </c>
      <c r="K2175" s="33" t="s">
        <v>5231</v>
      </c>
      <c r="L2175" s="68" t="s">
        <v>6054</v>
      </c>
      <c r="M2175" s="68" t="s">
        <v>8913</v>
      </c>
      <c r="N2175" s="68" t="s">
        <v>6061</v>
      </c>
      <c r="O2175" s="202">
        <v>55301</v>
      </c>
      <c r="P2175" s="198" t="s">
        <v>5795</v>
      </c>
    </row>
    <row r="2176" spans="1:16" ht="18.75" hidden="1">
      <c r="A2176" s="50" t="s">
        <v>5143</v>
      </c>
      <c r="B2176" s="50" t="s">
        <v>5166</v>
      </c>
      <c r="C2176" s="50" t="s">
        <v>5214</v>
      </c>
      <c r="D2176" s="50" t="s">
        <v>5012</v>
      </c>
      <c r="E2176" s="12" t="s">
        <v>4971</v>
      </c>
      <c r="F2176" s="49">
        <v>26120</v>
      </c>
      <c r="G2176" s="67" t="s">
        <v>5647</v>
      </c>
      <c r="H2176" s="14" t="s">
        <v>5601</v>
      </c>
      <c r="I2176" s="14" t="s">
        <v>2458</v>
      </c>
      <c r="J2176" s="33" t="s">
        <v>7110</v>
      </c>
      <c r="K2176" s="33" t="s">
        <v>5231</v>
      </c>
      <c r="L2176" s="68" t="s">
        <v>6054</v>
      </c>
      <c r="M2176" s="68" t="s">
        <v>8913</v>
      </c>
      <c r="N2176" s="68" t="s">
        <v>6061</v>
      </c>
      <c r="O2176" s="202">
        <v>55301</v>
      </c>
      <c r="P2176" s="198" t="s">
        <v>5795</v>
      </c>
    </row>
    <row r="2177" spans="1:16" ht="18.75" hidden="1">
      <c r="A2177" s="50" t="s">
        <v>5143</v>
      </c>
      <c r="B2177" s="50" t="s">
        <v>5166</v>
      </c>
      <c r="C2177" s="50" t="s">
        <v>5073</v>
      </c>
      <c r="D2177" s="50" t="s">
        <v>5011</v>
      </c>
      <c r="E2177" s="12" t="s">
        <v>4971</v>
      </c>
      <c r="F2177" s="49">
        <v>13600</v>
      </c>
      <c r="G2177" s="67" t="s">
        <v>5647</v>
      </c>
      <c r="H2177" s="14" t="s">
        <v>5601</v>
      </c>
      <c r="I2177" s="14" t="s">
        <v>2458</v>
      </c>
      <c r="J2177" s="33" t="s">
        <v>7110</v>
      </c>
      <c r="K2177" s="33" t="s">
        <v>5231</v>
      </c>
      <c r="L2177" s="68" t="s">
        <v>6054</v>
      </c>
      <c r="M2177" s="68" t="s">
        <v>8913</v>
      </c>
      <c r="N2177" s="68" t="s">
        <v>6061</v>
      </c>
      <c r="O2177" s="202">
        <v>55301</v>
      </c>
      <c r="P2177" s="198" t="s">
        <v>5764</v>
      </c>
    </row>
    <row r="2178" spans="1:16" ht="18.75" hidden="1">
      <c r="A2178" s="50" t="s">
        <v>5144</v>
      </c>
      <c r="B2178" s="50" t="s">
        <v>5047</v>
      </c>
      <c r="C2178" s="50" t="s">
        <v>5224</v>
      </c>
      <c r="D2178" s="50" t="s">
        <v>4972</v>
      </c>
      <c r="E2178" s="12" t="s">
        <v>4971</v>
      </c>
      <c r="F2178" s="49">
        <v>44180</v>
      </c>
      <c r="G2178" s="67" t="s">
        <v>5611</v>
      </c>
      <c r="H2178" s="14" t="s">
        <v>5601</v>
      </c>
      <c r="I2178" s="14" t="s">
        <v>2458</v>
      </c>
      <c r="J2178" s="33" t="s">
        <v>7110</v>
      </c>
      <c r="K2178" s="33" t="s">
        <v>5231</v>
      </c>
      <c r="L2178" s="68" t="s">
        <v>6054</v>
      </c>
      <c r="M2178" s="68" t="s">
        <v>8913</v>
      </c>
      <c r="N2178" s="68" t="s">
        <v>6059</v>
      </c>
      <c r="O2178" s="202">
        <v>55200</v>
      </c>
      <c r="P2178" s="198" t="s">
        <v>5762</v>
      </c>
    </row>
    <row r="2179" spans="1:16" ht="18.75" hidden="1">
      <c r="A2179" s="50" t="s">
        <v>5144</v>
      </c>
      <c r="B2179" s="50" t="s">
        <v>5047</v>
      </c>
      <c r="C2179" s="50" t="s">
        <v>5215</v>
      </c>
      <c r="D2179" s="50" t="s">
        <v>4887</v>
      </c>
      <c r="E2179" s="12" t="s">
        <v>4971</v>
      </c>
      <c r="F2179" s="49">
        <v>48220</v>
      </c>
      <c r="G2179" s="67" t="s">
        <v>5611</v>
      </c>
      <c r="H2179" s="14" t="s">
        <v>5601</v>
      </c>
      <c r="I2179" s="14" t="s">
        <v>2458</v>
      </c>
      <c r="J2179" s="33" t="s">
        <v>7110</v>
      </c>
      <c r="K2179" s="33" t="s">
        <v>5231</v>
      </c>
      <c r="L2179" s="68" t="s">
        <v>6054</v>
      </c>
      <c r="M2179" s="68" t="s">
        <v>8913</v>
      </c>
      <c r="N2179" s="68" t="s">
        <v>6059</v>
      </c>
      <c r="O2179" s="202">
        <v>55200</v>
      </c>
      <c r="P2179" s="198" t="s">
        <v>5752</v>
      </c>
    </row>
    <row r="2180" spans="1:16" ht="18.75" hidden="1">
      <c r="A2180" s="50" t="s">
        <v>5145</v>
      </c>
      <c r="B2180" s="50" t="s">
        <v>5168</v>
      </c>
      <c r="C2180" s="50" t="s">
        <v>5217</v>
      </c>
      <c r="D2180" s="50" t="s">
        <v>5009</v>
      </c>
      <c r="E2180" s="12" t="s">
        <v>4971</v>
      </c>
      <c r="F2180" s="49">
        <v>278000</v>
      </c>
      <c r="G2180" s="67" t="s">
        <v>5631</v>
      </c>
      <c r="H2180" s="14" t="s">
        <v>5601</v>
      </c>
      <c r="I2180" s="14" t="s">
        <v>2458</v>
      </c>
      <c r="J2180" s="33" t="s">
        <v>7110</v>
      </c>
      <c r="K2180" s="33" t="s">
        <v>5231</v>
      </c>
      <c r="L2180" s="68" t="s">
        <v>6054</v>
      </c>
      <c r="M2180" s="68" t="s">
        <v>8913</v>
      </c>
      <c r="N2180" s="68" t="s">
        <v>6061</v>
      </c>
      <c r="O2180" s="202">
        <v>55301</v>
      </c>
      <c r="P2180" s="197" t="s">
        <v>5775</v>
      </c>
    </row>
    <row r="2181" spans="1:16" ht="18.75" hidden="1">
      <c r="A2181" s="50" t="s">
        <v>5145</v>
      </c>
      <c r="B2181" s="50" t="s">
        <v>5168</v>
      </c>
      <c r="C2181" s="50" t="s">
        <v>4360</v>
      </c>
      <c r="D2181" s="50" t="s">
        <v>4171</v>
      </c>
      <c r="E2181" s="12" t="s">
        <v>3420</v>
      </c>
      <c r="F2181" s="49">
        <v>5380</v>
      </c>
      <c r="G2181" s="67" t="s">
        <v>5647</v>
      </c>
      <c r="H2181" s="14" t="s">
        <v>5601</v>
      </c>
      <c r="I2181" s="14" t="s">
        <v>2458</v>
      </c>
      <c r="J2181" s="33" t="s">
        <v>7110</v>
      </c>
      <c r="K2181" s="33" t="s">
        <v>5231</v>
      </c>
      <c r="L2181" s="68" t="s">
        <v>6054</v>
      </c>
      <c r="M2181" s="68" t="s">
        <v>8913</v>
      </c>
      <c r="N2181" s="68" t="s">
        <v>6061</v>
      </c>
      <c r="O2181" s="202">
        <v>55301</v>
      </c>
      <c r="P2181" s="198" t="s">
        <v>5728</v>
      </c>
    </row>
    <row r="2182" spans="1:16" ht="18.75" hidden="1">
      <c r="A2182" s="50" t="s">
        <v>5146</v>
      </c>
      <c r="B2182" s="50" t="s">
        <v>5169</v>
      </c>
      <c r="C2182" s="50" t="s">
        <v>5220</v>
      </c>
      <c r="D2182" s="50" t="s">
        <v>5007</v>
      </c>
      <c r="E2182" s="12" t="s">
        <v>4971</v>
      </c>
      <c r="F2182" s="49">
        <v>39880</v>
      </c>
      <c r="G2182" s="67" t="s">
        <v>5611</v>
      </c>
      <c r="H2182" s="14" t="s">
        <v>5601</v>
      </c>
      <c r="I2182" s="14" t="s">
        <v>2458</v>
      </c>
      <c r="J2182" s="33" t="s">
        <v>7110</v>
      </c>
      <c r="K2182" s="33" t="s">
        <v>5231</v>
      </c>
      <c r="L2182" s="68" t="s">
        <v>6054</v>
      </c>
      <c r="M2182" s="68" t="s">
        <v>8912</v>
      </c>
      <c r="N2182" s="68" t="s">
        <v>6060</v>
      </c>
      <c r="O2182" s="202">
        <v>55107</v>
      </c>
      <c r="P2182" s="198" t="s">
        <v>5762</v>
      </c>
    </row>
    <row r="2183" spans="1:16" ht="18.75" hidden="1">
      <c r="A2183" s="50" t="s">
        <v>5147</v>
      </c>
      <c r="B2183" s="50" t="s">
        <v>5164</v>
      </c>
      <c r="C2183" s="50" t="s">
        <v>5219</v>
      </c>
      <c r="D2183" s="50" t="s">
        <v>5010</v>
      </c>
      <c r="E2183" s="12" t="s">
        <v>4971</v>
      </c>
      <c r="F2183" s="49">
        <v>288060</v>
      </c>
      <c r="G2183" s="67" t="s">
        <v>5631</v>
      </c>
      <c r="H2183" s="14" t="s">
        <v>5601</v>
      </c>
      <c r="I2183" s="14" t="s">
        <v>2458</v>
      </c>
      <c r="J2183" s="33" t="s">
        <v>7110</v>
      </c>
      <c r="K2183" s="33" t="s">
        <v>5231</v>
      </c>
      <c r="L2183" s="68" t="s">
        <v>6054</v>
      </c>
      <c r="M2183" s="68" t="s">
        <v>8912</v>
      </c>
      <c r="N2183" s="68" t="s">
        <v>6061</v>
      </c>
      <c r="O2183" s="202">
        <v>55301</v>
      </c>
      <c r="P2183" s="197" t="s">
        <v>5777</v>
      </c>
    </row>
    <row r="2184" spans="1:16" ht="18.75" hidden="1">
      <c r="A2184" s="50" t="s">
        <v>5141</v>
      </c>
      <c r="B2184" s="50" t="s">
        <v>5047</v>
      </c>
      <c r="C2184" s="50" t="s">
        <v>5225</v>
      </c>
      <c r="D2184" s="50" t="s">
        <v>5011</v>
      </c>
      <c r="E2184" s="12" t="s">
        <v>4971</v>
      </c>
      <c r="F2184" s="49">
        <v>48060</v>
      </c>
      <c r="G2184" s="67" t="s">
        <v>5611</v>
      </c>
      <c r="H2184" s="14" t="s">
        <v>5601</v>
      </c>
      <c r="I2184" s="14" t="s">
        <v>2458</v>
      </c>
      <c r="J2184" s="33" t="s">
        <v>7110</v>
      </c>
      <c r="K2184" s="33" t="s">
        <v>5231</v>
      </c>
      <c r="L2184" s="68" t="s">
        <v>6054</v>
      </c>
      <c r="M2184" s="68" t="s">
        <v>8912</v>
      </c>
      <c r="N2184" s="68" t="s">
        <v>6059</v>
      </c>
      <c r="O2184" s="202">
        <v>55200</v>
      </c>
      <c r="P2184" s="198" t="s">
        <v>5758</v>
      </c>
    </row>
    <row r="2185" spans="1:16" ht="18.75" hidden="1">
      <c r="A2185" s="50" t="s">
        <v>5146</v>
      </c>
      <c r="B2185" s="50" t="s">
        <v>5169</v>
      </c>
      <c r="C2185" s="50" t="s">
        <v>5221</v>
      </c>
      <c r="D2185" s="50" t="s">
        <v>5010</v>
      </c>
      <c r="E2185" s="12" t="s">
        <v>4971</v>
      </c>
      <c r="F2185" s="49">
        <v>80000</v>
      </c>
      <c r="G2185" s="67" t="s">
        <v>5611</v>
      </c>
      <c r="H2185" s="14" t="s">
        <v>5601</v>
      </c>
      <c r="I2185" s="14" t="s">
        <v>2458</v>
      </c>
      <c r="J2185" s="33" t="s">
        <v>7110</v>
      </c>
      <c r="K2185" s="33" t="s">
        <v>5231</v>
      </c>
      <c r="L2185" s="68" t="s">
        <v>6054</v>
      </c>
      <c r="M2185" s="68" t="s">
        <v>8912</v>
      </c>
      <c r="N2185" s="68" t="s">
        <v>6060</v>
      </c>
      <c r="O2185" s="202">
        <v>55107</v>
      </c>
      <c r="P2185" s="198" t="s">
        <v>5758</v>
      </c>
    </row>
    <row r="2186" spans="1:16" ht="18.75" hidden="1">
      <c r="A2186" s="50" t="s">
        <v>5148</v>
      </c>
      <c r="B2186" s="50" t="s">
        <v>5168</v>
      </c>
      <c r="C2186" s="50" t="s">
        <v>5226</v>
      </c>
      <c r="D2186" s="50" t="s">
        <v>5165</v>
      </c>
      <c r="E2186" s="12" t="s">
        <v>4971</v>
      </c>
      <c r="F2186" s="49">
        <v>68680</v>
      </c>
      <c r="G2186" s="67" t="s">
        <v>5611</v>
      </c>
      <c r="H2186" s="14" t="s">
        <v>5601</v>
      </c>
      <c r="I2186" s="14" t="s">
        <v>2458</v>
      </c>
      <c r="J2186" s="33" t="s">
        <v>7110</v>
      </c>
      <c r="K2186" s="33" t="s">
        <v>5231</v>
      </c>
      <c r="L2186" s="68" t="s">
        <v>6054</v>
      </c>
      <c r="M2186" s="68" t="s">
        <v>8913</v>
      </c>
      <c r="N2186" s="68" t="s">
        <v>8668</v>
      </c>
      <c r="O2186" s="202">
        <v>55107</v>
      </c>
      <c r="P2186" s="198" t="s">
        <v>5762</v>
      </c>
    </row>
    <row r="2187" spans="1:16" ht="18.75" hidden="1">
      <c r="A2187" s="50" t="s">
        <v>5141</v>
      </c>
      <c r="B2187" s="50" t="s">
        <v>5047</v>
      </c>
      <c r="C2187" s="50" t="s">
        <v>5060</v>
      </c>
      <c r="D2187" s="50" t="s">
        <v>5009</v>
      </c>
      <c r="E2187" s="12" t="s">
        <v>4971</v>
      </c>
      <c r="F2187" s="49">
        <v>26480</v>
      </c>
      <c r="G2187" s="67" t="s">
        <v>5611</v>
      </c>
      <c r="H2187" s="14" t="s">
        <v>5601</v>
      </c>
      <c r="I2187" s="14" t="s">
        <v>2458</v>
      </c>
      <c r="J2187" s="33" t="s">
        <v>7110</v>
      </c>
      <c r="K2187" s="33" t="s">
        <v>5231</v>
      </c>
      <c r="L2187" s="68" t="s">
        <v>6054</v>
      </c>
      <c r="M2187" s="68" t="s">
        <v>8912</v>
      </c>
      <c r="N2187" s="68" t="s">
        <v>6059</v>
      </c>
      <c r="O2187" s="202">
        <v>55200</v>
      </c>
      <c r="P2187" s="198" t="s">
        <v>5758</v>
      </c>
    </row>
    <row r="2188" spans="1:16" ht="18.75" hidden="1">
      <c r="A2188" s="50" t="s">
        <v>5145</v>
      </c>
      <c r="B2188" s="50" t="s">
        <v>5168</v>
      </c>
      <c r="C2188" s="50" t="s">
        <v>5222</v>
      </c>
      <c r="D2188" s="50" t="s">
        <v>5045</v>
      </c>
      <c r="E2188" s="12" t="s">
        <v>4971</v>
      </c>
      <c r="F2188" s="49">
        <v>22040</v>
      </c>
      <c r="G2188" s="67" t="s">
        <v>5611</v>
      </c>
      <c r="H2188" s="14" t="s">
        <v>5601</v>
      </c>
      <c r="I2188" s="14" t="s">
        <v>2458</v>
      </c>
      <c r="J2188" s="33" t="s">
        <v>7110</v>
      </c>
      <c r="K2188" s="33" t="s">
        <v>5231</v>
      </c>
      <c r="L2188" s="68" t="s">
        <v>6054</v>
      </c>
      <c r="M2188" s="68" t="s">
        <v>8913</v>
      </c>
      <c r="N2188" s="68" t="s">
        <v>6061</v>
      </c>
      <c r="O2188" s="202">
        <v>55301</v>
      </c>
      <c r="P2188" s="198" t="s">
        <v>5758</v>
      </c>
    </row>
    <row r="2189" spans="1:16" ht="18.75" hidden="1">
      <c r="A2189" s="50" t="s">
        <v>5149</v>
      </c>
      <c r="B2189" s="50" t="s">
        <v>5164</v>
      </c>
      <c r="C2189" s="50" t="s">
        <v>5225</v>
      </c>
      <c r="D2189" s="50" t="s">
        <v>5011</v>
      </c>
      <c r="E2189" s="12" t="s">
        <v>4971</v>
      </c>
      <c r="F2189" s="49">
        <v>48930</v>
      </c>
      <c r="G2189" s="67" t="s">
        <v>5611</v>
      </c>
      <c r="H2189" s="14" t="s">
        <v>5601</v>
      </c>
      <c r="I2189" s="14" t="s">
        <v>2458</v>
      </c>
      <c r="J2189" s="33" t="s">
        <v>7110</v>
      </c>
      <c r="K2189" s="33" t="s">
        <v>5231</v>
      </c>
      <c r="L2189" s="68" t="s">
        <v>6054</v>
      </c>
      <c r="M2189" s="68" t="s">
        <v>8912</v>
      </c>
      <c r="N2189" s="68" t="s">
        <v>6060</v>
      </c>
      <c r="O2189" s="202">
        <v>55107</v>
      </c>
      <c r="P2189" s="198" t="s">
        <v>5758</v>
      </c>
    </row>
    <row r="2190" spans="1:16" ht="18.75" hidden="1">
      <c r="A2190" s="50" t="s">
        <v>5150</v>
      </c>
      <c r="B2190" s="50" t="s">
        <v>5169</v>
      </c>
      <c r="C2190" s="50" t="s">
        <v>5227</v>
      </c>
      <c r="D2190" s="50" t="s">
        <v>5162</v>
      </c>
      <c r="E2190" s="12" t="s">
        <v>4971</v>
      </c>
      <c r="F2190" s="49">
        <v>199280</v>
      </c>
      <c r="G2190" s="67" t="s">
        <v>5611</v>
      </c>
      <c r="H2190" s="14" t="s">
        <v>5601</v>
      </c>
      <c r="I2190" s="14" t="s">
        <v>2458</v>
      </c>
      <c r="J2190" s="33" t="s">
        <v>7110</v>
      </c>
      <c r="K2190" s="33" t="s">
        <v>5231</v>
      </c>
      <c r="L2190" s="68" t="s">
        <v>6054</v>
      </c>
      <c r="M2190" s="68" t="s">
        <v>8913</v>
      </c>
      <c r="N2190" s="68" t="s">
        <v>6061</v>
      </c>
      <c r="O2190" s="202">
        <v>55301</v>
      </c>
      <c r="P2190" s="198" t="s">
        <v>5762</v>
      </c>
    </row>
    <row r="2191" spans="1:16" ht="18.75" hidden="1">
      <c r="A2191" s="50" t="s">
        <v>5150</v>
      </c>
      <c r="B2191" s="50" t="s">
        <v>5169</v>
      </c>
      <c r="C2191" s="50" t="s">
        <v>5055</v>
      </c>
      <c r="D2191" s="50" t="s">
        <v>5010</v>
      </c>
      <c r="E2191" s="12" t="s">
        <v>4971</v>
      </c>
      <c r="F2191" s="49">
        <v>48980</v>
      </c>
      <c r="G2191" s="67" t="s">
        <v>5683</v>
      </c>
      <c r="H2191" s="14" t="s">
        <v>5601</v>
      </c>
      <c r="I2191" s="14" t="s">
        <v>2458</v>
      </c>
      <c r="J2191" s="33" t="s">
        <v>7110</v>
      </c>
      <c r="K2191" s="33" t="s">
        <v>5231</v>
      </c>
      <c r="L2191" s="68" t="s">
        <v>6054</v>
      </c>
      <c r="M2191" s="68" t="s">
        <v>8913</v>
      </c>
      <c r="N2191" s="68" t="s">
        <v>6061</v>
      </c>
      <c r="O2191" s="202">
        <v>55301</v>
      </c>
      <c r="P2191" s="198" t="s">
        <v>5787</v>
      </c>
    </row>
    <row r="2192" spans="1:16" ht="18.75" hidden="1">
      <c r="A2192" s="50" t="s">
        <v>5150</v>
      </c>
      <c r="B2192" s="50" t="s">
        <v>5169</v>
      </c>
      <c r="C2192" s="50" t="s">
        <v>5221</v>
      </c>
      <c r="D2192" s="50" t="s">
        <v>5010</v>
      </c>
      <c r="E2192" s="12" t="s">
        <v>4971</v>
      </c>
      <c r="F2192" s="49">
        <v>150120</v>
      </c>
      <c r="G2192" s="67" t="s">
        <v>5611</v>
      </c>
      <c r="H2192" s="14" t="s">
        <v>5601</v>
      </c>
      <c r="I2192" s="14" t="s">
        <v>2458</v>
      </c>
      <c r="J2192" s="33" t="s">
        <v>7110</v>
      </c>
      <c r="K2192" s="33" t="s">
        <v>5231</v>
      </c>
      <c r="L2192" s="68" t="s">
        <v>6054</v>
      </c>
      <c r="M2192" s="68" t="s">
        <v>8913</v>
      </c>
      <c r="N2192" s="68" t="s">
        <v>6061</v>
      </c>
      <c r="O2192" s="202">
        <v>55301</v>
      </c>
      <c r="P2192" s="198" t="s">
        <v>5758</v>
      </c>
    </row>
    <row r="2193" spans="1:16" ht="18.75" hidden="1">
      <c r="A2193" s="50" t="s">
        <v>5151</v>
      </c>
      <c r="B2193" s="50" t="s">
        <v>5160</v>
      </c>
      <c r="C2193" s="50" t="s">
        <v>5224</v>
      </c>
      <c r="D2193" s="50" t="s">
        <v>4972</v>
      </c>
      <c r="E2193" s="12" t="s">
        <v>4971</v>
      </c>
      <c r="F2193" s="49">
        <v>25800</v>
      </c>
      <c r="G2193" s="67" t="s">
        <v>5611</v>
      </c>
      <c r="H2193" s="14" t="s">
        <v>5601</v>
      </c>
      <c r="I2193" s="14" t="s">
        <v>2458</v>
      </c>
      <c r="J2193" s="33" t="s">
        <v>7110</v>
      </c>
      <c r="K2193" s="33" t="s">
        <v>5231</v>
      </c>
      <c r="L2193" s="68" t="s">
        <v>6054</v>
      </c>
      <c r="M2193" s="68" t="s">
        <v>8912</v>
      </c>
      <c r="N2193" s="68" t="s">
        <v>6060</v>
      </c>
      <c r="O2193" s="202">
        <v>55107</v>
      </c>
      <c r="P2193" s="198" t="s">
        <v>5762</v>
      </c>
    </row>
    <row r="2194" spans="1:16" ht="18.75" hidden="1">
      <c r="A2194" s="50" t="s">
        <v>5152</v>
      </c>
      <c r="B2194" s="50" t="s">
        <v>5163</v>
      </c>
      <c r="C2194" s="50" t="s">
        <v>5210</v>
      </c>
      <c r="D2194" s="50" t="s">
        <v>5047</v>
      </c>
      <c r="E2194" s="12" t="s">
        <v>4971</v>
      </c>
      <c r="F2194" s="49">
        <v>70150</v>
      </c>
      <c r="G2194" s="67" t="s">
        <v>5631</v>
      </c>
      <c r="H2194" s="14" t="s">
        <v>5601</v>
      </c>
      <c r="I2194" s="14" t="s">
        <v>2458</v>
      </c>
      <c r="J2194" s="33" t="s">
        <v>7110</v>
      </c>
      <c r="K2194" s="33" t="s">
        <v>5231</v>
      </c>
      <c r="L2194" s="68" t="s">
        <v>6054</v>
      </c>
      <c r="M2194" s="68" t="s">
        <v>8912</v>
      </c>
      <c r="N2194" s="68" t="s">
        <v>6061</v>
      </c>
      <c r="O2194" s="202">
        <v>55301</v>
      </c>
      <c r="P2194" s="197" t="s">
        <v>5801</v>
      </c>
    </row>
    <row r="2195" spans="1:16" ht="18.75" hidden="1">
      <c r="A2195" s="50" t="s">
        <v>5152</v>
      </c>
      <c r="B2195" s="50" t="s">
        <v>5163</v>
      </c>
      <c r="C2195" s="50" t="s">
        <v>5228</v>
      </c>
      <c r="D2195" s="50" t="s">
        <v>5169</v>
      </c>
      <c r="E2195" s="12" t="s">
        <v>4971</v>
      </c>
      <c r="F2195" s="49">
        <v>28010</v>
      </c>
      <c r="G2195" s="67" t="s">
        <v>5631</v>
      </c>
      <c r="H2195" s="14" t="s">
        <v>5601</v>
      </c>
      <c r="I2195" s="14" t="s">
        <v>2458</v>
      </c>
      <c r="J2195" s="33" t="s">
        <v>7110</v>
      </c>
      <c r="K2195" s="33" t="s">
        <v>5231</v>
      </c>
      <c r="L2195" s="68" t="s">
        <v>6054</v>
      </c>
      <c r="M2195" s="68" t="s">
        <v>8912</v>
      </c>
      <c r="N2195" s="68" t="s">
        <v>6061</v>
      </c>
      <c r="O2195" s="202">
        <v>55301</v>
      </c>
      <c r="P2195" s="197" t="s">
        <v>5801</v>
      </c>
    </row>
    <row r="2196" spans="1:16" ht="18.75" hidden="1">
      <c r="A2196" s="50" t="s">
        <v>5153</v>
      </c>
      <c r="B2196" s="50" t="s">
        <v>5171</v>
      </c>
      <c r="C2196" s="50" t="s">
        <v>5222</v>
      </c>
      <c r="D2196" s="50" t="s">
        <v>5045</v>
      </c>
      <c r="E2196" s="12" t="s">
        <v>4971</v>
      </c>
      <c r="F2196" s="49">
        <v>67200</v>
      </c>
      <c r="G2196" s="67" t="s">
        <v>5611</v>
      </c>
      <c r="H2196" s="14" t="s">
        <v>5601</v>
      </c>
      <c r="I2196" s="14" t="s">
        <v>2458</v>
      </c>
      <c r="J2196" s="33" t="s">
        <v>7110</v>
      </c>
      <c r="K2196" s="33" t="s">
        <v>5231</v>
      </c>
      <c r="L2196" s="68" t="s">
        <v>6054</v>
      </c>
      <c r="M2196" s="68" t="s">
        <v>8913</v>
      </c>
      <c r="N2196" s="68" t="s">
        <v>6061</v>
      </c>
      <c r="O2196" s="202">
        <v>55301</v>
      </c>
      <c r="P2196" s="198" t="s">
        <v>5758</v>
      </c>
    </row>
    <row r="2197" spans="1:16" ht="18.75" hidden="1">
      <c r="A2197" s="50" t="s">
        <v>5153</v>
      </c>
      <c r="B2197" s="50" t="s">
        <v>5171</v>
      </c>
      <c r="C2197" s="50" t="s">
        <v>5229</v>
      </c>
      <c r="D2197" s="50" t="s">
        <v>5011</v>
      </c>
      <c r="E2197" s="12" t="s">
        <v>4971</v>
      </c>
      <c r="F2197" s="49">
        <v>93120</v>
      </c>
      <c r="G2197" s="67" t="s">
        <v>5609</v>
      </c>
      <c r="H2197" s="14" t="s">
        <v>5601</v>
      </c>
      <c r="I2197" s="14" t="s">
        <v>2458</v>
      </c>
      <c r="J2197" s="33" t="s">
        <v>7110</v>
      </c>
      <c r="K2197" s="33" t="s">
        <v>5231</v>
      </c>
      <c r="L2197" s="68" t="s">
        <v>6054</v>
      </c>
      <c r="M2197" s="68" t="s">
        <v>8913</v>
      </c>
      <c r="N2197" s="68" t="s">
        <v>6061</v>
      </c>
      <c r="O2197" s="202">
        <v>55301</v>
      </c>
      <c r="P2197" s="198" t="s">
        <v>5772</v>
      </c>
    </row>
    <row r="2198" spans="1:16" ht="18.75" hidden="1">
      <c r="A2198" s="50" t="s">
        <v>5154</v>
      </c>
      <c r="B2198" s="50" t="s">
        <v>5168</v>
      </c>
      <c r="C2198" s="50" t="s">
        <v>5229</v>
      </c>
      <c r="D2198" s="50" t="s">
        <v>5011</v>
      </c>
      <c r="E2198" s="12" t="s">
        <v>4971</v>
      </c>
      <c r="F2198" s="49">
        <v>93680</v>
      </c>
      <c r="G2198" s="67" t="s">
        <v>5609</v>
      </c>
      <c r="H2198" s="14" t="s">
        <v>5601</v>
      </c>
      <c r="I2198" s="14" t="s">
        <v>2458</v>
      </c>
      <c r="J2198" s="33" t="s">
        <v>7110</v>
      </c>
      <c r="K2198" s="33" t="s">
        <v>5231</v>
      </c>
      <c r="L2198" s="68" t="s">
        <v>6054</v>
      </c>
      <c r="M2198" s="68" t="s">
        <v>8912</v>
      </c>
      <c r="N2198" s="68" t="s">
        <v>6061</v>
      </c>
      <c r="O2198" s="202">
        <v>55301</v>
      </c>
      <c r="P2198" s="198" t="s">
        <v>5772</v>
      </c>
    </row>
    <row r="2199" spans="1:16" ht="18.75" hidden="1">
      <c r="A2199" s="50" t="s">
        <v>5155</v>
      </c>
      <c r="B2199" s="50" t="s">
        <v>5160</v>
      </c>
      <c r="C2199" s="50" t="s">
        <v>5210</v>
      </c>
      <c r="D2199" s="50" t="s">
        <v>5047</v>
      </c>
      <c r="E2199" s="12" t="s">
        <v>4971</v>
      </c>
      <c r="F2199" s="49">
        <v>168360</v>
      </c>
      <c r="G2199" s="67" t="s">
        <v>5631</v>
      </c>
      <c r="H2199" s="14" t="s">
        <v>5601</v>
      </c>
      <c r="I2199" s="14" t="s">
        <v>2458</v>
      </c>
      <c r="J2199" s="33" t="s">
        <v>7110</v>
      </c>
      <c r="K2199" s="33" t="s">
        <v>5231</v>
      </c>
      <c r="L2199" s="68" t="s">
        <v>6054</v>
      </c>
      <c r="M2199" s="68" t="s">
        <v>8912</v>
      </c>
      <c r="N2199" s="68" t="s">
        <v>6061</v>
      </c>
      <c r="O2199" s="202">
        <v>55301</v>
      </c>
      <c r="P2199" s="197" t="s">
        <v>5801</v>
      </c>
    </row>
    <row r="2200" spans="1:16" ht="18.75" hidden="1">
      <c r="A2200" s="50" t="s">
        <v>5156</v>
      </c>
      <c r="B2200" s="50" t="s">
        <v>5047</v>
      </c>
      <c r="C2200" s="50" t="s">
        <v>5223</v>
      </c>
      <c r="D2200" s="50" t="s">
        <v>5011</v>
      </c>
      <c r="E2200" s="12" t="s">
        <v>4971</v>
      </c>
      <c r="F2200" s="49">
        <v>39320</v>
      </c>
      <c r="G2200" s="67" t="s">
        <v>5611</v>
      </c>
      <c r="H2200" s="14" t="s">
        <v>5601</v>
      </c>
      <c r="I2200" s="14" t="s">
        <v>2458</v>
      </c>
      <c r="J2200" s="33" t="s">
        <v>7110</v>
      </c>
      <c r="K2200" s="33" t="s">
        <v>5231</v>
      </c>
      <c r="L2200" s="68" t="s">
        <v>6054</v>
      </c>
      <c r="M2200" s="68" t="s">
        <v>8912</v>
      </c>
      <c r="N2200" s="68" t="s">
        <v>6061</v>
      </c>
      <c r="O2200" s="202">
        <v>55301</v>
      </c>
      <c r="P2200" s="198" t="s">
        <v>5758</v>
      </c>
    </row>
    <row r="2201" spans="1:16" ht="18.75" hidden="1">
      <c r="A2201" s="50" t="s">
        <v>5156</v>
      </c>
      <c r="B2201" s="50" t="s">
        <v>5047</v>
      </c>
      <c r="C2201" s="50" t="s">
        <v>5057</v>
      </c>
      <c r="D2201" s="50" t="s">
        <v>5012</v>
      </c>
      <c r="E2201" s="12" t="s">
        <v>4971</v>
      </c>
      <c r="F2201" s="49">
        <v>12600</v>
      </c>
      <c r="G2201" s="67" t="s">
        <v>5611</v>
      </c>
      <c r="H2201" s="14" t="s">
        <v>5601</v>
      </c>
      <c r="I2201" s="14" t="s">
        <v>2458</v>
      </c>
      <c r="J2201" s="33" t="s">
        <v>7110</v>
      </c>
      <c r="K2201" s="33" t="s">
        <v>5231</v>
      </c>
      <c r="L2201" s="68" t="s">
        <v>6054</v>
      </c>
      <c r="M2201" s="68" t="s">
        <v>8912</v>
      </c>
      <c r="N2201" s="68" t="s">
        <v>6061</v>
      </c>
      <c r="O2201" s="202">
        <v>55301</v>
      </c>
      <c r="P2201" s="198" t="s">
        <v>5762</v>
      </c>
    </row>
    <row r="2202" spans="1:16" ht="18.75" hidden="1">
      <c r="A2202" s="50" t="s">
        <v>5130</v>
      </c>
      <c r="B2202" s="50" t="s">
        <v>5161</v>
      </c>
      <c r="C2202" s="50" t="s">
        <v>5223</v>
      </c>
      <c r="D2202" s="50" t="s">
        <v>5011</v>
      </c>
      <c r="E2202" s="12" t="s">
        <v>4971</v>
      </c>
      <c r="F2202" s="49">
        <v>69970</v>
      </c>
      <c r="G2202" s="67" t="s">
        <v>5611</v>
      </c>
      <c r="H2202" s="14" t="s">
        <v>5601</v>
      </c>
      <c r="I2202" s="14" t="s">
        <v>2458</v>
      </c>
      <c r="J2202" s="33" t="s">
        <v>7110</v>
      </c>
      <c r="K2202" s="33" t="s">
        <v>5231</v>
      </c>
      <c r="L2202" s="68" t="s">
        <v>6054</v>
      </c>
      <c r="M2202" s="68" t="s">
        <v>8912</v>
      </c>
      <c r="N2202" s="68" t="s">
        <v>6059</v>
      </c>
      <c r="O2202" s="202">
        <v>55200</v>
      </c>
      <c r="P2202" s="198" t="s">
        <v>5758</v>
      </c>
    </row>
    <row r="2203" spans="1:16" ht="18.75" hidden="1">
      <c r="A2203" s="50" t="s">
        <v>5131</v>
      </c>
      <c r="B2203" s="50" t="s">
        <v>5162</v>
      </c>
      <c r="C2203" s="50" t="s">
        <v>5223</v>
      </c>
      <c r="D2203" s="50" t="s">
        <v>5011</v>
      </c>
      <c r="E2203" s="12" t="s">
        <v>4971</v>
      </c>
      <c r="F2203" s="49">
        <v>274250</v>
      </c>
      <c r="G2203" s="67" t="s">
        <v>5611</v>
      </c>
      <c r="H2203" s="14" t="s">
        <v>5601</v>
      </c>
      <c r="I2203" s="14" t="s">
        <v>2458</v>
      </c>
      <c r="J2203" s="33" t="s">
        <v>7110</v>
      </c>
      <c r="K2203" s="33" t="s">
        <v>5231</v>
      </c>
      <c r="L2203" s="68" t="s">
        <v>6054</v>
      </c>
      <c r="M2203" s="68" t="s">
        <v>8912</v>
      </c>
      <c r="N2203" s="68" t="s">
        <v>6059</v>
      </c>
      <c r="O2203" s="202">
        <v>55200</v>
      </c>
      <c r="P2203" s="198" t="s">
        <v>5758</v>
      </c>
    </row>
    <row r="2204" spans="1:16" ht="18.75" hidden="1">
      <c r="A2204" s="50" t="s">
        <v>5134</v>
      </c>
      <c r="B2204" s="50" t="s">
        <v>5162</v>
      </c>
      <c r="C2204" s="50" t="s">
        <v>5223</v>
      </c>
      <c r="D2204" s="50" t="s">
        <v>5011</v>
      </c>
      <c r="E2204" s="12" t="s">
        <v>4971</v>
      </c>
      <c r="F2204" s="49">
        <v>78550</v>
      </c>
      <c r="G2204" s="67" t="s">
        <v>5611</v>
      </c>
      <c r="H2204" s="14" t="s">
        <v>5601</v>
      </c>
      <c r="I2204" s="14" t="s">
        <v>2458</v>
      </c>
      <c r="J2204" s="33" t="s">
        <v>7110</v>
      </c>
      <c r="K2204" s="33" t="s">
        <v>5231</v>
      </c>
      <c r="L2204" s="68" t="s">
        <v>6054</v>
      </c>
      <c r="M2204" s="68" t="s">
        <v>8913</v>
      </c>
      <c r="N2204" s="68" t="s">
        <v>6061</v>
      </c>
      <c r="O2204" s="202">
        <v>55301</v>
      </c>
      <c r="P2204" s="198" t="s">
        <v>5758</v>
      </c>
    </row>
    <row r="2205" spans="1:16" ht="18.75" hidden="1">
      <c r="A2205" s="50" t="s">
        <v>5136</v>
      </c>
      <c r="B2205" s="50" t="s">
        <v>5160</v>
      </c>
      <c r="C2205" s="50" t="s">
        <v>5074</v>
      </c>
      <c r="D2205" s="50" t="s">
        <v>5045</v>
      </c>
      <c r="E2205" s="12" t="s">
        <v>4971</v>
      </c>
      <c r="F2205" s="49">
        <v>163060</v>
      </c>
      <c r="G2205" s="67" t="s">
        <v>5631</v>
      </c>
      <c r="H2205" s="14" t="s">
        <v>5601</v>
      </c>
      <c r="I2205" s="14" t="s">
        <v>2458</v>
      </c>
      <c r="J2205" s="33" t="s">
        <v>7110</v>
      </c>
      <c r="K2205" s="33" t="s">
        <v>5231</v>
      </c>
      <c r="L2205" s="68" t="s">
        <v>6054</v>
      </c>
      <c r="M2205" s="68" t="s">
        <v>8913</v>
      </c>
      <c r="N2205" s="68" t="s">
        <v>6061</v>
      </c>
      <c r="O2205" s="202">
        <v>55301</v>
      </c>
      <c r="P2205" s="197" t="s">
        <v>5751</v>
      </c>
    </row>
    <row r="2206" spans="1:16" ht="18.75" hidden="1">
      <c r="A2206" s="50" t="s">
        <v>5157</v>
      </c>
      <c r="B2206" s="50" t="s">
        <v>5163</v>
      </c>
      <c r="C2206" s="50" t="s">
        <v>5074</v>
      </c>
      <c r="D2206" s="50" t="s">
        <v>5045</v>
      </c>
      <c r="E2206" s="12" t="s">
        <v>4971</v>
      </c>
      <c r="F2206" s="49">
        <v>170830</v>
      </c>
      <c r="G2206" s="67" t="s">
        <v>5631</v>
      </c>
      <c r="H2206" s="14" t="s">
        <v>5601</v>
      </c>
      <c r="I2206" s="14" t="s">
        <v>2458</v>
      </c>
      <c r="J2206" s="33" t="s">
        <v>7110</v>
      </c>
      <c r="K2206" s="33" t="s">
        <v>5231</v>
      </c>
      <c r="L2206" s="68" t="s">
        <v>6054</v>
      </c>
      <c r="M2206" s="68" t="s">
        <v>8912</v>
      </c>
      <c r="N2206" s="68" t="s">
        <v>6059</v>
      </c>
      <c r="O2206" s="202">
        <v>55200</v>
      </c>
      <c r="P2206" s="197" t="s">
        <v>5751</v>
      </c>
    </row>
    <row r="2207" spans="1:16" ht="18.75" hidden="1">
      <c r="A2207" s="50" t="s">
        <v>5143</v>
      </c>
      <c r="B2207" s="50" t="s">
        <v>5166</v>
      </c>
      <c r="C2207" s="50" t="s">
        <v>5223</v>
      </c>
      <c r="D2207" s="50" t="s">
        <v>5011</v>
      </c>
      <c r="E2207" s="12" t="s">
        <v>4971</v>
      </c>
      <c r="F2207" s="49">
        <v>86900</v>
      </c>
      <c r="G2207" s="67" t="s">
        <v>5611</v>
      </c>
      <c r="H2207" s="14" t="s">
        <v>5601</v>
      </c>
      <c r="I2207" s="14" t="s">
        <v>2458</v>
      </c>
      <c r="J2207" s="33" t="s">
        <v>7110</v>
      </c>
      <c r="K2207" s="33" t="s">
        <v>5231</v>
      </c>
      <c r="L2207" s="68" t="s">
        <v>6054</v>
      </c>
      <c r="M2207" s="68" t="s">
        <v>8913</v>
      </c>
      <c r="N2207" s="68" t="s">
        <v>6061</v>
      </c>
      <c r="O2207" s="202">
        <v>55301</v>
      </c>
      <c r="P2207" s="198" t="s">
        <v>5758</v>
      </c>
    </row>
    <row r="2208" spans="1:16" ht="18.75" hidden="1">
      <c r="A2208" s="50" t="s">
        <v>5145</v>
      </c>
      <c r="B2208" s="50" t="s">
        <v>5168</v>
      </c>
      <c r="C2208" s="50" t="s">
        <v>4701</v>
      </c>
      <c r="D2208" s="50" t="s">
        <v>4500</v>
      </c>
      <c r="E2208" s="12" t="s">
        <v>3420</v>
      </c>
      <c r="F2208" s="49">
        <v>1900</v>
      </c>
      <c r="G2208" s="67" t="s">
        <v>5647</v>
      </c>
      <c r="H2208" s="14" t="s">
        <v>5601</v>
      </c>
      <c r="I2208" s="14" t="s">
        <v>2458</v>
      </c>
      <c r="J2208" s="33" t="s">
        <v>7110</v>
      </c>
      <c r="K2208" s="33" t="s">
        <v>5231</v>
      </c>
      <c r="L2208" s="68" t="s">
        <v>6054</v>
      </c>
      <c r="M2208" s="68" t="s">
        <v>8913</v>
      </c>
      <c r="N2208" s="68" t="s">
        <v>6061</v>
      </c>
      <c r="O2208" s="202">
        <v>55301</v>
      </c>
      <c r="P2208" s="198" t="s">
        <v>5728</v>
      </c>
    </row>
    <row r="2209" spans="1:16" ht="18.75" hidden="1">
      <c r="A2209" s="50" t="s">
        <v>5158</v>
      </c>
      <c r="B2209" s="50" t="s">
        <v>5166</v>
      </c>
      <c r="C2209" s="50" t="s">
        <v>5223</v>
      </c>
      <c r="D2209" s="50" t="s">
        <v>5011</v>
      </c>
      <c r="E2209" s="12" t="s">
        <v>4971</v>
      </c>
      <c r="F2209" s="49">
        <v>45190</v>
      </c>
      <c r="G2209" s="67" t="s">
        <v>5611</v>
      </c>
      <c r="H2209" s="14" t="s">
        <v>5601</v>
      </c>
      <c r="I2209" s="14" t="s">
        <v>2458</v>
      </c>
      <c r="J2209" s="33" t="s">
        <v>7110</v>
      </c>
      <c r="K2209" s="33" t="s">
        <v>5231</v>
      </c>
      <c r="L2209" s="68" t="s">
        <v>6054</v>
      </c>
      <c r="M2209" s="68" t="s">
        <v>8912</v>
      </c>
      <c r="N2209" s="68" t="s">
        <v>6061</v>
      </c>
      <c r="O2209" s="202">
        <v>55301</v>
      </c>
      <c r="P2209" s="198" t="s">
        <v>5758</v>
      </c>
    </row>
    <row r="2210" spans="1:16" ht="18.75" hidden="1">
      <c r="A2210" s="50" t="s">
        <v>5159</v>
      </c>
      <c r="B2210" s="50" t="s">
        <v>5166</v>
      </c>
      <c r="C2210" s="50" t="s">
        <v>5075</v>
      </c>
      <c r="D2210" s="50" t="s">
        <v>5011</v>
      </c>
      <c r="E2210" s="12" t="s">
        <v>4971</v>
      </c>
      <c r="F2210" s="49">
        <v>48180</v>
      </c>
      <c r="G2210" s="67" t="s">
        <v>5631</v>
      </c>
      <c r="H2210" s="14" t="s">
        <v>5601</v>
      </c>
      <c r="I2210" s="14" t="s">
        <v>2458</v>
      </c>
      <c r="J2210" s="33" t="s">
        <v>7110</v>
      </c>
      <c r="K2210" s="33" t="s">
        <v>5231</v>
      </c>
      <c r="L2210" s="68" t="s">
        <v>6054</v>
      </c>
      <c r="M2210" s="68" t="s">
        <v>8912</v>
      </c>
      <c r="N2210" s="68" t="s">
        <v>6060</v>
      </c>
      <c r="O2210" s="202">
        <v>55107</v>
      </c>
      <c r="P2210" s="197" t="s">
        <v>5777</v>
      </c>
    </row>
    <row r="2211" spans="1:16" ht="18.75" hidden="1">
      <c r="A2211" s="50" t="s">
        <v>5243</v>
      </c>
      <c r="B2211" s="50" t="s">
        <v>5265</v>
      </c>
      <c r="C2211" s="50" t="s">
        <v>5075</v>
      </c>
      <c r="D2211" s="50" t="s">
        <v>5011</v>
      </c>
      <c r="E2211" s="12" t="s">
        <v>4971</v>
      </c>
      <c r="F2211" s="49">
        <v>29300</v>
      </c>
      <c r="G2211" s="67" t="s">
        <v>5631</v>
      </c>
      <c r="H2211" s="14" t="s">
        <v>5601</v>
      </c>
      <c r="I2211" s="14" t="s">
        <v>2458</v>
      </c>
      <c r="J2211" s="33" t="s">
        <v>7110</v>
      </c>
      <c r="K2211" s="33" t="s">
        <v>5287</v>
      </c>
      <c r="L2211" s="68" t="s">
        <v>6054</v>
      </c>
      <c r="M2211" s="68" t="s">
        <v>8912</v>
      </c>
      <c r="N2211" s="68" t="s">
        <v>6059</v>
      </c>
      <c r="O2211" s="202">
        <v>55200</v>
      </c>
      <c r="P2211" s="197" t="s">
        <v>5777</v>
      </c>
    </row>
    <row r="2212" spans="1:16" ht="18.75" hidden="1">
      <c r="A2212" s="50" t="s">
        <v>5244</v>
      </c>
      <c r="B2212" s="50" t="s">
        <v>5077</v>
      </c>
      <c r="C2212" s="50" t="s">
        <v>5209</v>
      </c>
      <c r="D2212" s="50" t="s">
        <v>5047</v>
      </c>
      <c r="E2212" s="12" t="s">
        <v>4971</v>
      </c>
      <c r="F2212" s="49">
        <v>48520</v>
      </c>
      <c r="G2212" s="67" t="s">
        <v>5611</v>
      </c>
      <c r="H2212" s="14" t="s">
        <v>5601</v>
      </c>
      <c r="I2212" s="14" t="s">
        <v>2458</v>
      </c>
      <c r="J2212" s="33" t="s">
        <v>7110</v>
      </c>
      <c r="K2212" s="33" t="s">
        <v>5287</v>
      </c>
      <c r="L2212" s="68" t="s">
        <v>8663</v>
      </c>
      <c r="M2212" s="68" t="s">
        <v>8913</v>
      </c>
      <c r="N2212" s="68" t="s">
        <v>6058</v>
      </c>
      <c r="O2212" s="68">
        <v>60400</v>
      </c>
      <c r="P2212" s="198" t="s">
        <v>5762</v>
      </c>
    </row>
    <row r="2213" spans="1:16" ht="18.75" hidden="1">
      <c r="A2213" s="50" t="s">
        <v>5243</v>
      </c>
      <c r="B2213" s="50" t="s">
        <v>5265</v>
      </c>
      <c r="C2213" s="50" t="s">
        <v>5211</v>
      </c>
      <c r="D2213" s="50" t="s">
        <v>5046</v>
      </c>
      <c r="E2213" s="12" t="s">
        <v>4971</v>
      </c>
      <c r="F2213" s="49">
        <v>75270</v>
      </c>
      <c r="G2213" s="67" t="s">
        <v>5631</v>
      </c>
      <c r="H2213" s="14" t="s">
        <v>5601</v>
      </c>
      <c r="I2213" s="14" t="s">
        <v>2458</v>
      </c>
      <c r="J2213" s="33" t="s">
        <v>7110</v>
      </c>
      <c r="K2213" s="33" t="s">
        <v>5287</v>
      </c>
      <c r="L2213" s="68" t="s">
        <v>6054</v>
      </c>
      <c r="M2213" s="68" t="s">
        <v>8912</v>
      </c>
      <c r="N2213" s="68" t="s">
        <v>6059</v>
      </c>
      <c r="O2213" s="202">
        <v>55200</v>
      </c>
      <c r="P2213" s="197" t="s">
        <v>5777</v>
      </c>
    </row>
    <row r="2214" spans="1:16" ht="18.75" hidden="1">
      <c r="A2214" s="50" t="s">
        <v>5243</v>
      </c>
      <c r="B2214" s="50" t="s">
        <v>5265</v>
      </c>
      <c r="C2214" s="50" t="s">
        <v>5225</v>
      </c>
      <c r="D2214" s="50" t="s">
        <v>5011</v>
      </c>
      <c r="E2214" s="12" t="s">
        <v>4971</v>
      </c>
      <c r="F2214" s="49">
        <v>20690</v>
      </c>
      <c r="G2214" s="67" t="s">
        <v>5611</v>
      </c>
      <c r="H2214" s="14" t="s">
        <v>5601</v>
      </c>
      <c r="I2214" s="14" t="s">
        <v>2458</v>
      </c>
      <c r="J2214" s="33" t="s">
        <v>7110</v>
      </c>
      <c r="K2214" s="33" t="s">
        <v>5287</v>
      </c>
      <c r="L2214" s="68" t="s">
        <v>6054</v>
      </c>
      <c r="M2214" s="68" t="s">
        <v>8912</v>
      </c>
      <c r="N2214" s="68" t="s">
        <v>6059</v>
      </c>
      <c r="O2214" s="202">
        <v>55200</v>
      </c>
      <c r="P2214" s="198" t="s">
        <v>5758</v>
      </c>
    </row>
    <row r="2215" spans="1:16" ht="18.75" hidden="1">
      <c r="A2215" s="50" t="s">
        <v>5245</v>
      </c>
      <c r="B2215" s="50" t="s">
        <v>5266</v>
      </c>
      <c r="C2215" s="50" t="s">
        <v>5208</v>
      </c>
      <c r="D2215" s="50" t="s">
        <v>5165</v>
      </c>
      <c r="E2215" s="12" t="s">
        <v>4971</v>
      </c>
      <c r="F2215" s="49">
        <v>36720</v>
      </c>
      <c r="G2215" s="67" t="s">
        <v>5611</v>
      </c>
      <c r="H2215" s="14" t="s">
        <v>5601</v>
      </c>
      <c r="I2215" s="14" t="s">
        <v>2458</v>
      </c>
      <c r="J2215" s="33" t="s">
        <v>7110</v>
      </c>
      <c r="K2215" s="33" t="s">
        <v>5287</v>
      </c>
      <c r="L2215" s="68" t="s">
        <v>8663</v>
      </c>
      <c r="M2215" s="68" t="s">
        <v>8913</v>
      </c>
      <c r="N2215" s="68" t="s">
        <v>6058</v>
      </c>
      <c r="O2215" s="68">
        <v>60400</v>
      </c>
      <c r="P2215" s="198" t="s">
        <v>5762</v>
      </c>
    </row>
    <row r="2216" spans="1:16" ht="18.75" hidden="1">
      <c r="A2216" s="50" t="s">
        <v>5246</v>
      </c>
      <c r="B2216" s="50" t="s">
        <v>5267</v>
      </c>
      <c r="C2216" s="50" t="s">
        <v>5275</v>
      </c>
      <c r="D2216" s="50" t="s">
        <v>5163</v>
      </c>
      <c r="E2216" s="12" t="s">
        <v>4971</v>
      </c>
      <c r="F2216" s="49">
        <v>47920</v>
      </c>
      <c r="G2216" s="67" t="s">
        <v>5611</v>
      </c>
      <c r="H2216" s="14" t="s">
        <v>5601</v>
      </c>
      <c r="I2216" s="14" t="s">
        <v>2458</v>
      </c>
      <c r="J2216" s="33" t="s">
        <v>7110</v>
      </c>
      <c r="K2216" s="33" t="s">
        <v>5287</v>
      </c>
      <c r="L2216" s="68" t="s">
        <v>8663</v>
      </c>
      <c r="M2216" s="68" t="s">
        <v>8913</v>
      </c>
      <c r="N2216" s="68" t="s">
        <v>6058</v>
      </c>
      <c r="O2216" s="68">
        <v>60400</v>
      </c>
      <c r="P2216" s="198" t="s">
        <v>5799</v>
      </c>
    </row>
    <row r="2217" spans="1:16" ht="18.75" hidden="1">
      <c r="A2217" s="50" t="s">
        <v>5247</v>
      </c>
      <c r="B2217" s="50" t="s">
        <v>5268</v>
      </c>
      <c r="C2217" s="50" t="s">
        <v>5275</v>
      </c>
      <c r="D2217" s="50" t="s">
        <v>5163</v>
      </c>
      <c r="E2217" s="12" t="s">
        <v>4971</v>
      </c>
      <c r="F2217" s="49">
        <v>70740</v>
      </c>
      <c r="G2217" s="67" t="s">
        <v>5611</v>
      </c>
      <c r="H2217" s="14" t="s">
        <v>5601</v>
      </c>
      <c r="I2217" s="14" t="s">
        <v>2458</v>
      </c>
      <c r="J2217" s="33" t="s">
        <v>7110</v>
      </c>
      <c r="K2217" s="33" t="s">
        <v>5287</v>
      </c>
      <c r="L2217" s="68" t="s">
        <v>8663</v>
      </c>
      <c r="M2217" s="68" t="s">
        <v>8913</v>
      </c>
      <c r="N2217" s="68" t="s">
        <v>6058</v>
      </c>
      <c r="O2217" s="68">
        <v>60400</v>
      </c>
      <c r="P2217" s="198" t="s">
        <v>5799</v>
      </c>
    </row>
    <row r="2218" spans="1:16" ht="18.75" hidden="1">
      <c r="A2218" s="50" t="s">
        <v>5247</v>
      </c>
      <c r="B2218" s="50" t="s">
        <v>5268</v>
      </c>
      <c r="C2218" s="50" t="s">
        <v>5209</v>
      </c>
      <c r="D2218" s="50" t="s">
        <v>5047</v>
      </c>
      <c r="E2218" s="12" t="s">
        <v>4971</v>
      </c>
      <c r="F2218" s="49">
        <v>26840</v>
      </c>
      <c r="G2218" s="67" t="s">
        <v>5611</v>
      </c>
      <c r="H2218" s="14" t="s">
        <v>5601</v>
      </c>
      <c r="I2218" s="14" t="s">
        <v>2458</v>
      </c>
      <c r="J2218" s="33" t="s">
        <v>7110</v>
      </c>
      <c r="K2218" s="33" t="s">
        <v>5287</v>
      </c>
      <c r="L2218" s="68" t="s">
        <v>8663</v>
      </c>
      <c r="M2218" s="68" t="s">
        <v>8913</v>
      </c>
      <c r="N2218" s="68" t="s">
        <v>6058</v>
      </c>
      <c r="O2218" s="68">
        <v>60400</v>
      </c>
      <c r="P2218" s="198" t="s">
        <v>5762</v>
      </c>
    </row>
    <row r="2219" spans="1:16" ht="18.75" hidden="1">
      <c r="A2219" s="50" t="s">
        <v>5245</v>
      </c>
      <c r="B2219" s="50" t="s">
        <v>5266</v>
      </c>
      <c r="C2219" s="50" t="s">
        <v>5209</v>
      </c>
      <c r="D2219" s="50" t="s">
        <v>5047</v>
      </c>
      <c r="E2219" s="12" t="s">
        <v>4971</v>
      </c>
      <c r="F2219" s="49">
        <v>34020</v>
      </c>
      <c r="G2219" s="67" t="s">
        <v>5611</v>
      </c>
      <c r="H2219" s="14" t="s">
        <v>5601</v>
      </c>
      <c r="I2219" s="14" t="s">
        <v>2458</v>
      </c>
      <c r="J2219" s="33" t="s">
        <v>7110</v>
      </c>
      <c r="K2219" s="33" t="s">
        <v>5287</v>
      </c>
      <c r="L2219" s="68" t="s">
        <v>8663</v>
      </c>
      <c r="M2219" s="68" t="s">
        <v>8913</v>
      </c>
      <c r="N2219" s="68" t="s">
        <v>6058</v>
      </c>
      <c r="O2219" s="68">
        <v>60400</v>
      </c>
      <c r="P2219" s="198" t="s">
        <v>5762</v>
      </c>
    </row>
    <row r="2220" spans="1:16" ht="18.75" hidden="1">
      <c r="A2220" s="50" t="s">
        <v>5248</v>
      </c>
      <c r="B2220" s="50" t="s">
        <v>5269</v>
      </c>
      <c r="C2220" s="50" t="s">
        <v>5275</v>
      </c>
      <c r="D2220" s="50" t="s">
        <v>5163</v>
      </c>
      <c r="E2220" s="12" t="s">
        <v>4971</v>
      </c>
      <c r="F2220" s="49">
        <v>72680</v>
      </c>
      <c r="G2220" s="67" t="s">
        <v>5611</v>
      </c>
      <c r="H2220" s="14" t="s">
        <v>5601</v>
      </c>
      <c r="I2220" s="14" t="s">
        <v>2458</v>
      </c>
      <c r="J2220" s="33" t="s">
        <v>7110</v>
      </c>
      <c r="K2220" s="33" t="s">
        <v>5287</v>
      </c>
      <c r="L2220" s="68" t="s">
        <v>8663</v>
      </c>
      <c r="M2220" s="68" t="s">
        <v>8913</v>
      </c>
      <c r="N2220" s="68" t="s">
        <v>6058</v>
      </c>
      <c r="O2220" s="68">
        <v>60400</v>
      </c>
      <c r="P2220" s="198" t="s">
        <v>5799</v>
      </c>
    </row>
    <row r="2221" spans="1:16" ht="18.75" hidden="1">
      <c r="A2221" s="50" t="s">
        <v>5249</v>
      </c>
      <c r="B2221" s="50" t="s">
        <v>5270</v>
      </c>
      <c r="C2221" s="50" t="s">
        <v>5228</v>
      </c>
      <c r="D2221" s="50" t="s">
        <v>5169</v>
      </c>
      <c r="E2221" s="12" t="s">
        <v>4971</v>
      </c>
      <c r="F2221" s="49">
        <v>179650</v>
      </c>
      <c r="G2221" s="67" t="s">
        <v>5631</v>
      </c>
      <c r="H2221" s="14" t="s">
        <v>5601</v>
      </c>
      <c r="I2221" s="14" t="s">
        <v>2458</v>
      </c>
      <c r="J2221" s="33" t="s">
        <v>7110</v>
      </c>
      <c r="K2221" s="33" t="s">
        <v>5287</v>
      </c>
      <c r="L2221" s="68" t="s">
        <v>6054</v>
      </c>
      <c r="M2221" s="68" t="s">
        <v>8912</v>
      </c>
      <c r="N2221" s="68" t="s">
        <v>6059</v>
      </c>
      <c r="O2221" s="202">
        <v>55200</v>
      </c>
      <c r="P2221" s="197" t="s">
        <v>5801</v>
      </c>
    </row>
    <row r="2222" spans="1:16" ht="18.75" hidden="1">
      <c r="A2222" s="50" t="s">
        <v>5250</v>
      </c>
      <c r="B2222" s="50" t="s">
        <v>5271</v>
      </c>
      <c r="C2222" s="50" t="s">
        <v>5275</v>
      </c>
      <c r="D2222" s="50" t="s">
        <v>5163</v>
      </c>
      <c r="E2222" s="12" t="s">
        <v>4971</v>
      </c>
      <c r="F2222" s="49">
        <v>48660</v>
      </c>
      <c r="G2222" s="67" t="s">
        <v>5611</v>
      </c>
      <c r="H2222" s="14" t="s">
        <v>5601</v>
      </c>
      <c r="I2222" s="14" t="s">
        <v>2458</v>
      </c>
      <c r="J2222" s="33" t="s">
        <v>7110</v>
      </c>
      <c r="K2222" s="33" t="s">
        <v>5287</v>
      </c>
      <c r="L2222" s="68" t="s">
        <v>8663</v>
      </c>
      <c r="M2222" s="68" t="s">
        <v>8913</v>
      </c>
      <c r="N2222" s="68" t="s">
        <v>6058</v>
      </c>
      <c r="O2222" s="68">
        <v>60400</v>
      </c>
      <c r="P2222" s="198" t="s">
        <v>5799</v>
      </c>
    </row>
    <row r="2223" spans="1:16" ht="18.75" hidden="1">
      <c r="A2223" s="50" t="s">
        <v>5251</v>
      </c>
      <c r="B2223" s="50" t="s">
        <v>5272</v>
      </c>
      <c r="C2223" s="50" t="s">
        <v>5276</v>
      </c>
      <c r="D2223" s="50" t="s">
        <v>5047</v>
      </c>
      <c r="E2223" s="12" t="s">
        <v>4971</v>
      </c>
      <c r="F2223" s="49">
        <v>145600</v>
      </c>
      <c r="G2223" s="67" t="s">
        <v>5631</v>
      </c>
      <c r="H2223" s="14" t="s">
        <v>5601</v>
      </c>
      <c r="I2223" s="14" t="s">
        <v>2458</v>
      </c>
      <c r="J2223" s="33" t="s">
        <v>7110</v>
      </c>
      <c r="K2223" s="33" t="s">
        <v>5287</v>
      </c>
      <c r="L2223" s="68" t="s">
        <v>6054</v>
      </c>
      <c r="M2223" s="68" t="s">
        <v>8913</v>
      </c>
      <c r="N2223" s="68" t="s">
        <v>6061</v>
      </c>
      <c r="O2223" s="202">
        <v>55301</v>
      </c>
      <c r="P2223" s="197" t="s">
        <v>5801</v>
      </c>
    </row>
    <row r="2224" spans="1:16" ht="18.75" hidden="1">
      <c r="A2224" s="50" t="s">
        <v>5252</v>
      </c>
      <c r="B2224" s="50" t="s">
        <v>5271</v>
      </c>
      <c r="C2224" s="50" t="s">
        <v>5277</v>
      </c>
      <c r="D2224" s="50" t="s">
        <v>5163</v>
      </c>
      <c r="E2224" s="12" t="s">
        <v>4971</v>
      </c>
      <c r="F2224" s="49">
        <v>68000</v>
      </c>
      <c r="G2224" s="67" t="s">
        <v>5611</v>
      </c>
      <c r="H2224" s="14" t="s">
        <v>5601</v>
      </c>
      <c r="I2224" s="14" t="s">
        <v>2458</v>
      </c>
      <c r="J2224" s="33" t="s">
        <v>7110</v>
      </c>
      <c r="K2224" s="33" t="s">
        <v>5287</v>
      </c>
      <c r="L2224" s="68" t="s">
        <v>6054</v>
      </c>
      <c r="M2224" s="68" t="s">
        <v>8913</v>
      </c>
      <c r="N2224" s="68" t="s">
        <v>6061</v>
      </c>
      <c r="O2224" s="202">
        <v>55301</v>
      </c>
      <c r="P2224" s="198" t="s">
        <v>5799</v>
      </c>
    </row>
    <row r="2225" spans="1:16" ht="18.75" hidden="1">
      <c r="A2225" s="50" t="s">
        <v>5253</v>
      </c>
      <c r="B2225" s="50" t="s">
        <v>5273</v>
      </c>
      <c r="C2225" s="50" t="s">
        <v>5278</v>
      </c>
      <c r="D2225" s="50" t="s">
        <v>5012</v>
      </c>
      <c r="E2225" s="12" t="s">
        <v>4971</v>
      </c>
      <c r="F2225" s="49">
        <v>66480</v>
      </c>
      <c r="G2225" s="67" t="s">
        <v>5611</v>
      </c>
      <c r="H2225" s="14" t="s">
        <v>5601</v>
      </c>
      <c r="I2225" s="14" t="s">
        <v>2458</v>
      </c>
      <c r="J2225" s="33" t="s">
        <v>7110</v>
      </c>
      <c r="K2225" s="33" t="s">
        <v>5287</v>
      </c>
      <c r="L2225" s="68" t="s">
        <v>6054</v>
      </c>
      <c r="M2225" s="68" t="s">
        <v>8912</v>
      </c>
      <c r="N2225" s="68" t="s">
        <v>6059</v>
      </c>
      <c r="O2225" s="202">
        <v>55200</v>
      </c>
      <c r="P2225" s="198" t="s">
        <v>5762</v>
      </c>
    </row>
    <row r="2226" spans="1:16" ht="18.75" hidden="1">
      <c r="A2226" s="50" t="s">
        <v>5254</v>
      </c>
      <c r="B2226" s="50" t="s">
        <v>5272</v>
      </c>
      <c r="C2226" s="50" t="s">
        <v>5276</v>
      </c>
      <c r="D2226" s="50" t="s">
        <v>5047</v>
      </c>
      <c r="E2226" s="12" t="s">
        <v>4971</v>
      </c>
      <c r="F2226" s="49">
        <v>47100</v>
      </c>
      <c r="G2226" s="67" t="s">
        <v>5631</v>
      </c>
      <c r="H2226" s="14" t="s">
        <v>5601</v>
      </c>
      <c r="I2226" s="14" t="s">
        <v>2458</v>
      </c>
      <c r="J2226" s="33" t="s">
        <v>7110</v>
      </c>
      <c r="K2226" s="33" t="s">
        <v>5287</v>
      </c>
      <c r="L2226" s="68" t="s">
        <v>6054</v>
      </c>
      <c r="M2226" s="68" t="s">
        <v>8912</v>
      </c>
      <c r="N2226" s="68" t="s">
        <v>8668</v>
      </c>
      <c r="O2226" s="202">
        <v>55107</v>
      </c>
      <c r="P2226" s="197" t="s">
        <v>5801</v>
      </c>
    </row>
    <row r="2227" spans="1:16" ht="18.75" hidden="1">
      <c r="A2227" s="50" t="s">
        <v>5251</v>
      </c>
      <c r="B2227" s="50" t="s">
        <v>5272</v>
      </c>
      <c r="C2227" s="50" t="s">
        <v>5229</v>
      </c>
      <c r="D2227" s="50" t="s">
        <v>5011</v>
      </c>
      <c r="E2227" s="12" t="s">
        <v>4971</v>
      </c>
      <c r="F2227" s="49">
        <v>94520</v>
      </c>
      <c r="G2227" s="67" t="s">
        <v>5609</v>
      </c>
      <c r="H2227" s="14" t="s">
        <v>5601</v>
      </c>
      <c r="I2227" s="14" t="s">
        <v>2458</v>
      </c>
      <c r="J2227" s="33" t="s">
        <v>7110</v>
      </c>
      <c r="K2227" s="33" t="s">
        <v>5287</v>
      </c>
      <c r="L2227" s="68" t="s">
        <v>6054</v>
      </c>
      <c r="M2227" s="68" t="s">
        <v>8913</v>
      </c>
      <c r="N2227" s="68" t="s">
        <v>6061</v>
      </c>
      <c r="O2227" s="202">
        <v>55301</v>
      </c>
      <c r="P2227" s="198" t="s">
        <v>5772</v>
      </c>
    </row>
    <row r="2228" spans="1:16" ht="18.75" hidden="1">
      <c r="A2228" s="50" t="s">
        <v>5255</v>
      </c>
      <c r="B2228" s="50" t="s">
        <v>5272</v>
      </c>
      <c r="C2228" s="50" t="s">
        <v>5279</v>
      </c>
      <c r="D2228" s="50" t="s">
        <v>5046</v>
      </c>
      <c r="E2228" s="12" t="s">
        <v>4971</v>
      </c>
      <c r="F2228" s="49">
        <v>174800</v>
      </c>
      <c r="G2228" s="67" t="s">
        <v>5611</v>
      </c>
      <c r="H2228" s="14" t="s">
        <v>5601</v>
      </c>
      <c r="I2228" s="14" t="s">
        <v>2458</v>
      </c>
      <c r="J2228" s="33" t="s">
        <v>7110</v>
      </c>
      <c r="K2228" s="33" t="s">
        <v>5287</v>
      </c>
      <c r="L2228" s="68" t="s">
        <v>6054</v>
      </c>
      <c r="M2228" s="68" t="s">
        <v>8912</v>
      </c>
      <c r="N2228" s="68" t="s">
        <v>6059</v>
      </c>
      <c r="O2228" s="202">
        <v>55200</v>
      </c>
      <c r="P2228" s="198" t="s">
        <v>5758</v>
      </c>
    </row>
    <row r="2229" spans="1:16" ht="18.75" hidden="1">
      <c r="A2229" s="50" t="s">
        <v>5253</v>
      </c>
      <c r="B2229" s="50" t="s">
        <v>5273</v>
      </c>
      <c r="C2229" s="50" t="s">
        <v>5220</v>
      </c>
      <c r="D2229" s="50" t="s">
        <v>5007</v>
      </c>
      <c r="E2229" s="12" t="s">
        <v>4971</v>
      </c>
      <c r="F2229" s="49">
        <v>7860</v>
      </c>
      <c r="G2229" s="67" t="s">
        <v>5611</v>
      </c>
      <c r="H2229" s="14" t="s">
        <v>5601</v>
      </c>
      <c r="I2229" s="14" t="s">
        <v>2458</v>
      </c>
      <c r="J2229" s="33" t="s">
        <v>7110</v>
      </c>
      <c r="K2229" s="33" t="s">
        <v>5287</v>
      </c>
      <c r="L2229" s="68" t="s">
        <v>6054</v>
      </c>
      <c r="M2229" s="68" t="s">
        <v>8912</v>
      </c>
      <c r="N2229" s="68" t="s">
        <v>6059</v>
      </c>
      <c r="O2229" s="202">
        <v>55200</v>
      </c>
      <c r="P2229" s="198" t="s">
        <v>5762</v>
      </c>
    </row>
    <row r="2230" spans="1:16" ht="18.75" hidden="1">
      <c r="A2230" s="50" t="s">
        <v>5252</v>
      </c>
      <c r="B2230" s="50" t="s">
        <v>5271</v>
      </c>
      <c r="C2230" s="50" t="s">
        <v>5280</v>
      </c>
      <c r="D2230" s="50" t="s">
        <v>5163</v>
      </c>
      <c r="E2230" s="12" t="s">
        <v>4971</v>
      </c>
      <c r="F2230" s="49">
        <v>25100</v>
      </c>
      <c r="G2230" s="67" t="s">
        <v>5611</v>
      </c>
      <c r="H2230" s="14" t="s">
        <v>5601</v>
      </c>
      <c r="I2230" s="14" t="s">
        <v>2458</v>
      </c>
      <c r="J2230" s="33" t="s">
        <v>7110</v>
      </c>
      <c r="K2230" s="33" t="s">
        <v>5287</v>
      </c>
      <c r="L2230" s="68" t="s">
        <v>6054</v>
      </c>
      <c r="M2230" s="68" t="s">
        <v>8913</v>
      </c>
      <c r="N2230" s="68" t="s">
        <v>6061</v>
      </c>
      <c r="O2230" s="202">
        <v>55301</v>
      </c>
      <c r="P2230" s="198" t="s">
        <v>5799</v>
      </c>
    </row>
    <row r="2231" spans="1:16" ht="18.75" hidden="1">
      <c r="A2231" s="50" t="s">
        <v>5256</v>
      </c>
      <c r="B2231" s="50" t="s">
        <v>5274</v>
      </c>
      <c r="C2231" s="50" t="s">
        <v>5225</v>
      </c>
      <c r="D2231" s="50" t="s">
        <v>5011</v>
      </c>
      <c r="E2231" s="12" t="s">
        <v>4971</v>
      </c>
      <c r="F2231" s="49">
        <v>73900</v>
      </c>
      <c r="G2231" s="67" t="s">
        <v>5611</v>
      </c>
      <c r="H2231" s="14" t="s">
        <v>5601</v>
      </c>
      <c r="I2231" s="14" t="s">
        <v>2458</v>
      </c>
      <c r="J2231" s="33" t="s">
        <v>7110</v>
      </c>
      <c r="K2231" s="33" t="s">
        <v>5287</v>
      </c>
      <c r="L2231" s="68" t="s">
        <v>6054</v>
      </c>
      <c r="M2231" s="68" t="s">
        <v>8912</v>
      </c>
      <c r="N2231" s="68" t="s">
        <v>6059</v>
      </c>
      <c r="O2231" s="202">
        <v>55200</v>
      </c>
      <c r="P2231" s="198" t="s">
        <v>5758</v>
      </c>
    </row>
    <row r="2232" spans="1:16" ht="18.75" hidden="1">
      <c r="A2232" s="50" t="s">
        <v>5257</v>
      </c>
      <c r="B2232" s="50" t="s">
        <v>5267</v>
      </c>
      <c r="C2232" s="50" t="s">
        <v>5280</v>
      </c>
      <c r="D2232" s="50" t="s">
        <v>5163</v>
      </c>
      <c r="E2232" s="12" t="s">
        <v>4971</v>
      </c>
      <c r="F2232" s="49">
        <v>24830</v>
      </c>
      <c r="G2232" s="67" t="s">
        <v>5611</v>
      </c>
      <c r="H2232" s="14" t="s">
        <v>5601</v>
      </c>
      <c r="I2232" s="14" t="s">
        <v>2458</v>
      </c>
      <c r="J2232" s="33" t="s">
        <v>7110</v>
      </c>
      <c r="K2232" s="33" t="s">
        <v>5287</v>
      </c>
      <c r="L2232" s="68" t="s">
        <v>6054</v>
      </c>
      <c r="M2232" s="68" t="s">
        <v>8913</v>
      </c>
      <c r="N2232" s="68" t="s">
        <v>6061</v>
      </c>
      <c r="O2232" s="202">
        <v>55301</v>
      </c>
      <c r="P2232" s="198" t="s">
        <v>5799</v>
      </c>
    </row>
    <row r="2233" spans="1:16" ht="18.75" hidden="1">
      <c r="A2233" s="50" t="s">
        <v>5257</v>
      </c>
      <c r="B2233" s="50" t="s">
        <v>5267</v>
      </c>
      <c r="C2233" s="50" t="s">
        <v>5226</v>
      </c>
      <c r="D2233" s="50" t="s">
        <v>5165</v>
      </c>
      <c r="E2233" s="12" t="s">
        <v>4971</v>
      </c>
      <c r="F2233" s="49">
        <v>186320</v>
      </c>
      <c r="G2233" s="67" t="s">
        <v>5611</v>
      </c>
      <c r="H2233" s="14" t="s">
        <v>5601</v>
      </c>
      <c r="I2233" s="14" t="s">
        <v>2458</v>
      </c>
      <c r="J2233" s="33" t="s">
        <v>7110</v>
      </c>
      <c r="K2233" s="33" t="s">
        <v>5287</v>
      </c>
      <c r="L2233" s="68" t="s">
        <v>6054</v>
      </c>
      <c r="M2233" s="68" t="s">
        <v>8913</v>
      </c>
      <c r="N2233" s="68" t="s">
        <v>6061</v>
      </c>
      <c r="O2233" s="202">
        <v>55301</v>
      </c>
      <c r="P2233" s="198" t="s">
        <v>5762</v>
      </c>
    </row>
    <row r="2234" spans="1:16" ht="18.75" hidden="1">
      <c r="A2234" s="50" t="s">
        <v>5257</v>
      </c>
      <c r="B2234" s="50" t="s">
        <v>5267</v>
      </c>
      <c r="C2234" s="50" t="s">
        <v>5227</v>
      </c>
      <c r="D2234" s="50" t="s">
        <v>5162</v>
      </c>
      <c r="E2234" s="12" t="s">
        <v>4971</v>
      </c>
      <c r="F2234" s="49">
        <v>92390</v>
      </c>
      <c r="G2234" s="67" t="s">
        <v>5611</v>
      </c>
      <c r="H2234" s="14" t="s">
        <v>5601</v>
      </c>
      <c r="I2234" s="14" t="s">
        <v>2458</v>
      </c>
      <c r="J2234" s="33" t="s">
        <v>7110</v>
      </c>
      <c r="K2234" s="33" t="s">
        <v>5287</v>
      </c>
      <c r="L2234" s="68" t="s">
        <v>6054</v>
      </c>
      <c r="M2234" s="68" t="s">
        <v>8913</v>
      </c>
      <c r="N2234" s="68" t="s">
        <v>6061</v>
      </c>
      <c r="O2234" s="202">
        <v>55301</v>
      </c>
      <c r="P2234" s="198" t="s">
        <v>5762</v>
      </c>
    </row>
    <row r="2235" spans="1:16" ht="18.75" hidden="1">
      <c r="A2235" s="50" t="s">
        <v>5258</v>
      </c>
      <c r="B2235" s="50" t="s">
        <v>5077</v>
      </c>
      <c r="C2235" s="50" t="s">
        <v>5222</v>
      </c>
      <c r="D2235" s="50" t="s">
        <v>5045</v>
      </c>
      <c r="E2235" s="12" t="s">
        <v>4971</v>
      </c>
      <c r="F2235" s="49">
        <v>61440</v>
      </c>
      <c r="G2235" s="67" t="s">
        <v>5611</v>
      </c>
      <c r="H2235" s="14" t="s">
        <v>5601</v>
      </c>
      <c r="I2235" s="14" t="s">
        <v>2458</v>
      </c>
      <c r="J2235" s="33" t="s">
        <v>7110</v>
      </c>
      <c r="K2235" s="33" t="s">
        <v>5287</v>
      </c>
      <c r="L2235" s="68" t="s">
        <v>6054</v>
      </c>
      <c r="M2235" s="68" t="s">
        <v>8912</v>
      </c>
      <c r="N2235" s="68" t="s">
        <v>6061</v>
      </c>
      <c r="O2235" s="202">
        <v>55301</v>
      </c>
      <c r="P2235" s="198" t="s">
        <v>5758</v>
      </c>
    </row>
    <row r="2236" spans="1:16" ht="18.75" hidden="1">
      <c r="A2236" s="50" t="s">
        <v>5259</v>
      </c>
      <c r="B2236" s="50" t="s">
        <v>5267</v>
      </c>
      <c r="C2236" s="50" t="s">
        <v>5229</v>
      </c>
      <c r="D2236" s="50" t="s">
        <v>5011</v>
      </c>
      <c r="E2236" s="12" t="s">
        <v>4971</v>
      </c>
      <c r="F2236" s="49">
        <v>71650</v>
      </c>
      <c r="G2236" s="67" t="s">
        <v>5609</v>
      </c>
      <c r="H2236" s="14" t="s">
        <v>5601</v>
      </c>
      <c r="I2236" s="14" t="s">
        <v>2458</v>
      </c>
      <c r="J2236" s="33" t="s">
        <v>7110</v>
      </c>
      <c r="K2236" s="33" t="s">
        <v>5287</v>
      </c>
      <c r="L2236" s="68" t="s">
        <v>6054</v>
      </c>
      <c r="M2236" s="68" t="s">
        <v>8912</v>
      </c>
      <c r="N2236" s="68" t="s">
        <v>6061</v>
      </c>
      <c r="O2236" s="202">
        <v>55301</v>
      </c>
      <c r="P2236" s="198" t="s">
        <v>5772</v>
      </c>
    </row>
    <row r="2237" spans="1:16" ht="18.75" hidden="1">
      <c r="A2237" s="50" t="s">
        <v>5258</v>
      </c>
      <c r="B2237" s="50" t="s">
        <v>5077</v>
      </c>
      <c r="C2237" s="50" t="s">
        <v>5279</v>
      </c>
      <c r="D2237" s="50" t="s">
        <v>5046</v>
      </c>
      <c r="E2237" s="12" t="s">
        <v>4971</v>
      </c>
      <c r="F2237" s="49">
        <v>10530</v>
      </c>
      <c r="G2237" s="67" t="s">
        <v>5611</v>
      </c>
      <c r="H2237" s="14" t="s">
        <v>5601</v>
      </c>
      <c r="I2237" s="14" t="s">
        <v>2458</v>
      </c>
      <c r="J2237" s="33" t="s">
        <v>7110</v>
      </c>
      <c r="K2237" s="33" t="s">
        <v>5287</v>
      </c>
      <c r="L2237" s="68" t="s">
        <v>6054</v>
      </c>
      <c r="M2237" s="68" t="s">
        <v>8912</v>
      </c>
      <c r="N2237" s="68" t="s">
        <v>6061</v>
      </c>
      <c r="O2237" s="202">
        <v>55301</v>
      </c>
      <c r="P2237" s="198" t="s">
        <v>5758</v>
      </c>
    </row>
    <row r="2238" spans="1:16" ht="18.75" hidden="1">
      <c r="A2238" s="50" t="s">
        <v>5260</v>
      </c>
      <c r="B2238" s="50" t="s">
        <v>5268</v>
      </c>
      <c r="C2238" s="50" t="s">
        <v>5220</v>
      </c>
      <c r="D2238" s="50" t="s">
        <v>5007</v>
      </c>
      <c r="E2238" s="12" t="s">
        <v>4971</v>
      </c>
      <c r="F2238" s="49">
        <v>150940</v>
      </c>
      <c r="G2238" s="67" t="s">
        <v>5611</v>
      </c>
      <c r="H2238" s="14" t="s">
        <v>5601</v>
      </c>
      <c r="I2238" s="14" t="s">
        <v>2458</v>
      </c>
      <c r="J2238" s="33" t="s">
        <v>7110</v>
      </c>
      <c r="K2238" s="33" t="s">
        <v>5287</v>
      </c>
      <c r="L2238" s="68" t="s">
        <v>6054</v>
      </c>
      <c r="M2238" s="68" t="s">
        <v>8912</v>
      </c>
      <c r="N2238" s="68" t="s">
        <v>6059</v>
      </c>
      <c r="O2238" s="202">
        <v>55200</v>
      </c>
      <c r="P2238" s="198" t="s">
        <v>5762</v>
      </c>
    </row>
    <row r="2239" spans="1:16" ht="18.75" hidden="1">
      <c r="A2239" s="50" t="s">
        <v>5261</v>
      </c>
      <c r="B2239" s="50" t="s">
        <v>5274</v>
      </c>
      <c r="C2239" s="50" t="s">
        <v>5281</v>
      </c>
      <c r="D2239" s="50" t="s">
        <v>5014</v>
      </c>
      <c r="E2239" s="12" t="s">
        <v>4971</v>
      </c>
      <c r="F2239" s="49">
        <v>75000</v>
      </c>
      <c r="G2239" s="67" t="s">
        <v>5611</v>
      </c>
      <c r="H2239" s="14" t="s">
        <v>5601</v>
      </c>
      <c r="I2239" s="14" t="s">
        <v>2458</v>
      </c>
      <c r="J2239" s="33" t="s">
        <v>7110</v>
      </c>
      <c r="K2239" s="33" t="s">
        <v>5287</v>
      </c>
      <c r="L2239" s="68" t="s">
        <v>8677</v>
      </c>
      <c r="M2239" s="68" t="s">
        <v>8912</v>
      </c>
      <c r="N2239" s="68" t="s">
        <v>8665</v>
      </c>
      <c r="O2239" s="202">
        <v>50101</v>
      </c>
      <c r="P2239" s="198" t="s">
        <v>5762</v>
      </c>
    </row>
    <row r="2240" spans="1:16" ht="18.75" hidden="1">
      <c r="A2240" s="50" t="s">
        <v>5261</v>
      </c>
      <c r="B2240" s="50" t="s">
        <v>5274</v>
      </c>
      <c r="C2240" s="50" t="s">
        <v>5026</v>
      </c>
      <c r="D2240" s="50" t="s">
        <v>5045</v>
      </c>
      <c r="E2240" s="12" t="s">
        <v>4971</v>
      </c>
      <c r="F2240" s="49">
        <v>91998</v>
      </c>
      <c r="G2240" s="67" t="s">
        <v>5611</v>
      </c>
      <c r="H2240" s="14" t="s">
        <v>5601</v>
      </c>
      <c r="I2240" s="14" t="s">
        <v>2458</v>
      </c>
      <c r="J2240" s="33" t="s">
        <v>7110</v>
      </c>
      <c r="K2240" s="33" t="s">
        <v>5287</v>
      </c>
      <c r="L2240" s="68" t="s">
        <v>8677</v>
      </c>
      <c r="M2240" s="68" t="s">
        <v>8912</v>
      </c>
      <c r="N2240" s="68" t="s">
        <v>8665</v>
      </c>
      <c r="O2240" s="202">
        <v>50101</v>
      </c>
      <c r="P2240" s="198" t="s">
        <v>5758</v>
      </c>
    </row>
    <row r="2241" spans="1:16" ht="18.75" hidden="1">
      <c r="A2241" s="50" t="s">
        <v>5261</v>
      </c>
      <c r="B2241" s="50" t="s">
        <v>5274</v>
      </c>
      <c r="C2241" s="50" t="s">
        <v>5174</v>
      </c>
      <c r="D2241" s="50" t="s">
        <v>5014</v>
      </c>
      <c r="E2241" s="12" t="s">
        <v>4971</v>
      </c>
      <c r="F2241" s="49">
        <v>142928</v>
      </c>
      <c r="G2241" s="67" t="s">
        <v>5611</v>
      </c>
      <c r="H2241" s="14" t="s">
        <v>5601</v>
      </c>
      <c r="I2241" s="14" t="s">
        <v>2458</v>
      </c>
      <c r="J2241" s="33" t="s">
        <v>7110</v>
      </c>
      <c r="K2241" s="33" t="s">
        <v>5287</v>
      </c>
      <c r="L2241" s="68" t="s">
        <v>8677</v>
      </c>
      <c r="M2241" s="68" t="s">
        <v>8912</v>
      </c>
      <c r="N2241" s="68" t="s">
        <v>8665</v>
      </c>
      <c r="O2241" s="202">
        <v>50101</v>
      </c>
      <c r="P2241" s="198" t="s">
        <v>5762</v>
      </c>
    </row>
    <row r="2242" spans="1:16" ht="18.75" hidden="1">
      <c r="A2242" s="50" t="s">
        <v>5261</v>
      </c>
      <c r="B2242" s="50" t="s">
        <v>5274</v>
      </c>
      <c r="C2242" s="50" t="s">
        <v>5178</v>
      </c>
      <c r="D2242" s="50" t="s">
        <v>5014</v>
      </c>
      <c r="E2242" s="12" t="s">
        <v>4971</v>
      </c>
      <c r="F2242" s="49">
        <v>47716</v>
      </c>
      <c r="G2242" s="67" t="s">
        <v>5611</v>
      </c>
      <c r="H2242" s="14" t="s">
        <v>5601</v>
      </c>
      <c r="I2242" s="14" t="s">
        <v>2458</v>
      </c>
      <c r="J2242" s="33" t="s">
        <v>7110</v>
      </c>
      <c r="K2242" s="33" t="s">
        <v>5287</v>
      </c>
      <c r="L2242" s="68" t="s">
        <v>8677</v>
      </c>
      <c r="M2242" s="68" t="s">
        <v>8912</v>
      </c>
      <c r="N2242" s="68" t="s">
        <v>8665</v>
      </c>
      <c r="O2242" s="202">
        <v>50101</v>
      </c>
      <c r="P2242" s="198" t="s">
        <v>5762</v>
      </c>
    </row>
    <row r="2243" spans="1:16" ht="18.75" hidden="1">
      <c r="A2243" s="50" t="s">
        <v>5261</v>
      </c>
      <c r="B2243" s="50" t="s">
        <v>5274</v>
      </c>
      <c r="C2243" s="50" t="s">
        <v>5282</v>
      </c>
      <c r="D2243" s="50" t="s">
        <v>5167</v>
      </c>
      <c r="E2243" s="12" t="s">
        <v>4971</v>
      </c>
      <c r="F2243" s="49">
        <v>435238</v>
      </c>
      <c r="G2243" s="67" t="s">
        <v>5611</v>
      </c>
      <c r="H2243" s="14" t="s">
        <v>5601</v>
      </c>
      <c r="I2243" s="14" t="s">
        <v>2458</v>
      </c>
      <c r="J2243" s="33" t="s">
        <v>7110</v>
      </c>
      <c r="K2243" s="33" t="s">
        <v>5287</v>
      </c>
      <c r="L2243" s="68" t="s">
        <v>8677</v>
      </c>
      <c r="M2243" s="68" t="s">
        <v>8912</v>
      </c>
      <c r="N2243" s="68" t="s">
        <v>8665</v>
      </c>
      <c r="O2243" s="202">
        <v>50101</v>
      </c>
      <c r="P2243" s="198" t="s">
        <v>5762</v>
      </c>
    </row>
    <row r="2244" spans="1:16" ht="18.75" hidden="1">
      <c r="A2244" s="50" t="s">
        <v>5262</v>
      </c>
      <c r="B2244" s="50" t="s">
        <v>5267</v>
      </c>
      <c r="C2244" s="50" t="s">
        <v>5283</v>
      </c>
      <c r="D2244" s="50" t="s">
        <v>5007</v>
      </c>
      <c r="E2244" s="12" t="s">
        <v>4971</v>
      </c>
      <c r="F2244" s="49">
        <v>800000</v>
      </c>
      <c r="G2244" s="67" t="s">
        <v>5652</v>
      </c>
      <c r="H2244" s="14" t="s">
        <v>5601</v>
      </c>
      <c r="I2244" s="14" t="s">
        <v>2458</v>
      </c>
      <c r="J2244" s="33" t="s">
        <v>7110</v>
      </c>
      <c r="K2244" s="33" t="s">
        <v>5287</v>
      </c>
      <c r="L2244" s="68" t="s">
        <v>8674</v>
      </c>
      <c r="M2244" s="68" t="s">
        <v>8912</v>
      </c>
      <c r="N2244" s="68" t="s">
        <v>8665</v>
      </c>
      <c r="O2244" s="202">
        <v>50101</v>
      </c>
      <c r="P2244" s="198" t="s">
        <v>5794</v>
      </c>
    </row>
    <row r="2245" spans="1:16" ht="18.75" hidden="1">
      <c r="A2245" s="50" t="s">
        <v>5263</v>
      </c>
      <c r="B2245" s="50" t="s">
        <v>5273</v>
      </c>
      <c r="C2245" s="50" t="s">
        <v>5284</v>
      </c>
      <c r="D2245" s="50" t="s">
        <v>5161</v>
      </c>
      <c r="E2245" s="12" t="s">
        <v>4971</v>
      </c>
      <c r="F2245" s="49">
        <v>33078</v>
      </c>
      <c r="G2245" s="67" t="s">
        <v>5611</v>
      </c>
      <c r="H2245" s="14" t="s">
        <v>5601</v>
      </c>
      <c r="I2245" s="14" t="s">
        <v>2458</v>
      </c>
      <c r="J2245" s="33" t="s">
        <v>7110</v>
      </c>
      <c r="K2245" s="33" t="s">
        <v>5287</v>
      </c>
      <c r="L2245" s="68" t="s">
        <v>6283</v>
      </c>
      <c r="M2245" s="68" t="s">
        <v>8912</v>
      </c>
      <c r="N2245" s="68" t="s">
        <v>8665</v>
      </c>
      <c r="O2245" s="202">
        <v>50101</v>
      </c>
      <c r="P2245" s="198" t="s">
        <v>5762</v>
      </c>
    </row>
    <row r="2246" spans="1:16" ht="18.75" hidden="1">
      <c r="A2246" s="50" t="s">
        <v>5263</v>
      </c>
      <c r="B2246" s="50" t="s">
        <v>5273</v>
      </c>
      <c r="C2246" s="50" t="s">
        <v>5193</v>
      </c>
      <c r="D2246" s="50" t="s">
        <v>5010</v>
      </c>
      <c r="E2246" s="12" t="s">
        <v>4971</v>
      </c>
      <c r="F2246" s="49">
        <v>63462</v>
      </c>
      <c r="G2246" s="67" t="s">
        <v>5652</v>
      </c>
      <c r="H2246" s="14" t="s">
        <v>5601</v>
      </c>
      <c r="I2246" s="14" t="s">
        <v>2458</v>
      </c>
      <c r="J2246" s="33" t="s">
        <v>7110</v>
      </c>
      <c r="K2246" s="33" t="s">
        <v>5287</v>
      </c>
      <c r="L2246" s="68" t="s">
        <v>6283</v>
      </c>
      <c r="M2246" s="68" t="s">
        <v>8912</v>
      </c>
      <c r="N2246" s="68" t="s">
        <v>8665</v>
      </c>
      <c r="O2246" s="202">
        <v>50101</v>
      </c>
      <c r="P2246" s="198" t="s">
        <v>5786</v>
      </c>
    </row>
    <row r="2247" spans="1:16" ht="18.75" hidden="1">
      <c r="A2247" s="50" t="s">
        <v>5263</v>
      </c>
      <c r="B2247" s="50" t="s">
        <v>5273</v>
      </c>
      <c r="C2247" s="50" t="s">
        <v>5285</v>
      </c>
      <c r="D2247" s="50" t="s">
        <v>5161</v>
      </c>
      <c r="E2247" s="12" t="s">
        <v>4971</v>
      </c>
      <c r="F2247" s="49">
        <v>398460</v>
      </c>
      <c r="G2247" s="67" t="s">
        <v>5611</v>
      </c>
      <c r="H2247" s="14" t="s">
        <v>5601</v>
      </c>
      <c r="I2247" s="14" t="s">
        <v>2458</v>
      </c>
      <c r="J2247" s="33" t="s">
        <v>7110</v>
      </c>
      <c r="K2247" s="33" t="s">
        <v>5287</v>
      </c>
      <c r="L2247" s="68" t="s">
        <v>6283</v>
      </c>
      <c r="M2247" s="68" t="s">
        <v>8912</v>
      </c>
      <c r="N2247" s="68" t="s">
        <v>8665</v>
      </c>
      <c r="O2247" s="202">
        <v>50101</v>
      </c>
      <c r="P2247" s="198" t="s">
        <v>5762</v>
      </c>
    </row>
    <row r="2248" spans="1:16" ht="18.75" hidden="1">
      <c r="A2248" s="50" t="s">
        <v>5264</v>
      </c>
      <c r="B2248" s="50" t="s">
        <v>5267</v>
      </c>
      <c r="C2248" s="50" t="s">
        <v>5174</v>
      </c>
      <c r="D2248" s="50" t="s">
        <v>5014</v>
      </c>
      <c r="E2248" s="12" t="s">
        <v>4971</v>
      </c>
      <c r="F2248" s="49">
        <v>306832</v>
      </c>
      <c r="G2248" s="67" t="s">
        <v>5611</v>
      </c>
      <c r="H2248" s="14" t="s">
        <v>5601</v>
      </c>
      <c r="I2248" s="14" t="s">
        <v>2458</v>
      </c>
      <c r="J2248" s="33" t="s">
        <v>7110</v>
      </c>
      <c r="K2248" s="33" t="s">
        <v>5287</v>
      </c>
      <c r="L2248" s="68" t="s">
        <v>6283</v>
      </c>
      <c r="M2248" s="68" t="s">
        <v>8912</v>
      </c>
      <c r="N2248" s="68" t="s">
        <v>8665</v>
      </c>
      <c r="O2248" s="202">
        <v>50101</v>
      </c>
      <c r="P2248" s="198" t="s">
        <v>5762</v>
      </c>
    </row>
    <row r="2249" spans="1:16" ht="18.75" hidden="1">
      <c r="A2249" s="50" t="s">
        <v>5264</v>
      </c>
      <c r="B2249" s="50" t="s">
        <v>5267</v>
      </c>
      <c r="C2249" s="50" t="s">
        <v>5283</v>
      </c>
      <c r="D2249" s="50" t="s">
        <v>5007</v>
      </c>
      <c r="E2249" s="12" t="s">
        <v>4971</v>
      </c>
      <c r="F2249" s="49">
        <v>249820</v>
      </c>
      <c r="G2249" s="67" t="s">
        <v>5652</v>
      </c>
      <c r="H2249" s="14" t="s">
        <v>5601</v>
      </c>
      <c r="I2249" s="14" t="s">
        <v>2458</v>
      </c>
      <c r="J2249" s="33" t="s">
        <v>7110</v>
      </c>
      <c r="K2249" s="33" t="s">
        <v>5287</v>
      </c>
      <c r="L2249" s="68" t="s">
        <v>6283</v>
      </c>
      <c r="M2249" s="68" t="s">
        <v>8912</v>
      </c>
      <c r="N2249" s="68" t="s">
        <v>8665</v>
      </c>
      <c r="O2249" s="202">
        <v>50101</v>
      </c>
      <c r="P2249" s="198" t="s">
        <v>5794</v>
      </c>
    </row>
    <row r="2250" spans="1:16" ht="18.75" hidden="1">
      <c r="A2250" s="50" t="s">
        <v>5264</v>
      </c>
      <c r="B2250" s="50" t="s">
        <v>5267</v>
      </c>
      <c r="C2250" s="50" t="s">
        <v>5286</v>
      </c>
      <c r="D2250" s="50" t="s">
        <v>5046</v>
      </c>
      <c r="E2250" s="12" t="s">
        <v>4971</v>
      </c>
      <c r="F2250" s="49">
        <v>296218</v>
      </c>
      <c r="G2250" s="67" t="s">
        <v>5611</v>
      </c>
      <c r="H2250" s="14" t="s">
        <v>5601</v>
      </c>
      <c r="I2250" s="14" t="s">
        <v>2458</v>
      </c>
      <c r="J2250" s="33" t="s">
        <v>7110</v>
      </c>
      <c r="K2250" s="33" t="s">
        <v>5287</v>
      </c>
      <c r="L2250" s="68" t="s">
        <v>6283</v>
      </c>
      <c r="M2250" s="68" t="s">
        <v>8912</v>
      </c>
      <c r="N2250" s="68" t="s">
        <v>8665</v>
      </c>
      <c r="O2250" s="202">
        <v>50101</v>
      </c>
      <c r="P2250" s="198" t="s">
        <v>5758</v>
      </c>
    </row>
    <row r="2251" spans="1:16" ht="18.75" hidden="1">
      <c r="A2251" s="50" t="s">
        <v>5264</v>
      </c>
      <c r="B2251" s="50" t="s">
        <v>5267</v>
      </c>
      <c r="C2251" s="50" t="s">
        <v>5175</v>
      </c>
      <c r="D2251" s="50" t="s">
        <v>5012</v>
      </c>
      <c r="E2251" s="12" t="s">
        <v>4971</v>
      </c>
      <c r="F2251" s="49">
        <v>54500</v>
      </c>
      <c r="G2251" s="67" t="s">
        <v>5652</v>
      </c>
      <c r="H2251" s="14" t="s">
        <v>5601</v>
      </c>
      <c r="I2251" s="14" t="s">
        <v>2458</v>
      </c>
      <c r="J2251" s="33" t="s">
        <v>7110</v>
      </c>
      <c r="K2251" s="33" t="s">
        <v>5287</v>
      </c>
      <c r="L2251" s="68" t="s">
        <v>6283</v>
      </c>
      <c r="M2251" s="68" t="s">
        <v>8912</v>
      </c>
      <c r="N2251" s="68" t="s">
        <v>8665</v>
      </c>
      <c r="O2251" s="202">
        <v>50101</v>
      </c>
      <c r="P2251" s="198" t="s">
        <v>5794</v>
      </c>
    </row>
    <row r="2252" spans="1:16" ht="18.75" hidden="1">
      <c r="A2252" s="50" t="s">
        <v>5264</v>
      </c>
      <c r="B2252" s="50" t="s">
        <v>5267</v>
      </c>
      <c r="C2252" s="50" t="s">
        <v>5193</v>
      </c>
      <c r="D2252" s="50" t="s">
        <v>5010</v>
      </c>
      <c r="E2252" s="12" t="s">
        <v>4971</v>
      </c>
      <c r="F2252" s="49">
        <v>95500</v>
      </c>
      <c r="G2252" s="67" t="s">
        <v>5652</v>
      </c>
      <c r="H2252" s="14" t="s">
        <v>5601</v>
      </c>
      <c r="I2252" s="14" t="s">
        <v>2458</v>
      </c>
      <c r="J2252" s="33" t="s">
        <v>7110</v>
      </c>
      <c r="K2252" s="33" t="s">
        <v>5287</v>
      </c>
      <c r="L2252" s="68" t="s">
        <v>6283</v>
      </c>
      <c r="M2252" s="68" t="s">
        <v>8912</v>
      </c>
      <c r="N2252" s="68" t="s">
        <v>8665</v>
      </c>
      <c r="O2252" s="202">
        <v>50101</v>
      </c>
      <c r="P2252" s="198" t="s">
        <v>5786</v>
      </c>
    </row>
    <row r="2253" spans="1:16" ht="18.75" hidden="1">
      <c r="A2253" s="50" t="str">
        <f>"50100-8740886"</f>
        <v>50100-8740886</v>
      </c>
      <c r="B2253" s="50" t="str">
        <f>"96/03/06"</f>
        <v>96/03/06</v>
      </c>
      <c r="C2253" s="50" t="s">
        <v>5289</v>
      </c>
      <c r="D2253" s="50" t="s">
        <v>4878</v>
      </c>
      <c r="E2253" s="12" t="s">
        <v>3420</v>
      </c>
      <c r="F2253" s="49">
        <v>88380</v>
      </c>
      <c r="G2253" s="67" t="s">
        <v>5611</v>
      </c>
      <c r="H2253" s="14" t="s">
        <v>5601</v>
      </c>
      <c r="I2253" s="14" t="s">
        <v>2458</v>
      </c>
      <c r="J2253" s="33" t="s">
        <v>7110</v>
      </c>
      <c r="K2253" s="33" t="s">
        <v>5303</v>
      </c>
      <c r="L2253" s="68" t="s">
        <v>8664</v>
      </c>
      <c r="M2253" s="68" t="s">
        <v>8912</v>
      </c>
      <c r="N2253" s="68" t="s">
        <v>8665</v>
      </c>
      <c r="O2253" s="202">
        <v>50100</v>
      </c>
      <c r="P2253" s="198" t="s">
        <v>5752</v>
      </c>
    </row>
    <row r="2254" spans="1:16" ht="18.75" hidden="1">
      <c r="A2254" s="50" t="str">
        <f>"50100-8758589"</f>
        <v>50100-8758589</v>
      </c>
      <c r="B2254" s="50" t="str">
        <f>"96/03/09"</f>
        <v>96/03/09</v>
      </c>
      <c r="C2254" s="50" t="s">
        <v>5282</v>
      </c>
      <c r="D2254" s="50" t="s">
        <v>5167</v>
      </c>
      <c r="E2254" s="12" t="s">
        <v>4971</v>
      </c>
      <c r="F2254" s="49">
        <v>57282</v>
      </c>
      <c r="G2254" s="67" t="s">
        <v>5611</v>
      </c>
      <c r="H2254" s="14" t="s">
        <v>5601</v>
      </c>
      <c r="I2254" s="14" t="s">
        <v>2458</v>
      </c>
      <c r="J2254" s="33" t="s">
        <v>7110</v>
      </c>
      <c r="K2254" s="33" t="s">
        <v>5303</v>
      </c>
      <c r="L2254" s="68" t="s">
        <v>6277</v>
      </c>
      <c r="M2254" s="68" t="s">
        <v>8912</v>
      </c>
      <c r="N2254" s="68" t="s">
        <v>8665</v>
      </c>
      <c r="O2254" s="202">
        <v>50101</v>
      </c>
      <c r="P2254" s="198" t="s">
        <v>5762</v>
      </c>
    </row>
    <row r="2255" spans="1:16" ht="18.75" hidden="1">
      <c r="A2255" s="50" t="str">
        <f>"50100-8740886"</f>
        <v>50100-8740886</v>
      </c>
      <c r="B2255" s="50" t="str">
        <f>"96/03/06"</f>
        <v>96/03/06</v>
      </c>
      <c r="C2255" s="50" t="s">
        <v>5290</v>
      </c>
      <c r="D2255" s="50" t="s">
        <v>5007</v>
      </c>
      <c r="E2255" s="12" t="s">
        <v>4971</v>
      </c>
      <c r="F2255" s="49">
        <v>410620</v>
      </c>
      <c r="G2255" s="67" t="s">
        <v>5611</v>
      </c>
      <c r="H2255" s="14" t="s">
        <v>5601</v>
      </c>
      <c r="I2255" s="14" t="s">
        <v>2458</v>
      </c>
      <c r="J2255" s="33" t="s">
        <v>7110</v>
      </c>
      <c r="K2255" s="33" t="s">
        <v>5303</v>
      </c>
      <c r="L2255" s="68" t="s">
        <v>8664</v>
      </c>
      <c r="M2255" s="68" t="s">
        <v>8912</v>
      </c>
      <c r="N2255" s="68" t="s">
        <v>8665</v>
      </c>
      <c r="O2255" s="202">
        <v>50101</v>
      </c>
      <c r="P2255" s="198" t="s">
        <v>5762</v>
      </c>
    </row>
    <row r="2256" spans="1:16" ht="18.75" hidden="1">
      <c r="A2256" s="50" t="str">
        <f>"50100-8758589"</f>
        <v>50100-8758589</v>
      </c>
      <c r="B2256" s="50" t="str">
        <f>"96/03/09"</f>
        <v>96/03/09</v>
      </c>
      <c r="C2256" s="50" t="s">
        <v>5187</v>
      </c>
      <c r="D2256" s="50" t="s">
        <v>5008</v>
      </c>
      <c r="E2256" s="12" t="s">
        <v>4971</v>
      </c>
      <c r="F2256" s="49">
        <v>32190</v>
      </c>
      <c r="G2256" s="67" t="s">
        <v>5611</v>
      </c>
      <c r="H2256" s="14" t="s">
        <v>5601</v>
      </c>
      <c r="I2256" s="14" t="s">
        <v>2458</v>
      </c>
      <c r="J2256" s="33" t="s">
        <v>7110</v>
      </c>
      <c r="K2256" s="33" t="s">
        <v>5303</v>
      </c>
      <c r="L2256" s="68" t="s">
        <v>6277</v>
      </c>
      <c r="M2256" s="68" t="s">
        <v>8912</v>
      </c>
      <c r="N2256" s="68" t="s">
        <v>8665</v>
      </c>
      <c r="O2256" s="202">
        <v>50101</v>
      </c>
      <c r="P2256" s="198" t="s">
        <v>5752</v>
      </c>
    </row>
    <row r="2257" spans="1:16" ht="18.75" hidden="1">
      <c r="A2257" s="50" t="str">
        <f>"50100-8758589"</f>
        <v>50100-8758589</v>
      </c>
      <c r="B2257" s="50" t="str">
        <f>"96/03/09"</f>
        <v>96/03/09</v>
      </c>
      <c r="C2257" s="50" t="s">
        <v>5291</v>
      </c>
      <c r="D2257" s="50" t="s">
        <v>5007</v>
      </c>
      <c r="E2257" s="12" t="s">
        <v>4971</v>
      </c>
      <c r="F2257" s="49">
        <v>37878</v>
      </c>
      <c r="G2257" s="67" t="s">
        <v>5611</v>
      </c>
      <c r="H2257" s="14" t="s">
        <v>5601</v>
      </c>
      <c r="I2257" s="14" t="s">
        <v>2458</v>
      </c>
      <c r="J2257" s="33" t="s">
        <v>7110</v>
      </c>
      <c r="K2257" s="33" t="s">
        <v>5303</v>
      </c>
      <c r="L2257" s="68" t="s">
        <v>6277</v>
      </c>
      <c r="M2257" s="68" t="s">
        <v>8912</v>
      </c>
      <c r="N2257" s="68" t="s">
        <v>8665</v>
      </c>
      <c r="O2257" s="202">
        <v>50101</v>
      </c>
      <c r="P2257" s="198" t="s">
        <v>5762</v>
      </c>
    </row>
    <row r="2258" spans="1:16" ht="18.75" hidden="1">
      <c r="A2258" s="50" t="str">
        <f>"50100-8758589"</f>
        <v>50100-8758589</v>
      </c>
      <c r="B2258" s="50" t="str">
        <f>"96/03/09"</f>
        <v>96/03/09</v>
      </c>
      <c r="C2258" s="50" t="s">
        <v>5290</v>
      </c>
      <c r="D2258" s="50" t="s">
        <v>5007</v>
      </c>
      <c r="E2258" s="12" t="s">
        <v>4971</v>
      </c>
      <c r="F2258" s="49">
        <v>86680</v>
      </c>
      <c r="G2258" s="67" t="s">
        <v>5611</v>
      </c>
      <c r="H2258" s="14" t="s">
        <v>5601</v>
      </c>
      <c r="I2258" s="14" t="s">
        <v>2458</v>
      </c>
      <c r="J2258" s="33" t="s">
        <v>7110</v>
      </c>
      <c r="K2258" s="33" t="s">
        <v>5303</v>
      </c>
      <c r="L2258" s="68" t="s">
        <v>6277</v>
      </c>
      <c r="M2258" s="68" t="s">
        <v>8912</v>
      </c>
      <c r="N2258" s="68" t="s">
        <v>8665</v>
      </c>
      <c r="O2258" s="202">
        <v>50101</v>
      </c>
      <c r="P2258" s="198" t="s">
        <v>5762</v>
      </c>
    </row>
    <row r="2259" spans="1:16" ht="18.75" hidden="1">
      <c r="A2259" s="50" t="str">
        <f>"50100-8760011"</f>
        <v>50100-8760011</v>
      </c>
      <c r="B2259" s="50" t="str">
        <f>"96/03/10"</f>
        <v>96/03/10</v>
      </c>
      <c r="C2259" s="50" t="s">
        <v>5292</v>
      </c>
      <c r="D2259" s="50" t="s">
        <v>5299</v>
      </c>
      <c r="E2259" s="12" t="s">
        <v>4971</v>
      </c>
      <c r="F2259" s="49">
        <v>1402644</v>
      </c>
      <c r="G2259" s="67" t="s">
        <v>5779</v>
      </c>
      <c r="H2259" s="14" t="s">
        <v>5601</v>
      </c>
      <c r="I2259" s="14" t="s">
        <v>2458</v>
      </c>
      <c r="J2259" s="33" t="e">
        <f>VLOOKUP(C2259,شرکتها!A:B,2,FALSE)</f>
        <v>#N/A</v>
      </c>
      <c r="K2259" s="33" t="s">
        <v>5303</v>
      </c>
      <c r="L2259" s="68" t="s">
        <v>8670</v>
      </c>
      <c r="M2259" s="68" t="s">
        <v>8913</v>
      </c>
      <c r="N2259" s="68" t="s">
        <v>8665</v>
      </c>
      <c r="O2259" s="202">
        <v>50101</v>
      </c>
      <c r="P2259" s="198" t="s">
        <v>5809</v>
      </c>
    </row>
    <row r="2260" spans="1:16" ht="18.75" hidden="1">
      <c r="A2260" s="50" t="str">
        <f>"50100-8773030"</f>
        <v>50100-8773030</v>
      </c>
      <c r="B2260" s="50" t="str">
        <f>"96/03/13"</f>
        <v>96/03/13</v>
      </c>
      <c r="C2260" s="50" t="s">
        <v>5028</v>
      </c>
      <c r="D2260" s="50" t="s">
        <v>4881</v>
      </c>
      <c r="E2260" s="12" t="s">
        <v>4971</v>
      </c>
      <c r="F2260" s="49">
        <v>69304</v>
      </c>
      <c r="G2260" s="67" t="s">
        <v>5604</v>
      </c>
      <c r="H2260" s="14" t="s">
        <v>5601</v>
      </c>
      <c r="I2260" s="14" t="s">
        <v>2458</v>
      </c>
      <c r="J2260" s="33" t="e">
        <f>VLOOKUP(C2260,شرکتها!A:B,2,FALSE)</f>
        <v>#N/A</v>
      </c>
      <c r="K2260" s="33" t="s">
        <v>5303</v>
      </c>
      <c r="L2260" s="68" t="s">
        <v>8674</v>
      </c>
      <c r="M2260" s="68" t="s">
        <v>8912</v>
      </c>
      <c r="N2260" s="68" t="s">
        <v>8665</v>
      </c>
      <c r="O2260" s="202">
        <v>50101</v>
      </c>
      <c r="P2260" s="198" t="s">
        <v>5710</v>
      </c>
    </row>
    <row r="2261" spans="1:16" ht="18.75" hidden="1">
      <c r="A2261" s="50" t="str">
        <f>"50100-8773030"</f>
        <v>50100-8773030</v>
      </c>
      <c r="B2261" s="50" t="str">
        <f>"96/03/13"</f>
        <v>96/03/13</v>
      </c>
      <c r="C2261" s="50" t="s">
        <v>5293</v>
      </c>
      <c r="D2261" s="50" t="s">
        <v>5300</v>
      </c>
      <c r="E2261" s="12" t="s">
        <v>4971</v>
      </c>
      <c r="F2261" s="49">
        <v>229696</v>
      </c>
      <c r="G2261" s="67" t="s">
        <v>5779</v>
      </c>
      <c r="H2261" s="14" t="s">
        <v>5601</v>
      </c>
      <c r="I2261" s="14" t="s">
        <v>2458</v>
      </c>
      <c r="J2261" s="33" t="e">
        <f>VLOOKUP(C2261,شرکتها!A:B,2,FALSE)</f>
        <v>#N/A</v>
      </c>
      <c r="K2261" s="33" t="s">
        <v>5303</v>
      </c>
      <c r="L2261" s="68" t="s">
        <v>8674</v>
      </c>
      <c r="M2261" s="68" t="s">
        <v>8912</v>
      </c>
      <c r="N2261" s="68" t="s">
        <v>8665</v>
      </c>
      <c r="O2261" s="202">
        <v>50101</v>
      </c>
      <c r="P2261" s="198" t="s">
        <v>5780</v>
      </c>
    </row>
    <row r="2262" spans="1:16" ht="18.75" hidden="1">
      <c r="A2262" s="50" t="str">
        <f>"50100-8725834"</f>
        <v>50100-8725834</v>
      </c>
      <c r="B2262" s="50" t="str">
        <f>"96/03/02"</f>
        <v>96/03/02</v>
      </c>
      <c r="C2262" s="50" t="s">
        <v>5289</v>
      </c>
      <c r="D2262" s="50" t="s">
        <v>4878</v>
      </c>
      <c r="E2262" s="12" t="s">
        <v>3420</v>
      </c>
      <c r="F2262" s="49">
        <v>210980</v>
      </c>
      <c r="G2262" s="67" t="s">
        <v>5611</v>
      </c>
      <c r="H2262" s="14" t="s">
        <v>5601</v>
      </c>
      <c r="I2262" s="14" t="s">
        <v>2458</v>
      </c>
      <c r="J2262" s="33" t="s">
        <v>7110</v>
      </c>
      <c r="K2262" s="33" t="s">
        <v>5303</v>
      </c>
      <c r="L2262" s="68" t="s">
        <v>8666</v>
      </c>
      <c r="M2262" s="68" t="s">
        <v>8912</v>
      </c>
      <c r="N2262" s="68" t="s">
        <v>8665</v>
      </c>
      <c r="O2262" s="202">
        <v>50100</v>
      </c>
      <c r="P2262" s="198" t="s">
        <v>5752</v>
      </c>
    </row>
    <row r="2263" spans="1:16" ht="18.75" hidden="1">
      <c r="A2263" s="50" t="str">
        <f>"50100-8758589"</f>
        <v>50100-8758589</v>
      </c>
      <c r="B2263" s="50" t="str">
        <f>"96/03/09"</f>
        <v>96/03/09</v>
      </c>
      <c r="C2263" s="50" t="s">
        <v>5016</v>
      </c>
      <c r="D2263" s="50" t="s">
        <v>5011</v>
      </c>
      <c r="E2263" s="12" t="s">
        <v>4971</v>
      </c>
      <c r="F2263" s="49">
        <v>80000</v>
      </c>
      <c r="G2263" s="67" t="s">
        <v>5611</v>
      </c>
      <c r="H2263" s="14" t="s">
        <v>5601</v>
      </c>
      <c r="I2263" s="14" t="s">
        <v>2458</v>
      </c>
      <c r="J2263" s="33" t="s">
        <v>7110</v>
      </c>
      <c r="K2263" s="33" t="s">
        <v>5303</v>
      </c>
      <c r="L2263" s="68" t="s">
        <v>6277</v>
      </c>
      <c r="M2263" s="68" t="s">
        <v>8912</v>
      </c>
      <c r="N2263" s="68" t="s">
        <v>8665</v>
      </c>
      <c r="O2263" s="202">
        <v>50101</v>
      </c>
      <c r="P2263" s="198" t="s">
        <v>5758</v>
      </c>
    </row>
    <row r="2264" spans="1:16" ht="18.75" hidden="1">
      <c r="A2264" s="50" t="str">
        <f>"50100-8770283"</f>
        <v>50100-8770283</v>
      </c>
      <c r="B2264" s="50" t="str">
        <f>"96/03/13"</f>
        <v>96/03/13</v>
      </c>
      <c r="C2264" s="50" t="s">
        <v>5294</v>
      </c>
      <c r="D2264" s="50" t="s">
        <v>5300</v>
      </c>
      <c r="E2264" s="12" t="s">
        <v>4971</v>
      </c>
      <c r="F2264" s="49">
        <v>494228</v>
      </c>
      <c r="G2264" s="67" t="s">
        <v>5779</v>
      </c>
      <c r="H2264" s="14" t="s">
        <v>5601</v>
      </c>
      <c r="I2264" s="14" t="s">
        <v>2458</v>
      </c>
      <c r="J2264" s="33" t="e">
        <f>VLOOKUP(C2264,شرکتها!A:B,2,FALSE)</f>
        <v>#N/A</v>
      </c>
      <c r="K2264" s="33" t="s">
        <v>5303</v>
      </c>
      <c r="L2264" s="68" t="s">
        <v>8674</v>
      </c>
      <c r="M2264" s="68" t="s">
        <v>8912</v>
      </c>
      <c r="N2264" s="68" t="s">
        <v>8665</v>
      </c>
      <c r="O2264" s="202">
        <v>50101</v>
      </c>
      <c r="P2264" s="198" t="s">
        <v>5780</v>
      </c>
    </row>
    <row r="2265" spans="1:16" ht="18.75" hidden="1">
      <c r="A2265" s="50" t="str">
        <f>"50100-8770902"</f>
        <v>50100-8770902</v>
      </c>
      <c r="B2265" s="50" t="str">
        <f>"96/03/13"</f>
        <v>96/03/13</v>
      </c>
      <c r="C2265" s="50" t="s">
        <v>5284</v>
      </c>
      <c r="D2265" s="50" t="s">
        <v>5161</v>
      </c>
      <c r="E2265" s="12" t="s">
        <v>4971</v>
      </c>
      <c r="F2265" s="49">
        <v>104500</v>
      </c>
      <c r="G2265" s="67" t="s">
        <v>5611</v>
      </c>
      <c r="H2265" s="14" t="s">
        <v>5601</v>
      </c>
      <c r="I2265" s="14" t="s">
        <v>2458</v>
      </c>
      <c r="J2265" s="33" t="s">
        <v>7110</v>
      </c>
      <c r="K2265" s="33" t="s">
        <v>5303</v>
      </c>
      <c r="L2265" s="68" t="s">
        <v>8666</v>
      </c>
      <c r="M2265" s="68" t="s">
        <v>8912</v>
      </c>
      <c r="N2265" s="68" t="s">
        <v>8665</v>
      </c>
      <c r="O2265" s="202">
        <v>50101</v>
      </c>
      <c r="P2265" s="198" t="s">
        <v>5762</v>
      </c>
    </row>
    <row r="2266" spans="1:16" ht="18.75" hidden="1">
      <c r="A2266" s="50" t="str">
        <f>"50100-8752132"</f>
        <v>50100-8752132</v>
      </c>
      <c r="B2266" s="50" t="str">
        <f>"96/03/08"</f>
        <v>96/03/08</v>
      </c>
      <c r="C2266" s="50" t="s">
        <v>5295</v>
      </c>
      <c r="D2266" s="50" t="s">
        <v>5301</v>
      </c>
      <c r="E2266" s="12" t="s">
        <v>4971</v>
      </c>
      <c r="F2266" s="49">
        <v>2755317</v>
      </c>
      <c r="G2266" s="67" t="s">
        <v>5779</v>
      </c>
      <c r="H2266" s="14" t="s">
        <v>5601</v>
      </c>
      <c r="I2266" s="14" t="s">
        <v>2458</v>
      </c>
      <c r="J2266" s="33" t="e">
        <f>VLOOKUP(C2266,شرکتها!A:B,2,FALSE)</f>
        <v>#N/A</v>
      </c>
      <c r="K2266" s="33" t="s">
        <v>5303</v>
      </c>
      <c r="L2266" s="68" t="s">
        <v>8670</v>
      </c>
      <c r="M2266" s="68" t="s">
        <v>8913</v>
      </c>
      <c r="N2266" s="68" t="s">
        <v>8665</v>
      </c>
      <c r="O2266" s="202">
        <v>50101</v>
      </c>
      <c r="P2266" s="198" t="s">
        <v>5804</v>
      </c>
    </row>
    <row r="2267" spans="1:16" ht="18.75" hidden="1">
      <c r="A2267" s="50" t="str">
        <f>"50100-8770531"</f>
        <v>50100-8770531</v>
      </c>
      <c r="B2267" s="50" t="str">
        <f>"96/03/13"</f>
        <v>96/03/13</v>
      </c>
      <c r="C2267" s="50" t="s">
        <v>5294</v>
      </c>
      <c r="D2267" s="50" t="s">
        <v>5300</v>
      </c>
      <c r="E2267" s="12" t="s">
        <v>4971</v>
      </c>
      <c r="F2267" s="49">
        <v>424190</v>
      </c>
      <c r="G2267" s="67" t="s">
        <v>5779</v>
      </c>
      <c r="H2267" s="14" t="s">
        <v>5601</v>
      </c>
      <c r="I2267" s="14" t="s">
        <v>2458</v>
      </c>
      <c r="J2267" s="33" t="e">
        <f>VLOOKUP(C2267,شرکتها!A:B,2,FALSE)</f>
        <v>#N/A</v>
      </c>
      <c r="K2267" s="33" t="s">
        <v>5303</v>
      </c>
      <c r="L2267" s="68" t="s">
        <v>8674</v>
      </c>
      <c r="M2267" s="68" t="s">
        <v>8912</v>
      </c>
      <c r="N2267" s="68" t="s">
        <v>8665</v>
      </c>
      <c r="O2267" s="202">
        <v>50101</v>
      </c>
      <c r="P2267" s="198" t="s">
        <v>5780</v>
      </c>
    </row>
    <row r="2268" spans="1:16" ht="18.75" hidden="1">
      <c r="A2268" s="50" t="str">
        <f>"50100-8770531"</f>
        <v>50100-8770531</v>
      </c>
      <c r="B2268" s="50" t="str">
        <f>"96/03/13"</f>
        <v>96/03/13</v>
      </c>
      <c r="C2268" s="50" t="s">
        <v>5293</v>
      </c>
      <c r="D2268" s="50" t="s">
        <v>5300</v>
      </c>
      <c r="E2268" s="12" t="s">
        <v>4971</v>
      </c>
      <c r="F2268" s="49">
        <v>70052</v>
      </c>
      <c r="G2268" s="67" t="s">
        <v>5779</v>
      </c>
      <c r="H2268" s="14" t="s">
        <v>5601</v>
      </c>
      <c r="I2268" s="14" t="s">
        <v>2458</v>
      </c>
      <c r="J2268" s="33" t="e">
        <f>VLOOKUP(C2268,شرکتها!A:B,2,FALSE)</f>
        <v>#N/A</v>
      </c>
      <c r="K2268" s="33" t="s">
        <v>5303</v>
      </c>
      <c r="L2268" s="68" t="s">
        <v>8674</v>
      </c>
      <c r="M2268" s="68" t="s">
        <v>8912</v>
      </c>
      <c r="N2268" s="68" t="s">
        <v>8665</v>
      </c>
      <c r="O2268" s="202">
        <v>50101</v>
      </c>
      <c r="P2268" s="198" t="s">
        <v>5780</v>
      </c>
    </row>
    <row r="2269" spans="1:16" ht="18.75" hidden="1">
      <c r="A2269" s="50" t="str">
        <f>"50100-8750723"</f>
        <v>50100-8750723</v>
      </c>
      <c r="B2269" s="50" t="str">
        <f>"96/03/08"</f>
        <v>96/03/08</v>
      </c>
      <c r="C2269" s="50" t="s">
        <v>5296</v>
      </c>
      <c r="D2269" s="50" t="s">
        <v>5270</v>
      </c>
      <c r="E2269" s="12" t="s">
        <v>4971</v>
      </c>
      <c r="F2269" s="49">
        <v>1096480</v>
      </c>
      <c r="G2269" s="67" t="s">
        <v>5616</v>
      </c>
      <c r="H2269" s="14" t="s">
        <v>5601</v>
      </c>
      <c r="I2269" s="14" t="s">
        <v>2458</v>
      </c>
      <c r="J2269" s="33" t="s">
        <v>7110</v>
      </c>
      <c r="K2269" s="33" t="s">
        <v>5303</v>
      </c>
      <c r="L2269" s="68" t="s">
        <v>6283</v>
      </c>
      <c r="M2269" s="68" t="s">
        <v>8912</v>
      </c>
      <c r="N2269" s="68" t="s">
        <v>8665</v>
      </c>
      <c r="O2269" s="202">
        <v>50101</v>
      </c>
      <c r="P2269" s="198" t="s">
        <v>5781</v>
      </c>
    </row>
    <row r="2270" spans="1:16" ht="18.75" hidden="1">
      <c r="A2270" s="50" t="str">
        <f>"50100-8712245"</f>
        <v>50100-8712245</v>
      </c>
      <c r="B2270" s="50" t="str">
        <f>"96/02/31"</f>
        <v>96/02/31</v>
      </c>
      <c r="C2270" s="50" t="s">
        <v>5297</v>
      </c>
      <c r="D2270" s="50" t="s">
        <v>5270</v>
      </c>
      <c r="E2270" s="12" t="s">
        <v>4971</v>
      </c>
      <c r="F2270" s="49">
        <v>2834136</v>
      </c>
      <c r="G2270" s="67" t="s">
        <v>5779</v>
      </c>
      <c r="H2270" s="14" t="s">
        <v>5601</v>
      </c>
      <c r="I2270" s="14" t="s">
        <v>2458</v>
      </c>
      <c r="J2270" s="33" t="e">
        <f>VLOOKUP(C2270,شرکتها!A:B,2,FALSE)</f>
        <v>#N/A</v>
      </c>
      <c r="K2270" s="33" t="s">
        <v>5303</v>
      </c>
      <c r="L2270" s="68" t="s">
        <v>6283</v>
      </c>
      <c r="M2270" s="68" t="s">
        <v>8913</v>
      </c>
      <c r="N2270" s="68" t="s">
        <v>8665</v>
      </c>
      <c r="O2270" s="202">
        <v>50101</v>
      </c>
      <c r="P2270" s="198" t="s">
        <v>5804</v>
      </c>
    </row>
    <row r="2271" spans="1:16" ht="18.75" hidden="1">
      <c r="A2271" s="50" t="str">
        <f>"50100-8719480"</f>
        <v>50100-8719480</v>
      </c>
      <c r="B2271" s="50" t="str">
        <f>"96/03/01"</f>
        <v>96/03/01</v>
      </c>
      <c r="C2271" s="50" t="s">
        <v>5298</v>
      </c>
      <c r="D2271" s="50" t="s">
        <v>5302</v>
      </c>
      <c r="E2271" s="12" t="s">
        <v>4971</v>
      </c>
      <c r="F2271" s="49">
        <v>1493008</v>
      </c>
      <c r="G2271" s="67" t="s">
        <v>5779</v>
      </c>
      <c r="H2271" s="14" t="s">
        <v>5601</v>
      </c>
      <c r="I2271" s="14" t="s">
        <v>2458</v>
      </c>
      <c r="J2271" s="33" t="e">
        <f>VLOOKUP(C2271,شرکتها!A:B,2,FALSE)</f>
        <v>#N/A</v>
      </c>
      <c r="K2271" s="33" t="s">
        <v>5303</v>
      </c>
      <c r="L2271" s="68" t="s">
        <v>6284</v>
      </c>
      <c r="M2271" s="68" t="s">
        <v>8913</v>
      </c>
      <c r="N2271" s="68" t="s">
        <v>8665</v>
      </c>
      <c r="O2271" s="202">
        <v>50101</v>
      </c>
      <c r="P2271" s="198" t="s">
        <v>5804</v>
      </c>
    </row>
    <row r="2272" spans="1:16" ht="18.75" hidden="1">
      <c r="A2272" s="50" t="s">
        <v>5306</v>
      </c>
      <c r="B2272" s="50" t="s">
        <v>5230</v>
      </c>
      <c r="C2272" s="50" t="s">
        <v>5323</v>
      </c>
      <c r="D2272" s="50" t="s">
        <v>5271</v>
      </c>
      <c r="E2272" s="12">
        <v>96</v>
      </c>
      <c r="F2272" s="49">
        <v>140000</v>
      </c>
      <c r="G2272" s="67" t="s">
        <v>5631</v>
      </c>
      <c r="H2272" s="14" t="s">
        <v>5601</v>
      </c>
      <c r="I2272" s="14" t="s">
        <v>2458</v>
      </c>
      <c r="J2272" s="33" t="s">
        <v>7110</v>
      </c>
      <c r="K2272" s="33" t="s">
        <v>5331</v>
      </c>
      <c r="L2272" s="68" t="s">
        <v>6054</v>
      </c>
      <c r="M2272" s="68" t="s">
        <v>8913</v>
      </c>
      <c r="N2272" s="68" t="s">
        <v>6061</v>
      </c>
      <c r="O2272" s="202">
        <v>55301</v>
      </c>
      <c r="P2272" s="197" t="s">
        <v>5803</v>
      </c>
    </row>
    <row r="2273" spans="1:16" ht="18.75" hidden="1">
      <c r="A2273" s="50" t="s">
        <v>5307</v>
      </c>
      <c r="B2273" s="50" t="s">
        <v>5265</v>
      </c>
      <c r="C2273" s="50" t="s">
        <v>5228</v>
      </c>
      <c r="D2273" s="50" t="s">
        <v>5169</v>
      </c>
      <c r="E2273" s="12">
        <v>96</v>
      </c>
      <c r="F2273" s="49">
        <v>173210</v>
      </c>
      <c r="G2273" s="67" t="s">
        <v>5631</v>
      </c>
      <c r="H2273" s="14" t="s">
        <v>5601</v>
      </c>
      <c r="I2273" s="14" t="s">
        <v>2458</v>
      </c>
      <c r="J2273" s="33" t="s">
        <v>7110</v>
      </c>
      <c r="K2273" s="33" t="s">
        <v>5331</v>
      </c>
      <c r="L2273" s="68" t="s">
        <v>6054</v>
      </c>
      <c r="M2273" s="68" t="s">
        <v>8912</v>
      </c>
      <c r="N2273" s="68" t="s">
        <v>6061</v>
      </c>
      <c r="O2273" s="202">
        <v>55301</v>
      </c>
      <c r="P2273" s="197" t="s">
        <v>5801</v>
      </c>
    </row>
    <row r="2274" spans="1:16" ht="18.75" hidden="1">
      <c r="A2274" s="50" t="s">
        <v>5306</v>
      </c>
      <c r="B2274" s="50" t="s">
        <v>5230</v>
      </c>
      <c r="C2274" s="50" t="s">
        <v>5324</v>
      </c>
      <c r="D2274" s="50" t="s">
        <v>5273</v>
      </c>
      <c r="E2274" s="12">
        <v>96</v>
      </c>
      <c r="F2274" s="49">
        <v>44045</v>
      </c>
      <c r="G2274" s="67" t="s">
        <v>5631</v>
      </c>
      <c r="H2274" s="14" t="s">
        <v>5601</v>
      </c>
      <c r="I2274" s="14" t="s">
        <v>2458</v>
      </c>
      <c r="J2274" s="33" t="s">
        <v>7110</v>
      </c>
      <c r="K2274" s="33" t="s">
        <v>5331</v>
      </c>
      <c r="L2274" s="68" t="s">
        <v>6054</v>
      </c>
      <c r="M2274" s="68" t="s">
        <v>8913</v>
      </c>
      <c r="N2274" s="68" t="s">
        <v>6061</v>
      </c>
      <c r="O2274" s="202">
        <v>55301</v>
      </c>
      <c r="P2274" s="197" t="s">
        <v>5803</v>
      </c>
    </row>
    <row r="2275" spans="1:16" ht="18.75" hidden="1">
      <c r="A2275" s="50" t="s">
        <v>5308</v>
      </c>
      <c r="B2275" s="50" t="s">
        <v>5270</v>
      </c>
      <c r="C2275" s="50" t="s">
        <v>5325</v>
      </c>
      <c r="D2275" s="50" t="s">
        <v>5267</v>
      </c>
      <c r="E2275" s="12">
        <v>96</v>
      </c>
      <c r="F2275" s="49">
        <v>69460</v>
      </c>
      <c r="G2275" s="67" t="s">
        <v>5611</v>
      </c>
      <c r="H2275" s="14" t="s">
        <v>5601</v>
      </c>
      <c r="I2275" s="14" t="s">
        <v>2458</v>
      </c>
      <c r="J2275" s="33" t="s">
        <v>7110</v>
      </c>
      <c r="K2275" s="33" t="s">
        <v>5331</v>
      </c>
      <c r="L2275" s="68" t="s">
        <v>8663</v>
      </c>
      <c r="M2275" s="68" t="s">
        <v>8913</v>
      </c>
      <c r="N2275" s="68" t="s">
        <v>6058</v>
      </c>
      <c r="O2275" s="68">
        <v>60400</v>
      </c>
      <c r="P2275" s="198" t="s">
        <v>5799</v>
      </c>
    </row>
    <row r="2276" spans="1:16" ht="18.75" hidden="1">
      <c r="A2276" s="50" t="s">
        <v>5309</v>
      </c>
      <c r="B2276" s="50" t="s">
        <v>5230</v>
      </c>
      <c r="C2276" s="50" t="s">
        <v>5086</v>
      </c>
      <c r="D2276" s="50" t="s">
        <v>5010</v>
      </c>
      <c r="E2276" s="12">
        <v>96</v>
      </c>
      <c r="F2276" s="49">
        <v>197560</v>
      </c>
      <c r="G2276" s="67" t="s">
        <v>5683</v>
      </c>
      <c r="H2276" s="14" t="s">
        <v>5601</v>
      </c>
      <c r="I2276" s="14" t="s">
        <v>2458</v>
      </c>
      <c r="J2276" s="33" t="s">
        <v>7110</v>
      </c>
      <c r="K2276" s="33" t="s">
        <v>5331</v>
      </c>
      <c r="L2276" s="68" t="s">
        <v>6054</v>
      </c>
      <c r="M2276" s="68" t="s">
        <v>8913</v>
      </c>
      <c r="N2276" s="68" t="s">
        <v>6061</v>
      </c>
      <c r="O2276" s="202">
        <v>55301</v>
      </c>
      <c r="P2276" s="198" t="s">
        <v>5787</v>
      </c>
    </row>
    <row r="2277" spans="1:16" ht="18.75" hidden="1">
      <c r="A2277" s="50" t="s">
        <v>5306</v>
      </c>
      <c r="B2277" s="50" t="s">
        <v>5230</v>
      </c>
      <c r="C2277" s="50" t="s">
        <v>5326</v>
      </c>
      <c r="D2277" s="50" t="s">
        <v>5266</v>
      </c>
      <c r="E2277" s="12">
        <v>96</v>
      </c>
      <c r="F2277" s="49">
        <v>4295</v>
      </c>
      <c r="G2277" s="67" t="s">
        <v>5631</v>
      </c>
      <c r="H2277" s="14" t="s">
        <v>5601</v>
      </c>
      <c r="I2277" s="14" t="s">
        <v>2458</v>
      </c>
      <c r="J2277" s="33" t="s">
        <v>7110</v>
      </c>
      <c r="K2277" s="33" t="s">
        <v>5331</v>
      </c>
      <c r="L2277" s="68" t="s">
        <v>6054</v>
      </c>
      <c r="M2277" s="68" t="s">
        <v>8913</v>
      </c>
      <c r="N2277" s="68" t="s">
        <v>6061</v>
      </c>
      <c r="O2277" s="202">
        <v>55301</v>
      </c>
      <c r="P2277" s="197" t="s">
        <v>5803</v>
      </c>
    </row>
    <row r="2278" spans="1:16" ht="18.75" hidden="1">
      <c r="A2278" s="50" t="s">
        <v>5307</v>
      </c>
      <c r="B2278" s="50" t="s">
        <v>5265</v>
      </c>
      <c r="C2278" s="50" t="s">
        <v>5059</v>
      </c>
      <c r="D2278" s="50" t="s">
        <v>5011</v>
      </c>
      <c r="E2278" s="12">
        <v>96</v>
      </c>
      <c r="F2278" s="49">
        <v>51800</v>
      </c>
      <c r="G2278" s="67" t="s">
        <v>5683</v>
      </c>
      <c r="H2278" s="14" t="s">
        <v>5601</v>
      </c>
      <c r="I2278" s="14" t="s">
        <v>2458</v>
      </c>
      <c r="J2278" s="33" t="s">
        <v>7110</v>
      </c>
      <c r="K2278" s="33" t="s">
        <v>5331</v>
      </c>
      <c r="L2278" s="68" t="s">
        <v>6054</v>
      </c>
      <c r="M2278" s="68" t="s">
        <v>8912</v>
      </c>
      <c r="N2278" s="68" t="s">
        <v>6061</v>
      </c>
      <c r="O2278" s="202">
        <v>55301</v>
      </c>
      <c r="P2278" s="198" t="s">
        <v>5784</v>
      </c>
    </row>
    <row r="2279" spans="1:16" ht="18.75" hidden="1">
      <c r="A2279" s="50" t="s">
        <v>5310</v>
      </c>
      <c r="B2279" s="50" t="s">
        <v>5270</v>
      </c>
      <c r="C2279" s="50" t="s">
        <v>5324</v>
      </c>
      <c r="D2279" s="50" t="s">
        <v>5273</v>
      </c>
      <c r="E2279" s="12">
        <v>96</v>
      </c>
      <c r="F2279" s="49">
        <v>149000</v>
      </c>
      <c r="G2279" s="67" t="s">
        <v>5631</v>
      </c>
      <c r="H2279" s="14" t="s">
        <v>5601</v>
      </c>
      <c r="I2279" s="14" t="s">
        <v>2458</v>
      </c>
      <c r="J2279" s="33" t="s">
        <v>7110</v>
      </c>
      <c r="K2279" s="33" t="s">
        <v>5331</v>
      </c>
      <c r="L2279" s="68" t="s">
        <v>6054</v>
      </c>
      <c r="M2279" s="68" t="s">
        <v>8913</v>
      </c>
      <c r="N2279" s="68" t="s">
        <v>6061</v>
      </c>
      <c r="O2279" s="202">
        <v>55301</v>
      </c>
      <c r="P2279" s="197" t="s">
        <v>5803</v>
      </c>
    </row>
    <row r="2280" spans="1:16" ht="18.75" hidden="1">
      <c r="A2280" s="50" t="s">
        <v>5307</v>
      </c>
      <c r="B2280" s="50" t="s">
        <v>5265</v>
      </c>
      <c r="C2280" s="50" t="s">
        <v>5064</v>
      </c>
      <c r="D2280" s="50" t="s">
        <v>5010</v>
      </c>
      <c r="E2280" s="12">
        <v>96</v>
      </c>
      <c r="F2280" s="49">
        <v>41850</v>
      </c>
      <c r="G2280" s="67" t="s">
        <v>5683</v>
      </c>
      <c r="H2280" s="14" t="s">
        <v>5601</v>
      </c>
      <c r="I2280" s="14" t="s">
        <v>2458</v>
      </c>
      <c r="J2280" s="33" t="s">
        <v>7110</v>
      </c>
      <c r="K2280" s="33" t="s">
        <v>5331</v>
      </c>
      <c r="L2280" s="68" t="s">
        <v>6054</v>
      </c>
      <c r="M2280" s="68" t="s">
        <v>8912</v>
      </c>
      <c r="N2280" s="68" t="s">
        <v>6061</v>
      </c>
      <c r="O2280" s="202">
        <v>55301</v>
      </c>
      <c r="P2280" s="198" t="s">
        <v>5788</v>
      </c>
    </row>
    <row r="2281" spans="1:16" ht="18.75" hidden="1">
      <c r="A2281" s="50" t="s">
        <v>5311</v>
      </c>
      <c r="B2281" s="50" t="s">
        <v>5322</v>
      </c>
      <c r="C2281" s="50" t="s">
        <v>5326</v>
      </c>
      <c r="D2281" s="50" t="s">
        <v>5266</v>
      </c>
      <c r="E2281" s="12">
        <v>96</v>
      </c>
      <c r="F2281" s="49">
        <v>68300</v>
      </c>
      <c r="G2281" s="67" t="s">
        <v>5631</v>
      </c>
      <c r="H2281" s="14" t="s">
        <v>5601</v>
      </c>
      <c r="I2281" s="14" t="s">
        <v>2458</v>
      </c>
      <c r="J2281" s="33" t="s">
        <v>7110</v>
      </c>
      <c r="K2281" s="33" t="s">
        <v>5331</v>
      </c>
      <c r="L2281" s="68" t="s">
        <v>6054</v>
      </c>
      <c r="M2281" s="68" t="s">
        <v>8913</v>
      </c>
      <c r="N2281" s="68" t="s">
        <v>6061</v>
      </c>
      <c r="O2281" s="202">
        <v>55301</v>
      </c>
      <c r="P2281" s="197" t="s">
        <v>5803</v>
      </c>
    </row>
    <row r="2282" spans="1:16" ht="18.75" hidden="1">
      <c r="A2282" s="50" t="s">
        <v>5312</v>
      </c>
      <c r="B2282" s="50" t="s">
        <v>5265</v>
      </c>
      <c r="C2282" s="50" t="s">
        <v>5219</v>
      </c>
      <c r="D2282" s="50" t="s">
        <v>5010</v>
      </c>
      <c r="E2282" s="12">
        <v>96</v>
      </c>
      <c r="F2282" s="49">
        <v>51800</v>
      </c>
      <c r="G2282" s="67" t="s">
        <v>5631</v>
      </c>
      <c r="H2282" s="14" t="s">
        <v>5601</v>
      </c>
      <c r="I2282" s="14" t="s">
        <v>2458</v>
      </c>
      <c r="J2282" s="33" t="s">
        <v>7110</v>
      </c>
      <c r="K2282" s="33" t="s">
        <v>5331</v>
      </c>
      <c r="L2282" s="68" t="s">
        <v>6054</v>
      </c>
      <c r="M2282" s="68" t="s">
        <v>8913</v>
      </c>
      <c r="N2282" s="68" t="s">
        <v>6061</v>
      </c>
      <c r="O2282" s="202">
        <v>55301</v>
      </c>
      <c r="P2282" s="197" t="s">
        <v>5777</v>
      </c>
    </row>
    <row r="2283" spans="1:16" ht="18.75" hidden="1">
      <c r="A2283" s="50" t="s">
        <v>5312</v>
      </c>
      <c r="B2283" s="50" t="s">
        <v>5265</v>
      </c>
      <c r="C2283" s="50" t="s">
        <v>5326</v>
      </c>
      <c r="D2283" s="50" t="s">
        <v>5266</v>
      </c>
      <c r="E2283" s="12">
        <v>96</v>
      </c>
      <c r="F2283" s="49">
        <v>467365</v>
      </c>
      <c r="G2283" s="67" t="s">
        <v>5631</v>
      </c>
      <c r="H2283" s="14" t="s">
        <v>5601</v>
      </c>
      <c r="I2283" s="14" t="s">
        <v>2458</v>
      </c>
      <c r="J2283" s="33" t="s">
        <v>7110</v>
      </c>
      <c r="K2283" s="33" t="s">
        <v>5331</v>
      </c>
      <c r="L2283" s="68" t="s">
        <v>6054</v>
      </c>
      <c r="M2283" s="68" t="s">
        <v>8913</v>
      </c>
      <c r="N2283" s="68" t="s">
        <v>6061</v>
      </c>
      <c r="O2283" s="202">
        <v>55301</v>
      </c>
      <c r="P2283" s="197" t="s">
        <v>5803</v>
      </c>
    </row>
    <row r="2284" spans="1:16" ht="18.75" hidden="1">
      <c r="A2284" s="50" t="s">
        <v>5312</v>
      </c>
      <c r="B2284" s="50" t="s">
        <v>5265</v>
      </c>
      <c r="C2284" s="50" t="s">
        <v>5224</v>
      </c>
      <c r="D2284" s="50" t="s">
        <v>4972</v>
      </c>
      <c r="E2284" s="12">
        <v>96</v>
      </c>
      <c r="F2284" s="49">
        <v>7015</v>
      </c>
      <c r="G2284" s="67" t="s">
        <v>5611</v>
      </c>
      <c r="H2284" s="14" t="s">
        <v>5601</v>
      </c>
      <c r="I2284" s="14" t="s">
        <v>2458</v>
      </c>
      <c r="J2284" s="33" t="s">
        <v>7110</v>
      </c>
      <c r="K2284" s="33" t="s">
        <v>5331</v>
      </c>
      <c r="L2284" s="68" t="s">
        <v>6054</v>
      </c>
      <c r="M2284" s="68" t="s">
        <v>8913</v>
      </c>
      <c r="N2284" s="68" t="s">
        <v>6061</v>
      </c>
      <c r="O2284" s="202">
        <v>55301</v>
      </c>
      <c r="P2284" s="198" t="s">
        <v>5762</v>
      </c>
    </row>
    <row r="2285" spans="1:16" ht="18.75" hidden="1">
      <c r="A2285" s="50" t="s">
        <v>5313</v>
      </c>
      <c r="B2285" s="50" t="s">
        <v>5230</v>
      </c>
      <c r="C2285" s="50" t="s">
        <v>5228</v>
      </c>
      <c r="D2285" s="50" t="s">
        <v>5169</v>
      </c>
      <c r="E2285" s="12">
        <v>96</v>
      </c>
      <c r="F2285" s="49">
        <v>142730</v>
      </c>
      <c r="G2285" s="67" t="s">
        <v>5631</v>
      </c>
      <c r="H2285" s="14" t="s">
        <v>5601</v>
      </c>
      <c r="I2285" s="14" t="s">
        <v>2458</v>
      </c>
      <c r="J2285" s="33" t="s">
        <v>7110</v>
      </c>
      <c r="K2285" s="33" t="s">
        <v>5331</v>
      </c>
      <c r="L2285" s="68" t="s">
        <v>6054</v>
      </c>
      <c r="M2285" s="68" t="s">
        <v>8912</v>
      </c>
      <c r="N2285" s="68" t="s">
        <v>6061</v>
      </c>
      <c r="O2285" s="202">
        <v>55301</v>
      </c>
      <c r="P2285" s="197" t="s">
        <v>5801</v>
      </c>
    </row>
    <row r="2286" spans="1:16" ht="18.75" hidden="1">
      <c r="A2286" s="50" t="s">
        <v>5314</v>
      </c>
      <c r="B2286" s="50" t="s">
        <v>5266</v>
      </c>
      <c r="C2286" s="50" t="s">
        <v>5276</v>
      </c>
      <c r="D2286" s="50" t="s">
        <v>5047</v>
      </c>
      <c r="E2286" s="12">
        <v>96</v>
      </c>
      <c r="F2286" s="49">
        <v>82290</v>
      </c>
      <c r="G2286" s="67" t="s">
        <v>5631</v>
      </c>
      <c r="H2286" s="14" t="s">
        <v>5601</v>
      </c>
      <c r="I2286" s="14" t="s">
        <v>2458</v>
      </c>
      <c r="J2286" s="33" t="s">
        <v>7110</v>
      </c>
      <c r="K2286" s="33" t="s">
        <v>5331</v>
      </c>
      <c r="L2286" s="68" t="s">
        <v>6054</v>
      </c>
      <c r="M2286" s="68" t="s">
        <v>8913</v>
      </c>
      <c r="N2286" s="68" t="s">
        <v>6061</v>
      </c>
      <c r="O2286" s="202">
        <v>55301</v>
      </c>
      <c r="P2286" s="197" t="s">
        <v>5801</v>
      </c>
    </row>
    <row r="2287" spans="1:16" ht="18.75" hidden="1">
      <c r="A2287" s="50" t="s">
        <v>5315</v>
      </c>
      <c r="B2287" s="50" t="s">
        <v>5268</v>
      </c>
      <c r="C2287" s="50" t="s">
        <v>5327</v>
      </c>
      <c r="D2287" s="50" t="s">
        <v>5077</v>
      </c>
      <c r="E2287" s="12">
        <v>96</v>
      </c>
      <c r="F2287" s="49">
        <v>213240</v>
      </c>
      <c r="G2287" s="67" t="s">
        <v>5611</v>
      </c>
      <c r="H2287" s="14" t="s">
        <v>5601</v>
      </c>
      <c r="I2287" s="14" t="s">
        <v>2458</v>
      </c>
      <c r="J2287" s="33" t="s">
        <v>7110</v>
      </c>
      <c r="K2287" s="33" t="s">
        <v>5331</v>
      </c>
      <c r="L2287" s="68" t="s">
        <v>6054</v>
      </c>
      <c r="M2287" s="68" t="s">
        <v>8913</v>
      </c>
      <c r="N2287" s="68" t="s">
        <v>6061</v>
      </c>
      <c r="O2287" s="202">
        <v>55301</v>
      </c>
      <c r="P2287" s="198" t="s">
        <v>5799</v>
      </c>
    </row>
    <row r="2288" spans="1:16" ht="18.75" hidden="1">
      <c r="A2288" s="50" t="s">
        <v>5314</v>
      </c>
      <c r="B2288" s="50" t="s">
        <v>5266</v>
      </c>
      <c r="C2288" s="50" t="s">
        <v>5227</v>
      </c>
      <c r="D2288" s="50" t="s">
        <v>5162</v>
      </c>
      <c r="E2288" s="12">
        <v>96</v>
      </c>
      <c r="F2288" s="49">
        <v>58330</v>
      </c>
      <c r="G2288" s="67" t="s">
        <v>5611</v>
      </c>
      <c r="H2288" s="14" t="s">
        <v>5601</v>
      </c>
      <c r="I2288" s="14" t="s">
        <v>2458</v>
      </c>
      <c r="J2288" s="33" t="s">
        <v>7110</v>
      </c>
      <c r="K2288" s="33" t="s">
        <v>5331</v>
      </c>
      <c r="L2288" s="68" t="s">
        <v>6054</v>
      </c>
      <c r="M2288" s="68" t="s">
        <v>8913</v>
      </c>
      <c r="N2288" s="68" t="s">
        <v>6061</v>
      </c>
      <c r="O2288" s="202">
        <v>55301</v>
      </c>
      <c r="P2288" s="198" t="s">
        <v>5762</v>
      </c>
    </row>
    <row r="2289" spans="1:16" ht="18.75" hidden="1">
      <c r="A2289" s="50" t="s">
        <v>5316</v>
      </c>
      <c r="B2289" s="50" t="s">
        <v>5269</v>
      </c>
      <c r="C2289" s="50" t="s">
        <v>5229</v>
      </c>
      <c r="D2289" s="50" t="s">
        <v>5011</v>
      </c>
      <c r="E2289" s="12">
        <v>96</v>
      </c>
      <c r="F2289" s="49">
        <v>93380</v>
      </c>
      <c r="G2289" s="67" t="s">
        <v>5609</v>
      </c>
      <c r="H2289" s="14" t="s">
        <v>5601</v>
      </c>
      <c r="I2289" s="14" t="s">
        <v>2458</v>
      </c>
      <c r="J2289" s="33" t="s">
        <v>7110</v>
      </c>
      <c r="K2289" s="33" t="s">
        <v>5331</v>
      </c>
      <c r="L2289" s="68" t="s">
        <v>6054</v>
      </c>
      <c r="M2289" s="68" t="s">
        <v>8912</v>
      </c>
      <c r="N2289" s="68" t="s">
        <v>6061</v>
      </c>
      <c r="O2289" s="202">
        <v>55301</v>
      </c>
      <c r="P2289" s="198" t="s">
        <v>5772</v>
      </c>
    </row>
    <row r="2290" spans="1:16" ht="18.75" hidden="1">
      <c r="A2290" s="50" t="s">
        <v>5317</v>
      </c>
      <c r="B2290" s="50" t="s">
        <v>5274</v>
      </c>
      <c r="C2290" s="50" t="s">
        <v>5229</v>
      </c>
      <c r="D2290" s="50" t="s">
        <v>5011</v>
      </c>
      <c r="E2290" s="12">
        <v>96</v>
      </c>
      <c r="F2290" s="49">
        <v>25740</v>
      </c>
      <c r="G2290" s="67" t="s">
        <v>5609</v>
      </c>
      <c r="H2290" s="14" t="s">
        <v>5601</v>
      </c>
      <c r="I2290" s="14" t="s">
        <v>2458</v>
      </c>
      <c r="J2290" s="33" t="s">
        <v>7110</v>
      </c>
      <c r="K2290" s="33" t="s">
        <v>5331</v>
      </c>
      <c r="L2290" s="68" t="s">
        <v>6054</v>
      </c>
      <c r="M2290" s="68" t="s">
        <v>8913</v>
      </c>
      <c r="N2290" s="68" t="s">
        <v>6061</v>
      </c>
      <c r="O2290" s="202">
        <v>55301</v>
      </c>
      <c r="P2290" s="198" t="s">
        <v>5772</v>
      </c>
    </row>
    <row r="2291" spans="1:16" ht="18.75" hidden="1">
      <c r="A2291" s="50" t="s">
        <v>5317</v>
      </c>
      <c r="B2291" s="50" t="s">
        <v>5274</v>
      </c>
      <c r="C2291" s="50" t="s">
        <v>5279</v>
      </c>
      <c r="D2291" s="50" t="s">
        <v>5046</v>
      </c>
      <c r="E2291" s="12">
        <v>96</v>
      </c>
      <c r="F2291" s="49">
        <v>47260</v>
      </c>
      <c r="G2291" s="67" t="s">
        <v>5611</v>
      </c>
      <c r="H2291" s="14" t="s">
        <v>5601</v>
      </c>
      <c r="I2291" s="14" t="s">
        <v>2458</v>
      </c>
      <c r="J2291" s="33" t="s">
        <v>7110</v>
      </c>
      <c r="K2291" s="33" t="s">
        <v>5331</v>
      </c>
      <c r="L2291" s="68" t="s">
        <v>6054</v>
      </c>
      <c r="M2291" s="68" t="s">
        <v>8913</v>
      </c>
      <c r="N2291" s="68" t="s">
        <v>6061</v>
      </c>
      <c r="O2291" s="202">
        <v>55301</v>
      </c>
      <c r="P2291" s="198" t="s">
        <v>5758</v>
      </c>
    </row>
    <row r="2292" spans="1:16" ht="18.75" hidden="1">
      <c r="A2292" s="50" t="s">
        <v>5318</v>
      </c>
      <c r="B2292" s="50" t="s">
        <v>5274</v>
      </c>
      <c r="C2292" s="50" t="s">
        <v>5224</v>
      </c>
      <c r="D2292" s="50" t="s">
        <v>4972</v>
      </c>
      <c r="E2292" s="12">
        <v>96</v>
      </c>
      <c r="F2292" s="49">
        <v>51485</v>
      </c>
      <c r="G2292" s="67" t="s">
        <v>5611</v>
      </c>
      <c r="H2292" s="14" t="s">
        <v>5601</v>
      </c>
      <c r="I2292" s="14" t="s">
        <v>2458</v>
      </c>
      <c r="J2292" s="33" t="s">
        <v>7110</v>
      </c>
      <c r="K2292" s="33" t="s">
        <v>5331</v>
      </c>
      <c r="L2292" s="68" t="s">
        <v>6054</v>
      </c>
      <c r="M2292" s="68" t="s">
        <v>8912</v>
      </c>
      <c r="N2292" s="68" t="s">
        <v>6061</v>
      </c>
      <c r="O2292" s="202">
        <v>55301</v>
      </c>
      <c r="P2292" s="198" t="s">
        <v>5762</v>
      </c>
    </row>
    <row r="2293" spans="1:16" ht="18.75" hidden="1">
      <c r="A2293" s="50" t="s">
        <v>5319</v>
      </c>
      <c r="B2293" s="50" t="s">
        <v>5269</v>
      </c>
      <c r="C2293" s="50" t="s">
        <v>5328</v>
      </c>
      <c r="D2293" s="50" t="s">
        <v>5171</v>
      </c>
      <c r="E2293" s="12">
        <v>96</v>
      </c>
      <c r="F2293" s="49">
        <v>70400</v>
      </c>
      <c r="G2293" s="67" t="s">
        <v>5647</v>
      </c>
      <c r="H2293" s="14" t="s">
        <v>5601</v>
      </c>
      <c r="I2293" s="14" t="s">
        <v>2458</v>
      </c>
      <c r="J2293" s="33" t="s">
        <v>7110</v>
      </c>
      <c r="K2293" s="33" t="s">
        <v>5331</v>
      </c>
      <c r="L2293" s="68" t="s">
        <v>6054</v>
      </c>
      <c r="M2293" s="68" t="s">
        <v>8913</v>
      </c>
      <c r="N2293" s="68" t="s">
        <v>6061</v>
      </c>
      <c r="O2293" s="202">
        <v>55301</v>
      </c>
      <c r="P2293" s="198" t="s">
        <v>5805</v>
      </c>
    </row>
    <row r="2294" spans="1:16" ht="18.75" hidden="1">
      <c r="A2294" s="50" t="s">
        <v>5319</v>
      </c>
      <c r="B2294" s="50" t="s">
        <v>5269</v>
      </c>
      <c r="C2294" s="50" t="s">
        <v>5277</v>
      </c>
      <c r="D2294" s="50" t="s">
        <v>5163</v>
      </c>
      <c r="E2294" s="12">
        <v>96</v>
      </c>
      <c r="F2294" s="49">
        <v>32000</v>
      </c>
      <c r="G2294" s="67" t="s">
        <v>5611</v>
      </c>
      <c r="H2294" s="14" t="s">
        <v>5601</v>
      </c>
      <c r="I2294" s="14" t="s">
        <v>2458</v>
      </c>
      <c r="J2294" s="33" t="s">
        <v>7110</v>
      </c>
      <c r="K2294" s="33" t="s">
        <v>5331</v>
      </c>
      <c r="L2294" s="68" t="s">
        <v>6054</v>
      </c>
      <c r="M2294" s="68" t="s">
        <v>8913</v>
      </c>
      <c r="N2294" s="68" t="s">
        <v>6061</v>
      </c>
      <c r="O2294" s="202">
        <v>55301</v>
      </c>
      <c r="P2294" s="198" t="s">
        <v>5799</v>
      </c>
    </row>
    <row r="2295" spans="1:16" ht="18.75" hidden="1">
      <c r="A2295" s="50" t="s">
        <v>5319</v>
      </c>
      <c r="B2295" s="50" t="s">
        <v>5269</v>
      </c>
      <c r="C2295" s="50" t="s">
        <v>5329</v>
      </c>
      <c r="D2295" s="50" t="s">
        <v>5160</v>
      </c>
      <c r="E2295" s="12">
        <v>96</v>
      </c>
      <c r="F2295" s="49">
        <v>181540</v>
      </c>
      <c r="G2295" s="67" t="s">
        <v>5611</v>
      </c>
      <c r="H2295" s="14" t="s">
        <v>5601</v>
      </c>
      <c r="I2295" s="14" t="s">
        <v>2458</v>
      </c>
      <c r="J2295" s="33" t="s">
        <v>7110</v>
      </c>
      <c r="K2295" s="33" t="s">
        <v>5331</v>
      </c>
      <c r="L2295" s="68" t="s">
        <v>6054</v>
      </c>
      <c r="M2295" s="68" t="s">
        <v>8913</v>
      </c>
      <c r="N2295" s="68" t="s">
        <v>6061</v>
      </c>
      <c r="O2295" s="202">
        <v>55301</v>
      </c>
      <c r="P2295" s="198" t="s">
        <v>5799</v>
      </c>
    </row>
    <row r="2296" spans="1:16" ht="18.75" hidden="1">
      <c r="A2296" s="50" t="s">
        <v>5320</v>
      </c>
      <c r="B2296" s="50" t="s">
        <v>5273</v>
      </c>
      <c r="C2296" s="50" t="s">
        <v>5328</v>
      </c>
      <c r="D2296" s="50" t="s">
        <v>5171</v>
      </c>
      <c r="E2296" s="12">
        <v>96</v>
      </c>
      <c r="F2296" s="49">
        <v>170420</v>
      </c>
      <c r="G2296" s="67" t="s">
        <v>5647</v>
      </c>
      <c r="H2296" s="14" t="s">
        <v>5601</v>
      </c>
      <c r="I2296" s="14" t="s">
        <v>2458</v>
      </c>
      <c r="J2296" s="33" t="s">
        <v>7110</v>
      </c>
      <c r="K2296" s="33" t="s">
        <v>5331</v>
      </c>
      <c r="L2296" s="68" t="s">
        <v>6054</v>
      </c>
      <c r="M2296" s="68" t="s">
        <v>8913</v>
      </c>
      <c r="N2296" s="68" t="s">
        <v>6061</v>
      </c>
      <c r="O2296" s="202">
        <v>55301</v>
      </c>
      <c r="P2296" s="198" t="s">
        <v>5805</v>
      </c>
    </row>
    <row r="2297" spans="1:16" ht="18.75" hidden="1">
      <c r="A2297" s="50" t="s">
        <v>5321</v>
      </c>
      <c r="B2297" s="50" t="s">
        <v>5274</v>
      </c>
      <c r="C2297" s="50" t="s">
        <v>5224</v>
      </c>
      <c r="D2297" s="50" t="s">
        <v>4972</v>
      </c>
      <c r="E2297" s="12">
        <v>96</v>
      </c>
      <c r="F2297" s="49">
        <v>91520</v>
      </c>
      <c r="G2297" s="67" t="s">
        <v>5611</v>
      </c>
      <c r="H2297" s="14" t="s">
        <v>5601</v>
      </c>
      <c r="I2297" s="14" t="s">
        <v>2458</v>
      </c>
      <c r="J2297" s="33" t="s">
        <v>7110</v>
      </c>
      <c r="K2297" s="33" t="s">
        <v>5331</v>
      </c>
      <c r="L2297" s="68" t="s">
        <v>6054</v>
      </c>
      <c r="M2297" s="68" t="s">
        <v>8913</v>
      </c>
      <c r="N2297" s="68" t="s">
        <v>6061</v>
      </c>
      <c r="O2297" s="202">
        <v>55301</v>
      </c>
      <c r="P2297" s="198" t="s">
        <v>5762</v>
      </c>
    </row>
    <row r="2298" spans="1:16" ht="18.75" hidden="1">
      <c r="A2298" s="50" t="s">
        <v>5317</v>
      </c>
      <c r="B2298" s="50" t="s">
        <v>5274</v>
      </c>
      <c r="C2298" s="50" t="s">
        <v>5330</v>
      </c>
      <c r="D2298" s="50" t="s">
        <v>5272</v>
      </c>
      <c r="E2298" s="12">
        <v>96</v>
      </c>
      <c r="F2298" s="49">
        <v>196520</v>
      </c>
      <c r="G2298" s="67" t="s">
        <v>5611</v>
      </c>
      <c r="H2298" s="14" t="s">
        <v>5601</v>
      </c>
      <c r="I2298" s="14" t="s">
        <v>2458</v>
      </c>
      <c r="J2298" s="33" t="s">
        <v>7110</v>
      </c>
      <c r="K2298" s="33" t="s">
        <v>5331</v>
      </c>
      <c r="L2298" s="68" t="s">
        <v>6054</v>
      </c>
      <c r="M2298" s="68" t="s">
        <v>8913</v>
      </c>
      <c r="N2298" s="68" t="s">
        <v>6061</v>
      </c>
      <c r="O2298" s="202">
        <v>55301</v>
      </c>
      <c r="P2298" s="198" t="s">
        <v>5799</v>
      </c>
    </row>
    <row r="2299" spans="1:16" ht="18.75" hidden="1">
      <c r="A2299" s="50" t="s">
        <v>5318</v>
      </c>
      <c r="B2299" s="50" t="s">
        <v>5274</v>
      </c>
      <c r="C2299" s="50" t="s">
        <v>5330</v>
      </c>
      <c r="D2299" s="50" t="s">
        <v>5272</v>
      </c>
      <c r="E2299" s="12">
        <v>96</v>
      </c>
      <c r="F2299" s="49">
        <v>19545</v>
      </c>
      <c r="G2299" s="67" t="s">
        <v>5611</v>
      </c>
      <c r="H2299" s="14" t="s">
        <v>5601</v>
      </c>
      <c r="I2299" s="14" t="s">
        <v>2458</v>
      </c>
      <c r="J2299" s="33" t="s">
        <v>7110</v>
      </c>
      <c r="K2299" s="33" t="s">
        <v>5331</v>
      </c>
      <c r="L2299" s="68" t="s">
        <v>6054</v>
      </c>
      <c r="M2299" s="68" t="s">
        <v>8912</v>
      </c>
      <c r="N2299" s="68" t="s">
        <v>6061</v>
      </c>
      <c r="O2299" s="202">
        <v>55301</v>
      </c>
      <c r="P2299" s="198" t="s">
        <v>5799</v>
      </c>
    </row>
    <row r="2300" spans="1:16" ht="18.75" hidden="1">
      <c r="A2300" s="50" t="s">
        <v>5318</v>
      </c>
      <c r="B2300" s="50" t="s">
        <v>5274</v>
      </c>
      <c r="C2300" s="50" t="s">
        <v>5228</v>
      </c>
      <c r="D2300" s="50" t="s">
        <v>5169</v>
      </c>
      <c r="E2300" s="12">
        <v>96</v>
      </c>
      <c r="F2300" s="49">
        <v>47060</v>
      </c>
      <c r="G2300" s="67" t="s">
        <v>5631</v>
      </c>
      <c r="H2300" s="14" t="s">
        <v>5601</v>
      </c>
      <c r="I2300" s="14" t="s">
        <v>2458</v>
      </c>
      <c r="J2300" s="33" t="s">
        <v>7110</v>
      </c>
      <c r="K2300" s="33" t="s">
        <v>5331</v>
      </c>
      <c r="L2300" s="68" t="s">
        <v>6054</v>
      </c>
      <c r="M2300" s="68" t="s">
        <v>8912</v>
      </c>
      <c r="N2300" s="68" t="s">
        <v>6061</v>
      </c>
      <c r="O2300" s="202">
        <v>55301</v>
      </c>
      <c r="P2300" s="197" t="s">
        <v>5801</v>
      </c>
    </row>
    <row r="2301" spans="1:16" ht="18.75" hidden="1">
      <c r="A2301" s="50" t="s">
        <v>5332</v>
      </c>
      <c r="B2301" s="50" t="s">
        <v>5364</v>
      </c>
      <c r="C2301" s="50" t="s">
        <v>4509</v>
      </c>
      <c r="D2301" s="50" t="s">
        <v>4183</v>
      </c>
      <c r="E2301" s="12" t="s">
        <v>3420</v>
      </c>
      <c r="F2301" s="49">
        <v>102820</v>
      </c>
      <c r="G2301" s="67" t="s">
        <v>5699</v>
      </c>
      <c r="H2301" s="14" t="s">
        <v>5601</v>
      </c>
      <c r="I2301" s="14" t="s">
        <v>2458</v>
      </c>
      <c r="J2301" s="33" t="s">
        <v>7110</v>
      </c>
      <c r="K2301" s="33" t="s">
        <v>5380</v>
      </c>
      <c r="L2301" s="68" t="s">
        <v>6054</v>
      </c>
      <c r="M2301" s="68" t="s">
        <v>8912</v>
      </c>
      <c r="N2301" s="68" t="s">
        <v>6059</v>
      </c>
      <c r="O2301" s="202">
        <v>55200</v>
      </c>
      <c r="P2301" s="198" t="s">
        <v>5715</v>
      </c>
    </row>
    <row r="2302" spans="1:16" ht="18.75" hidden="1">
      <c r="A2302" s="50" t="s">
        <v>5333</v>
      </c>
      <c r="B2302" s="50" t="s">
        <v>5301</v>
      </c>
      <c r="C2302" s="50" t="s">
        <v>5369</v>
      </c>
      <c r="D2302" s="50" t="s">
        <v>5231</v>
      </c>
      <c r="E2302" s="12" t="s">
        <v>4971</v>
      </c>
      <c r="F2302" s="49">
        <v>46350</v>
      </c>
      <c r="G2302" s="67" t="s">
        <v>5631</v>
      </c>
      <c r="H2302" s="14" t="s">
        <v>5601</v>
      </c>
      <c r="I2302" s="14" t="s">
        <v>2458</v>
      </c>
      <c r="J2302" s="33" t="s">
        <v>7110</v>
      </c>
      <c r="K2302" s="33" t="s">
        <v>5380</v>
      </c>
      <c r="L2302" s="68" t="s">
        <v>6054</v>
      </c>
      <c r="M2302" s="68" t="s">
        <v>8912</v>
      </c>
      <c r="N2302" s="68" t="s">
        <v>6061</v>
      </c>
      <c r="O2302" s="202">
        <v>55301</v>
      </c>
      <c r="P2302" s="197" t="s">
        <v>5803</v>
      </c>
    </row>
    <row r="2303" spans="1:16" ht="18.75" hidden="1">
      <c r="A2303" s="50" t="s">
        <v>5333</v>
      </c>
      <c r="B2303" s="50" t="s">
        <v>5301</v>
      </c>
      <c r="C2303" s="50" t="s">
        <v>5228</v>
      </c>
      <c r="D2303" s="50" t="s">
        <v>5169</v>
      </c>
      <c r="E2303" s="12" t="s">
        <v>4971</v>
      </c>
      <c r="F2303" s="49">
        <v>48780</v>
      </c>
      <c r="G2303" s="67" t="s">
        <v>5631</v>
      </c>
      <c r="H2303" s="14" t="s">
        <v>5601</v>
      </c>
      <c r="I2303" s="14" t="s">
        <v>2458</v>
      </c>
      <c r="J2303" s="33" t="s">
        <v>7110</v>
      </c>
      <c r="K2303" s="33" t="s">
        <v>5380</v>
      </c>
      <c r="L2303" s="68" t="s">
        <v>6054</v>
      </c>
      <c r="M2303" s="68" t="s">
        <v>8912</v>
      </c>
      <c r="N2303" s="68" t="s">
        <v>6061</v>
      </c>
      <c r="O2303" s="202">
        <v>55301</v>
      </c>
      <c r="P2303" s="197" t="s">
        <v>5801</v>
      </c>
    </row>
    <row r="2304" spans="1:16" ht="18.75" hidden="1">
      <c r="A2304" s="50" t="s">
        <v>5334</v>
      </c>
      <c r="B2304" s="50" t="s">
        <v>5365</v>
      </c>
      <c r="C2304" s="50" t="s">
        <v>5370</v>
      </c>
      <c r="D2304" s="50" t="s">
        <v>5379</v>
      </c>
      <c r="E2304" s="12" t="s">
        <v>4971</v>
      </c>
      <c r="F2304" s="49">
        <v>95540</v>
      </c>
      <c r="G2304" s="67" t="s">
        <v>5611</v>
      </c>
      <c r="H2304" s="14" t="s">
        <v>5601</v>
      </c>
      <c r="I2304" s="14" t="s">
        <v>2458</v>
      </c>
      <c r="J2304" s="33" t="s">
        <v>7110</v>
      </c>
      <c r="K2304" s="33" t="s">
        <v>5380</v>
      </c>
      <c r="L2304" s="68" t="s">
        <v>8663</v>
      </c>
      <c r="M2304" s="68" t="s">
        <v>8913</v>
      </c>
      <c r="N2304" s="68" t="s">
        <v>6058</v>
      </c>
      <c r="O2304" s="68">
        <v>60400</v>
      </c>
      <c r="P2304" s="198" t="s">
        <v>5799</v>
      </c>
    </row>
    <row r="2305" spans="1:16" ht="18.75" hidden="1">
      <c r="A2305" s="50" t="s">
        <v>5335</v>
      </c>
      <c r="B2305" s="50" t="s">
        <v>5364</v>
      </c>
      <c r="C2305" s="50" t="s">
        <v>5370</v>
      </c>
      <c r="D2305" s="50" t="s">
        <v>5379</v>
      </c>
      <c r="E2305" s="12" t="s">
        <v>4971</v>
      </c>
      <c r="F2305" s="49">
        <v>50620</v>
      </c>
      <c r="G2305" s="67" t="s">
        <v>5611</v>
      </c>
      <c r="H2305" s="14" t="s">
        <v>5601</v>
      </c>
      <c r="I2305" s="14" t="s">
        <v>2458</v>
      </c>
      <c r="J2305" s="33" t="s">
        <v>7110</v>
      </c>
      <c r="K2305" s="33" t="s">
        <v>5380</v>
      </c>
      <c r="L2305" s="68" t="s">
        <v>8663</v>
      </c>
      <c r="M2305" s="68" t="s">
        <v>8913</v>
      </c>
      <c r="N2305" s="68" t="s">
        <v>6058</v>
      </c>
      <c r="O2305" s="68">
        <v>60400</v>
      </c>
      <c r="P2305" s="198" t="s">
        <v>5799</v>
      </c>
    </row>
    <row r="2306" spans="1:16" ht="18.75" hidden="1">
      <c r="A2306" s="50" t="s">
        <v>5336</v>
      </c>
      <c r="B2306" s="50" t="s">
        <v>5301</v>
      </c>
      <c r="C2306" s="50" t="s">
        <v>4890</v>
      </c>
      <c r="D2306" s="50" t="s">
        <v>4720</v>
      </c>
      <c r="E2306" s="12" t="s">
        <v>3420</v>
      </c>
      <c r="F2306" s="49">
        <v>8920</v>
      </c>
      <c r="G2306" s="67" t="s">
        <v>5611</v>
      </c>
      <c r="H2306" s="14" t="s">
        <v>5601</v>
      </c>
      <c r="I2306" s="14" t="s">
        <v>2458</v>
      </c>
      <c r="J2306" s="33" t="s">
        <v>7110</v>
      </c>
      <c r="K2306" s="33" t="s">
        <v>5380</v>
      </c>
      <c r="L2306" s="68" t="s">
        <v>8663</v>
      </c>
      <c r="M2306" s="68" t="s">
        <v>8913</v>
      </c>
      <c r="N2306" s="68" t="s">
        <v>6058</v>
      </c>
      <c r="O2306" s="68">
        <v>60400</v>
      </c>
      <c r="P2306" s="198" t="s">
        <v>5733</v>
      </c>
    </row>
    <row r="2307" spans="1:16" ht="18.75" hidden="1">
      <c r="A2307" s="50" t="s">
        <v>5332</v>
      </c>
      <c r="B2307" s="50" t="s">
        <v>5364</v>
      </c>
      <c r="C2307" s="50" t="s">
        <v>5279</v>
      </c>
      <c r="D2307" s="50" t="s">
        <v>5046</v>
      </c>
      <c r="E2307" s="12" t="s">
        <v>4971</v>
      </c>
      <c r="F2307" s="49">
        <v>101760</v>
      </c>
      <c r="G2307" s="67" t="s">
        <v>5611</v>
      </c>
      <c r="H2307" s="14" t="s">
        <v>5601</v>
      </c>
      <c r="I2307" s="14" t="s">
        <v>2458</v>
      </c>
      <c r="J2307" s="33" t="s">
        <v>7110</v>
      </c>
      <c r="K2307" s="33" t="s">
        <v>5380</v>
      </c>
      <c r="L2307" s="68" t="s">
        <v>6054</v>
      </c>
      <c r="M2307" s="68" t="s">
        <v>8912</v>
      </c>
      <c r="N2307" s="68" t="s">
        <v>6059</v>
      </c>
      <c r="O2307" s="202">
        <v>55200</v>
      </c>
      <c r="P2307" s="198" t="s">
        <v>5758</v>
      </c>
    </row>
    <row r="2308" spans="1:16" ht="18.75" hidden="1">
      <c r="A2308" s="50" t="s">
        <v>5337</v>
      </c>
      <c r="B2308" s="50" t="s">
        <v>5299</v>
      </c>
      <c r="C2308" s="50" t="s">
        <v>5279</v>
      </c>
      <c r="D2308" s="50" t="s">
        <v>5046</v>
      </c>
      <c r="E2308" s="12" t="s">
        <v>4971</v>
      </c>
      <c r="F2308" s="49">
        <v>101110</v>
      </c>
      <c r="G2308" s="67" t="s">
        <v>5611</v>
      </c>
      <c r="H2308" s="14" t="s">
        <v>5601</v>
      </c>
      <c r="I2308" s="14" t="s">
        <v>2458</v>
      </c>
      <c r="J2308" s="33" t="s">
        <v>7110</v>
      </c>
      <c r="K2308" s="33" t="s">
        <v>5380</v>
      </c>
      <c r="L2308" s="68" t="s">
        <v>6054</v>
      </c>
      <c r="M2308" s="68" t="s">
        <v>8912</v>
      </c>
      <c r="N2308" s="68" t="s">
        <v>6059</v>
      </c>
      <c r="O2308" s="202">
        <v>55200</v>
      </c>
      <c r="P2308" s="198" t="s">
        <v>5758</v>
      </c>
    </row>
    <row r="2309" spans="1:16" ht="18.75" hidden="1">
      <c r="A2309" s="50" t="s">
        <v>5334</v>
      </c>
      <c r="B2309" s="50" t="s">
        <v>5365</v>
      </c>
      <c r="C2309" s="50" t="s">
        <v>5371</v>
      </c>
      <c r="D2309" s="50" t="s">
        <v>5231</v>
      </c>
      <c r="E2309" s="12" t="s">
        <v>4971</v>
      </c>
      <c r="F2309" s="49">
        <v>50940</v>
      </c>
      <c r="G2309" s="67" t="s">
        <v>5611</v>
      </c>
      <c r="H2309" s="14" t="s">
        <v>5601</v>
      </c>
      <c r="I2309" s="14" t="s">
        <v>2458</v>
      </c>
      <c r="J2309" s="33" t="s">
        <v>7110</v>
      </c>
      <c r="K2309" s="33" t="s">
        <v>5380</v>
      </c>
      <c r="L2309" s="68" t="s">
        <v>8663</v>
      </c>
      <c r="M2309" s="68" t="s">
        <v>8913</v>
      </c>
      <c r="N2309" s="68" t="s">
        <v>6058</v>
      </c>
      <c r="O2309" s="68">
        <v>60400</v>
      </c>
      <c r="P2309" s="198" t="s">
        <v>5799</v>
      </c>
    </row>
    <row r="2310" spans="1:16" ht="18.75" hidden="1">
      <c r="A2310" s="50" t="s">
        <v>5336</v>
      </c>
      <c r="B2310" s="50" t="s">
        <v>5301</v>
      </c>
      <c r="C2310" s="50" t="s">
        <v>5371</v>
      </c>
      <c r="D2310" s="50" t="s">
        <v>5231</v>
      </c>
      <c r="E2310" s="12" t="s">
        <v>4971</v>
      </c>
      <c r="F2310" s="49">
        <v>86920</v>
      </c>
      <c r="G2310" s="67" t="s">
        <v>5611</v>
      </c>
      <c r="H2310" s="14" t="s">
        <v>5601</v>
      </c>
      <c r="I2310" s="14" t="s">
        <v>2458</v>
      </c>
      <c r="J2310" s="33" t="s">
        <v>7110</v>
      </c>
      <c r="K2310" s="33" t="s">
        <v>5380</v>
      </c>
      <c r="L2310" s="68" t="s">
        <v>8663</v>
      </c>
      <c r="M2310" s="68" t="s">
        <v>8913</v>
      </c>
      <c r="N2310" s="68" t="s">
        <v>6058</v>
      </c>
      <c r="O2310" s="68">
        <v>60400</v>
      </c>
      <c r="P2310" s="198" t="s">
        <v>5799</v>
      </c>
    </row>
    <row r="2311" spans="1:16" ht="18.75" hidden="1">
      <c r="A2311" s="50" t="s">
        <v>5338</v>
      </c>
      <c r="B2311" s="50" t="s">
        <v>5300</v>
      </c>
      <c r="C2311" s="50" t="s">
        <v>5371</v>
      </c>
      <c r="D2311" s="50" t="s">
        <v>5231</v>
      </c>
      <c r="E2311" s="12" t="s">
        <v>4971</v>
      </c>
      <c r="F2311" s="49">
        <v>97140</v>
      </c>
      <c r="G2311" s="67" t="s">
        <v>5611</v>
      </c>
      <c r="H2311" s="14" t="s">
        <v>5601</v>
      </c>
      <c r="I2311" s="14" t="s">
        <v>2458</v>
      </c>
      <c r="J2311" s="33" t="s">
        <v>7110</v>
      </c>
      <c r="K2311" s="33" t="s">
        <v>5380</v>
      </c>
      <c r="L2311" s="68" t="s">
        <v>8663</v>
      </c>
      <c r="M2311" s="68" t="s">
        <v>8913</v>
      </c>
      <c r="N2311" s="68" t="s">
        <v>6058</v>
      </c>
      <c r="O2311" s="68">
        <v>60400</v>
      </c>
      <c r="P2311" s="198" t="s">
        <v>5799</v>
      </c>
    </row>
    <row r="2312" spans="1:16" ht="18.75" hidden="1">
      <c r="A2312" s="50" t="s">
        <v>5339</v>
      </c>
      <c r="B2312" s="50" t="s">
        <v>5366</v>
      </c>
      <c r="C2312" s="50" t="s">
        <v>5372</v>
      </c>
      <c r="D2312" s="50" t="s">
        <v>5271</v>
      </c>
      <c r="E2312" s="12" t="s">
        <v>4971</v>
      </c>
      <c r="F2312" s="49">
        <v>45400</v>
      </c>
      <c r="G2312" s="67" t="s">
        <v>5611</v>
      </c>
      <c r="H2312" s="14" t="s">
        <v>5601</v>
      </c>
      <c r="I2312" s="14" t="s">
        <v>2458</v>
      </c>
      <c r="J2312" s="33" t="s">
        <v>7110</v>
      </c>
      <c r="K2312" s="33" t="s">
        <v>5380</v>
      </c>
      <c r="L2312" s="68" t="s">
        <v>8663</v>
      </c>
      <c r="M2312" s="68" t="s">
        <v>8913</v>
      </c>
      <c r="N2312" s="68" t="s">
        <v>6058</v>
      </c>
      <c r="O2312" s="68">
        <v>60400</v>
      </c>
      <c r="P2312" s="198" t="s">
        <v>5799</v>
      </c>
    </row>
    <row r="2313" spans="1:16" ht="18.75" hidden="1">
      <c r="A2313" s="50" t="s">
        <v>5340</v>
      </c>
      <c r="B2313" s="50" t="s">
        <v>5301</v>
      </c>
      <c r="C2313" s="50" t="s">
        <v>5369</v>
      </c>
      <c r="D2313" s="50" t="s">
        <v>5231</v>
      </c>
      <c r="E2313" s="12" t="s">
        <v>4971</v>
      </c>
      <c r="F2313" s="49">
        <v>22540</v>
      </c>
      <c r="G2313" s="67" t="s">
        <v>5631</v>
      </c>
      <c r="H2313" s="14" t="s">
        <v>5601</v>
      </c>
      <c r="I2313" s="14" t="s">
        <v>2458</v>
      </c>
      <c r="J2313" s="33" t="s">
        <v>7110</v>
      </c>
      <c r="K2313" s="33" t="s">
        <v>5380</v>
      </c>
      <c r="L2313" s="68" t="s">
        <v>6054</v>
      </c>
      <c r="M2313" s="68" t="s">
        <v>8913</v>
      </c>
      <c r="N2313" s="68" t="s">
        <v>8668</v>
      </c>
      <c r="O2313" s="202">
        <v>55107</v>
      </c>
      <c r="P2313" s="197" t="s">
        <v>5803</v>
      </c>
    </row>
    <row r="2314" spans="1:16" ht="18.75" hidden="1">
      <c r="A2314" s="50" t="s">
        <v>5341</v>
      </c>
      <c r="B2314" s="50" t="s">
        <v>5299</v>
      </c>
      <c r="C2314" s="50" t="s">
        <v>5371</v>
      </c>
      <c r="D2314" s="50" t="s">
        <v>5231</v>
      </c>
      <c r="E2314" s="12" t="s">
        <v>4971</v>
      </c>
      <c r="F2314" s="49">
        <v>46800</v>
      </c>
      <c r="G2314" s="67" t="s">
        <v>5611</v>
      </c>
      <c r="H2314" s="14" t="s">
        <v>5601</v>
      </c>
      <c r="I2314" s="14" t="s">
        <v>2458</v>
      </c>
      <c r="J2314" s="33" t="s">
        <v>7110</v>
      </c>
      <c r="K2314" s="33" t="s">
        <v>5380</v>
      </c>
      <c r="L2314" s="68" t="s">
        <v>8663</v>
      </c>
      <c r="M2314" s="68" t="s">
        <v>8913</v>
      </c>
      <c r="N2314" s="68" t="s">
        <v>6058</v>
      </c>
      <c r="O2314" s="68">
        <v>60400</v>
      </c>
      <c r="P2314" s="198" t="s">
        <v>5799</v>
      </c>
    </row>
    <row r="2315" spans="1:16" ht="18.75" hidden="1">
      <c r="A2315" s="50" t="s">
        <v>5342</v>
      </c>
      <c r="B2315" s="50" t="s">
        <v>5367</v>
      </c>
      <c r="C2315" s="50" t="s">
        <v>5371</v>
      </c>
      <c r="D2315" s="50" t="s">
        <v>5231</v>
      </c>
      <c r="E2315" s="12" t="s">
        <v>4971</v>
      </c>
      <c r="F2315" s="49">
        <v>48200</v>
      </c>
      <c r="G2315" s="67" t="s">
        <v>5611</v>
      </c>
      <c r="H2315" s="14" t="s">
        <v>5601</v>
      </c>
      <c r="I2315" s="14" t="s">
        <v>2458</v>
      </c>
      <c r="J2315" s="33" t="s">
        <v>7110</v>
      </c>
      <c r="K2315" s="33" t="s">
        <v>5380</v>
      </c>
      <c r="L2315" s="68" t="s">
        <v>8663</v>
      </c>
      <c r="M2315" s="68" t="s">
        <v>8913</v>
      </c>
      <c r="N2315" s="68" t="s">
        <v>6058</v>
      </c>
      <c r="O2315" s="68">
        <v>60400</v>
      </c>
      <c r="P2315" s="198" t="s">
        <v>5799</v>
      </c>
    </row>
    <row r="2316" spans="1:16" ht="18.75" hidden="1">
      <c r="A2316" s="50" t="s">
        <v>5343</v>
      </c>
      <c r="B2316" s="50" t="s">
        <v>5365</v>
      </c>
      <c r="C2316" s="50" t="s">
        <v>5373</v>
      </c>
      <c r="D2316" s="50" t="s">
        <v>5367</v>
      </c>
      <c r="E2316" s="12" t="s">
        <v>4971</v>
      </c>
      <c r="F2316" s="49">
        <v>70640</v>
      </c>
      <c r="G2316" s="67" t="s">
        <v>5631</v>
      </c>
      <c r="H2316" s="14" t="s">
        <v>5601</v>
      </c>
      <c r="I2316" s="14" t="s">
        <v>2458</v>
      </c>
      <c r="J2316" s="33" t="s">
        <v>7110</v>
      </c>
      <c r="K2316" s="33" t="s">
        <v>5380</v>
      </c>
      <c r="L2316" s="68" t="s">
        <v>6054</v>
      </c>
      <c r="M2316" s="68" t="s">
        <v>8913</v>
      </c>
      <c r="N2316" s="68" t="s">
        <v>6061</v>
      </c>
      <c r="O2316" s="202">
        <v>55301</v>
      </c>
      <c r="P2316" s="197" t="s">
        <v>5789</v>
      </c>
    </row>
    <row r="2317" spans="1:16" ht="18.75" hidden="1">
      <c r="A2317" s="50" t="s">
        <v>5344</v>
      </c>
      <c r="B2317" s="50" t="s">
        <v>5367</v>
      </c>
      <c r="C2317" s="50" t="s">
        <v>5329</v>
      </c>
      <c r="D2317" s="50" t="s">
        <v>5160</v>
      </c>
      <c r="E2317" s="12" t="s">
        <v>4971</v>
      </c>
      <c r="F2317" s="49">
        <v>10460</v>
      </c>
      <c r="G2317" s="67" t="s">
        <v>5611</v>
      </c>
      <c r="H2317" s="14" t="s">
        <v>5601</v>
      </c>
      <c r="I2317" s="14" t="s">
        <v>2458</v>
      </c>
      <c r="J2317" s="33" t="s">
        <v>7110</v>
      </c>
      <c r="K2317" s="33" t="s">
        <v>5380</v>
      </c>
      <c r="L2317" s="68" t="s">
        <v>6054</v>
      </c>
      <c r="M2317" s="68" t="s">
        <v>8913</v>
      </c>
      <c r="N2317" s="68" t="s">
        <v>8668</v>
      </c>
      <c r="O2317" s="202">
        <v>55107</v>
      </c>
      <c r="P2317" s="198" t="s">
        <v>5799</v>
      </c>
    </row>
    <row r="2318" spans="1:16" ht="18.75" hidden="1">
      <c r="A2318" s="50" t="s">
        <v>5344</v>
      </c>
      <c r="B2318" s="50" t="s">
        <v>5367</v>
      </c>
      <c r="C2318" s="50" t="s">
        <v>5374</v>
      </c>
      <c r="D2318" s="50" t="s">
        <v>5267</v>
      </c>
      <c r="E2318" s="12" t="s">
        <v>4971</v>
      </c>
      <c r="F2318" s="49">
        <v>42600</v>
      </c>
      <c r="G2318" s="67" t="s">
        <v>5611</v>
      </c>
      <c r="H2318" s="14" t="s">
        <v>5601</v>
      </c>
      <c r="I2318" s="14" t="s">
        <v>2458</v>
      </c>
      <c r="J2318" s="33" t="s">
        <v>7110</v>
      </c>
      <c r="K2318" s="33" t="s">
        <v>5380</v>
      </c>
      <c r="L2318" s="68" t="s">
        <v>6054</v>
      </c>
      <c r="M2318" s="68" t="s">
        <v>8913</v>
      </c>
      <c r="N2318" s="68" t="s">
        <v>8668</v>
      </c>
      <c r="O2318" s="202">
        <v>55107</v>
      </c>
      <c r="P2318" s="198" t="s">
        <v>5799</v>
      </c>
    </row>
    <row r="2319" spans="1:16" ht="18.75" hidden="1">
      <c r="A2319" s="50" t="s">
        <v>5345</v>
      </c>
      <c r="B2319" s="50" t="s">
        <v>5364</v>
      </c>
      <c r="C2319" s="50" t="s">
        <v>4509</v>
      </c>
      <c r="D2319" s="50" t="s">
        <v>4183</v>
      </c>
      <c r="E2319" s="12" t="s">
        <v>3420</v>
      </c>
      <c r="F2319" s="49">
        <v>50360</v>
      </c>
      <c r="G2319" s="67" t="s">
        <v>5699</v>
      </c>
      <c r="H2319" s="14" t="s">
        <v>5601</v>
      </c>
      <c r="I2319" s="14" t="s">
        <v>2458</v>
      </c>
      <c r="J2319" s="33" t="s">
        <v>7110</v>
      </c>
      <c r="K2319" s="33" t="s">
        <v>5380</v>
      </c>
      <c r="L2319" s="68">
        <v>0</v>
      </c>
      <c r="M2319" s="68" t="s">
        <v>8912</v>
      </c>
      <c r="N2319" s="68">
        <v>0</v>
      </c>
      <c r="O2319" s="68">
        <v>0</v>
      </c>
      <c r="P2319" s="198" t="s">
        <v>5715</v>
      </c>
    </row>
    <row r="2320" spans="1:16" ht="18.75" hidden="1">
      <c r="A2320" s="50" t="s">
        <v>5344</v>
      </c>
      <c r="B2320" s="50" t="s">
        <v>5367</v>
      </c>
      <c r="C2320" s="50" t="s">
        <v>5240</v>
      </c>
      <c r="D2320" s="50" t="s">
        <v>4887</v>
      </c>
      <c r="E2320" s="12" t="s">
        <v>4971</v>
      </c>
      <c r="F2320" s="49">
        <v>22540</v>
      </c>
      <c r="G2320" s="67" t="s">
        <v>5647</v>
      </c>
      <c r="H2320" s="14" t="s">
        <v>5601</v>
      </c>
      <c r="I2320" s="14" t="s">
        <v>2458</v>
      </c>
      <c r="J2320" s="33" t="s">
        <v>7110</v>
      </c>
      <c r="K2320" s="33" t="s">
        <v>5380</v>
      </c>
      <c r="L2320" s="68" t="s">
        <v>6054</v>
      </c>
      <c r="M2320" s="68" t="s">
        <v>8913</v>
      </c>
      <c r="N2320" s="68" t="s">
        <v>8668</v>
      </c>
      <c r="O2320" s="202">
        <v>55107</v>
      </c>
      <c r="P2320" s="198" t="s">
        <v>5767</v>
      </c>
    </row>
    <row r="2321" spans="1:16" ht="18.75" hidden="1">
      <c r="A2321" s="50" t="s">
        <v>5346</v>
      </c>
      <c r="B2321" s="50" t="s">
        <v>5300</v>
      </c>
      <c r="C2321" s="50" t="s">
        <v>5369</v>
      </c>
      <c r="D2321" s="50" t="s">
        <v>5231</v>
      </c>
      <c r="E2321" s="12" t="s">
        <v>4971</v>
      </c>
      <c r="F2321" s="49">
        <v>46300</v>
      </c>
      <c r="G2321" s="67" t="s">
        <v>5631</v>
      </c>
      <c r="H2321" s="14" t="s">
        <v>5601</v>
      </c>
      <c r="I2321" s="14" t="s">
        <v>2458</v>
      </c>
      <c r="J2321" s="33" t="s">
        <v>7110</v>
      </c>
      <c r="K2321" s="33" t="s">
        <v>5380</v>
      </c>
      <c r="L2321" s="68" t="s">
        <v>6054</v>
      </c>
      <c r="M2321" s="68" t="s">
        <v>8913</v>
      </c>
      <c r="N2321" s="68" t="s">
        <v>8668</v>
      </c>
      <c r="O2321" s="202">
        <v>55107</v>
      </c>
      <c r="P2321" s="197" t="s">
        <v>5803</v>
      </c>
    </row>
    <row r="2322" spans="1:16" ht="18.75" hidden="1">
      <c r="A2322" s="50" t="s">
        <v>5347</v>
      </c>
      <c r="B2322" s="50" t="s">
        <v>5365</v>
      </c>
      <c r="C2322" s="50" t="s">
        <v>5279</v>
      </c>
      <c r="D2322" s="50" t="s">
        <v>5046</v>
      </c>
      <c r="E2322" s="12" t="s">
        <v>4971</v>
      </c>
      <c r="F2322" s="49">
        <v>318965</v>
      </c>
      <c r="G2322" s="67" t="s">
        <v>5611</v>
      </c>
      <c r="H2322" s="14" t="s">
        <v>5601</v>
      </c>
      <c r="I2322" s="14" t="s">
        <v>2458</v>
      </c>
      <c r="J2322" s="33" t="s">
        <v>7110</v>
      </c>
      <c r="K2322" s="33" t="s">
        <v>5380</v>
      </c>
      <c r="L2322" s="68" t="s">
        <v>6054</v>
      </c>
      <c r="M2322" s="68" t="s">
        <v>8912</v>
      </c>
      <c r="N2322" s="68" t="s">
        <v>6059</v>
      </c>
      <c r="O2322" s="202">
        <v>55200</v>
      </c>
      <c r="P2322" s="198" t="s">
        <v>5758</v>
      </c>
    </row>
    <row r="2323" spans="1:16" ht="18.75" hidden="1">
      <c r="A2323" s="50" t="s">
        <v>5348</v>
      </c>
      <c r="B2323" s="50" t="s">
        <v>5300</v>
      </c>
      <c r="C2323" s="50" t="s">
        <v>5278</v>
      </c>
      <c r="D2323" s="50" t="s">
        <v>5012</v>
      </c>
      <c r="E2323" s="12" t="s">
        <v>4971</v>
      </c>
      <c r="F2323" s="49">
        <v>76430</v>
      </c>
      <c r="G2323" s="67" t="s">
        <v>5611</v>
      </c>
      <c r="H2323" s="14" t="s">
        <v>5601</v>
      </c>
      <c r="I2323" s="14" t="s">
        <v>2458</v>
      </c>
      <c r="J2323" s="33" t="s">
        <v>7110</v>
      </c>
      <c r="K2323" s="33" t="s">
        <v>5380</v>
      </c>
      <c r="L2323" s="68" t="s">
        <v>6054</v>
      </c>
      <c r="M2323" s="68" t="s">
        <v>8912</v>
      </c>
      <c r="N2323" s="68" t="s">
        <v>6059</v>
      </c>
      <c r="O2323" s="202">
        <v>55200</v>
      </c>
      <c r="P2323" s="198" t="s">
        <v>5762</v>
      </c>
    </row>
    <row r="2324" spans="1:16" ht="18.75" hidden="1">
      <c r="A2324" s="50" t="s">
        <v>5349</v>
      </c>
      <c r="B2324" s="50" t="s">
        <v>5366</v>
      </c>
      <c r="C2324" s="50" t="s">
        <v>5229</v>
      </c>
      <c r="D2324" s="50" t="s">
        <v>5011</v>
      </c>
      <c r="E2324" s="12" t="s">
        <v>4971</v>
      </c>
      <c r="F2324" s="49">
        <v>169720</v>
      </c>
      <c r="G2324" s="67" t="s">
        <v>5609</v>
      </c>
      <c r="H2324" s="14" t="s">
        <v>5601</v>
      </c>
      <c r="I2324" s="14" t="s">
        <v>2458</v>
      </c>
      <c r="J2324" s="33" t="s">
        <v>7110</v>
      </c>
      <c r="K2324" s="33" t="s">
        <v>5380</v>
      </c>
      <c r="L2324" s="68" t="s">
        <v>6054</v>
      </c>
      <c r="M2324" s="68" t="s">
        <v>8913</v>
      </c>
      <c r="N2324" s="68" t="s">
        <v>6061</v>
      </c>
      <c r="O2324" s="202">
        <v>55301</v>
      </c>
      <c r="P2324" s="198" t="s">
        <v>5772</v>
      </c>
    </row>
    <row r="2325" spans="1:16" ht="18.75" hidden="1">
      <c r="A2325" s="50" t="s">
        <v>5349</v>
      </c>
      <c r="B2325" s="50" t="s">
        <v>5366</v>
      </c>
      <c r="C2325" s="50" t="s">
        <v>5375</v>
      </c>
      <c r="D2325" s="50" t="s">
        <v>5322</v>
      </c>
      <c r="E2325" s="12" t="s">
        <v>4971</v>
      </c>
      <c r="F2325" s="49">
        <v>318855</v>
      </c>
      <c r="G2325" s="67" t="s">
        <v>5631</v>
      </c>
      <c r="H2325" s="14" t="s">
        <v>5601</v>
      </c>
      <c r="I2325" s="14" t="s">
        <v>2458</v>
      </c>
      <c r="J2325" s="33" t="s">
        <v>7110</v>
      </c>
      <c r="K2325" s="33" t="s">
        <v>5380</v>
      </c>
      <c r="L2325" s="68" t="s">
        <v>6054</v>
      </c>
      <c r="M2325" s="68" t="s">
        <v>8913</v>
      </c>
      <c r="N2325" s="68" t="s">
        <v>6061</v>
      </c>
      <c r="O2325" s="202">
        <v>55301</v>
      </c>
      <c r="P2325" s="197" t="s">
        <v>5803</v>
      </c>
    </row>
    <row r="2326" spans="1:16" ht="18.75" hidden="1">
      <c r="A2326" s="50" t="s">
        <v>5350</v>
      </c>
      <c r="B2326" s="50" t="s">
        <v>5366</v>
      </c>
      <c r="C2326" s="50" t="s">
        <v>5075</v>
      </c>
      <c r="D2326" s="50" t="s">
        <v>5011</v>
      </c>
      <c r="E2326" s="12" t="s">
        <v>4971</v>
      </c>
      <c r="F2326" s="49">
        <v>3520</v>
      </c>
      <c r="G2326" s="67" t="s">
        <v>5631</v>
      </c>
      <c r="H2326" s="14" t="s">
        <v>5601</v>
      </c>
      <c r="I2326" s="14" t="s">
        <v>2458</v>
      </c>
      <c r="J2326" s="33" t="s">
        <v>7110</v>
      </c>
      <c r="K2326" s="33" t="s">
        <v>5380</v>
      </c>
      <c r="L2326" s="68" t="s">
        <v>6054</v>
      </c>
      <c r="M2326" s="68" t="s">
        <v>8912</v>
      </c>
      <c r="N2326" s="68" t="s">
        <v>6059</v>
      </c>
      <c r="O2326" s="202">
        <v>55200</v>
      </c>
      <c r="P2326" s="197" t="s">
        <v>5777</v>
      </c>
    </row>
    <row r="2327" spans="1:16" ht="18.75" hidden="1">
      <c r="A2327" s="50" t="s">
        <v>5351</v>
      </c>
      <c r="B2327" s="50" t="s">
        <v>5368</v>
      </c>
      <c r="C2327" s="50" t="s">
        <v>5279</v>
      </c>
      <c r="D2327" s="50" t="s">
        <v>5046</v>
      </c>
      <c r="E2327" s="12" t="s">
        <v>4971</v>
      </c>
      <c r="F2327" s="49">
        <v>75620</v>
      </c>
      <c r="G2327" s="67" t="s">
        <v>5611</v>
      </c>
      <c r="H2327" s="14" t="s">
        <v>5601</v>
      </c>
      <c r="I2327" s="14" t="s">
        <v>2458</v>
      </c>
      <c r="J2327" s="33" t="s">
        <v>7110</v>
      </c>
      <c r="K2327" s="33" t="s">
        <v>5380</v>
      </c>
      <c r="L2327" s="68" t="s">
        <v>6054</v>
      </c>
      <c r="M2327" s="68" t="s">
        <v>8912</v>
      </c>
      <c r="N2327" s="68" t="s">
        <v>6059</v>
      </c>
      <c r="O2327" s="202">
        <v>55200</v>
      </c>
      <c r="P2327" s="198" t="s">
        <v>5758</v>
      </c>
    </row>
    <row r="2328" spans="1:16" ht="18.75" hidden="1">
      <c r="A2328" s="50" t="s">
        <v>5352</v>
      </c>
      <c r="B2328" s="50" t="s">
        <v>5302</v>
      </c>
      <c r="C2328" s="50" t="s">
        <v>5279</v>
      </c>
      <c r="D2328" s="50" t="s">
        <v>5046</v>
      </c>
      <c r="E2328" s="12" t="s">
        <v>4971</v>
      </c>
      <c r="F2328" s="49">
        <v>71710</v>
      </c>
      <c r="G2328" s="67" t="s">
        <v>5611</v>
      </c>
      <c r="H2328" s="14" t="s">
        <v>5601</v>
      </c>
      <c r="I2328" s="14" t="s">
        <v>2458</v>
      </c>
      <c r="J2328" s="33" t="s">
        <v>7110</v>
      </c>
      <c r="K2328" s="33" t="s">
        <v>5380</v>
      </c>
      <c r="L2328" s="68" t="s">
        <v>6054</v>
      </c>
      <c r="M2328" s="68" t="s">
        <v>8912</v>
      </c>
      <c r="N2328" s="68" t="s">
        <v>6059</v>
      </c>
      <c r="O2328" s="202">
        <v>55200</v>
      </c>
      <c r="P2328" s="198" t="s">
        <v>5758</v>
      </c>
    </row>
    <row r="2329" spans="1:16" ht="18.75" hidden="1">
      <c r="A2329" s="50" t="s">
        <v>5350</v>
      </c>
      <c r="B2329" s="50" t="s">
        <v>5366</v>
      </c>
      <c r="C2329" s="50" t="s">
        <v>5279</v>
      </c>
      <c r="D2329" s="50" t="s">
        <v>5046</v>
      </c>
      <c r="E2329" s="12" t="s">
        <v>4971</v>
      </c>
      <c r="F2329" s="49">
        <v>245665</v>
      </c>
      <c r="G2329" s="67" t="s">
        <v>5611</v>
      </c>
      <c r="H2329" s="14" t="s">
        <v>5601</v>
      </c>
      <c r="I2329" s="14" t="s">
        <v>2458</v>
      </c>
      <c r="J2329" s="33" t="s">
        <v>7110</v>
      </c>
      <c r="K2329" s="33" t="s">
        <v>5380</v>
      </c>
      <c r="L2329" s="68" t="s">
        <v>6054</v>
      </c>
      <c r="M2329" s="68" t="s">
        <v>8912</v>
      </c>
      <c r="N2329" s="68" t="s">
        <v>6059</v>
      </c>
      <c r="O2329" s="202">
        <v>55200</v>
      </c>
      <c r="P2329" s="198" t="s">
        <v>5758</v>
      </c>
    </row>
    <row r="2330" spans="1:16" ht="18.75" hidden="1">
      <c r="A2330" s="50" t="s">
        <v>5353</v>
      </c>
      <c r="B2330" s="50" t="s">
        <v>5301</v>
      </c>
      <c r="C2330" s="50" t="s">
        <v>5369</v>
      </c>
      <c r="D2330" s="50" t="s">
        <v>5231</v>
      </c>
      <c r="E2330" s="12" t="s">
        <v>4971</v>
      </c>
      <c r="F2330" s="49">
        <v>303660</v>
      </c>
      <c r="G2330" s="67" t="s">
        <v>5631</v>
      </c>
      <c r="H2330" s="14" t="s">
        <v>5601</v>
      </c>
      <c r="I2330" s="14" t="s">
        <v>2458</v>
      </c>
      <c r="J2330" s="33" t="s">
        <v>7110</v>
      </c>
      <c r="K2330" s="33" t="s">
        <v>5380</v>
      </c>
      <c r="L2330" s="68" t="s">
        <v>6054</v>
      </c>
      <c r="M2330" s="68" t="s">
        <v>8913</v>
      </c>
      <c r="N2330" s="68" t="s">
        <v>6061</v>
      </c>
      <c r="O2330" s="202">
        <v>55301</v>
      </c>
      <c r="P2330" s="197" t="s">
        <v>5803</v>
      </c>
    </row>
    <row r="2331" spans="1:16" ht="18.75" hidden="1">
      <c r="A2331" s="50" t="s">
        <v>5349</v>
      </c>
      <c r="B2331" s="50" t="s">
        <v>5366</v>
      </c>
      <c r="C2331" s="50" t="s">
        <v>5376</v>
      </c>
      <c r="D2331" s="50" t="s">
        <v>5265</v>
      </c>
      <c r="E2331" s="12" t="s">
        <v>4971</v>
      </c>
      <c r="F2331" s="49">
        <v>86645</v>
      </c>
      <c r="G2331" s="67" t="s">
        <v>5631</v>
      </c>
      <c r="H2331" s="14" t="s">
        <v>5601</v>
      </c>
      <c r="I2331" s="14" t="s">
        <v>2458</v>
      </c>
      <c r="J2331" s="33" t="s">
        <v>7110</v>
      </c>
      <c r="K2331" s="33" t="s">
        <v>5380</v>
      </c>
      <c r="L2331" s="68" t="s">
        <v>6054</v>
      </c>
      <c r="M2331" s="68" t="s">
        <v>8913</v>
      </c>
      <c r="N2331" s="68" t="s">
        <v>6061</v>
      </c>
      <c r="O2331" s="202">
        <v>55301</v>
      </c>
      <c r="P2331" s="197" t="s">
        <v>5803</v>
      </c>
    </row>
    <row r="2332" spans="1:16" ht="18.75" hidden="1">
      <c r="A2332" s="50" t="s">
        <v>5352</v>
      </c>
      <c r="B2332" s="50" t="s">
        <v>5302</v>
      </c>
      <c r="C2332" s="50" t="s">
        <v>5075</v>
      </c>
      <c r="D2332" s="50" t="s">
        <v>5011</v>
      </c>
      <c r="E2332" s="12" t="s">
        <v>4971</v>
      </c>
      <c r="F2332" s="49">
        <v>29300</v>
      </c>
      <c r="G2332" s="67" t="s">
        <v>5631</v>
      </c>
      <c r="H2332" s="14" t="s">
        <v>5601</v>
      </c>
      <c r="I2332" s="14" t="s">
        <v>2458</v>
      </c>
      <c r="J2332" s="33" t="s">
        <v>7110</v>
      </c>
      <c r="K2332" s="33" t="s">
        <v>5380</v>
      </c>
      <c r="L2332" s="68" t="s">
        <v>6054</v>
      </c>
      <c r="M2332" s="68" t="s">
        <v>8912</v>
      </c>
      <c r="N2332" s="68" t="s">
        <v>6059</v>
      </c>
      <c r="O2332" s="202">
        <v>55200</v>
      </c>
      <c r="P2332" s="197" t="s">
        <v>5777</v>
      </c>
    </row>
    <row r="2333" spans="1:16" ht="18.75" hidden="1">
      <c r="A2333" s="50" t="s">
        <v>5354</v>
      </c>
      <c r="B2333" s="50" t="s">
        <v>5302</v>
      </c>
      <c r="C2333" s="50" t="s">
        <v>5324</v>
      </c>
      <c r="D2333" s="50" t="s">
        <v>5273</v>
      </c>
      <c r="E2333" s="12" t="s">
        <v>4971</v>
      </c>
      <c r="F2333" s="49">
        <v>96400</v>
      </c>
      <c r="G2333" s="67" t="s">
        <v>5631</v>
      </c>
      <c r="H2333" s="14" t="s">
        <v>5601</v>
      </c>
      <c r="I2333" s="14" t="s">
        <v>2458</v>
      </c>
      <c r="J2333" s="33" t="s">
        <v>7110</v>
      </c>
      <c r="K2333" s="33" t="s">
        <v>5380</v>
      </c>
      <c r="L2333" s="68" t="s">
        <v>6054</v>
      </c>
      <c r="M2333" s="68" t="s">
        <v>8913</v>
      </c>
      <c r="N2333" s="68" t="s">
        <v>6061</v>
      </c>
      <c r="O2333" s="202">
        <v>55301</v>
      </c>
      <c r="P2333" s="197" t="s">
        <v>5803</v>
      </c>
    </row>
    <row r="2334" spans="1:16" ht="18.75" hidden="1">
      <c r="A2334" s="50" t="s">
        <v>5354</v>
      </c>
      <c r="B2334" s="50" t="s">
        <v>5302</v>
      </c>
      <c r="C2334" s="50" t="s">
        <v>5229</v>
      </c>
      <c r="D2334" s="50" t="s">
        <v>5011</v>
      </c>
      <c r="E2334" s="12" t="s">
        <v>4971</v>
      </c>
      <c r="F2334" s="49">
        <v>68880</v>
      </c>
      <c r="G2334" s="67" t="s">
        <v>5609</v>
      </c>
      <c r="H2334" s="14" t="s">
        <v>5601</v>
      </c>
      <c r="I2334" s="14" t="s">
        <v>2458</v>
      </c>
      <c r="J2334" s="33" t="s">
        <v>7110</v>
      </c>
      <c r="K2334" s="33" t="s">
        <v>5380</v>
      </c>
      <c r="L2334" s="68" t="s">
        <v>6054</v>
      </c>
      <c r="M2334" s="68" t="s">
        <v>8913</v>
      </c>
      <c r="N2334" s="68" t="s">
        <v>6061</v>
      </c>
      <c r="O2334" s="202">
        <v>55301</v>
      </c>
      <c r="P2334" s="198" t="s">
        <v>5772</v>
      </c>
    </row>
    <row r="2335" spans="1:16" ht="18.75" hidden="1">
      <c r="A2335" s="50" t="s">
        <v>5355</v>
      </c>
      <c r="B2335" s="50" t="s">
        <v>5368</v>
      </c>
      <c r="C2335" s="50" t="s">
        <v>5324</v>
      </c>
      <c r="D2335" s="50" t="s">
        <v>5273</v>
      </c>
      <c r="E2335" s="12" t="s">
        <v>4971</v>
      </c>
      <c r="F2335" s="49">
        <v>37215</v>
      </c>
      <c r="G2335" s="67" t="s">
        <v>5631</v>
      </c>
      <c r="H2335" s="14" t="s">
        <v>5601</v>
      </c>
      <c r="I2335" s="14" t="s">
        <v>2458</v>
      </c>
      <c r="J2335" s="33" t="s">
        <v>7110</v>
      </c>
      <c r="K2335" s="33" t="s">
        <v>5380</v>
      </c>
      <c r="L2335" s="68" t="s">
        <v>6054</v>
      </c>
      <c r="M2335" s="68" t="s">
        <v>8913</v>
      </c>
      <c r="N2335" s="68" t="s">
        <v>6061</v>
      </c>
      <c r="O2335" s="202">
        <v>55301</v>
      </c>
      <c r="P2335" s="197" t="s">
        <v>5803</v>
      </c>
    </row>
    <row r="2336" spans="1:16" ht="18.75" hidden="1">
      <c r="A2336" s="50" t="s">
        <v>5356</v>
      </c>
      <c r="B2336" s="50" t="s">
        <v>5301</v>
      </c>
      <c r="C2336" s="50" t="s">
        <v>5279</v>
      </c>
      <c r="D2336" s="50" t="s">
        <v>5046</v>
      </c>
      <c r="E2336" s="12" t="s">
        <v>4971</v>
      </c>
      <c r="F2336" s="49">
        <v>50110</v>
      </c>
      <c r="G2336" s="67" t="s">
        <v>5611</v>
      </c>
      <c r="H2336" s="14" t="s">
        <v>5601</v>
      </c>
      <c r="I2336" s="14" t="s">
        <v>2458</v>
      </c>
      <c r="J2336" s="33" t="s">
        <v>7110</v>
      </c>
      <c r="K2336" s="33" t="s">
        <v>5380</v>
      </c>
      <c r="L2336" s="68" t="s">
        <v>6054</v>
      </c>
      <c r="M2336" s="68" t="s">
        <v>8912</v>
      </c>
      <c r="N2336" s="68" t="s">
        <v>6059</v>
      </c>
      <c r="O2336" s="202">
        <v>55200</v>
      </c>
      <c r="P2336" s="198" t="s">
        <v>5758</v>
      </c>
    </row>
    <row r="2337" spans="1:16" ht="18.75" hidden="1">
      <c r="A2337" s="50" t="s">
        <v>5355</v>
      </c>
      <c r="B2337" s="50" t="s">
        <v>5368</v>
      </c>
      <c r="C2337" s="50" t="s">
        <v>5375</v>
      </c>
      <c r="D2337" s="50" t="s">
        <v>5322</v>
      </c>
      <c r="E2337" s="12" t="s">
        <v>4971</v>
      </c>
      <c r="F2337" s="49">
        <v>81145</v>
      </c>
      <c r="G2337" s="67" t="s">
        <v>5631</v>
      </c>
      <c r="H2337" s="14" t="s">
        <v>5601</v>
      </c>
      <c r="I2337" s="14" t="s">
        <v>2458</v>
      </c>
      <c r="J2337" s="33" t="s">
        <v>7110</v>
      </c>
      <c r="K2337" s="33" t="s">
        <v>5380</v>
      </c>
      <c r="L2337" s="68" t="s">
        <v>6054</v>
      </c>
      <c r="M2337" s="68" t="s">
        <v>8913</v>
      </c>
      <c r="N2337" s="68" t="s">
        <v>6061</v>
      </c>
      <c r="O2337" s="202">
        <v>55301</v>
      </c>
      <c r="P2337" s="197" t="s">
        <v>5803</v>
      </c>
    </row>
    <row r="2338" spans="1:16" ht="18.75" hidden="1">
      <c r="A2338" s="50" t="s">
        <v>5355</v>
      </c>
      <c r="B2338" s="50" t="s">
        <v>5368</v>
      </c>
      <c r="C2338" s="50" t="s">
        <v>5229</v>
      </c>
      <c r="D2338" s="50" t="s">
        <v>5011</v>
      </c>
      <c r="E2338" s="12" t="s">
        <v>4971</v>
      </c>
      <c r="F2338" s="49">
        <v>165580</v>
      </c>
      <c r="G2338" s="67" t="s">
        <v>5609</v>
      </c>
      <c r="H2338" s="14" t="s">
        <v>5601</v>
      </c>
      <c r="I2338" s="14" t="s">
        <v>2458</v>
      </c>
      <c r="J2338" s="33" t="s">
        <v>7110</v>
      </c>
      <c r="K2338" s="33" t="s">
        <v>5380</v>
      </c>
      <c r="L2338" s="68" t="s">
        <v>6054</v>
      </c>
      <c r="M2338" s="68" t="s">
        <v>8913</v>
      </c>
      <c r="N2338" s="68" t="s">
        <v>6061</v>
      </c>
      <c r="O2338" s="202">
        <v>55301</v>
      </c>
      <c r="P2338" s="198" t="s">
        <v>5772</v>
      </c>
    </row>
    <row r="2339" spans="1:16" ht="18.75" hidden="1">
      <c r="A2339" s="50" t="s">
        <v>5352</v>
      </c>
      <c r="B2339" s="50" t="s">
        <v>5302</v>
      </c>
      <c r="C2339" s="50" t="s">
        <v>5076</v>
      </c>
      <c r="D2339" s="50" t="s">
        <v>5008</v>
      </c>
      <c r="E2339" s="12" t="s">
        <v>4971</v>
      </c>
      <c r="F2339" s="49">
        <v>12970</v>
      </c>
      <c r="G2339" s="67" t="s">
        <v>5631</v>
      </c>
      <c r="H2339" s="14" t="s">
        <v>5601</v>
      </c>
      <c r="I2339" s="14" t="s">
        <v>2458</v>
      </c>
      <c r="J2339" s="33" t="s">
        <v>7110</v>
      </c>
      <c r="K2339" s="33" t="s">
        <v>5380</v>
      </c>
      <c r="L2339" s="68" t="s">
        <v>6054</v>
      </c>
      <c r="M2339" s="68" t="s">
        <v>8912</v>
      </c>
      <c r="N2339" s="68" t="s">
        <v>6059</v>
      </c>
      <c r="O2339" s="202">
        <v>55200</v>
      </c>
      <c r="P2339" s="197" t="s">
        <v>5751</v>
      </c>
    </row>
    <row r="2340" spans="1:16" ht="18.75" hidden="1">
      <c r="A2340" s="50" t="s">
        <v>5352</v>
      </c>
      <c r="B2340" s="50" t="s">
        <v>5302</v>
      </c>
      <c r="C2340" s="50" t="s">
        <v>5228</v>
      </c>
      <c r="D2340" s="50" t="s">
        <v>5169</v>
      </c>
      <c r="E2340" s="12" t="s">
        <v>4971</v>
      </c>
      <c r="F2340" s="49">
        <v>36030</v>
      </c>
      <c r="G2340" s="67" t="s">
        <v>5631</v>
      </c>
      <c r="H2340" s="14" t="s">
        <v>5601</v>
      </c>
      <c r="I2340" s="14" t="s">
        <v>2458</v>
      </c>
      <c r="J2340" s="33" t="s">
        <v>7110</v>
      </c>
      <c r="K2340" s="33" t="s">
        <v>5380</v>
      </c>
      <c r="L2340" s="68" t="s">
        <v>6054</v>
      </c>
      <c r="M2340" s="68" t="s">
        <v>8912</v>
      </c>
      <c r="N2340" s="68" t="s">
        <v>6059</v>
      </c>
      <c r="O2340" s="202">
        <v>55200</v>
      </c>
      <c r="P2340" s="197" t="s">
        <v>5801</v>
      </c>
    </row>
    <row r="2341" spans="1:16" ht="18.75" hidden="1">
      <c r="A2341" s="50" t="s">
        <v>5357</v>
      </c>
      <c r="B2341" s="50" t="s">
        <v>5274</v>
      </c>
      <c r="C2341" s="50" t="s">
        <v>5372</v>
      </c>
      <c r="D2341" s="50" t="s">
        <v>5271</v>
      </c>
      <c r="E2341" s="12" t="s">
        <v>4971</v>
      </c>
      <c r="F2341" s="49">
        <v>57840</v>
      </c>
      <c r="G2341" s="67" t="s">
        <v>5611</v>
      </c>
      <c r="H2341" s="14" t="s">
        <v>5601</v>
      </c>
      <c r="I2341" s="14" t="s">
        <v>2458</v>
      </c>
      <c r="J2341" s="33" t="s">
        <v>7110</v>
      </c>
      <c r="K2341" s="33" t="s">
        <v>5380</v>
      </c>
      <c r="L2341" s="68" t="s">
        <v>8663</v>
      </c>
      <c r="M2341" s="68" t="s">
        <v>8913</v>
      </c>
      <c r="N2341" s="68" t="s">
        <v>6058</v>
      </c>
      <c r="O2341" s="68">
        <v>60400</v>
      </c>
      <c r="P2341" s="198" t="s">
        <v>5799</v>
      </c>
    </row>
    <row r="2342" spans="1:16" ht="18.75" hidden="1">
      <c r="A2342" s="50" t="s">
        <v>5357</v>
      </c>
      <c r="B2342" s="50" t="s">
        <v>5274</v>
      </c>
      <c r="C2342" s="50" t="s">
        <v>5209</v>
      </c>
      <c r="D2342" s="50" t="s">
        <v>5047</v>
      </c>
      <c r="E2342" s="12" t="s">
        <v>4971</v>
      </c>
      <c r="F2342" s="49">
        <v>19040</v>
      </c>
      <c r="G2342" s="67" t="s">
        <v>5611</v>
      </c>
      <c r="H2342" s="14" t="s">
        <v>5601</v>
      </c>
      <c r="I2342" s="14" t="s">
        <v>2458</v>
      </c>
      <c r="J2342" s="33" t="s">
        <v>7110</v>
      </c>
      <c r="K2342" s="33" t="s">
        <v>5380</v>
      </c>
      <c r="L2342" s="68" t="s">
        <v>8663</v>
      </c>
      <c r="M2342" s="68" t="s">
        <v>8913</v>
      </c>
      <c r="N2342" s="68" t="s">
        <v>6058</v>
      </c>
      <c r="O2342" s="68">
        <v>60400</v>
      </c>
      <c r="P2342" s="198" t="s">
        <v>5762</v>
      </c>
    </row>
    <row r="2343" spans="1:16" ht="18.75" hidden="1">
      <c r="A2343" s="50" t="s">
        <v>5357</v>
      </c>
      <c r="B2343" s="50" t="s">
        <v>5274</v>
      </c>
      <c r="C2343" s="50" t="s">
        <v>5071</v>
      </c>
      <c r="D2343" s="50" t="s">
        <v>5011</v>
      </c>
      <c r="E2343" s="12" t="s">
        <v>4971</v>
      </c>
      <c r="F2343" s="49">
        <v>18960</v>
      </c>
      <c r="G2343" s="67" t="s">
        <v>5611</v>
      </c>
      <c r="H2343" s="14" t="s">
        <v>5601</v>
      </c>
      <c r="I2343" s="14" t="s">
        <v>2458</v>
      </c>
      <c r="J2343" s="33" t="s">
        <v>7110</v>
      </c>
      <c r="K2343" s="33" t="s">
        <v>5380</v>
      </c>
      <c r="L2343" s="68" t="s">
        <v>8663</v>
      </c>
      <c r="M2343" s="68" t="s">
        <v>8913</v>
      </c>
      <c r="N2343" s="68" t="s">
        <v>6058</v>
      </c>
      <c r="O2343" s="68">
        <v>60400</v>
      </c>
      <c r="P2343" s="198" t="s">
        <v>5758</v>
      </c>
    </row>
    <row r="2344" spans="1:16" ht="18.75" hidden="1">
      <c r="A2344" s="50" t="s">
        <v>5358</v>
      </c>
      <c r="B2344" s="50" t="s">
        <v>5230</v>
      </c>
      <c r="C2344" s="50" t="s">
        <v>5326</v>
      </c>
      <c r="D2344" s="50" t="s">
        <v>5266</v>
      </c>
      <c r="E2344" s="12" t="s">
        <v>4971</v>
      </c>
      <c r="F2344" s="49">
        <v>72020</v>
      </c>
      <c r="G2344" s="67" t="s">
        <v>5631</v>
      </c>
      <c r="H2344" s="14" t="s">
        <v>5601</v>
      </c>
      <c r="I2344" s="14" t="s">
        <v>2458</v>
      </c>
      <c r="J2344" s="33" t="s">
        <v>7110</v>
      </c>
      <c r="K2344" s="33" t="s">
        <v>5380</v>
      </c>
      <c r="L2344" s="68" t="s">
        <v>6054</v>
      </c>
      <c r="M2344" s="68" t="s">
        <v>8913</v>
      </c>
      <c r="N2344" s="68" t="s">
        <v>8668</v>
      </c>
      <c r="O2344" s="202">
        <v>55107</v>
      </c>
      <c r="P2344" s="197" t="s">
        <v>5803</v>
      </c>
    </row>
    <row r="2345" spans="1:16" ht="18.75" hidden="1">
      <c r="A2345" s="50" t="s">
        <v>5359</v>
      </c>
      <c r="B2345" s="50" t="s">
        <v>5265</v>
      </c>
      <c r="C2345" s="50" t="s">
        <v>5326</v>
      </c>
      <c r="D2345" s="50" t="s">
        <v>5266</v>
      </c>
      <c r="E2345" s="12" t="s">
        <v>4971</v>
      </c>
      <c r="F2345" s="49">
        <v>48020</v>
      </c>
      <c r="G2345" s="67" t="s">
        <v>5631</v>
      </c>
      <c r="H2345" s="14" t="s">
        <v>5601</v>
      </c>
      <c r="I2345" s="14" t="s">
        <v>2458</v>
      </c>
      <c r="J2345" s="33" t="s">
        <v>7110</v>
      </c>
      <c r="K2345" s="33" t="s">
        <v>5380</v>
      </c>
      <c r="L2345" s="68" t="s">
        <v>6054</v>
      </c>
      <c r="M2345" s="68" t="s">
        <v>8913</v>
      </c>
      <c r="N2345" s="68" t="s">
        <v>8668</v>
      </c>
      <c r="O2345" s="202">
        <v>55107</v>
      </c>
      <c r="P2345" s="197" t="s">
        <v>5803</v>
      </c>
    </row>
    <row r="2346" spans="1:16" ht="18.75" hidden="1">
      <c r="A2346" s="50" t="s">
        <v>5360</v>
      </c>
      <c r="B2346" s="50" t="s">
        <v>5268</v>
      </c>
      <c r="C2346" s="50" t="s">
        <v>5327</v>
      </c>
      <c r="D2346" s="50" t="s">
        <v>5077</v>
      </c>
      <c r="E2346" s="12" t="s">
        <v>4971</v>
      </c>
      <c r="F2346" s="49">
        <v>40385</v>
      </c>
      <c r="G2346" s="67" t="s">
        <v>5611</v>
      </c>
      <c r="H2346" s="14" t="s">
        <v>5601</v>
      </c>
      <c r="I2346" s="14" t="s">
        <v>2458</v>
      </c>
      <c r="J2346" s="33" t="s">
        <v>7110</v>
      </c>
      <c r="K2346" s="33" t="s">
        <v>5380</v>
      </c>
      <c r="L2346" s="68" t="s">
        <v>6054</v>
      </c>
      <c r="M2346" s="68" t="s">
        <v>8912</v>
      </c>
      <c r="N2346" s="68" t="s">
        <v>8668</v>
      </c>
      <c r="O2346" s="202">
        <v>55107</v>
      </c>
      <c r="P2346" s="198" t="s">
        <v>5799</v>
      </c>
    </row>
    <row r="2347" spans="1:16" ht="18.75" hidden="1">
      <c r="A2347" s="50" t="s">
        <v>5361</v>
      </c>
      <c r="B2347" s="50" t="s">
        <v>5267</v>
      </c>
      <c r="C2347" s="50" t="s">
        <v>5377</v>
      </c>
      <c r="D2347" s="50" t="s">
        <v>5011</v>
      </c>
      <c r="E2347" s="12" t="s">
        <v>4971</v>
      </c>
      <c r="F2347" s="49">
        <v>70000</v>
      </c>
      <c r="G2347" s="67" t="s">
        <v>5611</v>
      </c>
      <c r="H2347" s="14" t="s">
        <v>5601</v>
      </c>
      <c r="I2347" s="14" t="s">
        <v>2458</v>
      </c>
      <c r="J2347" s="33" t="s">
        <v>7110</v>
      </c>
      <c r="K2347" s="33" t="s">
        <v>5380</v>
      </c>
      <c r="L2347" s="68" t="s">
        <v>6054</v>
      </c>
      <c r="M2347" s="68" t="s">
        <v>8912</v>
      </c>
      <c r="N2347" s="68" t="s">
        <v>8668</v>
      </c>
      <c r="O2347" s="202">
        <v>55107</v>
      </c>
      <c r="P2347" s="198" t="s">
        <v>5758</v>
      </c>
    </row>
    <row r="2348" spans="1:16" ht="18.75" hidden="1">
      <c r="A2348" s="50" t="s">
        <v>5360</v>
      </c>
      <c r="B2348" s="50" t="s">
        <v>5268</v>
      </c>
      <c r="C2348" s="50" t="s">
        <v>5279</v>
      </c>
      <c r="D2348" s="50" t="s">
        <v>5046</v>
      </c>
      <c r="E2348" s="12" t="s">
        <v>4971</v>
      </c>
      <c r="F2348" s="49">
        <v>72050</v>
      </c>
      <c r="G2348" s="67" t="s">
        <v>5611</v>
      </c>
      <c r="H2348" s="14" t="s">
        <v>5601</v>
      </c>
      <c r="I2348" s="14" t="s">
        <v>2458</v>
      </c>
      <c r="J2348" s="33" t="s">
        <v>7110</v>
      </c>
      <c r="K2348" s="33" t="s">
        <v>5380</v>
      </c>
      <c r="L2348" s="68" t="s">
        <v>6054</v>
      </c>
      <c r="M2348" s="68" t="s">
        <v>8912</v>
      </c>
      <c r="N2348" s="68" t="s">
        <v>8668</v>
      </c>
      <c r="O2348" s="202">
        <v>55107</v>
      </c>
      <c r="P2348" s="198" t="s">
        <v>5758</v>
      </c>
    </row>
    <row r="2349" spans="1:16" ht="18.75" hidden="1">
      <c r="A2349" s="50" t="s">
        <v>5361</v>
      </c>
      <c r="B2349" s="50" t="s">
        <v>5267</v>
      </c>
      <c r="C2349" s="50" t="s">
        <v>5280</v>
      </c>
      <c r="D2349" s="50" t="s">
        <v>5163</v>
      </c>
      <c r="E2349" s="12" t="s">
        <v>4971</v>
      </c>
      <c r="F2349" s="49">
        <v>50070</v>
      </c>
      <c r="G2349" s="67" t="s">
        <v>5611</v>
      </c>
      <c r="H2349" s="14" t="s">
        <v>5601</v>
      </c>
      <c r="I2349" s="14" t="s">
        <v>2458</v>
      </c>
      <c r="J2349" s="33" t="s">
        <v>7110</v>
      </c>
      <c r="K2349" s="33" t="s">
        <v>5380</v>
      </c>
      <c r="L2349" s="68" t="s">
        <v>6054</v>
      </c>
      <c r="M2349" s="68" t="s">
        <v>8912</v>
      </c>
      <c r="N2349" s="68" t="s">
        <v>8668</v>
      </c>
      <c r="O2349" s="202">
        <v>55107</v>
      </c>
      <c r="P2349" s="198" t="s">
        <v>5799</v>
      </c>
    </row>
    <row r="2350" spans="1:16" ht="18.75" hidden="1">
      <c r="A2350" s="50" t="s">
        <v>5362</v>
      </c>
      <c r="B2350" s="50" t="s">
        <v>5266</v>
      </c>
      <c r="C2350" s="50" t="s">
        <v>5276</v>
      </c>
      <c r="D2350" s="50" t="s">
        <v>5047</v>
      </c>
      <c r="E2350" s="12" t="s">
        <v>4971</v>
      </c>
      <c r="F2350" s="49">
        <v>48420</v>
      </c>
      <c r="G2350" s="67" t="s">
        <v>5631</v>
      </c>
      <c r="H2350" s="14" t="s">
        <v>5601</v>
      </c>
      <c r="I2350" s="14" t="s">
        <v>2458</v>
      </c>
      <c r="J2350" s="33" t="s">
        <v>7110</v>
      </c>
      <c r="K2350" s="33" t="s">
        <v>5380</v>
      </c>
      <c r="L2350" s="68" t="s">
        <v>6054</v>
      </c>
      <c r="M2350" s="68" t="s">
        <v>8913</v>
      </c>
      <c r="N2350" s="68" t="s">
        <v>8668</v>
      </c>
      <c r="O2350" s="202">
        <v>55107</v>
      </c>
      <c r="P2350" s="197" t="s">
        <v>5801</v>
      </c>
    </row>
    <row r="2351" spans="1:16" ht="18.75" hidden="1">
      <c r="A2351" s="50" t="s">
        <v>5363</v>
      </c>
      <c r="B2351" s="50" t="s">
        <v>5271</v>
      </c>
      <c r="C2351" s="50" t="s">
        <v>5378</v>
      </c>
      <c r="D2351" s="50" t="s">
        <v>5010</v>
      </c>
      <c r="E2351" s="12" t="s">
        <v>4971</v>
      </c>
      <c r="F2351" s="49">
        <v>49410</v>
      </c>
      <c r="G2351" s="67" t="s">
        <v>5611</v>
      </c>
      <c r="H2351" s="14" t="s">
        <v>5601</v>
      </c>
      <c r="I2351" s="14" t="s">
        <v>2458</v>
      </c>
      <c r="J2351" s="33" t="s">
        <v>7110</v>
      </c>
      <c r="K2351" s="33" t="s">
        <v>5380</v>
      </c>
      <c r="L2351" s="68" t="s">
        <v>6054</v>
      </c>
      <c r="M2351" s="68" t="s">
        <v>8912</v>
      </c>
      <c r="N2351" s="68" t="s">
        <v>8668</v>
      </c>
      <c r="O2351" s="202">
        <v>55107</v>
      </c>
      <c r="P2351" s="198" t="s">
        <v>5758</v>
      </c>
    </row>
    <row r="2352" spans="1:16" ht="18.75" hidden="1">
      <c r="A2352" s="50" t="s">
        <v>5360</v>
      </c>
      <c r="B2352" s="50" t="s">
        <v>5268</v>
      </c>
      <c r="C2352" s="50" t="s">
        <v>5052</v>
      </c>
      <c r="D2352" s="50" t="s">
        <v>4878</v>
      </c>
      <c r="E2352" s="12" t="s">
        <v>3420</v>
      </c>
      <c r="F2352" s="49">
        <v>7985</v>
      </c>
      <c r="G2352" s="67" t="s">
        <v>5765</v>
      </c>
      <c r="H2352" s="14" t="s">
        <v>5601</v>
      </c>
      <c r="I2352" s="14" t="s">
        <v>2458</v>
      </c>
      <c r="J2352" s="33" t="s">
        <v>7110</v>
      </c>
      <c r="K2352" s="33" t="s">
        <v>5447</v>
      </c>
      <c r="L2352" s="68" t="s">
        <v>6054</v>
      </c>
      <c r="M2352" s="68" t="s">
        <v>8912</v>
      </c>
      <c r="N2352" s="68" t="s">
        <v>8668</v>
      </c>
      <c r="O2352" s="202">
        <v>55107</v>
      </c>
      <c r="P2352" s="198" t="s">
        <v>5766</v>
      </c>
    </row>
    <row r="2353" spans="1:16" ht="18.75" hidden="1">
      <c r="A2353" s="50" t="s">
        <v>5384</v>
      </c>
      <c r="B2353" s="50" t="s">
        <v>5412</v>
      </c>
      <c r="C2353" s="50" t="s">
        <v>5421</v>
      </c>
      <c r="D2353" s="50" t="s">
        <v>5301</v>
      </c>
      <c r="E2353" s="12" t="s">
        <v>4971</v>
      </c>
      <c r="F2353" s="49">
        <v>39000</v>
      </c>
      <c r="G2353" s="67" t="s">
        <v>5611</v>
      </c>
      <c r="H2353" s="14" t="s">
        <v>5601</v>
      </c>
      <c r="I2353" s="14" t="s">
        <v>2458</v>
      </c>
      <c r="J2353" s="33" t="s">
        <v>7110</v>
      </c>
      <c r="K2353" s="33" t="s">
        <v>5447</v>
      </c>
      <c r="L2353" s="68" t="s">
        <v>6054</v>
      </c>
      <c r="M2353" s="68" t="s">
        <v>8912</v>
      </c>
      <c r="N2353" s="68" t="s">
        <v>6059</v>
      </c>
      <c r="O2353" s="202">
        <v>55200</v>
      </c>
      <c r="P2353" s="198" t="s">
        <v>5799</v>
      </c>
    </row>
    <row r="2354" spans="1:16" ht="18.75" hidden="1">
      <c r="A2354" s="50" t="s">
        <v>5384</v>
      </c>
      <c r="B2354" s="50" t="s">
        <v>5412</v>
      </c>
      <c r="C2354" s="50" t="s">
        <v>5422</v>
      </c>
      <c r="D2354" s="50" t="s">
        <v>5287</v>
      </c>
      <c r="E2354" s="12" t="s">
        <v>4971</v>
      </c>
      <c r="F2354" s="49">
        <v>27920</v>
      </c>
      <c r="G2354" s="67" t="s">
        <v>5611</v>
      </c>
      <c r="H2354" s="14" t="s">
        <v>5601</v>
      </c>
      <c r="I2354" s="14" t="s">
        <v>2458</v>
      </c>
      <c r="J2354" s="33" t="s">
        <v>7110</v>
      </c>
      <c r="K2354" s="33" t="s">
        <v>5447</v>
      </c>
      <c r="L2354" s="68" t="s">
        <v>6054</v>
      </c>
      <c r="M2354" s="68" t="s">
        <v>8912</v>
      </c>
      <c r="N2354" s="68" t="s">
        <v>6059</v>
      </c>
      <c r="O2354" s="202">
        <v>55200</v>
      </c>
      <c r="P2354" s="198" t="s">
        <v>5810</v>
      </c>
    </row>
    <row r="2355" spans="1:16" ht="18.75" hidden="1">
      <c r="A2355" s="50" t="s">
        <v>5385</v>
      </c>
      <c r="B2355" s="50" t="s">
        <v>5413</v>
      </c>
      <c r="C2355" s="50" t="s">
        <v>5279</v>
      </c>
      <c r="D2355" s="50" t="s">
        <v>5046</v>
      </c>
      <c r="E2355" s="12" t="s">
        <v>4971</v>
      </c>
      <c r="F2355" s="49">
        <v>23940</v>
      </c>
      <c r="G2355" s="67" t="s">
        <v>5611</v>
      </c>
      <c r="H2355" s="14" t="s">
        <v>5601</v>
      </c>
      <c r="I2355" s="14" t="s">
        <v>2458</v>
      </c>
      <c r="J2355" s="33" t="s">
        <v>7110</v>
      </c>
      <c r="K2355" s="33" t="s">
        <v>5447</v>
      </c>
      <c r="L2355" s="68" t="s">
        <v>6054</v>
      </c>
      <c r="M2355" s="68" t="s">
        <v>8912</v>
      </c>
      <c r="N2355" s="68" t="s">
        <v>6059</v>
      </c>
      <c r="O2355" s="202">
        <v>55200</v>
      </c>
      <c r="P2355" s="198" t="s">
        <v>5758</v>
      </c>
    </row>
    <row r="2356" spans="1:16" ht="18.75" hidden="1">
      <c r="A2356" s="50" t="s">
        <v>5386</v>
      </c>
      <c r="B2356" s="50" t="s">
        <v>5414</v>
      </c>
      <c r="C2356" s="50" t="s">
        <v>5423</v>
      </c>
      <c r="D2356" s="50" t="s">
        <v>5011</v>
      </c>
      <c r="E2356" s="12" t="s">
        <v>4971</v>
      </c>
      <c r="F2356" s="49">
        <v>53290</v>
      </c>
      <c r="G2356" s="67" t="s">
        <v>5699</v>
      </c>
      <c r="H2356" s="14" t="s">
        <v>5601</v>
      </c>
      <c r="I2356" s="14" t="s">
        <v>2458</v>
      </c>
      <c r="J2356" s="33" t="s">
        <v>7110</v>
      </c>
      <c r="K2356" s="33" t="s">
        <v>5447</v>
      </c>
      <c r="L2356" s="68" t="s">
        <v>6054</v>
      </c>
      <c r="M2356" s="68" t="s">
        <v>8912</v>
      </c>
      <c r="N2356" s="68" t="s">
        <v>6059</v>
      </c>
      <c r="O2356" s="202">
        <v>55200</v>
      </c>
      <c r="P2356" s="198" t="s">
        <v>5776</v>
      </c>
    </row>
    <row r="2357" spans="1:16" ht="18.75" hidden="1">
      <c r="A2357" s="50" t="s">
        <v>5384</v>
      </c>
      <c r="B2357" s="50" t="s">
        <v>5412</v>
      </c>
      <c r="C2357" s="50" t="s">
        <v>5424</v>
      </c>
      <c r="D2357" s="50" t="s">
        <v>5274</v>
      </c>
      <c r="E2357" s="12" t="s">
        <v>4971</v>
      </c>
      <c r="F2357" s="49">
        <v>48700</v>
      </c>
      <c r="G2357" s="67" t="s">
        <v>5611</v>
      </c>
      <c r="H2357" s="14" t="s">
        <v>5601</v>
      </c>
      <c r="I2357" s="14" t="s">
        <v>2458</v>
      </c>
      <c r="J2357" s="33" t="s">
        <v>7110</v>
      </c>
      <c r="K2357" s="33" t="s">
        <v>5447</v>
      </c>
      <c r="L2357" s="68" t="s">
        <v>6054</v>
      </c>
      <c r="M2357" s="68" t="s">
        <v>8912</v>
      </c>
      <c r="N2357" s="68" t="s">
        <v>6059</v>
      </c>
      <c r="O2357" s="202">
        <v>55200</v>
      </c>
      <c r="P2357" s="198" t="s">
        <v>5799</v>
      </c>
    </row>
    <row r="2358" spans="1:16" ht="18.75" hidden="1">
      <c r="A2358" s="50" t="s">
        <v>5387</v>
      </c>
      <c r="B2358" s="50" t="s">
        <v>5303</v>
      </c>
      <c r="C2358" s="50" t="s">
        <v>5372</v>
      </c>
      <c r="D2358" s="50" t="s">
        <v>5271</v>
      </c>
      <c r="E2358" s="12" t="s">
        <v>4971</v>
      </c>
      <c r="F2358" s="49">
        <v>6760</v>
      </c>
      <c r="G2358" s="67" t="s">
        <v>5611</v>
      </c>
      <c r="H2358" s="14" t="s">
        <v>5601</v>
      </c>
      <c r="I2358" s="14" t="s">
        <v>2458</v>
      </c>
      <c r="J2358" s="33" t="s">
        <v>7110</v>
      </c>
      <c r="K2358" s="33" t="s">
        <v>5447</v>
      </c>
      <c r="L2358" s="68" t="s">
        <v>8669</v>
      </c>
      <c r="M2358" s="68" t="s">
        <v>8913</v>
      </c>
      <c r="N2358" s="68" t="s">
        <v>6056</v>
      </c>
      <c r="O2358" s="68">
        <v>60500</v>
      </c>
      <c r="P2358" s="198" t="s">
        <v>5799</v>
      </c>
    </row>
    <row r="2359" spans="1:16" ht="18.75" hidden="1">
      <c r="A2359" s="50" t="s">
        <v>5387</v>
      </c>
      <c r="B2359" s="50" t="s">
        <v>5303</v>
      </c>
      <c r="C2359" s="50" t="s">
        <v>5325</v>
      </c>
      <c r="D2359" s="50" t="s">
        <v>5267</v>
      </c>
      <c r="E2359" s="12" t="s">
        <v>4971</v>
      </c>
      <c r="F2359" s="49">
        <v>10540</v>
      </c>
      <c r="G2359" s="67" t="s">
        <v>5611</v>
      </c>
      <c r="H2359" s="14" t="s">
        <v>5601</v>
      </c>
      <c r="I2359" s="14" t="s">
        <v>2458</v>
      </c>
      <c r="J2359" s="33" t="s">
        <v>7110</v>
      </c>
      <c r="K2359" s="33" t="s">
        <v>5447</v>
      </c>
      <c r="L2359" s="68" t="s">
        <v>8669</v>
      </c>
      <c r="M2359" s="68" t="s">
        <v>8913</v>
      </c>
      <c r="N2359" s="68" t="s">
        <v>6056</v>
      </c>
      <c r="O2359" s="68">
        <v>60500</v>
      </c>
      <c r="P2359" s="198" t="s">
        <v>5799</v>
      </c>
    </row>
    <row r="2360" spans="1:16" ht="18.75" hidden="1">
      <c r="A2360" s="50" t="s">
        <v>5388</v>
      </c>
      <c r="B2360" s="50" t="s">
        <v>5415</v>
      </c>
      <c r="C2360" s="50" t="s">
        <v>5421</v>
      </c>
      <c r="D2360" s="50" t="s">
        <v>5301</v>
      </c>
      <c r="E2360" s="12" t="s">
        <v>4971</v>
      </c>
      <c r="F2360" s="49">
        <v>24440</v>
      </c>
      <c r="G2360" s="67" t="s">
        <v>5611</v>
      </c>
      <c r="H2360" s="14" t="s">
        <v>5601</v>
      </c>
      <c r="I2360" s="14" t="s">
        <v>2458</v>
      </c>
      <c r="J2360" s="33" t="s">
        <v>7110</v>
      </c>
      <c r="K2360" s="33" t="s">
        <v>5447</v>
      </c>
      <c r="L2360" s="68" t="s">
        <v>8663</v>
      </c>
      <c r="M2360" s="68" t="s">
        <v>8913</v>
      </c>
      <c r="N2360" s="68" t="s">
        <v>6058</v>
      </c>
      <c r="O2360" s="68">
        <v>60400</v>
      </c>
      <c r="P2360" s="198" t="s">
        <v>5799</v>
      </c>
    </row>
    <row r="2361" spans="1:16" ht="18.75" hidden="1">
      <c r="A2361" s="50" t="s">
        <v>5389</v>
      </c>
      <c r="B2361" s="50" t="s">
        <v>5413</v>
      </c>
      <c r="C2361" s="50" t="s">
        <v>5425</v>
      </c>
      <c r="D2361" s="50" t="s">
        <v>5301</v>
      </c>
      <c r="E2361" s="12" t="s">
        <v>4971</v>
      </c>
      <c r="F2361" s="49">
        <v>20145</v>
      </c>
      <c r="G2361" s="67" t="s">
        <v>5631</v>
      </c>
      <c r="H2361" s="14" t="s">
        <v>5601</v>
      </c>
      <c r="I2361" s="14" t="s">
        <v>2458</v>
      </c>
      <c r="J2361" s="33" t="s">
        <v>7110</v>
      </c>
      <c r="K2361" s="33" t="s">
        <v>5447</v>
      </c>
      <c r="L2361" s="68" t="s">
        <v>6054</v>
      </c>
      <c r="M2361" s="68" t="s">
        <v>8913</v>
      </c>
      <c r="N2361" s="68" t="s">
        <v>8668</v>
      </c>
      <c r="O2361" s="202">
        <v>55107</v>
      </c>
      <c r="P2361" s="197" t="s">
        <v>5789</v>
      </c>
    </row>
    <row r="2362" spans="1:16" ht="18.75" hidden="1">
      <c r="A2362" s="50" t="s">
        <v>5387</v>
      </c>
      <c r="B2362" s="50" t="s">
        <v>5303</v>
      </c>
      <c r="C2362" s="50" t="s">
        <v>5421</v>
      </c>
      <c r="D2362" s="50" t="s">
        <v>5301</v>
      </c>
      <c r="E2362" s="12" t="s">
        <v>4971</v>
      </c>
      <c r="F2362" s="49">
        <v>16560</v>
      </c>
      <c r="G2362" s="67" t="s">
        <v>5611</v>
      </c>
      <c r="H2362" s="14" t="s">
        <v>5601</v>
      </c>
      <c r="I2362" s="14" t="s">
        <v>2458</v>
      </c>
      <c r="J2362" s="33" t="s">
        <v>7110</v>
      </c>
      <c r="K2362" s="33" t="s">
        <v>5447</v>
      </c>
      <c r="L2362" s="68" t="s">
        <v>8669</v>
      </c>
      <c r="M2362" s="68" t="s">
        <v>8913</v>
      </c>
      <c r="N2362" s="68" t="s">
        <v>6056</v>
      </c>
      <c r="O2362" s="68">
        <v>60500</v>
      </c>
      <c r="P2362" s="198" t="s">
        <v>5799</v>
      </c>
    </row>
    <row r="2363" spans="1:16" ht="18.75" hidden="1">
      <c r="A2363" s="50" t="s">
        <v>5390</v>
      </c>
      <c r="B2363" s="50" t="s">
        <v>5416</v>
      </c>
      <c r="C2363" s="50" t="s">
        <v>5426</v>
      </c>
      <c r="D2363" s="50" t="s">
        <v>5417</v>
      </c>
      <c r="E2363" s="12" t="s">
        <v>4971</v>
      </c>
      <c r="F2363" s="49">
        <v>105079</v>
      </c>
      <c r="G2363" s="67" t="s">
        <v>5611</v>
      </c>
      <c r="H2363" s="14" t="s">
        <v>5601</v>
      </c>
      <c r="I2363" s="14" t="s">
        <v>2458</v>
      </c>
      <c r="J2363" s="33" t="s">
        <v>7110</v>
      </c>
      <c r="K2363" s="33" t="s">
        <v>5447</v>
      </c>
      <c r="L2363" s="68" t="s">
        <v>6054</v>
      </c>
      <c r="M2363" s="68" t="s">
        <v>8912</v>
      </c>
      <c r="N2363" s="68" t="s">
        <v>8668</v>
      </c>
      <c r="O2363" s="202">
        <v>55107</v>
      </c>
      <c r="P2363" s="198" t="s">
        <v>5810</v>
      </c>
    </row>
    <row r="2364" spans="1:16" ht="18.75" hidden="1">
      <c r="A2364" s="50" t="s">
        <v>5391</v>
      </c>
      <c r="B2364" s="50" t="s">
        <v>5417</v>
      </c>
      <c r="C2364" s="50" t="s">
        <v>5427</v>
      </c>
      <c r="D2364" s="50" t="s">
        <v>5413</v>
      </c>
      <c r="E2364" s="12" t="s">
        <v>4971</v>
      </c>
      <c r="F2364" s="49">
        <v>142460</v>
      </c>
      <c r="G2364" s="67" t="s">
        <v>5647</v>
      </c>
      <c r="H2364" s="14" t="s">
        <v>5601</v>
      </c>
      <c r="I2364" s="14" t="s">
        <v>2458</v>
      </c>
      <c r="J2364" s="33" t="s">
        <v>7110</v>
      </c>
      <c r="K2364" s="33" t="s">
        <v>5447</v>
      </c>
      <c r="L2364" s="68" t="s">
        <v>6054</v>
      </c>
      <c r="M2364" s="68" t="s">
        <v>8912</v>
      </c>
      <c r="N2364" s="68" t="s">
        <v>6059</v>
      </c>
      <c r="O2364" s="202">
        <v>55200</v>
      </c>
      <c r="P2364" s="198" t="s">
        <v>5806</v>
      </c>
    </row>
    <row r="2365" spans="1:16" ht="18.75" hidden="1">
      <c r="A2365" s="50" t="s">
        <v>5389</v>
      </c>
      <c r="B2365" s="50" t="s">
        <v>5413</v>
      </c>
      <c r="C2365" s="50" t="s">
        <v>5428</v>
      </c>
      <c r="D2365" s="50" t="s">
        <v>5230</v>
      </c>
      <c r="E2365" s="12" t="s">
        <v>4971</v>
      </c>
      <c r="F2365" s="49">
        <v>27935</v>
      </c>
      <c r="G2365" s="67" t="s">
        <v>5611</v>
      </c>
      <c r="H2365" s="14" t="s">
        <v>5601</v>
      </c>
      <c r="I2365" s="14" t="s">
        <v>2458</v>
      </c>
      <c r="J2365" s="33" t="s">
        <v>7110</v>
      </c>
      <c r="K2365" s="33" t="s">
        <v>5447</v>
      </c>
      <c r="L2365" s="68" t="s">
        <v>6054</v>
      </c>
      <c r="M2365" s="68" t="s">
        <v>8913</v>
      </c>
      <c r="N2365" s="68" t="s">
        <v>8668</v>
      </c>
      <c r="O2365" s="202">
        <v>55107</v>
      </c>
      <c r="P2365" s="198" t="s">
        <v>5799</v>
      </c>
    </row>
    <row r="2366" spans="1:16" ht="18.75" hidden="1">
      <c r="A2366" s="50" t="s">
        <v>5387</v>
      </c>
      <c r="B2366" s="50" t="s">
        <v>5303</v>
      </c>
      <c r="C2366" s="50" t="s">
        <v>5370</v>
      </c>
      <c r="D2366" s="50" t="s">
        <v>5379</v>
      </c>
      <c r="E2366" s="12" t="s">
        <v>4971</v>
      </c>
      <c r="F2366" s="49">
        <v>13360</v>
      </c>
      <c r="G2366" s="67" t="s">
        <v>5611</v>
      </c>
      <c r="H2366" s="14" t="s">
        <v>5601</v>
      </c>
      <c r="I2366" s="14" t="s">
        <v>2458</v>
      </c>
      <c r="J2366" s="33" t="s">
        <v>7110</v>
      </c>
      <c r="K2366" s="33" t="s">
        <v>5447</v>
      </c>
      <c r="L2366" s="68" t="s">
        <v>8669</v>
      </c>
      <c r="M2366" s="68" t="s">
        <v>8913</v>
      </c>
      <c r="N2366" s="68" t="s">
        <v>6056</v>
      </c>
      <c r="O2366" s="68">
        <v>60500</v>
      </c>
      <c r="P2366" s="198" t="s">
        <v>5799</v>
      </c>
    </row>
    <row r="2367" spans="1:16" ht="18.75" hidden="1">
      <c r="A2367" s="50" t="s">
        <v>5386</v>
      </c>
      <c r="B2367" s="50" t="s">
        <v>5414</v>
      </c>
      <c r="C2367" s="50" t="s">
        <v>5429</v>
      </c>
      <c r="D2367" s="50" t="s">
        <v>5171</v>
      </c>
      <c r="E2367" s="12" t="s">
        <v>4971</v>
      </c>
      <c r="F2367" s="49">
        <v>98610</v>
      </c>
      <c r="G2367" s="67" t="s">
        <v>5611</v>
      </c>
      <c r="H2367" s="14" t="s">
        <v>5601</v>
      </c>
      <c r="I2367" s="14" t="s">
        <v>2458</v>
      </c>
      <c r="J2367" s="33" t="s">
        <v>7110</v>
      </c>
      <c r="K2367" s="33" t="s">
        <v>5447</v>
      </c>
      <c r="L2367" s="68" t="s">
        <v>6054</v>
      </c>
      <c r="M2367" s="68" t="s">
        <v>8912</v>
      </c>
      <c r="N2367" s="68" t="s">
        <v>6059</v>
      </c>
      <c r="O2367" s="202">
        <v>55200</v>
      </c>
      <c r="P2367" s="198" t="s">
        <v>5762</v>
      </c>
    </row>
    <row r="2368" spans="1:16" ht="18.75" hidden="1">
      <c r="A2368" s="50" t="s">
        <v>5392</v>
      </c>
      <c r="B2368" s="50" t="s">
        <v>5418</v>
      </c>
      <c r="C2368" s="50" t="s">
        <v>5430</v>
      </c>
      <c r="D2368" s="50" t="s">
        <v>5046</v>
      </c>
      <c r="E2368" s="12" t="s">
        <v>4971</v>
      </c>
      <c r="F2368" s="49">
        <v>51990</v>
      </c>
      <c r="G2368" s="67" t="s">
        <v>5699</v>
      </c>
      <c r="H2368" s="14" t="s">
        <v>5601</v>
      </c>
      <c r="I2368" s="14" t="s">
        <v>2458</v>
      </c>
      <c r="J2368" s="33" t="s">
        <v>7110</v>
      </c>
      <c r="K2368" s="33" t="s">
        <v>5447</v>
      </c>
      <c r="L2368" s="68" t="s">
        <v>6054</v>
      </c>
      <c r="M2368" s="68" t="s">
        <v>8912</v>
      </c>
      <c r="N2368" s="68" t="s">
        <v>6059</v>
      </c>
      <c r="O2368" s="202">
        <v>55200</v>
      </c>
      <c r="P2368" s="198" t="s">
        <v>5776</v>
      </c>
    </row>
    <row r="2369" spans="1:16" ht="18.75" hidden="1">
      <c r="A2369" s="50" t="s">
        <v>5392</v>
      </c>
      <c r="B2369" s="50" t="s">
        <v>5418</v>
      </c>
      <c r="C2369" s="50" t="s">
        <v>5429</v>
      </c>
      <c r="D2369" s="50" t="s">
        <v>5171</v>
      </c>
      <c r="E2369" s="12" t="s">
        <v>4971</v>
      </c>
      <c r="F2369" s="49">
        <v>200970</v>
      </c>
      <c r="G2369" s="67" t="s">
        <v>5611</v>
      </c>
      <c r="H2369" s="14" t="s">
        <v>5601</v>
      </c>
      <c r="I2369" s="14" t="s">
        <v>2458</v>
      </c>
      <c r="J2369" s="33" t="s">
        <v>7110</v>
      </c>
      <c r="K2369" s="33" t="s">
        <v>5447</v>
      </c>
      <c r="L2369" s="68" t="s">
        <v>6054</v>
      </c>
      <c r="M2369" s="68" t="s">
        <v>8912</v>
      </c>
      <c r="N2369" s="68" t="s">
        <v>6059</v>
      </c>
      <c r="O2369" s="202">
        <v>55200</v>
      </c>
      <c r="P2369" s="198" t="s">
        <v>5762</v>
      </c>
    </row>
    <row r="2370" spans="1:16" ht="18.75" hidden="1">
      <c r="A2370" s="50" t="s">
        <v>5391</v>
      </c>
      <c r="B2370" s="50" t="s">
        <v>5417</v>
      </c>
      <c r="C2370" s="50" t="s">
        <v>5430</v>
      </c>
      <c r="D2370" s="50" t="s">
        <v>5046</v>
      </c>
      <c r="E2370" s="12" t="s">
        <v>4971</v>
      </c>
      <c r="F2370" s="49">
        <v>31460</v>
      </c>
      <c r="G2370" s="67" t="s">
        <v>5699</v>
      </c>
      <c r="H2370" s="14" t="s">
        <v>5601</v>
      </c>
      <c r="I2370" s="14" t="s">
        <v>2458</v>
      </c>
      <c r="J2370" s="33" t="s">
        <v>7110</v>
      </c>
      <c r="K2370" s="33" t="s">
        <v>5447</v>
      </c>
      <c r="L2370" s="68" t="s">
        <v>6054</v>
      </c>
      <c r="M2370" s="68" t="s">
        <v>8912</v>
      </c>
      <c r="N2370" s="68" t="s">
        <v>6059</v>
      </c>
      <c r="O2370" s="202">
        <v>55200</v>
      </c>
      <c r="P2370" s="198" t="s">
        <v>5776</v>
      </c>
    </row>
    <row r="2371" spans="1:16" ht="18.75" hidden="1">
      <c r="A2371" s="50" t="s">
        <v>5384</v>
      </c>
      <c r="B2371" s="50" t="s">
        <v>5412</v>
      </c>
      <c r="C2371" s="50" t="s">
        <v>5279</v>
      </c>
      <c r="D2371" s="50" t="s">
        <v>5046</v>
      </c>
      <c r="E2371" s="12" t="s">
        <v>4971</v>
      </c>
      <c r="F2371" s="49">
        <v>34680</v>
      </c>
      <c r="G2371" s="67" t="s">
        <v>5611</v>
      </c>
      <c r="H2371" s="14" t="s">
        <v>5601</v>
      </c>
      <c r="I2371" s="14" t="s">
        <v>2458</v>
      </c>
      <c r="J2371" s="33" t="s">
        <v>7110</v>
      </c>
      <c r="K2371" s="33" t="s">
        <v>5447</v>
      </c>
      <c r="L2371" s="68" t="s">
        <v>6054</v>
      </c>
      <c r="M2371" s="68" t="s">
        <v>8912</v>
      </c>
      <c r="N2371" s="68" t="s">
        <v>6059</v>
      </c>
      <c r="O2371" s="202">
        <v>55200</v>
      </c>
      <c r="P2371" s="198" t="s">
        <v>5758</v>
      </c>
    </row>
    <row r="2372" spans="1:16" ht="18.75" hidden="1">
      <c r="A2372" s="50" t="s">
        <v>5390</v>
      </c>
      <c r="B2372" s="50" t="s">
        <v>5416</v>
      </c>
      <c r="C2372" s="50" t="s">
        <v>5431</v>
      </c>
      <c r="D2372" s="50" t="s">
        <v>5419</v>
      </c>
      <c r="E2372" s="12" t="s">
        <v>4971</v>
      </c>
      <c r="F2372" s="49">
        <v>17661</v>
      </c>
      <c r="G2372" s="67" t="s">
        <v>5611</v>
      </c>
      <c r="H2372" s="14" t="s">
        <v>5601</v>
      </c>
      <c r="I2372" s="14" t="s">
        <v>2458</v>
      </c>
      <c r="J2372" s="33" t="s">
        <v>7110</v>
      </c>
      <c r="K2372" s="33" t="s">
        <v>5447</v>
      </c>
      <c r="L2372" s="68" t="s">
        <v>6054</v>
      </c>
      <c r="M2372" s="68" t="s">
        <v>8912</v>
      </c>
      <c r="N2372" s="68" t="s">
        <v>8668</v>
      </c>
      <c r="O2372" s="202">
        <v>55107</v>
      </c>
      <c r="P2372" s="198" t="s">
        <v>5810</v>
      </c>
    </row>
    <row r="2373" spans="1:16" ht="18.75" hidden="1">
      <c r="A2373" s="50" t="s">
        <v>5393</v>
      </c>
      <c r="B2373" s="50" t="s">
        <v>5414</v>
      </c>
      <c r="C2373" s="50" t="s">
        <v>5430</v>
      </c>
      <c r="D2373" s="50" t="s">
        <v>5046</v>
      </c>
      <c r="E2373" s="12" t="s">
        <v>4971</v>
      </c>
      <c r="F2373" s="49">
        <v>117120</v>
      </c>
      <c r="G2373" s="67" t="s">
        <v>5699</v>
      </c>
      <c r="H2373" s="14" t="s">
        <v>5601</v>
      </c>
      <c r="I2373" s="14" t="s">
        <v>2458</v>
      </c>
      <c r="J2373" s="33" t="s">
        <v>7110</v>
      </c>
      <c r="K2373" s="33" t="s">
        <v>5447</v>
      </c>
      <c r="L2373" s="68" t="s">
        <v>6054</v>
      </c>
      <c r="M2373" s="68" t="s">
        <v>8912</v>
      </c>
      <c r="N2373" s="68" t="s">
        <v>6061</v>
      </c>
      <c r="O2373" s="202">
        <v>55301</v>
      </c>
      <c r="P2373" s="198" t="s">
        <v>5776</v>
      </c>
    </row>
    <row r="2374" spans="1:16" ht="18.75" hidden="1">
      <c r="A2374" s="50" t="s">
        <v>5392</v>
      </c>
      <c r="B2374" s="50" t="s">
        <v>5418</v>
      </c>
      <c r="C2374" s="50" t="s">
        <v>4509</v>
      </c>
      <c r="D2374" s="50" t="s">
        <v>4183</v>
      </c>
      <c r="E2374" s="12" t="s">
        <v>3420</v>
      </c>
      <c r="F2374" s="49">
        <v>50000</v>
      </c>
      <c r="G2374" s="67" t="s">
        <v>5699</v>
      </c>
      <c r="H2374" s="14" t="s">
        <v>5601</v>
      </c>
      <c r="I2374" s="14" t="s">
        <v>2458</v>
      </c>
      <c r="J2374" s="33" t="s">
        <v>7110</v>
      </c>
      <c r="K2374" s="33" t="s">
        <v>5447</v>
      </c>
      <c r="L2374" s="68" t="s">
        <v>6054</v>
      </c>
      <c r="M2374" s="68" t="s">
        <v>8912</v>
      </c>
      <c r="N2374" s="68" t="s">
        <v>6059</v>
      </c>
      <c r="O2374" s="202">
        <v>55200</v>
      </c>
      <c r="P2374" s="198" t="s">
        <v>5715</v>
      </c>
    </row>
    <row r="2375" spans="1:16" ht="18.75" hidden="1">
      <c r="A2375" s="50" t="s">
        <v>5393</v>
      </c>
      <c r="B2375" s="50" t="s">
        <v>5414</v>
      </c>
      <c r="C2375" s="50" t="s">
        <v>5432</v>
      </c>
      <c r="D2375" s="50" t="s">
        <v>5415</v>
      </c>
      <c r="E2375" s="12" t="s">
        <v>4971</v>
      </c>
      <c r="F2375" s="49">
        <v>113850</v>
      </c>
      <c r="G2375" s="67" t="s">
        <v>5611</v>
      </c>
      <c r="H2375" s="14" t="s">
        <v>5601</v>
      </c>
      <c r="I2375" s="14" t="s">
        <v>2458</v>
      </c>
      <c r="J2375" s="33" t="s">
        <v>7110</v>
      </c>
      <c r="K2375" s="33" t="s">
        <v>5447</v>
      </c>
      <c r="L2375" s="68" t="s">
        <v>6054</v>
      </c>
      <c r="M2375" s="68" t="s">
        <v>8912</v>
      </c>
      <c r="N2375" s="68" t="s">
        <v>6061</v>
      </c>
      <c r="O2375" s="202">
        <v>55301</v>
      </c>
      <c r="P2375" s="198" t="s">
        <v>5810</v>
      </c>
    </row>
    <row r="2376" spans="1:16" ht="18.75" hidden="1">
      <c r="A2376" s="50" t="s">
        <v>5393</v>
      </c>
      <c r="B2376" s="50" t="s">
        <v>5414</v>
      </c>
      <c r="C2376" s="50" t="s">
        <v>5433</v>
      </c>
      <c r="D2376" s="50" t="s">
        <v>5011</v>
      </c>
      <c r="E2376" s="12" t="s">
        <v>4971</v>
      </c>
      <c r="F2376" s="49">
        <v>24320</v>
      </c>
      <c r="G2376" s="67" t="s">
        <v>5699</v>
      </c>
      <c r="H2376" s="14" t="s">
        <v>5601</v>
      </c>
      <c r="I2376" s="14" t="s">
        <v>2458</v>
      </c>
      <c r="J2376" s="33" t="s">
        <v>7110</v>
      </c>
      <c r="K2376" s="33" t="s">
        <v>5447</v>
      </c>
      <c r="L2376" s="68" t="s">
        <v>6054</v>
      </c>
      <c r="M2376" s="68" t="s">
        <v>8912</v>
      </c>
      <c r="N2376" s="68" t="s">
        <v>6061</v>
      </c>
      <c r="O2376" s="202">
        <v>55301</v>
      </c>
      <c r="P2376" s="198" t="s">
        <v>5776</v>
      </c>
    </row>
    <row r="2377" spans="1:16" ht="18.75" hidden="1">
      <c r="A2377" s="50" t="s">
        <v>5394</v>
      </c>
      <c r="B2377" s="50" t="s">
        <v>5415</v>
      </c>
      <c r="C2377" s="50" t="s">
        <v>5279</v>
      </c>
      <c r="D2377" s="50" t="s">
        <v>5046</v>
      </c>
      <c r="E2377" s="12" t="s">
        <v>4971</v>
      </c>
      <c r="F2377" s="49">
        <v>151190</v>
      </c>
      <c r="G2377" s="67" t="s">
        <v>5611</v>
      </c>
      <c r="H2377" s="14" t="s">
        <v>5601</v>
      </c>
      <c r="I2377" s="14" t="s">
        <v>2458</v>
      </c>
      <c r="J2377" s="33" t="s">
        <v>7110</v>
      </c>
      <c r="K2377" s="33" t="s">
        <v>5447</v>
      </c>
      <c r="L2377" s="68" t="s">
        <v>6054</v>
      </c>
      <c r="M2377" s="68" t="s">
        <v>8912</v>
      </c>
      <c r="N2377" s="68" t="s">
        <v>6059</v>
      </c>
      <c r="O2377" s="202">
        <v>55200</v>
      </c>
      <c r="P2377" s="198" t="s">
        <v>5758</v>
      </c>
    </row>
    <row r="2378" spans="1:16" ht="18.75" hidden="1">
      <c r="A2378" s="50" t="s">
        <v>5395</v>
      </c>
      <c r="B2378" s="50" t="s">
        <v>5416</v>
      </c>
      <c r="C2378" s="50" t="s">
        <v>5433</v>
      </c>
      <c r="D2378" s="50" t="s">
        <v>5011</v>
      </c>
      <c r="E2378" s="12" t="s">
        <v>4971</v>
      </c>
      <c r="F2378" s="49">
        <v>48220</v>
      </c>
      <c r="G2378" s="67" t="s">
        <v>5699</v>
      </c>
      <c r="H2378" s="14" t="s">
        <v>5601</v>
      </c>
      <c r="I2378" s="14" t="s">
        <v>2458</v>
      </c>
      <c r="J2378" s="33" t="s">
        <v>7110</v>
      </c>
      <c r="K2378" s="33" t="s">
        <v>5447</v>
      </c>
      <c r="L2378" s="68" t="s">
        <v>8663</v>
      </c>
      <c r="M2378" s="68" t="s">
        <v>8913</v>
      </c>
      <c r="N2378" s="68" t="s">
        <v>6058</v>
      </c>
      <c r="O2378" s="68">
        <v>60400</v>
      </c>
      <c r="P2378" s="198" t="s">
        <v>5776</v>
      </c>
    </row>
    <row r="2379" spans="1:16" ht="18.75" hidden="1">
      <c r="A2379" s="50" t="s">
        <v>5396</v>
      </c>
      <c r="B2379" s="50" t="s">
        <v>5419</v>
      </c>
      <c r="C2379" s="50" t="s">
        <v>5279</v>
      </c>
      <c r="D2379" s="50" t="s">
        <v>5046</v>
      </c>
      <c r="E2379" s="12" t="s">
        <v>4971</v>
      </c>
      <c r="F2379" s="49">
        <v>24030</v>
      </c>
      <c r="G2379" s="67" t="s">
        <v>5611</v>
      </c>
      <c r="H2379" s="14" t="s">
        <v>5601</v>
      </c>
      <c r="I2379" s="14" t="s">
        <v>2458</v>
      </c>
      <c r="J2379" s="33" t="s">
        <v>7110</v>
      </c>
      <c r="K2379" s="33" t="s">
        <v>5447</v>
      </c>
      <c r="L2379" s="68" t="s">
        <v>6054</v>
      </c>
      <c r="M2379" s="68" t="s">
        <v>8912</v>
      </c>
      <c r="N2379" s="68" t="s">
        <v>6059</v>
      </c>
      <c r="O2379" s="202">
        <v>55200</v>
      </c>
      <c r="P2379" s="198" t="s">
        <v>5758</v>
      </c>
    </row>
    <row r="2380" spans="1:16" ht="18.75" hidden="1">
      <c r="A2380" s="50" t="s">
        <v>5397</v>
      </c>
      <c r="B2380" s="50" t="s">
        <v>5303</v>
      </c>
      <c r="C2380" s="50" t="s">
        <v>5434</v>
      </c>
      <c r="D2380" s="50" t="s">
        <v>5045</v>
      </c>
      <c r="E2380" s="12" t="s">
        <v>4971</v>
      </c>
      <c r="F2380" s="49">
        <v>100340</v>
      </c>
      <c r="G2380" s="67" t="s">
        <v>5609</v>
      </c>
      <c r="H2380" s="14" t="s">
        <v>5601</v>
      </c>
      <c r="I2380" s="14" t="s">
        <v>2458</v>
      </c>
      <c r="J2380" s="33" t="s">
        <v>7110</v>
      </c>
      <c r="K2380" s="33" t="s">
        <v>5447</v>
      </c>
      <c r="L2380" s="68" t="s">
        <v>6054</v>
      </c>
      <c r="M2380" s="68" t="s">
        <v>8912</v>
      </c>
      <c r="N2380" s="68" t="s">
        <v>6059</v>
      </c>
      <c r="O2380" s="202">
        <v>55200</v>
      </c>
      <c r="P2380" s="198" t="s">
        <v>5772</v>
      </c>
    </row>
    <row r="2381" spans="1:16" ht="18.75" hidden="1">
      <c r="A2381" s="50" t="s">
        <v>5397</v>
      </c>
      <c r="B2381" s="50" t="s">
        <v>5303</v>
      </c>
      <c r="C2381" s="50" t="s">
        <v>5279</v>
      </c>
      <c r="D2381" s="50" t="s">
        <v>5046</v>
      </c>
      <c r="E2381" s="12" t="s">
        <v>4971</v>
      </c>
      <c r="F2381" s="49">
        <v>401350</v>
      </c>
      <c r="G2381" s="67" t="s">
        <v>5611</v>
      </c>
      <c r="H2381" s="14" t="s">
        <v>5601</v>
      </c>
      <c r="I2381" s="14" t="s">
        <v>2458</v>
      </c>
      <c r="J2381" s="33" t="s">
        <v>7110</v>
      </c>
      <c r="K2381" s="33" t="s">
        <v>5447</v>
      </c>
      <c r="L2381" s="68" t="s">
        <v>6054</v>
      </c>
      <c r="M2381" s="68" t="s">
        <v>8912</v>
      </c>
      <c r="N2381" s="68" t="s">
        <v>6059</v>
      </c>
      <c r="O2381" s="202">
        <v>55200</v>
      </c>
      <c r="P2381" s="198" t="s">
        <v>5758</v>
      </c>
    </row>
    <row r="2382" spans="1:16" ht="18.75" hidden="1">
      <c r="A2382" s="50" t="s">
        <v>5398</v>
      </c>
      <c r="B2382" s="50" t="s">
        <v>5303</v>
      </c>
      <c r="C2382" s="50" t="s">
        <v>5425</v>
      </c>
      <c r="D2382" s="50" t="s">
        <v>5301</v>
      </c>
      <c r="E2382" s="12" t="s">
        <v>4971</v>
      </c>
      <c r="F2382" s="49">
        <v>236440</v>
      </c>
      <c r="G2382" s="67" t="s">
        <v>5631</v>
      </c>
      <c r="H2382" s="14" t="s">
        <v>5601</v>
      </c>
      <c r="I2382" s="14" t="s">
        <v>2458</v>
      </c>
      <c r="J2382" s="33" t="s">
        <v>7110</v>
      </c>
      <c r="K2382" s="33" t="s">
        <v>5447</v>
      </c>
      <c r="L2382" s="68" t="s">
        <v>6054</v>
      </c>
      <c r="M2382" s="68" t="s">
        <v>8913</v>
      </c>
      <c r="N2382" s="68" t="s">
        <v>8668</v>
      </c>
      <c r="O2382" s="202">
        <v>55107</v>
      </c>
      <c r="P2382" s="197" t="s">
        <v>5789</v>
      </c>
    </row>
    <row r="2383" spans="1:16" ht="18.75" hidden="1">
      <c r="A2383" s="50" t="s">
        <v>5399</v>
      </c>
      <c r="B2383" s="50" t="s">
        <v>5287</v>
      </c>
      <c r="C2383" s="50" t="s">
        <v>5279</v>
      </c>
      <c r="D2383" s="50" t="s">
        <v>5046</v>
      </c>
      <c r="E2383" s="12" t="s">
        <v>4971</v>
      </c>
      <c r="F2383" s="49">
        <v>174620</v>
      </c>
      <c r="G2383" s="67" t="s">
        <v>5611</v>
      </c>
      <c r="H2383" s="14" t="s">
        <v>5601</v>
      </c>
      <c r="I2383" s="14" t="s">
        <v>2458</v>
      </c>
      <c r="J2383" s="33" t="s">
        <v>7110</v>
      </c>
      <c r="K2383" s="33" t="s">
        <v>5447</v>
      </c>
      <c r="L2383" s="68" t="s">
        <v>6054</v>
      </c>
      <c r="M2383" s="68" t="s">
        <v>8912</v>
      </c>
      <c r="N2383" s="68" t="s">
        <v>6059</v>
      </c>
      <c r="O2383" s="202">
        <v>55200</v>
      </c>
      <c r="P2383" s="198" t="s">
        <v>5758</v>
      </c>
    </row>
    <row r="2384" spans="1:16" ht="18.75" hidden="1">
      <c r="A2384" s="50" t="s">
        <v>5400</v>
      </c>
      <c r="B2384" s="50" t="s">
        <v>5420</v>
      </c>
      <c r="C2384" s="50" t="s">
        <v>5279</v>
      </c>
      <c r="D2384" s="50" t="s">
        <v>5046</v>
      </c>
      <c r="E2384" s="12" t="s">
        <v>4971</v>
      </c>
      <c r="F2384" s="49">
        <v>201230</v>
      </c>
      <c r="G2384" s="67" t="s">
        <v>5611</v>
      </c>
      <c r="H2384" s="14" t="s">
        <v>5601</v>
      </c>
      <c r="I2384" s="14" t="s">
        <v>2458</v>
      </c>
      <c r="J2384" s="33" t="s">
        <v>7110</v>
      </c>
      <c r="K2384" s="33" t="s">
        <v>5447</v>
      </c>
      <c r="L2384" s="68" t="s">
        <v>6054</v>
      </c>
      <c r="M2384" s="68" t="s">
        <v>8912</v>
      </c>
      <c r="N2384" s="68" t="s">
        <v>6059</v>
      </c>
      <c r="O2384" s="202">
        <v>55200</v>
      </c>
      <c r="P2384" s="198" t="s">
        <v>5758</v>
      </c>
    </row>
    <row r="2385" spans="1:16" ht="18.75" hidden="1">
      <c r="A2385" s="50" t="s">
        <v>5399</v>
      </c>
      <c r="B2385" s="50" t="s">
        <v>5287</v>
      </c>
      <c r="C2385" s="50" t="s">
        <v>5434</v>
      </c>
      <c r="D2385" s="50" t="s">
        <v>5045</v>
      </c>
      <c r="E2385" s="12" t="s">
        <v>4971</v>
      </c>
      <c r="F2385" s="49">
        <v>50600</v>
      </c>
      <c r="G2385" s="67" t="s">
        <v>5609</v>
      </c>
      <c r="H2385" s="14" t="s">
        <v>5601</v>
      </c>
      <c r="I2385" s="14" t="s">
        <v>2458</v>
      </c>
      <c r="J2385" s="33" t="s">
        <v>7110</v>
      </c>
      <c r="K2385" s="33" t="s">
        <v>5447</v>
      </c>
      <c r="L2385" s="68" t="s">
        <v>6054</v>
      </c>
      <c r="M2385" s="68" t="s">
        <v>8912</v>
      </c>
      <c r="N2385" s="68" t="s">
        <v>6059</v>
      </c>
      <c r="O2385" s="202">
        <v>55200</v>
      </c>
      <c r="P2385" s="198" t="s">
        <v>5772</v>
      </c>
    </row>
    <row r="2386" spans="1:16" ht="18.75" hidden="1">
      <c r="A2386" s="50" t="s">
        <v>5400</v>
      </c>
      <c r="B2386" s="50" t="s">
        <v>5420</v>
      </c>
      <c r="C2386" s="50" t="s">
        <v>5434</v>
      </c>
      <c r="D2386" s="50" t="s">
        <v>5045</v>
      </c>
      <c r="E2386" s="12" t="s">
        <v>4971</v>
      </c>
      <c r="F2386" s="49">
        <v>351390</v>
      </c>
      <c r="G2386" s="67" t="s">
        <v>5609</v>
      </c>
      <c r="H2386" s="14" t="s">
        <v>5601</v>
      </c>
      <c r="I2386" s="14" t="s">
        <v>2458</v>
      </c>
      <c r="J2386" s="33" t="s">
        <v>7110</v>
      </c>
      <c r="K2386" s="33" t="s">
        <v>5447</v>
      </c>
      <c r="L2386" s="68" t="s">
        <v>6054</v>
      </c>
      <c r="M2386" s="68" t="s">
        <v>8912</v>
      </c>
      <c r="N2386" s="68" t="s">
        <v>6059</v>
      </c>
      <c r="O2386" s="202">
        <v>55200</v>
      </c>
      <c r="P2386" s="198" t="s">
        <v>5772</v>
      </c>
    </row>
    <row r="2387" spans="1:16" ht="18.75" hidden="1">
      <c r="A2387" s="50" t="s">
        <v>5396</v>
      </c>
      <c r="B2387" s="50" t="s">
        <v>5419</v>
      </c>
      <c r="C2387" s="50" t="s">
        <v>5228</v>
      </c>
      <c r="D2387" s="50" t="s">
        <v>5169</v>
      </c>
      <c r="E2387" s="12" t="s">
        <v>4971</v>
      </c>
      <c r="F2387" s="49">
        <v>16520</v>
      </c>
      <c r="G2387" s="67" t="s">
        <v>5631</v>
      </c>
      <c r="H2387" s="14" t="s">
        <v>5601</v>
      </c>
      <c r="I2387" s="14" t="s">
        <v>2458</v>
      </c>
      <c r="J2387" s="33" t="s">
        <v>7110</v>
      </c>
      <c r="K2387" s="33" t="s">
        <v>5447</v>
      </c>
      <c r="L2387" s="68" t="s">
        <v>6054</v>
      </c>
      <c r="M2387" s="68" t="s">
        <v>8912</v>
      </c>
      <c r="N2387" s="68" t="s">
        <v>6059</v>
      </c>
      <c r="O2387" s="202">
        <v>55200</v>
      </c>
      <c r="P2387" s="197" t="s">
        <v>5801</v>
      </c>
    </row>
    <row r="2388" spans="1:16" ht="18.75" hidden="1">
      <c r="A2388" s="50" t="s">
        <v>5396</v>
      </c>
      <c r="B2388" s="50" t="s">
        <v>5419</v>
      </c>
      <c r="C2388" s="50" t="s">
        <v>4509</v>
      </c>
      <c r="D2388" s="50" t="s">
        <v>4183</v>
      </c>
      <c r="E2388" s="12" t="s">
        <v>3420</v>
      </c>
      <c r="F2388" s="49">
        <v>133080</v>
      </c>
      <c r="G2388" s="67" t="s">
        <v>5699</v>
      </c>
      <c r="H2388" s="14" t="s">
        <v>5601</v>
      </c>
      <c r="I2388" s="14" t="s">
        <v>2458</v>
      </c>
      <c r="J2388" s="33" t="s">
        <v>7110</v>
      </c>
      <c r="K2388" s="33" t="s">
        <v>5447</v>
      </c>
      <c r="L2388" s="68" t="s">
        <v>6054</v>
      </c>
      <c r="M2388" s="68" t="s">
        <v>8912</v>
      </c>
      <c r="N2388" s="68" t="s">
        <v>6059</v>
      </c>
      <c r="O2388" s="202">
        <v>55200</v>
      </c>
      <c r="P2388" s="198" t="s">
        <v>5715</v>
      </c>
    </row>
    <row r="2389" spans="1:16" ht="18.75" hidden="1">
      <c r="A2389" s="50" t="s">
        <v>5401</v>
      </c>
      <c r="B2389" s="50" t="s">
        <v>5415</v>
      </c>
      <c r="C2389" s="50" t="s">
        <v>4509</v>
      </c>
      <c r="D2389" s="50" t="s">
        <v>4183</v>
      </c>
      <c r="E2389" s="12" t="s">
        <v>3420</v>
      </c>
      <c r="F2389" s="49">
        <v>26340</v>
      </c>
      <c r="G2389" s="67" t="s">
        <v>5699</v>
      </c>
      <c r="H2389" s="14" t="s">
        <v>5601</v>
      </c>
      <c r="I2389" s="14" t="s">
        <v>2458</v>
      </c>
      <c r="J2389" s="33" t="s">
        <v>7110</v>
      </c>
      <c r="K2389" s="33" t="s">
        <v>5447</v>
      </c>
      <c r="L2389" s="68">
        <v>0</v>
      </c>
      <c r="M2389" s="68" t="s">
        <v>8912</v>
      </c>
      <c r="N2389" s="68">
        <v>0</v>
      </c>
      <c r="O2389" s="68">
        <v>0</v>
      </c>
      <c r="P2389" s="198" t="s">
        <v>5715</v>
      </c>
    </row>
    <row r="2390" spans="1:16" ht="18.75" hidden="1">
      <c r="A2390" s="50" t="s">
        <v>5400</v>
      </c>
      <c r="B2390" s="50" t="s">
        <v>5420</v>
      </c>
      <c r="C2390" s="50" t="s">
        <v>5228</v>
      </c>
      <c r="D2390" s="50" t="s">
        <v>5169</v>
      </c>
      <c r="E2390" s="12" t="s">
        <v>4971</v>
      </c>
      <c r="F2390" s="49">
        <v>124930</v>
      </c>
      <c r="G2390" s="67" t="s">
        <v>5631</v>
      </c>
      <c r="H2390" s="14" t="s">
        <v>5601</v>
      </c>
      <c r="I2390" s="14" t="s">
        <v>2458</v>
      </c>
      <c r="J2390" s="33" t="s">
        <v>7110</v>
      </c>
      <c r="K2390" s="33" t="s">
        <v>5447</v>
      </c>
      <c r="L2390" s="68" t="s">
        <v>6054</v>
      </c>
      <c r="M2390" s="68" t="s">
        <v>8912</v>
      </c>
      <c r="N2390" s="68" t="s">
        <v>6059</v>
      </c>
      <c r="O2390" s="202">
        <v>55200</v>
      </c>
      <c r="P2390" s="197" t="s">
        <v>5801</v>
      </c>
    </row>
    <row r="2391" spans="1:16" ht="18.75" hidden="1">
      <c r="A2391" s="50" t="s">
        <v>5402</v>
      </c>
      <c r="B2391" s="50" t="s">
        <v>5287</v>
      </c>
      <c r="C2391" s="50" t="s">
        <v>4509</v>
      </c>
      <c r="D2391" s="50" t="s">
        <v>4183</v>
      </c>
      <c r="E2391" s="12" t="s">
        <v>3420</v>
      </c>
      <c r="F2391" s="49">
        <v>75920</v>
      </c>
      <c r="G2391" s="67" t="s">
        <v>5699</v>
      </c>
      <c r="H2391" s="14" t="s">
        <v>5601</v>
      </c>
      <c r="I2391" s="14" t="s">
        <v>2458</v>
      </c>
      <c r="J2391" s="33" t="s">
        <v>7110</v>
      </c>
      <c r="K2391" s="33" t="s">
        <v>5447</v>
      </c>
      <c r="L2391" s="68">
        <v>0</v>
      </c>
      <c r="M2391" s="68" t="s">
        <v>8912</v>
      </c>
      <c r="N2391" s="68">
        <v>0</v>
      </c>
      <c r="O2391" s="68">
        <v>0</v>
      </c>
      <c r="P2391" s="198" t="s">
        <v>5715</v>
      </c>
    </row>
    <row r="2392" spans="1:16" ht="18.75" hidden="1">
      <c r="A2392" s="50" t="s">
        <v>5403</v>
      </c>
      <c r="B2392" s="50" t="s">
        <v>5417</v>
      </c>
      <c r="C2392" s="50" t="s">
        <v>5427</v>
      </c>
      <c r="D2392" s="50" t="s">
        <v>5413</v>
      </c>
      <c r="E2392" s="12" t="s">
        <v>4971</v>
      </c>
      <c r="F2392" s="49">
        <v>22180</v>
      </c>
      <c r="G2392" s="67" t="s">
        <v>5647</v>
      </c>
      <c r="H2392" s="14" t="s">
        <v>5601</v>
      </c>
      <c r="I2392" s="14" t="s">
        <v>2458</v>
      </c>
      <c r="J2392" s="33" t="s">
        <v>7110</v>
      </c>
      <c r="K2392" s="33" t="s">
        <v>5447</v>
      </c>
      <c r="L2392" s="68" t="s">
        <v>6054</v>
      </c>
      <c r="M2392" s="68" t="s">
        <v>8913</v>
      </c>
      <c r="N2392" s="68" t="s">
        <v>6061</v>
      </c>
      <c r="O2392" s="202">
        <v>55301</v>
      </c>
      <c r="P2392" s="198" t="s">
        <v>5806</v>
      </c>
    </row>
    <row r="2393" spans="1:16" ht="18.75" hidden="1">
      <c r="A2393" s="50" t="s">
        <v>5404</v>
      </c>
      <c r="B2393" s="50" t="s">
        <v>5380</v>
      </c>
      <c r="C2393" s="50" t="s">
        <v>5426</v>
      </c>
      <c r="D2393" s="50" t="s">
        <v>5417</v>
      </c>
      <c r="E2393" s="12" t="s">
        <v>4971</v>
      </c>
      <c r="F2393" s="49">
        <v>11921</v>
      </c>
      <c r="G2393" s="67" t="s">
        <v>5611</v>
      </c>
      <c r="H2393" s="14" t="s">
        <v>5601</v>
      </c>
      <c r="I2393" s="14" t="s">
        <v>2458</v>
      </c>
      <c r="J2393" s="33" t="s">
        <v>7110</v>
      </c>
      <c r="K2393" s="33" t="s">
        <v>5447</v>
      </c>
      <c r="L2393" s="68" t="s">
        <v>6054</v>
      </c>
      <c r="M2393" s="68" t="s">
        <v>8912</v>
      </c>
      <c r="N2393" s="68" t="s">
        <v>6061</v>
      </c>
      <c r="O2393" s="202">
        <v>55301</v>
      </c>
      <c r="P2393" s="198" t="s">
        <v>5810</v>
      </c>
    </row>
    <row r="2394" spans="1:16" ht="18.75" hidden="1">
      <c r="A2394" s="50" t="s">
        <v>5405</v>
      </c>
      <c r="B2394" s="50" t="s">
        <v>5416</v>
      </c>
      <c r="C2394" s="50" t="s">
        <v>5431</v>
      </c>
      <c r="D2394" s="50" t="s">
        <v>5419</v>
      </c>
      <c r="E2394" s="12" t="s">
        <v>4971</v>
      </c>
      <c r="F2394" s="49">
        <v>170740</v>
      </c>
      <c r="G2394" s="67" t="s">
        <v>5611</v>
      </c>
      <c r="H2394" s="14" t="s">
        <v>5601</v>
      </c>
      <c r="I2394" s="14" t="s">
        <v>2458</v>
      </c>
      <c r="J2394" s="33" t="s">
        <v>7110</v>
      </c>
      <c r="K2394" s="33" t="s">
        <v>5447</v>
      </c>
      <c r="L2394" s="68" t="s">
        <v>6054</v>
      </c>
      <c r="M2394" s="68" t="s">
        <v>8912</v>
      </c>
      <c r="N2394" s="68" t="s">
        <v>6061</v>
      </c>
      <c r="O2394" s="202">
        <v>55301</v>
      </c>
      <c r="P2394" s="198" t="s">
        <v>5810</v>
      </c>
    </row>
    <row r="2395" spans="1:16" ht="18.75" hidden="1">
      <c r="A2395" s="50" t="s">
        <v>5406</v>
      </c>
      <c r="B2395" s="50" t="s">
        <v>5331</v>
      </c>
      <c r="C2395" s="50" t="s">
        <v>5431</v>
      </c>
      <c r="D2395" s="50" t="s">
        <v>5419</v>
      </c>
      <c r="E2395" s="12" t="s">
        <v>4971</v>
      </c>
      <c r="F2395" s="49">
        <v>71599</v>
      </c>
      <c r="G2395" s="67" t="s">
        <v>5611</v>
      </c>
      <c r="H2395" s="14" t="s">
        <v>5601</v>
      </c>
      <c r="I2395" s="14" t="s">
        <v>2458</v>
      </c>
      <c r="J2395" s="33" t="s">
        <v>7110</v>
      </c>
      <c r="K2395" s="33" t="s">
        <v>5447</v>
      </c>
      <c r="L2395" s="68" t="s">
        <v>6054</v>
      </c>
      <c r="M2395" s="68" t="s">
        <v>8912</v>
      </c>
      <c r="N2395" s="68" t="s">
        <v>6061</v>
      </c>
      <c r="O2395" s="202">
        <v>55301</v>
      </c>
      <c r="P2395" s="198" t="s">
        <v>5810</v>
      </c>
    </row>
    <row r="2396" spans="1:16" ht="18.75" hidden="1">
      <c r="A2396" s="50" t="s">
        <v>5407</v>
      </c>
      <c r="B2396" s="50" t="s">
        <v>5331</v>
      </c>
      <c r="C2396" s="50" t="s">
        <v>5435</v>
      </c>
      <c r="D2396" s="50" t="s">
        <v>5367</v>
      </c>
      <c r="E2396" s="12" t="s">
        <v>4971</v>
      </c>
      <c r="F2396" s="49">
        <v>33950</v>
      </c>
      <c r="G2396" s="67" t="s">
        <v>5611</v>
      </c>
      <c r="H2396" s="14" t="s">
        <v>5601</v>
      </c>
      <c r="I2396" s="14" t="s">
        <v>2458</v>
      </c>
      <c r="J2396" s="33" t="s">
        <v>7110</v>
      </c>
      <c r="K2396" s="33" t="s">
        <v>5447</v>
      </c>
      <c r="L2396" s="68" t="s">
        <v>6054</v>
      </c>
      <c r="M2396" s="68" t="s">
        <v>8913</v>
      </c>
      <c r="N2396" s="68" t="s">
        <v>6061</v>
      </c>
      <c r="O2396" s="202">
        <v>55301</v>
      </c>
      <c r="P2396" s="198" t="s">
        <v>5799</v>
      </c>
    </row>
    <row r="2397" spans="1:16" ht="18.75" hidden="1">
      <c r="A2397" s="50" t="s">
        <v>5405</v>
      </c>
      <c r="B2397" s="50" t="s">
        <v>5416</v>
      </c>
      <c r="C2397" s="50" t="s">
        <v>5430</v>
      </c>
      <c r="D2397" s="50" t="s">
        <v>5046</v>
      </c>
      <c r="E2397" s="12" t="s">
        <v>4971</v>
      </c>
      <c r="F2397" s="49">
        <v>70910</v>
      </c>
      <c r="G2397" s="67" t="s">
        <v>5699</v>
      </c>
      <c r="H2397" s="14" t="s">
        <v>5601</v>
      </c>
      <c r="I2397" s="14" t="s">
        <v>2458</v>
      </c>
      <c r="J2397" s="33" t="s">
        <v>7110</v>
      </c>
      <c r="K2397" s="33" t="s">
        <v>5447</v>
      </c>
      <c r="L2397" s="68" t="s">
        <v>6054</v>
      </c>
      <c r="M2397" s="68" t="s">
        <v>8912</v>
      </c>
      <c r="N2397" s="68" t="s">
        <v>6061</v>
      </c>
      <c r="O2397" s="202">
        <v>55301</v>
      </c>
      <c r="P2397" s="198" t="s">
        <v>5776</v>
      </c>
    </row>
    <row r="2398" spans="1:16" ht="18.75" hidden="1">
      <c r="A2398" s="50" t="s">
        <v>5408</v>
      </c>
      <c r="B2398" s="50" t="s">
        <v>5412</v>
      </c>
      <c r="C2398" s="50" t="s">
        <v>5430</v>
      </c>
      <c r="D2398" s="50" t="s">
        <v>5046</v>
      </c>
      <c r="E2398" s="12" t="s">
        <v>4971</v>
      </c>
      <c r="F2398" s="49">
        <v>70660</v>
      </c>
      <c r="G2398" s="67" t="s">
        <v>5699</v>
      </c>
      <c r="H2398" s="14" t="s">
        <v>5601</v>
      </c>
      <c r="I2398" s="14" t="s">
        <v>2458</v>
      </c>
      <c r="J2398" s="33" t="s">
        <v>7110</v>
      </c>
      <c r="K2398" s="33" t="s">
        <v>5447</v>
      </c>
      <c r="L2398" s="68" t="s">
        <v>6054</v>
      </c>
      <c r="M2398" s="68" t="s">
        <v>8912</v>
      </c>
      <c r="N2398" s="68" t="s">
        <v>6061</v>
      </c>
      <c r="O2398" s="202">
        <v>55301</v>
      </c>
      <c r="P2398" s="198" t="s">
        <v>5776</v>
      </c>
    </row>
    <row r="2399" spans="1:16" ht="18.75" hidden="1">
      <c r="A2399" s="50" t="s">
        <v>5409</v>
      </c>
      <c r="B2399" s="50" t="s">
        <v>5418</v>
      </c>
      <c r="C2399" s="50" t="s">
        <v>5427</v>
      </c>
      <c r="D2399" s="50" t="s">
        <v>5413</v>
      </c>
      <c r="E2399" s="12" t="s">
        <v>4971</v>
      </c>
      <c r="F2399" s="49">
        <v>49720</v>
      </c>
      <c r="G2399" s="67" t="s">
        <v>5647</v>
      </c>
      <c r="H2399" s="14" t="s">
        <v>5601</v>
      </c>
      <c r="I2399" s="14" t="s">
        <v>2458</v>
      </c>
      <c r="J2399" s="33" t="s">
        <v>7110</v>
      </c>
      <c r="K2399" s="33" t="s">
        <v>5447</v>
      </c>
      <c r="L2399" s="68" t="s">
        <v>6054</v>
      </c>
      <c r="M2399" s="68" t="s">
        <v>8913</v>
      </c>
      <c r="N2399" s="68" t="s">
        <v>6061</v>
      </c>
      <c r="O2399" s="202">
        <v>55301</v>
      </c>
      <c r="P2399" s="198" t="s">
        <v>5806</v>
      </c>
    </row>
    <row r="2400" spans="1:16" ht="18.75" hidden="1">
      <c r="A2400" s="50" t="s">
        <v>5410</v>
      </c>
      <c r="B2400" s="50" t="s">
        <v>5419</v>
      </c>
      <c r="C2400" s="50" t="s">
        <v>5436</v>
      </c>
      <c r="D2400" s="50" t="s">
        <v>5287</v>
      </c>
      <c r="E2400" s="12" t="s">
        <v>4971</v>
      </c>
      <c r="F2400" s="49">
        <v>45540</v>
      </c>
      <c r="G2400" s="67" t="s">
        <v>5647</v>
      </c>
      <c r="H2400" s="14" t="s">
        <v>5601</v>
      </c>
      <c r="I2400" s="14" t="s">
        <v>2458</v>
      </c>
      <c r="J2400" s="33" t="s">
        <v>7110</v>
      </c>
      <c r="K2400" s="33" t="s">
        <v>5447</v>
      </c>
      <c r="L2400" s="68" t="s">
        <v>6054</v>
      </c>
      <c r="M2400" s="68" t="s">
        <v>8913</v>
      </c>
      <c r="N2400" s="68" t="s">
        <v>6061</v>
      </c>
      <c r="O2400" s="202">
        <v>55301</v>
      </c>
      <c r="P2400" s="198" t="s">
        <v>5806</v>
      </c>
    </row>
    <row r="2401" spans="1:16" ht="18.75" hidden="1">
      <c r="A2401" s="50" t="s">
        <v>5407</v>
      </c>
      <c r="B2401" s="50" t="s">
        <v>5331</v>
      </c>
      <c r="C2401" s="50" t="s">
        <v>5432</v>
      </c>
      <c r="D2401" s="50" t="s">
        <v>5415</v>
      </c>
      <c r="E2401" s="12" t="s">
        <v>4971</v>
      </c>
      <c r="F2401" s="49">
        <v>971</v>
      </c>
      <c r="G2401" s="67" t="s">
        <v>5611</v>
      </c>
      <c r="H2401" s="14" t="s">
        <v>5601</v>
      </c>
      <c r="I2401" s="14" t="s">
        <v>2458</v>
      </c>
      <c r="J2401" s="33" t="s">
        <v>7110</v>
      </c>
      <c r="K2401" s="33" t="s">
        <v>5447</v>
      </c>
      <c r="L2401" s="68" t="s">
        <v>6054</v>
      </c>
      <c r="M2401" s="68" t="s">
        <v>8913</v>
      </c>
      <c r="N2401" s="68" t="s">
        <v>6061</v>
      </c>
      <c r="O2401" s="202">
        <v>55301</v>
      </c>
      <c r="P2401" s="198" t="s">
        <v>5810</v>
      </c>
    </row>
    <row r="2402" spans="1:16" ht="18.75" hidden="1">
      <c r="A2402" s="50" t="s">
        <v>5405</v>
      </c>
      <c r="B2402" s="50" t="s">
        <v>5416</v>
      </c>
      <c r="C2402" s="50" t="s">
        <v>5433</v>
      </c>
      <c r="D2402" s="50" t="s">
        <v>5011</v>
      </c>
      <c r="E2402" s="12" t="s">
        <v>4971</v>
      </c>
      <c r="F2402" s="49">
        <v>46590</v>
      </c>
      <c r="G2402" s="67" t="s">
        <v>5699</v>
      </c>
      <c r="H2402" s="14" t="s">
        <v>5601</v>
      </c>
      <c r="I2402" s="14" t="s">
        <v>2458</v>
      </c>
      <c r="J2402" s="33" t="s">
        <v>7110</v>
      </c>
      <c r="K2402" s="33" t="s">
        <v>5447</v>
      </c>
      <c r="L2402" s="68" t="s">
        <v>6054</v>
      </c>
      <c r="M2402" s="68" t="s">
        <v>8912</v>
      </c>
      <c r="N2402" s="68" t="s">
        <v>6061</v>
      </c>
      <c r="O2402" s="202">
        <v>55301</v>
      </c>
      <c r="P2402" s="198" t="s">
        <v>5776</v>
      </c>
    </row>
    <row r="2403" spans="1:16" ht="18.75" hidden="1">
      <c r="A2403" s="50" t="s">
        <v>5404</v>
      </c>
      <c r="B2403" s="50" t="s">
        <v>5380</v>
      </c>
      <c r="C2403" s="50" t="s">
        <v>5433</v>
      </c>
      <c r="D2403" s="50" t="s">
        <v>5011</v>
      </c>
      <c r="E2403" s="12" t="s">
        <v>4971</v>
      </c>
      <c r="F2403" s="49">
        <v>82629</v>
      </c>
      <c r="G2403" s="67" t="s">
        <v>5699</v>
      </c>
      <c r="H2403" s="14" t="s">
        <v>5601</v>
      </c>
      <c r="I2403" s="14" t="s">
        <v>2458</v>
      </c>
      <c r="J2403" s="33" t="s">
        <v>7110</v>
      </c>
      <c r="K2403" s="33" t="s">
        <v>5447</v>
      </c>
      <c r="L2403" s="68" t="s">
        <v>6054</v>
      </c>
      <c r="M2403" s="68" t="s">
        <v>8912</v>
      </c>
      <c r="N2403" s="68" t="s">
        <v>6061</v>
      </c>
      <c r="O2403" s="202">
        <v>55301</v>
      </c>
      <c r="P2403" s="198" t="s">
        <v>5776</v>
      </c>
    </row>
    <row r="2404" spans="1:16" ht="18.75" hidden="1">
      <c r="A2404" s="50" t="s">
        <v>5406</v>
      </c>
      <c r="B2404" s="50" t="s">
        <v>5331</v>
      </c>
      <c r="C2404" s="50" t="s">
        <v>5437</v>
      </c>
      <c r="D2404" s="50" t="s">
        <v>5412</v>
      </c>
      <c r="E2404" s="12" t="s">
        <v>4971</v>
      </c>
      <c r="F2404" s="49">
        <v>50041</v>
      </c>
      <c r="G2404" s="67" t="s">
        <v>5611</v>
      </c>
      <c r="H2404" s="14" t="s">
        <v>5601</v>
      </c>
      <c r="I2404" s="14" t="s">
        <v>2458</v>
      </c>
      <c r="J2404" s="33" t="s">
        <v>7110</v>
      </c>
      <c r="K2404" s="33" t="s">
        <v>5447</v>
      </c>
      <c r="L2404" s="68" t="s">
        <v>6054</v>
      </c>
      <c r="M2404" s="68" t="s">
        <v>8912</v>
      </c>
      <c r="N2404" s="68" t="s">
        <v>6061</v>
      </c>
      <c r="O2404" s="202">
        <v>55301</v>
      </c>
      <c r="P2404" s="198" t="s">
        <v>5810</v>
      </c>
    </row>
    <row r="2405" spans="1:16" ht="18.75" hidden="1">
      <c r="A2405" s="50" t="s">
        <v>5406</v>
      </c>
      <c r="B2405" s="50" t="s">
        <v>5331</v>
      </c>
      <c r="C2405" s="50" t="s">
        <v>5430</v>
      </c>
      <c r="D2405" s="50" t="s">
        <v>5046</v>
      </c>
      <c r="E2405" s="12" t="s">
        <v>4971</v>
      </c>
      <c r="F2405" s="49">
        <v>147020</v>
      </c>
      <c r="G2405" s="67" t="s">
        <v>5699</v>
      </c>
      <c r="H2405" s="14" t="s">
        <v>5601</v>
      </c>
      <c r="I2405" s="14" t="s">
        <v>2458</v>
      </c>
      <c r="J2405" s="33" t="s">
        <v>7110</v>
      </c>
      <c r="K2405" s="33" t="s">
        <v>5447</v>
      </c>
      <c r="L2405" s="68" t="s">
        <v>6054</v>
      </c>
      <c r="M2405" s="68" t="s">
        <v>8912</v>
      </c>
      <c r="N2405" s="68" t="s">
        <v>6061</v>
      </c>
      <c r="O2405" s="202">
        <v>55301</v>
      </c>
      <c r="P2405" s="198" t="s">
        <v>5776</v>
      </c>
    </row>
    <row r="2406" spans="1:16" ht="18.75" hidden="1">
      <c r="A2406" s="50" t="s">
        <v>5407</v>
      </c>
      <c r="B2406" s="50" t="s">
        <v>5331</v>
      </c>
      <c r="C2406" s="50" t="s">
        <v>5437</v>
      </c>
      <c r="D2406" s="50" t="s">
        <v>5412</v>
      </c>
      <c r="E2406" s="12" t="s">
        <v>4971</v>
      </c>
      <c r="F2406" s="49">
        <v>32239</v>
      </c>
      <c r="G2406" s="67" t="s">
        <v>5611</v>
      </c>
      <c r="H2406" s="14" t="s">
        <v>5601</v>
      </c>
      <c r="I2406" s="14" t="s">
        <v>2458</v>
      </c>
      <c r="J2406" s="33" t="s">
        <v>7110</v>
      </c>
      <c r="K2406" s="33" t="s">
        <v>5447</v>
      </c>
      <c r="L2406" s="68" t="s">
        <v>6054</v>
      </c>
      <c r="M2406" s="68" t="s">
        <v>8913</v>
      </c>
      <c r="N2406" s="68" t="s">
        <v>6061</v>
      </c>
      <c r="O2406" s="202">
        <v>55301</v>
      </c>
      <c r="P2406" s="198" t="s">
        <v>5810</v>
      </c>
    </row>
    <row r="2407" spans="1:16" ht="18.75" hidden="1">
      <c r="A2407" s="50" t="s">
        <v>5411</v>
      </c>
      <c r="B2407" s="50" t="s">
        <v>5418</v>
      </c>
      <c r="C2407" s="50" t="s">
        <v>5430</v>
      </c>
      <c r="D2407" s="50" t="s">
        <v>5046</v>
      </c>
      <c r="E2407" s="12" t="s">
        <v>4971</v>
      </c>
      <c r="F2407" s="49">
        <v>184750</v>
      </c>
      <c r="G2407" s="67" t="s">
        <v>5699</v>
      </c>
      <c r="H2407" s="14" t="s">
        <v>5601</v>
      </c>
      <c r="I2407" s="14" t="s">
        <v>2458</v>
      </c>
      <c r="J2407" s="33" t="s">
        <v>7110</v>
      </c>
      <c r="K2407" s="33" t="s">
        <v>5447</v>
      </c>
      <c r="L2407" s="68" t="s">
        <v>6054</v>
      </c>
      <c r="M2407" s="68" t="s">
        <v>8912</v>
      </c>
      <c r="N2407" s="68" t="s">
        <v>6061</v>
      </c>
      <c r="O2407" s="202">
        <v>55301</v>
      </c>
      <c r="P2407" s="198" t="s">
        <v>5776</v>
      </c>
    </row>
    <row r="2408" spans="1:16" ht="18.75" hidden="1">
      <c r="A2408" s="50" t="s">
        <v>5411</v>
      </c>
      <c r="B2408" s="50" t="s">
        <v>5418</v>
      </c>
      <c r="C2408" s="50" t="s">
        <v>4306</v>
      </c>
      <c r="D2408" s="50" t="s">
        <v>3834</v>
      </c>
      <c r="E2408" s="12" t="s">
        <v>3420</v>
      </c>
      <c r="F2408" s="49">
        <v>2000</v>
      </c>
      <c r="G2408" s="67" t="s">
        <v>5609</v>
      </c>
      <c r="H2408" s="14" t="s">
        <v>5601</v>
      </c>
      <c r="I2408" s="14" t="s">
        <v>2458</v>
      </c>
      <c r="J2408" s="33" t="s">
        <v>7110</v>
      </c>
      <c r="K2408" s="33" t="s">
        <v>5447</v>
      </c>
      <c r="L2408" s="68" t="s">
        <v>6054</v>
      </c>
      <c r="M2408" s="68" t="s">
        <v>8912</v>
      </c>
      <c r="N2408" s="68" t="s">
        <v>6061</v>
      </c>
      <c r="O2408" s="202">
        <v>55301</v>
      </c>
      <c r="P2408" s="198" t="s">
        <v>5674</v>
      </c>
    </row>
    <row r="2409" spans="1:16" ht="18.75" hidden="1">
      <c r="A2409" s="50" t="str">
        <f>"50100-8801829"</f>
        <v>50100-8801829</v>
      </c>
      <c r="B2409" s="50" t="str">
        <f>"96/03/21"</f>
        <v>96/03/21</v>
      </c>
      <c r="C2409" s="50" t="s">
        <v>5438</v>
      </c>
      <c r="D2409" s="50" t="s">
        <v>5364</v>
      </c>
      <c r="E2409" s="12" t="s">
        <v>4971</v>
      </c>
      <c r="F2409" s="49">
        <v>992880</v>
      </c>
      <c r="G2409" s="67" t="s">
        <v>5779</v>
      </c>
      <c r="H2409" s="14" t="s">
        <v>5601</v>
      </c>
      <c r="I2409" s="14" t="s">
        <v>2458</v>
      </c>
      <c r="J2409" s="33" t="e">
        <f>VLOOKUP(C2409,شرکتها!A:B,2,FALSE)</f>
        <v>#N/A</v>
      </c>
      <c r="K2409" s="33" t="s">
        <v>5447</v>
      </c>
      <c r="L2409" s="68" t="s">
        <v>8664</v>
      </c>
      <c r="M2409" s="68" t="s">
        <v>8912</v>
      </c>
      <c r="N2409" s="68" t="s">
        <v>8665</v>
      </c>
      <c r="O2409" s="202">
        <v>50101</v>
      </c>
      <c r="P2409" s="198" t="s">
        <v>5780</v>
      </c>
    </row>
    <row r="2410" spans="1:16" ht="18.75" hidden="1">
      <c r="A2410" s="50" t="str">
        <f>"50100-8844703"</f>
        <v>50100-8844703</v>
      </c>
      <c r="B2410" s="50" t="str">
        <f>"96/03/30"</f>
        <v>96/03/30</v>
      </c>
      <c r="C2410" s="50" t="s">
        <v>5439</v>
      </c>
      <c r="D2410" s="50" t="s">
        <v>5009</v>
      </c>
      <c r="E2410" s="12" t="s">
        <v>4971</v>
      </c>
      <c r="F2410" s="49">
        <v>500000</v>
      </c>
      <c r="G2410" s="67" t="s">
        <v>5609</v>
      </c>
      <c r="H2410" s="14" t="s">
        <v>5601</v>
      </c>
      <c r="I2410" s="14" t="s">
        <v>2458</v>
      </c>
      <c r="J2410" s="33" t="s">
        <v>7110</v>
      </c>
      <c r="K2410" s="33" t="s">
        <v>5447</v>
      </c>
      <c r="L2410" s="68" t="s">
        <v>6277</v>
      </c>
      <c r="M2410" s="68" t="s">
        <v>8912</v>
      </c>
      <c r="N2410" s="68" t="s">
        <v>8665</v>
      </c>
      <c r="O2410" s="202">
        <v>50101</v>
      </c>
      <c r="P2410" s="198" t="s">
        <v>5772</v>
      </c>
    </row>
    <row r="2411" spans="1:16" ht="18.75" hidden="1">
      <c r="A2411" s="50" t="str">
        <f>"50100-8827843"</f>
        <v>50100-8827843</v>
      </c>
      <c r="B2411" s="50" t="str">
        <f>"96/03/27"</f>
        <v>96/03/27</v>
      </c>
      <c r="C2411" s="50" t="s">
        <v>4934</v>
      </c>
      <c r="D2411" s="50" t="s">
        <v>4442</v>
      </c>
      <c r="E2411" s="12" t="s">
        <v>3420</v>
      </c>
      <c r="F2411" s="49">
        <v>100000</v>
      </c>
      <c r="G2411" s="67" t="s">
        <v>5609</v>
      </c>
      <c r="H2411" s="14" t="s">
        <v>5601</v>
      </c>
      <c r="I2411" s="14" t="s">
        <v>2458</v>
      </c>
      <c r="J2411" s="33" t="s">
        <v>7110</v>
      </c>
      <c r="K2411" s="33" t="s">
        <v>5447</v>
      </c>
      <c r="L2411" s="68" t="s">
        <v>8674</v>
      </c>
      <c r="M2411" s="68" t="s">
        <v>8912</v>
      </c>
      <c r="N2411" s="68" t="s">
        <v>8665</v>
      </c>
      <c r="O2411" s="202">
        <v>50101</v>
      </c>
      <c r="P2411" s="198" t="s">
        <v>5723</v>
      </c>
    </row>
    <row r="2412" spans="1:16" ht="18.75" hidden="1">
      <c r="A2412" s="50" t="str">
        <f>"50100-8827843"</f>
        <v>50100-8827843</v>
      </c>
      <c r="B2412" s="50" t="str">
        <f>"96/03/27"</f>
        <v>96/03/27</v>
      </c>
      <c r="C2412" s="50" t="s">
        <v>5440</v>
      </c>
      <c r="D2412" s="50" t="s">
        <v>5046</v>
      </c>
      <c r="E2412" s="12" t="s">
        <v>4971</v>
      </c>
      <c r="F2412" s="49">
        <v>401485</v>
      </c>
      <c r="G2412" s="67" t="s">
        <v>5609</v>
      </c>
      <c r="H2412" s="14" t="s">
        <v>5601</v>
      </c>
      <c r="I2412" s="14" t="s">
        <v>2458</v>
      </c>
      <c r="J2412" s="33" t="s">
        <v>7110</v>
      </c>
      <c r="K2412" s="33" t="s">
        <v>5447</v>
      </c>
      <c r="L2412" s="68" t="s">
        <v>8674</v>
      </c>
      <c r="M2412" s="68" t="s">
        <v>8912</v>
      </c>
      <c r="N2412" s="68" t="s">
        <v>8665</v>
      </c>
      <c r="O2412" s="202">
        <v>50101</v>
      </c>
      <c r="P2412" s="198" t="s">
        <v>5772</v>
      </c>
    </row>
    <row r="2413" spans="1:16" ht="18.75" hidden="1">
      <c r="A2413" s="50" t="str">
        <f>"50100-8827485"</f>
        <v>50100-8827485</v>
      </c>
      <c r="B2413" s="50" t="str">
        <f>"96/03/27"</f>
        <v>96/03/27</v>
      </c>
      <c r="C2413" s="50" t="s">
        <v>5441</v>
      </c>
      <c r="D2413" s="50" t="s">
        <v>5417</v>
      </c>
      <c r="E2413" s="12" t="s">
        <v>4971</v>
      </c>
      <c r="F2413" s="49">
        <v>19633</v>
      </c>
      <c r="G2413" s="67" t="s">
        <v>5779</v>
      </c>
      <c r="H2413" s="14" t="s">
        <v>5601</v>
      </c>
      <c r="I2413" s="14" t="s">
        <v>2458</v>
      </c>
      <c r="J2413" s="33" t="e">
        <f>VLOOKUP(C2413,شرکتها!A:B,2,FALSE)</f>
        <v>#N/A</v>
      </c>
      <c r="K2413" s="33" t="s">
        <v>5447</v>
      </c>
      <c r="L2413" s="68" t="s">
        <v>8678</v>
      </c>
      <c r="M2413" s="68" t="s">
        <v>8912</v>
      </c>
      <c r="N2413" s="68" t="s">
        <v>8665</v>
      </c>
      <c r="O2413" s="202">
        <v>50101</v>
      </c>
      <c r="P2413" s="198" t="s">
        <v>5780</v>
      </c>
    </row>
    <row r="2414" spans="1:16" ht="18.75" hidden="1">
      <c r="A2414" s="50" t="str">
        <f>"50100-8815951"</f>
        <v>50100-8815951</v>
      </c>
      <c r="B2414" s="50" t="str">
        <f>"96/03/23"</f>
        <v>96/03/23</v>
      </c>
      <c r="C2414" s="50" t="s">
        <v>5442</v>
      </c>
      <c r="D2414" s="50" t="s">
        <v>5161</v>
      </c>
      <c r="E2414" s="12" t="s">
        <v>4971</v>
      </c>
      <c r="F2414" s="49">
        <v>103400</v>
      </c>
      <c r="G2414" s="67" t="s">
        <v>5611</v>
      </c>
      <c r="H2414" s="14" t="s">
        <v>5601</v>
      </c>
      <c r="I2414" s="14" t="s">
        <v>2458</v>
      </c>
      <c r="J2414" s="33" t="s">
        <v>7110</v>
      </c>
      <c r="K2414" s="33" t="s">
        <v>5447</v>
      </c>
      <c r="L2414" s="68" t="s">
        <v>8666</v>
      </c>
      <c r="M2414" s="68" t="s">
        <v>8912</v>
      </c>
      <c r="N2414" s="68" t="s">
        <v>8665</v>
      </c>
      <c r="O2414" s="202">
        <v>50101</v>
      </c>
      <c r="P2414" s="198" t="s">
        <v>5762</v>
      </c>
    </row>
    <row r="2415" spans="1:16" ht="18.75" hidden="1">
      <c r="A2415" s="50" t="str">
        <f>"50100-8840292"</f>
        <v>50100-8840292</v>
      </c>
      <c r="B2415" s="50" t="str">
        <f>"96/03/29"</f>
        <v>96/03/29</v>
      </c>
      <c r="C2415" s="50" t="s">
        <v>5443</v>
      </c>
      <c r="D2415" s="50" t="s">
        <v>5417</v>
      </c>
      <c r="E2415" s="12" t="s">
        <v>4971</v>
      </c>
      <c r="F2415" s="49">
        <v>291889</v>
      </c>
      <c r="G2415" s="67" t="s">
        <v>5779</v>
      </c>
      <c r="H2415" s="14" t="s">
        <v>5601</v>
      </c>
      <c r="I2415" s="14" t="s">
        <v>2458</v>
      </c>
      <c r="J2415" s="33" t="e">
        <f>VLOOKUP(C2415,شرکتها!A:B,2,FALSE)</f>
        <v>#N/A</v>
      </c>
      <c r="K2415" s="33" t="s">
        <v>5447</v>
      </c>
      <c r="L2415" s="68" t="s">
        <v>8674</v>
      </c>
      <c r="M2415" s="68" t="s">
        <v>8912</v>
      </c>
      <c r="N2415" s="68" t="s">
        <v>8665</v>
      </c>
      <c r="O2415" s="202">
        <v>50101</v>
      </c>
      <c r="P2415" s="198" t="s">
        <v>5780</v>
      </c>
    </row>
    <row r="2416" spans="1:16" ht="18.75" hidden="1">
      <c r="A2416" s="50" t="str">
        <f>"50100-8777161"</f>
        <v>50100-8777161</v>
      </c>
      <c r="B2416" s="50" t="str">
        <f>"96/03/16"</f>
        <v>96/03/16</v>
      </c>
      <c r="C2416" s="50" t="s">
        <v>5291</v>
      </c>
      <c r="D2416" s="50" t="s">
        <v>5007</v>
      </c>
      <c r="E2416" s="12" t="s">
        <v>4971</v>
      </c>
      <c r="F2416" s="49">
        <v>111942</v>
      </c>
      <c r="G2416" s="67" t="s">
        <v>5611</v>
      </c>
      <c r="H2416" s="14" t="s">
        <v>5601</v>
      </c>
      <c r="I2416" s="14" t="s">
        <v>2458</v>
      </c>
      <c r="J2416" s="33" t="s">
        <v>7110</v>
      </c>
      <c r="K2416" s="33" t="s">
        <v>5447</v>
      </c>
      <c r="L2416" s="68" t="s">
        <v>8666</v>
      </c>
      <c r="M2416" s="68" t="s">
        <v>8912</v>
      </c>
      <c r="N2416" s="68" t="s">
        <v>8665</v>
      </c>
      <c r="O2416" s="202">
        <v>50101</v>
      </c>
      <c r="P2416" s="198" t="s">
        <v>5762</v>
      </c>
    </row>
    <row r="2417" spans="1:16" ht="18.75" hidden="1">
      <c r="A2417" s="50" t="str">
        <f>"50100-8777161"</f>
        <v>50100-8777161</v>
      </c>
      <c r="B2417" s="50" t="str">
        <f>"96/03/16"</f>
        <v>96/03/16</v>
      </c>
      <c r="C2417" s="50" t="s">
        <v>5442</v>
      </c>
      <c r="D2417" s="50" t="s">
        <v>5161</v>
      </c>
      <c r="E2417" s="12" t="s">
        <v>4971</v>
      </c>
      <c r="F2417" s="49">
        <v>34358</v>
      </c>
      <c r="G2417" s="67" t="s">
        <v>5611</v>
      </c>
      <c r="H2417" s="14" t="s">
        <v>5601</v>
      </c>
      <c r="I2417" s="14" t="s">
        <v>2458</v>
      </c>
      <c r="J2417" s="33" t="s">
        <v>7110</v>
      </c>
      <c r="K2417" s="33" t="s">
        <v>5447</v>
      </c>
      <c r="L2417" s="68" t="s">
        <v>8666</v>
      </c>
      <c r="M2417" s="68" t="s">
        <v>8912</v>
      </c>
      <c r="N2417" s="68" t="s">
        <v>8665</v>
      </c>
      <c r="O2417" s="202">
        <v>50101</v>
      </c>
      <c r="P2417" s="198" t="s">
        <v>5762</v>
      </c>
    </row>
    <row r="2418" spans="1:16" ht="18.75" hidden="1">
      <c r="A2418" s="50" t="str">
        <f>"50100-8778024"</f>
        <v>50100-8778024</v>
      </c>
      <c r="B2418" s="50" t="str">
        <f>"96/03/16"</f>
        <v>96/03/16</v>
      </c>
      <c r="C2418" s="50" t="s">
        <v>5444</v>
      </c>
      <c r="D2418" s="50" t="s">
        <v>5300</v>
      </c>
      <c r="E2418" s="12" t="s">
        <v>4971</v>
      </c>
      <c r="F2418" s="49">
        <v>499838</v>
      </c>
      <c r="G2418" s="67" t="s">
        <v>5744</v>
      </c>
      <c r="H2418" s="14" t="s">
        <v>5601</v>
      </c>
      <c r="I2418" s="14" t="s">
        <v>2458</v>
      </c>
      <c r="J2418" s="33" t="s">
        <v>7110</v>
      </c>
      <c r="K2418" s="33" t="s">
        <v>5447</v>
      </c>
      <c r="L2418" s="68" t="s">
        <v>8676</v>
      </c>
      <c r="M2418" s="68" t="s">
        <v>8912</v>
      </c>
      <c r="N2418" s="68" t="s">
        <v>8665</v>
      </c>
      <c r="O2418" s="202">
        <v>50101</v>
      </c>
      <c r="P2418" s="198" t="s">
        <v>5808</v>
      </c>
    </row>
    <row r="2419" spans="1:16" ht="18.75" hidden="1">
      <c r="A2419" s="50" t="str">
        <f>"50100-8791761"</f>
        <v>50100-8791761</v>
      </c>
      <c r="B2419" s="50" t="str">
        <f>"96/03/18"</f>
        <v>96/03/18</v>
      </c>
      <c r="C2419" s="50" t="s">
        <v>5445</v>
      </c>
      <c r="D2419" s="50" t="s">
        <v>5415</v>
      </c>
      <c r="E2419" s="12" t="s">
        <v>4971</v>
      </c>
      <c r="F2419" s="49">
        <v>1064261</v>
      </c>
      <c r="G2419" s="67" t="s">
        <v>5779</v>
      </c>
      <c r="H2419" s="14" t="s">
        <v>5601</v>
      </c>
      <c r="I2419" s="14" t="s">
        <v>2458</v>
      </c>
      <c r="J2419" s="33" t="e">
        <f>VLOOKUP(C2419,شرکتها!A:B,2,FALSE)</f>
        <v>#N/A</v>
      </c>
      <c r="K2419" s="33" t="s">
        <v>5447</v>
      </c>
      <c r="L2419" s="68" t="s">
        <v>8670</v>
      </c>
      <c r="M2419" s="68" t="s">
        <v>8913</v>
      </c>
      <c r="N2419" s="68" t="s">
        <v>8665</v>
      </c>
      <c r="O2419" s="202">
        <v>50101</v>
      </c>
      <c r="P2419" s="198" t="s">
        <v>5783</v>
      </c>
    </row>
    <row r="2420" spans="1:16" ht="18.75" hidden="1">
      <c r="A2420" s="50" t="str">
        <f>"50100-8840472"</f>
        <v>50100-8840472</v>
      </c>
      <c r="B2420" s="50" t="str">
        <f>"96/03/29"</f>
        <v>96/03/29</v>
      </c>
      <c r="C2420" s="50" t="s">
        <v>5446</v>
      </c>
      <c r="D2420" s="50" t="s">
        <v>5417</v>
      </c>
      <c r="E2420" s="12" t="s">
        <v>4971</v>
      </c>
      <c r="F2420" s="49">
        <v>295547</v>
      </c>
      <c r="G2420" s="67" t="s">
        <v>5779</v>
      </c>
      <c r="H2420" s="14" t="s">
        <v>5601</v>
      </c>
      <c r="I2420" s="14" t="s">
        <v>2458</v>
      </c>
      <c r="J2420" s="33" t="e">
        <f>VLOOKUP(C2420,شرکتها!A:B,2,FALSE)</f>
        <v>#N/A</v>
      </c>
      <c r="K2420" s="33" t="s">
        <v>5447</v>
      </c>
      <c r="L2420" s="68" t="s">
        <v>8674</v>
      </c>
      <c r="M2420" s="68" t="s">
        <v>8912</v>
      </c>
      <c r="N2420" s="68" t="s">
        <v>8665</v>
      </c>
      <c r="O2420" s="202">
        <v>50101</v>
      </c>
      <c r="P2420" s="198" t="s">
        <v>5780</v>
      </c>
    </row>
    <row r="2421" spans="1:16" ht="18.75" hidden="1">
      <c r="A2421" s="50" t="str">
        <f>"50100-8870942"</f>
        <v>50100-8870942</v>
      </c>
      <c r="B2421" s="50" t="str">
        <f>"96/04/07"</f>
        <v>96/04/07</v>
      </c>
      <c r="C2421" s="50" t="s">
        <v>5442</v>
      </c>
      <c r="D2421" s="50" t="s">
        <v>5161</v>
      </c>
      <c r="E2421" s="12" t="s">
        <v>4971</v>
      </c>
      <c r="F2421" s="49">
        <v>164560</v>
      </c>
      <c r="G2421" s="67" t="s">
        <v>5611</v>
      </c>
      <c r="H2421" s="14" t="s">
        <v>5601</v>
      </c>
      <c r="I2421" s="14" t="s">
        <v>2458</v>
      </c>
      <c r="J2421" s="33" t="s">
        <v>7110</v>
      </c>
      <c r="K2421" s="33" t="s">
        <v>5460</v>
      </c>
      <c r="L2421" s="68" t="s">
        <v>8666</v>
      </c>
      <c r="M2421" s="68" t="s">
        <v>8912</v>
      </c>
      <c r="N2421" s="68" t="s">
        <v>8665</v>
      </c>
      <c r="O2421" s="202">
        <v>50101</v>
      </c>
      <c r="P2421" s="198" t="s">
        <v>5762</v>
      </c>
    </row>
    <row r="2422" spans="1:16" ht="18.75" hidden="1">
      <c r="A2422" s="50" t="str">
        <f>"50100-8857109"</f>
        <v>50100-8857109</v>
      </c>
      <c r="B2422" s="50" t="str">
        <f>"96/04/03"</f>
        <v>96/04/03</v>
      </c>
      <c r="C2422" s="50" t="s">
        <v>5448</v>
      </c>
      <c r="D2422" s="50" t="s">
        <v>5457</v>
      </c>
      <c r="E2422" s="12" t="s">
        <v>4971</v>
      </c>
      <c r="F2422" s="49">
        <v>1050067</v>
      </c>
      <c r="G2422" s="67" t="s">
        <v>5779</v>
      </c>
      <c r="H2422" s="14" t="s">
        <v>5601</v>
      </c>
      <c r="I2422" s="14" t="s">
        <v>2458</v>
      </c>
      <c r="J2422" s="33" t="e">
        <f>VLOOKUP(C2422,شرکتها!A:B,2,FALSE)</f>
        <v>#N/A</v>
      </c>
      <c r="K2422" s="33" t="s">
        <v>5460</v>
      </c>
      <c r="L2422" s="68" t="s">
        <v>8670</v>
      </c>
      <c r="M2422" s="68" t="s">
        <v>8913</v>
      </c>
      <c r="N2422" s="68" t="s">
        <v>8665</v>
      </c>
      <c r="O2422" s="202">
        <v>50101</v>
      </c>
      <c r="P2422" s="198" t="s">
        <v>5809</v>
      </c>
    </row>
    <row r="2423" spans="1:16" ht="18.75" hidden="1">
      <c r="A2423" s="50" t="str">
        <f>"50100-8882948"</f>
        <v>50100-8882948</v>
      </c>
      <c r="B2423" s="50" t="str">
        <f>"96/04/10"</f>
        <v>96/04/10</v>
      </c>
      <c r="C2423" s="50" t="s">
        <v>5284</v>
      </c>
      <c r="D2423" s="50" t="s">
        <v>5161</v>
      </c>
      <c r="E2423" s="12" t="s">
        <v>4971</v>
      </c>
      <c r="F2423" s="49">
        <v>7858</v>
      </c>
      <c r="G2423" s="67" t="s">
        <v>5611</v>
      </c>
      <c r="H2423" s="14" t="s">
        <v>5601</v>
      </c>
      <c r="I2423" s="14" t="s">
        <v>2458</v>
      </c>
      <c r="J2423" s="33" t="s">
        <v>7110</v>
      </c>
      <c r="K2423" s="33" t="s">
        <v>5460</v>
      </c>
      <c r="L2423" s="68" t="s">
        <v>8676</v>
      </c>
      <c r="M2423" s="68" t="s">
        <v>8912</v>
      </c>
      <c r="N2423" s="68" t="s">
        <v>8665</v>
      </c>
      <c r="O2423" s="202">
        <v>50101</v>
      </c>
      <c r="P2423" s="198" t="s">
        <v>5762</v>
      </c>
    </row>
    <row r="2424" spans="1:16" ht="18.75" hidden="1">
      <c r="A2424" s="50" t="str">
        <f>"50100-8882948"</f>
        <v>50100-8882948</v>
      </c>
      <c r="B2424" s="50" t="str">
        <f>"96/04/10"</f>
        <v>96/04/10</v>
      </c>
      <c r="C2424" s="50" t="s">
        <v>5449</v>
      </c>
      <c r="D2424" s="50" t="s">
        <v>5331</v>
      </c>
      <c r="E2424" s="12" t="s">
        <v>4971</v>
      </c>
      <c r="F2424" s="49">
        <v>500000</v>
      </c>
      <c r="G2424" s="67" t="s">
        <v>5744</v>
      </c>
      <c r="H2424" s="14" t="s">
        <v>5601</v>
      </c>
      <c r="I2424" s="14" t="s">
        <v>2458</v>
      </c>
      <c r="J2424" s="33" t="s">
        <v>7110</v>
      </c>
      <c r="K2424" s="33" t="s">
        <v>5460</v>
      </c>
      <c r="L2424" s="68" t="s">
        <v>8676</v>
      </c>
      <c r="M2424" s="68" t="s">
        <v>8912</v>
      </c>
      <c r="N2424" s="68" t="s">
        <v>8665</v>
      </c>
      <c r="O2424" s="202">
        <v>50101</v>
      </c>
      <c r="P2424" s="198" t="s">
        <v>5812</v>
      </c>
    </row>
    <row r="2425" spans="1:16" ht="18.75" hidden="1">
      <c r="A2425" s="50" t="str">
        <f>"50100-8857358"</f>
        <v>50100-8857358</v>
      </c>
      <c r="B2425" s="50" t="str">
        <f>"96/04/03"</f>
        <v>96/04/03</v>
      </c>
      <c r="C2425" s="50" t="s">
        <v>5450</v>
      </c>
      <c r="D2425" s="50" t="s">
        <v>5457</v>
      </c>
      <c r="E2425" s="12" t="s">
        <v>4971</v>
      </c>
      <c r="F2425" s="49">
        <v>4097271</v>
      </c>
      <c r="G2425" s="67" t="s">
        <v>5779</v>
      </c>
      <c r="H2425" s="14" t="s">
        <v>5601</v>
      </c>
      <c r="I2425" s="14" t="s">
        <v>2458</v>
      </c>
      <c r="J2425" s="33" t="e">
        <f>VLOOKUP(C2425,شرکتها!A:B,2,FALSE)</f>
        <v>#N/A</v>
      </c>
      <c r="K2425" s="33" t="s">
        <v>5460</v>
      </c>
      <c r="L2425" s="68" t="s">
        <v>8670</v>
      </c>
      <c r="M2425" s="68" t="s">
        <v>8913</v>
      </c>
      <c r="N2425" s="68" t="s">
        <v>8665</v>
      </c>
      <c r="O2425" s="202">
        <v>50101</v>
      </c>
      <c r="P2425" s="198" t="s">
        <v>5809</v>
      </c>
    </row>
    <row r="2426" spans="1:16" ht="18.75" hidden="1">
      <c r="A2426" s="50" t="str">
        <f>"50100-8872712"</f>
        <v>50100-8872712</v>
      </c>
      <c r="B2426" s="50" t="str">
        <f>"96/04/07"</f>
        <v>96/04/07</v>
      </c>
      <c r="C2426" s="50" t="s">
        <v>5451</v>
      </c>
      <c r="D2426" s="50" t="s">
        <v>5458</v>
      </c>
      <c r="E2426" s="12" t="s">
        <v>4971</v>
      </c>
      <c r="F2426" s="49">
        <v>2498556</v>
      </c>
      <c r="G2426" s="67" t="s">
        <v>5779</v>
      </c>
      <c r="H2426" s="14" t="s">
        <v>5601</v>
      </c>
      <c r="I2426" s="14" t="s">
        <v>2458</v>
      </c>
      <c r="J2426" s="33" t="e">
        <f>VLOOKUP(C2426,شرکتها!A:B,2,FALSE)</f>
        <v>#N/A</v>
      </c>
      <c r="K2426" s="33" t="s">
        <v>5460</v>
      </c>
      <c r="L2426" s="68" t="s">
        <v>6284</v>
      </c>
      <c r="M2426" s="68" t="s">
        <v>8913</v>
      </c>
      <c r="N2426" s="68" t="s">
        <v>8665</v>
      </c>
      <c r="O2426" s="202">
        <v>50101</v>
      </c>
      <c r="P2426" s="198" t="s">
        <v>5809</v>
      </c>
    </row>
    <row r="2427" spans="1:16" ht="18.75" hidden="1">
      <c r="A2427" s="50" t="str">
        <f>"50100-8872627"</f>
        <v>50100-8872627</v>
      </c>
      <c r="B2427" s="50" t="str">
        <f>"96/04/07"</f>
        <v>96/04/07</v>
      </c>
      <c r="C2427" s="50" t="s">
        <v>5452</v>
      </c>
      <c r="D2427" s="50" t="s">
        <v>5458</v>
      </c>
      <c r="E2427" s="12" t="s">
        <v>4971</v>
      </c>
      <c r="F2427" s="49">
        <v>900000</v>
      </c>
      <c r="G2427" s="67" t="s">
        <v>5779</v>
      </c>
      <c r="H2427" s="14" t="s">
        <v>5601</v>
      </c>
      <c r="I2427" s="14" t="s">
        <v>2458</v>
      </c>
      <c r="J2427" s="33" t="e">
        <f>VLOOKUP(C2427,شرکتها!A:B,2,FALSE)</f>
        <v>#N/A</v>
      </c>
      <c r="K2427" s="33" t="s">
        <v>5460</v>
      </c>
      <c r="L2427" s="68" t="s">
        <v>8670</v>
      </c>
      <c r="M2427" s="68" t="s">
        <v>8913</v>
      </c>
      <c r="N2427" s="68" t="s">
        <v>8665</v>
      </c>
      <c r="O2427" s="202">
        <v>50101</v>
      </c>
      <c r="P2427" s="198" t="s">
        <v>5809</v>
      </c>
    </row>
    <row r="2428" spans="1:16" ht="18.75" hidden="1">
      <c r="A2428" s="50" t="str">
        <f>"50100-8861708"</f>
        <v>50100-8861708</v>
      </c>
      <c r="B2428" s="50" t="str">
        <f>"96/04/03"</f>
        <v>96/04/03</v>
      </c>
      <c r="C2428" s="50" t="s">
        <v>5453</v>
      </c>
      <c r="D2428" s="50" t="s">
        <v>5413</v>
      </c>
      <c r="E2428" s="12" t="s">
        <v>4971</v>
      </c>
      <c r="F2428" s="49">
        <v>989022</v>
      </c>
      <c r="G2428" s="67" t="s">
        <v>5744</v>
      </c>
      <c r="H2428" s="14" t="s">
        <v>5601</v>
      </c>
      <c r="I2428" s="14" t="s">
        <v>2458</v>
      </c>
      <c r="J2428" s="33" t="s">
        <v>7110</v>
      </c>
      <c r="K2428" s="33" t="s">
        <v>5460</v>
      </c>
      <c r="L2428" s="68" t="s">
        <v>8676</v>
      </c>
      <c r="M2428" s="68" t="s">
        <v>8912</v>
      </c>
      <c r="N2428" s="68" t="s">
        <v>8665</v>
      </c>
      <c r="O2428" s="202">
        <v>50101</v>
      </c>
      <c r="P2428" s="198" t="s">
        <v>5811</v>
      </c>
    </row>
    <row r="2429" spans="1:16" ht="18.75" hidden="1">
      <c r="A2429" s="50" t="str">
        <f>"50100-8906060"</f>
        <v>50100-8906060</v>
      </c>
      <c r="B2429" s="50" t="str">
        <f>"96/04/14"</f>
        <v>96/04/14</v>
      </c>
      <c r="C2429" s="50" t="s">
        <v>5454</v>
      </c>
      <c r="D2429" s="50" t="s">
        <v>5046</v>
      </c>
      <c r="E2429" s="12" t="s">
        <v>4971</v>
      </c>
      <c r="F2429" s="49">
        <v>975180</v>
      </c>
      <c r="G2429" s="67" t="s">
        <v>5611</v>
      </c>
      <c r="H2429" s="14" t="s">
        <v>5601</v>
      </c>
      <c r="I2429" s="14" t="s">
        <v>2458</v>
      </c>
      <c r="J2429" s="33" t="s">
        <v>7110</v>
      </c>
      <c r="K2429" s="33" t="s">
        <v>5460</v>
      </c>
      <c r="L2429" s="68" t="s">
        <v>6283</v>
      </c>
      <c r="M2429" s="68" t="s">
        <v>8912</v>
      </c>
      <c r="N2429" s="68" t="s">
        <v>8665</v>
      </c>
      <c r="O2429" s="202">
        <v>50101</v>
      </c>
      <c r="P2429" s="198" t="s">
        <v>5758</v>
      </c>
    </row>
    <row r="2430" spans="1:16" ht="18.75" hidden="1">
      <c r="A2430" s="50" t="str">
        <f>"50100-8905251"</f>
        <v>50100-8905251</v>
      </c>
      <c r="B2430" s="50" t="str">
        <f>"96/04/14"</f>
        <v>96/04/14</v>
      </c>
      <c r="C2430" s="50" t="s">
        <v>5455</v>
      </c>
      <c r="D2430" s="50" t="s">
        <v>5459</v>
      </c>
      <c r="E2430" s="12" t="s">
        <v>4971</v>
      </c>
      <c r="F2430" s="49">
        <v>975499</v>
      </c>
      <c r="G2430" s="67" t="s">
        <v>5779</v>
      </c>
      <c r="H2430" s="14" t="s">
        <v>5601</v>
      </c>
      <c r="I2430" s="14" t="s">
        <v>2458</v>
      </c>
      <c r="J2430" s="33" t="e">
        <f>VLOOKUP(C2430,شرکتها!A:B,2,FALSE)</f>
        <v>#N/A</v>
      </c>
      <c r="K2430" s="33" t="s">
        <v>5460</v>
      </c>
      <c r="L2430" s="68" t="s">
        <v>6284</v>
      </c>
      <c r="M2430" s="68" t="s">
        <v>8913</v>
      </c>
      <c r="N2430" s="68" t="s">
        <v>8665</v>
      </c>
      <c r="O2430" s="202">
        <v>50101</v>
      </c>
      <c r="P2430" s="198" t="s">
        <v>5817</v>
      </c>
    </row>
    <row r="2431" spans="1:16" ht="18.75" hidden="1">
      <c r="A2431" s="50" t="str">
        <f>"50100-8872627"</f>
        <v>50100-8872627</v>
      </c>
      <c r="B2431" s="50" t="str">
        <f>"96/04/07"</f>
        <v>96/04/07</v>
      </c>
      <c r="C2431" s="50" t="s">
        <v>5456</v>
      </c>
      <c r="D2431" s="50" t="s">
        <v>5458</v>
      </c>
      <c r="E2431" s="12" t="s">
        <v>4971</v>
      </c>
      <c r="F2431" s="49">
        <v>171326</v>
      </c>
      <c r="G2431" s="67" t="s">
        <v>5779</v>
      </c>
      <c r="H2431" s="14" t="s">
        <v>5601</v>
      </c>
      <c r="I2431" s="14" t="s">
        <v>2458</v>
      </c>
      <c r="J2431" s="33" t="e">
        <f>VLOOKUP(C2431,شرکتها!A:B,2,FALSE)</f>
        <v>#N/A</v>
      </c>
      <c r="K2431" s="33" t="s">
        <v>5460</v>
      </c>
      <c r="L2431" s="68" t="s">
        <v>8670</v>
      </c>
      <c r="M2431" s="68" t="s">
        <v>8913</v>
      </c>
      <c r="N2431" s="68" t="s">
        <v>8665</v>
      </c>
      <c r="O2431" s="202">
        <v>50101</v>
      </c>
      <c r="P2431" s="198" t="s">
        <v>5782</v>
      </c>
    </row>
    <row r="2432" spans="1:16" ht="18.75" hidden="1">
      <c r="A2432" s="50" t="s">
        <v>5465</v>
      </c>
      <c r="B2432" s="50" t="s">
        <v>5478</v>
      </c>
      <c r="C2432" s="50" t="s">
        <v>5484</v>
      </c>
      <c r="D2432" s="50" t="s">
        <v>5478</v>
      </c>
      <c r="E2432" s="12" t="s">
        <v>4971</v>
      </c>
      <c r="F2432" s="49">
        <v>1045742</v>
      </c>
      <c r="G2432" s="67" t="s">
        <v>5779</v>
      </c>
      <c r="H2432" s="14" t="s">
        <v>5601</v>
      </c>
      <c r="I2432" s="14" t="s">
        <v>2458</v>
      </c>
      <c r="J2432" s="33" t="e">
        <f>VLOOKUP(C2432,شرکتها!A:B,2,FALSE)</f>
        <v>#N/A</v>
      </c>
      <c r="K2432" s="33" t="s">
        <v>5496</v>
      </c>
      <c r="L2432" s="68" t="s">
        <v>8670</v>
      </c>
      <c r="M2432" s="68" t="s">
        <v>8913</v>
      </c>
      <c r="N2432" s="68" t="s">
        <v>8665</v>
      </c>
      <c r="O2432" s="202">
        <v>50101</v>
      </c>
      <c r="P2432" s="198" t="s">
        <v>5817</v>
      </c>
    </row>
    <row r="2433" spans="1:16" ht="18.75" hidden="1">
      <c r="A2433" s="50" t="s">
        <v>5466</v>
      </c>
      <c r="B2433" s="50" t="s">
        <v>5479</v>
      </c>
      <c r="C2433" s="50" t="s">
        <v>5454</v>
      </c>
      <c r="D2433" s="50" t="s">
        <v>5046</v>
      </c>
      <c r="E2433" s="12" t="s">
        <v>4971</v>
      </c>
      <c r="F2433" s="49">
        <v>492860</v>
      </c>
      <c r="G2433" s="67" t="s">
        <v>5611</v>
      </c>
      <c r="H2433" s="14" t="s">
        <v>5601</v>
      </c>
      <c r="I2433" s="14" t="s">
        <v>2458</v>
      </c>
      <c r="J2433" s="33" t="s">
        <v>7110</v>
      </c>
      <c r="K2433" s="33" t="s">
        <v>5496</v>
      </c>
      <c r="L2433" s="68" t="s">
        <v>8676</v>
      </c>
      <c r="M2433" s="68" t="s">
        <v>8912</v>
      </c>
      <c r="N2433" s="68" t="s">
        <v>8665</v>
      </c>
      <c r="O2433" s="202">
        <v>50101</v>
      </c>
      <c r="P2433" s="198" t="s">
        <v>5758</v>
      </c>
    </row>
    <row r="2434" spans="1:16" ht="18.75" hidden="1">
      <c r="A2434" s="50" t="s">
        <v>5467</v>
      </c>
      <c r="B2434" s="50" t="s">
        <v>5480</v>
      </c>
      <c r="C2434" s="50" t="s">
        <v>5485</v>
      </c>
      <c r="D2434" s="50" t="s">
        <v>5169</v>
      </c>
      <c r="E2434" s="12" t="s">
        <v>4971</v>
      </c>
      <c r="F2434" s="49">
        <v>100000</v>
      </c>
      <c r="G2434" s="67" t="s">
        <v>5609</v>
      </c>
      <c r="H2434" s="14" t="s">
        <v>5601</v>
      </c>
      <c r="I2434" s="14" t="s">
        <v>2458</v>
      </c>
      <c r="J2434" s="33" t="s">
        <v>7110</v>
      </c>
      <c r="K2434" s="33" t="s">
        <v>5496</v>
      </c>
      <c r="L2434" s="68" t="s">
        <v>8674</v>
      </c>
      <c r="M2434" s="68" t="s">
        <v>8912</v>
      </c>
      <c r="N2434" s="68" t="s">
        <v>8665</v>
      </c>
      <c r="O2434" s="202">
        <v>50101</v>
      </c>
      <c r="P2434" s="198" t="s">
        <v>5793</v>
      </c>
    </row>
    <row r="2435" spans="1:16" ht="18.75" hidden="1">
      <c r="A2435" s="50" t="s">
        <v>5468</v>
      </c>
      <c r="B2435" s="50" t="s">
        <v>5481</v>
      </c>
      <c r="C2435" s="50" t="s">
        <v>5486</v>
      </c>
      <c r="D2435" s="50" t="s">
        <v>5480</v>
      </c>
      <c r="E2435" s="12" t="s">
        <v>4971</v>
      </c>
      <c r="F2435" s="49">
        <v>93637</v>
      </c>
      <c r="G2435" s="67" t="s">
        <v>5779</v>
      </c>
      <c r="H2435" s="14" t="s">
        <v>5602</v>
      </c>
      <c r="I2435" s="14" t="s">
        <v>2458</v>
      </c>
      <c r="J2435" s="33" t="e">
        <f>VLOOKUP(C2435,شرکتها!A:B,2,FALSE)</f>
        <v>#N/A</v>
      </c>
      <c r="K2435" s="33" t="s">
        <v>5496</v>
      </c>
      <c r="L2435" s="68" t="s">
        <v>8670</v>
      </c>
      <c r="M2435" s="68" t="s">
        <v>8913</v>
      </c>
      <c r="N2435" s="68" t="s">
        <v>8665</v>
      </c>
      <c r="O2435" s="202">
        <v>50101</v>
      </c>
      <c r="P2435" s="198" t="s">
        <v>5783</v>
      </c>
    </row>
    <row r="2436" spans="1:16" ht="18.75" hidden="1">
      <c r="A2436" s="50" t="s">
        <v>5468</v>
      </c>
      <c r="B2436" s="50" t="s">
        <v>5481</v>
      </c>
      <c r="C2436" s="50" t="s">
        <v>5487</v>
      </c>
      <c r="D2436" s="50" t="s">
        <v>5480</v>
      </c>
      <c r="E2436" s="12" t="s">
        <v>4971</v>
      </c>
      <c r="F2436" s="49">
        <v>4000000</v>
      </c>
      <c r="G2436" s="67" t="s">
        <v>5604</v>
      </c>
      <c r="H2436" s="14" t="s">
        <v>5602</v>
      </c>
      <c r="I2436" s="14" t="s">
        <v>2458</v>
      </c>
      <c r="J2436" s="33" t="s">
        <v>7110</v>
      </c>
      <c r="K2436" s="33" t="s">
        <v>5496</v>
      </c>
      <c r="L2436" s="68" t="s">
        <v>8670</v>
      </c>
      <c r="M2436" s="68" t="s">
        <v>8913</v>
      </c>
      <c r="N2436" s="68" t="s">
        <v>8665</v>
      </c>
      <c r="O2436" s="202">
        <v>50101</v>
      </c>
      <c r="P2436" s="198" t="s">
        <v>5824</v>
      </c>
    </row>
    <row r="2437" spans="1:16" ht="18.75" hidden="1">
      <c r="A2437" s="50" t="s">
        <v>5469</v>
      </c>
      <c r="B2437" s="50" t="s">
        <v>5482</v>
      </c>
      <c r="C2437" s="50" t="s">
        <v>5488</v>
      </c>
      <c r="D2437" s="50" t="s">
        <v>5046</v>
      </c>
      <c r="E2437" s="12" t="s">
        <v>4971</v>
      </c>
      <c r="F2437" s="49">
        <v>1497225</v>
      </c>
      <c r="G2437" s="67" t="s">
        <v>5609</v>
      </c>
      <c r="H2437" s="14" t="s">
        <v>5601</v>
      </c>
      <c r="I2437" s="14" t="s">
        <v>2458</v>
      </c>
      <c r="J2437" s="33" t="s">
        <v>7110</v>
      </c>
      <c r="K2437" s="33" t="s">
        <v>5496</v>
      </c>
      <c r="L2437" s="68" t="s">
        <v>8673</v>
      </c>
      <c r="M2437" s="68" t="s">
        <v>8912</v>
      </c>
      <c r="N2437" s="68" t="s">
        <v>8665</v>
      </c>
      <c r="O2437" s="202">
        <v>50101</v>
      </c>
      <c r="P2437" s="198" t="s">
        <v>5772</v>
      </c>
    </row>
    <row r="2438" spans="1:16" ht="18.75" hidden="1">
      <c r="A2438" s="50" t="s">
        <v>5470</v>
      </c>
      <c r="B2438" s="50" t="s">
        <v>5460</v>
      </c>
      <c r="C2438" s="50" t="s">
        <v>5489</v>
      </c>
      <c r="D2438" s="50" t="s">
        <v>5012</v>
      </c>
      <c r="E2438" s="12" t="s">
        <v>4971</v>
      </c>
      <c r="F2438" s="49">
        <v>499725</v>
      </c>
      <c r="G2438" s="67" t="s">
        <v>5609</v>
      </c>
      <c r="H2438" s="14" t="s">
        <v>5601</v>
      </c>
      <c r="I2438" s="14" t="s">
        <v>2458</v>
      </c>
      <c r="J2438" s="33" t="s">
        <v>7110</v>
      </c>
      <c r="K2438" s="33" t="s">
        <v>5496</v>
      </c>
      <c r="L2438" s="68" t="s">
        <v>8679</v>
      </c>
      <c r="M2438" s="68" t="s">
        <v>8912</v>
      </c>
      <c r="N2438" s="68" t="s">
        <v>8665</v>
      </c>
      <c r="O2438" s="202">
        <v>50101</v>
      </c>
      <c r="P2438" s="198" t="s">
        <v>5793</v>
      </c>
    </row>
    <row r="2439" spans="1:16" ht="18.75" hidden="1">
      <c r="A2439" s="50" t="s">
        <v>5471</v>
      </c>
      <c r="B2439" s="50" t="s">
        <v>5478</v>
      </c>
      <c r="C2439" s="50" t="s">
        <v>5490</v>
      </c>
      <c r="D2439" s="50" t="s">
        <v>5478</v>
      </c>
      <c r="E2439" s="12" t="s">
        <v>4971</v>
      </c>
      <c r="F2439" s="49">
        <v>2487017</v>
      </c>
      <c r="G2439" s="67" t="s">
        <v>5779</v>
      </c>
      <c r="H2439" s="14" t="s">
        <v>5601</v>
      </c>
      <c r="I2439" s="14" t="s">
        <v>2458</v>
      </c>
      <c r="J2439" s="33" t="e">
        <f>VLOOKUP(C2439,شرکتها!A:B,2,FALSE)</f>
        <v>#N/A</v>
      </c>
      <c r="K2439" s="33" t="s">
        <v>5496</v>
      </c>
      <c r="L2439" s="68" t="s">
        <v>6284</v>
      </c>
      <c r="M2439" s="68" t="s">
        <v>8913</v>
      </c>
      <c r="N2439" s="68" t="s">
        <v>8665</v>
      </c>
      <c r="O2439" s="202">
        <v>50101</v>
      </c>
      <c r="P2439" s="198" t="s">
        <v>5817</v>
      </c>
    </row>
    <row r="2440" spans="1:16" ht="18.75" hidden="1">
      <c r="A2440" s="50" t="s">
        <v>5472</v>
      </c>
      <c r="B2440" s="50" t="s">
        <v>5483</v>
      </c>
      <c r="C2440" s="50" t="s">
        <v>5440</v>
      </c>
      <c r="D2440" s="50" t="s">
        <v>5046</v>
      </c>
      <c r="E2440" s="12" t="s">
        <v>4971</v>
      </c>
      <c r="F2440" s="49">
        <v>294278</v>
      </c>
      <c r="G2440" s="67" t="s">
        <v>5609</v>
      </c>
      <c r="H2440" s="14" t="s">
        <v>5601</v>
      </c>
      <c r="I2440" s="14" t="s">
        <v>2458</v>
      </c>
      <c r="J2440" s="33" t="s">
        <v>7110</v>
      </c>
      <c r="K2440" s="33" t="s">
        <v>5496</v>
      </c>
      <c r="L2440" s="68" t="s">
        <v>6283</v>
      </c>
      <c r="M2440" s="68" t="s">
        <v>8912</v>
      </c>
      <c r="N2440" s="68" t="s">
        <v>8665</v>
      </c>
      <c r="O2440" s="202">
        <v>50101</v>
      </c>
      <c r="P2440" s="198" t="s">
        <v>5772</v>
      </c>
    </row>
    <row r="2441" spans="1:16" ht="18.75" hidden="1">
      <c r="A2441" s="50" t="s">
        <v>5473</v>
      </c>
      <c r="B2441" s="50" t="s">
        <v>5478</v>
      </c>
      <c r="C2441" s="50" t="s">
        <v>5491</v>
      </c>
      <c r="D2441" s="50" t="s">
        <v>5478</v>
      </c>
      <c r="E2441" s="12" t="s">
        <v>4971</v>
      </c>
      <c r="F2441" s="49">
        <v>1424581</v>
      </c>
      <c r="G2441" s="67" t="s">
        <v>5779</v>
      </c>
      <c r="H2441" s="14" t="s">
        <v>5601</v>
      </c>
      <c r="I2441" s="14" t="s">
        <v>2458</v>
      </c>
      <c r="J2441" s="33" t="e">
        <f>VLOOKUP(C2441,شرکتها!A:B,2,FALSE)</f>
        <v>#N/A</v>
      </c>
      <c r="K2441" s="33" t="s">
        <v>5496</v>
      </c>
      <c r="L2441" s="68" t="s">
        <v>6284</v>
      </c>
      <c r="M2441" s="68" t="s">
        <v>8913</v>
      </c>
      <c r="N2441" s="68" t="s">
        <v>8665</v>
      </c>
      <c r="O2441" s="202">
        <v>50101</v>
      </c>
      <c r="P2441" s="198" t="s">
        <v>5817</v>
      </c>
    </row>
    <row r="2442" spans="1:16" ht="18.75" hidden="1">
      <c r="A2442" s="50" t="s">
        <v>5467</v>
      </c>
      <c r="B2442" s="50" t="s">
        <v>5480</v>
      </c>
      <c r="C2442" s="50" t="s">
        <v>5440</v>
      </c>
      <c r="D2442" s="50" t="s">
        <v>5046</v>
      </c>
      <c r="E2442" s="12" t="s">
        <v>4971</v>
      </c>
      <c r="F2442" s="49">
        <v>376650</v>
      </c>
      <c r="G2442" s="67" t="s">
        <v>5609</v>
      </c>
      <c r="H2442" s="14" t="s">
        <v>5601</v>
      </c>
      <c r="I2442" s="14" t="s">
        <v>2458</v>
      </c>
      <c r="J2442" s="33" t="s">
        <v>7110</v>
      </c>
      <c r="K2442" s="33" t="s">
        <v>5496</v>
      </c>
      <c r="L2442" s="68" t="s">
        <v>8674</v>
      </c>
      <c r="M2442" s="68" t="s">
        <v>8912</v>
      </c>
      <c r="N2442" s="68" t="s">
        <v>8665</v>
      </c>
      <c r="O2442" s="202">
        <v>50101</v>
      </c>
      <c r="P2442" s="198" t="s">
        <v>5772</v>
      </c>
    </row>
    <row r="2443" spans="1:16" ht="18.75" hidden="1">
      <c r="A2443" s="50" t="s">
        <v>5467</v>
      </c>
      <c r="B2443" s="50" t="s">
        <v>5480</v>
      </c>
      <c r="C2443" s="50" t="s">
        <v>5492</v>
      </c>
      <c r="D2443" s="50" t="s">
        <v>5165</v>
      </c>
      <c r="E2443" s="12" t="s">
        <v>4971</v>
      </c>
      <c r="F2443" s="49">
        <v>20000</v>
      </c>
      <c r="G2443" s="67" t="s">
        <v>5609</v>
      </c>
      <c r="H2443" s="14" t="s">
        <v>5601</v>
      </c>
      <c r="I2443" s="14" t="s">
        <v>2458</v>
      </c>
      <c r="J2443" s="33" t="s">
        <v>7110</v>
      </c>
      <c r="K2443" s="33" t="s">
        <v>5496</v>
      </c>
      <c r="L2443" s="68" t="s">
        <v>8674</v>
      </c>
      <c r="M2443" s="68" t="s">
        <v>8912</v>
      </c>
      <c r="N2443" s="68" t="s">
        <v>8665</v>
      </c>
      <c r="O2443" s="202">
        <v>50101</v>
      </c>
      <c r="P2443" s="198" t="s">
        <v>5793</v>
      </c>
    </row>
    <row r="2444" spans="1:16" ht="18.75" hidden="1">
      <c r="A2444" s="50" t="s">
        <v>5474</v>
      </c>
      <c r="B2444" s="50" t="s">
        <v>5460</v>
      </c>
      <c r="C2444" s="50" t="s">
        <v>5493</v>
      </c>
      <c r="D2444" s="50" t="s">
        <v>5460</v>
      </c>
      <c r="E2444" s="12" t="s">
        <v>4971</v>
      </c>
      <c r="F2444" s="49">
        <v>641247</v>
      </c>
      <c r="G2444" s="67" t="s">
        <v>5779</v>
      </c>
      <c r="H2444" s="14" t="s">
        <v>5601</v>
      </c>
      <c r="I2444" s="14" t="s">
        <v>2458</v>
      </c>
      <c r="J2444" s="33" t="e">
        <f>VLOOKUP(C2444,شرکتها!A:B,2,FALSE)</f>
        <v>#N/A</v>
      </c>
      <c r="K2444" s="33" t="s">
        <v>5496</v>
      </c>
      <c r="L2444" s="68" t="s">
        <v>6284</v>
      </c>
      <c r="M2444" s="68" t="s">
        <v>8913</v>
      </c>
      <c r="N2444" s="68" t="s">
        <v>8665</v>
      </c>
      <c r="O2444" s="202">
        <v>50101</v>
      </c>
      <c r="P2444" s="198" t="s">
        <v>5817</v>
      </c>
    </row>
    <row r="2445" spans="1:16" ht="18.75" hidden="1">
      <c r="A2445" s="50" t="s">
        <v>5475</v>
      </c>
      <c r="B2445" s="50" t="s">
        <v>5481</v>
      </c>
      <c r="C2445" s="50" t="s">
        <v>5489</v>
      </c>
      <c r="D2445" s="50" t="s">
        <v>5012</v>
      </c>
      <c r="E2445" s="12" t="s">
        <v>4971</v>
      </c>
      <c r="F2445" s="49">
        <v>499825</v>
      </c>
      <c r="G2445" s="67" t="s">
        <v>5609</v>
      </c>
      <c r="H2445" s="14" t="s">
        <v>5601</v>
      </c>
      <c r="I2445" s="14" t="s">
        <v>2458</v>
      </c>
      <c r="J2445" s="33" t="s">
        <v>7110</v>
      </c>
      <c r="K2445" s="33" t="s">
        <v>5496</v>
      </c>
      <c r="L2445" s="68" t="s">
        <v>6283</v>
      </c>
      <c r="M2445" s="68" t="s">
        <v>8912</v>
      </c>
      <c r="N2445" s="68" t="s">
        <v>8665</v>
      </c>
      <c r="O2445" s="202">
        <v>50101</v>
      </c>
      <c r="P2445" s="198" t="s">
        <v>5793</v>
      </c>
    </row>
    <row r="2446" spans="1:16" ht="18.75" hidden="1">
      <c r="A2446" s="50" t="s">
        <v>5476</v>
      </c>
      <c r="B2446" s="50" t="s">
        <v>5481</v>
      </c>
      <c r="C2446" s="50" t="s">
        <v>5494</v>
      </c>
      <c r="D2446" s="50" t="s">
        <v>5460</v>
      </c>
      <c r="E2446" s="12" t="s">
        <v>4971</v>
      </c>
      <c r="F2446" s="49">
        <v>1991172</v>
      </c>
      <c r="G2446" s="67" t="s">
        <v>5604</v>
      </c>
      <c r="H2446" s="14" t="s">
        <v>5601</v>
      </c>
      <c r="I2446" s="14" t="s">
        <v>2458</v>
      </c>
      <c r="J2446" s="33" t="s">
        <v>7110</v>
      </c>
      <c r="K2446" s="33" t="s">
        <v>5496</v>
      </c>
      <c r="L2446" s="68" t="s">
        <v>8670</v>
      </c>
      <c r="M2446" s="68" t="s">
        <v>8913</v>
      </c>
      <c r="N2446" s="68" t="s">
        <v>8665</v>
      </c>
      <c r="O2446" s="202">
        <v>50101</v>
      </c>
      <c r="P2446" s="198" t="s">
        <v>5824</v>
      </c>
    </row>
    <row r="2447" spans="1:16" ht="18.75" hidden="1">
      <c r="A2447" s="50" t="s">
        <v>5477</v>
      </c>
      <c r="B2447" s="50" t="s">
        <v>5479</v>
      </c>
      <c r="C2447" s="50" t="s">
        <v>5495</v>
      </c>
      <c r="D2447" s="50" t="s">
        <v>5479</v>
      </c>
      <c r="E2447" s="12" t="s">
        <v>4971</v>
      </c>
      <c r="F2447" s="49">
        <v>983190</v>
      </c>
      <c r="G2447" s="67" t="s">
        <v>5779</v>
      </c>
      <c r="H2447" s="14" t="s">
        <v>5601</v>
      </c>
      <c r="I2447" s="14" t="s">
        <v>2458</v>
      </c>
      <c r="J2447" s="33" t="e">
        <f>VLOOKUP(C2447,شرکتها!A:B,2,FALSE)</f>
        <v>#N/A</v>
      </c>
      <c r="K2447" s="33" t="s">
        <v>5496</v>
      </c>
      <c r="L2447" s="68" t="s">
        <v>6284</v>
      </c>
      <c r="M2447" s="68" t="s">
        <v>8913</v>
      </c>
      <c r="N2447" s="68" t="s">
        <v>8665</v>
      </c>
      <c r="O2447" s="202">
        <v>50101</v>
      </c>
      <c r="P2447" s="198" t="s">
        <v>5817</v>
      </c>
    </row>
    <row r="2448" spans="1:16" ht="18.75" hidden="1">
      <c r="A2448" s="50" t="s">
        <v>5498</v>
      </c>
      <c r="B2448" s="50" t="s">
        <v>5480</v>
      </c>
      <c r="C2448" s="50" t="s">
        <v>5567</v>
      </c>
      <c r="D2448" s="50" t="s">
        <v>5565</v>
      </c>
      <c r="E2448" s="12" t="s">
        <v>4971</v>
      </c>
      <c r="F2448" s="49">
        <v>26580</v>
      </c>
      <c r="G2448" s="67" t="s">
        <v>5611</v>
      </c>
      <c r="H2448" s="14" t="s">
        <v>5601</v>
      </c>
      <c r="I2448" s="14" t="s">
        <v>2458</v>
      </c>
      <c r="J2448" s="33" t="s">
        <v>7110</v>
      </c>
      <c r="K2448" s="33" t="s">
        <v>5600</v>
      </c>
      <c r="L2448" s="33" t="s">
        <v>6051</v>
      </c>
      <c r="M2448" s="68" t="s">
        <v>8913</v>
      </c>
      <c r="N2448" s="33" t="s">
        <v>6056</v>
      </c>
      <c r="O2448" s="33">
        <v>60500</v>
      </c>
      <c r="P2448" s="198" t="s">
        <v>5813</v>
      </c>
    </row>
    <row r="2449" spans="1:16" ht="18.75" hidden="1">
      <c r="A2449" s="50" t="s">
        <v>5499</v>
      </c>
      <c r="B2449" s="50" t="s">
        <v>5480</v>
      </c>
      <c r="C2449" s="50" t="s">
        <v>5568</v>
      </c>
      <c r="D2449" s="50" t="s">
        <v>5460</v>
      </c>
      <c r="E2449" s="12" t="s">
        <v>4971</v>
      </c>
      <c r="F2449" s="49">
        <v>49200</v>
      </c>
      <c r="G2449" s="67" t="s">
        <v>5611</v>
      </c>
      <c r="H2449" s="14" t="s">
        <v>5601</v>
      </c>
      <c r="I2449" s="14" t="s">
        <v>2458</v>
      </c>
      <c r="J2449" s="33" t="s">
        <v>7110</v>
      </c>
      <c r="K2449" s="33" t="s">
        <v>5600</v>
      </c>
      <c r="L2449" s="33" t="s">
        <v>6052</v>
      </c>
      <c r="M2449" s="68" t="s">
        <v>8913</v>
      </c>
      <c r="N2449" s="33" t="s">
        <v>6057</v>
      </c>
      <c r="O2449" s="33">
        <v>30100</v>
      </c>
      <c r="P2449" s="198" t="s">
        <v>5814</v>
      </c>
    </row>
    <row r="2450" spans="1:16" ht="18.75" hidden="1">
      <c r="A2450" s="50" t="s">
        <v>5500</v>
      </c>
      <c r="B2450" s="50" t="s">
        <v>5555</v>
      </c>
      <c r="C2450" s="50" t="s">
        <v>5423</v>
      </c>
      <c r="D2450" s="50" t="s">
        <v>5011</v>
      </c>
      <c r="E2450" s="12" t="s">
        <v>4971</v>
      </c>
      <c r="F2450" s="49">
        <v>46700</v>
      </c>
      <c r="G2450" s="67" t="s">
        <v>5699</v>
      </c>
      <c r="H2450" s="14" t="s">
        <v>5601</v>
      </c>
      <c r="I2450" s="14" t="s">
        <v>2458</v>
      </c>
      <c r="J2450" s="33" t="s">
        <v>7110</v>
      </c>
      <c r="K2450" s="33" t="s">
        <v>5600</v>
      </c>
      <c r="L2450" s="33" t="s">
        <v>6051</v>
      </c>
      <c r="M2450" s="68" t="s">
        <v>8913</v>
      </c>
      <c r="N2450" s="33" t="s">
        <v>6056</v>
      </c>
      <c r="O2450" s="33">
        <v>60500</v>
      </c>
      <c r="P2450" s="198" t="s">
        <v>5776</v>
      </c>
    </row>
    <row r="2451" spans="1:16" ht="18.75" hidden="1">
      <c r="A2451" s="50" t="s">
        <v>5498</v>
      </c>
      <c r="B2451" s="50" t="s">
        <v>5480</v>
      </c>
      <c r="C2451" s="50" t="s">
        <v>5569</v>
      </c>
      <c r="D2451" s="50" t="s">
        <v>5563</v>
      </c>
      <c r="E2451" s="12" t="s">
        <v>4971</v>
      </c>
      <c r="F2451" s="49">
        <v>18660</v>
      </c>
      <c r="G2451" s="67" t="s">
        <v>5611</v>
      </c>
      <c r="H2451" s="14" t="s">
        <v>5601</v>
      </c>
      <c r="I2451" s="14" t="s">
        <v>2458</v>
      </c>
      <c r="J2451" s="33" t="s">
        <v>7110</v>
      </c>
      <c r="K2451" s="33" t="s">
        <v>5600</v>
      </c>
      <c r="L2451" s="33" t="s">
        <v>6051</v>
      </c>
      <c r="M2451" s="68" t="s">
        <v>8913</v>
      </c>
      <c r="N2451" s="33" t="s">
        <v>6056</v>
      </c>
      <c r="O2451" s="33">
        <v>60500</v>
      </c>
      <c r="P2451" s="198" t="s">
        <v>5813</v>
      </c>
    </row>
    <row r="2452" spans="1:16" ht="18.75" hidden="1">
      <c r="A2452" s="50" t="s">
        <v>5501</v>
      </c>
      <c r="B2452" s="50" t="s">
        <v>5481</v>
      </c>
      <c r="C2452" s="50" t="s">
        <v>5422</v>
      </c>
      <c r="D2452" s="50" t="s">
        <v>5287</v>
      </c>
      <c r="E2452" s="12" t="s">
        <v>4971</v>
      </c>
      <c r="F2452" s="49">
        <v>19300</v>
      </c>
      <c r="G2452" s="67" t="s">
        <v>5611</v>
      </c>
      <c r="H2452" s="14" t="s">
        <v>5601</v>
      </c>
      <c r="I2452" s="14" t="s">
        <v>2458</v>
      </c>
      <c r="J2452" s="33" t="s">
        <v>7110</v>
      </c>
      <c r="K2452" s="33" t="s">
        <v>5600</v>
      </c>
      <c r="L2452" s="33" t="s">
        <v>6053</v>
      </c>
      <c r="M2452" s="68" t="s">
        <v>8913</v>
      </c>
      <c r="N2452" s="33" t="s">
        <v>6058</v>
      </c>
      <c r="O2452" s="33">
        <v>60400</v>
      </c>
      <c r="P2452" s="198" t="s">
        <v>5810</v>
      </c>
    </row>
    <row r="2453" spans="1:16" ht="18.75" hidden="1">
      <c r="A2453" s="50" t="s">
        <v>5501</v>
      </c>
      <c r="B2453" s="50" t="s">
        <v>5481</v>
      </c>
      <c r="C2453" s="50" t="s">
        <v>5569</v>
      </c>
      <c r="D2453" s="50" t="s">
        <v>5563</v>
      </c>
      <c r="E2453" s="12" t="s">
        <v>4971</v>
      </c>
      <c r="F2453" s="49">
        <v>3340</v>
      </c>
      <c r="G2453" s="67" t="s">
        <v>5611</v>
      </c>
      <c r="H2453" s="14" t="s">
        <v>5601</v>
      </c>
      <c r="I2453" s="14" t="s">
        <v>2458</v>
      </c>
      <c r="J2453" s="33" t="s">
        <v>7110</v>
      </c>
      <c r="K2453" s="33" t="s">
        <v>5600</v>
      </c>
      <c r="L2453" s="33" t="s">
        <v>6053</v>
      </c>
      <c r="M2453" s="68" t="s">
        <v>8913</v>
      </c>
      <c r="N2453" s="33" t="s">
        <v>6058</v>
      </c>
      <c r="O2453" s="33">
        <v>60400</v>
      </c>
      <c r="P2453" s="198" t="s">
        <v>5813</v>
      </c>
    </row>
    <row r="2454" spans="1:16" ht="18.75" hidden="1">
      <c r="A2454" s="50" t="s">
        <v>5502</v>
      </c>
      <c r="B2454" s="50" t="s">
        <v>5556</v>
      </c>
      <c r="C2454" s="50" t="s">
        <v>5433</v>
      </c>
      <c r="D2454" s="50" t="s">
        <v>5011</v>
      </c>
      <c r="E2454" s="12" t="s">
        <v>4971</v>
      </c>
      <c r="F2454" s="49">
        <v>24540</v>
      </c>
      <c r="G2454" s="67" t="s">
        <v>5699</v>
      </c>
      <c r="H2454" s="14" t="s">
        <v>5601</v>
      </c>
      <c r="I2454" s="14" t="s">
        <v>2458</v>
      </c>
      <c r="J2454" s="33" t="s">
        <v>7110</v>
      </c>
      <c r="K2454" s="33" t="s">
        <v>5600</v>
      </c>
      <c r="L2454" s="33" t="s">
        <v>6053</v>
      </c>
      <c r="M2454" s="68" t="s">
        <v>8913</v>
      </c>
      <c r="N2454" s="33" t="s">
        <v>6058</v>
      </c>
      <c r="O2454" s="33">
        <v>60400</v>
      </c>
      <c r="P2454" s="198" t="s">
        <v>5776</v>
      </c>
    </row>
    <row r="2455" spans="1:16" ht="18.75" hidden="1">
      <c r="A2455" s="50" t="s">
        <v>5503</v>
      </c>
      <c r="B2455" s="50" t="s">
        <v>5459</v>
      </c>
      <c r="C2455" s="50" t="s">
        <v>5570</v>
      </c>
      <c r="D2455" s="50" t="s">
        <v>5564</v>
      </c>
      <c r="E2455" s="12" t="s">
        <v>4971</v>
      </c>
      <c r="F2455" s="49">
        <v>43960</v>
      </c>
      <c r="G2455" s="67" t="s">
        <v>5611</v>
      </c>
      <c r="H2455" s="14" t="s">
        <v>5601</v>
      </c>
      <c r="I2455" s="14" t="s">
        <v>2458</v>
      </c>
      <c r="J2455" s="33" t="s">
        <v>7110</v>
      </c>
      <c r="K2455" s="33" t="s">
        <v>5600</v>
      </c>
      <c r="L2455" s="33" t="s">
        <v>6053</v>
      </c>
      <c r="M2455" s="68" t="s">
        <v>8913</v>
      </c>
      <c r="N2455" s="33" t="s">
        <v>6058</v>
      </c>
      <c r="O2455" s="33">
        <v>60400</v>
      </c>
      <c r="P2455" s="198" t="s">
        <v>5813</v>
      </c>
    </row>
    <row r="2456" spans="1:16" ht="18.75" hidden="1">
      <c r="A2456" s="50" t="s">
        <v>5504</v>
      </c>
      <c r="B2456" s="50" t="s">
        <v>5557</v>
      </c>
      <c r="C2456" s="50" t="s">
        <v>5433</v>
      </c>
      <c r="D2456" s="50" t="s">
        <v>5011</v>
      </c>
      <c r="E2456" s="12" t="s">
        <v>4971</v>
      </c>
      <c r="F2456" s="49">
        <v>92880</v>
      </c>
      <c r="G2456" s="67" t="s">
        <v>5699</v>
      </c>
      <c r="H2456" s="14" t="s">
        <v>5601</v>
      </c>
      <c r="I2456" s="14" t="s">
        <v>2458</v>
      </c>
      <c r="J2456" s="33" t="s">
        <v>7110</v>
      </c>
      <c r="K2456" s="33" t="s">
        <v>5600</v>
      </c>
      <c r="L2456" s="33" t="s">
        <v>6053</v>
      </c>
      <c r="M2456" s="68" t="s">
        <v>8913</v>
      </c>
      <c r="N2456" s="33" t="s">
        <v>6058</v>
      </c>
      <c r="O2456" s="33">
        <v>60400</v>
      </c>
      <c r="P2456" s="198" t="s">
        <v>5776</v>
      </c>
    </row>
    <row r="2457" spans="1:16" ht="18.75" hidden="1">
      <c r="A2457" s="50" t="s">
        <v>5501</v>
      </c>
      <c r="B2457" s="50" t="s">
        <v>5481</v>
      </c>
      <c r="C2457" s="50" t="s">
        <v>5570</v>
      </c>
      <c r="D2457" s="50" t="s">
        <v>5564</v>
      </c>
      <c r="E2457" s="12" t="s">
        <v>4971</v>
      </c>
      <c r="F2457" s="49">
        <v>48040</v>
      </c>
      <c r="G2457" s="67" t="s">
        <v>5611</v>
      </c>
      <c r="H2457" s="14" t="s">
        <v>5601</v>
      </c>
      <c r="I2457" s="14" t="s">
        <v>2458</v>
      </c>
      <c r="J2457" s="33" t="s">
        <v>7110</v>
      </c>
      <c r="K2457" s="33" t="s">
        <v>5600</v>
      </c>
      <c r="L2457" s="33" t="s">
        <v>6053</v>
      </c>
      <c r="M2457" s="68" t="s">
        <v>8913</v>
      </c>
      <c r="N2457" s="33" t="s">
        <v>6058</v>
      </c>
      <c r="O2457" s="33">
        <v>60400</v>
      </c>
      <c r="P2457" s="198" t="s">
        <v>5813</v>
      </c>
    </row>
    <row r="2458" spans="1:16" ht="18.75" hidden="1">
      <c r="A2458" s="50" t="s">
        <v>5505</v>
      </c>
      <c r="B2458" s="50" t="s">
        <v>5558</v>
      </c>
      <c r="C2458" s="50" t="s">
        <v>5433</v>
      </c>
      <c r="D2458" s="50" t="s">
        <v>5011</v>
      </c>
      <c r="E2458" s="12" t="s">
        <v>4971</v>
      </c>
      <c r="F2458" s="49">
        <v>45360</v>
      </c>
      <c r="G2458" s="67" t="s">
        <v>5699</v>
      </c>
      <c r="H2458" s="14" t="s">
        <v>5601</v>
      </c>
      <c r="I2458" s="14" t="s">
        <v>2458</v>
      </c>
      <c r="J2458" s="33" t="s">
        <v>7110</v>
      </c>
      <c r="K2458" s="33" t="s">
        <v>5600</v>
      </c>
      <c r="L2458" s="33" t="s">
        <v>6053</v>
      </c>
      <c r="M2458" s="68" t="s">
        <v>8913</v>
      </c>
      <c r="N2458" s="33" t="s">
        <v>6058</v>
      </c>
      <c r="O2458" s="33">
        <v>60400</v>
      </c>
      <c r="P2458" s="198" t="s">
        <v>5776</v>
      </c>
    </row>
    <row r="2459" spans="1:16" ht="18.75" hidden="1">
      <c r="A2459" s="50" t="s">
        <v>5506</v>
      </c>
      <c r="B2459" s="50" t="s">
        <v>5460</v>
      </c>
      <c r="C2459" s="50" t="s">
        <v>5571</v>
      </c>
      <c r="D2459" s="50" t="s">
        <v>5459</v>
      </c>
      <c r="E2459" s="12" t="s">
        <v>4971</v>
      </c>
      <c r="F2459" s="49">
        <v>127200</v>
      </c>
      <c r="G2459" s="67" t="s">
        <v>5611</v>
      </c>
      <c r="H2459" s="14" t="s">
        <v>5601</v>
      </c>
      <c r="I2459" s="14" t="s">
        <v>2458</v>
      </c>
      <c r="J2459" s="33" t="s">
        <v>7110</v>
      </c>
      <c r="K2459" s="33" t="s">
        <v>5600</v>
      </c>
      <c r="L2459" s="33" t="s">
        <v>6054</v>
      </c>
      <c r="M2459" s="68" t="s">
        <v>8912</v>
      </c>
      <c r="N2459" s="33" t="s">
        <v>6059</v>
      </c>
      <c r="O2459" s="33">
        <v>55200</v>
      </c>
      <c r="P2459" s="198" t="s">
        <v>5815</v>
      </c>
    </row>
    <row r="2460" spans="1:16" ht="18.75" hidden="1">
      <c r="A2460" s="50" t="s">
        <v>5507</v>
      </c>
      <c r="B2460" s="50" t="s">
        <v>5478</v>
      </c>
      <c r="C2460" s="50" t="s">
        <v>5572</v>
      </c>
      <c r="D2460" s="50" t="s">
        <v>5564</v>
      </c>
      <c r="E2460" s="12" t="s">
        <v>4971</v>
      </c>
      <c r="F2460" s="49">
        <v>16086</v>
      </c>
      <c r="G2460" s="67" t="s">
        <v>5611</v>
      </c>
      <c r="H2460" s="14" t="s">
        <v>5601</v>
      </c>
      <c r="I2460" s="14" t="s">
        <v>2458</v>
      </c>
      <c r="J2460" s="33" t="s">
        <v>7110</v>
      </c>
      <c r="K2460" s="33" t="s">
        <v>5600</v>
      </c>
      <c r="L2460" s="33" t="s">
        <v>6054</v>
      </c>
      <c r="M2460" s="68" t="s">
        <v>8913</v>
      </c>
      <c r="N2460" s="33" t="s">
        <v>6060</v>
      </c>
      <c r="O2460" s="33">
        <v>55107</v>
      </c>
      <c r="P2460" s="198" t="s">
        <v>5813</v>
      </c>
    </row>
    <row r="2461" spans="1:16" ht="18.75" hidden="1">
      <c r="A2461" s="50" t="s">
        <v>5508</v>
      </c>
      <c r="B2461" s="50" t="s">
        <v>5559</v>
      </c>
      <c r="C2461" s="50" t="s">
        <v>5573</v>
      </c>
      <c r="D2461" s="50" t="s">
        <v>5557</v>
      </c>
      <c r="E2461" s="12" t="s">
        <v>4971</v>
      </c>
      <c r="F2461" s="49">
        <v>264470</v>
      </c>
      <c r="G2461" s="67" t="s">
        <v>5611</v>
      </c>
      <c r="H2461" s="14" t="s">
        <v>5601</v>
      </c>
      <c r="I2461" s="14" t="s">
        <v>2458</v>
      </c>
      <c r="J2461" s="33" t="s">
        <v>7110</v>
      </c>
      <c r="K2461" s="33" t="s">
        <v>5600</v>
      </c>
      <c r="L2461" s="33" t="s">
        <v>6054</v>
      </c>
      <c r="M2461" s="68" t="s">
        <v>8912</v>
      </c>
      <c r="N2461" s="33" t="s">
        <v>6061</v>
      </c>
      <c r="O2461" s="33">
        <v>55301</v>
      </c>
      <c r="P2461" s="198" t="s">
        <v>5810</v>
      </c>
    </row>
    <row r="2462" spans="1:16" ht="18.75" hidden="1">
      <c r="A2462" s="50" t="s">
        <v>5507</v>
      </c>
      <c r="B2462" s="50" t="s">
        <v>5478</v>
      </c>
      <c r="C2462" s="50" t="s">
        <v>5574</v>
      </c>
      <c r="D2462" s="50" t="s">
        <v>5558</v>
      </c>
      <c r="E2462" s="12" t="s">
        <v>4971</v>
      </c>
      <c r="F2462" s="49">
        <v>32354</v>
      </c>
      <c r="G2462" s="67" t="s">
        <v>5611</v>
      </c>
      <c r="H2462" s="14" t="s">
        <v>5601</v>
      </c>
      <c r="I2462" s="14" t="s">
        <v>2458</v>
      </c>
      <c r="J2462" s="33" t="s">
        <v>7110</v>
      </c>
      <c r="K2462" s="33" t="s">
        <v>5600</v>
      </c>
      <c r="L2462" s="33" t="s">
        <v>6054</v>
      </c>
      <c r="M2462" s="68" t="s">
        <v>8913</v>
      </c>
      <c r="N2462" s="33" t="s">
        <v>6060</v>
      </c>
      <c r="O2462" s="33">
        <v>55107</v>
      </c>
      <c r="P2462" s="198" t="s">
        <v>5813</v>
      </c>
    </row>
    <row r="2463" spans="1:16" ht="18.75" hidden="1">
      <c r="A2463" s="50" t="s">
        <v>5509</v>
      </c>
      <c r="B2463" s="50" t="s">
        <v>5560</v>
      </c>
      <c r="C2463" s="50" t="s">
        <v>5574</v>
      </c>
      <c r="D2463" s="50" t="s">
        <v>5558</v>
      </c>
      <c r="E2463" s="12" t="s">
        <v>4971</v>
      </c>
      <c r="F2463" s="49">
        <v>72320</v>
      </c>
      <c r="G2463" s="67" t="s">
        <v>5611</v>
      </c>
      <c r="H2463" s="14" t="s">
        <v>5601</v>
      </c>
      <c r="I2463" s="14" t="s">
        <v>2458</v>
      </c>
      <c r="J2463" s="33" t="s">
        <v>7110</v>
      </c>
      <c r="K2463" s="33" t="s">
        <v>5600</v>
      </c>
      <c r="L2463" s="33" t="s">
        <v>6054</v>
      </c>
      <c r="M2463" s="68" t="s">
        <v>8912</v>
      </c>
      <c r="N2463" s="33" t="s">
        <v>6060</v>
      </c>
      <c r="O2463" s="33">
        <v>55107</v>
      </c>
      <c r="P2463" s="198" t="s">
        <v>5813</v>
      </c>
    </row>
    <row r="2464" spans="1:16" ht="18.75" hidden="1">
      <c r="A2464" s="50" t="s">
        <v>5510</v>
      </c>
      <c r="B2464" s="50" t="s">
        <v>5559</v>
      </c>
      <c r="C2464" s="50" t="s">
        <v>5573</v>
      </c>
      <c r="D2464" s="50" t="s">
        <v>5557</v>
      </c>
      <c r="E2464" s="12" t="s">
        <v>4971</v>
      </c>
      <c r="F2464" s="49">
        <v>18809</v>
      </c>
      <c r="G2464" s="67" t="s">
        <v>5611</v>
      </c>
      <c r="H2464" s="14" t="s">
        <v>5601</v>
      </c>
      <c r="I2464" s="14" t="s">
        <v>2458</v>
      </c>
      <c r="J2464" s="33" t="s">
        <v>7110</v>
      </c>
      <c r="K2464" s="33" t="s">
        <v>5600</v>
      </c>
      <c r="L2464" s="33" t="s">
        <v>6054</v>
      </c>
      <c r="M2464" s="68" t="s">
        <v>8913</v>
      </c>
      <c r="N2464" s="33" t="s">
        <v>6061</v>
      </c>
      <c r="O2464" s="33">
        <v>55301</v>
      </c>
      <c r="P2464" s="198" t="s">
        <v>5810</v>
      </c>
    </row>
    <row r="2465" spans="1:16" ht="18.75" hidden="1">
      <c r="A2465" s="50" t="s">
        <v>5511</v>
      </c>
      <c r="B2465" s="50" t="s">
        <v>5561</v>
      </c>
      <c r="C2465" s="50" t="s">
        <v>5207</v>
      </c>
      <c r="D2465" s="50" t="s">
        <v>5169</v>
      </c>
      <c r="E2465" s="12" t="s">
        <v>4971</v>
      </c>
      <c r="F2465" s="49">
        <v>14820</v>
      </c>
      <c r="G2465" s="67" t="s">
        <v>5611</v>
      </c>
      <c r="H2465" s="14" t="s">
        <v>5601</v>
      </c>
      <c r="I2465" s="14" t="s">
        <v>2458</v>
      </c>
      <c r="J2465" s="33" t="s">
        <v>7110</v>
      </c>
      <c r="K2465" s="33" t="s">
        <v>5600</v>
      </c>
      <c r="L2465" s="33" t="s">
        <v>6054</v>
      </c>
      <c r="M2465" s="68" t="s">
        <v>8913</v>
      </c>
      <c r="N2465" s="33" t="s">
        <v>6061</v>
      </c>
      <c r="O2465" s="33">
        <v>55301</v>
      </c>
      <c r="P2465" s="198" t="s">
        <v>5762</v>
      </c>
    </row>
    <row r="2466" spans="1:16" ht="18.75" hidden="1">
      <c r="A2466" s="50" t="s">
        <v>5511</v>
      </c>
      <c r="B2466" s="50" t="s">
        <v>5561</v>
      </c>
      <c r="C2466" s="50" t="s">
        <v>5573</v>
      </c>
      <c r="D2466" s="50" t="s">
        <v>5557</v>
      </c>
      <c r="E2466" s="12" t="s">
        <v>4971</v>
      </c>
      <c r="F2466" s="49">
        <v>42431</v>
      </c>
      <c r="G2466" s="67" t="s">
        <v>5611</v>
      </c>
      <c r="H2466" s="14" t="s">
        <v>5601</v>
      </c>
      <c r="I2466" s="14" t="s">
        <v>2458</v>
      </c>
      <c r="J2466" s="33" t="s">
        <v>7110</v>
      </c>
      <c r="K2466" s="33" t="s">
        <v>5600</v>
      </c>
      <c r="L2466" s="33" t="s">
        <v>6054</v>
      </c>
      <c r="M2466" s="68" t="s">
        <v>8913</v>
      </c>
      <c r="N2466" s="33" t="s">
        <v>6061</v>
      </c>
      <c r="O2466" s="33">
        <v>55301</v>
      </c>
      <c r="P2466" s="198" t="s">
        <v>5810</v>
      </c>
    </row>
    <row r="2467" spans="1:16" ht="18.75" hidden="1">
      <c r="A2467" s="50" t="s">
        <v>5512</v>
      </c>
      <c r="B2467" s="50" t="s">
        <v>5559</v>
      </c>
      <c r="C2467" s="50" t="s">
        <v>5573</v>
      </c>
      <c r="D2467" s="50" t="s">
        <v>5557</v>
      </c>
      <c r="E2467" s="12" t="s">
        <v>4971</v>
      </c>
      <c r="F2467" s="49">
        <v>74290</v>
      </c>
      <c r="G2467" s="67" t="s">
        <v>5611</v>
      </c>
      <c r="H2467" s="14" t="s">
        <v>5601</v>
      </c>
      <c r="I2467" s="14" t="s">
        <v>2458</v>
      </c>
      <c r="J2467" s="33" t="s">
        <v>7110</v>
      </c>
      <c r="K2467" s="33" t="s">
        <v>5600</v>
      </c>
      <c r="L2467" s="33" t="s">
        <v>6054</v>
      </c>
      <c r="M2467" s="68" t="s">
        <v>8912</v>
      </c>
      <c r="N2467" s="33" t="s">
        <v>6060</v>
      </c>
      <c r="O2467" s="33">
        <v>55107</v>
      </c>
      <c r="P2467" s="198" t="s">
        <v>5810</v>
      </c>
    </row>
    <row r="2468" spans="1:16" ht="18.75" hidden="1">
      <c r="A2468" s="50" t="s">
        <v>5508</v>
      </c>
      <c r="B2468" s="50" t="s">
        <v>5559</v>
      </c>
      <c r="C2468" s="50" t="s">
        <v>5575</v>
      </c>
      <c r="D2468" s="50" t="s">
        <v>4881</v>
      </c>
      <c r="E2468" s="12" t="s">
        <v>4971</v>
      </c>
      <c r="F2468" s="49">
        <v>94180</v>
      </c>
      <c r="G2468" s="67" t="s">
        <v>5609</v>
      </c>
      <c r="H2468" s="14" t="s">
        <v>5601</v>
      </c>
      <c r="I2468" s="14" t="s">
        <v>2458</v>
      </c>
      <c r="J2468" s="33" t="s">
        <v>7110</v>
      </c>
      <c r="K2468" s="33" t="s">
        <v>5600</v>
      </c>
      <c r="L2468" s="33" t="s">
        <v>6054</v>
      </c>
      <c r="M2468" s="68" t="s">
        <v>8912</v>
      </c>
      <c r="N2468" s="33" t="s">
        <v>6061</v>
      </c>
      <c r="O2468" s="33">
        <v>55301</v>
      </c>
      <c r="P2468" s="198" t="s">
        <v>5768</v>
      </c>
    </row>
    <row r="2469" spans="1:16" ht="18.75" hidden="1">
      <c r="A2469" s="50" t="s">
        <v>5513</v>
      </c>
      <c r="B2469" s="50" t="s">
        <v>5562</v>
      </c>
      <c r="C2469" s="50" t="s">
        <v>5576</v>
      </c>
      <c r="D2469" s="50" t="s">
        <v>5561</v>
      </c>
      <c r="E2469" s="12" t="s">
        <v>4971</v>
      </c>
      <c r="F2469" s="49">
        <v>73100</v>
      </c>
      <c r="G2469" s="67" t="s">
        <v>5611</v>
      </c>
      <c r="H2469" s="14" t="s">
        <v>5601</v>
      </c>
      <c r="I2469" s="14" t="s">
        <v>2458</v>
      </c>
      <c r="J2469" s="33" t="s">
        <v>7110</v>
      </c>
      <c r="K2469" s="33" t="s">
        <v>5600</v>
      </c>
      <c r="L2469" s="33" t="s">
        <v>6054</v>
      </c>
      <c r="M2469" s="68" t="s">
        <v>8912</v>
      </c>
      <c r="N2469" s="33" t="s">
        <v>6059</v>
      </c>
      <c r="O2469" s="33">
        <v>55200</v>
      </c>
      <c r="P2469" s="198" t="s">
        <v>5815</v>
      </c>
    </row>
    <row r="2470" spans="1:16" ht="18.75" hidden="1">
      <c r="A2470" s="50" t="s">
        <v>5510</v>
      </c>
      <c r="B2470" s="50" t="s">
        <v>5559</v>
      </c>
      <c r="C2470" s="50" t="s">
        <v>5575</v>
      </c>
      <c r="D2470" s="50" t="s">
        <v>4881</v>
      </c>
      <c r="E2470" s="12" t="s">
        <v>4971</v>
      </c>
      <c r="F2470" s="49">
        <v>48760</v>
      </c>
      <c r="G2470" s="67" t="s">
        <v>5609</v>
      </c>
      <c r="H2470" s="14" t="s">
        <v>5601</v>
      </c>
      <c r="I2470" s="14" t="s">
        <v>2458</v>
      </c>
      <c r="J2470" s="33" t="s">
        <v>7110</v>
      </c>
      <c r="K2470" s="33" t="s">
        <v>5600</v>
      </c>
      <c r="L2470" s="33" t="s">
        <v>6054</v>
      </c>
      <c r="M2470" s="68" t="s">
        <v>8913</v>
      </c>
      <c r="N2470" s="33" t="s">
        <v>6061</v>
      </c>
      <c r="O2470" s="33">
        <v>55301</v>
      </c>
      <c r="P2470" s="198" t="s">
        <v>5768</v>
      </c>
    </row>
    <row r="2471" spans="1:16" ht="18.75" hidden="1">
      <c r="A2471" s="50" t="s">
        <v>5514</v>
      </c>
      <c r="B2471" s="50" t="s">
        <v>5478</v>
      </c>
      <c r="C2471" s="50" t="s">
        <v>5577</v>
      </c>
      <c r="D2471" s="50" t="s">
        <v>5558</v>
      </c>
      <c r="E2471" s="12" t="s">
        <v>4971</v>
      </c>
      <c r="F2471" s="49">
        <v>89920</v>
      </c>
      <c r="G2471" s="67" t="s">
        <v>5631</v>
      </c>
      <c r="H2471" s="14" t="s">
        <v>5601</v>
      </c>
      <c r="I2471" s="14" t="s">
        <v>2458</v>
      </c>
      <c r="J2471" s="33" t="s">
        <v>7110</v>
      </c>
      <c r="K2471" s="33" t="s">
        <v>5600</v>
      </c>
      <c r="L2471" s="33" t="s">
        <v>6054</v>
      </c>
      <c r="M2471" s="68" t="s">
        <v>8912</v>
      </c>
      <c r="N2471" s="33" t="s">
        <v>6061</v>
      </c>
      <c r="O2471" s="33">
        <v>55301</v>
      </c>
      <c r="P2471" s="197" t="s">
        <v>5807</v>
      </c>
    </row>
    <row r="2472" spans="1:16" ht="18.75" hidden="1">
      <c r="A2472" s="50" t="s">
        <v>5514</v>
      </c>
      <c r="B2472" s="50" t="s">
        <v>5478</v>
      </c>
      <c r="C2472" s="50" t="s">
        <v>5574</v>
      </c>
      <c r="D2472" s="50" t="s">
        <v>5558</v>
      </c>
      <c r="E2472" s="12" t="s">
        <v>4971</v>
      </c>
      <c r="F2472" s="49">
        <v>235160</v>
      </c>
      <c r="G2472" s="67" t="s">
        <v>5611</v>
      </c>
      <c r="H2472" s="14" t="s">
        <v>5601</v>
      </c>
      <c r="I2472" s="14" t="s">
        <v>2458</v>
      </c>
      <c r="J2472" s="33" t="s">
        <v>7110</v>
      </c>
      <c r="K2472" s="33" t="s">
        <v>5600</v>
      </c>
      <c r="L2472" s="33" t="s">
        <v>6054</v>
      </c>
      <c r="M2472" s="68" t="s">
        <v>8912</v>
      </c>
      <c r="N2472" s="33" t="s">
        <v>6061</v>
      </c>
      <c r="O2472" s="33">
        <v>55301</v>
      </c>
      <c r="P2472" s="198" t="s">
        <v>5813</v>
      </c>
    </row>
    <row r="2473" spans="1:16" ht="18.75" hidden="1">
      <c r="A2473" s="50" t="s">
        <v>5515</v>
      </c>
      <c r="B2473" s="50" t="s">
        <v>5560</v>
      </c>
      <c r="C2473" s="50" t="s">
        <v>5578</v>
      </c>
      <c r="D2473" s="50" t="s">
        <v>5561</v>
      </c>
      <c r="E2473" s="12" t="s">
        <v>4971</v>
      </c>
      <c r="F2473" s="49">
        <v>177450</v>
      </c>
      <c r="G2473" s="67" t="s">
        <v>5611</v>
      </c>
      <c r="H2473" s="14" t="s">
        <v>5601</v>
      </c>
      <c r="I2473" s="14" t="s">
        <v>2458</v>
      </c>
      <c r="J2473" s="33" t="s">
        <v>7110</v>
      </c>
      <c r="K2473" s="33" t="s">
        <v>5600</v>
      </c>
      <c r="L2473" s="33" t="s">
        <v>6054</v>
      </c>
      <c r="M2473" s="68" t="s">
        <v>8912</v>
      </c>
      <c r="N2473" s="33" t="s">
        <v>6059</v>
      </c>
      <c r="O2473" s="33">
        <v>55200</v>
      </c>
      <c r="P2473" s="198" t="s">
        <v>5813</v>
      </c>
    </row>
    <row r="2474" spans="1:16" ht="18.75" hidden="1">
      <c r="A2474" s="50" t="s">
        <v>5515</v>
      </c>
      <c r="B2474" s="50" t="s">
        <v>5560</v>
      </c>
      <c r="C2474" s="50" t="s">
        <v>5574</v>
      </c>
      <c r="D2474" s="50" t="s">
        <v>5558</v>
      </c>
      <c r="E2474" s="12" t="s">
        <v>4971</v>
      </c>
      <c r="F2474" s="49">
        <v>48730</v>
      </c>
      <c r="G2474" s="67" t="s">
        <v>5611</v>
      </c>
      <c r="H2474" s="14" t="s">
        <v>5601</v>
      </c>
      <c r="I2474" s="14" t="s">
        <v>2458</v>
      </c>
      <c r="J2474" s="33" t="s">
        <v>7110</v>
      </c>
      <c r="K2474" s="33" t="s">
        <v>5600</v>
      </c>
      <c r="L2474" s="33" t="s">
        <v>6054</v>
      </c>
      <c r="M2474" s="68" t="s">
        <v>8912</v>
      </c>
      <c r="N2474" s="33" t="s">
        <v>6059</v>
      </c>
      <c r="O2474" s="33">
        <v>55200</v>
      </c>
      <c r="P2474" s="198" t="s">
        <v>5813</v>
      </c>
    </row>
    <row r="2475" spans="1:16" ht="18.75" hidden="1">
      <c r="A2475" s="50" t="s">
        <v>5516</v>
      </c>
      <c r="B2475" s="50" t="s">
        <v>5483</v>
      </c>
      <c r="C2475" s="50" t="s">
        <v>5579</v>
      </c>
      <c r="D2475" s="50" t="s">
        <v>5563</v>
      </c>
      <c r="E2475" s="12" t="s">
        <v>4971</v>
      </c>
      <c r="F2475" s="49">
        <v>46855</v>
      </c>
      <c r="G2475" s="67" t="s">
        <v>5611</v>
      </c>
      <c r="H2475" s="14" t="s">
        <v>5601</v>
      </c>
      <c r="I2475" s="14" t="s">
        <v>2458</v>
      </c>
      <c r="J2475" s="33" t="s">
        <v>7110</v>
      </c>
      <c r="K2475" s="33" t="s">
        <v>5600</v>
      </c>
      <c r="L2475" s="33" t="s">
        <v>6054</v>
      </c>
      <c r="M2475" s="68" t="s">
        <v>8912</v>
      </c>
      <c r="N2475" s="33" t="s">
        <v>6060</v>
      </c>
      <c r="O2475" s="33">
        <v>55107</v>
      </c>
      <c r="P2475" s="198" t="s">
        <v>5813</v>
      </c>
    </row>
    <row r="2476" spans="1:16" ht="18.75" hidden="1">
      <c r="A2476" s="50" t="s">
        <v>5511</v>
      </c>
      <c r="B2476" s="50" t="s">
        <v>5561</v>
      </c>
      <c r="C2476" s="50" t="s">
        <v>5575</v>
      </c>
      <c r="D2476" s="50" t="s">
        <v>4881</v>
      </c>
      <c r="E2476" s="12" t="s">
        <v>4971</v>
      </c>
      <c r="F2476" s="49">
        <v>49400</v>
      </c>
      <c r="G2476" s="67" t="s">
        <v>5609</v>
      </c>
      <c r="H2476" s="14" t="s">
        <v>5601</v>
      </c>
      <c r="I2476" s="14" t="s">
        <v>2458</v>
      </c>
      <c r="J2476" s="33" t="s">
        <v>7110</v>
      </c>
      <c r="K2476" s="33" t="s">
        <v>5600</v>
      </c>
      <c r="L2476" s="33" t="s">
        <v>6054</v>
      </c>
      <c r="M2476" s="68" t="s">
        <v>8913</v>
      </c>
      <c r="N2476" s="33" t="s">
        <v>6061</v>
      </c>
      <c r="O2476" s="33">
        <v>55301</v>
      </c>
      <c r="P2476" s="198" t="s">
        <v>5768</v>
      </c>
    </row>
    <row r="2477" spans="1:16" ht="18.75" hidden="1">
      <c r="A2477" s="50" t="s">
        <v>5517</v>
      </c>
      <c r="B2477" s="50" t="s">
        <v>5563</v>
      </c>
      <c r="C2477" s="50" t="s">
        <v>5215</v>
      </c>
      <c r="D2477" s="50" t="s">
        <v>4887</v>
      </c>
      <c r="E2477" s="12" t="s">
        <v>4971</v>
      </c>
      <c r="F2477" s="49">
        <v>32240</v>
      </c>
      <c r="G2477" s="67" t="s">
        <v>5611</v>
      </c>
      <c r="H2477" s="14" t="s">
        <v>5601</v>
      </c>
      <c r="I2477" s="14" t="s">
        <v>2458</v>
      </c>
      <c r="J2477" s="33" t="s">
        <v>7110</v>
      </c>
      <c r="K2477" s="33" t="s">
        <v>5600</v>
      </c>
      <c r="L2477" s="33" t="s">
        <v>6054</v>
      </c>
      <c r="M2477" s="68" t="s">
        <v>8912</v>
      </c>
      <c r="N2477" s="33" t="s">
        <v>6061</v>
      </c>
      <c r="O2477" s="33">
        <v>55301</v>
      </c>
      <c r="P2477" s="198" t="s">
        <v>5752</v>
      </c>
    </row>
    <row r="2478" spans="1:16" ht="18.75" hidden="1">
      <c r="A2478" s="50" t="s">
        <v>5510</v>
      </c>
      <c r="B2478" s="50" t="s">
        <v>5559</v>
      </c>
      <c r="C2478" s="50" t="s">
        <v>5580</v>
      </c>
      <c r="D2478" s="50" t="s">
        <v>5557</v>
      </c>
      <c r="E2478" s="12" t="s">
        <v>4971</v>
      </c>
      <c r="F2478" s="49">
        <v>393631</v>
      </c>
      <c r="G2478" s="67" t="s">
        <v>5631</v>
      </c>
      <c r="H2478" s="14" t="s">
        <v>5601</v>
      </c>
      <c r="I2478" s="14" t="s">
        <v>2458</v>
      </c>
      <c r="J2478" s="33" t="s">
        <v>7110</v>
      </c>
      <c r="K2478" s="33" t="s">
        <v>5600</v>
      </c>
      <c r="L2478" s="33" t="s">
        <v>6054</v>
      </c>
      <c r="M2478" s="68" t="s">
        <v>8913</v>
      </c>
      <c r="N2478" s="33" t="s">
        <v>6061</v>
      </c>
      <c r="O2478" s="33">
        <v>55301</v>
      </c>
      <c r="P2478" s="197" t="s">
        <v>5789</v>
      </c>
    </row>
    <row r="2479" spans="1:16" ht="18.75" hidden="1">
      <c r="A2479" s="50" t="s">
        <v>5511</v>
      </c>
      <c r="B2479" s="50" t="s">
        <v>5561</v>
      </c>
      <c r="C2479" s="50" t="s">
        <v>5425</v>
      </c>
      <c r="D2479" s="50" t="s">
        <v>5301</v>
      </c>
      <c r="E2479" s="12" t="s">
        <v>4971</v>
      </c>
      <c r="F2479" s="49">
        <v>21895</v>
      </c>
      <c r="G2479" s="67" t="s">
        <v>5631</v>
      </c>
      <c r="H2479" s="14" t="s">
        <v>5601</v>
      </c>
      <c r="I2479" s="14" t="s">
        <v>2458</v>
      </c>
      <c r="J2479" s="33" t="s">
        <v>7110</v>
      </c>
      <c r="K2479" s="33" t="s">
        <v>5600</v>
      </c>
      <c r="L2479" s="33" t="s">
        <v>6054</v>
      </c>
      <c r="M2479" s="68" t="s">
        <v>8913</v>
      </c>
      <c r="N2479" s="33" t="s">
        <v>6061</v>
      </c>
      <c r="O2479" s="33">
        <v>55301</v>
      </c>
      <c r="P2479" s="197" t="s">
        <v>5789</v>
      </c>
    </row>
    <row r="2480" spans="1:16" ht="18.75" hidden="1">
      <c r="A2480" s="50" t="s">
        <v>5511</v>
      </c>
      <c r="B2480" s="50" t="s">
        <v>5561</v>
      </c>
      <c r="C2480" s="50" t="s">
        <v>5581</v>
      </c>
      <c r="D2480" s="50" t="s">
        <v>5458</v>
      </c>
      <c r="E2480" s="12" t="s">
        <v>4971</v>
      </c>
      <c r="F2480" s="49">
        <v>132454</v>
      </c>
      <c r="G2480" s="67" t="s">
        <v>5611</v>
      </c>
      <c r="H2480" s="14" t="s">
        <v>5601</v>
      </c>
      <c r="I2480" s="14" t="s">
        <v>2458</v>
      </c>
      <c r="J2480" s="33" t="s">
        <v>7110</v>
      </c>
      <c r="K2480" s="33" t="s">
        <v>5600</v>
      </c>
      <c r="L2480" s="33" t="s">
        <v>6054</v>
      </c>
      <c r="M2480" s="68" t="s">
        <v>8913</v>
      </c>
      <c r="N2480" s="33" t="s">
        <v>6061</v>
      </c>
      <c r="O2480" s="33">
        <v>55301</v>
      </c>
      <c r="P2480" s="198" t="s">
        <v>5810</v>
      </c>
    </row>
    <row r="2481" spans="1:16" ht="18.75" hidden="1">
      <c r="A2481" s="50" t="s">
        <v>5518</v>
      </c>
      <c r="B2481" s="50" t="s">
        <v>5459</v>
      </c>
      <c r="C2481" s="50" t="s">
        <v>5580</v>
      </c>
      <c r="D2481" s="50" t="s">
        <v>5557</v>
      </c>
      <c r="E2481" s="12" t="s">
        <v>4971</v>
      </c>
      <c r="F2481" s="49">
        <v>132369</v>
      </c>
      <c r="G2481" s="67" t="s">
        <v>5631</v>
      </c>
      <c r="H2481" s="14" t="s">
        <v>5601</v>
      </c>
      <c r="I2481" s="14" t="s">
        <v>2458</v>
      </c>
      <c r="J2481" s="33" t="s">
        <v>7110</v>
      </c>
      <c r="K2481" s="33" t="s">
        <v>5600</v>
      </c>
      <c r="L2481" s="33" t="s">
        <v>6054</v>
      </c>
      <c r="M2481" s="68" t="s">
        <v>8912</v>
      </c>
      <c r="N2481" s="33" t="s">
        <v>6061</v>
      </c>
      <c r="O2481" s="33">
        <v>55301</v>
      </c>
      <c r="P2481" s="197" t="s">
        <v>5789</v>
      </c>
    </row>
    <row r="2482" spans="1:16" ht="18.75" hidden="1">
      <c r="A2482" s="50" t="s">
        <v>5519</v>
      </c>
      <c r="B2482" s="50" t="s">
        <v>5479</v>
      </c>
      <c r="C2482" s="50" t="s">
        <v>5582</v>
      </c>
      <c r="D2482" s="50" t="s">
        <v>5012</v>
      </c>
      <c r="E2482" s="12" t="s">
        <v>4971</v>
      </c>
      <c r="F2482" s="49">
        <v>70120</v>
      </c>
      <c r="G2482" s="67" t="s">
        <v>5773</v>
      </c>
      <c r="H2482" s="14" t="s">
        <v>5601</v>
      </c>
      <c r="I2482" s="14" t="s">
        <v>2458</v>
      </c>
      <c r="J2482" s="33" t="s">
        <v>7110</v>
      </c>
      <c r="K2482" s="33" t="s">
        <v>5600</v>
      </c>
      <c r="L2482" s="33" t="s">
        <v>6054</v>
      </c>
      <c r="M2482" s="68" t="s">
        <v>8912</v>
      </c>
      <c r="N2482" s="33" t="s">
        <v>6059</v>
      </c>
      <c r="O2482" s="33">
        <v>55200</v>
      </c>
      <c r="P2482" s="198" t="s">
        <v>5796</v>
      </c>
    </row>
    <row r="2483" spans="1:16" ht="18.75" hidden="1">
      <c r="A2483" s="50" t="s">
        <v>5520</v>
      </c>
      <c r="B2483" s="50" t="s">
        <v>5478</v>
      </c>
      <c r="C2483" s="50" t="s">
        <v>5572</v>
      </c>
      <c r="D2483" s="50" t="s">
        <v>5564</v>
      </c>
      <c r="E2483" s="12" t="s">
        <v>4971</v>
      </c>
      <c r="F2483" s="49">
        <v>221120</v>
      </c>
      <c r="G2483" s="67" t="s">
        <v>5611</v>
      </c>
      <c r="H2483" s="14" t="s">
        <v>5601</v>
      </c>
      <c r="I2483" s="14" t="s">
        <v>2458</v>
      </c>
      <c r="J2483" s="33" t="s">
        <v>7110</v>
      </c>
      <c r="K2483" s="33" t="s">
        <v>5600</v>
      </c>
      <c r="L2483" s="33" t="s">
        <v>6054</v>
      </c>
      <c r="M2483" s="68" t="s">
        <v>8913</v>
      </c>
      <c r="N2483" s="33" t="s">
        <v>6061</v>
      </c>
      <c r="O2483" s="33">
        <v>55301</v>
      </c>
      <c r="P2483" s="198" t="s">
        <v>5813</v>
      </c>
    </row>
    <row r="2484" spans="1:16" ht="18.75" hidden="1">
      <c r="A2484" s="50" t="s">
        <v>5521</v>
      </c>
      <c r="B2484" s="50" t="s">
        <v>5555</v>
      </c>
      <c r="C2484" s="50" t="s">
        <v>5434</v>
      </c>
      <c r="D2484" s="50" t="s">
        <v>5045</v>
      </c>
      <c r="E2484" s="12" t="s">
        <v>4971</v>
      </c>
      <c r="F2484" s="49">
        <v>122060</v>
      </c>
      <c r="G2484" s="67" t="s">
        <v>5609</v>
      </c>
      <c r="H2484" s="14" t="s">
        <v>5601</v>
      </c>
      <c r="I2484" s="14" t="s">
        <v>2458</v>
      </c>
      <c r="J2484" s="33" t="s">
        <v>7110</v>
      </c>
      <c r="K2484" s="33" t="s">
        <v>5600</v>
      </c>
      <c r="L2484" s="33" t="s">
        <v>6054</v>
      </c>
      <c r="M2484" s="68" t="s">
        <v>8912</v>
      </c>
      <c r="N2484" s="33" t="s">
        <v>6059</v>
      </c>
      <c r="O2484" s="33">
        <v>55200</v>
      </c>
      <c r="P2484" s="198" t="s">
        <v>5772</v>
      </c>
    </row>
    <row r="2485" spans="1:16" ht="18.75" hidden="1">
      <c r="A2485" s="50" t="s">
        <v>5513</v>
      </c>
      <c r="B2485" s="50" t="s">
        <v>5562</v>
      </c>
      <c r="C2485" s="50" t="s">
        <v>5583</v>
      </c>
      <c r="D2485" s="50" t="s">
        <v>5478</v>
      </c>
      <c r="E2485" s="12" t="s">
        <v>4971</v>
      </c>
      <c r="F2485" s="49">
        <v>326640</v>
      </c>
      <c r="G2485" s="67" t="s">
        <v>5611</v>
      </c>
      <c r="H2485" s="14" t="s">
        <v>5601</v>
      </c>
      <c r="I2485" s="14" t="s">
        <v>2458</v>
      </c>
      <c r="J2485" s="33" t="s">
        <v>7110</v>
      </c>
      <c r="K2485" s="33" t="s">
        <v>5600</v>
      </c>
      <c r="L2485" s="33" t="s">
        <v>6054</v>
      </c>
      <c r="M2485" s="68" t="s">
        <v>8912</v>
      </c>
      <c r="N2485" s="33" t="s">
        <v>6059</v>
      </c>
      <c r="O2485" s="33">
        <v>55200</v>
      </c>
      <c r="P2485" s="198" t="s">
        <v>5813</v>
      </c>
    </row>
    <row r="2486" spans="1:16" ht="18.75" hidden="1">
      <c r="A2486" s="50" t="s">
        <v>5522</v>
      </c>
      <c r="B2486" s="50" t="s">
        <v>5564</v>
      </c>
      <c r="C2486" s="50" t="s">
        <v>5584</v>
      </c>
      <c r="D2486" s="50" t="s">
        <v>5557</v>
      </c>
      <c r="E2486" s="12" t="s">
        <v>4971</v>
      </c>
      <c r="F2486" s="49">
        <v>13420</v>
      </c>
      <c r="G2486" s="67" t="s">
        <v>5631</v>
      </c>
      <c r="H2486" s="14" t="s">
        <v>5601</v>
      </c>
      <c r="I2486" s="14" t="s">
        <v>2458</v>
      </c>
      <c r="J2486" s="33" t="s">
        <v>7110</v>
      </c>
      <c r="K2486" s="33" t="s">
        <v>5600</v>
      </c>
      <c r="L2486" s="33" t="s">
        <v>6054</v>
      </c>
      <c r="M2486" s="68" t="s">
        <v>8912</v>
      </c>
      <c r="N2486" s="33" t="s">
        <v>6061</v>
      </c>
      <c r="O2486" s="33">
        <v>55301</v>
      </c>
      <c r="P2486" s="197" t="s">
        <v>5789</v>
      </c>
    </row>
    <row r="2487" spans="1:16" ht="18.75" hidden="1">
      <c r="A2487" s="50" t="s">
        <v>5523</v>
      </c>
      <c r="B2487" s="50" t="s">
        <v>5482</v>
      </c>
      <c r="C2487" s="50" t="s">
        <v>5575</v>
      </c>
      <c r="D2487" s="50" t="s">
        <v>4881</v>
      </c>
      <c r="E2487" s="12" t="s">
        <v>4971</v>
      </c>
      <c r="F2487" s="49">
        <v>98960</v>
      </c>
      <c r="G2487" s="67" t="s">
        <v>5609</v>
      </c>
      <c r="H2487" s="14" t="s">
        <v>5601</v>
      </c>
      <c r="I2487" s="14" t="s">
        <v>2458</v>
      </c>
      <c r="J2487" s="33" t="s">
        <v>7110</v>
      </c>
      <c r="K2487" s="33" t="s">
        <v>5600</v>
      </c>
      <c r="L2487" s="33" t="s">
        <v>6054</v>
      </c>
      <c r="M2487" s="68" t="s">
        <v>8913</v>
      </c>
      <c r="N2487" s="33" t="s">
        <v>6061</v>
      </c>
      <c r="O2487" s="33">
        <v>55301</v>
      </c>
      <c r="P2487" s="198" t="s">
        <v>5768</v>
      </c>
    </row>
    <row r="2488" spans="1:16" ht="18.75" hidden="1">
      <c r="A2488" s="50" t="s">
        <v>5513</v>
      </c>
      <c r="B2488" s="50" t="s">
        <v>5562</v>
      </c>
      <c r="C2488" s="50" t="s">
        <v>5585</v>
      </c>
      <c r="D2488" s="50" t="s">
        <v>5565</v>
      </c>
      <c r="E2488" s="12" t="s">
        <v>4971</v>
      </c>
      <c r="F2488" s="49">
        <v>98400</v>
      </c>
      <c r="G2488" s="67" t="s">
        <v>5631</v>
      </c>
      <c r="H2488" s="14" t="s">
        <v>5601</v>
      </c>
      <c r="I2488" s="14" t="s">
        <v>2458</v>
      </c>
      <c r="J2488" s="33" t="s">
        <v>7110</v>
      </c>
      <c r="K2488" s="33" t="s">
        <v>5600</v>
      </c>
      <c r="L2488" s="33" t="s">
        <v>6054</v>
      </c>
      <c r="M2488" s="68" t="s">
        <v>8912</v>
      </c>
      <c r="N2488" s="33" t="s">
        <v>6059</v>
      </c>
      <c r="O2488" s="33">
        <v>55200</v>
      </c>
      <c r="P2488" s="197" t="s">
        <v>5807</v>
      </c>
    </row>
    <row r="2489" spans="1:16" ht="18.75" hidden="1">
      <c r="A2489" s="50" t="s">
        <v>5524</v>
      </c>
      <c r="B2489" s="50" t="s">
        <v>5564</v>
      </c>
      <c r="C2489" s="50" t="s">
        <v>5423</v>
      </c>
      <c r="D2489" s="50" t="s">
        <v>5011</v>
      </c>
      <c r="E2489" s="12" t="s">
        <v>4971</v>
      </c>
      <c r="F2489" s="49">
        <v>48610</v>
      </c>
      <c r="G2489" s="67" t="s">
        <v>5699</v>
      </c>
      <c r="H2489" s="14" t="s">
        <v>5601</v>
      </c>
      <c r="I2489" s="14" t="s">
        <v>2458</v>
      </c>
      <c r="J2489" s="33" t="s">
        <v>7110</v>
      </c>
      <c r="K2489" s="33" t="s">
        <v>5600</v>
      </c>
      <c r="L2489" s="33" t="s">
        <v>6054</v>
      </c>
      <c r="M2489" s="68" t="s">
        <v>8912</v>
      </c>
      <c r="N2489" s="33" t="s">
        <v>6060</v>
      </c>
      <c r="O2489" s="33">
        <v>55107</v>
      </c>
      <c r="P2489" s="198" t="s">
        <v>5776</v>
      </c>
    </row>
    <row r="2490" spans="1:16" ht="18.75" hidden="1">
      <c r="A2490" s="50" t="s">
        <v>5525</v>
      </c>
      <c r="B2490" s="50" t="s">
        <v>5480</v>
      </c>
      <c r="C2490" s="50" t="s">
        <v>5586</v>
      </c>
      <c r="D2490" s="50" t="s">
        <v>5563</v>
      </c>
      <c r="E2490" s="12" t="s">
        <v>4971</v>
      </c>
      <c r="F2490" s="49">
        <v>76310</v>
      </c>
      <c r="G2490" s="67" t="s">
        <v>5611</v>
      </c>
      <c r="H2490" s="14" t="s">
        <v>5601</v>
      </c>
      <c r="I2490" s="14" t="s">
        <v>2458</v>
      </c>
      <c r="J2490" s="33" t="s">
        <v>7110</v>
      </c>
      <c r="K2490" s="33" t="s">
        <v>5600</v>
      </c>
      <c r="L2490" s="33" t="s">
        <v>6054</v>
      </c>
      <c r="M2490" s="68" t="s">
        <v>8912</v>
      </c>
      <c r="N2490" s="33" t="s">
        <v>6059</v>
      </c>
      <c r="O2490" s="33">
        <v>55200</v>
      </c>
      <c r="P2490" s="198" t="s">
        <v>5813</v>
      </c>
    </row>
    <row r="2491" spans="1:16" ht="18.75" hidden="1">
      <c r="A2491" s="50" t="s">
        <v>5526</v>
      </c>
      <c r="B2491" s="50" t="s">
        <v>5483</v>
      </c>
      <c r="C2491" s="50" t="s">
        <v>5582</v>
      </c>
      <c r="D2491" s="50" t="s">
        <v>5012</v>
      </c>
      <c r="E2491" s="12" t="s">
        <v>4971</v>
      </c>
      <c r="F2491" s="49">
        <v>218910</v>
      </c>
      <c r="G2491" s="67" t="s">
        <v>5773</v>
      </c>
      <c r="H2491" s="14" t="s">
        <v>5601</v>
      </c>
      <c r="I2491" s="14" t="s">
        <v>2458</v>
      </c>
      <c r="J2491" s="33" t="s">
        <v>7110</v>
      </c>
      <c r="K2491" s="33" t="s">
        <v>5600</v>
      </c>
      <c r="L2491" s="33" t="s">
        <v>6054</v>
      </c>
      <c r="M2491" s="68" t="s">
        <v>8912</v>
      </c>
      <c r="N2491" s="33" t="s">
        <v>6059</v>
      </c>
      <c r="O2491" s="33">
        <v>55200</v>
      </c>
      <c r="P2491" s="198" t="s">
        <v>5796</v>
      </c>
    </row>
    <row r="2492" spans="1:16" ht="18.75" hidden="1">
      <c r="A2492" s="50" t="s">
        <v>5513</v>
      </c>
      <c r="B2492" s="50" t="s">
        <v>5562</v>
      </c>
      <c r="C2492" s="50" t="s">
        <v>5582</v>
      </c>
      <c r="D2492" s="50" t="s">
        <v>5012</v>
      </c>
      <c r="E2492" s="12" t="s">
        <v>4971</v>
      </c>
      <c r="F2492" s="49">
        <v>253270</v>
      </c>
      <c r="G2492" s="67" t="s">
        <v>5773</v>
      </c>
      <c r="H2492" s="14" t="s">
        <v>5601</v>
      </c>
      <c r="I2492" s="14" t="s">
        <v>2458</v>
      </c>
      <c r="J2492" s="33" t="s">
        <v>7110</v>
      </c>
      <c r="K2492" s="33" t="s">
        <v>5600</v>
      </c>
      <c r="L2492" s="33" t="s">
        <v>6054</v>
      </c>
      <c r="M2492" s="68" t="s">
        <v>8912</v>
      </c>
      <c r="N2492" s="33" t="s">
        <v>6059</v>
      </c>
      <c r="O2492" s="33">
        <v>55200</v>
      </c>
      <c r="P2492" s="198" t="s">
        <v>5796</v>
      </c>
    </row>
    <row r="2493" spans="1:16" ht="18.75" hidden="1">
      <c r="A2493" s="50" t="s">
        <v>5525</v>
      </c>
      <c r="B2493" s="50" t="s">
        <v>5480</v>
      </c>
      <c r="C2493" s="50" t="s">
        <v>5587</v>
      </c>
      <c r="D2493" s="50" t="s">
        <v>5563</v>
      </c>
      <c r="E2493" s="12" t="s">
        <v>4971</v>
      </c>
      <c r="F2493" s="49">
        <v>146960</v>
      </c>
      <c r="G2493" s="67" t="s">
        <v>5611</v>
      </c>
      <c r="H2493" s="14" t="s">
        <v>5601</v>
      </c>
      <c r="I2493" s="14" t="s">
        <v>2458</v>
      </c>
      <c r="J2493" s="33" t="s">
        <v>7110</v>
      </c>
      <c r="K2493" s="33" t="s">
        <v>5600</v>
      </c>
      <c r="L2493" s="33" t="s">
        <v>6054</v>
      </c>
      <c r="M2493" s="68" t="s">
        <v>8912</v>
      </c>
      <c r="N2493" s="33" t="s">
        <v>6059</v>
      </c>
      <c r="O2493" s="33">
        <v>55200</v>
      </c>
      <c r="P2493" s="198" t="s">
        <v>5813</v>
      </c>
    </row>
    <row r="2494" spans="1:16" ht="18.75" hidden="1">
      <c r="A2494" s="50" t="s">
        <v>5527</v>
      </c>
      <c r="B2494" s="50" t="s">
        <v>5558</v>
      </c>
      <c r="C2494" s="50" t="s">
        <v>5430</v>
      </c>
      <c r="D2494" s="50" t="s">
        <v>5046</v>
      </c>
      <c r="E2494" s="12" t="s">
        <v>4971</v>
      </c>
      <c r="F2494" s="49">
        <v>75250</v>
      </c>
      <c r="G2494" s="67" t="s">
        <v>5699</v>
      </c>
      <c r="H2494" s="14" t="s">
        <v>5601</v>
      </c>
      <c r="I2494" s="14" t="s">
        <v>2458</v>
      </c>
      <c r="J2494" s="33" t="s">
        <v>7110</v>
      </c>
      <c r="K2494" s="33" t="s">
        <v>5600</v>
      </c>
      <c r="L2494" s="33" t="s">
        <v>6054</v>
      </c>
      <c r="M2494" s="68" t="s">
        <v>8912</v>
      </c>
      <c r="N2494" s="33" t="s">
        <v>6059</v>
      </c>
      <c r="O2494" s="33">
        <v>55200</v>
      </c>
      <c r="P2494" s="198" t="s">
        <v>5776</v>
      </c>
    </row>
    <row r="2495" spans="1:16" ht="18.75" hidden="1">
      <c r="A2495" s="50" t="s">
        <v>5528</v>
      </c>
      <c r="B2495" s="50" t="s">
        <v>5457</v>
      </c>
      <c r="C2495" s="50" t="s">
        <v>5430</v>
      </c>
      <c r="D2495" s="50" t="s">
        <v>5046</v>
      </c>
      <c r="E2495" s="12" t="s">
        <v>4971</v>
      </c>
      <c r="F2495" s="49">
        <v>20560</v>
      </c>
      <c r="G2495" s="67" t="s">
        <v>5699</v>
      </c>
      <c r="H2495" s="14" t="s">
        <v>5601</v>
      </c>
      <c r="I2495" s="14" t="s">
        <v>2458</v>
      </c>
      <c r="J2495" s="33" t="s">
        <v>7110</v>
      </c>
      <c r="K2495" s="33" t="s">
        <v>5600</v>
      </c>
      <c r="L2495" s="33" t="s">
        <v>6054</v>
      </c>
      <c r="M2495" s="68" t="s">
        <v>8912</v>
      </c>
      <c r="N2495" s="33" t="s">
        <v>6059</v>
      </c>
      <c r="O2495" s="33">
        <v>55200</v>
      </c>
      <c r="P2495" s="198" t="s">
        <v>5776</v>
      </c>
    </row>
    <row r="2496" spans="1:16" ht="18.75" hidden="1">
      <c r="A2496" s="50" t="s">
        <v>5521</v>
      </c>
      <c r="B2496" s="50" t="s">
        <v>5555</v>
      </c>
      <c r="C2496" s="50" t="s">
        <v>5430</v>
      </c>
      <c r="D2496" s="50" t="s">
        <v>5046</v>
      </c>
      <c r="E2496" s="12" t="s">
        <v>4971</v>
      </c>
      <c r="F2496" s="49">
        <v>149730</v>
      </c>
      <c r="G2496" s="67" t="s">
        <v>5699</v>
      </c>
      <c r="H2496" s="14" t="s">
        <v>5601</v>
      </c>
      <c r="I2496" s="14" t="s">
        <v>2458</v>
      </c>
      <c r="J2496" s="33" t="s">
        <v>7110</v>
      </c>
      <c r="K2496" s="33" t="s">
        <v>5600</v>
      </c>
      <c r="L2496" s="33" t="s">
        <v>6054</v>
      </c>
      <c r="M2496" s="68" t="s">
        <v>8912</v>
      </c>
      <c r="N2496" s="33" t="s">
        <v>6059</v>
      </c>
      <c r="O2496" s="33">
        <v>55200</v>
      </c>
      <c r="P2496" s="198" t="s">
        <v>5776</v>
      </c>
    </row>
    <row r="2497" spans="1:16" ht="18.75" hidden="1">
      <c r="A2497" s="50" t="s">
        <v>5529</v>
      </c>
      <c r="B2497" s="50" t="s">
        <v>5565</v>
      </c>
      <c r="C2497" s="50" t="s">
        <v>5423</v>
      </c>
      <c r="D2497" s="50" t="s">
        <v>5011</v>
      </c>
      <c r="E2497" s="12" t="s">
        <v>4971</v>
      </c>
      <c r="F2497" s="49">
        <v>49020</v>
      </c>
      <c r="G2497" s="67" t="s">
        <v>5699</v>
      </c>
      <c r="H2497" s="14" t="s">
        <v>5601</v>
      </c>
      <c r="I2497" s="14" t="s">
        <v>2458</v>
      </c>
      <c r="J2497" s="33" t="s">
        <v>7110</v>
      </c>
      <c r="K2497" s="33" t="s">
        <v>5600</v>
      </c>
      <c r="L2497" s="33" t="s">
        <v>6054</v>
      </c>
      <c r="M2497" s="68" t="s">
        <v>8912</v>
      </c>
      <c r="N2497" s="33" t="s">
        <v>6060</v>
      </c>
      <c r="O2497" s="33">
        <v>55107</v>
      </c>
      <c r="P2497" s="198" t="s">
        <v>5776</v>
      </c>
    </row>
    <row r="2498" spans="1:16" ht="18.75" hidden="1">
      <c r="A2498" s="50" t="s">
        <v>5522</v>
      </c>
      <c r="B2498" s="50" t="s">
        <v>5564</v>
      </c>
      <c r="C2498" s="50" t="s">
        <v>5423</v>
      </c>
      <c r="D2498" s="50" t="s">
        <v>5011</v>
      </c>
      <c r="E2498" s="12" t="s">
        <v>4971</v>
      </c>
      <c r="F2498" s="49">
        <v>55670</v>
      </c>
      <c r="G2498" s="67" t="s">
        <v>5699</v>
      </c>
      <c r="H2498" s="14" t="s">
        <v>5601</v>
      </c>
      <c r="I2498" s="14" t="s">
        <v>2458</v>
      </c>
      <c r="J2498" s="33" t="s">
        <v>7110</v>
      </c>
      <c r="K2498" s="33" t="s">
        <v>5600</v>
      </c>
      <c r="L2498" s="33" t="s">
        <v>6054</v>
      </c>
      <c r="M2498" s="68" t="s">
        <v>8912</v>
      </c>
      <c r="N2498" s="33" t="s">
        <v>6061</v>
      </c>
      <c r="O2498" s="33">
        <v>55301</v>
      </c>
      <c r="P2498" s="198" t="s">
        <v>5776</v>
      </c>
    </row>
    <row r="2499" spans="1:16" ht="18.75" hidden="1">
      <c r="A2499" s="50" t="s">
        <v>5525</v>
      </c>
      <c r="B2499" s="50" t="s">
        <v>5480</v>
      </c>
      <c r="C2499" s="50" t="s">
        <v>5588</v>
      </c>
      <c r="D2499" s="50" t="s">
        <v>5447</v>
      </c>
      <c r="E2499" s="12" t="s">
        <v>4971</v>
      </c>
      <c r="F2499" s="49">
        <v>99980</v>
      </c>
      <c r="G2499" s="67" t="s">
        <v>5611</v>
      </c>
      <c r="H2499" s="14" t="s">
        <v>5601</v>
      </c>
      <c r="I2499" s="14" t="s">
        <v>2458</v>
      </c>
      <c r="J2499" s="33" t="s">
        <v>7110</v>
      </c>
      <c r="K2499" s="33" t="s">
        <v>5600</v>
      </c>
      <c r="L2499" s="33" t="s">
        <v>6054</v>
      </c>
      <c r="M2499" s="68" t="s">
        <v>8912</v>
      </c>
      <c r="N2499" s="33" t="s">
        <v>6059</v>
      </c>
      <c r="O2499" s="33">
        <v>55200</v>
      </c>
      <c r="P2499" s="198" t="s">
        <v>5813</v>
      </c>
    </row>
    <row r="2500" spans="1:16" ht="18.75" hidden="1">
      <c r="A2500" s="50" t="s">
        <v>5515</v>
      </c>
      <c r="B2500" s="50" t="s">
        <v>5560</v>
      </c>
      <c r="C2500" s="50" t="s">
        <v>5582</v>
      </c>
      <c r="D2500" s="50" t="s">
        <v>5012</v>
      </c>
      <c r="E2500" s="12" t="s">
        <v>4971</v>
      </c>
      <c r="F2500" s="49">
        <v>251690</v>
      </c>
      <c r="G2500" s="67" t="s">
        <v>5773</v>
      </c>
      <c r="H2500" s="14" t="s">
        <v>5601</v>
      </c>
      <c r="I2500" s="14" t="s">
        <v>2458</v>
      </c>
      <c r="J2500" s="33" t="s">
        <v>7110</v>
      </c>
      <c r="K2500" s="33" t="s">
        <v>5600</v>
      </c>
      <c r="L2500" s="33" t="s">
        <v>6054</v>
      </c>
      <c r="M2500" s="68" t="s">
        <v>8912</v>
      </c>
      <c r="N2500" s="33" t="s">
        <v>6059</v>
      </c>
      <c r="O2500" s="33">
        <v>55200</v>
      </c>
      <c r="P2500" s="198" t="s">
        <v>5796</v>
      </c>
    </row>
    <row r="2501" spans="1:16" ht="18.75" hidden="1">
      <c r="A2501" s="50" t="s">
        <v>5530</v>
      </c>
      <c r="B2501" s="50" t="s">
        <v>5557</v>
      </c>
      <c r="C2501" s="50" t="s">
        <v>5433</v>
      </c>
      <c r="D2501" s="50" t="s">
        <v>5011</v>
      </c>
      <c r="E2501" s="12" t="s">
        <v>4971</v>
      </c>
      <c r="F2501" s="49">
        <v>48280</v>
      </c>
      <c r="G2501" s="67" t="s">
        <v>5699</v>
      </c>
      <c r="H2501" s="14" t="s">
        <v>5601</v>
      </c>
      <c r="I2501" s="14" t="s">
        <v>2458</v>
      </c>
      <c r="J2501" s="33" t="s">
        <v>7110</v>
      </c>
      <c r="K2501" s="33" t="s">
        <v>5600</v>
      </c>
      <c r="L2501" s="33" t="s">
        <v>6055</v>
      </c>
      <c r="M2501" s="68" t="s">
        <v>8913</v>
      </c>
      <c r="N2501" s="33" t="s">
        <v>6057</v>
      </c>
      <c r="O2501" s="33">
        <v>30100</v>
      </c>
      <c r="P2501" s="198" t="s">
        <v>5776</v>
      </c>
    </row>
    <row r="2502" spans="1:16" ht="18.75" hidden="1">
      <c r="A2502" s="50" t="s">
        <v>5531</v>
      </c>
      <c r="B2502" s="50" t="s">
        <v>5563</v>
      </c>
      <c r="C2502" s="50" t="s">
        <v>5430</v>
      </c>
      <c r="D2502" s="50" t="s">
        <v>5046</v>
      </c>
      <c r="E2502" s="12" t="s">
        <v>4971</v>
      </c>
      <c r="F2502" s="49">
        <v>19900</v>
      </c>
      <c r="G2502" s="67" t="s">
        <v>5699</v>
      </c>
      <c r="H2502" s="14" t="s">
        <v>5601</v>
      </c>
      <c r="I2502" s="14" t="s">
        <v>2458</v>
      </c>
      <c r="J2502" s="33" t="s">
        <v>7110</v>
      </c>
      <c r="K2502" s="33" t="s">
        <v>5600</v>
      </c>
      <c r="L2502" s="33" t="s">
        <v>6054</v>
      </c>
      <c r="M2502" s="68" t="s">
        <v>8912</v>
      </c>
      <c r="N2502" s="33" t="s">
        <v>6060</v>
      </c>
      <c r="O2502" s="33">
        <v>55107</v>
      </c>
      <c r="P2502" s="198" t="s">
        <v>5776</v>
      </c>
    </row>
    <row r="2503" spans="1:16" ht="18.75" hidden="1">
      <c r="A2503" s="50" t="s">
        <v>5532</v>
      </c>
      <c r="B2503" s="50" t="s">
        <v>5482</v>
      </c>
      <c r="C2503" s="50" t="s">
        <v>5574</v>
      </c>
      <c r="D2503" s="50" t="s">
        <v>5558</v>
      </c>
      <c r="E2503" s="12" t="s">
        <v>4971</v>
      </c>
      <c r="F2503" s="49">
        <v>48980</v>
      </c>
      <c r="G2503" s="67" t="s">
        <v>5611</v>
      </c>
      <c r="H2503" s="14" t="s">
        <v>5601</v>
      </c>
      <c r="I2503" s="14" t="s">
        <v>2458</v>
      </c>
      <c r="J2503" s="33" t="s">
        <v>7110</v>
      </c>
      <c r="K2503" s="33" t="s">
        <v>5600</v>
      </c>
      <c r="L2503" s="33" t="s">
        <v>6054</v>
      </c>
      <c r="M2503" s="68" t="s">
        <v>8912</v>
      </c>
      <c r="N2503" s="33" t="s">
        <v>6060</v>
      </c>
      <c r="O2503" s="33">
        <v>55107</v>
      </c>
      <c r="P2503" s="198" t="s">
        <v>5813</v>
      </c>
    </row>
    <row r="2504" spans="1:16" ht="18.75" hidden="1">
      <c r="A2504" s="50" t="s">
        <v>5523</v>
      </c>
      <c r="B2504" s="50" t="s">
        <v>5482</v>
      </c>
      <c r="C2504" s="50" t="s">
        <v>5574</v>
      </c>
      <c r="D2504" s="50" t="s">
        <v>5558</v>
      </c>
      <c r="E2504" s="12" t="s">
        <v>4971</v>
      </c>
      <c r="F2504" s="49">
        <v>196020</v>
      </c>
      <c r="G2504" s="67" t="s">
        <v>5611</v>
      </c>
      <c r="H2504" s="14" t="s">
        <v>5601</v>
      </c>
      <c r="I2504" s="14" t="s">
        <v>2458</v>
      </c>
      <c r="J2504" s="33" t="s">
        <v>7110</v>
      </c>
      <c r="K2504" s="33" t="s">
        <v>5600</v>
      </c>
      <c r="L2504" s="33" t="s">
        <v>6054</v>
      </c>
      <c r="M2504" s="68" t="s">
        <v>8913</v>
      </c>
      <c r="N2504" s="33" t="s">
        <v>6061</v>
      </c>
      <c r="O2504" s="33">
        <v>55301</v>
      </c>
      <c r="P2504" s="198" t="s">
        <v>5813</v>
      </c>
    </row>
    <row r="2505" spans="1:16" ht="18.75" hidden="1">
      <c r="A2505" s="50" t="s">
        <v>5533</v>
      </c>
      <c r="B2505" s="50" t="s">
        <v>5482</v>
      </c>
      <c r="C2505" s="50" t="s">
        <v>5574</v>
      </c>
      <c r="D2505" s="50" t="s">
        <v>5558</v>
      </c>
      <c r="E2505" s="12" t="s">
        <v>4971</v>
      </c>
      <c r="F2505" s="49">
        <v>71740</v>
      </c>
      <c r="G2505" s="67" t="s">
        <v>5611</v>
      </c>
      <c r="H2505" s="14" t="s">
        <v>5601</v>
      </c>
      <c r="I2505" s="14" t="s">
        <v>2458</v>
      </c>
      <c r="J2505" s="33" t="s">
        <v>7110</v>
      </c>
      <c r="K2505" s="33" t="s">
        <v>5600</v>
      </c>
      <c r="L2505" s="33" t="s">
        <v>6054</v>
      </c>
      <c r="M2505" s="68" t="s">
        <v>8913</v>
      </c>
      <c r="N2505" s="33" t="s">
        <v>6060</v>
      </c>
      <c r="O2505" s="33">
        <v>55107</v>
      </c>
      <c r="P2505" s="198" t="s">
        <v>5813</v>
      </c>
    </row>
    <row r="2506" spans="1:16" ht="18.75" hidden="1">
      <c r="A2506" s="50" t="s">
        <v>5534</v>
      </c>
      <c r="B2506" s="50" t="s">
        <v>5482</v>
      </c>
      <c r="C2506" s="50" t="s">
        <v>5577</v>
      </c>
      <c r="D2506" s="50" t="s">
        <v>5558</v>
      </c>
      <c r="E2506" s="12" t="s">
        <v>4971</v>
      </c>
      <c r="F2506" s="49">
        <v>24440</v>
      </c>
      <c r="G2506" s="67" t="s">
        <v>5631</v>
      </c>
      <c r="H2506" s="14" t="s">
        <v>5601</v>
      </c>
      <c r="I2506" s="14" t="s">
        <v>2458</v>
      </c>
      <c r="J2506" s="33" t="s">
        <v>7110</v>
      </c>
      <c r="K2506" s="33" t="s">
        <v>5600</v>
      </c>
      <c r="L2506" s="33" t="s">
        <v>6054</v>
      </c>
      <c r="M2506" s="68" t="s">
        <v>8912</v>
      </c>
      <c r="N2506" s="33" t="s">
        <v>6061</v>
      </c>
      <c r="O2506" s="33">
        <v>55301</v>
      </c>
      <c r="P2506" s="197" t="s">
        <v>5807</v>
      </c>
    </row>
    <row r="2507" spans="1:16" ht="18.75" hidden="1">
      <c r="A2507" s="50" t="s">
        <v>5535</v>
      </c>
      <c r="B2507" s="50" t="s">
        <v>5560</v>
      </c>
      <c r="C2507" s="50" t="s">
        <v>5582</v>
      </c>
      <c r="D2507" s="50" t="s">
        <v>5012</v>
      </c>
      <c r="E2507" s="12" t="s">
        <v>4971</v>
      </c>
      <c r="F2507" s="49">
        <v>73170</v>
      </c>
      <c r="G2507" s="67" t="s">
        <v>5773</v>
      </c>
      <c r="H2507" s="14" t="s">
        <v>5601</v>
      </c>
      <c r="I2507" s="14" t="s">
        <v>2458</v>
      </c>
      <c r="J2507" s="33" t="s">
        <v>7110</v>
      </c>
      <c r="K2507" s="33" t="s">
        <v>5600</v>
      </c>
      <c r="L2507" s="33" t="s">
        <v>6054</v>
      </c>
      <c r="M2507" s="68" t="s">
        <v>8912</v>
      </c>
      <c r="N2507" s="33" t="s">
        <v>6059</v>
      </c>
      <c r="O2507" s="33">
        <v>55200</v>
      </c>
      <c r="P2507" s="198" t="s">
        <v>5796</v>
      </c>
    </row>
    <row r="2508" spans="1:16" ht="18.75" hidden="1">
      <c r="A2508" s="50" t="s">
        <v>5536</v>
      </c>
      <c r="B2508" s="50" t="s">
        <v>5458</v>
      </c>
      <c r="C2508" s="50" t="s">
        <v>5229</v>
      </c>
      <c r="D2508" s="50" t="s">
        <v>5011</v>
      </c>
      <c r="E2508" s="12" t="s">
        <v>4971</v>
      </c>
      <c r="F2508" s="49">
        <v>27585</v>
      </c>
      <c r="G2508" s="67" t="s">
        <v>5609</v>
      </c>
      <c r="H2508" s="14" t="s">
        <v>5601</v>
      </c>
      <c r="I2508" s="14" t="s">
        <v>2458</v>
      </c>
      <c r="J2508" s="33" t="s">
        <v>7110</v>
      </c>
      <c r="K2508" s="33" t="s">
        <v>5600</v>
      </c>
      <c r="L2508" s="33" t="s">
        <v>6054</v>
      </c>
      <c r="M2508" s="68" t="s">
        <v>8912</v>
      </c>
      <c r="N2508" s="33" t="s">
        <v>6059</v>
      </c>
      <c r="O2508" s="33">
        <v>55200</v>
      </c>
      <c r="P2508" s="198" t="s">
        <v>5772</v>
      </c>
    </row>
    <row r="2509" spans="1:16" ht="18.75" hidden="1">
      <c r="A2509" s="50" t="s">
        <v>5537</v>
      </c>
      <c r="B2509" s="50" t="s">
        <v>5481</v>
      </c>
      <c r="C2509" s="50" t="s">
        <v>5582</v>
      </c>
      <c r="D2509" s="50" t="s">
        <v>5012</v>
      </c>
      <c r="E2509" s="12" t="s">
        <v>4971</v>
      </c>
      <c r="F2509" s="49">
        <v>71880</v>
      </c>
      <c r="G2509" s="67" t="s">
        <v>5773</v>
      </c>
      <c r="H2509" s="14" t="s">
        <v>5601</v>
      </c>
      <c r="I2509" s="14" t="s">
        <v>2458</v>
      </c>
      <c r="J2509" s="33" t="s">
        <v>7110</v>
      </c>
      <c r="K2509" s="33" t="s">
        <v>5600</v>
      </c>
      <c r="L2509" s="33" t="s">
        <v>6054</v>
      </c>
      <c r="M2509" s="68" t="s">
        <v>8912</v>
      </c>
      <c r="N2509" s="33" t="s">
        <v>6059</v>
      </c>
      <c r="O2509" s="33">
        <v>55200</v>
      </c>
      <c r="P2509" s="198" t="s">
        <v>5796</v>
      </c>
    </row>
    <row r="2510" spans="1:16" ht="18.75" hidden="1">
      <c r="A2510" s="50" t="s">
        <v>5538</v>
      </c>
      <c r="B2510" s="50" t="s">
        <v>5483</v>
      </c>
      <c r="C2510" s="50" t="s">
        <v>5582</v>
      </c>
      <c r="D2510" s="50" t="s">
        <v>5012</v>
      </c>
      <c r="E2510" s="12" t="s">
        <v>4971</v>
      </c>
      <c r="F2510" s="49">
        <v>98740</v>
      </c>
      <c r="G2510" s="67" t="s">
        <v>5773</v>
      </c>
      <c r="H2510" s="14" t="s">
        <v>5601</v>
      </c>
      <c r="I2510" s="14" t="s">
        <v>2458</v>
      </c>
      <c r="J2510" s="33" t="s">
        <v>7110</v>
      </c>
      <c r="K2510" s="33" t="s">
        <v>5600</v>
      </c>
      <c r="L2510" s="33" t="s">
        <v>6054</v>
      </c>
      <c r="M2510" s="68" t="s">
        <v>8912</v>
      </c>
      <c r="N2510" s="33" t="s">
        <v>6059</v>
      </c>
      <c r="O2510" s="33">
        <v>55200</v>
      </c>
      <c r="P2510" s="198" t="s">
        <v>5796</v>
      </c>
    </row>
    <row r="2511" spans="1:16" ht="18.75" hidden="1">
      <c r="A2511" s="50" t="s">
        <v>5536</v>
      </c>
      <c r="B2511" s="50" t="s">
        <v>5458</v>
      </c>
      <c r="C2511" s="50" t="s">
        <v>5589</v>
      </c>
      <c r="D2511" s="50" t="s">
        <v>5162</v>
      </c>
      <c r="E2511" s="12" t="s">
        <v>4971</v>
      </c>
      <c r="F2511" s="49">
        <v>1690</v>
      </c>
      <c r="G2511" s="67" t="s">
        <v>5609</v>
      </c>
      <c r="H2511" s="14" t="s">
        <v>5601</v>
      </c>
      <c r="I2511" s="14" t="s">
        <v>2458</v>
      </c>
      <c r="J2511" s="33" t="s">
        <v>7110</v>
      </c>
      <c r="K2511" s="33" t="s">
        <v>5600</v>
      </c>
      <c r="L2511" s="33" t="s">
        <v>6054</v>
      </c>
      <c r="M2511" s="68" t="s">
        <v>8912</v>
      </c>
      <c r="N2511" s="33" t="s">
        <v>6059</v>
      </c>
      <c r="O2511" s="33">
        <v>55200</v>
      </c>
      <c r="P2511" s="198" t="s">
        <v>5793</v>
      </c>
    </row>
    <row r="2512" spans="1:16" ht="18.75" hidden="1">
      <c r="A2512" s="50" t="s">
        <v>5536</v>
      </c>
      <c r="B2512" s="50" t="s">
        <v>5458</v>
      </c>
      <c r="C2512" s="50" t="s">
        <v>5434</v>
      </c>
      <c r="D2512" s="50" t="s">
        <v>5045</v>
      </c>
      <c r="E2512" s="12" t="s">
        <v>4971</v>
      </c>
      <c r="F2512" s="49">
        <v>71145</v>
      </c>
      <c r="G2512" s="67" t="s">
        <v>5609</v>
      </c>
      <c r="H2512" s="14" t="s">
        <v>5601</v>
      </c>
      <c r="I2512" s="14" t="s">
        <v>2458</v>
      </c>
      <c r="J2512" s="33" t="s">
        <v>7110</v>
      </c>
      <c r="K2512" s="33" t="s">
        <v>5600</v>
      </c>
      <c r="L2512" s="33" t="s">
        <v>6054</v>
      </c>
      <c r="M2512" s="68" t="s">
        <v>8912</v>
      </c>
      <c r="N2512" s="33" t="s">
        <v>6059</v>
      </c>
      <c r="O2512" s="33">
        <v>55200</v>
      </c>
      <c r="P2512" s="198" t="s">
        <v>5772</v>
      </c>
    </row>
    <row r="2513" spans="1:16" ht="18.75" hidden="1">
      <c r="A2513" s="50" t="s">
        <v>5539</v>
      </c>
      <c r="B2513" s="50" t="s">
        <v>5481</v>
      </c>
      <c r="C2513" s="50" t="s">
        <v>5590</v>
      </c>
      <c r="D2513" s="50" t="s">
        <v>5564</v>
      </c>
      <c r="E2513" s="12" t="s">
        <v>4971</v>
      </c>
      <c r="F2513" s="49">
        <v>50000</v>
      </c>
      <c r="G2513" s="67" t="s">
        <v>5611</v>
      </c>
      <c r="H2513" s="14" t="s">
        <v>5601</v>
      </c>
      <c r="I2513" s="14" t="s">
        <v>2458</v>
      </c>
      <c r="J2513" s="33" t="s">
        <v>7110</v>
      </c>
      <c r="K2513" s="33" t="s">
        <v>5600</v>
      </c>
      <c r="L2513" s="33" t="s">
        <v>6054</v>
      </c>
      <c r="M2513" s="68" t="s">
        <v>8912</v>
      </c>
      <c r="N2513" s="33" t="s">
        <v>6059</v>
      </c>
      <c r="O2513" s="33">
        <v>55200</v>
      </c>
      <c r="P2513" s="198" t="s">
        <v>5813</v>
      </c>
    </row>
    <row r="2514" spans="1:16" ht="18.75" hidden="1">
      <c r="A2514" s="50" t="s">
        <v>5534</v>
      </c>
      <c r="B2514" s="50" t="s">
        <v>5482</v>
      </c>
      <c r="C2514" s="50" t="s">
        <v>5591</v>
      </c>
      <c r="D2514" s="50" t="s">
        <v>5564</v>
      </c>
      <c r="E2514" s="12" t="s">
        <v>4971</v>
      </c>
      <c r="F2514" s="49">
        <v>71580</v>
      </c>
      <c r="G2514" s="67" t="s">
        <v>5611</v>
      </c>
      <c r="H2514" s="14" t="s">
        <v>5601</v>
      </c>
      <c r="I2514" s="14" t="s">
        <v>2458</v>
      </c>
      <c r="J2514" s="33" t="s">
        <v>7110</v>
      </c>
      <c r="K2514" s="33" t="s">
        <v>5600</v>
      </c>
      <c r="L2514" s="33" t="s">
        <v>6054</v>
      </c>
      <c r="M2514" s="68" t="s">
        <v>8912</v>
      </c>
      <c r="N2514" s="33" t="s">
        <v>6061</v>
      </c>
      <c r="O2514" s="33">
        <v>55301</v>
      </c>
      <c r="P2514" s="198" t="s">
        <v>5813</v>
      </c>
    </row>
    <row r="2515" spans="1:16" ht="18.75" hidden="1">
      <c r="A2515" s="50" t="s">
        <v>5539</v>
      </c>
      <c r="B2515" s="50" t="s">
        <v>5481</v>
      </c>
      <c r="C2515" s="50" t="s">
        <v>5571</v>
      </c>
      <c r="D2515" s="50" t="s">
        <v>5459</v>
      </c>
      <c r="E2515" s="12" t="s">
        <v>4971</v>
      </c>
      <c r="F2515" s="49">
        <v>23690</v>
      </c>
      <c r="G2515" s="67" t="s">
        <v>5611</v>
      </c>
      <c r="H2515" s="14" t="s">
        <v>5601</v>
      </c>
      <c r="I2515" s="14" t="s">
        <v>2458</v>
      </c>
      <c r="J2515" s="33" t="s">
        <v>7110</v>
      </c>
      <c r="K2515" s="33" t="s">
        <v>5600</v>
      </c>
      <c r="L2515" s="33" t="s">
        <v>6054</v>
      </c>
      <c r="M2515" s="68" t="s">
        <v>8912</v>
      </c>
      <c r="N2515" s="33" t="s">
        <v>6059</v>
      </c>
      <c r="O2515" s="33">
        <v>55200</v>
      </c>
      <c r="P2515" s="198" t="s">
        <v>5815</v>
      </c>
    </row>
    <row r="2516" spans="1:16" ht="18.75" hidden="1">
      <c r="A2516" s="50" t="s">
        <v>5540</v>
      </c>
      <c r="B2516" s="50" t="s">
        <v>5558</v>
      </c>
      <c r="C2516" s="50" t="s">
        <v>5423</v>
      </c>
      <c r="D2516" s="50" t="s">
        <v>5011</v>
      </c>
      <c r="E2516" s="12" t="s">
        <v>4971</v>
      </c>
      <c r="F2516" s="49">
        <v>45930</v>
      </c>
      <c r="G2516" s="67" t="s">
        <v>5699</v>
      </c>
      <c r="H2516" s="14" t="s">
        <v>5601</v>
      </c>
      <c r="I2516" s="14" t="s">
        <v>2458</v>
      </c>
      <c r="J2516" s="33" t="s">
        <v>7110</v>
      </c>
      <c r="K2516" s="33" t="s">
        <v>5600</v>
      </c>
      <c r="L2516" s="33" t="s">
        <v>6054</v>
      </c>
      <c r="M2516" s="68" t="s">
        <v>8913</v>
      </c>
      <c r="N2516" s="33" t="s">
        <v>6060</v>
      </c>
      <c r="O2516" s="33">
        <v>55107</v>
      </c>
      <c r="P2516" s="198" t="s">
        <v>5776</v>
      </c>
    </row>
    <row r="2517" spans="1:16" ht="18.75" hidden="1">
      <c r="A2517" s="50" t="s">
        <v>5538</v>
      </c>
      <c r="B2517" s="50" t="s">
        <v>5483</v>
      </c>
      <c r="C2517" s="50" t="s">
        <v>5434</v>
      </c>
      <c r="D2517" s="50" t="s">
        <v>5045</v>
      </c>
      <c r="E2517" s="12" t="s">
        <v>4971</v>
      </c>
      <c r="F2517" s="49">
        <v>104465</v>
      </c>
      <c r="G2517" s="67" t="s">
        <v>5609</v>
      </c>
      <c r="H2517" s="14" t="s">
        <v>5601</v>
      </c>
      <c r="I2517" s="14" t="s">
        <v>2458</v>
      </c>
      <c r="J2517" s="33" t="s">
        <v>7110</v>
      </c>
      <c r="K2517" s="33" t="s">
        <v>5600</v>
      </c>
      <c r="L2517" s="33" t="s">
        <v>6054</v>
      </c>
      <c r="M2517" s="68" t="s">
        <v>8912</v>
      </c>
      <c r="N2517" s="33" t="s">
        <v>6059</v>
      </c>
      <c r="O2517" s="33">
        <v>55200</v>
      </c>
      <c r="P2517" s="198" t="s">
        <v>5772</v>
      </c>
    </row>
    <row r="2518" spans="1:16" ht="18.75" hidden="1">
      <c r="A2518" s="50" t="s">
        <v>5541</v>
      </c>
      <c r="B2518" s="50" t="s">
        <v>5561</v>
      </c>
      <c r="C2518" s="50" t="s">
        <v>5572</v>
      </c>
      <c r="D2518" s="50" t="s">
        <v>5564</v>
      </c>
      <c r="E2518" s="12" t="s">
        <v>4971</v>
      </c>
      <c r="F2518" s="49">
        <v>112794</v>
      </c>
      <c r="G2518" s="67" t="s">
        <v>5611</v>
      </c>
      <c r="H2518" s="14" t="s">
        <v>5601</v>
      </c>
      <c r="I2518" s="14" t="s">
        <v>2458</v>
      </c>
      <c r="J2518" s="33" t="s">
        <v>7110</v>
      </c>
      <c r="K2518" s="33" t="s">
        <v>5600</v>
      </c>
      <c r="L2518" s="33" t="s">
        <v>6054</v>
      </c>
      <c r="M2518" s="68" t="s">
        <v>8912</v>
      </c>
      <c r="N2518" s="33" t="s">
        <v>6061</v>
      </c>
      <c r="O2518" s="33">
        <v>55301</v>
      </c>
      <c r="P2518" s="198" t="s">
        <v>5813</v>
      </c>
    </row>
    <row r="2519" spans="1:16" ht="18.75" hidden="1">
      <c r="A2519" s="50" t="s">
        <v>5542</v>
      </c>
      <c r="B2519" s="50" t="s">
        <v>5479</v>
      </c>
      <c r="C2519" s="50" t="s">
        <v>5590</v>
      </c>
      <c r="D2519" s="50" t="s">
        <v>5564</v>
      </c>
      <c r="E2519" s="12" t="s">
        <v>4971</v>
      </c>
      <c r="F2519" s="49">
        <v>50000</v>
      </c>
      <c r="G2519" s="67" t="s">
        <v>5611</v>
      </c>
      <c r="H2519" s="14" t="s">
        <v>5601</v>
      </c>
      <c r="I2519" s="14" t="s">
        <v>2458</v>
      </c>
      <c r="J2519" s="33" t="s">
        <v>7110</v>
      </c>
      <c r="K2519" s="33" t="s">
        <v>5600</v>
      </c>
      <c r="L2519" s="33" t="s">
        <v>6054</v>
      </c>
      <c r="M2519" s="68" t="s">
        <v>8912</v>
      </c>
      <c r="N2519" s="33" t="s">
        <v>6059</v>
      </c>
      <c r="O2519" s="33">
        <v>55200</v>
      </c>
      <c r="P2519" s="198" t="s">
        <v>5813</v>
      </c>
    </row>
    <row r="2520" spans="1:16" ht="18.75" hidden="1">
      <c r="A2520" s="50" t="s">
        <v>5542</v>
      </c>
      <c r="B2520" s="50" t="s">
        <v>5479</v>
      </c>
      <c r="C2520" s="50" t="s">
        <v>5592</v>
      </c>
      <c r="D2520" s="50" t="s">
        <v>5565</v>
      </c>
      <c r="E2520" s="12" t="s">
        <v>4971</v>
      </c>
      <c r="F2520" s="49">
        <v>125990</v>
      </c>
      <c r="G2520" s="67" t="s">
        <v>5611</v>
      </c>
      <c r="H2520" s="14" t="s">
        <v>5601</v>
      </c>
      <c r="I2520" s="14" t="s">
        <v>2458</v>
      </c>
      <c r="J2520" s="33" t="s">
        <v>7110</v>
      </c>
      <c r="K2520" s="33" t="s">
        <v>5600</v>
      </c>
      <c r="L2520" s="33" t="s">
        <v>6054</v>
      </c>
      <c r="M2520" s="68" t="s">
        <v>8912</v>
      </c>
      <c r="N2520" s="33" t="s">
        <v>6059</v>
      </c>
      <c r="O2520" s="33">
        <v>55200</v>
      </c>
      <c r="P2520" s="198" t="s">
        <v>5814</v>
      </c>
    </row>
    <row r="2521" spans="1:16" ht="18.75" hidden="1">
      <c r="A2521" s="50" t="s">
        <v>5538</v>
      </c>
      <c r="B2521" s="50" t="s">
        <v>5483</v>
      </c>
      <c r="C2521" s="50" t="s">
        <v>5576</v>
      </c>
      <c r="D2521" s="50" t="s">
        <v>5561</v>
      </c>
      <c r="E2521" s="12" t="s">
        <v>4971</v>
      </c>
      <c r="F2521" s="49">
        <v>18170</v>
      </c>
      <c r="G2521" s="67" t="s">
        <v>5611</v>
      </c>
      <c r="H2521" s="14" t="s">
        <v>5601</v>
      </c>
      <c r="I2521" s="14" t="s">
        <v>2458</v>
      </c>
      <c r="J2521" s="33" t="s">
        <v>7110</v>
      </c>
      <c r="K2521" s="33" t="s">
        <v>5600</v>
      </c>
      <c r="L2521" s="33" t="s">
        <v>6054</v>
      </c>
      <c r="M2521" s="68" t="s">
        <v>8912</v>
      </c>
      <c r="N2521" s="33" t="s">
        <v>6059</v>
      </c>
      <c r="O2521" s="33">
        <v>55200</v>
      </c>
      <c r="P2521" s="198" t="s">
        <v>5815</v>
      </c>
    </row>
    <row r="2522" spans="1:16" ht="18.75" hidden="1">
      <c r="A2522" s="50" t="s">
        <v>5541</v>
      </c>
      <c r="B2522" s="50" t="s">
        <v>5561</v>
      </c>
      <c r="C2522" s="50" t="s">
        <v>5575</v>
      </c>
      <c r="D2522" s="50" t="s">
        <v>4881</v>
      </c>
      <c r="E2522" s="12" t="s">
        <v>4971</v>
      </c>
      <c r="F2522" s="49">
        <v>74330</v>
      </c>
      <c r="G2522" s="67" t="s">
        <v>5609</v>
      </c>
      <c r="H2522" s="14" t="s">
        <v>5601</v>
      </c>
      <c r="I2522" s="14" t="s">
        <v>2458</v>
      </c>
      <c r="J2522" s="33" t="s">
        <v>7110</v>
      </c>
      <c r="K2522" s="33" t="s">
        <v>5600</v>
      </c>
      <c r="L2522" s="33" t="s">
        <v>6054</v>
      </c>
      <c r="M2522" s="68" t="s">
        <v>8912</v>
      </c>
      <c r="N2522" s="33" t="s">
        <v>6061</v>
      </c>
      <c r="O2522" s="33">
        <v>55301</v>
      </c>
      <c r="P2522" s="198" t="s">
        <v>5768</v>
      </c>
    </row>
    <row r="2523" spans="1:16" ht="18.75" hidden="1">
      <c r="A2523" s="50" t="s">
        <v>5543</v>
      </c>
      <c r="B2523" s="50" t="s">
        <v>5561</v>
      </c>
      <c r="C2523" s="50" t="s">
        <v>5581</v>
      </c>
      <c r="D2523" s="50" t="s">
        <v>5458</v>
      </c>
      <c r="E2523" s="12" t="s">
        <v>4971</v>
      </c>
      <c r="F2523" s="49">
        <v>75310</v>
      </c>
      <c r="G2523" s="67" t="s">
        <v>5611</v>
      </c>
      <c r="H2523" s="14" t="s">
        <v>5601</v>
      </c>
      <c r="I2523" s="14" t="s">
        <v>2458</v>
      </c>
      <c r="J2523" s="33" t="s">
        <v>7110</v>
      </c>
      <c r="K2523" s="33" t="s">
        <v>5600</v>
      </c>
      <c r="L2523" s="33" t="s">
        <v>6054</v>
      </c>
      <c r="M2523" s="68" t="s">
        <v>8912</v>
      </c>
      <c r="N2523" s="33" t="s">
        <v>6059</v>
      </c>
      <c r="O2523" s="33">
        <v>55200</v>
      </c>
      <c r="P2523" s="198" t="s">
        <v>5810</v>
      </c>
    </row>
    <row r="2524" spans="1:16" ht="18.75" hidden="1">
      <c r="A2524" s="50" t="s">
        <v>5541</v>
      </c>
      <c r="B2524" s="50" t="s">
        <v>5561</v>
      </c>
      <c r="C2524" s="50" t="s">
        <v>5581</v>
      </c>
      <c r="D2524" s="50" t="s">
        <v>5458</v>
      </c>
      <c r="E2524" s="12" t="s">
        <v>4971</v>
      </c>
      <c r="F2524" s="49">
        <v>52236</v>
      </c>
      <c r="G2524" s="67" t="s">
        <v>5611</v>
      </c>
      <c r="H2524" s="14" t="s">
        <v>5601</v>
      </c>
      <c r="I2524" s="14" t="s">
        <v>2458</v>
      </c>
      <c r="J2524" s="33" t="s">
        <v>7110</v>
      </c>
      <c r="K2524" s="33" t="s">
        <v>5600</v>
      </c>
      <c r="L2524" s="33" t="s">
        <v>6054</v>
      </c>
      <c r="M2524" s="68" t="s">
        <v>8912</v>
      </c>
      <c r="N2524" s="33" t="s">
        <v>6061</v>
      </c>
      <c r="O2524" s="33">
        <v>55301</v>
      </c>
      <c r="P2524" s="198" t="s">
        <v>5810</v>
      </c>
    </row>
    <row r="2525" spans="1:16" ht="18.75" hidden="1">
      <c r="A2525" s="50" t="s">
        <v>5544</v>
      </c>
      <c r="B2525" s="50" t="s">
        <v>5447</v>
      </c>
      <c r="C2525" s="50" t="s">
        <v>5582</v>
      </c>
      <c r="D2525" s="50" t="s">
        <v>5012</v>
      </c>
      <c r="E2525" s="12" t="s">
        <v>4971</v>
      </c>
      <c r="F2525" s="49">
        <v>99110</v>
      </c>
      <c r="G2525" s="67" t="s">
        <v>5773</v>
      </c>
      <c r="H2525" s="14" t="s">
        <v>5601</v>
      </c>
      <c r="I2525" s="14" t="s">
        <v>2458</v>
      </c>
      <c r="J2525" s="33" t="s">
        <v>7110</v>
      </c>
      <c r="K2525" s="33" t="s">
        <v>5600</v>
      </c>
      <c r="L2525" s="33" t="s">
        <v>6054</v>
      </c>
      <c r="M2525" s="68" t="s">
        <v>8912</v>
      </c>
      <c r="N2525" s="33" t="s">
        <v>6059</v>
      </c>
      <c r="O2525" s="33">
        <v>55200</v>
      </c>
      <c r="P2525" s="198" t="s">
        <v>5796</v>
      </c>
    </row>
    <row r="2526" spans="1:16" ht="18.75" hidden="1">
      <c r="A2526" s="50" t="s">
        <v>5545</v>
      </c>
      <c r="B2526" s="50" t="s">
        <v>5460</v>
      </c>
      <c r="C2526" s="50" t="s">
        <v>5582</v>
      </c>
      <c r="D2526" s="50" t="s">
        <v>5012</v>
      </c>
      <c r="E2526" s="12" t="s">
        <v>4971</v>
      </c>
      <c r="F2526" s="49">
        <v>73770</v>
      </c>
      <c r="G2526" s="67" t="s">
        <v>5773</v>
      </c>
      <c r="H2526" s="14" t="s">
        <v>5601</v>
      </c>
      <c r="I2526" s="14" t="s">
        <v>2458</v>
      </c>
      <c r="J2526" s="33" t="s">
        <v>7110</v>
      </c>
      <c r="K2526" s="33" t="s">
        <v>5600</v>
      </c>
      <c r="L2526" s="33" t="s">
        <v>6054</v>
      </c>
      <c r="M2526" s="68" t="s">
        <v>8912</v>
      </c>
      <c r="N2526" s="33" t="s">
        <v>6059</v>
      </c>
      <c r="O2526" s="33">
        <v>55200</v>
      </c>
      <c r="P2526" s="198" t="s">
        <v>5796</v>
      </c>
    </row>
    <row r="2527" spans="1:16" ht="18.75" hidden="1">
      <c r="A2527" s="50" t="s">
        <v>5546</v>
      </c>
      <c r="B2527" s="50" t="s">
        <v>5566</v>
      </c>
      <c r="C2527" s="50" t="s">
        <v>5593</v>
      </c>
      <c r="D2527" s="50" t="s">
        <v>5565</v>
      </c>
      <c r="E2527" s="12" t="s">
        <v>4971</v>
      </c>
      <c r="F2527" s="49">
        <v>88270</v>
      </c>
      <c r="G2527" s="67" t="s">
        <v>5611</v>
      </c>
      <c r="H2527" s="14" t="s">
        <v>5601</v>
      </c>
      <c r="I2527" s="14" t="s">
        <v>2458</v>
      </c>
      <c r="J2527" s="33" t="s">
        <v>7110</v>
      </c>
      <c r="K2527" s="33" t="s">
        <v>5600</v>
      </c>
      <c r="L2527" s="33" t="s">
        <v>6054</v>
      </c>
      <c r="M2527" s="68" t="s">
        <v>8912</v>
      </c>
      <c r="N2527" s="33" t="s">
        <v>6059</v>
      </c>
      <c r="O2527" s="33">
        <v>55200</v>
      </c>
      <c r="P2527" s="198" t="s">
        <v>5810</v>
      </c>
    </row>
    <row r="2528" spans="1:16" ht="18.75" hidden="1">
      <c r="A2528" s="50" t="s">
        <v>5546</v>
      </c>
      <c r="B2528" s="50" t="s">
        <v>5566</v>
      </c>
      <c r="C2528" s="50" t="s">
        <v>5587</v>
      </c>
      <c r="D2528" s="50" t="s">
        <v>5563</v>
      </c>
      <c r="E2528" s="12" t="s">
        <v>4971</v>
      </c>
      <c r="F2528" s="49">
        <v>17690</v>
      </c>
      <c r="G2528" s="67" t="s">
        <v>5611</v>
      </c>
      <c r="H2528" s="14" t="s">
        <v>5601</v>
      </c>
      <c r="I2528" s="14" t="s">
        <v>2458</v>
      </c>
      <c r="J2528" s="33" t="s">
        <v>7110</v>
      </c>
      <c r="K2528" s="33" t="s">
        <v>5600</v>
      </c>
      <c r="L2528" s="33" t="s">
        <v>6054</v>
      </c>
      <c r="M2528" s="68" t="s">
        <v>8912</v>
      </c>
      <c r="N2528" s="33" t="s">
        <v>6059</v>
      </c>
      <c r="O2528" s="33">
        <v>55200</v>
      </c>
      <c r="P2528" s="198" t="s">
        <v>5813</v>
      </c>
    </row>
    <row r="2529" spans="1:16" ht="18.75" hidden="1">
      <c r="A2529" s="50" t="s">
        <v>5547</v>
      </c>
      <c r="B2529" s="50" t="s">
        <v>5555</v>
      </c>
      <c r="C2529" s="50" t="s">
        <v>5423</v>
      </c>
      <c r="D2529" s="50" t="s">
        <v>5011</v>
      </c>
      <c r="E2529" s="12" t="s">
        <v>4971</v>
      </c>
      <c r="F2529" s="49">
        <v>98520</v>
      </c>
      <c r="G2529" s="67" t="s">
        <v>5699</v>
      </c>
      <c r="H2529" s="14" t="s">
        <v>5601</v>
      </c>
      <c r="I2529" s="14" t="s">
        <v>2458</v>
      </c>
      <c r="J2529" s="33" t="s">
        <v>7110</v>
      </c>
      <c r="K2529" s="33" t="s">
        <v>5600</v>
      </c>
      <c r="L2529" s="33" t="s">
        <v>6054</v>
      </c>
      <c r="M2529" s="68" t="s">
        <v>8912</v>
      </c>
      <c r="N2529" s="33" t="s">
        <v>6060</v>
      </c>
      <c r="O2529" s="33">
        <v>55107</v>
      </c>
      <c r="P2529" s="198" t="s">
        <v>5776</v>
      </c>
    </row>
    <row r="2530" spans="1:16" ht="18.75" hidden="1">
      <c r="A2530" s="50" t="s">
        <v>5548</v>
      </c>
      <c r="B2530" s="50" t="s">
        <v>5459</v>
      </c>
      <c r="C2530" s="50" t="s">
        <v>5594</v>
      </c>
      <c r="D2530" s="50" t="s">
        <v>5458</v>
      </c>
      <c r="E2530" s="12" t="s">
        <v>4971</v>
      </c>
      <c r="F2530" s="49">
        <v>49400</v>
      </c>
      <c r="G2530" s="67" t="s">
        <v>5631</v>
      </c>
      <c r="H2530" s="14" t="s">
        <v>5601</v>
      </c>
      <c r="I2530" s="14" t="s">
        <v>2458</v>
      </c>
      <c r="J2530" s="33" t="s">
        <v>7110</v>
      </c>
      <c r="K2530" s="33" t="s">
        <v>5600</v>
      </c>
      <c r="L2530" s="33" t="s">
        <v>6054</v>
      </c>
      <c r="M2530" s="68" t="s">
        <v>8912</v>
      </c>
      <c r="N2530" s="33" t="s">
        <v>6060</v>
      </c>
      <c r="O2530" s="33">
        <v>55107</v>
      </c>
      <c r="P2530" s="197" t="s">
        <v>5807</v>
      </c>
    </row>
    <row r="2531" spans="1:16" ht="18.75" hidden="1">
      <c r="A2531" s="50" t="s">
        <v>5546</v>
      </c>
      <c r="B2531" s="50" t="s">
        <v>5566</v>
      </c>
      <c r="C2531" s="50" t="s">
        <v>5586</v>
      </c>
      <c r="D2531" s="50" t="s">
        <v>5563</v>
      </c>
      <c r="E2531" s="12" t="s">
        <v>4971</v>
      </c>
      <c r="F2531" s="49">
        <v>23690</v>
      </c>
      <c r="G2531" s="67" t="s">
        <v>5611</v>
      </c>
      <c r="H2531" s="14" t="s">
        <v>5601</v>
      </c>
      <c r="I2531" s="14" t="s">
        <v>2458</v>
      </c>
      <c r="J2531" s="33" t="s">
        <v>7110</v>
      </c>
      <c r="K2531" s="33" t="s">
        <v>5600</v>
      </c>
      <c r="L2531" s="33" t="s">
        <v>6054</v>
      </c>
      <c r="M2531" s="68" t="s">
        <v>8912</v>
      </c>
      <c r="N2531" s="33" t="s">
        <v>6059</v>
      </c>
      <c r="O2531" s="33">
        <v>55200</v>
      </c>
      <c r="P2531" s="198" t="s">
        <v>5813</v>
      </c>
    </row>
    <row r="2532" spans="1:16" ht="18.75" hidden="1">
      <c r="A2532" s="50" t="s">
        <v>5544</v>
      </c>
      <c r="B2532" s="50" t="s">
        <v>5447</v>
      </c>
      <c r="C2532" s="50" t="s">
        <v>5574</v>
      </c>
      <c r="D2532" s="50" t="s">
        <v>5558</v>
      </c>
      <c r="E2532" s="12" t="s">
        <v>4971</v>
      </c>
      <c r="F2532" s="49">
        <v>54046</v>
      </c>
      <c r="G2532" s="67" t="s">
        <v>5611</v>
      </c>
      <c r="H2532" s="14" t="s">
        <v>5601</v>
      </c>
      <c r="I2532" s="14" t="s">
        <v>2458</v>
      </c>
      <c r="J2532" s="33" t="s">
        <v>7110</v>
      </c>
      <c r="K2532" s="33" t="s">
        <v>5600</v>
      </c>
      <c r="L2532" s="33" t="s">
        <v>6054</v>
      </c>
      <c r="M2532" s="68" t="s">
        <v>8912</v>
      </c>
      <c r="N2532" s="33" t="s">
        <v>6059</v>
      </c>
      <c r="O2532" s="33">
        <v>55200</v>
      </c>
      <c r="P2532" s="198" t="s">
        <v>5813</v>
      </c>
    </row>
    <row r="2533" spans="1:16" ht="18.75" hidden="1">
      <c r="A2533" s="50" t="s">
        <v>5544</v>
      </c>
      <c r="B2533" s="50" t="s">
        <v>5447</v>
      </c>
      <c r="C2533" s="50" t="s">
        <v>5579</v>
      </c>
      <c r="D2533" s="50" t="s">
        <v>5563</v>
      </c>
      <c r="E2533" s="12" t="s">
        <v>4971</v>
      </c>
      <c r="F2533" s="49">
        <v>45484</v>
      </c>
      <c r="G2533" s="67" t="s">
        <v>5611</v>
      </c>
      <c r="H2533" s="14" t="s">
        <v>5601</v>
      </c>
      <c r="I2533" s="14" t="s">
        <v>2458</v>
      </c>
      <c r="J2533" s="33" t="s">
        <v>7110</v>
      </c>
      <c r="K2533" s="33" t="s">
        <v>5600</v>
      </c>
      <c r="L2533" s="33" t="s">
        <v>6054</v>
      </c>
      <c r="M2533" s="68" t="s">
        <v>8912</v>
      </c>
      <c r="N2533" s="33" t="s">
        <v>6059</v>
      </c>
      <c r="O2533" s="33">
        <v>55200</v>
      </c>
      <c r="P2533" s="198" t="s">
        <v>5813</v>
      </c>
    </row>
    <row r="2534" spans="1:16" ht="18.75" hidden="1">
      <c r="A2534" s="50" t="s">
        <v>5549</v>
      </c>
      <c r="B2534" s="50" t="s">
        <v>5478</v>
      </c>
      <c r="C2534" s="50" t="s">
        <v>5577</v>
      </c>
      <c r="D2534" s="50" t="s">
        <v>5558</v>
      </c>
      <c r="E2534" s="12" t="s">
        <v>4971</v>
      </c>
      <c r="F2534" s="49">
        <v>124160</v>
      </c>
      <c r="G2534" s="67" t="s">
        <v>5631</v>
      </c>
      <c r="H2534" s="14" t="s">
        <v>5601</v>
      </c>
      <c r="I2534" s="14" t="s">
        <v>2458</v>
      </c>
      <c r="J2534" s="33" t="s">
        <v>7110</v>
      </c>
      <c r="K2534" s="33" t="s">
        <v>5600</v>
      </c>
      <c r="L2534" s="33" t="s">
        <v>6054</v>
      </c>
      <c r="M2534" s="68" t="s">
        <v>8912</v>
      </c>
      <c r="N2534" s="33" t="s">
        <v>6059</v>
      </c>
      <c r="O2534" s="33">
        <v>55200</v>
      </c>
      <c r="P2534" s="197" t="s">
        <v>5807</v>
      </c>
    </row>
    <row r="2535" spans="1:16" ht="18.75" hidden="1">
      <c r="A2535" s="50" t="s">
        <v>5550</v>
      </c>
      <c r="B2535" s="50" t="s">
        <v>5556</v>
      </c>
      <c r="C2535" s="50" t="s">
        <v>5589</v>
      </c>
      <c r="D2535" s="50" t="s">
        <v>5162</v>
      </c>
      <c r="E2535" s="12" t="s">
        <v>4971</v>
      </c>
      <c r="F2535" s="49">
        <v>98310</v>
      </c>
      <c r="G2535" s="67" t="s">
        <v>5609</v>
      </c>
      <c r="H2535" s="14" t="s">
        <v>5601</v>
      </c>
      <c r="I2535" s="14" t="s">
        <v>2458</v>
      </c>
      <c r="J2535" s="33" t="s">
        <v>7110</v>
      </c>
      <c r="K2535" s="33" t="s">
        <v>5600</v>
      </c>
      <c r="L2535" s="33" t="s">
        <v>6054</v>
      </c>
      <c r="M2535" s="68" t="s">
        <v>8912</v>
      </c>
      <c r="N2535" s="33" t="s">
        <v>6059</v>
      </c>
      <c r="O2535" s="33">
        <v>55200</v>
      </c>
      <c r="P2535" s="198" t="s">
        <v>5793</v>
      </c>
    </row>
    <row r="2536" spans="1:16" ht="18.75" hidden="1">
      <c r="A2536" s="50" t="s">
        <v>5546</v>
      </c>
      <c r="B2536" s="50" t="s">
        <v>5566</v>
      </c>
      <c r="C2536" s="50" t="s">
        <v>5595</v>
      </c>
      <c r="D2536" s="50" t="s">
        <v>5561</v>
      </c>
      <c r="E2536" s="12" t="s">
        <v>4971</v>
      </c>
      <c r="F2536" s="49">
        <v>40000</v>
      </c>
      <c r="G2536" s="67" t="s">
        <v>5611</v>
      </c>
      <c r="H2536" s="14" t="s">
        <v>5601</v>
      </c>
      <c r="I2536" s="14" t="s">
        <v>2458</v>
      </c>
      <c r="J2536" s="33" t="s">
        <v>7110</v>
      </c>
      <c r="K2536" s="33" t="s">
        <v>5600</v>
      </c>
      <c r="L2536" s="33" t="s">
        <v>6054</v>
      </c>
      <c r="M2536" s="68" t="s">
        <v>8912</v>
      </c>
      <c r="N2536" s="33" t="s">
        <v>6059</v>
      </c>
      <c r="O2536" s="33">
        <v>55200</v>
      </c>
      <c r="P2536" s="198" t="s">
        <v>5815</v>
      </c>
    </row>
    <row r="2537" spans="1:16" ht="18.75" hidden="1">
      <c r="A2537" s="50" t="s">
        <v>5546</v>
      </c>
      <c r="B2537" s="50" t="s">
        <v>5566</v>
      </c>
      <c r="C2537" s="50" t="s">
        <v>5596</v>
      </c>
      <c r="D2537" s="50" t="s">
        <v>5459</v>
      </c>
      <c r="E2537" s="12" t="s">
        <v>4971</v>
      </c>
      <c r="F2537" s="49">
        <v>81490</v>
      </c>
      <c r="G2537" s="67" t="s">
        <v>5611</v>
      </c>
      <c r="H2537" s="14" t="s">
        <v>5601</v>
      </c>
      <c r="I2537" s="14" t="s">
        <v>2458</v>
      </c>
      <c r="J2537" s="33" t="s">
        <v>7110</v>
      </c>
      <c r="K2537" s="33" t="s">
        <v>5600</v>
      </c>
      <c r="L2537" s="33" t="s">
        <v>6054</v>
      </c>
      <c r="M2537" s="68" t="s">
        <v>8912</v>
      </c>
      <c r="N2537" s="33" t="s">
        <v>6059</v>
      </c>
      <c r="O2537" s="33">
        <v>55200</v>
      </c>
      <c r="P2537" s="198" t="s">
        <v>5815</v>
      </c>
    </row>
    <row r="2538" spans="1:16" ht="18.75" hidden="1">
      <c r="A2538" s="50" t="s">
        <v>5509</v>
      </c>
      <c r="B2538" s="50" t="s">
        <v>5560</v>
      </c>
      <c r="C2538" s="50" t="s">
        <v>5597</v>
      </c>
      <c r="D2538" s="50" t="s">
        <v>5459</v>
      </c>
      <c r="E2538" s="12" t="s">
        <v>4971</v>
      </c>
      <c r="F2538" s="49">
        <v>50220</v>
      </c>
      <c r="G2538" s="67" t="s">
        <v>5611</v>
      </c>
      <c r="H2538" s="14" t="s">
        <v>5601</v>
      </c>
      <c r="I2538" s="14" t="s">
        <v>2458</v>
      </c>
      <c r="J2538" s="33" t="s">
        <v>7110</v>
      </c>
      <c r="K2538" s="33" t="s">
        <v>5600</v>
      </c>
      <c r="L2538" s="33" t="s">
        <v>6054</v>
      </c>
      <c r="M2538" s="68" t="s">
        <v>8912</v>
      </c>
      <c r="N2538" s="33" t="s">
        <v>6060</v>
      </c>
      <c r="O2538" s="33">
        <v>55107</v>
      </c>
      <c r="P2538" s="198" t="s">
        <v>5815</v>
      </c>
    </row>
    <row r="2539" spans="1:16" ht="18.75" hidden="1">
      <c r="A2539" s="50" t="s">
        <v>5551</v>
      </c>
      <c r="B2539" s="50" t="s">
        <v>5565</v>
      </c>
      <c r="C2539" s="50" t="s">
        <v>5378</v>
      </c>
      <c r="D2539" s="50" t="s">
        <v>5010</v>
      </c>
      <c r="E2539" s="12" t="s">
        <v>4971</v>
      </c>
      <c r="F2539" s="49">
        <v>97800</v>
      </c>
      <c r="G2539" s="67" t="s">
        <v>5611</v>
      </c>
      <c r="H2539" s="14" t="s">
        <v>5601</v>
      </c>
      <c r="I2539" s="14" t="s">
        <v>2458</v>
      </c>
      <c r="J2539" s="33" t="s">
        <v>7110</v>
      </c>
      <c r="K2539" s="33" t="s">
        <v>5600</v>
      </c>
      <c r="L2539" s="33" t="s">
        <v>6054</v>
      </c>
      <c r="M2539" s="68" t="s">
        <v>8912</v>
      </c>
      <c r="N2539" s="33" t="s">
        <v>6061</v>
      </c>
      <c r="O2539" s="33">
        <v>55301</v>
      </c>
      <c r="P2539" s="198" t="s">
        <v>5758</v>
      </c>
    </row>
    <row r="2540" spans="1:16" ht="18.75" hidden="1">
      <c r="A2540" s="50" t="s">
        <v>5552</v>
      </c>
      <c r="B2540" s="50" t="s">
        <v>5563</v>
      </c>
      <c r="C2540" s="50" t="s">
        <v>5433</v>
      </c>
      <c r="D2540" s="50" t="s">
        <v>5011</v>
      </c>
      <c r="E2540" s="12" t="s">
        <v>4971</v>
      </c>
      <c r="F2540" s="49">
        <v>49740</v>
      </c>
      <c r="G2540" s="67" t="s">
        <v>5699</v>
      </c>
      <c r="H2540" s="14" t="s">
        <v>5601</v>
      </c>
      <c r="I2540" s="14" t="s">
        <v>2458</v>
      </c>
      <c r="J2540" s="33" t="s">
        <v>7110</v>
      </c>
      <c r="K2540" s="33" t="s">
        <v>5600</v>
      </c>
      <c r="L2540" s="33" t="s">
        <v>6054</v>
      </c>
      <c r="M2540" s="68" t="s">
        <v>8912</v>
      </c>
      <c r="N2540" s="33" t="s">
        <v>6059</v>
      </c>
      <c r="O2540" s="33">
        <v>55200</v>
      </c>
      <c r="P2540" s="198" t="s">
        <v>5776</v>
      </c>
    </row>
    <row r="2541" spans="1:16" ht="18.75" hidden="1">
      <c r="A2541" s="50" t="s">
        <v>5513</v>
      </c>
      <c r="B2541" s="50" t="s">
        <v>5562</v>
      </c>
      <c r="C2541" s="50" t="s">
        <v>5597</v>
      </c>
      <c r="D2541" s="50" t="s">
        <v>5459</v>
      </c>
      <c r="E2541" s="12" t="s">
        <v>4971</v>
      </c>
      <c r="F2541" s="49">
        <v>76530</v>
      </c>
      <c r="G2541" s="67" t="s">
        <v>5611</v>
      </c>
      <c r="H2541" s="14" t="s">
        <v>5601</v>
      </c>
      <c r="I2541" s="14" t="s">
        <v>2458</v>
      </c>
      <c r="J2541" s="33" t="s">
        <v>7110</v>
      </c>
      <c r="K2541" s="33" t="s">
        <v>5600</v>
      </c>
      <c r="L2541" s="33" t="s">
        <v>6054</v>
      </c>
      <c r="M2541" s="68" t="s">
        <v>8912</v>
      </c>
      <c r="N2541" s="33" t="s">
        <v>6059</v>
      </c>
      <c r="O2541" s="33">
        <v>55200</v>
      </c>
      <c r="P2541" s="198" t="s">
        <v>5815</v>
      </c>
    </row>
    <row r="2542" spans="1:16" ht="18.75" hidden="1">
      <c r="A2542" s="50" t="s">
        <v>5553</v>
      </c>
      <c r="B2542" s="50" t="s">
        <v>5556</v>
      </c>
      <c r="C2542" s="50" t="s">
        <v>5433</v>
      </c>
      <c r="D2542" s="50" t="s">
        <v>5011</v>
      </c>
      <c r="E2542" s="12" t="s">
        <v>4971</v>
      </c>
      <c r="F2542" s="49">
        <v>174370</v>
      </c>
      <c r="G2542" s="67" t="s">
        <v>5699</v>
      </c>
      <c r="H2542" s="14" t="s">
        <v>5601</v>
      </c>
      <c r="I2542" s="14" t="s">
        <v>2458</v>
      </c>
      <c r="J2542" s="33" t="s">
        <v>7110</v>
      </c>
      <c r="K2542" s="33" t="s">
        <v>5600</v>
      </c>
      <c r="L2542" s="33" t="s">
        <v>6054</v>
      </c>
      <c r="M2542" s="68" t="s">
        <v>8912</v>
      </c>
      <c r="N2542" s="33" t="s">
        <v>6061</v>
      </c>
      <c r="O2542" s="33">
        <v>55301</v>
      </c>
      <c r="P2542" s="198" t="s">
        <v>5776</v>
      </c>
    </row>
    <row r="2543" spans="1:16" ht="18.75" hidden="1">
      <c r="A2543" s="50" t="s">
        <v>5517</v>
      </c>
      <c r="B2543" s="50" t="s">
        <v>5563</v>
      </c>
      <c r="C2543" s="50" t="s">
        <v>5433</v>
      </c>
      <c r="D2543" s="50" t="s">
        <v>5011</v>
      </c>
      <c r="E2543" s="12" t="s">
        <v>4971</v>
      </c>
      <c r="F2543" s="49">
        <v>113300</v>
      </c>
      <c r="G2543" s="67" t="s">
        <v>5699</v>
      </c>
      <c r="H2543" s="14" t="s">
        <v>5601</v>
      </c>
      <c r="I2543" s="14" t="s">
        <v>2458</v>
      </c>
      <c r="J2543" s="33" t="s">
        <v>7110</v>
      </c>
      <c r="K2543" s="33" t="s">
        <v>5600</v>
      </c>
      <c r="L2543" s="33" t="s">
        <v>6054</v>
      </c>
      <c r="M2543" s="68" t="s">
        <v>8912</v>
      </c>
      <c r="N2543" s="33" t="s">
        <v>6061</v>
      </c>
      <c r="O2543" s="33">
        <v>55301</v>
      </c>
      <c r="P2543" s="198" t="s">
        <v>5776</v>
      </c>
    </row>
    <row r="2544" spans="1:16" ht="18.75" hidden="1">
      <c r="A2544" s="50" t="s">
        <v>5510</v>
      </c>
      <c r="B2544" s="50" t="s">
        <v>5559</v>
      </c>
      <c r="C2544" s="50" t="s">
        <v>5598</v>
      </c>
      <c r="D2544" s="50" t="s">
        <v>5557</v>
      </c>
      <c r="E2544" s="12" t="s">
        <v>4971</v>
      </c>
      <c r="F2544" s="49">
        <v>139000</v>
      </c>
      <c r="G2544" s="67" t="s">
        <v>5611</v>
      </c>
      <c r="H2544" s="14" t="s">
        <v>5601</v>
      </c>
      <c r="I2544" s="14" t="s">
        <v>2458</v>
      </c>
      <c r="J2544" s="33" t="s">
        <v>7110</v>
      </c>
      <c r="K2544" s="33" t="s">
        <v>5600</v>
      </c>
      <c r="L2544" s="33" t="s">
        <v>6054</v>
      </c>
      <c r="M2544" s="68" t="s">
        <v>8913</v>
      </c>
      <c r="N2544" s="33" t="s">
        <v>6061</v>
      </c>
      <c r="O2544" s="33">
        <v>55301</v>
      </c>
      <c r="P2544" s="198" t="s">
        <v>5810</v>
      </c>
    </row>
    <row r="2545" spans="1:16" ht="18.75" hidden="1">
      <c r="A2545" s="50" t="s">
        <v>5511</v>
      </c>
      <c r="B2545" s="50" t="s">
        <v>5561</v>
      </c>
      <c r="C2545" s="50" t="s">
        <v>5598</v>
      </c>
      <c r="D2545" s="50" t="s">
        <v>5557</v>
      </c>
      <c r="E2545" s="12" t="s">
        <v>4971</v>
      </c>
      <c r="F2545" s="49">
        <v>98240</v>
      </c>
      <c r="G2545" s="67" t="s">
        <v>5611</v>
      </c>
      <c r="H2545" s="14" t="s">
        <v>5601</v>
      </c>
      <c r="I2545" s="14" t="s">
        <v>2458</v>
      </c>
      <c r="J2545" s="33" t="s">
        <v>7110</v>
      </c>
      <c r="K2545" s="33" t="s">
        <v>5600</v>
      </c>
      <c r="L2545" s="33" t="s">
        <v>6054</v>
      </c>
      <c r="M2545" s="68" t="s">
        <v>8913</v>
      </c>
      <c r="N2545" s="33" t="s">
        <v>6061</v>
      </c>
      <c r="O2545" s="33">
        <v>55301</v>
      </c>
      <c r="P2545" s="198" t="s">
        <v>5810</v>
      </c>
    </row>
    <row r="2546" spans="1:16" ht="18.75" hidden="1">
      <c r="A2546" s="50" t="s">
        <v>5554</v>
      </c>
      <c r="B2546" s="50" t="s">
        <v>5563</v>
      </c>
      <c r="C2546" s="50" t="s">
        <v>5433</v>
      </c>
      <c r="D2546" s="50" t="s">
        <v>5011</v>
      </c>
      <c r="E2546" s="12" t="s">
        <v>4971</v>
      </c>
      <c r="F2546" s="49">
        <v>98440</v>
      </c>
      <c r="G2546" s="67" t="s">
        <v>5699</v>
      </c>
      <c r="H2546" s="14" t="s">
        <v>5601</v>
      </c>
      <c r="I2546" s="14" t="s">
        <v>2458</v>
      </c>
      <c r="J2546" s="33" t="s">
        <v>7110</v>
      </c>
      <c r="K2546" s="33" t="s">
        <v>5600</v>
      </c>
      <c r="L2546" s="33" t="s">
        <v>6054</v>
      </c>
      <c r="M2546" s="68" t="s">
        <v>8913</v>
      </c>
      <c r="N2546" s="33" t="s">
        <v>6061</v>
      </c>
      <c r="O2546" s="33">
        <v>55301</v>
      </c>
      <c r="P2546" s="198" t="s">
        <v>5776</v>
      </c>
    </row>
    <row r="2547" spans="1:16" ht="18.75" hidden="1">
      <c r="A2547" s="50" t="s">
        <v>5518</v>
      </c>
      <c r="B2547" s="50" t="s">
        <v>5459</v>
      </c>
      <c r="C2547" s="50" t="s">
        <v>5433</v>
      </c>
      <c r="D2547" s="50" t="s">
        <v>5011</v>
      </c>
      <c r="E2547" s="12" t="s">
        <v>4971</v>
      </c>
      <c r="F2547" s="49">
        <v>104051</v>
      </c>
      <c r="G2547" s="67" t="s">
        <v>5699</v>
      </c>
      <c r="H2547" s="14" t="s">
        <v>5601</v>
      </c>
      <c r="I2547" s="14" t="s">
        <v>2458</v>
      </c>
      <c r="J2547" s="33" t="s">
        <v>7110</v>
      </c>
      <c r="K2547" s="33" t="s">
        <v>5600</v>
      </c>
      <c r="L2547" s="33" t="s">
        <v>6054</v>
      </c>
      <c r="M2547" s="68" t="s">
        <v>8912</v>
      </c>
      <c r="N2547" s="33" t="s">
        <v>6061</v>
      </c>
      <c r="O2547" s="33">
        <v>55301</v>
      </c>
      <c r="P2547" s="198" t="s">
        <v>5776</v>
      </c>
    </row>
    <row r="2548" spans="1:16" ht="18.75" hidden="1">
      <c r="A2548" s="50" t="s">
        <v>5506</v>
      </c>
      <c r="B2548" s="50" t="s">
        <v>5460</v>
      </c>
      <c r="C2548" s="50" t="s">
        <v>5597</v>
      </c>
      <c r="D2548" s="50" t="s">
        <v>5459</v>
      </c>
      <c r="E2548" s="12" t="s">
        <v>4971</v>
      </c>
      <c r="F2548" s="49">
        <v>21970</v>
      </c>
      <c r="G2548" s="67" t="s">
        <v>5611</v>
      </c>
      <c r="H2548" s="14" t="s">
        <v>5601</v>
      </c>
      <c r="I2548" s="14" t="s">
        <v>2458</v>
      </c>
      <c r="J2548" s="33" t="s">
        <v>7110</v>
      </c>
      <c r="K2548" s="33" t="s">
        <v>5600</v>
      </c>
      <c r="L2548" s="33" t="s">
        <v>6054</v>
      </c>
      <c r="M2548" s="68" t="s">
        <v>8912</v>
      </c>
      <c r="N2548" s="33" t="s">
        <v>6059</v>
      </c>
      <c r="O2548" s="33">
        <v>55200</v>
      </c>
      <c r="P2548" s="198" t="s">
        <v>5815</v>
      </c>
    </row>
    <row r="2549" spans="1:16" ht="18.75" hidden="1">
      <c r="A2549" s="50" t="s">
        <v>5528</v>
      </c>
      <c r="B2549" s="50" t="s">
        <v>5457</v>
      </c>
      <c r="C2549" s="50" t="s">
        <v>4509</v>
      </c>
      <c r="D2549" s="50" t="s">
        <v>4183</v>
      </c>
      <c r="E2549" s="12" t="s">
        <v>3420</v>
      </c>
      <c r="F2549" s="49">
        <v>56000</v>
      </c>
      <c r="G2549" s="67" t="s">
        <v>5699</v>
      </c>
      <c r="H2549" s="14" t="s">
        <v>5601</v>
      </c>
      <c r="I2549" s="14" t="s">
        <v>2458</v>
      </c>
      <c r="J2549" s="33" t="s">
        <v>7110</v>
      </c>
      <c r="K2549" s="33" t="s">
        <v>5600</v>
      </c>
      <c r="L2549" s="33" t="s">
        <v>6054</v>
      </c>
      <c r="M2549" s="68" t="s">
        <v>8912</v>
      </c>
      <c r="N2549" s="33" t="s">
        <v>6059</v>
      </c>
      <c r="O2549" s="33">
        <v>55200</v>
      </c>
      <c r="P2549" s="198" t="s">
        <v>5715</v>
      </c>
    </row>
    <row r="2550" spans="1:16" ht="18.75" hidden="1">
      <c r="A2550" s="50" t="s">
        <v>5522</v>
      </c>
      <c r="B2550" s="50" t="s">
        <v>5564</v>
      </c>
      <c r="C2550" s="50" t="s">
        <v>5378</v>
      </c>
      <c r="D2550" s="50" t="s">
        <v>5010</v>
      </c>
      <c r="E2550" s="12" t="s">
        <v>4971</v>
      </c>
      <c r="F2550" s="49">
        <v>10010</v>
      </c>
      <c r="G2550" s="67" t="s">
        <v>5611</v>
      </c>
      <c r="H2550" s="14" t="s">
        <v>5601</v>
      </c>
      <c r="I2550" s="14" t="s">
        <v>2458</v>
      </c>
      <c r="J2550" s="33" t="s">
        <v>7110</v>
      </c>
      <c r="K2550" s="33" t="s">
        <v>5600</v>
      </c>
      <c r="L2550" s="33" t="s">
        <v>6054</v>
      </c>
      <c r="M2550" s="68" t="s">
        <v>8912</v>
      </c>
      <c r="N2550" s="33" t="s">
        <v>6061</v>
      </c>
      <c r="O2550" s="33">
        <v>55301</v>
      </c>
      <c r="P2550" s="198" t="s">
        <v>5758</v>
      </c>
    </row>
    <row r="2551" spans="1:16" ht="18.75" hidden="1">
      <c r="A2551" s="50" t="s">
        <v>5522</v>
      </c>
      <c r="B2551" s="50" t="s">
        <v>5564</v>
      </c>
      <c r="C2551" s="50" t="s">
        <v>5433</v>
      </c>
      <c r="D2551" s="50" t="s">
        <v>5011</v>
      </c>
      <c r="E2551" s="12" t="s">
        <v>4971</v>
      </c>
      <c r="F2551" s="49">
        <v>12300</v>
      </c>
      <c r="G2551" s="67" t="s">
        <v>5699</v>
      </c>
      <c r="H2551" s="14" t="s">
        <v>5601</v>
      </c>
      <c r="I2551" s="14" t="s">
        <v>2458</v>
      </c>
      <c r="J2551" s="33" t="s">
        <v>7110</v>
      </c>
      <c r="K2551" s="33" t="s">
        <v>5600</v>
      </c>
      <c r="L2551" s="33" t="s">
        <v>6054</v>
      </c>
      <c r="M2551" s="68" t="s">
        <v>8912</v>
      </c>
      <c r="N2551" s="33" t="s">
        <v>6061</v>
      </c>
      <c r="O2551" s="33">
        <v>55301</v>
      </c>
      <c r="P2551" s="198" t="s">
        <v>5776</v>
      </c>
    </row>
    <row r="2552" spans="1:16" ht="18.75" hidden="1">
      <c r="A2552" s="50" t="s">
        <v>5521</v>
      </c>
      <c r="B2552" s="50" t="s">
        <v>5555</v>
      </c>
      <c r="C2552" s="50" t="s">
        <v>5433</v>
      </c>
      <c r="D2552" s="50" t="s">
        <v>5011</v>
      </c>
      <c r="E2552" s="12" t="s">
        <v>4971</v>
      </c>
      <c r="F2552" s="49">
        <v>25360</v>
      </c>
      <c r="G2552" s="67" t="s">
        <v>5699</v>
      </c>
      <c r="H2552" s="14" t="s">
        <v>5601</v>
      </c>
      <c r="I2552" s="14" t="s">
        <v>2458</v>
      </c>
      <c r="J2552" s="33" t="s">
        <v>7110</v>
      </c>
      <c r="K2552" s="33" t="s">
        <v>5600</v>
      </c>
      <c r="L2552" s="33" t="s">
        <v>6054</v>
      </c>
      <c r="M2552" s="68" t="s">
        <v>8912</v>
      </c>
      <c r="N2552" s="33" t="s">
        <v>6059</v>
      </c>
      <c r="O2552" s="33">
        <v>55200</v>
      </c>
      <c r="P2552" s="198" t="s">
        <v>5776</v>
      </c>
    </row>
    <row r="2553" spans="1:16" ht="18.75" hidden="1">
      <c r="A2553" s="50" t="s">
        <v>5531</v>
      </c>
      <c r="B2553" s="50" t="s">
        <v>5563</v>
      </c>
      <c r="C2553" s="50" t="s">
        <v>5433</v>
      </c>
      <c r="D2553" s="50" t="s">
        <v>5011</v>
      </c>
      <c r="E2553" s="12" t="s">
        <v>4971</v>
      </c>
      <c r="F2553" s="49">
        <v>53440</v>
      </c>
      <c r="G2553" s="67" t="s">
        <v>5699</v>
      </c>
      <c r="H2553" s="14" t="s">
        <v>5601</v>
      </c>
      <c r="I2553" s="14" t="s">
        <v>2458</v>
      </c>
      <c r="J2553" s="33" t="s">
        <v>7110</v>
      </c>
      <c r="K2553" s="33" t="s">
        <v>5600</v>
      </c>
      <c r="L2553" s="33" t="s">
        <v>6054</v>
      </c>
      <c r="M2553" s="68" t="s">
        <v>8912</v>
      </c>
      <c r="N2553" s="33" t="s">
        <v>6060</v>
      </c>
      <c r="O2553" s="33">
        <v>55107</v>
      </c>
      <c r="P2553" s="198" t="s">
        <v>5776</v>
      </c>
    </row>
    <row r="2554" spans="1:16" ht="18.75" hidden="1">
      <c r="A2554" s="50" t="s">
        <v>5540</v>
      </c>
      <c r="B2554" s="50" t="s">
        <v>5558</v>
      </c>
      <c r="C2554" s="50" t="s">
        <v>5433</v>
      </c>
      <c r="D2554" s="50" t="s">
        <v>5011</v>
      </c>
      <c r="E2554" s="12" t="s">
        <v>4971</v>
      </c>
      <c r="F2554" s="49">
        <v>27670</v>
      </c>
      <c r="G2554" s="67" t="s">
        <v>5699</v>
      </c>
      <c r="H2554" s="14" t="s">
        <v>5601</v>
      </c>
      <c r="I2554" s="14" t="s">
        <v>2458</v>
      </c>
      <c r="J2554" s="33" t="s">
        <v>7110</v>
      </c>
      <c r="K2554" s="33" t="s">
        <v>5600</v>
      </c>
      <c r="L2554" s="33" t="s">
        <v>6054</v>
      </c>
      <c r="M2554" s="68" t="s">
        <v>8913</v>
      </c>
      <c r="N2554" s="33" t="s">
        <v>6060</v>
      </c>
      <c r="O2554" s="33">
        <v>55107</v>
      </c>
      <c r="P2554" s="198" t="s">
        <v>5776</v>
      </c>
    </row>
    <row r="2555" spans="1:16" ht="18.75" hidden="1">
      <c r="A2555" s="50" t="s">
        <v>5542</v>
      </c>
      <c r="B2555" s="50" t="s">
        <v>5479</v>
      </c>
      <c r="C2555" s="50" t="s">
        <v>5597</v>
      </c>
      <c r="D2555" s="50" t="s">
        <v>5459</v>
      </c>
      <c r="E2555" s="12" t="s">
        <v>4971</v>
      </c>
      <c r="F2555" s="49">
        <v>51280</v>
      </c>
      <c r="G2555" s="67" t="s">
        <v>5611</v>
      </c>
      <c r="H2555" s="14" t="s">
        <v>5601</v>
      </c>
      <c r="I2555" s="14" t="s">
        <v>2458</v>
      </c>
      <c r="J2555" s="33" t="s">
        <v>7110</v>
      </c>
      <c r="K2555" s="33" t="s">
        <v>5600</v>
      </c>
      <c r="L2555" s="33" t="s">
        <v>6054</v>
      </c>
      <c r="M2555" s="68" t="s">
        <v>8912</v>
      </c>
      <c r="N2555" s="33" t="s">
        <v>6059</v>
      </c>
      <c r="O2555" s="33">
        <v>55200</v>
      </c>
      <c r="P2555" s="198" t="s">
        <v>5815</v>
      </c>
    </row>
    <row r="2556" spans="1:16" ht="18.75" hidden="1">
      <c r="A2556" s="50" t="s">
        <v>5546</v>
      </c>
      <c r="B2556" s="50" t="s">
        <v>5566</v>
      </c>
      <c r="C2556" s="50" t="s">
        <v>5599</v>
      </c>
      <c r="D2556" s="50" t="s">
        <v>5482</v>
      </c>
      <c r="E2556" s="12" t="s">
        <v>4971</v>
      </c>
      <c r="F2556" s="49">
        <v>75460</v>
      </c>
      <c r="G2556" s="67" t="s">
        <v>5611</v>
      </c>
      <c r="H2556" s="14" t="s">
        <v>5601</v>
      </c>
      <c r="I2556" s="14" t="s">
        <v>2458</v>
      </c>
      <c r="J2556" s="33" t="s">
        <v>7110</v>
      </c>
      <c r="K2556" s="33" t="s">
        <v>5600</v>
      </c>
      <c r="L2556" s="33" t="s">
        <v>6054</v>
      </c>
      <c r="M2556" s="68" t="s">
        <v>8912</v>
      </c>
      <c r="N2556" s="33" t="s">
        <v>6059</v>
      </c>
      <c r="O2556" s="33">
        <v>55200</v>
      </c>
      <c r="P2556" s="198" t="s">
        <v>5813</v>
      </c>
    </row>
    <row r="2557" spans="1:16" ht="18.75" hidden="1">
      <c r="A2557" s="50" t="s">
        <v>6062</v>
      </c>
      <c r="B2557" s="50" t="s">
        <v>5287</v>
      </c>
      <c r="C2557" s="50" t="s">
        <v>5213</v>
      </c>
      <c r="D2557" s="50" t="s">
        <v>5047</v>
      </c>
      <c r="E2557" s="12" t="s">
        <v>4971</v>
      </c>
      <c r="F2557" s="49">
        <v>19620</v>
      </c>
      <c r="G2557" s="67" t="s">
        <v>5611</v>
      </c>
      <c r="H2557" s="14" t="s">
        <v>5601</v>
      </c>
      <c r="I2557" s="14" t="s">
        <v>2458</v>
      </c>
      <c r="J2557" s="33" t="s">
        <v>7110</v>
      </c>
      <c r="K2557" s="33" t="s">
        <v>6075</v>
      </c>
      <c r="L2557" s="33" t="s">
        <v>6054</v>
      </c>
      <c r="M2557" s="68" t="s">
        <v>8912</v>
      </c>
      <c r="N2557" s="33" t="s">
        <v>6076</v>
      </c>
      <c r="O2557" s="33">
        <v>55301</v>
      </c>
      <c r="P2557" s="198" t="s">
        <v>5762</v>
      </c>
    </row>
    <row r="2558" spans="1:16" ht="18.75" hidden="1">
      <c r="A2558" s="50" t="s">
        <v>6063</v>
      </c>
      <c r="B2558" s="50" t="s">
        <v>5419</v>
      </c>
      <c r="C2558" s="50" t="s">
        <v>4504</v>
      </c>
      <c r="D2558" s="50" t="s">
        <v>4178</v>
      </c>
      <c r="E2558" s="12" t="s">
        <v>3420</v>
      </c>
      <c r="F2558" s="49">
        <v>39211</v>
      </c>
      <c r="G2558" s="67" t="s">
        <v>5699</v>
      </c>
      <c r="H2558" s="14" t="s">
        <v>5601</v>
      </c>
      <c r="I2558" s="14" t="s">
        <v>2458</v>
      </c>
      <c r="J2558" s="33" t="s">
        <v>7110</v>
      </c>
      <c r="K2558" s="33" t="s">
        <v>6075</v>
      </c>
      <c r="L2558" s="33" t="s">
        <v>6054</v>
      </c>
      <c r="M2558" s="68" t="s">
        <v>8912</v>
      </c>
      <c r="N2558" s="33" t="s">
        <v>6076</v>
      </c>
      <c r="O2558" s="33">
        <v>55301</v>
      </c>
      <c r="P2558" s="198" t="s">
        <v>5715</v>
      </c>
    </row>
    <row r="2559" spans="1:16" ht="18.75" hidden="1">
      <c r="A2559" s="50" t="s">
        <v>6064</v>
      </c>
      <c r="B2559" s="50" t="s">
        <v>5287</v>
      </c>
      <c r="C2559" s="50" t="s">
        <v>4504</v>
      </c>
      <c r="D2559" s="50" t="s">
        <v>4178</v>
      </c>
      <c r="E2559" s="12" t="s">
        <v>3420</v>
      </c>
      <c r="F2559" s="49">
        <v>94380</v>
      </c>
      <c r="G2559" s="67" t="s">
        <v>5699</v>
      </c>
      <c r="H2559" s="14" t="s">
        <v>5601</v>
      </c>
      <c r="I2559" s="14" t="s">
        <v>2458</v>
      </c>
      <c r="J2559" s="33" t="s">
        <v>7110</v>
      </c>
      <c r="K2559" s="33" t="s">
        <v>6075</v>
      </c>
      <c r="L2559" s="33" t="s">
        <v>6054</v>
      </c>
      <c r="M2559" s="68" t="s">
        <v>8913</v>
      </c>
      <c r="N2559" s="33" t="s">
        <v>6076</v>
      </c>
      <c r="O2559" s="33">
        <v>55301</v>
      </c>
      <c r="P2559" s="198" t="s">
        <v>5715</v>
      </c>
    </row>
    <row r="2560" spans="1:16" ht="18.75" hidden="1">
      <c r="A2560" s="50" t="s">
        <v>6065</v>
      </c>
      <c r="B2560" s="50" t="s">
        <v>5303</v>
      </c>
      <c r="C2560" s="50" t="s">
        <v>5428</v>
      </c>
      <c r="D2560" s="50" t="s">
        <v>5230</v>
      </c>
      <c r="E2560" s="12" t="s">
        <v>4971</v>
      </c>
      <c r="F2560" s="49">
        <v>70140</v>
      </c>
      <c r="G2560" s="67" t="s">
        <v>5611</v>
      </c>
      <c r="H2560" s="14" t="s">
        <v>5601</v>
      </c>
      <c r="I2560" s="14" t="s">
        <v>2458</v>
      </c>
      <c r="J2560" s="33" t="s">
        <v>7110</v>
      </c>
      <c r="K2560" s="33" t="s">
        <v>6075</v>
      </c>
      <c r="L2560" s="33" t="s">
        <v>6054</v>
      </c>
      <c r="M2560" s="68" t="s">
        <v>8912</v>
      </c>
      <c r="N2560" s="33" t="s">
        <v>6076</v>
      </c>
      <c r="O2560" s="33">
        <v>55301</v>
      </c>
      <c r="P2560" s="198" t="s">
        <v>5799</v>
      </c>
    </row>
    <row r="2561" spans="1:16" ht="18.75" hidden="1">
      <c r="A2561" s="50" t="s">
        <v>6062</v>
      </c>
      <c r="B2561" s="50" t="s">
        <v>5287</v>
      </c>
      <c r="C2561" s="50" t="s">
        <v>5435</v>
      </c>
      <c r="D2561" s="50" t="s">
        <v>5367</v>
      </c>
      <c r="E2561" s="12" t="s">
        <v>4971</v>
      </c>
      <c r="F2561" s="49">
        <v>140960</v>
      </c>
      <c r="G2561" s="67" t="s">
        <v>5611</v>
      </c>
      <c r="H2561" s="14" t="s">
        <v>5601</v>
      </c>
      <c r="I2561" s="14" t="s">
        <v>2458</v>
      </c>
      <c r="J2561" s="33" t="s">
        <v>7110</v>
      </c>
      <c r="K2561" s="33" t="s">
        <v>6075</v>
      </c>
      <c r="L2561" s="33" t="s">
        <v>6054</v>
      </c>
      <c r="M2561" s="68" t="s">
        <v>8912</v>
      </c>
      <c r="N2561" s="33" t="s">
        <v>6076</v>
      </c>
      <c r="O2561" s="33">
        <v>55301</v>
      </c>
      <c r="P2561" s="198" t="s">
        <v>5799</v>
      </c>
    </row>
    <row r="2562" spans="1:16" ht="18.75" hidden="1">
      <c r="A2562" s="50" t="s">
        <v>6065</v>
      </c>
      <c r="B2562" s="50" t="s">
        <v>5303</v>
      </c>
      <c r="C2562" s="50" t="s">
        <v>5435</v>
      </c>
      <c r="D2562" s="50" t="s">
        <v>5367</v>
      </c>
      <c r="E2562" s="12" t="s">
        <v>4971</v>
      </c>
      <c r="F2562" s="49">
        <v>50000</v>
      </c>
      <c r="G2562" s="67" t="s">
        <v>5611</v>
      </c>
      <c r="H2562" s="14" t="s">
        <v>5601</v>
      </c>
      <c r="I2562" s="14" t="s">
        <v>2458</v>
      </c>
      <c r="J2562" s="33" t="s">
        <v>7110</v>
      </c>
      <c r="K2562" s="33" t="s">
        <v>6075</v>
      </c>
      <c r="L2562" s="33" t="s">
        <v>6054</v>
      </c>
      <c r="M2562" s="68" t="s">
        <v>8912</v>
      </c>
      <c r="N2562" s="33" t="s">
        <v>6076</v>
      </c>
      <c r="O2562" s="33">
        <v>55301</v>
      </c>
      <c r="P2562" s="198" t="s">
        <v>5799</v>
      </c>
    </row>
    <row r="2563" spans="1:16" ht="18.75" hidden="1">
      <c r="A2563" s="50" t="s">
        <v>6066</v>
      </c>
      <c r="B2563" s="50" t="s">
        <v>6074</v>
      </c>
      <c r="C2563" s="50" t="s">
        <v>5427</v>
      </c>
      <c r="D2563" s="50" t="s">
        <v>5413</v>
      </c>
      <c r="E2563" s="12" t="s">
        <v>4971</v>
      </c>
      <c r="F2563" s="49">
        <v>72120</v>
      </c>
      <c r="G2563" s="67" t="s">
        <v>5647</v>
      </c>
      <c r="H2563" s="14" t="s">
        <v>5601</v>
      </c>
      <c r="I2563" s="14" t="s">
        <v>2458</v>
      </c>
      <c r="J2563" s="33" t="s">
        <v>7110</v>
      </c>
      <c r="K2563" s="33" t="s">
        <v>6075</v>
      </c>
      <c r="L2563" s="33" t="s">
        <v>6054</v>
      </c>
      <c r="M2563" s="68" t="s">
        <v>8913</v>
      </c>
      <c r="N2563" s="33" t="s">
        <v>6076</v>
      </c>
      <c r="O2563" s="33">
        <v>55301</v>
      </c>
      <c r="P2563" s="198" t="s">
        <v>5806</v>
      </c>
    </row>
    <row r="2564" spans="1:16" ht="18.75" hidden="1">
      <c r="A2564" s="50" t="s">
        <v>6067</v>
      </c>
      <c r="B2564" s="50" t="s">
        <v>6074</v>
      </c>
      <c r="C2564" s="50" t="s">
        <v>5278</v>
      </c>
      <c r="D2564" s="50" t="s">
        <v>5012</v>
      </c>
      <c r="E2564" s="12" t="s">
        <v>4971</v>
      </c>
      <c r="F2564" s="49">
        <v>991</v>
      </c>
      <c r="G2564" s="67" t="s">
        <v>5611</v>
      </c>
      <c r="H2564" s="14" t="s">
        <v>5601</v>
      </c>
      <c r="I2564" s="14" t="s">
        <v>2458</v>
      </c>
      <c r="J2564" s="33" t="s">
        <v>7110</v>
      </c>
      <c r="K2564" s="33" t="s">
        <v>6075</v>
      </c>
      <c r="L2564" s="33" t="s">
        <v>6054</v>
      </c>
      <c r="M2564" s="68" t="s">
        <v>8912</v>
      </c>
      <c r="N2564" s="33" t="s">
        <v>6076</v>
      </c>
      <c r="O2564" s="33">
        <v>55301</v>
      </c>
      <c r="P2564" s="198" t="s">
        <v>5762</v>
      </c>
    </row>
    <row r="2565" spans="1:16" ht="18.75" hidden="1">
      <c r="A2565" s="50" t="s">
        <v>6067</v>
      </c>
      <c r="B2565" s="50" t="s">
        <v>6074</v>
      </c>
      <c r="C2565" s="50" t="s">
        <v>5430</v>
      </c>
      <c r="D2565" s="50" t="s">
        <v>5046</v>
      </c>
      <c r="E2565" s="12" t="s">
        <v>4971</v>
      </c>
      <c r="F2565" s="49">
        <v>25490</v>
      </c>
      <c r="G2565" s="67" t="s">
        <v>5699</v>
      </c>
      <c r="H2565" s="14" t="s">
        <v>5601</v>
      </c>
      <c r="I2565" s="14" t="s">
        <v>2458</v>
      </c>
      <c r="J2565" s="33" t="s">
        <v>7110</v>
      </c>
      <c r="K2565" s="33" t="s">
        <v>6075</v>
      </c>
      <c r="L2565" s="33" t="s">
        <v>6054</v>
      </c>
      <c r="M2565" s="68" t="s">
        <v>8912</v>
      </c>
      <c r="N2565" s="33" t="s">
        <v>6076</v>
      </c>
      <c r="O2565" s="33">
        <v>55301</v>
      </c>
      <c r="P2565" s="198" t="s">
        <v>5776</v>
      </c>
    </row>
    <row r="2566" spans="1:16" ht="18.75" hidden="1">
      <c r="A2566" s="50" t="s">
        <v>6068</v>
      </c>
      <c r="B2566" s="50" t="s">
        <v>5413</v>
      </c>
      <c r="C2566" s="50" t="s">
        <v>5430</v>
      </c>
      <c r="D2566" s="50" t="s">
        <v>5046</v>
      </c>
      <c r="E2566" s="12" t="s">
        <v>4971</v>
      </c>
      <c r="F2566" s="49">
        <v>118900</v>
      </c>
      <c r="G2566" s="67" t="s">
        <v>5699</v>
      </c>
      <c r="H2566" s="14" t="s">
        <v>5601</v>
      </c>
      <c r="I2566" s="14" t="s">
        <v>2458</v>
      </c>
      <c r="J2566" s="33" t="s">
        <v>7110</v>
      </c>
      <c r="K2566" s="33" t="s">
        <v>6075</v>
      </c>
      <c r="L2566" s="33" t="s">
        <v>6054</v>
      </c>
      <c r="M2566" s="68" t="s">
        <v>8913</v>
      </c>
      <c r="N2566" s="33" t="s">
        <v>6076</v>
      </c>
      <c r="O2566" s="33">
        <v>55301</v>
      </c>
      <c r="P2566" s="198" t="s">
        <v>5776</v>
      </c>
    </row>
    <row r="2567" spans="1:16" ht="18.75" hidden="1">
      <c r="A2567" s="50" t="s">
        <v>6063</v>
      </c>
      <c r="B2567" s="50" t="s">
        <v>5419</v>
      </c>
      <c r="C2567" s="50" t="s">
        <v>5278</v>
      </c>
      <c r="D2567" s="50" t="s">
        <v>5012</v>
      </c>
      <c r="E2567" s="12" t="s">
        <v>4971</v>
      </c>
      <c r="F2567" s="49">
        <v>6099</v>
      </c>
      <c r="G2567" s="67" t="s">
        <v>5611</v>
      </c>
      <c r="H2567" s="14" t="s">
        <v>5601</v>
      </c>
      <c r="I2567" s="14" t="s">
        <v>2458</v>
      </c>
      <c r="J2567" s="33" t="s">
        <v>7110</v>
      </c>
      <c r="K2567" s="33" t="s">
        <v>6075</v>
      </c>
      <c r="L2567" s="33" t="s">
        <v>6054</v>
      </c>
      <c r="M2567" s="68" t="s">
        <v>8912</v>
      </c>
      <c r="N2567" s="33" t="s">
        <v>6076</v>
      </c>
      <c r="O2567" s="33">
        <v>55301</v>
      </c>
      <c r="P2567" s="198" t="s">
        <v>5762</v>
      </c>
    </row>
    <row r="2568" spans="1:16" ht="18.75" hidden="1">
      <c r="A2568" s="50" t="s">
        <v>6069</v>
      </c>
      <c r="B2568" s="50" t="s">
        <v>5420</v>
      </c>
      <c r="C2568" s="50" t="s">
        <v>4506</v>
      </c>
      <c r="D2568" s="50" t="s">
        <v>4178</v>
      </c>
      <c r="E2568" s="12" t="s">
        <v>3420</v>
      </c>
      <c r="F2568" s="49">
        <v>200000</v>
      </c>
      <c r="G2568" s="67" t="s">
        <v>5699</v>
      </c>
      <c r="H2568" s="14" t="s">
        <v>5601</v>
      </c>
      <c r="I2568" s="14" t="s">
        <v>2458</v>
      </c>
      <c r="J2568" s="33" t="s">
        <v>7110</v>
      </c>
      <c r="K2568" s="33" t="s">
        <v>6075</v>
      </c>
      <c r="L2568" s="33" t="s">
        <v>6054</v>
      </c>
      <c r="M2568" s="68" t="s">
        <v>8912</v>
      </c>
      <c r="N2568" s="33" t="s">
        <v>6076</v>
      </c>
      <c r="O2568" s="33">
        <v>55301</v>
      </c>
      <c r="P2568" s="198" t="s">
        <v>5715</v>
      </c>
    </row>
    <row r="2569" spans="1:16" ht="18.75" hidden="1">
      <c r="A2569" s="50" t="s">
        <v>6070</v>
      </c>
      <c r="B2569" s="50" t="s">
        <v>5413</v>
      </c>
      <c r="C2569" s="50" t="s">
        <v>5279</v>
      </c>
      <c r="D2569" s="50" t="s">
        <v>5046</v>
      </c>
      <c r="E2569" s="12" t="s">
        <v>4971</v>
      </c>
      <c r="F2569" s="49">
        <v>17740</v>
      </c>
      <c r="G2569" s="67" t="s">
        <v>5611</v>
      </c>
      <c r="H2569" s="14" t="s">
        <v>5601</v>
      </c>
      <c r="I2569" s="14" t="s">
        <v>2458</v>
      </c>
      <c r="J2569" s="33" t="s">
        <v>7110</v>
      </c>
      <c r="K2569" s="33" t="s">
        <v>6075</v>
      </c>
      <c r="L2569" s="33" t="s">
        <v>6054</v>
      </c>
      <c r="M2569" s="68" t="s">
        <v>8912</v>
      </c>
      <c r="N2569" s="33" t="s">
        <v>6076</v>
      </c>
      <c r="O2569" s="33">
        <v>55301</v>
      </c>
      <c r="P2569" s="198" t="s">
        <v>5758</v>
      </c>
    </row>
    <row r="2570" spans="1:16" ht="18.75" hidden="1">
      <c r="A2570" s="50" t="s">
        <v>6070</v>
      </c>
      <c r="B2570" s="50" t="s">
        <v>5413</v>
      </c>
      <c r="C2570" s="50" t="s">
        <v>5430</v>
      </c>
      <c r="D2570" s="50" t="s">
        <v>5046</v>
      </c>
      <c r="E2570" s="12" t="s">
        <v>4971</v>
      </c>
      <c r="F2570" s="49">
        <v>141900</v>
      </c>
      <c r="G2570" s="67" t="s">
        <v>5699</v>
      </c>
      <c r="H2570" s="14" t="s">
        <v>5601</v>
      </c>
      <c r="I2570" s="14" t="s">
        <v>2458</v>
      </c>
      <c r="J2570" s="33" t="s">
        <v>7110</v>
      </c>
      <c r="K2570" s="33" t="s">
        <v>6075</v>
      </c>
      <c r="L2570" s="33" t="s">
        <v>6054</v>
      </c>
      <c r="M2570" s="68" t="s">
        <v>8912</v>
      </c>
      <c r="N2570" s="33" t="s">
        <v>6076</v>
      </c>
      <c r="O2570" s="33">
        <v>55301</v>
      </c>
      <c r="P2570" s="198" t="s">
        <v>5776</v>
      </c>
    </row>
    <row r="2571" spans="1:16" ht="18.75" hidden="1">
      <c r="A2571" s="50" t="s">
        <v>6069</v>
      </c>
      <c r="B2571" s="50" t="s">
        <v>5420</v>
      </c>
      <c r="C2571" s="50" t="s">
        <v>4504</v>
      </c>
      <c r="D2571" s="50" t="s">
        <v>4178</v>
      </c>
      <c r="E2571" s="12" t="s">
        <v>3420</v>
      </c>
      <c r="F2571" s="49">
        <v>292769</v>
      </c>
      <c r="G2571" s="67" t="s">
        <v>5699</v>
      </c>
      <c r="H2571" s="14" t="s">
        <v>5601</v>
      </c>
      <c r="I2571" s="14" t="s">
        <v>2458</v>
      </c>
      <c r="J2571" s="33" t="s">
        <v>7110</v>
      </c>
      <c r="K2571" s="33" t="s">
        <v>6075</v>
      </c>
      <c r="L2571" s="33" t="s">
        <v>6054</v>
      </c>
      <c r="M2571" s="68" t="s">
        <v>8912</v>
      </c>
      <c r="N2571" s="33" t="s">
        <v>6076</v>
      </c>
      <c r="O2571" s="33">
        <v>55301</v>
      </c>
      <c r="P2571" s="198" t="s">
        <v>5715</v>
      </c>
    </row>
    <row r="2572" spans="1:16" ht="18.75" hidden="1">
      <c r="A2572" s="50" t="s">
        <v>6071</v>
      </c>
      <c r="B2572" s="50" t="s">
        <v>5420</v>
      </c>
      <c r="C2572" s="50" t="s">
        <v>4506</v>
      </c>
      <c r="D2572" s="50" t="s">
        <v>4178</v>
      </c>
      <c r="E2572" s="12" t="s">
        <v>3420</v>
      </c>
      <c r="F2572" s="49">
        <v>87680</v>
      </c>
      <c r="G2572" s="67" t="s">
        <v>5699</v>
      </c>
      <c r="H2572" s="14" t="s">
        <v>5601</v>
      </c>
      <c r="I2572" s="14" t="s">
        <v>2458</v>
      </c>
      <c r="J2572" s="33" t="s">
        <v>7110</v>
      </c>
      <c r="K2572" s="33" t="s">
        <v>6075</v>
      </c>
      <c r="L2572" s="33" t="s">
        <v>6054</v>
      </c>
      <c r="M2572" s="68" t="s">
        <v>8913</v>
      </c>
      <c r="N2572" s="33" t="s">
        <v>6076</v>
      </c>
      <c r="O2572" s="33">
        <v>55301</v>
      </c>
      <c r="P2572" s="198" t="s">
        <v>5715</v>
      </c>
    </row>
    <row r="2573" spans="1:16" ht="18.75" hidden="1">
      <c r="A2573" s="50" t="s">
        <v>6071</v>
      </c>
      <c r="B2573" s="50" t="s">
        <v>5420</v>
      </c>
      <c r="C2573" s="50" t="s">
        <v>5425</v>
      </c>
      <c r="D2573" s="50" t="s">
        <v>5301</v>
      </c>
      <c r="E2573" s="12" t="s">
        <v>4971</v>
      </c>
      <c r="F2573" s="49">
        <v>111300</v>
      </c>
      <c r="G2573" s="67" t="s">
        <v>5631</v>
      </c>
      <c r="H2573" s="14" t="s">
        <v>5601</v>
      </c>
      <c r="I2573" s="14" t="s">
        <v>2458</v>
      </c>
      <c r="J2573" s="33" t="s">
        <v>7110</v>
      </c>
      <c r="K2573" s="33" t="s">
        <v>6075</v>
      </c>
      <c r="L2573" s="33" t="s">
        <v>6054</v>
      </c>
      <c r="M2573" s="68" t="s">
        <v>8913</v>
      </c>
      <c r="N2573" s="33" t="s">
        <v>6076</v>
      </c>
      <c r="O2573" s="33">
        <v>55301</v>
      </c>
      <c r="P2573" s="197" t="s">
        <v>5789</v>
      </c>
    </row>
    <row r="2574" spans="1:16" ht="18.75" hidden="1">
      <c r="A2574" s="50" t="s">
        <v>6072</v>
      </c>
      <c r="B2574" s="50" t="s">
        <v>5412</v>
      </c>
      <c r="C2574" s="50" t="s">
        <v>5430</v>
      </c>
      <c r="D2574" s="50" t="s">
        <v>5046</v>
      </c>
      <c r="E2574" s="12" t="s">
        <v>4971</v>
      </c>
      <c r="F2574" s="49">
        <v>238180</v>
      </c>
      <c r="G2574" s="77" t="s">
        <v>5699</v>
      </c>
      <c r="H2574" s="14" t="s">
        <v>5601</v>
      </c>
      <c r="I2574" s="14" t="s">
        <v>2458</v>
      </c>
      <c r="J2574" s="33" t="s">
        <v>7110</v>
      </c>
      <c r="K2574" s="33" t="s">
        <v>6075</v>
      </c>
      <c r="L2574" s="33" t="s">
        <v>6054</v>
      </c>
      <c r="M2574" s="68" t="s">
        <v>8913</v>
      </c>
      <c r="N2574" s="33" t="s">
        <v>6076</v>
      </c>
      <c r="O2574" s="33">
        <v>55301</v>
      </c>
      <c r="P2574" s="198" t="s">
        <v>5776</v>
      </c>
    </row>
    <row r="2575" spans="1:16" ht="18.75" hidden="1">
      <c r="A2575" s="50" t="s">
        <v>6067</v>
      </c>
      <c r="B2575" s="50" t="s">
        <v>6074</v>
      </c>
      <c r="C2575" s="50" t="s">
        <v>5432</v>
      </c>
      <c r="D2575" s="50" t="s">
        <v>5415</v>
      </c>
      <c r="E2575" s="12" t="s">
        <v>4971</v>
      </c>
      <c r="F2575" s="49">
        <v>163399</v>
      </c>
      <c r="G2575" s="67" t="s">
        <v>5611</v>
      </c>
      <c r="H2575" s="14" t="s">
        <v>5601</v>
      </c>
      <c r="I2575" s="14" t="s">
        <v>2458</v>
      </c>
      <c r="J2575" s="33" t="s">
        <v>7110</v>
      </c>
      <c r="K2575" s="33" t="s">
        <v>6075</v>
      </c>
      <c r="L2575" s="33" t="s">
        <v>6054</v>
      </c>
      <c r="M2575" s="68" t="s">
        <v>8912</v>
      </c>
      <c r="N2575" s="33" t="s">
        <v>6076</v>
      </c>
      <c r="O2575" s="33">
        <v>55301</v>
      </c>
      <c r="P2575" s="198" t="s">
        <v>5810</v>
      </c>
    </row>
    <row r="2576" spans="1:16" ht="18.75" hidden="1">
      <c r="A2576" s="50" t="s">
        <v>6068</v>
      </c>
      <c r="B2576" s="50" t="s">
        <v>5413</v>
      </c>
      <c r="C2576" s="50" t="s">
        <v>5436</v>
      </c>
      <c r="D2576" s="50" t="s">
        <v>5287</v>
      </c>
      <c r="E2576" s="12" t="s">
        <v>4971</v>
      </c>
      <c r="F2576" s="49">
        <v>23860</v>
      </c>
      <c r="G2576" s="67" t="s">
        <v>5647</v>
      </c>
      <c r="H2576" s="14" t="s">
        <v>5601</v>
      </c>
      <c r="I2576" s="14" t="s">
        <v>2458</v>
      </c>
      <c r="J2576" s="33" t="s">
        <v>7110</v>
      </c>
      <c r="K2576" s="33" t="s">
        <v>6075</v>
      </c>
      <c r="L2576" s="33" t="s">
        <v>6054</v>
      </c>
      <c r="M2576" s="68" t="s">
        <v>8913</v>
      </c>
      <c r="N2576" s="33" t="s">
        <v>6076</v>
      </c>
      <c r="O2576" s="33">
        <v>55301</v>
      </c>
      <c r="P2576" s="198" t="s">
        <v>5806</v>
      </c>
    </row>
    <row r="2577" spans="1:16" ht="18.75" hidden="1">
      <c r="A2577" s="50" t="s">
        <v>6066</v>
      </c>
      <c r="B2577" s="50" t="s">
        <v>6074</v>
      </c>
      <c r="C2577" s="50" t="s">
        <v>5432</v>
      </c>
      <c r="D2577" s="50" t="s">
        <v>5415</v>
      </c>
      <c r="E2577" s="12" t="s">
        <v>4971</v>
      </c>
      <c r="F2577" s="49">
        <v>71780</v>
      </c>
      <c r="G2577" s="67" t="s">
        <v>5611</v>
      </c>
      <c r="H2577" s="14" t="s">
        <v>5601</v>
      </c>
      <c r="I2577" s="14" t="s">
        <v>2458</v>
      </c>
      <c r="J2577" s="33" t="s">
        <v>7110</v>
      </c>
      <c r="K2577" s="33" t="s">
        <v>6075</v>
      </c>
      <c r="L2577" s="33" t="s">
        <v>6054</v>
      </c>
      <c r="M2577" s="68" t="s">
        <v>8913</v>
      </c>
      <c r="N2577" s="33" t="s">
        <v>6076</v>
      </c>
      <c r="O2577" s="33">
        <v>55301</v>
      </c>
      <c r="P2577" s="198" t="s">
        <v>5810</v>
      </c>
    </row>
    <row r="2578" spans="1:16" ht="18.75" hidden="1">
      <c r="A2578" s="50" t="s">
        <v>6073</v>
      </c>
      <c r="B2578" s="50" t="s">
        <v>5303</v>
      </c>
      <c r="C2578" s="50" t="s">
        <v>5378</v>
      </c>
      <c r="D2578" s="50" t="s">
        <v>5010</v>
      </c>
      <c r="E2578" s="12" t="s">
        <v>4971</v>
      </c>
      <c r="F2578" s="49">
        <v>73140</v>
      </c>
      <c r="G2578" s="67" t="s">
        <v>5611</v>
      </c>
      <c r="H2578" s="14" t="s">
        <v>5601</v>
      </c>
      <c r="I2578" s="14" t="s">
        <v>2458</v>
      </c>
      <c r="J2578" s="33" t="s">
        <v>7110</v>
      </c>
      <c r="K2578" s="33" t="s">
        <v>6075</v>
      </c>
      <c r="L2578" s="33" t="s">
        <v>6054</v>
      </c>
      <c r="M2578" s="68" t="s">
        <v>8913</v>
      </c>
      <c r="N2578" s="33" t="s">
        <v>6077</v>
      </c>
      <c r="O2578" s="33">
        <v>30101</v>
      </c>
      <c r="P2578" s="198" t="s">
        <v>5758</v>
      </c>
    </row>
    <row r="2579" spans="1:16" ht="18.75" hidden="1">
      <c r="A2579" s="50" t="s">
        <v>6078</v>
      </c>
      <c r="B2579" s="50" t="s">
        <v>5480</v>
      </c>
      <c r="C2579" s="50" t="s">
        <v>5582</v>
      </c>
      <c r="D2579" s="50" t="s">
        <v>5012</v>
      </c>
      <c r="E2579" s="12" t="s">
        <v>4971</v>
      </c>
      <c r="F2579" s="49">
        <v>13940</v>
      </c>
      <c r="G2579" s="77" t="s">
        <v>5773</v>
      </c>
      <c r="H2579" s="14" t="s">
        <v>5601</v>
      </c>
      <c r="I2579" s="14" t="s">
        <v>2458</v>
      </c>
      <c r="J2579" s="33" t="s">
        <v>7110</v>
      </c>
      <c r="K2579" s="33" t="s">
        <v>6128</v>
      </c>
      <c r="L2579" s="53" t="s">
        <v>6054</v>
      </c>
      <c r="M2579" s="68" t="s">
        <v>8912</v>
      </c>
      <c r="N2579" s="53" t="s">
        <v>6061</v>
      </c>
      <c r="O2579" s="53">
        <v>55301</v>
      </c>
      <c r="P2579" s="198" t="s">
        <v>5796</v>
      </c>
    </row>
    <row r="2580" spans="1:16" ht="18.75" hidden="1">
      <c r="A2580" s="50" t="s">
        <v>6078</v>
      </c>
      <c r="B2580" s="50" t="s">
        <v>5480</v>
      </c>
      <c r="C2580" s="50" t="s">
        <v>5587</v>
      </c>
      <c r="D2580" s="50" t="s">
        <v>5563</v>
      </c>
      <c r="E2580" s="12" t="s">
        <v>4971</v>
      </c>
      <c r="F2580" s="49">
        <v>35350</v>
      </c>
      <c r="G2580" s="77" t="s">
        <v>5611</v>
      </c>
      <c r="H2580" s="14" t="s">
        <v>5601</v>
      </c>
      <c r="I2580" s="14" t="s">
        <v>2458</v>
      </c>
      <c r="J2580" s="33" t="s">
        <v>7110</v>
      </c>
      <c r="K2580" s="33" t="s">
        <v>6128</v>
      </c>
      <c r="L2580" s="53" t="s">
        <v>6054</v>
      </c>
      <c r="M2580" s="68" t="s">
        <v>8912</v>
      </c>
      <c r="N2580" s="53" t="s">
        <v>6061</v>
      </c>
      <c r="O2580" s="53">
        <v>55301</v>
      </c>
      <c r="P2580" s="198" t="s">
        <v>5813</v>
      </c>
    </row>
    <row r="2581" spans="1:16" ht="18.75" hidden="1">
      <c r="A2581" s="50" t="s">
        <v>6079</v>
      </c>
      <c r="B2581" s="50" t="s">
        <v>5480</v>
      </c>
      <c r="C2581" s="50" t="s">
        <v>5571</v>
      </c>
      <c r="D2581" s="50" t="s">
        <v>5459</v>
      </c>
      <c r="E2581" s="12" t="s">
        <v>4971</v>
      </c>
      <c r="F2581" s="49">
        <v>142850</v>
      </c>
      <c r="G2581" s="77" t="s">
        <v>5611</v>
      </c>
      <c r="H2581" s="14" t="s">
        <v>5601</v>
      </c>
      <c r="I2581" s="14" t="s">
        <v>2458</v>
      </c>
      <c r="J2581" s="33" t="s">
        <v>7110</v>
      </c>
      <c r="K2581" s="33" t="s">
        <v>6128</v>
      </c>
      <c r="L2581" s="53" t="s">
        <v>6054</v>
      </c>
      <c r="M2581" s="68" t="s">
        <v>8912</v>
      </c>
      <c r="N2581" s="53" t="s">
        <v>9836</v>
      </c>
      <c r="O2581" s="53">
        <v>55112</v>
      </c>
      <c r="P2581" s="198" t="s">
        <v>5815</v>
      </c>
    </row>
    <row r="2582" spans="1:16" ht="18.75" hidden="1">
      <c r="A2582" s="50" t="s">
        <v>6078</v>
      </c>
      <c r="B2582" s="50" t="s">
        <v>5480</v>
      </c>
      <c r="C2582" s="50" t="s">
        <v>5571</v>
      </c>
      <c r="D2582" s="50" t="s">
        <v>5459</v>
      </c>
      <c r="E2582" s="12" t="s">
        <v>4971</v>
      </c>
      <c r="F2582" s="49">
        <v>72730</v>
      </c>
      <c r="G2582" s="77" t="s">
        <v>5611</v>
      </c>
      <c r="H2582" s="14" t="s">
        <v>5601</v>
      </c>
      <c r="I2582" s="14" t="s">
        <v>2458</v>
      </c>
      <c r="J2582" s="33" t="s">
        <v>7110</v>
      </c>
      <c r="K2582" s="33" t="s">
        <v>6128</v>
      </c>
      <c r="L2582" s="53" t="s">
        <v>6054</v>
      </c>
      <c r="M2582" s="68" t="s">
        <v>8912</v>
      </c>
      <c r="N2582" s="53" t="s">
        <v>6061</v>
      </c>
      <c r="O2582" s="53">
        <v>55301</v>
      </c>
      <c r="P2582" s="198" t="s">
        <v>5815</v>
      </c>
    </row>
    <row r="2583" spans="1:16" ht="18.75" hidden="1">
      <c r="A2583" s="50" t="s">
        <v>6078</v>
      </c>
      <c r="B2583" s="50" t="s">
        <v>5480</v>
      </c>
      <c r="C2583" s="50" t="s">
        <v>5591</v>
      </c>
      <c r="D2583" s="50" t="s">
        <v>5564</v>
      </c>
      <c r="E2583" s="12" t="s">
        <v>4971</v>
      </c>
      <c r="F2583" s="49">
        <v>39270</v>
      </c>
      <c r="G2583" s="77" t="s">
        <v>5611</v>
      </c>
      <c r="H2583" s="14" t="s">
        <v>5601</v>
      </c>
      <c r="I2583" s="14" t="s">
        <v>2458</v>
      </c>
      <c r="J2583" s="33" t="s">
        <v>7110</v>
      </c>
      <c r="K2583" s="33" t="s">
        <v>6128</v>
      </c>
      <c r="L2583" s="53" t="s">
        <v>6054</v>
      </c>
      <c r="M2583" s="68" t="s">
        <v>8912</v>
      </c>
      <c r="N2583" s="53" t="s">
        <v>6061</v>
      </c>
      <c r="O2583" s="53">
        <v>55301</v>
      </c>
      <c r="P2583" s="198" t="s">
        <v>5813</v>
      </c>
    </row>
    <row r="2584" spans="1:16" ht="18.75" hidden="1">
      <c r="A2584" s="50" t="s">
        <v>6080</v>
      </c>
      <c r="B2584" s="50" t="s">
        <v>5562</v>
      </c>
      <c r="C2584" s="50" t="s">
        <v>5583</v>
      </c>
      <c r="D2584" s="50" t="s">
        <v>5478</v>
      </c>
      <c r="E2584" s="12" t="s">
        <v>4971</v>
      </c>
      <c r="F2584" s="49">
        <v>71200</v>
      </c>
      <c r="G2584" s="77" t="s">
        <v>5611</v>
      </c>
      <c r="H2584" s="14" t="s">
        <v>5601</v>
      </c>
      <c r="I2584" s="14" t="s">
        <v>2458</v>
      </c>
      <c r="J2584" s="33" t="s">
        <v>7110</v>
      </c>
      <c r="K2584" s="33" t="s">
        <v>6128</v>
      </c>
      <c r="L2584" s="53" t="s">
        <v>6054</v>
      </c>
      <c r="M2584" s="68" t="s">
        <v>8912</v>
      </c>
      <c r="N2584" s="53" t="s">
        <v>9836</v>
      </c>
      <c r="O2584" s="53">
        <v>55112</v>
      </c>
      <c r="P2584" s="198" t="s">
        <v>5813</v>
      </c>
    </row>
    <row r="2585" spans="1:16" ht="18.75" hidden="1">
      <c r="A2585" s="50" t="s">
        <v>6081</v>
      </c>
      <c r="B2585" s="50" t="s">
        <v>5566</v>
      </c>
      <c r="C2585" s="50" t="s">
        <v>5599</v>
      </c>
      <c r="D2585" s="50" t="s">
        <v>5482</v>
      </c>
      <c r="E2585" s="12" t="s">
        <v>4971</v>
      </c>
      <c r="F2585" s="49">
        <v>19520</v>
      </c>
      <c r="G2585" s="77" t="s">
        <v>5611</v>
      </c>
      <c r="H2585" s="14" t="s">
        <v>5601</v>
      </c>
      <c r="I2585" s="14" t="s">
        <v>2458</v>
      </c>
      <c r="J2585" s="33" t="s">
        <v>7110</v>
      </c>
      <c r="K2585" s="33" t="s">
        <v>6128</v>
      </c>
      <c r="L2585" s="53" t="s">
        <v>6054</v>
      </c>
      <c r="M2585" s="68" t="s">
        <v>8913</v>
      </c>
      <c r="N2585" s="53" t="s">
        <v>6060</v>
      </c>
      <c r="O2585" s="53">
        <v>55107</v>
      </c>
      <c r="P2585" s="198" t="s">
        <v>5813</v>
      </c>
    </row>
    <row r="2586" spans="1:16" ht="18.75" hidden="1">
      <c r="A2586" s="50" t="s">
        <v>6078</v>
      </c>
      <c r="B2586" s="50" t="s">
        <v>5480</v>
      </c>
      <c r="C2586" s="50" t="s">
        <v>5592</v>
      </c>
      <c r="D2586" s="50" t="s">
        <v>5565</v>
      </c>
      <c r="E2586" s="12" t="s">
        <v>4971</v>
      </c>
      <c r="F2586" s="49">
        <v>28250</v>
      </c>
      <c r="G2586" s="77" t="s">
        <v>5611</v>
      </c>
      <c r="H2586" s="14" t="s">
        <v>5601</v>
      </c>
      <c r="I2586" s="14" t="s">
        <v>2458</v>
      </c>
      <c r="J2586" s="33" t="s">
        <v>7110</v>
      </c>
      <c r="K2586" s="33" t="s">
        <v>6128</v>
      </c>
      <c r="L2586" s="53" t="s">
        <v>6054</v>
      </c>
      <c r="M2586" s="68" t="s">
        <v>8912</v>
      </c>
      <c r="N2586" s="53" t="s">
        <v>6061</v>
      </c>
      <c r="O2586" s="53">
        <v>55301</v>
      </c>
      <c r="P2586" s="198" t="s">
        <v>5814</v>
      </c>
    </row>
    <row r="2587" spans="1:16" ht="18.75" hidden="1">
      <c r="A2587" s="50" t="s">
        <v>6082</v>
      </c>
      <c r="B2587" s="50" t="s">
        <v>5479</v>
      </c>
      <c r="C2587" s="50" t="s">
        <v>5897</v>
      </c>
      <c r="D2587" s="50" t="s">
        <v>5561</v>
      </c>
      <c r="E2587" s="12" t="s">
        <v>4971</v>
      </c>
      <c r="F2587" s="49">
        <v>324860</v>
      </c>
      <c r="G2587" s="77" t="s">
        <v>5611</v>
      </c>
      <c r="H2587" s="14" t="s">
        <v>5601</v>
      </c>
      <c r="I2587" s="14" t="s">
        <v>2458</v>
      </c>
      <c r="J2587" s="33" t="s">
        <v>7110</v>
      </c>
      <c r="K2587" s="33" t="s">
        <v>6128</v>
      </c>
      <c r="L2587" s="53" t="s">
        <v>6054</v>
      </c>
      <c r="M2587" s="68" t="s">
        <v>8913</v>
      </c>
      <c r="N2587" s="53" t="s">
        <v>6061</v>
      </c>
      <c r="O2587" s="53">
        <v>55301</v>
      </c>
      <c r="P2587" s="198" t="s">
        <v>5813</v>
      </c>
    </row>
    <row r="2588" spans="1:16" ht="18.75" hidden="1">
      <c r="A2588" s="50" t="s">
        <v>6083</v>
      </c>
      <c r="B2588" s="50" t="s">
        <v>5447</v>
      </c>
      <c r="C2588" s="50" t="s">
        <v>5591</v>
      </c>
      <c r="D2588" s="50" t="s">
        <v>5564</v>
      </c>
      <c r="E2588" s="12" t="s">
        <v>4971</v>
      </c>
      <c r="F2588" s="49">
        <v>49150</v>
      </c>
      <c r="G2588" s="77" t="s">
        <v>5611</v>
      </c>
      <c r="H2588" s="14" t="s">
        <v>5601</v>
      </c>
      <c r="I2588" s="14" t="s">
        <v>2458</v>
      </c>
      <c r="J2588" s="33" t="s">
        <v>7110</v>
      </c>
      <c r="K2588" s="33" t="s">
        <v>6128</v>
      </c>
      <c r="L2588" s="53" t="s">
        <v>6054</v>
      </c>
      <c r="M2588" s="68" t="s">
        <v>8912</v>
      </c>
      <c r="N2588" s="53" t="s">
        <v>6061</v>
      </c>
      <c r="O2588" s="53">
        <v>55301</v>
      </c>
      <c r="P2588" s="198" t="s">
        <v>5813</v>
      </c>
    </row>
    <row r="2589" spans="1:16" ht="18.75" hidden="1">
      <c r="A2589" s="50" t="s">
        <v>6083</v>
      </c>
      <c r="B2589" s="50" t="s">
        <v>5447</v>
      </c>
      <c r="C2589" s="50" t="s">
        <v>5579</v>
      </c>
      <c r="D2589" s="50" t="s">
        <v>5563</v>
      </c>
      <c r="E2589" s="12" t="s">
        <v>4971</v>
      </c>
      <c r="F2589" s="49">
        <v>71280</v>
      </c>
      <c r="G2589" s="77" t="s">
        <v>5611</v>
      </c>
      <c r="H2589" s="14" t="s">
        <v>5601</v>
      </c>
      <c r="I2589" s="14" t="s">
        <v>2458</v>
      </c>
      <c r="J2589" s="33" t="s">
        <v>7110</v>
      </c>
      <c r="K2589" s="33" t="s">
        <v>6128</v>
      </c>
      <c r="L2589" s="53" t="s">
        <v>6054</v>
      </c>
      <c r="M2589" s="68" t="s">
        <v>8912</v>
      </c>
      <c r="N2589" s="53" t="s">
        <v>6061</v>
      </c>
      <c r="O2589" s="53">
        <v>55301</v>
      </c>
      <c r="P2589" s="198" t="s">
        <v>5813</v>
      </c>
    </row>
    <row r="2590" spans="1:16" ht="18.75" hidden="1">
      <c r="A2590" s="50" t="s">
        <v>6084</v>
      </c>
      <c r="B2590" s="50" t="s">
        <v>5562</v>
      </c>
      <c r="C2590" s="50" t="s">
        <v>5592</v>
      </c>
      <c r="D2590" s="50" t="s">
        <v>5565</v>
      </c>
      <c r="E2590" s="12" t="s">
        <v>4971</v>
      </c>
      <c r="F2590" s="49">
        <v>45760</v>
      </c>
      <c r="G2590" s="77" t="s">
        <v>5611</v>
      </c>
      <c r="H2590" s="14" t="s">
        <v>5601</v>
      </c>
      <c r="I2590" s="14" t="s">
        <v>2458</v>
      </c>
      <c r="J2590" s="33" t="s">
        <v>7110</v>
      </c>
      <c r="K2590" s="33" t="s">
        <v>6128</v>
      </c>
      <c r="L2590" s="53" t="s">
        <v>6054</v>
      </c>
      <c r="M2590" s="68" t="s">
        <v>8912</v>
      </c>
      <c r="N2590" s="53" t="s">
        <v>6061</v>
      </c>
      <c r="O2590" s="53">
        <v>55301</v>
      </c>
      <c r="P2590" s="198" t="s">
        <v>5814</v>
      </c>
    </row>
    <row r="2591" spans="1:16" ht="18.75" hidden="1">
      <c r="A2591" s="50" t="s">
        <v>6085</v>
      </c>
      <c r="B2591" s="50" t="s">
        <v>5480</v>
      </c>
      <c r="C2591" s="50" t="s">
        <v>5571</v>
      </c>
      <c r="D2591" s="50" t="s">
        <v>5459</v>
      </c>
      <c r="E2591" s="12" t="s">
        <v>4971</v>
      </c>
      <c r="F2591" s="49">
        <v>146700</v>
      </c>
      <c r="G2591" s="77" t="s">
        <v>5611</v>
      </c>
      <c r="H2591" s="14" t="s">
        <v>5601</v>
      </c>
      <c r="I2591" s="14" t="s">
        <v>2458</v>
      </c>
      <c r="J2591" s="33" t="s">
        <v>7110</v>
      </c>
      <c r="K2591" s="33" t="s">
        <v>6128</v>
      </c>
      <c r="L2591" s="53" t="s">
        <v>6054</v>
      </c>
      <c r="M2591" s="68" t="s">
        <v>8913</v>
      </c>
      <c r="N2591" s="53" t="s">
        <v>6060</v>
      </c>
      <c r="O2591" s="53">
        <v>55107</v>
      </c>
      <c r="P2591" s="198" t="s">
        <v>5815</v>
      </c>
    </row>
    <row r="2592" spans="1:16" ht="18.75" hidden="1">
      <c r="A2592" s="50" t="s">
        <v>6086</v>
      </c>
      <c r="B2592" s="50" t="s">
        <v>5566</v>
      </c>
      <c r="C2592" s="50" t="s">
        <v>5596</v>
      </c>
      <c r="D2592" s="50" t="s">
        <v>5459</v>
      </c>
      <c r="E2592" s="12" t="s">
        <v>4971</v>
      </c>
      <c r="F2592" s="49">
        <v>23640</v>
      </c>
      <c r="G2592" s="77" t="s">
        <v>5611</v>
      </c>
      <c r="H2592" s="14" t="s">
        <v>5601</v>
      </c>
      <c r="I2592" s="14" t="s">
        <v>2458</v>
      </c>
      <c r="J2592" s="33" t="s">
        <v>7110</v>
      </c>
      <c r="K2592" s="33" t="s">
        <v>6128</v>
      </c>
      <c r="L2592" s="53" t="s">
        <v>6054</v>
      </c>
      <c r="M2592" s="68" t="s">
        <v>8912</v>
      </c>
      <c r="N2592" s="53" t="s">
        <v>6061</v>
      </c>
      <c r="O2592" s="53">
        <v>55301</v>
      </c>
      <c r="P2592" s="198" t="s">
        <v>5815</v>
      </c>
    </row>
    <row r="2593" spans="1:16" ht="18.75" hidden="1">
      <c r="A2593" s="50" t="s">
        <v>6083</v>
      </c>
      <c r="B2593" s="50" t="s">
        <v>5447</v>
      </c>
      <c r="C2593" s="50" t="s">
        <v>5585</v>
      </c>
      <c r="D2593" s="50" t="s">
        <v>5565</v>
      </c>
      <c r="E2593" s="12" t="s">
        <v>4971</v>
      </c>
      <c r="F2593" s="49">
        <v>25210</v>
      </c>
      <c r="G2593" s="77" t="s">
        <v>5631</v>
      </c>
      <c r="H2593" s="14" t="s">
        <v>5601</v>
      </c>
      <c r="I2593" s="14" t="s">
        <v>2458</v>
      </c>
      <c r="J2593" s="33" t="s">
        <v>7110</v>
      </c>
      <c r="K2593" s="33" t="s">
        <v>6128</v>
      </c>
      <c r="L2593" s="53" t="s">
        <v>6054</v>
      </c>
      <c r="M2593" s="68" t="s">
        <v>8912</v>
      </c>
      <c r="N2593" s="53" t="s">
        <v>6061</v>
      </c>
      <c r="O2593" s="53">
        <v>55301</v>
      </c>
      <c r="P2593" s="197" t="s">
        <v>5807</v>
      </c>
    </row>
    <row r="2594" spans="1:16" ht="18.75" hidden="1">
      <c r="A2594" s="50" t="s">
        <v>6087</v>
      </c>
      <c r="B2594" s="50" t="s">
        <v>5481</v>
      </c>
      <c r="C2594" s="50" t="s">
        <v>5571</v>
      </c>
      <c r="D2594" s="50" t="s">
        <v>5459</v>
      </c>
      <c r="E2594" s="12" t="s">
        <v>4971</v>
      </c>
      <c r="F2594" s="49">
        <v>93890</v>
      </c>
      <c r="G2594" s="77" t="s">
        <v>5611</v>
      </c>
      <c r="H2594" s="14" t="s">
        <v>5601</v>
      </c>
      <c r="I2594" s="14" t="s">
        <v>2458</v>
      </c>
      <c r="J2594" s="33" t="s">
        <v>7110</v>
      </c>
      <c r="K2594" s="33" t="s">
        <v>6128</v>
      </c>
      <c r="L2594" s="53" t="s">
        <v>6054</v>
      </c>
      <c r="M2594" s="68" t="s">
        <v>8912</v>
      </c>
      <c r="N2594" s="76" t="s">
        <v>6061</v>
      </c>
      <c r="O2594" s="53">
        <v>55301</v>
      </c>
      <c r="P2594" s="198" t="s">
        <v>5815</v>
      </c>
    </row>
    <row r="2595" spans="1:16" ht="18.75" hidden="1">
      <c r="A2595" s="50" t="s">
        <v>6088</v>
      </c>
      <c r="B2595" s="50" t="s">
        <v>5562</v>
      </c>
      <c r="C2595" s="50" t="s">
        <v>5896</v>
      </c>
      <c r="D2595" s="50" t="s">
        <v>5561</v>
      </c>
      <c r="E2595" s="12" t="s">
        <v>4971</v>
      </c>
      <c r="F2595" s="49">
        <v>213140</v>
      </c>
      <c r="G2595" s="77" t="s">
        <v>5611</v>
      </c>
      <c r="H2595" s="14" t="s">
        <v>5601</v>
      </c>
      <c r="I2595" s="14" t="s">
        <v>2458</v>
      </c>
      <c r="J2595" s="33" t="s">
        <v>7110</v>
      </c>
      <c r="K2595" s="33" t="s">
        <v>6128</v>
      </c>
      <c r="L2595" s="53" t="s">
        <v>6054</v>
      </c>
      <c r="M2595" s="68" t="s">
        <v>8913</v>
      </c>
      <c r="N2595" s="76" t="s">
        <v>6061</v>
      </c>
      <c r="O2595" s="53">
        <v>55301</v>
      </c>
      <c r="P2595" s="198" t="s">
        <v>5815</v>
      </c>
    </row>
    <row r="2596" spans="1:16" ht="18.75" hidden="1">
      <c r="A2596" s="50" t="s">
        <v>6084</v>
      </c>
      <c r="B2596" s="50" t="s">
        <v>5562</v>
      </c>
      <c r="C2596" s="50" t="s">
        <v>5583</v>
      </c>
      <c r="D2596" s="50" t="s">
        <v>5478</v>
      </c>
      <c r="E2596" s="12" t="s">
        <v>4971</v>
      </c>
      <c r="F2596" s="49">
        <v>217440</v>
      </c>
      <c r="G2596" s="77" t="s">
        <v>5611</v>
      </c>
      <c r="H2596" s="14" t="s">
        <v>5601</v>
      </c>
      <c r="I2596" s="14" t="s">
        <v>2458</v>
      </c>
      <c r="J2596" s="33" t="s">
        <v>7110</v>
      </c>
      <c r="K2596" s="33" t="s">
        <v>6128</v>
      </c>
      <c r="L2596" s="53" t="s">
        <v>6054</v>
      </c>
      <c r="M2596" s="68" t="s">
        <v>8912</v>
      </c>
      <c r="N2596" s="53" t="s">
        <v>6061</v>
      </c>
      <c r="O2596" s="53">
        <v>55301</v>
      </c>
      <c r="P2596" s="198" t="s">
        <v>5813</v>
      </c>
    </row>
    <row r="2597" spans="1:16" ht="18.75" hidden="1">
      <c r="A2597" s="50" t="s">
        <v>6089</v>
      </c>
      <c r="B2597" s="50" t="s">
        <v>5483</v>
      </c>
      <c r="C2597" s="50" t="s">
        <v>5579</v>
      </c>
      <c r="D2597" s="50" t="s">
        <v>5563</v>
      </c>
      <c r="E2597" s="12" t="s">
        <v>4971</v>
      </c>
      <c r="F2597" s="49">
        <v>72940</v>
      </c>
      <c r="G2597" s="77" t="s">
        <v>5611</v>
      </c>
      <c r="H2597" s="14" t="s">
        <v>5601</v>
      </c>
      <c r="I2597" s="14" t="s">
        <v>2458</v>
      </c>
      <c r="J2597" s="33" t="s">
        <v>7110</v>
      </c>
      <c r="K2597" s="33" t="s">
        <v>6128</v>
      </c>
      <c r="L2597" s="53" t="s">
        <v>6054</v>
      </c>
      <c r="M2597" s="68" t="s">
        <v>8913</v>
      </c>
      <c r="N2597" s="53" t="s">
        <v>6061</v>
      </c>
      <c r="O2597" s="53">
        <v>55301</v>
      </c>
      <c r="P2597" s="198" t="s">
        <v>5813</v>
      </c>
    </row>
    <row r="2598" spans="1:16" ht="18.75" hidden="1">
      <c r="A2598" s="50" t="s">
        <v>6081</v>
      </c>
      <c r="B2598" s="50" t="s">
        <v>5566</v>
      </c>
      <c r="C2598" s="50" t="s">
        <v>5588</v>
      </c>
      <c r="D2598" s="50" t="s">
        <v>5447</v>
      </c>
      <c r="E2598" s="12" t="s">
        <v>4971</v>
      </c>
      <c r="F2598" s="49">
        <v>79040</v>
      </c>
      <c r="G2598" s="77" t="s">
        <v>5611</v>
      </c>
      <c r="H2598" s="14" t="s">
        <v>5601</v>
      </c>
      <c r="I2598" s="14" t="s">
        <v>2458</v>
      </c>
      <c r="J2598" s="33" t="s">
        <v>7110</v>
      </c>
      <c r="K2598" s="33" t="s">
        <v>6128</v>
      </c>
      <c r="L2598" s="53" t="s">
        <v>6054</v>
      </c>
      <c r="M2598" s="68" t="s">
        <v>8913</v>
      </c>
      <c r="N2598" s="53" t="s">
        <v>6060</v>
      </c>
      <c r="O2598" s="53">
        <v>55107</v>
      </c>
      <c r="P2598" s="198" t="s">
        <v>5813</v>
      </c>
    </row>
    <row r="2599" spans="1:16" ht="18.75" hidden="1">
      <c r="A2599" s="50" t="s">
        <v>6086</v>
      </c>
      <c r="B2599" s="50" t="s">
        <v>5566</v>
      </c>
      <c r="C2599" s="50" t="s">
        <v>5903</v>
      </c>
      <c r="D2599" s="50" t="s">
        <v>5478</v>
      </c>
      <c r="E2599" s="12" t="s">
        <v>4971</v>
      </c>
      <c r="F2599" s="49">
        <v>79770</v>
      </c>
      <c r="G2599" s="77" t="s">
        <v>5631</v>
      </c>
      <c r="H2599" s="14" t="s">
        <v>5601</v>
      </c>
      <c r="I2599" s="14" t="s">
        <v>2458</v>
      </c>
      <c r="J2599" s="33" t="s">
        <v>7110</v>
      </c>
      <c r="K2599" s="33" t="s">
        <v>6128</v>
      </c>
      <c r="L2599" s="53" t="s">
        <v>6054</v>
      </c>
      <c r="M2599" s="68" t="s">
        <v>8912</v>
      </c>
      <c r="N2599" s="53" t="s">
        <v>6061</v>
      </c>
      <c r="O2599" s="53">
        <v>55301</v>
      </c>
      <c r="P2599" s="197" t="s">
        <v>5819</v>
      </c>
    </row>
    <row r="2600" spans="1:16" ht="18.75" hidden="1">
      <c r="A2600" s="50" t="s">
        <v>6086</v>
      </c>
      <c r="B2600" s="50" t="s">
        <v>5566</v>
      </c>
      <c r="C2600" s="50" t="s">
        <v>5906</v>
      </c>
      <c r="D2600" s="50" t="s">
        <v>5482</v>
      </c>
      <c r="E2600" s="12" t="s">
        <v>4971</v>
      </c>
      <c r="F2600" s="49">
        <v>25040</v>
      </c>
      <c r="G2600" s="77" t="s">
        <v>5611</v>
      </c>
      <c r="H2600" s="14" t="s">
        <v>5601</v>
      </c>
      <c r="I2600" s="14" t="s">
        <v>2458</v>
      </c>
      <c r="J2600" s="33" t="s">
        <v>7110</v>
      </c>
      <c r="K2600" s="33" t="s">
        <v>6128</v>
      </c>
      <c r="L2600" s="53" t="s">
        <v>6054</v>
      </c>
      <c r="M2600" s="68" t="s">
        <v>8912</v>
      </c>
      <c r="N2600" s="53" t="s">
        <v>6061</v>
      </c>
      <c r="O2600" s="53">
        <v>55301</v>
      </c>
      <c r="P2600" s="198" t="s">
        <v>5813</v>
      </c>
    </row>
    <row r="2601" spans="1:16" ht="18.75" hidden="1">
      <c r="A2601" s="50" t="s">
        <v>6086</v>
      </c>
      <c r="B2601" s="50" t="s">
        <v>5566</v>
      </c>
      <c r="C2601" s="50" t="s">
        <v>5909</v>
      </c>
      <c r="D2601" s="50" t="s">
        <v>5482</v>
      </c>
      <c r="E2601" s="12" t="s">
        <v>4971</v>
      </c>
      <c r="F2601" s="49">
        <v>300000</v>
      </c>
      <c r="G2601" s="77" t="s">
        <v>5631</v>
      </c>
      <c r="H2601" s="14" t="s">
        <v>5601</v>
      </c>
      <c r="I2601" s="14" t="s">
        <v>2458</v>
      </c>
      <c r="J2601" s="33" t="s">
        <v>7110</v>
      </c>
      <c r="K2601" s="33" t="s">
        <v>6128</v>
      </c>
      <c r="L2601" s="53" t="s">
        <v>6054</v>
      </c>
      <c r="M2601" s="68" t="s">
        <v>8912</v>
      </c>
      <c r="N2601" s="53" t="s">
        <v>6061</v>
      </c>
      <c r="O2601" s="53">
        <v>55301</v>
      </c>
      <c r="P2601" s="197" t="s">
        <v>5819</v>
      </c>
    </row>
    <row r="2602" spans="1:16" ht="18.75" hidden="1">
      <c r="A2602" s="50" t="s">
        <v>6090</v>
      </c>
      <c r="B2602" s="50" t="s">
        <v>5483</v>
      </c>
      <c r="C2602" s="50" t="s">
        <v>5896</v>
      </c>
      <c r="D2602" s="50" t="s">
        <v>5561</v>
      </c>
      <c r="E2602" s="12" t="s">
        <v>4971</v>
      </c>
      <c r="F2602" s="49">
        <v>45889</v>
      </c>
      <c r="G2602" s="77" t="s">
        <v>5611</v>
      </c>
      <c r="H2602" s="14" t="s">
        <v>5601</v>
      </c>
      <c r="I2602" s="14" t="s">
        <v>2458</v>
      </c>
      <c r="J2602" s="33" t="s">
        <v>7110</v>
      </c>
      <c r="K2602" s="33" t="s">
        <v>6128</v>
      </c>
      <c r="L2602" s="53" t="s">
        <v>6054</v>
      </c>
      <c r="M2602" s="68" t="s">
        <v>8912</v>
      </c>
      <c r="N2602" s="53" t="s">
        <v>6061</v>
      </c>
      <c r="O2602" s="53">
        <v>55301</v>
      </c>
      <c r="P2602" s="198" t="s">
        <v>5815</v>
      </c>
    </row>
    <row r="2603" spans="1:16" ht="18.75" hidden="1">
      <c r="A2603" s="50" t="s">
        <v>6090</v>
      </c>
      <c r="B2603" s="50" t="s">
        <v>5483</v>
      </c>
      <c r="C2603" s="50" t="s">
        <v>5585</v>
      </c>
      <c r="D2603" s="50" t="s">
        <v>5565</v>
      </c>
      <c r="E2603" s="12" t="s">
        <v>4971</v>
      </c>
      <c r="F2603" s="49">
        <v>23740</v>
      </c>
      <c r="G2603" s="77" t="s">
        <v>5631</v>
      </c>
      <c r="H2603" s="14" t="s">
        <v>5601</v>
      </c>
      <c r="I2603" s="14" t="s">
        <v>2458</v>
      </c>
      <c r="J2603" s="33" t="s">
        <v>7110</v>
      </c>
      <c r="K2603" s="33" t="s">
        <v>6128</v>
      </c>
      <c r="L2603" s="53" t="s">
        <v>6054</v>
      </c>
      <c r="M2603" s="68" t="s">
        <v>8912</v>
      </c>
      <c r="N2603" s="53" t="s">
        <v>6061</v>
      </c>
      <c r="O2603" s="53">
        <v>55301</v>
      </c>
      <c r="P2603" s="197" t="s">
        <v>5807</v>
      </c>
    </row>
    <row r="2604" spans="1:16" ht="18.75" hidden="1">
      <c r="A2604" s="50" t="s">
        <v>6086</v>
      </c>
      <c r="B2604" s="50" t="s">
        <v>5566</v>
      </c>
      <c r="C2604" s="50" t="s">
        <v>5599</v>
      </c>
      <c r="D2604" s="50" t="s">
        <v>5482</v>
      </c>
      <c r="E2604" s="12" t="s">
        <v>4971</v>
      </c>
      <c r="F2604" s="49">
        <v>64440</v>
      </c>
      <c r="G2604" s="77" t="s">
        <v>5611</v>
      </c>
      <c r="H2604" s="14" t="s">
        <v>5601</v>
      </c>
      <c r="I2604" s="14" t="s">
        <v>2458</v>
      </c>
      <c r="J2604" s="33" t="s">
        <v>7110</v>
      </c>
      <c r="K2604" s="33" t="s">
        <v>6128</v>
      </c>
      <c r="L2604" s="53" t="s">
        <v>6054</v>
      </c>
      <c r="M2604" s="68" t="s">
        <v>8912</v>
      </c>
      <c r="N2604" s="53" t="s">
        <v>6061</v>
      </c>
      <c r="O2604" s="53">
        <v>55301</v>
      </c>
      <c r="P2604" s="198" t="s">
        <v>5813</v>
      </c>
    </row>
    <row r="2605" spans="1:16" ht="18.75" hidden="1">
      <c r="A2605" s="50" t="s">
        <v>6091</v>
      </c>
      <c r="B2605" s="50" t="s">
        <v>5560</v>
      </c>
      <c r="C2605" s="50" t="s">
        <v>5584</v>
      </c>
      <c r="D2605" s="50" t="s">
        <v>5557</v>
      </c>
      <c r="E2605" s="12" t="s">
        <v>4971</v>
      </c>
      <c r="F2605" s="49">
        <v>31760</v>
      </c>
      <c r="G2605" s="77" t="s">
        <v>5631</v>
      </c>
      <c r="H2605" s="14" t="s">
        <v>5601</v>
      </c>
      <c r="I2605" s="14" t="s">
        <v>2458</v>
      </c>
      <c r="J2605" s="33" t="s">
        <v>7110</v>
      </c>
      <c r="K2605" s="33" t="s">
        <v>6128</v>
      </c>
      <c r="L2605" s="53" t="s">
        <v>6054</v>
      </c>
      <c r="M2605" s="68" t="s">
        <v>8912</v>
      </c>
      <c r="N2605" s="53" t="s">
        <v>6061</v>
      </c>
      <c r="O2605" s="53">
        <v>55301</v>
      </c>
      <c r="P2605" s="197" t="s">
        <v>5789</v>
      </c>
    </row>
    <row r="2606" spans="1:16" ht="18.75" hidden="1">
      <c r="A2606" s="50" t="s">
        <v>6092</v>
      </c>
      <c r="B2606" s="50" t="s">
        <v>5558</v>
      </c>
      <c r="C2606" s="50" t="s">
        <v>5575</v>
      </c>
      <c r="D2606" s="50" t="s">
        <v>4881</v>
      </c>
      <c r="E2606" s="12" t="s">
        <v>4971</v>
      </c>
      <c r="F2606" s="49">
        <v>272860</v>
      </c>
      <c r="G2606" s="77" t="s">
        <v>5609</v>
      </c>
      <c r="H2606" s="14" t="s">
        <v>5601</v>
      </c>
      <c r="I2606" s="14" t="s">
        <v>2458</v>
      </c>
      <c r="J2606" s="33" t="s">
        <v>7110</v>
      </c>
      <c r="K2606" s="33" t="s">
        <v>6128</v>
      </c>
      <c r="L2606" s="53" t="s">
        <v>6054</v>
      </c>
      <c r="M2606" s="68" t="s">
        <v>8913</v>
      </c>
      <c r="N2606" s="53" t="s">
        <v>6061</v>
      </c>
      <c r="O2606" s="53">
        <v>55301</v>
      </c>
      <c r="P2606" s="198" t="s">
        <v>5768</v>
      </c>
    </row>
    <row r="2607" spans="1:16" ht="18.75" hidden="1">
      <c r="A2607" s="50" t="s">
        <v>6090</v>
      </c>
      <c r="B2607" s="50" t="s">
        <v>5483</v>
      </c>
      <c r="C2607" s="50" t="s">
        <v>5579</v>
      </c>
      <c r="D2607" s="50" t="s">
        <v>5563</v>
      </c>
      <c r="E2607" s="12" t="s">
        <v>4971</v>
      </c>
      <c r="F2607" s="49">
        <v>141801</v>
      </c>
      <c r="G2607" s="77" t="s">
        <v>5611</v>
      </c>
      <c r="H2607" s="14" t="s">
        <v>5601</v>
      </c>
      <c r="I2607" s="14" t="s">
        <v>2458</v>
      </c>
      <c r="J2607" s="33" t="s">
        <v>7110</v>
      </c>
      <c r="K2607" s="33" t="s">
        <v>6128</v>
      </c>
      <c r="L2607" s="53" t="s">
        <v>6054</v>
      </c>
      <c r="M2607" s="68" t="s">
        <v>8912</v>
      </c>
      <c r="N2607" s="53" t="s">
        <v>6061</v>
      </c>
      <c r="O2607" s="53">
        <v>55301</v>
      </c>
      <c r="P2607" s="198" t="s">
        <v>5813</v>
      </c>
    </row>
    <row r="2608" spans="1:16" ht="18.75" hidden="1">
      <c r="A2608" s="50" t="s">
        <v>6091</v>
      </c>
      <c r="B2608" s="50" t="s">
        <v>5560</v>
      </c>
      <c r="C2608" s="50" t="s">
        <v>5574</v>
      </c>
      <c r="D2608" s="50" t="s">
        <v>5558</v>
      </c>
      <c r="E2608" s="12" t="s">
        <v>4971</v>
      </c>
      <c r="F2608" s="49">
        <v>90650</v>
      </c>
      <c r="G2608" s="77" t="s">
        <v>5611</v>
      </c>
      <c r="H2608" s="14" t="s">
        <v>5601</v>
      </c>
      <c r="I2608" s="14" t="s">
        <v>2458</v>
      </c>
      <c r="J2608" s="33" t="s">
        <v>7110</v>
      </c>
      <c r="K2608" s="33" t="s">
        <v>6128</v>
      </c>
      <c r="L2608" s="53" t="s">
        <v>6054</v>
      </c>
      <c r="M2608" s="68" t="s">
        <v>8912</v>
      </c>
      <c r="N2608" s="53" t="s">
        <v>6061</v>
      </c>
      <c r="O2608" s="53">
        <v>55301</v>
      </c>
      <c r="P2608" s="198" t="s">
        <v>5813</v>
      </c>
    </row>
    <row r="2609" spans="1:16" ht="18.75" hidden="1">
      <c r="A2609" s="50" t="s">
        <v>6091</v>
      </c>
      <c r="B2609" s="50" t="s">
        <v>5560</v>
      </c>
      <c r="C2609" s="50" t="s">
        <v>5577</v>
      </c>
      <c r="D2609" s="50" t="s">
        <v>5558</v>
      </c>
      <c r="E2609" s="12" t="s">
        <v>4971</v>
      </c>
      <c r="F2609" s="49">
        <v>61480</v>
      </c>
      <c r="G2609" s="77" t="s">
        <v>5631</v>
      </c>
      <c r="H2609" s="14" t="s">
        <v>5601</v>
      </c>
      <c r="I2609" s="14" t="s">
        <v>2458</v>
      </c>
      <c r="J2609" s="33" t="s">
        <v>7110</v>
      </c>
      <c r="K2609" s="33" t="s">
        <v>6128</v>
      </c>
      <c r="L2609" s="53" t="s">
        <v>6054</v>
      </c>
      <c r="M2609" s="68" t="s">
        <v>8912</v>
      </c>
      <c r="N2609" s="53" t="s">
        <v>6061</v>
      </c>
      <c r="O2609" s="53">
        <v>55301</v>
      </c>
      <c r="P2609" s="197" t="s">
        <v>5807</v>
      </c>
    </row>
    <row r="2610" spans="1:16" ht="18.75" hidden="1">
      <c r="A2610" s="50" t="s">
        <v>6093</v>
      </c>
      <c r="B2610" s="50" t="s">
        <v>5565</v>
      </c>
      <c r="C2610" s="50" t="s">
        <v>5584</v>
      </c>
      <c r="D2610" s="50" t="s">
        <v>5557</v>
      </c>
      <c r="E2610" s="12" t="s">
        <v>4971</v>
      </c>
      <c r="F2610" s="49">
        <v>23960</v>
      </c>
      <c r="G2610" s="77" t="s">
        <v>5631</v>
      </c>
      <c r="H2610" s="14" t="s">
        <v>5601</v>
      </c>
      <c r="I2610" s="14" t="s">
        <v>2458</v>
      </c>
      <c r="J2610" s="33" t="s">
        <v>7110</v>
      </c>
      <c r="K2610" s="33" t="s">
        <v>6128</v>
      </c>
      <c r="L2610" s="53" t="s">
        <v>6054</v>
      </c>
      <c r="M2610" s="68" t="s">
        <v>8913</v>
      </c>
      <c r="N2610" s="53" t="s">
        <v>6061</v>
      </c>
      <c r="O2610" s="53">
        <v>55301</v>
      </c>
      <c r="P2610" s="197" t="s">
        <v>5789</v>
      </c>
    </row>
    <row r="2611" spans="1:16" ht="18.75" hidden="1">
      <c r="A2611" s="50" t="s">
        <v>6094</v>
      </c>
      <c r="B2611" s="50" t="s">
        <v>5555</v>
      </c>
      <c r="C2611" s="50" t="s">
        <v>5575</v>
      </c>
      <c r="D2611" s="50" t="s">
        <v>4881</v>
      </c>
      <c r="E2611" s="12" t="s">
        <v>4971</v>
      </c>
      <c r="F2611" s="49">
        <v>45000</v>
      </c>
      <c r="G2611" s="77" t="s">
        <v>5609</v>
      </c>
      <c r="H2611" s="14" t="s">
        <v>5601</v>
      </c>
      <c r="I2611" s="14" t="s">
        <v>2458</v>
      </c>
      <c r="J2611" s="33" t="s">
        <v>7110</v>
      </c>
      <c r="K2611" s="33" t="s">
        <v>6128</v>
      </c>
      <c r="L2611" s="53" t="s">
        <v>6054</v>
      </c>
      <c r="M2611" s="68" t="s">
        <v>8912</v>
      </c>
      <c r="N2611" s="53" t="s">
        <v>6061</v>
      </c>
      <c r="O2611" s="53">
        <v>55301</v>
      </c>
      <c r="P2611" s="198" t="s">
        <v>5768</v>
      </c>
    </row>
    <row r="2612" spans="1:16" ht="18.75" hidden="1">
      <c r="A2612" s="50" t="s">
        <v>6095</v>
      </c>
      <c r="B2612" s="50" t="s">
        <v>5479</v>
      </c>
      <c r="C2612" s="50" t="s">
        <v>5585</v>
      </c>
      <c r="D2612" s="50" t="s">
        <v>5565</v>
      </c>
      <c r="E2612" s="12" t="s">
        <v>4971</v>
      </c>
      <c r="F2612" s="49">
        <v>46870</v>
      </c>
      <c r="G2612" s="77" t="s">
        <v>5631</v>
      </c>
      <c r="H2612" s="14" t="s">
        <v>5601</v>
      </c>
      <c r="I2612" s="14" t="s">
        <v>2458</v>
      </c>
      <c r="J2612" s="33" t="s">
        <v>7110</v>
      </c>
      <c r="K2612" s="33" t="s">
        <v>6128</v>
      </c>
      <c r="L2612" s="53" t="s">
        <v>6054</v>
      </c>
      <c r="M2612" s="68" t="s">
        <v>8912</v>
      </c>
      <c r="N2612" s="53" t="s">
        <v>6061</v>
      </c>
      <c r="O2612" s="53">
        <v>55301</v>
      </c>
      <c r="P2612" s="197" t="s">
        <v>5807</v>
      </c>
    </row>
    <row r="2613" spans="1:16" ht="18.75" hidden="1">
      <c r="A2613" s="50" t="s">
        <v>6093</v>
      </c>
      <c r="B2613" s="50" t="s">
        <v>5565</v>
      </c>
      <c r="C2613" s="50" t="s">
        <v>5423</v>
      </c>
      <c r="D2613" s="50" t="s">
        <v>5011</v>
      </c>
      <c r="E2613" s="12" t="s">
        <v>4971</v>
      </c>
      <c r="F2613" s="49">
        <v>144820</v>
      </c>
      <c r="G2613" s="77" t="s">
        <v>5699</v>
      </c>
      <c r="H2613" s="14" t="s">
        <v>5601</v>
      </c>
      <c r="I2613" s="14" t="s">
        <v>2458</v>
      </c>
      <c r="J2613" s="33" t="s">
        <v>7110</v>
      </c>
      <c r="K2613" s="33" t="s">
        <v>6128</v>
      </c>
      <c r="L2613" s="53" t="s">
        <v>6054</v>
      </c>
      <c r="M2613" s="68" t="s">
        <v>8913</v>
      </c>
      <c r="N2613" s="53" t="s">
        <v>6061</v>
      </c>
      <c r="O2613" s="53">
        <v>55301</v>
      </c>
      <c r="P2613" s="198" t="s">
        <v>5776</v>
      </c>
    </row>
    <row r="2614" spans="1:16" ht="18.75" hidden="1">
      <c r="A2614" s="50" t="s">
        <v>6096</v>
      </c>
      <c r="B2614" s="50" t="s">
        <v>5460</v>
      </c>
      <c r="C2614" s="50" t="s">
        <v>5571</v>
      </c>
      <c r="D2614" s="50" t="s">
        <v>5459</v>
      </c>
      <c r="E2614" s="12" t="s">
        <v>4971</v>
      </c>
      <c r="F2614" s="49">
        <v>119470</v>
      </c>
      <c r="G2614" s="77" t="s">
        <v>5611</v>
      </c>
      <c r="H2614" s="14" t="s">
        <v>5601</v>
      </c>
      <c r="I2614" s="14" t="s">
        <v>2458</v>
      </c>
      <c r="J2614" s="33" t="s">
        <v>7110</v>
      </c>
      <c r="K2614" s="33" t="s">
        <v>6128</v>
      </c>
      <c r="L2614" s="53" t="s">
        <v>6054</v>
      </c>
      <c r="M2614" s="68" t="s">
        <v>8912</v>
      </c>
      <c r="N2614" s="53" t="s">
        <v>6061</v>
      </c>
      <c r="O2614" s="53">
        <v>55301</v>
      </c>
      <c r="P2614" s="198" t="s">
        <v>5815</v>
      </c>
    </row>
    <row r="2615" spans="1:16" ht="18.75" hidden="1">
      <c r="A2615" s="50" t="s">
        <v>6095</v>
      </c>
      <c r="B2615" s="50" t="s">
        <v>5479</v>
      </c>
      <c r="C2615" s="50" t="s">
        <v>5897</v>
      </c>
      <c r="D2615" s="50" t="s">
        <v>5561</v>
      </c>
      <c r="E2615" s="12" t="s">
        <v>4971</v>
      </c>
      <c r="F2615" s="49">
        <v>193250</v>
      </c>
      <c r="G2615" s="77" t="s">
        <v>5611</v>
      </c>
      <c r="H2615" s="14" t="s">
        <v>5601</v>
      </c>
      <c r="I2615" s="14" t="s">
        <v>2458</v>
      </c>
      <c r="J2615" s="33" t="s">
        <v>7110</v>
      </c>
      <c r="K2615" s="33" t="s">
        <v>6128</v>
      </c>
      <c r="L2615" s="53" t="s">
        <v>6054</v>
      </c>
      <c r="M2615" s="68" t="s">
        <v>8912</v>
      </c>
      <c r="N2615" s="53" t="s">
        <v>6061</v>
      </c>
      <c r="O2615" s="53">
        <v>55301</v>
      </c>
      <c r="P2615" s="198" t="s">
        <v>5813</v>
      </c>
    </row>
    <row r="2616" spans="1:16" ht="18.75" hidden="1">
      <c r="A2616" s="50" t="s">
        <v>6097</v>
      </c>
      <c r="B2616" s="50" t="s">
        <v>5558</v>
      </c>
      <c r="C2616" s="50" t="s">
        <v>5594</v>
      </c>
      <c r="D2616" s="50" t="s">
        <v>5458</v>
      </c>
      <c r="E2616" s="12" t="s">
        <v>4971</v>
      </c>
      <c r="F2616" s="49">
        <v>161000</v>
      </c>
      <c r="G2616" s="77" t="s">
        <v>5631</v>
      </c>
      <c r="H2616" s="14" t="s">
        <v>5601</v>
      </c>
      <c r="I2616" s="14" t="s">
        <v>2458</v>
      </c>
      <c r="J2616" s="33" t="s">
        <v>7110</v>
      </c>
      <c r="K2616" s="33" t="s">
        <v>6128</v>
      </c>
      <c r="L2616" s="53" t="s">
        <v>6054</v>
      </c>
      <c r="M2616" s="68" t="s">
        <v>8912</v>
      </c>
      <c r="N2616" s="53" t="s">
        <v>6061</v>
      </c>
      <c r="O2616" s="53">
        <v>55301</v>
      </c>
      <c r="P2616" s="197" t="s">
        <v>5807</v>
      </c>
    </row>
    <row r="2617" spans="1:16" ht="18.75" hidden="1">
      <c r="A2617" s="50" t="s">
        <v>6098</v>
      </c>
      <c r="B2617" s="50" t="s">
        <v>5460</v>
      </c>
      <c r="C2617" s="50" t="s">
        <v>5583</v>
      </c>
      <c r="D2617" s="50" t="s">
        <v>5478</v>
      </c>
      <c r="E2617" s="12" t="s">
        <v>4971</v>
      </c>
      <c r="F2617" s="49">
        <v>104720</v>
      </c>
      <c r="G2617" s="77" t="s">
        <v>5611</v>
      </c>
      <c r="H2617" s="14" t="s">
        <v>5601</v>
      </c>
      <c r="I2617" s="14" t="s">
        <v>2458</v>
      </c>
      <c r="J2617" s="33" t="s">
        <v>7110</v>
      </c>
      <c r="K2617" s="33" t="s">
        <v>6128</v>
      </c>
      <c r="L2617" s="53" t="s">
        <v>6054</v>
      </c>
      <c r="M2617" s="68" t="s">
        <v>8913</v>
      </c>
      <c r="N2617" s="53" t="s">
        <v>6061</v>
      </c>
      <c r="O2617" s="53">
        <v>55301</v>
      </c>
      <c r="P2617" s="198" t="s">
        <v>5813</v>
      </c>
    </row>
    <row r="2618" spans="1:16" ht="18.75" hidden="1">
      <c r="A2618" s="50" t="s">
        <v>6099</v>
      </c>
      <c r="B2618" s="50" t="s">
        <v>5555</v>
      </c>
      <c r="C2618" s="50" t="s">
        <v>5584</v>
      </c>
      <c r="D2618" s="50" t="s">
        <v>5557</v>
      </c>
      <c r="E2618" s="12" t="s">
        <v>4971</v>
      </c>
      <c r="F2618" s="49">
        <v>114860</v>
      </c>
      <c r="G2618" s="77" t="s">
        <v>5631</v>
      </c>
      <c r="H2618" s="14" t="s">
        <v>5601</v>
      </c>
      <c r="I2618" s="14" t="s">
        <v>2458</v>
      </c>
      <c r="J2618" s="33" t="s">
        <v>7110</v>
      </c>
      <c r="K2618" s="33" t="s">
        <v>6128</v>
      </c>
      <c r="L2618" s="53" t="s">
        <v>6054</v>
      </c>
      <c r="M2618" s="68" t="s">
        <v>8913</v>
      </c>
      <c r="N2618" s="53" t="s">
        <v>6061</v>
      </c>
      <c r="O2618" s="53">
        <v>55301</v>
      </c>
      <c r="P2618" s="197" t="s">
        <v>5789</v>
      </c>
    </row>
    <row r="2619" spans="1:16" ht="18.75" hidden="1">
      <c r="A2619" s="50" t="s">
        <v>6098</v>
      </c>
      <c r="B2619" s="50" t="s">
        <v>5460</v>
      </c>
      <c r="C2619" s="50" t="s">
        <v>5896</v>
      </c>
      <c r="D2619" s="50" t="s">
        <v>5561</v>
      </c>
      <c r="E2619" s="12" t="s">
        <v>4971</v>
      </c>
      <c r="F2619" s="49">
        <v>50971</v>
      </c>
      <c r="G2619" s="77" t="s">
        <v>5611</v>
      </c>
      <c r="H2619" s="14" t="s">
        <v>5601</v>
      </c>
      <c r="I2619" s="14" t="s">
        <v>2458</v>
      </c>
      <c r="J2619" s="33" t="s">
        <v>7110</v>
      </c>
      <c r="K2619" s="33" t="s">
        <v>6128</v>
      </c>
      <c r="L2619" s="53" t="s">
        <v>6054</v>
      </c>
      <c r="M2619" s="68" t="s">
        <v>8913</v>
      </c>
      <c r="N2619" s="53" t="s">
        <v>6061</v>
      </c>
      <c r="O2619" s="53">
        <v>55301</v>
      </c>
      <c r="P2619" s="198" t="s">
        <v>5815</v>
      </c>
    </row>
    <row r="2620" spans="1:16" ht="18.75" hidden="1">
      <c r="A2620" s="50" t="s">
        <v>6099</v>
      </c>
      <c r="B2620" s="50" t="s">
        <v>5555</v>
      </c>
      <c r="C2620" s="50" t="s">
        <v>5423</v>
      </c>
      <c r="D2620" s="50" t="s">
        <v>5011</v>
      </c>
      <c r="E2620" s="12" t="s">
        <v>4971</v>
      </c>
      <c r="F2620" s="49">
        <v>456100</v>
      </c>
      <c r="G2620" s="77" t="s">
        <v>5699</v>
      </c>
      <c r="H2620" s="14" t="s">
        <v>5601</v>
      </c>
      <c r="I2620" s="14" t="s">
        <v>2458</v>
      </c>
      <c r="J2620" s="33" t="s">
        <v>7110</v>
      </c>
      <c r="K2620" s="33" t="s">
        <v>6128</v>
      </c>
      <c r="L2620" s="53" t="s">
        <v>6054</v>
      </c>
      <c r="M2620" s="68" t="s">
        <v>8913</v>
      </c>
      <c r="N2620" s="53" t="s">
        <v>6061</v>
      </c>
      <c r="O2620" s="53">
        <v>55301</v>
      </c>
      <c r="P2620" s="198" t="s">
        <v>5776</v>
      </c>
    </row>
    <row r="2621" spans="1:16" ht="18.75" hidden="1">
      <c r="A2621" s="50" t="s">
        <v>6098</v>
      </c>
      <c r="B2621" s="50" t="s">
        <v>5460</v>
      </c>
      <c r="C2621" s="50" t="s">
        <v>5897</v>
      </c>
      <c r="D2621" s="50" t="s">
        <v>5561</v>
      </c>
      <c r="E2621" s="12" t="s">
        <v>4971</v>
      </c>
      <c r="F2621" s="49">
        <v>91890</v>
      </c>
      <c r="G2621" s="77" t="s">
        <v>5611</v>
      </c>
      <c r="H2621" s="14" t="s">
        <v>5601</v>
      </c>
      <c r="I2621" s="14" t="s">
        <v>2458</v>
      </c>
      <c r="J2621" s="33" t="s">
        <v>7110</v>
      </c>
      <c r="K2621" s="33" t="s">
        <v>6128</v>
      </c>
      <c r="L2621" s="53" t="s">
        <v>6054</v>
      </c>
      <c r="M2621" s="68" t="s">
        <v>8913</v>
      </c>
      <c r="N2621" s="53" t="s">
        <v>6061</v>
      </c>
      <c r="O2621" s="53">
        <v>55301</v>
      </c>
      <c r="P2621" s="198" t="s">
        <v>5813</v>
      </c>
    </row>
    <row r="2622" spans="1:16" ht="18.75" hidden="1">
      <c r="A2622" s="50" t="s">
        <v>6098</v>
      </c>
      <c r="B2622" s="50" t="s">
        <v>5460</v>
      </c>
      <c r="C2622" s="50" t="s">
        <v>5594</v>
      </c>
      <c r="D2622" s="50" t="s">
        <v>5458</v>
      </c>
      <c r="E2622" s="12" t="s">
        <v>4971</v>
      </c>
      <c r="F2622" s="49">
        <v>39280</v>
      </c>
      <c r="G2622" s="77" t="s">
        <v>5631</v>
      </c>
      <c r="H2622" s="14" t="s">
        <v>5601</v>
      </c>
      <c r="I2622" s="14" t="s">
        <v>2458</v>
      </c>
      <c r="J2622" s="33" t="s">
        <v>7110</v>
      </c>
      <c r="K2622" s="33" t="s">
        <v>6128</v>
      </c>
      <c r="L2622" s="53" t="s">
        <v>6054</v>
      </c>
      <c r="M2622" s="68" t="s">
        <v>8913</v>
      </c>
      <c r="N2622" s="53" t="s">
        <v>6061</v>
      </c>
      <c r="O2622" s="53">
        <v>55301</v>
      </c>
      <c r="P2622" s="197" t="s">
        <v>5807</v>
      </c>
    </row>
    <row r="2623" spans="1:16" ht="18.75" hidden="1">
      <c r="A2623" s="50" t="s">
        <v>6098</v>
      </c>
      <c r="B2623" s="50" t="s">
        <v>5460</v>
      </c>
      <c r="C2623" s="50" t="s">
        <v>5571</v>
      </c>
      <c r="D2623" s="50" t="s">
        <v>5459</v>
      </c>
      <c r="E2623" s="12" t="s">
        <v>4971</v>
      </c>
      <c r="F2623" s="49">
        <v>16159</v>
      </c>
      <c r="G2623" s="77" t="s">
        <v>5611</v>
      </c>
      <c r="H2623" s="14" t="s">
        <v>5601</v>
      </c>
      <c r="I2623" s="14" t="s">
        <v>2458</v>
      </c>
      <c r="J2623" s="33" t="s">
        <v>7110</v>
      </c>
      <c r="K2623" s="33" t="s">
        <v>6128</v>
      </c>
      <c r="L2623" s="53" t="s">
        <v>6054</v>
      </c>
      <c r="M2623" s="68" t="s">
        <v>8913</v>
      </c>
      <c r="N2623" s="53" t="s">
        <v>6061</v>
      </c>
      <c r="O2623" s="53">
        <v>55301</v>
      </c>
      <c r="P2623" s="198" t="s">
        <v>5815</v>
      </c>
    </row>
    <row r="2624" spans="1:16" ht="18.75" hidden="1">
      <c r="A2624" s="50" t="s">
        <v>6100</v>
      </c>
      <c r="B2624" s="50" t="s">
        <v>5458</v>
      </c>
      <c r="C2624" s="50" t="s">
        <v>5433</v>
      </c>
      <c r="D2624" s="50" t="s">
        <v>5011</v>
      </c>
      <c r="E2624" s="12" t="s">
        <v>4971</v>
      </c>
      <c r="F2624" s="49">
        <v>230360</v>
      </c>
      <c r="G2624" s="77" t="s">
        <v>5699</v>
      </c>
      <c r="H2624" s="14" t="s">
        <v>5601</v>
      </c>
      <c r="I2624" s="14" t="s">
        <v>2458</v>
      </c>
      <c r="J2624" s="33" t="s">
        <v>7110</v>
      </c>
      <c r="K2624" s="33" t="s">
        <v>6128</v>
      </c>
      <c r="L2624" s="53" t="s">
        <v>6054</v>
      </c>
      <c r="M2624" s="68" t="s">
        <v>8913</v>
      </c>
      <c r="N2624" s="53" t="s">
        <v>6061</v>
      </c>
      <c r="O2624" s="53">
        <v>55301</v>
      </c>
      <c r="P2624" s="198" t="s">
        <v>5776</v>
      </c>
    </row>
    <row r="2625" spans="1:16" ht="18.75" hidden="1">
      <c r="A2625" s="50" t="s">
        <v>6101</v>
      </c>
      <c r="B2625" s="50" t="s">
        <v>5457</v>
      </c>
      <c r="C2625" s="50" t="s">
        <v>5433</v>
      </c>
      <c r="D2625" s="50" t="s">
        <v>5011</v>
      </c>
      <c r="E2625" s="12" t="s">
        <v>4971</v>
      </c>
      <c r="F2625" s="49">
        <v>187180</v>
      </c>
      <c r="G2625" s="77" t="s">
        <v>5699</v>
      </c>
      <c r="H2625" s="14" t="s">
        <v>5601</v>
      </c>
      <c r="I2625" s="14" t="s">
        <v>2458</v>
      </c>
      <c r="J2625" s="33" t="s">
        <v>7110</v>
      </c>
      <c r="K2625" s="33" t="s">
        <v>6128</v>
      </c>
      <c r="L2625" s="53" t="s">
        <v>6054</v>
      </c>
      <c r="M2625" s="68" t="s">
        <v>8912</v>
      </c>
      <c r="N2625" s="53" t="s">
        <v>6061</v>
      </c>
      <c r="O2625" s="53">
        <v>55301</v>
      </c>
      <c r="P2625" s="198" t="s">
        <v>5776</v>
      </c>
    </row>
    <row r="2626" spans="1:16" ht="18.75" hidden="1">
      <c r="A2626" s="50" t="s">
        <v>6102</v>
      </c>
      <c r="B2626" s="50" t="s">
        <v>5564</v>
      </c>
      <c r="C2626" s="50" t="s">
        <v>5433</v>
      </c>
      <c r="D2626" s="50" t="s">
        <v>5011</v>
      </c>
      <c r="E2626" s="12" t="s">
        <v>4971</v>
      </c>
      <c r="F2626" s="49">
        <v>145980</v>
      </c>
      <c r="G2626" s="77" t="s">
        <v>5699</v>
      </c>
      <c r="H2626" s="14" t="s">
        <v>5601</v>
      </c>
      <c r="I2626" s="14" t="s">
        <v>2458</v>
      </c>
      <c r="J2626" s="33" t="s">
        <v>7110</v>
      </c>
      <c r="K2626" s="33" t="s">
        <v>6128</v>
      </c>
      <c r="L2626" s="53" t="s">
        <v>6054</v>
      </c>
      <c r="M2626" s="68" t="s">
        <v>8913</v>
      </c>
      <c r="N2626" s="53" t="s">
        <v>6061</v>
      </c>
      <c r="O2626" s="53">
        <v>55301</v>
      </c>
      <c r="P2626" s="198" t="s">
        <v>5776</v>
      </c>
    </row>
    <row r="2627" spans="1:16" ht="18.75" hidden="1">
      <c r="A2627" s="50" t="s">
        <v>6103</v>
      </c>
      <c r="B2627" s="50" t="s">
        <v>5458</v>
      </c>
      <c r="C2627" s="50" t="s">
        <v>5436</v>
      </c>
      <c r="D2627" s="50" t="s">
        <v>5287</v>
      </c>
      <c r="E2627" s="12" t="s">
        <v>4971</v>
      </c>
      <c r="F2627" s="49">
        <v>49750</v>
      </c>
      <c r="G2627" s="77" t="s">
        <v>5647</v>
      </c>
      <c r="H2627" s="14" t="s">
        <v>5601</v>
      </c>
      <c r="I2627" s="14" t="s">
        <v>2458</v>
      </c>
      <c r="J2627" s="33" t="s">
        <v>7110</v>
      </c>
      <c r="K2627" s="33" t="s">
        <v>6128</v>
      </c>
      <c r="L2627" s="53" t="s">
        <v>6054</v>
      </c>
      <c r="M2627" s="68" t="s">
        <v>8912</v>
      </c>
      <c r="N2627" s="53" t="s">
        <v>6061</v>
      </c>
      <c r="O2627" s="53">
        <v>55301</v>
      </c>
      <c r="P2627" s="198" t="s">
        <v>5806</v>
      </c>
    </row>
    <row r="2628" spans="1:16" ht="18.75" hidden="1">
      <c r="A2628" s="50" t="s">
        <v>6103</v>
      </c>
      <c r="B2628" s="50" t="s">
        <v>5458</v>
      </c>
      <c r="C2628" s="50" t="s">
        <v>5433</v>
      </c>
      <c r="D2628" s="50" t="s">
        <v>5011</v>
      </c>
      <c r="E2628" s="12" t="s">
        <v>4971</v>
      </c>
      <c r="F2628" s="49">
        <v>24210</v>
      </c>
      <c r="G2628" s="77" t="s">
        <v>5699</v>
      </c>
      <c r="H2628" s="14" t="s">
        <v>5601</v>
      </c>
      <c r="I2628" s="14" t="s">
        <v>2458</v>
      </c>
      <c r="J2628" s="33" t="s">
        <v>7110</v>
      </c>
      <c r="K2628" s="33" t="s">
        <v>6128</v>
      </c>
      <c r="L2628" s="53" t="s">
        <v>6054</v>
      </c>
      <c r="M2628" s="68" t="s">
        <v>8912</v>
      </c>
      <c r="N2628" s="53" t="s">
        <v>6061</v>
      </c>
      <c r="O2628" s="53">
        <v>55301</v>
      </c>
      <c r="P2628" s="198" t="s">
        <v>5776</v>
      </c>
    </row>
    <row r="2629" spans="1:16" ht="18.75" hidden="1">
      <c r="A2629" s="50" t="s">
        <v>6093</v>
      </c>
      <c r="B2629" s="50" t="s">
        <v>5565</v>
      </c>
      <c r="C2629" s="50" t="s">
        <v>5433</v>
      </c>
      <c r="D2629" s="50" t="s">
        <v>5011</v>
      </c>
      <c r="E2629" s="12" t="s">
        <v>4971</v>
      </c>
      <c r="F2629" s="49">
        <v>223200</v>
      </c>
      <c r="G2629" s="77" t="s">
        <v>5699</v>
      </c>
      <c r="H2629" s="14" t="s">
        <v>5601</v>
      </c>
      <c r="I2629" s="14" t="s">
        <v>2458</v>
      </c>
      <c r="J2629" s="33" t="s">
        <v>7110</v>
      </c>
      <c r="K2629" s="33" t="s">
        <v>6128</v>
      </c>
      <c r="L2629" s="53" t="s">
        <v>6054</v>
      </c>
      <c r="M2629" s="68" t="s">
        <v>8913</v>
      </c>
      <c r="N2629" s="53" t="s">
        <v>6061</v>
      </c>
      <c r="O2629" s="53">
        <v>55301</v>
      </c>
      <c r="P2629" s="198" t="s">
        <v>5776</v>
      </c>
    </row>
    <row r="2630" spans="1:16" ht="18.75" hidden="1">
      <c r="A2630" s="50" t="s">
        <v>6094</v>
      </c>
      <c r="B2630" s="50" t="s">
        <v>5555</v>
      </c>
      <c r="C2630" s="50" t="s">
        <v>5436</v>
      </c>
      <c r="D2630" s="50" t="s">
        <v>5287</v>
      </c>
      <c r="E2630" s="12" t="s">
        <v>4971</v>
      </c>
      <c r="F2630" s="49">
        <v>30850</v>
      </c>
      <c r="G2630" s="77" t="s">
        <v>5647</v>
      </c>
      <c r="H2630" s="14" t="s">
        <v>5601</v>
      </c>
      <c r="I2630" s="14" t="s">
        <v>2458</v>
      </c>
      <c r="J2630" s="33" t="s">
        <v>7110</v>
      </c>
      <c r="K2630" s="33" t="s">
        <v>6128</v>
      </c>
      <c r="L2630" s="53" t="s">
        <v>6054</v>
      </c>
      <c r="M2630" s="68" t="s">
        <v>8912</v>
      </c>
      <c r="N2630" s="53" t="s">
        <v>6061</v>
      </c>
      <c r="O2630" s="53">
        <v>55301</v>
      </c>
      <c r="P2630" s="198" t="s">
        <v>5806</v>
      </c>
    </row>
    <row r="2631" spans="1:16" ht="18.75" hidden="1">
      <c r="A2631" s="50" t="s">
        <v>6094</v>
      </c>
      <c r="B2631" s="50" t="s">
        <v>5555</v>
      </c>
      <c r="C2631" s="50" t="s">
        <v>5378</v>
      </c>
      <c r="D2631" s="50" t="s">
        <v>5010</v>
      </c>
      <c r="E2631" s="12" t="s">
        <v>4971</v>
      </c>
      <c r="F2631" s="49">
        <v>19640</v>
      </c>
      <c r="G2631" s="77" t="s">
        <v>5611</v>
      </c>
      <c r="H2631" s="14" t="s">
        <v>5601</v>
      </c>
      <c r="I2631" s="14" t="s">
        <v>2458</v>
      </c>
      <c r="J2631" s="33" t="s">
        <v>7110</v>
      </c>
      <c r="K2631" s="33" t="s">
        <v>6128</v>
      </c>
      <c r="L2631" s="53" t="s">
        <v>6054</v>
      </c>
      <c r="M2631" s="68" t="s">
        <v>8912</v>
      </c>
      <c r="N2631" s="53" t="s">
        <v>6061</v>
      </c>
      <c r="O2631" s="53">
        <v>55301</v>
      </c>
      <c r="P2631" s="198" t="s">
        <v>5758</v>
      </c>
    </row>
    <row r="2632" spans="1:16" ht="18.75" hidden="1">
      <c r="A2632" s="50" t="s">
        <v>6099</v>
      </c>
      <c r="B2632" s="50" t="s">
        <v>5555</v>
      </c>
      <c r="C2632" s="50" t="s">
        <v>5433</v>
      </c>
      <c r="D2632" s="50" t="s">
        <v>5011</v>
      </c>
      <c r="E2632" s="12" t="s">
        <v>4971</v>
      </c>
      <c r="F2632" s="49">
        <v>70060</v>
      </c>
      <c r="G2632" s="77" t="s">
        <v>5699</v>
      </c>
      <c r="H2632" s="14" t="s">
        <v>5601</v>
      </c>
      <c r="I2632" s="14" t="s">
        <v>2458</v>
      </c>
      <c r="J2632" s="33" t="s">
        <v>7110</v>
      </c>
      <c r="K2632" s="33" t="s">
        <v>6128</v>
      </c>
      <c r="L2632" s="53" t="s">
        <v>6054</v>
      </c>
      <c r="M2632" s="68" t="s">
        <v>8913</v>
      </c>
      <c r="N2632" s="53" t="s">
        <v>6061</v>
      </c>
      <c r="O2632" s="53">
        <v>55301</v>
      </c>
      <c r="P2632" s="198" t="s">
        <v>5776</v>
      </c>
    </row>
    <row r="2633" spans="1:16" ht="18.75" hidden="1">
      <c r="A2633" s="50" t="s">
        <v>6104</v>
      </c>
      <c r="B2633" s="50" t="s">
        <v>5600</v>
      </c>
      <c r="C2633" s="50" t="s">
        <v>5902</v>
      </c>
      <c r="D2633" s="50" t="s">
        <v>5561</v>
      </c>
      <c r="E2633" s="12" t="s">
        <v>4971</v>
      </c>
      <c r="F2633" s="49">
        <v>200000</v>
      </c>
      <c r="G2633" s="77" t="s">
        <v>5611</v>
      </c>
      <c r="H2633" s="14" t="s">
        <v>5601</v>
      </c>
      <c r="I2633" s="14" t="s">
        <v>2458</v>
      </c>
      <c r="J2633" s="33" t="s">
        <v>7110</v>
      </c>
      <c r="K2633" s="33" t="s">
        <v>6128</v>
      </c>
      <c r="L2633" s="53" t="s">
        <v>8680</v>
      </c>
      <c r="M2633" s="68" t="s">
        <v>8912</v>
      </c>
      <c r="N2633" s="68" t="s">
        <v>8665</v>
      </c>
      <c r="O2633" s="53">
        <v>50100</v>
      </c>
      <c r="P2633" s="198" t="s">
        <v>5813</v>
      </c>
    </row>
    <row r="2634" spans="1:16" ht="18.75" hidden="1">
      <c r="A2634" s="50" t="s">
        <v>6105</v>
      </c>
      <c r="B2634" s="50" t="s">
        <v>5830</v>
      </c>
      <c r="C2634" s="50" t="s">
        <v>5876</v>
      </c>
      <c r="D2634" s="50" t="s">
        <v>5379</v>
      </c>
      <c r="E2634" s="12" t="s">
        <v>4971</v>
      </c>
      <c r="F2634" s="49">
        <v>99550</v>
      </c>
      <c r="G2634" s="77" t="s">
        <v>5611</v>
      </c>
      <c r="H2634" s="14" t="s">
        <v>5601</v>
      </c>
      <c r="I2634" s="14" t="s">
        <v>2458</v>
      </c>
      <c r="J2634" s="33" t="s">
        <v>7110</v>
      </c>
      <c r="K2634" s="33" t="s">
        <v>6128</v>
      </c>
      <c r="L2634" s="53" t="s">
        <v>8681</v>
      </c>
      <c r="M2634" s="68" t="s">
        <v>8912</v>
      </c>
      <c r="N2634" s="68" t="s">
        <v>8665</v>
      </c>
      <c r="O2634" s="53">
        <v>50100</v>
      </c>
      <c r="P2634" s="198" t="s">
        <v>5799</v>
      </c>
    </row>
    <row r="2635" spans="1:16" ht="18.75" hidden="1">
      <c r="A2635" s="50" t="s">
        <v>6104</v>
      </c>
      <c r="B2635" s="50" t="s">
        <v>5600</v>
      </c>
      <c r="C2635" s="50" t="s">
        <v>5886</v>
      </c>
      <c r="D2635" s="50" t="s">
        <v>5458</v>
      </c>
      <c r="E2635" s="12" t="s">
        <v>4971</v>
      </c>
      <c r="F2635" s="49">
        <v>171400</v>
      </c>
      <c r="G2635" s="77" t="s">
        <v>5611</v>
      </c>
      <c r="H2635" s="14" t="s">
        <v>5601</v>
      </c>
      <c r="I2635" s="14" t="s">
        <v>2458</v>
      </c>
      <c r="J2635" s="33" t="s">
        <v>7110</v>
      </c>
      <c r="K2635" s="33" t="s">
        <v>6128</v>
      </c>
      <c r="L2635" s="53" t="s">
        <v>8680</v>
      </c>
      <c r="M2635" s="68" t="s">
        <v>8912</v>
      </c>
      <c r="N2635" s="68" t="s">
        <v>8665</v>
      </c>
      <c r="O2635" s="53">
        <v>50100</v>
      </c>
      <c r="P2635" s="198" t="s">
        <v>5810</v>
      </c>
    </row>
    <row r="2636" spans="1:16" ht="18.75" hidden="1">
      <c r="A2636" s="50" t="s">
        <v>6106</v>
      </c>
      <c r="B2636" s="50" t="s">
        <v>5848</v>
      </c>
      <c r="C2636" s="50" t="s">
        <v>5912</v>
      </c>
      <c r="D2636" s="50" t="s">
        <v>5560</v>
      </c>
      <c r="E2636" s="12" t="s">
        <v>4971</v>
      </c>
      <c r="F2636" s="49">
        <v>217330</v>
      </c>
      <c r="G2636" s="77" t="s">
        <v>5611</v>
      </c>
      <c r="H2636" s="14" t="s">
        <v>5601</v>
      </c>
      <c r="I2636" s="14" t="s">
        <v>2458</v>
      </c>
      <c r="J2636" s="33" t="s">
        <v>7110</v>
      </c>
      <c r="K2636" s="33" t="s">
        <v>6128</v>
      </c>
      <c r="L2636" s="53" t="s">
        <v>8682</v>
      </c>
      <c r="M2636" s="68" t="s">
        <v>8912</v>
      </c>
      <c r="N2636" s="68" t="s">
        <v>8665</v>
      </c>
      <c r="O2636" s="53">
        <v>50100</v>
      </c>
      <c r="P2636" s="198" t="s">
        <v>5813</v>
      </c>
    </row>
    <row r="2637" spans="1:16" ht="18.75" hidden="1">
      <c r="A2637" s="50" t="s">
        <v>6104</v>
      </c>
      <c r="B2637" s="50" t="s">
        <v>5600</v>
      </c>
      <c r="C2637" s="50" t="s">
        <v>5440</v>
      </c>
      <c r="D2637" s="50" t="s">
        <v>5046</v>
      </c>
      <c r="E2637" s="12" t="s">
        <v>4971</v>
      </c>
      <c r="F2637" s="49">
        <v>126350</v>
      </c>
      <c r="G2637" s="77" t="s">
        <v>5609</v>
      </c>
      <c r="H2637" s="14" t="s">
        <v>5601</v>
      </c>
      <c r="I2637" s="14" t="s">
        <v>2458</v>
      </c>
      <c r="J2637" s="33" t="s">
        <v>7110</v>
      </c>
      <c r="K2637" s="33" t="s">
        <v>6128</v>
      </c>
      <c r="L2637" s="53" t="s">
        <v>8680</v>
      </c>
      <c r="M2637" s="68" t="s">
        <v>8912</v>
      </c>
      <c r="N2637" s="68" t="s">
        <v>8665</v>
      </c>
      <c r="O2637" s="53">
        <v>50100</v>
      </c>
      <c r="P2637" s="198" t="s">
        <v>5772</v>
      </c>
    </row>
    <row r="2638" spans="1:16" ht="18.75" hidden="1">
      <c r="A2638" s="50" t="s">
        <v>6106</v>
      </c>
      <c r="B2638" s="50" t="s">
        <v>5848</v>
      </c>
      <c r="C2638" s="50" t="s">
        <v>5870</v>
      </c>
      <c r="D2638" s="50" t="s">
        <v>5270</v>
      </c>
      <c r="E2638" s="12" t="s">
        <v>4971</v>
      </c>
      <c r="F2638" s="49">
        <v>194580</v>
      </c>
      <c r="G2638" s="77" t="s">
        <v>5609</v>
      </c>
      <c r="H2638" s="14" t="s">
        <v>5601</v>
      </c>
      <c r="I2638" s="14" t="s">
        <v>2458</v>
      </c>
      <c r="J2638" s="33" t="s">
        <v>7110</v>
      </c>
      <c r="K2638" s="33" t="s">
        <v>6128</v>
      </c>
      <c r="L2638" s="53" t="s">
        <v>8682</v>
      </c>
      <c r="M2638" s="68" t="s">
        <v>8912</v>
      </c>
      <c r="N2638" s="68" t="s">
        <v>8665</v>
      </c>
      <c r="O2638" s="53">
        <v>50100</v>
      </c>
      <c r="P2638" s="198" t="s">
        <v>5793</v>
      </c>
    </row>
    <row r="2639" spans="1:16" ht="18.75" hidden="1">
      <c r="A2639" s="50" t="s">
        <v>6107</v>
      </c>
      <c r="B2639" s="50" t="s">
        <v>5832</v>
      </c>
      <c r="C2639" s="50" t="s">
        <v>5973</v>
      </c>
      <c r="D2639" s="50" t="s">
        <v>5832</v>
      </c>
      <c r="E2639" s="12" t="s">
        <v>4971</v>
      </c>
      <c r="F2639" s="49">
        <v>3998172</v>
      </c>
      <c r="G2639" s="77" t="s">
        <v>5779</v>
      </c>
      <c r="H2639" s="14" t="s">
        <v>5601</v>
      </c>
      <c r="I2639" s="14" t="s">
        <v>2458</v>
      </c>
      <c r="J2639" s="33" t="e">
        <f>VLOOKUP(C2639,شرکتها!A:B,2,FALSE)</f>
        <v>#N/A</v>
      </c>
      <c r="K2639" s="33" t="s">
        <v>6128</v>
      </c>
      <c r="L2639" s="53" t="s">
        <v>8683</v>
      </c>
      <c r="M2639" s="68" t="s">
        <v>8913</v>
      </c>
      <c r="N2639" s="68" t="s">
        <v>8665</v>
      </c>
      <c r="O2639" s="53">
        <v>50100</v>
      </c>
      <c r="P2639" s="198" t="s">
        <v>5834</v>
      </c>
    </row>
    <row r="2640" spans="1:16" ht="18.75" hidden="1">
      <c r="A2640" s="50" t="s">
        <v>6106</v>
      </c>
      <c r="B2640" s="50" t="s">
        <v>5848</v>
      </c>
      <c r="C2640" s="50" t="s">
        <v>5492</v>
      </c>
      <c r="D2640" s="50" t="s">
        <v>5165</v>
      </c>
      <c r="E2640" s="12" t="s">
        <v>4971</v>
      </c>
      <c r="F2640" s="49">
        <v>80000</v>
      </c>
      <c r="G2640" s="77" t="s">
        <v>5609</v>
      </c>
      <c r="H2640" s="14" t="s">
        <v>5601</v>
      </c>
      <c r="I2640" s="14" t="s">
        <v>2458</v>
      </c>
      <c r="J2640" s="33" t="s">
        <v>7110</v>
      </c>
      <c r="K2640" s="33" t="s">
        <v>6128</v>
      </c>
      <c r="L2640" s="53" t="s">
        <v>8682</v>
      </c>
      <c r="M2640" s="68" t="s">
        <v>8912</v>
      </c>
      <c r="N2640" s="68" t="s">
        <v>8665</v>
      </c>
      <c r="O2640" s="53">
        <v>50100</v>
      </c>
      <c r="P2640" s="198" t="s">
        <v>5793</v>
      </c>
    </row>
    <row r="2641" spans="1:16" ht="18.75" hidden="1">
      <c r="A2641" s="50" t="s">
        <v>6106</v>
      </c>
      <c r="B2641" s="50" t="s">
        <v>5848</v>
      </c>
      <c r="C2641" s="50" t="s">
        <v>5865</v>
      </c>
      <c r="D2641" s="50" t="s">
        <v>5160</v>
      </c>
      <c r="E2641" s="12" t="s">
        <v>4971</v>
      </c>
      <c r="F2641" s="49">
        <v>198580</v>
      </c>
      <c r="G2641" s="77" t="s">
        <v>5609</v>
      </c>
      <c r="H2641" s="14" t="s">
        <v>5601</v>
      </c>
      <c r="I2641" s="14" t="s">
        <v>2458</v>
      </c>
      <c r="J2641" s="33" t="s">
        <v>7110</v>
      </c>
      <c r="K2641" s="33" t="s">
        <v>6128</v>
      </c>
      <c r="L2641" s="53" t="s">
        <v>8682</v>
      </c>
      <c r="M2641" s="68" t="s">
        <v>8912</v>
      </c>
      <c r="N2641" s="68" t="s">
        <v>8665</v>
      </c>
      <c r="O2641" s="53">
        <v>50100</v>
      </c>
      <c r="P2641" s="198" t="s">
        <v>5793</v>
      </c>
    </row>
    <row r="2642" spans="1:16" ht="18.75" hidden="1">
      <c r="A2642" s="50" t="s">
        <v>6106</v>
      </c>
      <c r="B2642" s="50" t="s">
        <v>5848</v>
      </c>
      <c r="C2642" s="50" t="s">
        <v>5871</v>
      </c>
      <c r="D2642" s="50" t="s">
        <v>5302</v>
      </c>
      <c r="E2642" s="12" t="s">
        <v>4971</v>
      </c>
      <c r="F2642" s="49">
        <v>299460</v>
      </c>
      <c r="G2642" s="77" t="s">
        <v>5609</v>
      </c>
      <c r="H2642" s="14" t="s">
        <v>5601</v>
      </c>
      <c r="I2642" s="14" t="s">
        <v>2458</v>
      </c>
      <c r="J2642" s="33" t="s">
        <v>7110</v>
      </c>
      <c r="K2642" s="33" t="s">
        <v>6128</v>
      </c>
      <c r="L2642" s="53" t="s">
        <v>8682</v>
      </c>
      <c r="M2642" s="68" t="s">
        <v>8912</v>
      </c>
      <c r="N2642" s="68" t="s">
        <v>8665</v>
      </c>
      <c r="O2642" s="53">
        <v>50100</v>
      </c>
      <c r="P2642" s="198" t="s">
        <v>5793</v>
      </c>
    </row>
    <row r="2643" spans="1:16" ht="18.75" hidden="1">
      <c r="A2643" s="50" t="s">
        <v>6108</v>
      </c>
      <c r="B2643" s="50" t="s">
        <v>5840</v>
      </c>
      <c r="C2643" s="50" t="s">
        <v>5965</v>
      </c>
      <c r="D2643" s="50" t="s">
        <v>5830</v>
      </c>
      <c r="E2643" s="12" t="s">
        <v>4971</v>
      </c>
      <c r="F2643" s="49">
        <v>499179</v>
      </c>
      <c r="G2643" s="77" t="s">
        <v>5779</v>
      </c>
      <c r="H2643" s="14" t="s">
        <v>5601</v>
      </c>
      <c r="I2643" s="14" t="s">
        <v>2458</v>
      </c>
      <c r="J2643" s="33" t="e">
        <f>VLOOKUP(C2643,شرکتها!A:B,2,FALSE)</f>
        <v>#N/A</v>
      </c>
      <c r="K2643" s="33" t="s">
        <v>6128</v>
      </c>
      <c r="L2643" s="53" t="s">
        <v>6277</v>
      </c>
      <c r="M2643" s="68" t="s">
        <v>8912</v>
      </c>
      <c r="N2643" s="68" t="s">
        <v>8665</v>
      </c>
      <c r="O2643" s="53">
        <v>50100</v>
      </c>
      <c r="P2643" s="198" t="s">
        <v>5780</v>
      </c>
    </row>
    <row r="2644" spans="1:16" ht="18.75" hidden="1">
      <c r="A2644" s="50" t="s">
        <v>6109</v>
      </c>
      <c r="B2644" s="50" t="s">
        <v>5828</v>
      </c>
      <c r="C2644" s="50" t="s">
        <v>5180</v>
      </c>
      <c r="D2644" s="50" t="s">
        <v>5014</v>
      </c>
      <c r="E2644" s="12" t="s">
        <v>4971</v>
      </c>
      <c r="F2644" s="49">
        <v>14600</v>
      </c>
      <c r="G2644" s="77" t="s">
        <v>5611</v>
      </c>
      <c r="H2644" s="14" t="s">
        <v>5601</v>
      </c>
      <c r="I2644" s="14" t="s">
        <v>2458</v>
      </c>
      <c r="J2644" s="33" t="s">
        <v>7110</v>
      </c>
      <c r="K2644" s="33" t="s">
        <v>6128</v>
      </c>
      <c r="L2644" s="53" t="s">
        <v>6280</v>
      </c>
      <c r="M2644" s="68" t="s">
        <v>8912</v>
      </c>
      <c r="N2644" s="68" t="s">
        <v>8665</v>
      </c>
      <c r="O2644" s="53">
        <v>50100</v>
      </c>
      <c r="P2644" s="198" t="s">
        <v>5762</v>
      </c>
    </row>
    <row r="2645" spans="1:16" ht="18.75" hidden="1">
      <c r="A2645" s="50" t="s">
        <v>6109</v>
      </c>
      <c r="B2645" s="50" t="s">
        <v>5828</v>
      </c>
      <c r="C2645" s="50" t="s">
        <v>5866</v>
      </c>
      <c r="D2645" s="50" t="s">
        <v>5077</v>
      </c>
      <c r="E2645" s="12" t="s">
        <v>4971</v>
      </c>
      <c r="F2645" s="49">
        <v>15740</v>
      </c>
      <c r="G2645" s="77" t="s">
        <v>5611</v>
      </c>
      <c r="H2645" s="14" t="s">
        <v>5601</v>
      </c>
      <c r="I2645" s="14" t="s">
        <v>2458</v>
      </c>
      <c r="J2645" s="33" t="s">
        <v>7110</v>
      </c>
      <c r="K2645" s="33" t="s">
        <v>6128</v>
      </c>
      <c r="L2645" s="53" t="s">
        <v>6280</v>
      </c>
      <c r="M2645" s="68" t="s">
        <v>8912</v>
      </c>
      <c r="N2645" s="68" t="s">
        <v>8665</v>
      </c>
      <c r="O2645" s="53">
        <v>50100</v>
      </c>
      <c r="P2645" s="198" t="s">
        <v>5799</v>
      </c>
    </row>
    <row r="2646" spans="1:16" ht="18.75" hidden="1">
      <c r="A2646" s="50" t="s">
        <v>6110</v>
      </c>
      <c r="B2646" s="50" t="s">
        <v>5843</v>
      </c>
      <c r="C2646" s="50" t="s">
        <v>6022</v>
      </c>
      <c r="D2646" s="50" t="s">
        <v>5600</v>
      </c>
      <c r="E2646" s="12" t="s">
        <v>4971</v>
      </c>
      <c r="F2646" s="49">
        <v>244208</v>
      </c>
      <c r="G2646" s="77" t="s">
        <v>5779</v>
      </c>
      <c r="H2646" s="14" t="s">
        <v>5602</v>
      </c>
      <c r="I2646" s="14" t="s">
        <v>2458</v>
      </c>
      <c r="J2646" s="33" t="e">
        <f>VLOOKUP(C2646,شرکتها!A:B,2,FALSE)</f>
        <v>#N/A</v>
      </c>
      <c r="K2646" s="33" t="s">
        <v>6128</v>
      </c>
      <c r="L2646" s="53" t="s">
        <v>6282</v>
      </c>
      <c r="M2646" s="68" t="s">
        <v>8913</v>
      </c>
      <c r="N2646" s="68" t="s">
        <v>8665</v>
      </c>
      <c r="O2646" s="53">
        <v>50100</v>
      </c>
      <c r="P2646" s="198" t="s">
        <v>5844</v>
      </c>
    </row>
    <row r="2647" spans="1:16" ht="18.75" hidden="1">
      <c r="A2647" s="50" t="s">
        <v>6111</v>
      </c>
      <c r="B2647" s="50" t="s">
        <v>5843</v>
      </c>
      <c r="C2647" s="50" t="s">
        <v>6023</v>
      </c>
      <c r="D2647" s="50" t="s">
        <v>5600</v>
      </c>
      <c r="E2647" s="12" t="s">
        <v>4971</v>
      </c>
      <c r="F2647" s="49">
        <v>746225</v>
      </c>
      <c r="G2647" s="77" t="s">
        <v>5779</v>
      </c>
      <c r="H2647" s="14" t="s">
        <v>5602</v>
      </c>
      <c r="I2647" s="14" t="s">
        <v>2458</v>
      </c>
      <c r="J2647" s="33" t="e">
        <f>VLOOKUP(C2647,شرکتها!A:B,2,FALSE)</f>
        <v>#N/A</v>
      </c>
      <c r="K2647" s="33" t="s">
        <v>6128</v>
      </c>
      <c r="L2647" s="53" t="s">
        <v>6282</v>
      </c>
      <c r="M2647" s="68" t="s">
        <v>8914</v>
      </c>
      <c r="N2647" s="68" t="s">
        <v>8665</v>
      </c>
      <c r="O2647" s="53">
        <v>50100</v>
      </c>
      <c r="P2647" s="198" t="s">
        <v>5844</v>
      </c>
    </row>
    <row r="2648" spans="1:16" ht="18.75" hidden="1">
      <c r="A2648" s="50" t="s">
        <v>6112</v>
      </c>
      <c r="B2648" s="50" t="s">
        <v>5835</v>
      </c>
      <c r="C2648" s="50" t="s">
        <v>5948</v>
      </c>
      <c r="D2648" s="50" t="s">
        <v>5480</v>
      </c>
      <c r="E2648" s="12" t="s">
        <v>4971</v>
      </c>
      <c r="F2648" s="49">
        <v>490697</v>
      </c>
      <c r="G2648" s="77" t="s">
        <v>5779</v>
      </c>
      <c r="H2648" s="14" t="s">
        <v>5601</v>
      </c>
      <c r="I2648" s="14" t="s">
        <v>2458</v>
      </c>
      <c r="J2648" s="33" t="e">
        <f>VLOOKUP(C2648,شرکتها!A:B,2,FALSE)</f>
        <v>#N/A</v>
      </c>
      <c r="K2648" s="33" t="s">
        <v>6128</v>
      </c>
      <c r="L2648" s="53" t="s">
        <v>6277</v>
      </c>
      <c r="M2648" s="68" t="s">
        <v>8912</v>
      </c>
      <c r="N2648" s="68" t="s">
        <v>8665</v>
      </c>
      <c r="O2648" s="53">
        <v>50100</v>
      </c>
      <c r="P2648" s="198" t="s">
        <v>5780</v>
      </c>
    </row>
    <row r="2649" spans="1:16" ht="18.75" hidden="1">
      <c r="A2649" s="50" t="s">
        <v>6109</v>
      </c>
      <c r="B2649" s="50" t="s">
        <v>5828</v>
      </c>
      <c r="C2649" s="50" t="s">
        <v>5442</v>
      </c>
      <c r="D2649" s="50" t="s">
        <v>5161</v>
      </c>
      <c r="E2649" s="12" t="s">
        <v>4971</v>
      </c>
      <c r="F2649" s="49">
        <v>97682</v>
      </c>
      <c r="G2649" s="77" t="s">
        <v>5611</v>
      </c>
      <c r="H2649" s="14" t="s">
        <v>5601</v>
      </c>
      <c r="I2649" s="14" t="s">
        <v>2458</v>
      </c>
      <c r="J2649" s="33" t="s">
        <v>7110</v>
      </c>
      <c r="K2649" s="33" t="s">
        <v>6128</v>
      </c>
      <c r="L2649" s="53" t="s">
        <v>6280</v>
      </c>
      <c r="M2649" s="68" t="s">
        <v>8912</v>
      </c>
      <c r="N2649" s="68" t="s">
        <v>8665</v>
      </c>
      <c r="O2649" s="53">
        <v>50100</v>
      </c>
      <c r="P2649" s="198" t="s">
        <v>5762</v>
      </c>
    </row>
    <row r="2650" spans="1:16" ht="18.75" hidden="1">
      <c r="A2650" s="50" t="s">
        <v>6113</v>
      </c>
      <c r="B2650" s="50" t="s">
        <v>5832</v>
      </c>
      <c r="C2650" s="50" t="s">
        <v>5974</v>
      </c>
      <c r="D2650" s="50" t="s">
        <v>5832</v>
      </c>
      <c r="E2650" s="12" t="s">
        <v>4971</v>
      </c>
      <c r="F2650" s="49">
        <v>850150</v>
      </c>
      <c r="G2650" s="77" t="s">
        <v>5779</v>
      </c>
      <c r="H2650" s="14" t="s">
        <v>5601</v>
      </c>
      <c r="I2650" s="14" t="s">
        <v>2458</v>
      </c>
      <c r="J2650" s="33" t="e">
        <f>VLOOKUP(C2650,شرکتها!A:B,2,FALSE)</f>
        <v>#N/A</v>
      </c>
      <c r="K2650" s="33" t="s">
        <v>6128</v>
      </c>
      <c r="L2650" s="53" t="s">
        <v>6282</v>
      </c>
      <c r="M2650" s="68" t="s">
        <v>8913</v>
      </c>
      <c r="N2650" s="68" t="s">
        <v>8665</v>
      </c>
      <c r="O2650" s="53">
        <v>50100</v>
      </c>
      <c r="P2650" s="198" t="s">
        <v>5817</v>
      </c>
    </row>
    <row r="2651" spans="1:16" ht="18.75" hidden="1">
      <c r="A2651" s="50" t="s">
        <v>6109</v>
      </c>
      <c r="B2651" s="50" t="s">
        <v>5828</v>
      </c>
      <c r="C2651" s="50" t="s">
        <v>5863</v>
      </c>
      <c r="D2651" s="50" t="s">
        <v>5162</v>
      </c>
      <c r="E2651" s="12" t="s">
        <v>4971</v>
      </c>
      <c r="F2651" s="49">
        <v>120000</v>
      </c>
      <c r="G2651" s="77" t="s">
        <v>5611</v>
      </c>
      <c r="H2651" s="14" t="s">
        <v>5601</v>
      </c>
      <c r="I2651" s="14" t="s">
        <v>2458</v>
      </c>
      <c r="J2651" s="33" t="s">
        <v>7110</v>
      </c>
      <c r="K2651" s="33" t="s">
        <v>6128</v>
      </c>
      <c r="L2651" s="53" t="s">
        <v>6280</v>
      </c>
      <c r="M2651" s="68" t="s">
        <v>8912</v>
      </c>
      <c r="N2651" s="68" t="s">
        <v>8665</v>
      </c>
      <c r="O2651" s="53">
        <v>50100</v>
      </c>
      <c r="P2651" s="198" t="s">
        <v>5799</v>
      </c>
    </row>
    <row r="2652" spans="1:16" ht="18.75" hidden="1">
      <c r="A2652" s="50" t="s">
        <v>6109</v>
      </c>
      <c r="B2652" s="50" t="s">
        <v>5828</v>
      </c>
      <c r="C2652" s="50" t="s">
        <v>5284</v>
      </c>
      <c r="D2652" s="50" t="s">
        <v>5161</v>
      </c>
      <c r="E2652" s="12" t="s">
        <v>4971</v>
      </c>
      <c r="F2652" s="49">
        <v>79564</v>
      </c>
      <c r="G2652" s="77" t="s">
        <v>5611</v>
      </c>
      <c r="H2652" s="14" t="s">
        <v>5601</v>
      </c>
      <c r="I2652" s="14" t="s">
        <v>2458</v>
      </c>
      <c r="J2652" s="33" t="s">
        <v>7110</v>
      </c>
      <c r="K2652" s="33" t="s">
        <v>6128</v>
      </c>
      <c r="L2652" s="53" t="s">
        <v>6280</v>
      </c>
      <c r="M2652" s="68" t="s">
        <v>8912</v>
      </c>
      <c r="N2652" s="68" t="s">
        <v>8665</v>
      </c>
      <c r="O2652" s="53">
        <v>50100</v>
      </c>
      <c r="P2652" s="198" t="s">
        <v>5762</v>
      </c>
    </row>
    <row r="2653" spans="1:16" ht="18.75" hidden="1">
      <c r="A2653" s="50" t="s">
        <v>6114</v>
      </c>
      <c r="B2653" s="50" t="s">
        <v>5830</v>
      </c>
      <c r="C2653" s="50" t="s">
        <v>5875</v>
      </c>
      <c r="D2653" s="50" t="s">
        <v>5367</v>
      </c>
      <c r="E2653" s="12" t="s">
        <v>4971</v>
      </c>
      <c r="F2653" s="49">
        <v>298740</v>
      </c>
      <c r="G2653" s="77" t="s">
        <v>5611</v>
      </c>
      <c r="H2653" s="14" t="s">
        <v>5601</v>
      </c>
      <c r="I2653" s="14" t="s">
        <v>2458</v>
      </c>
      <c r="J2653" s="33" t="s">
        <v>7110</v>
      </c>
      <c r="K2653" s="33" t="s">
        <v>6128</v>
      </c>
      <c r="L2653" s="53" t="s">
        <v>6280</v>
      </c>
      <c r="M2653" s="68" t="s">
        <v>8912</v>
      </c>
      <c r="N2653" s="68" t="s">
        <v>8665</v>
      </c>
      <c r="O2653" s="53">
        <v>50100</v>
      </c>
      <c r="P2653" s="198" t="s">
        <v>5799</v>
      </c>
    </row>
    <row r="2654" spans="1:16" ht="18.75" hidden="1">
      <c r="A2654" s="50" t="s">
        <v>6115</v>
      </c>
      <c r="B2654" s="50" t="s">
        <v>5496</v>
      </c>
      <c r="C2654" s="50" t="s">
        <v>5864</v>
      </c>
      <c r="D2654" s="50" t="s">
        <v>5171</v>
      </c>
      <c r="E2654" s="12" t="s">
        <v>4971</v>
      </c>
      <c r="F2654" s="49">
        <v>301996</v>
      </c>
      <c r="G2654" s="77" t="s">
        <v>5611</v>
      </c>
      <c r="H2654" s="14" t="s">
        <v>5601</v>
      </c>
      <c r="I2654" s="14" t="s">
        <v>2458</v>
      </c>
      <c r="J2654" s="33" t="s">
        <v>7110</v>
      </c>
      <c r="K2654" s="33" t="s">
        <v>6128</v>
      </c>
      <c r="L2654" s="53" t="s">
        <v>6283</v>
      </c>
      <c r="M2654" s="68" t="s">
        <v>8912</v>
      </c>
      <c r="N2654" s="68" t="s">
        <v>8665</v>
      </c>
      <c r="O2654" s="53">
        <v>50100</v>
      </c>
      <c r="P2654" s="198" t="s">
        <v>5762</v>
      </c>
    </row>
    <row r="2655" spans="1:16" ht="18.75" hidden="1">
      <c r="A2655" s="50" t="s">
        <v>6114</v>
      </c>
      <c r="B2655" s="50" t="s">
        <v>5830</v>
      </c>
      <c r="C2655" s="50" t="s">
        <v>5869</v>
      </c>
      <c r="D2655" s="50" t="s">
        <v>5274</v>
      </c>
      <c r="E2655" s="12" t="s">
        <v>4971</v>
      </c>
      <c r="F2655" s="49">
        <v>168560</v>
      </c>
      <c r="G2655" s="77" t="s">
        <v>5611</v>
      </c>
      <c r="H2655" s="14" t="s">
        <v>5601</v>
      </c>
      <c r="I2655" s="14" t="s">
        <v>2458</v>
      </c>
      <c r="J2655" s="33" t="s">
        <v>7110</v>
      </c>
      <c r="K2655" s="33" t="s">
        <v>6128</v>
      </c>
      <c r="L2655" s="53" t="s">
        <v>6280</v>
      </c>
      <c r="M2655" s="68" t="s">
        <v>8912</v>
      </c>
      <c r="N2655" s="68" t="s">
        <v>8665</v>
      </c>
      <c r="O2655" s="53">
        <v>50100</v>
      </c>
      <c r="P2655" s="198" t="s">
        <v>5799</v>
      </c>
    </row>
    <row r="2656" spans="1:16" ht="18.75" hidden="1">
      <c r="A2656" s="50" t="s">
        <v>6114</v>
      </c>
      <c r="B2656" s="50" t="s">
        <v>5830</v>
      </c>
      <c r="C2656" s="50" t="s">
        <v>5876</v>
      </c>
      <c r="D2656" s="50" t="s">
        <v>5379</v>
      </c>
      <c r="E2656" s="12" t="s">
        <v>4971</v>
      </c>
      <c r="F2656" s="49">
        <v>5054</v>
      </c>
      <c r="G2656" s="77" t="s">
        <v>5611</v>
      </c>
      <c r="H2656" s="14" t="s">
        <v>5601</v>
      </c>
      <c r="I2656" s="14" t="s">
        <v>2458</v>
      </c>
      <c r="J2656" s="33" t="s">
        <v>7110</v>
      </c>
      <c r="K2656" s="33" t="s">
        <v>6128</v>
      </c>
      <c r="L2656" s="53" t="s">
        <v>6280</v>
      </c>
      <c r="M2656" s="68" t="s">
        <v>8912</v>
      </c>
      <c r="N2656" s="68" t="s">
        <v>8665</v>
      </c>
      <c r="O2656" s="53">
        <v>50100</v>
      </c>
      <c r="P2656" s="198" t="s">
        <v>5799</v>
      </c>
    </row>
    <row r="2657" spans="1:16" ht="18.75" hidden="1">
      <c r="A2657" s="50" t="s">
        <v>6114</v>
      </c>
      <c r="B2657" s="50" t="s">
        <v>5830</v>
      </c>
      <c r="C2657" s="50" t="s">
        <v>5874</v>
      </c>
      <c r="D2657" s="50" t="s">
        <v>5368</v>
      </c>
      <c r="E2657" s="12" t="s">
        <v>4971</v>
      </c>
      <c r="F2657" s="49">
        <v>150000</v>
      </c>
      <c r="G2657" s="77" t="s">
        <v>5611</v>
      </c>
      <c r="H2657" s="14" t="s">
        <v>5601</v>
      </c>
      <c r="I2657" s="14" t="s">
        <v>2458</v>
      </c>
      <c r="J2657" s="33" t="s">
        <v>7110</v>
      </c>
      <c r="K2657" s="33" t="s">
        <v>6128</v>
      </c>
      <c r="L2657" s="53" t="s">
        <v>6280</v>
      </c>
      <c r="M2657" s="68" t="s">
        <v>8912</v>
      </c>
      <c r="N2657" s="68" t="s">
        <v>8665</v>
      </c>
      <c r="O2657" s="53">
        <v>50100</v>
      </c>
      <c r="P2657" s="198" t="s">
        <v>5799</v>
      </c>
    </row>
    <row r="2658" spans="1:16" ht="18.75" hidden="1">
      <c r="A2658" s="50" t="s">
        <v>6114</v>
      </c>
      <c r="B2658" s="50" t="s">
        <v>5830</v>
      </c>
      <c r="C2658" s="50" t="s">
        <v>5868</v>
      </c>
      <c r="D2658" s="50" t="s">
        <v>5273</v>
      </c>
      <c r="E2658" s="12" t="s">
        <v>4971</v>
      </c>
      <c r="F2658" s="49">
        <v>77191</v>
      </c>
      <c r="G2658" s="77" t="s">
        <v>5611</v>
      </c>
      <c r="H2658" s="14" t="s">
        <v>5601</v>
      </c>
      <c r="I2658" s="14" t="s">
        <v>2458</v>
      </c>
      <c r="J2658" s="33" t="s">
        <v>7110</v>
      </c>
      <c r="K2658" s="33" t="s">
        <v>6128</v>
      </c>
      <c r="L2658" s="53" t="s">
        <v>6280</v>
      </c>
      <c r="M2658" s="68" t="s">
        <v>8912</v>
      </c>
      <c r="N2658" s="68" t="s">
        <v>8665</v>
      </c>
      <c r="O2658" s="53">
        <v>50100</v>
      </c>
      <c r="P2658" s="198" t="s">
        <v>5799</v>
      </c>
    </row>
    <row r="2659" spans="1:16" ht="18.75" hidden="1">
      <c r="A2659" s="50" t="s">
        <v>6116</v>
      </c>
      <c r="B2659" s="50" t="s">
        <v>5835</v>
      </c>
      <c r="C2659" s="50" t="s">
        <v>5876</v>
      </c>
      <c r="D2659" s="50" t="s">
        <v>5379</v>
      </c>
      <c r="E2659" s="12" t="s">
        <v>4971</v>
      </c>
      <c r="F2659" s="49">
        <v>82156</v>
      </c>
      <c r="G2659" s="77" t="s">
        <v>5611</v>
      </c>
      <c r="H2659" s="14" t="s">
        <v>5601</v>
      </c>
      <c r="I2659" s="14" t="s">
        <v>2458</v>
      </c>
      <c r="J2659" s="33" t="s">
        <v>7110</v>
      </c>
      <c r="K2659" s="33" t="s">
        <v>6128</v>
      </c>
      <c r="L2659" s="53" t="s">
        <v>6280</v>
      </c>
      <c r="M2659" s="68" t="s">
        <v>8912</v>
      </c>
      <c r="N2659" s="68" t="s">
        <v>8665</v>
      </c>
      <c r="O2659" s="53">
        <v>50100</v>
      </c>
      <c r="P2659" s="198" t="s">
        <v>5799</v>
      </c>
    </row>
    <row r="2660" spans="1:16" ht="18.75" hidden="1">
      <c r="A2660" s="50" t="s">
        <v>6116</v>
      </c>
      <c r="B2660" s="50" t="s">
        <v>5835</v>
      </c>
      <c r="C2660" s="50" t="s">
        <v>5877</v>
      </c>
      <c r="D2660" s="50" t="s">
        <v>5420</v>
      </c>
      <c r="E2660" s="12" t="s">
        <v>4971</v>
      </c>
      <c r="F2660" s="49">
        <v>250000</v>
      </c>
      <c r="G2660" s="77" t="s">
        <v>5611</v>
      </c>
      <c r="H2660" s="14" t="s">
        <v>5601</v>
      </c>
      <c r="I2660" s="14" t="s">
        <v>2458</v>
      </c>
      <c r="J2660" s="33" t="s">
        <v>7110</v>
      </c>
      <c r="K2660" s="33" t="s">
        <v>6128</v>
      </c>
      <c r="L2660" s="53" t="s">
        <v>6280</v>
      </c>
      <c r="M2660" s="68" t="s">
        <v>8912</v>
      </c>
      <c r="N2660" s="68" t="s">
        <v>8665</v>
      </c>
      <c r="O2660" s="53">
        <v>50100</v>
      </c>
      <c r="P2660" s="198" t="s">
        <v>5810</v>
      </c>
    </row>
    <row r="2661" spans="1:16" ht="18.75" hidden="1">
      <c r="A2661" s="50" t="s">
        <v>6116</v>
      </c>
      <c r="B2661" s="50" t="s">
        <v>5835</v>
      </c>
      <c r="C2661" s="50" t="s">
        <v>5864</v>
      </c>
      <c r="D2661" s="50" t="s">
        <v>5171</v>
      </c>
      <c r="E2661" s="12" t="s">
        <v>4971</v>
      </c>
      <c r="F2661" s="49">
        <v>167244</v>
      </c>
      <c r="G2661" s="77" t="s">
        <v>5611</v>
      </c>
      <c r="H2661" s="14" t="s">
        <v>5601</v>
      </c>
      <c r="I2661" s="14" t="s">
        <v>2458</v>
      </c>
      <c r="J2661" s="33" t="s">
        <v>7110</v>
      </c>
      <c r="K2661" s="33" t="s">
        <v>6128</v>
      </c>
      <c r="L2661" s="53" t="s">
        <v>6280</v>
      </c>
      <c r="M2661" s="68" t="s">
        <v>8912</v>
      </c>
      <c r="N2661" s="68" t="s">
        <v>8665</v>
      </c>
      <c r="O2661" s="53">
        <v>50100</v>
      </c>
      <c r="P2661" s="198" t="s">
        <v>5762</v>
      </c>
    </row>
    <row r="2662" spans="1:16" ht="18.75" hidden="1">
      <c r="A2662" s="50" t="s">
        <v>6117</v>
      </c>
      <c r="B2662" s="50" t="s">
        <v>5832</v>
      </c>
      <c r="C2662" s="50" t="s">
        <v>5974</v>
      </c>
      <c r="D2662" s="50" t="s">
        <v>5832</v>
      </c>
      <c r="E2662" s="12" t="s">
        <v>4971</v>
      </c>
      <c r="F2662" s="49">
        <v>226956</v>
      </c>
      <c r="G2662" s="77" t="s">
        <v>5779</v>
      </c>
      <c r="H2662" s="14" t="s">
        <v>5601</v>
      </c>
      <c r="I2662" s="14" t="s">
        <v>2458</v>
      </c>
      <c r="J2662" s="33" t="e">
        <f>VLOOKUP(C2662,شرکتها!A:B,2,FALSE)</f>
        <v>#N/A</v>
      </c>
      <c r="K2662" s="33" t="s">
        <v>6128</v>
      </c>
      <c r="L2662" s="53" t="s">
        <v>6282</v>
      </c>
      <c r="M2662" s="68" t="s">
        <v>8913</v>
      </c>
      <c r="N2662" s="68" t="s">
        <v>8665</v>
      </c>
      <c r="O2662" s="53">
        <v>50100</v>
      </c>
      <c r="P2662" s="198" t="s">
        <v>5817</v>
      </c>
    </row>
    <row r="2663" spans="1:16" ht="18.75" hidden="1">
      <c r="A2663" s="50" t="s">
        <v>6109</v>
      </c>
      <c r="B2663" s="50" t="s">
        <v>5828</v>
      </c>
      <c r="C2663" s="50" t="s">
        <v>5868</v>
      </c>
      <c r="D2663" s="50" t="s">
        <v>5273</v>
      </c>
      <c r="E2663" s="12" t="s">
        <v>4971</v>
      </c>
      <c r="F2663" s="49">
        <v>172089</v>
      </c>
      <c r="G2663" s="77" t="s">
        <v>5611</v>
      </c>
      <c r="H2663" s="14" t="s">
        <v>5601</v>
      </c>
      <c r="I2663" s="14" t="s">
        <v>2458</v>
      </c>
      <c r="J2663" s="33" t="s">
        <v>7110</v>
      </c>
      <c r="K2663" s="33" t="s">
        <v>6128</v>
      </c>
      <c r="L2663" s="53" t="s">
        <v>6280</v>
      </c>
      <c r="M2663" s="68" t="s">
        <v>8912</v>
      </c>
      <c r="N2663" s="68" t="s">
        <v>8665</v>
      </c>
      <c r="O2663" s="53">
        <v>50100</v>
      </c>
      <c r="P2663" s="198" t="s">
        <v>5799</v>
      </c>
    </row>
    <row r="2664" spans="1:16" ht="18.75" hidden="1">
      <c r="A2664" s="50" t="s">
        <v>6118</v>
      </c>
      <c r="B2664" s="50" t="s">
        <v>5843</v>
      </c>
      <c r="C2664" s="50" t="s">
        <v>5981</v>
      </c>
      <c r="D2664" s="50" t="s">
        <v>5835</v>
      </c>
      <c r="E2664" s="12" t="s">
        <v>4971</v>
      </c>
      <c r="F2664" s="49">
        <v>978248</v>
      </c>
      <c r="G2664" s="77" t="s">
        <v>5631</v>
      </c>
      <c r="H2664" s="14" t="s">
        <v>5601</v>
      </c>
      <c r="I2664" s="14" t="s">
        <v>2458</v>
      </c>
      <c r="J2664" s="33" t="s">
        <v>7110</v>
      </c>
      <c r="K2664" s="33" t="s">
        <v>6128</v>
      </c>
      <c r="L2664" s="53" t="s">
        <v>6283</v>
      </c>
      <c r="M2664" s="68" t="s">
        <v>8912</v>
      </c>
      <c r="N2664" s="68" t="s">
        <v>8665</v>
      </c>
      <c r="O2664" s="53">
        <v>50100</v>
      </c>
      <c r="P2664" s="197" t="s">
        <v>5836</v>
      </c>
    </row>
    <row r="2665" spans="1:16" ht="18.75" hidden="1">
      <c r="A2665" s="50" t="s">
        <v>6119</v>
      </c>
      <c r="B2665" s="50" t="s">
        <v>5835</v>
      </c>
      <c r="C2665" s="50" t="s">
        <v>5454</v>
      </c>
      <c r="D2665" s="50" t="s">
        <v>5046</v>
      </c>
      <c r="E2665" s="12" t="s">
        <v>4971</v>
      </c>
      <c r="F2665" s="49">
        <v>29760</v>
      </c>
      <c r="G2665" s="77" t="s">
        <v>5611</v>
      </c>
      <c r="H2665" s="14" t="s">
        <v>5601</v>
      </c>
      <c r="I2665" s="14" t="s">
        <v>2458</v>
      </c>
      <c r="J2665" s="33" t="s">
        <v>7110</v>
      </c>
      <c r="K2665" s="33" t="s">
        <v>6128</v>
      </c>
      <c r="L2665" s="53" t="s">
        <v>6283</v>
      </c>
      <c r="M2665" s="68" t="s">
        <v>8912</v>
      </c>
      <c r="N2665" s="68" t="s">
        <v>8665</v>
      </c>
      <c r="O2665" s="53">
        <v>50100</v>
      </c>
      <c r="P2665" s="198" t="s">
        <v>5758</v>
      </c>
    </row>
    <row r="2666" spans="1:16" ht="18.75" hidden="1">
      <c r="A2666" s="50" t="s">
        <v>6120</v>
      </c>
      <c r="B2666" s="50" t="s">
        <v>5600</v>
      </c>
      <c r="C2666" s="50" t="s">
        <v>5904</v>
      </c>
      <c r="D2666" s="50" t="s">
        <v>5478</v>
      </c>
      <c r="E2666" s="12" t="s">
        <v>4971</v>
      </c>
      <c r="F2666" s="49">
        <v>99580</v>
      </c>
      <c r="G2666" s="77" t="s">
        <v>5611</v>
      </c>
      <c r="H2666" s="14" t="s">
        <v>5601</v>
      </c>
      <c r="I2666" s="14" t="s">
        <v>2458</v>
      </c>
      <c r="J2666" s="33" t="s">
        <v>7110</v>
      </c>
      <c r="K2666" s="33" t="s">
        <v>6128</v>
      </c>
      <c r="L2666" s="53" t="s">
        <v>6283</v>
      </c>
      <c r="M2666" s="68" t="s">
        <v>8912</v>
      </c>
      <c r="N2666" s="68" t="s">
        <v>8665</v>
      </c>
      <c r="O2666" s="53">
        <v>50100</v>
      </c>
      <c r="P2666" s="198" t="s">
        <v>5813</v>
      </c>
    </row>
    <row r="2667" spans="1:16" ht="18.75" hidden="1">
      <c r="A2667" s="50" t="s">
        <v>6121</v>
      </c>
      <c r="B2667" s="50" t="s">
        <v>5849</v>
      </c>
      <c r="C2667" s="50" t="s">
        <v>5945</v>
      </c>
      <c r="D2667" s="50" t="s">
        <v>5480</v>
      </c>
      <c r="E2667" s="12" t="s">
        <v>4971</v>
      </c>
      <c r="F2667" s="49">
        <v>90000</v>
      </c>
      <c r="G2667" s="77" t="s">
        <v>5631</v>
      </c>
      <c r="H2667" s="14" t="s">
        <v>5601</v>
      </c>
      <c r="I2667" s="14" t="s">
        <v>2458</v>
      </c>
      <c r="J2667" s="33" t="s">
        <v>7110</v>
      </c>
      <c r="K2667" s="33" t="s">
        <v>6128</v>
      </c>
      <c r="L2667" s="53" t="s">
        <v>6283</v>
      </c>
      <c r="M2667" s="68" t="s">
        <v>8912</v>
      </c>
      <c r="N2667" s="68" t="s">
        <v>8665</v>
      </c>
      <c r="O2667" s="53">
        <v>50100</v>
      </c>
      <c r="P2667" s="197" t="s">
        <v>5807</v>
      </c>
    </row>
    <row r="2668" spans="1:16" ht="18.75" hidden="1">
      <c r="A2668" s="50" t="s">
        <v>6119</v>
      </c>
      <c r="B2668" s="50" t="s">
        <v>5835</v>
      </c>
      <c r="C2668" s="50" t="s">
        <v>5876</v>
      </c>
      <c r="D2668" s="50" t="s">
        <v>5379</v>
      </c>
      <c r="E2668" s="12" t="s">
        <v>4971</v>
      </c>
      <c r="F2668" s="49">
        <v>130240</v>
      </c>
      <c r="G2668" s="77" t="s">
        <v>5611</v>
      </c>
      <c r="H2668" s="14" t="s">
        <v>5601</v>
      </c>
      <c r="I2668" s="14" t="s">
        <v>2458</v>
      </c>
      <c r="J2668" s="33" t="s">
        <v>7110</v>
      </c>
      <c r="K2668" s="33" t="s">
        <v>6128</v>
      </c>
      <c r="L2668" s="53" t="s">
        <v>6283</v>
      </c>
      <c r="M2668" s="68" t="s">
        <v>8912</v>
      </c>
      <c r="N2668" s="68" t="s">
        <v>8665</v>
      </c>
      <c r="O2668" s="53">
        <v>50100</v>
      </c>
      <c r="P2668" s="198" t="s">
        <v>5799</v>
      </c>
    </row>
    <row r="2669" spans="1:16" ht="18.75" hidden="1">
      <c r="A2669" s="50" t="s">
        <v>6122</v>
      </c>
      <c r="B2669" s="50" t="s">
        <v>5840</v>
      </c>
      <c r="C2669" s="50" t="s">
        <v>5892</v>
      </c>
      <c r="D2669" s="50" t="s">
        <v>5558</v>
      </c>
      <c r="E2669" s="12" t="s">
        <v>4971</v>
      </c>
      <c r="F2669" s="49">
        <v>200000</v>
      </c>
      <c r="G2669" s="77" t="s">
        <v>5611</v>
      </c>
      <c r="H2669" s="14" t="s">
        <v>5601</v>
      </c>
      <c r="I2669" s="14" t="s">
        <v>2458</v>
      </c>
      <c r="J2669" s="33" t="s">
        <v>7110</v>
      </c>
      <c r="K2669" s="33" t="s">
        <v>6128</v>
      </c>
      <c r="L2669" s="53" t="s">
        <v>6279</v>
      </c>
      <c r="M2669" s="68" t="s">
        <v>8912</v>
      </c>
      <c r="N2669" s="68" t="s">
        <v>8665</v>
      </c>
      <c r="O2669" s="53">
        <v>50100</v>
      </c>
      <c r="P2669" s="198" t="s">
        <v>5813</v>
      </c>
    </row>
    <row r="2670" spans="1:16" ht="18.75" hidden="1">
      <c r="A2670" s="50" t="s">
        <v>6122</v>
      </c>
      <c r="B2670" s="50" t="s">
        <v>5840</v>
      </c>
      <c r="C2670" s="50" t="s">
        <v>5887</v>
      </c>
      <c r="D2670" s="50" t="s">
        <v>5555</v>
      </c>
      <c r="E2670" s="12" t="s">
        <v>4971</v>
      </c>
      <c r="F2670" s="49">
        <v>60296</v>
      </c>
      <c r="G2670" s="77" t="s">
        <v>5611</v>
      </c>
      <c r="H2670" s="14" t="s">
        <v>5601</v>
      </c>
      <c r="I2670" s="14" t="s">
        <v>2458</v>
      </c>
      <c r="J2670" s="33" t="s">
        <v>7110</v>
      </c>
      <c r="K2670" s="33" t="s">
        <v>6128</v>
      </c>
      <c r="L2670" s="53" t="s">
        <v>6279</v>
      </c>
      <c r="M2670" s="68" t="s">
        <v>8912</v>
      </c>
      <c r="N2670" s="68" t="s">
        <v>8665</v>
      </c>
      <c r="O2670" s="53">
        <v>50100</v>
      </c>
      <c r="P2670" s="198" t="s">
        <v>5810</v>
      </c>
    </row>
    <row r="2671" spans="1:16" ht="18.75" hidden="1">
      <c r="A2671" s="50" t="s">
        <v>6115</v>
      </c>
      <c r="B2671" s="50" t="s">
        <v>5496</v>
      </c>
      <c r="C2671" s="50" t="s">
        <v>5887</v>
      </c>
      <c r="D2671" s="50" t="s">
        <v>5555</v>
      </c>
      <c r="E2671" s="12" t="s">
        <v>4971</v>
      </c>
      <c r="F2671" s="49">
        <v>189704</v>
      </c>
      <c r="G2671" s="77" t="s">
        <v>5611</v>
      </c>
      <c r="H2671" s="14" t="s">
        <v>5601</v>
      </c>
      <c r="I2671" s="14" t="s">
        <v>2458</v>
      </c>
      <c r="J2671" s="33" t="s">
        <v>7110</v>
      </c>
      <c r="K2671" s="33" t="s">
        <v>6128</v>
      </c>
      <c r="L2671" s="53" t="s">
        <v>6283</v>
      </c>
      <c r="M2671" s="68" t="s">
        <v>8912</v>
      </c>
      <c r="N2671" s="68" t="s">
        <v>8665</v>
      </c>
      <c r="O2671" s="53">
        <v>50100</v>
      </c>
      <c r="P2671" s="198" t="s">
        <v>5810</v>
      </c>
    </row>
    <row r="2672" spans="1:16" ht="18.75" hidden="1">
      <c r="A2672" s="50" t="s">
        <v>6122</v>
      </c>
      <c r="B2672" s="50" t="s">
        <v>5840</v>
      </c>
      <c r="C2672" s="50" t="s">
        <v>5886</v>
      </c>
      <c r="D2672" s="50" t="s">
        <v>5458</v>
      </c>
      <c r="E2672" s="12" t="s">
        <v>4971</v>
      </c>
      <c r="F2672" s="49">
        <v>228669</v>
      </c>
      <c r="G2672" s="77" t="s">
        <v>5611</v>
      </c>
      <c r="H2672" s="14" t="s">
        <v>5601</v>
      </c>
      <c r="I2672" s="14" t="s">
        <v>2458</v>
      </c>
      <c r="J2672" s="33" t="s">
        <v>7110</v>
      </c>
      <c r="K2672" s="33" t="s">
        <v>6128</v>
      </c>
      <c r="L2672" s="53" t="s">
        <v>6279</v>
      </c>
      <c r="M2672" s="68" t="s">
        <v>8912</v>
      </c>
      <c r="N2672" s="68" t="s">
        <v>8665</v>
      </c>
      <c r="O2672" s="53">
        <v>50100</v>
      </c>
      <c r="P2672" s="198" t="s">
        <v>5810</v>
      </c>
    </row>
    <row r="2673" spans="1:16" ht="18.75" hidden="1">
      <c r="A2673" s="50" t="s">
        <v>6120</v>
      </c>
      <c r="B2673" s="50" t="s">
        <v>5600</v>
      </c>
      <c r="C2673" s="50" t="s">
        <v>5886</v>
      </c>
      <c r="D2673" s="50" t="s">
        <v>5458</v>
      </c>
      <c r="E2673" s="12" t="s">
        <v>4971</v>
      </c>
      <c r="F2673" s="49">
        <v>398170</v>
      </c>
      <c r="G2673" s="77" t="s">
        <v>5611</v>
      </c>
      <c r="H2673" s="14" t="s">
        <v>5601</v>
      </c>
      <c r="I2673" s="14" t="s">
        <v>2458</v>
      </c>
      <c r="J2673" s="33" t="s">
        <v>7110</v>
      </c>
      <c r="K2673" s="33" t="s">
        <v>6128</v>
      </c>
      <c r="L2673" s="53" t="s">
        <v>6283</v>
      </c>
      <c r="M2673" s="68" t="s">
        <v>8912</v>
      </c>
      <c r="N2673" s="68" t="s">
        <v>8665</v>
      </c>
      <c r="O2673" s="53">
        <v>50100</v>
      </c>
      <c r="P2673" s="198" t="s">
        <v>5810</v>
      </c>
    </row>
    <row r="2674" spans="1:16" ht="18.75" hidden="1">
      <c r="A2674" s="50" t="s">
        <v>6121</v>
      </c>
      <c r="B2674" s="50" t="s">
        <v>5849</v>
      </c>
      <c r="C2674" s="50" t="s">
        <v>5981</v>
      </c>
      <c r="D2674" s="50" t="s">
        <v>5835</v>
      </c>
      <c r="E2674" s="12" t="s">
        <v>4971</v>
      </c>
      <c r="F2674" s="49">
        <v>21281</v>
      </c>
      <c r="G2674" s="77" t="s">
        <v>5631</v>
      </c>
      <c r="H2674" s="14" t="s">
        <v>5601</v>
      </c>
      <c r="I2674" s="14" t="s">
        <v>2458</v>
      </c>
      <c r="J2674" s="33" t="s">
        <v>7110</v>
      </c>
      <c r="K2674" s="33" t="s">
        <v>6128</v>
      </c>
      <c r="L2674" s="53" t="s">
        <v>6283</v>
      </c>
      <c r="M2674" s="68" t="s">
        <v>8912</v>
      </c>
      <c r="N2674" s="68" t="s">
        <v>8665</v>
      </c>
      <c r="O2674" s="53">
        <v>50100</v>
      </c>
      <c r="P2674" s="197" t="s">
        <v>5836</v>
      </c>
    </row>
    <row r="2675" spans="1:16" ht="18.75" hidden="1">
      <c r="A2675" s="50" t="s">
        <v>6123</v>
      </c>
      <c r="B2675" s="50" t="s">
        <v>5839</v>
      </c>
      <c r="C2675" s="50" t="s">
        <v>5862</v>
      </c>
      <c r="D2675" s="50" t="s">
        <v>4972</v>
      </c>
      <c r="E2675" s="12" t="s">
        <v>4971</v>
      </c>
      <c r="F2675" s="49">
        <v>292293</v>
      </c>
      <c r="G2675" s="77" t="s">
        <v>5631</v>
      </c>
      <c r="H2675" s="14" t="s">
        <v>5601</v>
      </c>
      <c r="I2675" s="14" t="s">
        <v>2458</v>
      </c>
      <c r="J2675" s="33" t="s">
        <v>7110</v>
      </c>
      <c r="K2675" s="33" t="s">
        <v>6128</v>
      </c>
      <c r="L2675" s="53" t="s">
        <v>6280</v>
      </c>
      <c r="M2675" s="68" t="s">
        <v>8912</v>
      </c>
      <c r="N2675" s="68" t="s">
        <v>8665</v>
      </c>
      <c r="O2675" s="53">
        <v>50100</v>
      </c>
      <c r="P2675" s="197" t="s">
        <v>5789</v>
      </c>
    </row>
    <row r="2676" spans="1:16" ht="18.75" hidden="1">
      <c r="A2676" s="50" t="s">
        <v>6124</v>
      </c>
      <c r="B2676" s="50" t="s">
        <v>5849</v>
      </c>
      <c r="C2676" s="50" t="s">
        <v>6008</v>
      </c>
      <c r="D2676" s="50" t="s">
        <v>5840</v>
      </c>
      <c r="E2676" s="12" t="s">
        <v>4971</v>
      </c>
      <c r="F2676" s="49">
        <v>252979</v>
      </c>
      <c r="G2676" s="77" t="s">
        <v>5631</v>
      </c>
      <c r="H2676" s="14" t="s">
        <v>5601</v>
      </c>
      <c r="I2676" s="14" t="s">
        <v>2458</v>
      </c>
      <c r="J2676" s="33" t="s">
        <v>7110</v>
      </c>
      <c r="K2676" s="33" t="s">
        <v>6128</v>
      </c>
      <c r="L2676" s="53" t="s">
        <v>6283</v>
      </c>
      <c r="M2676" s="68" t="s">
        <v>8912</v>
      </c>
      <c r="N2676" s="68" t="s">
        <v>8665</v>
      </c>
      <c r="O2676" s="53">
        <v>50100</v>
      </c>
      <c r="P2676" s="197" t="s">
        <v>5842</v>
      </c>
    </row>
    <row r="2677" spans="1:16" ht="18.75" hidden="1">
      <c r="A2677" s="50" t="s">
        <v>6125</v>
      </c>
      <c r="B2677" s="50" t="s">
        <v>5843</v>
      </c>
      <c r="C2677" s="50" t="s">
        <v>6013</v>
      </c>
      <c r="D2677" s="50" t="s">
        <v>5843</v>
      </c>
      <c r="E2677" s="12" t="s">
        <v>4971</v>
      </c>
      <c r="F2677" s="49">
        <v>2490827</v>
      </c>
      <c r="G2677" s="77" t="s">
        <v>5779</v>
      </c>
      <c r="H2677" s="14" t="s">
        <v>5601</v>
      </c>
      <c r="I2677" s="14" t="s">
        <v>2458</v>
      </c>
      <c r="J2677" s="33" t="e">
        <f>VLOOKUP(C2677,شرکتها!A:B,2,FALSE)</f>
        <v>#N/A</v>
      </c>
      <c r="K2677" s="33" t="s">
        <v>6128</v>
      </c>
      <c r="L2677" s="53" t="s">
        <v>6284</v>
      </c>
      <c r="M2677" s="68" t="s">
        <v>8913</v>
      </c>
      <c r="N2677" s="68" t="s">
        <v>8665</v>
      </c>
      <c r="O2677" s="53">
        <v>50100</v>
      </c>
      <c r="P2677" s="198" t="s">
        <v>5844</v>
      </c>
    </row>
    <row r="2678" spans="1:16" ht="18.75" hidden="1">
      <c r="A2678" s="50" t="s">
        <v>6121</v>
      </c>
      <c r="B2678" s="50" t="s">
        <v>5849</v>
      </c>
      <c r="C2678" s="50" t="s">
        <v>6008</v>
      </c>
      <c r="D2678" s="50" t="s">
        <v>5840</v>
      </c>
      <c r="E2678" s="12" t="s">
        <v>4971</v>
      </c>
      <c r="F2678" s="49">
        <v>121708</v>
      </c>
      <c r="G2678" s="77" t="s">
        <v>5631</v>
      </c>
      <c r="H2678" s="14" t="s">
        <v>5601</v>
      </c>
      <c r="I2678" s="14" t="s">
        <v>2458</v>
      </c>
      <c r="J2678" s="33" t="s">
        <v>7110</v>
      </c>
      <c r="K2678" s="33" t="s">
        <v>6128</v>
      </c>
      <c r="L2678" s="53" t="s">
        <v>6283</v>
      </c>
      <c r="M2678" s="68" t="s">
        <v>8912</v>
      </c>
      <c r="N2678" s="68" t="s">
        <v>8665</v>
      </c>
      <c r="O2678" s="53">
        <v>50100</v>
      </c>
      <c r="P2678" s="197" t="s">
        <v>5842</v>
      </c>
    </row>
    <row r="2679" spans="1:16" ht="18.75" hidden="1">
      <c r="A2679" s="50" t="s">
        <v>6123</v>
      </c>
      <c r="B2679" s="50" t="s">
        <v>5839</v>
      </c>
      <c r="C2679" s="50" t="s">
        <v>5205</v>
      </c>
      <c r="D2679" s="50" t="s">
        <v>5010</v>
      </c>
      <c r="E2679" s="12" t="s">
        <v>4971</v>
      </c>
      <c r="F2679" s="49">
        <v>208387</v>
      </c>
      <c r="G2679" s="77" t="s">
        <v>5631</v>
      </c>
      <c r="H2679" s="14" t="s">
        <v>5601</v>
      </c>
      <c r="I2679" s="14" t="s">
        <v>2458</v>
      </c>
      <c r="J2679" s="33" t="s">
        <v>7110</v>
      </c>
      <c r="K2679" s="33" t="s">
        <v>6128</v>
      </c>
      <c r="L2679" s="53" t="s">
        <v>6280</v>
      </c>
      <c r="M2679" s="68" t="s">
        <v>8912</v>
      </c>
      <c r="N2679" s="68" t="s">
        <v>8665</v>
      </c>
      <c r="O2679" s="53">
        <v>50100</v>
      </c>
      <c r="P2679" s="197" t="s">
        <v>5789</v>
      </c>
    </row>
    <row r="2680" spans="1:16" ht="18.75" hidden="1">
      <c r="A2680" s="50" t="s">
        <v>6126</v>
      </c>
      <c r="B2680" s="50" t="s">
        <v>5077</v>
      </c>
      <c r="C2680" s="50" t="s">
        <v>5222</v>
      </c>
      <c r="D2680" s="50" t="s">
        <v>5045</v>
      </c>
      <c r="E2680" s="12" t="s">
        <v>4971</v>
      </c>
      <c r="F2680" s="49">
        <v>234220</v>
      </c>
      <c r="G2680" s="77" t="s">
        <v>5611</v>
      </c>
      <c r="H2680" s="14" t="s">
        <v>5601</v>
      </c>
      <c r="I2680" s="14" t="s">
        <v>2458</v>
      </c>
      <c r="J2680" s="33" t="s">
        <v>7110</v>
      </c>
      <c r="K2680" s="33" t="s">
        <v>6128</v>
      </c>
      <c r="L2680" s="53" t="s">
        <v>6054</v>
      </c>
      <c r="M2680" s="68" t="s">
        <v>8913</v>
      </c>
      <c r="N2680" s="53" t="s">
        <v>6061</v>
      </c>
      <c r="O2680" s="53">
        <v>55301</v>
      </c>
      <c r="P2680" s="198" t="s">
        <v>5758</v>
      </c>
    </row>
    <row r="2681" spans="1:16" ht="18.75" hidden="1">
      <c r="A2681" s="50" t="s">
        <v>6126</v>
      </c>
      <c r="B2681" s="50" t="s">
        <v>5077</v>
      </c>
      <c r="C2681" s="50" t="s">
        <v>5217</v>
      </c>
      <c r="D2681" s="50" t="s">
        <v>5009</v>
      </c>
      <c r="E2681" s="12" t="s">
        <v>4971</v>
      </c>
      <c r="F2681" s="49">
        <v>25430</v>
      </c>
      <c r="G2681" s="77" t="s">
        <v>5631</v>
      </c>
      <c r="H2681" s="14" t="s">
        <v>5601</v>
      </c>
      <c r="I2681" s="14" t="s">
        <v>2458</v>
      </c>
      <c r="J2681" s="33" t="s">
        <v>7110</v>
      </c>
      <c r="K2681" s="33" t="s">
        <v>6128</v>
      </c>
      <c r="L2681" s="53" t="s">
        <v>6054</v>
      </c>
      <c r="M2681" s="68" t="s">
        <v>8913</v>
      </c>
      <c r="N2681" s="53" t="s">
        <v>6061</v>
      </c>
      <c r="O2681" s="53">
        <v>55301</v>
      </c>
      <c r="P2681" s="197" t="s">
        <v>5775</v>
      </c>
    </row>
    <row r="2682" spans="1:16" ht="18.75" hidden="1">
      <c r="A2682" s="50" t="s">
        <v>6126</v>
      </c>
      <c r="B2682" s="50" t="s">
        <v>5077</v>
      </c>
      <c r="C2682" s="50" t="s">
        <v>5228</v>
      </c>
      <c r="D2682" s="50" t="s">
        <v>5169</v>
      </c>
      <c r="E2682" s="12" t="s">
        <v>4971</v>
      </c>
      <c r="F2682" s="49">
        <v>103080</v>
      </c>
      <c r="G2682" s="77" t="s">
        <v>5631</v>
      </c>
      <c r="H2682" s="14" t="s">
        <v>5601</v>
      </c>
      <c r="I2682" s="14" t="s">
        <v>2458</v>
      </c>
      <c r="J2682" s="33" t="s">
        <v>7110</v>
      </c>
      <c r="K2682" s="33" t="s">
        <v>6128</v>
      </c>
      <c r="L2682" s="53" t="s">
        <v>6054</v>
      </c>
      <c r="M2682" s="68" t="s">
        <v>8913</v>
      </c>
      <c r="N2682" s="53" t="s">
        <v>6061</v>
      </c>
      <c r="O2682" s="53">
        <v>55301</v>
      </c>
      <c r="P2682" s="197" t="s">
        <v>5801</v>
      </c>
    </row>
    <row r="2683" spans="1:16" ht="18.75" hidden="1">
      <c r="A2683" s="50" t="s">
        <v>6126</v>
      </c>
      <c r="B2683" s="50" t="s">
        <v>5077</v>
      </c>
      <c r="C2683" s="50" t="s">
        <v>5276</v>
      </c>
      <c r="D2683" s="50" t="s">
        <v>5047</v>
      </c>
      <c r="E2683" s="12" t="s">
        <v>4971</v>
      </c>
      <c r="F2683" s="49">
        <v>176590</v>
      </c>
      <c r="G2683" s="77" t="s">
        <v>5631</v>
      </c>
      <c r="H2683" s="14" t="s">
        <v>5601</v>
      </c>
      <c r="I2683" s="14" t="s">
        <v>2458</v>
      </c>
      <c r="J2683" s="33" t="s">
        <v>7110</v>
      </c>
      <c r="K2683" s="33" t="s">
        <v>6128</v>
      </c>
      <c r="L2683" s="53" t="s">
        <v>6054</v>
      </c>
      <c r="M2683" s="68" t="s">
        <v>8913</v>
      </c>
      <c r="N2683" s="53" t="s">
        <v>6061</v>
      </c>
      <c r="O2683" s="53">
        <v>55301</v>
      </c>
      <c r="P2683" s="197" t="s">
        <v>5801</v>
      </c>
    </row>
    <row r="2684" spans="1:16" ht="18.75" hidden="1">
      <c r="A2684" s="50" t="s">
        <v>6127</v>
      </c>
      <c r="B2684" s="50" t="s">
        <v>5418</v>
      </c>
      <c r="C2684" s="50" t="s">
        <v>5430</v>
      </c>
      <c r="D2684" s="50" t="s">
        <v>5046</v>
      </c>
      <c r="E2684" s="12" t="s">
        <v>4971</v>
      </c>
      <c r="F2684" s="49">
        <v>536180</v>
      </c>
      <c r="G2684" s="77" t="s">
        <v>5699</v>
      </c>
      <c r="H2684" s="14" t="s">
        <v>5601</v>
      </c>
      <c r="I2684" s="14" t="s">
        <v>2458</v>
      </c>
      <c r="J2684" s="33" t="s">
        <v>7110</v>
      </c>
      <c r="K2684" s="33" t="s">
        <v>6128</v>
      </c>
      <c r="L2684" s="53" t="s">
        <v>6054</v>
      </c>
      <c r="M2684" s="68" t="s">
        <v>8913</v>
      </c>
      <c r="N2684" s="53" t="s">
        <v>6061</v>
      </c>
      <c r="O2684" s="53">
        <v>55301</v>
      </c>
      <c r="P2684" s="198" t="s">
        <v>5776</v>
      </c>
    </row>
    <row r="2685" spans="1:16" ht="18.75" hidden="1">
      <c r="A2685" s="50" t="s">
        <v>6132</v>
      </c>
      <c r="B2685" s="50" t="s">
        <v>5480</v>
      </c>
      <c r="C2685" s="50" t="s">
        <v>5921</v>
      </c>
      <c r="D2685" s="50" t="s">
        <v>5562</v>
      </c>
      <c r="E2685" s="12" t="s">
        <v>4971</v>
      </c>
      <c r="F2685" s="49">
        <v>184640</v>
      </c>
      <c r="G2685" s="77" t="s">
        <v>5647</v>
      </c>
      <c r="H2685" s="14" t="s">
        <v>5601</v>
      </c>
      <c r="I2685" s="14" t="s">
        <v>2458</v>
      </c>
      <c r="J2685" s="33" t="s">
        <v>7110</v>
      </c>
      <c r="K2685" s="33" t="s">
        <v>6276</v>
      </c>
      <c r="L2685" s="53" t="s">
        <v>6054</v>
      </c>
      <c r="M2685" s="68" t="s">
        <v>8913</v>
      </c>
      <c r="N2685" s="53" t="s">
        <v>6061</v>
      </c>
      <c r="O2685" s="53">
        <v>55301</v>
      </c>
      <c r="P2685" s="198" t="s">
        <v>5823</v>
      </c>
    </row>
    <row r="2686" spans="1:16" ht="18.75" hidden="1">
      <c r="A2686" s="50" t="s">
        <v>6132</v>
      </c>
      <c r="B2686" s="50" t="s">
        <v>5480</v>
      </c>
      <c r="C2686" s="50" t="s">
        <v>5588</v>
      </c>
      <c r="D2686" s="50" t="s">
        <v>5447</v>
      </c>
      <c r="E2686" s="12" t="s">
        <v>4971</v>
      </c>
      <c r="F2686" s="49">
        <v>370980</v>
      </c>
      <c r="G2686" s="77" t="s">
        <v>5611</v>
      </c>
      <c r="H2686" s="14" t="s">
        <v>5601</v>
      </c>
      <c r="I2686" s="14" t="s">
        <v>2458</v>
      </c>
      <c r="J2686" s="33" t="s">
        <v>7110</v>
      </c>
      <c r="K2686" s="33" t="s">
        <v>6276</v>
      </c>
      <c r="L2686" s="53" t="s">
        <v>6054</v>
      </c>
      <c r="M2686" s="68" t="s">
        <v>8913</v>
      </c>
      <c r="N2686" s="53" t="s">
        <v>6061</v>
      </c>
      <c r="O2686" s="53">
        <v>55301</v>
      </c>
      <c r="P2686" s="198" t="s">
        <v>5813</v>
      </c>
    </row>
    <row r="2687" spans="1:16" ht="18.75" hidden="1">
      <c r="A2687" s="50" t="s">
        <v>6132</v>
      </c>
      <c r="B2687" s="50" t="s">
        <v>5480</v>
      </c>
      <c r="C2687" s="50" t="s">
        <v>5585</v>
      </c>
      <c r="D2687" s="50" t="s">
        <v>5565</v>
      </c>
      <c r="E2687" s="12" t="s">
        <v>4971</v>
      </c>
      <c r="F2687" s="49">
        <v>22920</v>
      </c>
      <c r="G2687" s="77" t="s">
        <v>5631</v>
      </c>
      <c r="H2687" s="14" t="s">
        <v>5601</v>
      </c>
      <c r="I2687" s="14" t="s">
        <v>2458</v>
      </c>
      <c r="J2687" s="33" t="s">
        <v>7110</v>
      </c>
      <c r="K2687" s="33" t="s">
        <v>6276</v>
      </c>
      <c r="L2687" s="53" t="s">
        <v>6054</v>
      </c>
      <c r="M2687" s="68" t="s">
        <v>8913</v>
      </c>
      <c r="N2687" s="53" t="s">
        <v>6061</v>
      </c>
      <c r="O2687" s="53">
        <v>55301</v>
      </c>
      <c r="P2687" s="197" t="s">
        <v>5807</v>
      </c>
    </row>
    <row r="2688" spans="1:16" ht="18.75" hidden="1">
      <c r="A2688" s="50" t="s">
        <v>6133</v>
      </c>
      <c r="B2688" s="50" t="s">
        <v>5483</v>
      </c>
      <c r="C2688" s="50" t="s">
        <v>5579</v>
      </c>
      <c r="D2688" s="50" t="s">
        <v>5563</v>
      </c>
      <c r="E2688" s="12" t="s">
        <v>4971</v>
      </c>
      <c r="F2688" s="49">
        <v>121640</v>
      </c>
      <c r="G2688" s="77" t="s">
        <v>5611</v>
      </c>
      <c r="H2688" s="14" t="s">
        <v>5601</v>
      </c>
      <c r="I2688" s="14" t="s">
        <v>2458</v>
      </c>
      <c r="J2688" s="33" t="s">
        <v>7110</v>
      </c>
      <c r="K2688" s="33" t="s">
        <v>6276</v>
      </c>
      <c r="L2688" s="53" t="s">
        <v>6054</v>
      </c>
      <c r="M2688" s="68" t="s">
        <v>8913</v>
      </c>
      <c r="N2688" s="53" t="s">
        <v>6060</v>
      </c>
      <c r="O2688" s="53">
        <v>55107</v>
      </c>
      <c r="P2688" s="198" t="s">
        <v>5813</v>
      </c>
    </row>
    <row r="2689" spans="1:16" ht="18.75" hidden="1">
      <c r="A2689" s="50" t="s">
        <v>6134</v>
      </c>
      <c r="B2689" s="50" t="s">
        <v>6243</v>
      </c>
      <c r="C2689" s="50" t="s">
        <v>6033</v>
      </c>
      <c r="D2689" s="50" t="s">
        <v>5850</v>
      </c>
      <c r="E2689" s="12" t="s">
        <v>4971</v>
      </c>
      <c r="F2689" s="49">
        <v>650000</v>
      </c>
      <c r="G2689" s="77" t="s">
        <v>5609</v>
      </c>
      <c r="H2689" s="14" t="s">
        <v>5601</v>
      </c>
      <c r="I2689" s="14" t="s">
        <v>2458</v>
      </c>
      <c r="J2689" s="33" t="s">
        <v>7110</v>
      </c>
      <c r="K2689" s="33" t="s">
        <v>6276</v>
      </c>
      <c r="L2689" s="53" t="s">
        <v>6277</v>
      </c>
      <c r="M2689" s="68" t="s">
        <v>8912</v>
      </c>
      <c r="N2689" s="68" t="s">
        <v>8665</v>
      </c>
      <c r="O2689" s="53">
        <v>50100</v>
      </c>
      <c r="P2689" s="198" t="s">
        <v>5852</v>
      </c>
    </row>
    <row r="2690" spans="1:16" ht="18.75" hidden="1">
      <c r="A2690" s="50" t="s">
        <v>6135</v>
      </c>
      <c r="B2690" s="50" t="s">
        <v>6244</v>
      </c>
      <c r="C2690" s="50" t="s">
        <v>6253</v>
      </c>
      <c r="D2690" s="50" t="s">
        <v>6251</v>
      </c>
      <c r="E2690" s="12" t="s">
        <v>4971</v>
      </c>
      <c r="F2690" s="49">
        <v>53910</v>
      </c>
      <c r="G2690" s="77" t="s">
        <v>5631</v>
      </c>
      <c r="H2690" s="14" t="s">
        <v>5601</v>
      </c>
      <c r="I2690" s="14" t="s">
        <v>2458</v>
      </c>
      <c r="J2690" s="33" t="s">
        <v>7110</v>
      </c>
      <c r="K2690" s="33" t="s">
        <v>6276</v>
      </c>
      <c r="L2690" s="53" t="s">
        <v>6278</v>
      </c>
      <c r="M2690" s="68" t="s">
        <v>8912</v>
      </c>
      <c r="N2690" s="68" t="s">
        <v>8665</v>
      </c>
      <c r="O2690" s="53">
        <v>50100</v>
      </c>
      <c r="P2690" s="197">
        <v>1396491878001</v>
      </c>
    </row>
    <row r="2691" spans="1:16" ht="18.75" hidden="1">
      <c r="A2691" s="50" t="s">
        <v>6136</v>
      </c>
      <c r="B2691" s="50" t="s">
        <v>6245</v>
      </c>
      <c r="C2691" s="50" t="s">
        <v>5912</v>
      </c>
      <c r="D2691" s="50" t="s">
        <v>5560</v>
      </c>
      <c r="E2691" s="12" t="s">
        <v>4971</v>
      </c>
      <c r="F2691" s="49">
        <v>113165</v>
      </c>
      <c r="G2691" s="77" t="s">
        <v>5611</v>
      </c>
      <c r="H2691" s="14" t="s">
        <v>5601</v>
      </c>
      <c r="I2691" s="14" t="s">
        <v>2458</v>
      </c>
      <c r="J2691" s="33" t="s">
        <v>7110</v>
      </c>
      <c r="K2691" s="33" t="s">
        <v>6276</v>
      </c>
      <c r="L2691" s="53" t="s">
        <v>6279</v>
      </c>
      <c r="M2691" s="68" t="s">
        <v>8912</v>
      </c>
      <c r="N2691" s="68" t="s">
        <v>8665</v>
      </c>
      <c r="O2691" s="53">
        <v>50100</v>
      </c>
      <c r="P2691" s="198" t="s">
        <v>5813</v>
      </c>
    </row>
    <row r="2692" spans="1:16" ht="18.75" hidden="1">
      <c r="A2692" s="50" t="s">
        <v>6135</v>
      </c>
      <c r="B2692" s="50" t="s">
        <v>6244</v>
      </c>
      <c r="C2692" s="50" t="s">
        <v>6254</v>
      </c>
      <c r="D2692" s="50" t="s">
        <v>6251</v>
      </c>
      <c r="E2692" s="12" t="s">
        <v>4971</v>
      </c>
      <c r="F2692" s="49">
        <v>441650</v>
      </c>
      <c r="G2692" s="77" t="s">
        <v>5631</v>
      </c>
      <c r="H2692" s="14" t="s">
        <v>5601</v>
      </c>
      <c r="I2692" s="14" t="s">
        <v>2458</v>
      </c>
      <c r="J2692" s="33" t="s">
        <v>7110</v>
      </c>
      <c r="K2692" s="33" t="s">
        <v>6276</v>
      </c>
      <c r="L2692" s="53" t="s">
        <v>6278</v>
      </c>
      <c r="M2692" s="68" t="s">
        <v>8912</v>
      </c>
      <c r="N2692" s="68" t="s">
        <v>8665</v>
      </c>
      <c r="O2692" s="53">
        <v>50100</v>
      </c>
      <c r="P2692" s="197" t="s">
        <v>5818</v>
      </c>
    </row>
    <row r="2693" spans="1:16" ht="18.75" hidden="1">
      <c r="A2693" s="50" t="s">
        <v>6137</v>
      </c>
      <c r="B2693" s="50" t="s">
        <v>6246</v>
      </c>
      <c r="C2693" s="50" t="s">
        <v>6254</v>
      </c>
      <c r="D2693" s="50" t="s">
        <v>6251</v>
      </c>
      <c r="E2693" s="12" t="s">
        <v>4971</v>
      </c>
      <c r="F2693" s="49">
        <v>498350</v>
      </c>
      <c r="G2693" s="77" t="s">
        <v>5631</v>
      </c>
      <c r="H2693" s="14" t="s">
        <v>5601</v>
      </c>
      <c r="I2693" s="14" t="s">
        <v>2458</v>
      </c>
      <c r="J2693" s="33" t="s">
        <v>7110</v>
      </c>
      <c r="K2693" s="33" t="s">
        <v>6276</v>
      </c>
      <c r="L2693" s="53" t="s">
        <v>6278</v>
      </c>
      <c r="M2693" s="68" t="s">
        <v>8912</v>
      </c>
      <c r="N2693" s="68" t="s">
        <v>8665</v>
      </c>
      <c r="O2693" s="53">
        <v>50100</v>
      </c>
      <c r="P2693" s="197" t="s">
        <v>5818</v>
      </c>
    </row>
    <row r="2694" spans="1:16" ht="18.75" hidden="1">
      <c r="A2694" s="50" t="s">
        <v>6136</v>
      </c>
      <c r="B2694" s="50" t="s">
        <v>6245</v>
      </c>
      <c r="C2694" s="50" t="s">
        <v>5924</v>
      </c>
      <c r="D2694" s="50" t="s">
        <v>5562</v>
      </c>
      <c r="E2694" s="12" t="s">
        <v>4971</v>
      </c>
      <c r="F2694" s="49">
        <v>125000</v>
      </c>
      <c r="G2694" s="77" t="s">
        <v>5611</v>
      </c>
      <c r="H2694" s="14" t="s">
        <v>5601</v>
      </c>
      <c r="I2694" s="14" t="s">
        <v>2458</v>
      </c>
      <c r="J2694" s="33" t="s">
        <v>7110</v>
      </c>
      <c r="K2694" s="33" t="s">
        <v>6276</v>
      </c>
      <c r="L2694" s="53" t="s">
        <v>6279</v>
      </c>
      <c r="M2694" s="68" t="s">
        <v>8912</v>
      </c>
      <c r="N2694" s="68" t="s">
        <v>8665</v>
      </c>
      <c r="O2694" s="53">
        <v>50100</v>
      </c>
      <c r="P2694" s="198" t="s">
        <v>5813</v>
      </c>
    </row>
    <row r="2695" spans="1:16" ht="18.75" hidden="1">
      <c r="A2695" s="50" t="s">
        <v>6136</v>
      </c>
      <c r="B2695" s="50" t="s">
        <v>6245</v>
      </c>
      <c r="C2695" s="50" t="s">
        <v>5914</v>
      </c>
      <c r="D2695" s="50" t="s">
        <v>5560</v>
      </c>
      <c r="E2695" s="12" t="s">
        <v>4971</v>
      </c>
      <c r="F2695" s="49">
        <v>180000</v>
      </c>
      <c r="G2695" s="77" t="s">
        <v>5611</v>
      </c>
      <c r="H2695" s="14" t="s">
        <v>5601</v>
      </c>
      <c r="I2695" s="14" t="s">
        <v>2458</v>
      </c>
      <c r="J2695" s="33" t="s">
        <v>7110</v>
      </c>
      <c r="K2695" s="33" t="s">
        <v>6276</v>
      </c>
      <c r="L2695" s="53" t="s">
        <v>6279</v>
      </c>
      <c r="M2695" s="68" t="s">
        <v>8912</v>
      </c>
      <c r="N2695" s="68" t="s">
        <v>8665</v>
      </c>
      <c r="O2695" s="53">
        <v>50100</v>
      </c>
      <c r="P2695" s="198" t="s">
        <v>5813</v>
      </c>
    </row>
    <row r="2696" spans="1:16" ht="18.75" hidden="1">
      <c r="A2696" s="50" t="s">
        <v>6136</v>
      </c>
      <c r="B2696" s="50" t="s">
        <v>6245</v>
      </c>
      <c r="C2696" s="50" t="s">
        <v>5907</v>
      </c>
      <c r="D2696" s="50" t="s">
        <v>5482</v>
      </c>
      <c r="E2696" s="12" t="s">
        <v>4971</v>
      </c>
      <c r="F2696" s="49">
        <v>70000</v>
      </c>
      <c r="G2696" s="77" t="s">
        <v>5611</v>
      </c>
      <c r="H2696" s="14" t="s">
        <v>5601</v>
      </c>
      <c r="I2696" s="14" t="s">
        <v>2458</v>
      </c>
      <c r="J2696" s="33" t="s">
        <v>7110</v>
      </c>
      <c r="K2696" s="33" t="s">
        <v>6276</v>
      </c>
      <c r="L2696" s="53" t="s">
        <v>6279</v>
      </c>
      <c r="M2696" s="68" t="s">
        <v>8912</v>
      </c>
      <c r="N2696" s="68" t="s">
        <v>8665</v>
      </c>
      <c r="O2696" s="53">
        <v>50100</v>
      </c>
      <c r="P2696" s="198" t="s">
        <v>5813</v>
      </c>
    </row>
    <row r="2697" spans="1:16" ht="18.75" hidden="1">
      <c r="A2697" s="50" t="s">
        <v>6134</v>
      </c>
      <c r="B2697" s="50" t="s">
        <v>6243</v>
      </c>
      <c r="C2697" s="50" t="s">
        <v>6045</v>
      </c>
      <c r="D2697" s="50" t="s">
        <v>5857</v>
      </c>
      <c r="E2697" s="12" t="s">
        <v>4971</v>
      </c>
      <c r="F2697" s="49">
        <v>359360</v>
      </c>
      <c r="G2697" s="77" t="s">
        <v>5609</v>
      </c>
      <c r="H2697" s="14" t="s">
        <v>5601</v>
      </c>
      <c r="I2697" s="14" t="s">
        <v>2458</v>
      </c>
      <c r="J2697" s="33" t="s">
        <v>7110</v>
      </c>
      <c r="K2697" s="33" t="s">
        <v>6276</v>
      </c>
      <c r="L2697" s="53" t="s">
        <v>6277</v>
      </c>
      <c r="M2697" s="68" t="s">
        <v>8912</v>
      </c>
      <c r="N2697" s="68" t="s">
        <v>8665</v>
      </c>
      <c r="O2697" s="53">
        <v>50100</v>
      </c>
      <c r="P2697" s="198" t="s">
        <v>5852</v>
      </c>
    </row>
    <row r="2698" spans="1:16" ht="18.75" hidden="1">
      <c r="A2698" s="50" t="s">
        <v>6138</v>
      </c>
      <c r="B2698" s="50" t="s">
        <v>6243</v>
      </c>
      <c r="C2698" s="50" t="s">
        <v>6255</v>
      </c>
      <c r="D2698" s="50" t="s">
        <v>6245</v>
      </c>
      <c r="E2698" s="12" t="s">
        <v>4971</v>
      </c>
      <c r="F2698" s="49">
        <v>394190</v>
      </c>
      <c r="G2698" s="77" t="s">
        <v>5779</v>
      </c>
      <c r="H2698" s="14" t="s">
        <v>5601</v>
      </c>
      <c r="I2698" s="14" t="s">
        <v>2458</v>
      </c>
      <c r="J2698" s="33" t="e">
        <f>VLOOKUP(C2698,شرکتها!A:B,2,FALSE)</f>
        <v>#N/A</v>
      </c>
      <c r="K2698" s="33" t="s">
        <v>6276</v>
      </c>
      <c r="L2698" s="53" t="s">
        <v>6280</v>
      </c>
      <c r="M2698" s="68" t="s">
        <v>8912</v>
      </c>
      <c r="N2698" s="68" t="s">
        <v>8665</v>
      </c>
      <c r="O2698" s="53">
        <v>50100</v>
      </c>
      <c r="P2698" s="198" t="s">
        <v>5841</v>
      </c>
    </row>
    <row r="2699" spans="1:16" ht="18.75" hidden="1">
      <c r="A2699" s="50" t="s">
        <v>6139</v>
      </c>
      <c r="B2699" s="50" t="s">
        <v>6246</v>
      </c>
      <c r="C2699" s="50" t="s">
        <v>5886</v>
      </c>
      <c r="D2699" s="50" t="s">
        <v>5458</v>
      </c>
      <c r="E2699" s="12" t="s">
        <v>4971</v>
      </c>
      <c r="F2699" s="49">
        <v>495</v>
      </c>
      <c r="G2699" s="77" t="s">
        <v>5611</v>
      </c>
      <c r="H2699" s="14" t="s">
        <v>5601</v>
      </c>
      <c r="I2699" s="14" t="s">
        <v>2458</v>
      </c>
      <c r="J2699" s="33" t="s">
        <v>7110</v>
      </c>
      <c r="K2699" s="33" t="s">
        <v>6276</v>
      </c>
      <c r="L2699" s="53" t="s">
        <v>6281</v>
      </c>
      <c r="M2699" s="68" t="s">
        <v>8912</v>
      </c>
      <c r="N2699" s="68" t="s">
        <v>8665</v>
      </c>
      <c r="O2699" s="53">
        <v>50100</v>
      </c>
      <c r="P2699" s="198" t="s">
        <v>5810</v>
      </c>
    </row>
    <row r="2700" spans="1:16" ht="18.75" hidden="1">
      <c r="A2700" s="50" t="s">
        <v>6139</v>
      </c>
      <c r="B2700" s="50" t="s">
        <v>6246</v>
      </c>
      <c r="C2700" s="50" t="s">
        <v>5912</v>
      </c>
      <c r="D2700" s="50" t="s">
        <v>5560</v>
      </c>
      <c r="E2700" s="12" t="s">
        <v>4971</v>
      </c>
      <c r="F2700" s="49">
        <v>19505</v>
      </c>
      <c r="G2700" s="77" t="s">
        <v>5611</v>
      </c>
      <c r="H2700" s="14" t="s">
        <v>5601</v>
      </c>
      <c r="I2700" s="14" t="s">
        <v>2458</v>
      </c>
      <c r="J2700" s="33" t="s">
        <v>7110</v>
      </c>
      <c r="K2700" s="33" t="s">
        <v>6276</v>
      </c>
      <c r="L2700" s="53" t="s">
        <v>6281</v>
      </c>
      <c r="M2700" s="68" t="s">
        <v>8912</v>
      </c>
      <c r="N2700" s="68" t="s">
        <v>8665</v>
      </c>
      <c r="O2700" s="53">
        <v>50100</v>
      </c>
      <c r="P2700" s="198" t="s">
        <v>5813</v>
      </c>
    </row>
    <row r="2701" spans="1:16" ht="18.75" hidden="1">
      <c r="A2701" s="50" t="s">
        <v>6140</v>
      </c>
      <c r="B2701" s="50" t="s">
        <v>6243</v>
      </c>
      <c r="C2701" s="50" t="s">
        <v>6256</v>
      </c>
      <c r="D2701" s="50" t="s">
        <v>6245</v>
      </c>
      <c r="E2701" s="12" t="s">
        <v>4971</v>
      </c>
      <c r="F2701" s="49">
        <v>640000</v>
      </c>
      <c r="G2701" s="77" t="s">
        <v>5779</v>
      </c>
      <c r="H2701" s="14" t="s">
        <v>5601</v>
      </c>
      <c r="I2701" s="14" t="s">
        <v>2458</v>
      </c>
      <c r="J2701" s="33" t="e">
        <f>VLOOKUP(C2701,شرکتها!A:B,2,FALSE)</f>
        <v>#N/A</v>
      </c>
      <c r="K2701" s="33" t="s">
        <v>6276</v>
      </c>
      <c r="L2701" s="53" t="s">
        <v>6280</v>
      </c>
      <c r="M2701" s="68" t="s">
        <v>8912</v>
      </c>
      <c r="N2701" s="68" t="s">
        <v>8665</v>
      </c>
      <c r="O2701" s="53">
        <v>50100</v>
      </c>
      <c r="P2701" s="198" t="s">
        <v>5841</v>
      </c>
    </row>
    <row r="2702" spans="1:16" ht="18.75" hidden="1">
      <c r="A2702" s="50" t="s">
        <v>6141</v>
      </c>
      <c r="B2702" s="50" t="s">
        <v>6247</v>
      </c>
      <c r="C2702" s="50" t="s">
        <v>6256</v>
      </c>
      <c r="D2702" s="50" t="s">
        <v>6245</v>
      </c>
      <c r="E2702" s="12" t="s">
        <v>4971</v>
      </c>
      <c r="F2702" s="49">
        <v>40000</v>
      </c>
      <c r="G2702" s="77" t="s">
        <v>5779</v>
      </c>
      <c r="H2702" s="14" t="s">
        <v>5601</v>
      </c>
      <c r="I2702" s="14" t="s">
        <v>2458</v>
      </c>
      <c r="J2702" s="33" t="e">
        <f>VLOOKUP(C2702,شرکتها!A:B,2,FALSE)</f>
        <v>#N/A</v>
      </c>
      <c r="K2702" s="33" t="s">
        <v>6276</v>
      </c>
      <c r="L2702" s="53" t="s">
        <v>6280</v>
      </c>
      <c r="M2702" s="68" t="s">
        <v>8912</v>
      </c>
      <c r="N2702" s="68" t="s">
        <v>8665</v>
      </c>
      <c r="O2702" s="53">
        <v>50100</v>
      </c>
      <c r="P2702" s="198" t="s">
        <v>5841</v>
      </c>
    </row>
    <row r="2703" spans="1:16" ht="18.75" hidden="1">
      <c r="A2703" s="50" t="s">
        <v>6142</v>
      </c>
      <c r="B2703" s="50" t="s">
        <v>5850</v>
      </c>
      <c r="C2703" s="50" t="s">
        <v>6041</v>
      </c>
      <c r="D2703" s="50" t="s">
        <v>5850</v>
      </c>
      <c r="E2703" s="12" t="s">
        <v>4971</v>
      </c>
      <c r="F2703" s="49">
        <v>1989385</v>
      </c>
      <c r="G2703" s="77" t="s">
        <v>5779</v>
      </c>
      <c r="H2703" s="14" t="s">
        <v>5601</v>
      </c>
      <c r="I2703" s="14" t="s">
        <v>2458</v>
      </c>
      <c r="J2703" s="33" t="e">
        <f>VLOOKUP(C2703,شرکتها!A:B,2,FALSE)</f>
        <v>#N/A</v>
      </c>
      <c r="K2703" s="33" t="s">
        <v>6276</v>
      </c>
      <c r="L2703" s="53" t="s">
        <v>6282</v>
      </c>
      <c r="M2703" s="68" t="s">
        <v>8913</v>
      </c>
      <c r="N2703" s="68" t="s">
        <v>8665</v>
      </c>
      <c r="O2703" s="53">
        <v>50100</v>
      </c>
      <c r="P2703" s="198" t="s">
        <v>5844</v>
      </c>
    </row>
    <row r="2704" spans="1:16" ht="18.75" hidden="1">
      <c r="A2704" s="50" t="s">
        <v>6143</v>
      </c>
      <c r="B2704" s="50" t="s">
        <v>6248</v>
      </c>
      <c r="C2704" s="50" t="s">
        <v>6005</v>
      </c>
      <c r="D2704" s="50" t="s">
        <v>5840</v>
      </c>
      <c r="E2704" s="12" t="s">
        <v>4971</v>
      </c>
      <c r="F2704" s="49">
        <v>485412</v>
      </c>
      <c r="G2704" s="77" t="s">
        <v>5779</v>
      </c>
      <c r="H2704" s="14" t="s">
        <v>5601</v>
      </c>
      <c r="I2704" s="14" t="s">
        <v>2458</v>
      </c>
      <c r="J2704" s="33" t="e">
        <f>VLOOKUP(C2704,شرکتها!A:B,2,FALSE)</f>
        <v>#N/A</v>
      </c>
      <c r="K2704" s="33" t="s">
        <v>6276</v>
      </c>
      <c r="L2704" s="53" t="s">
        <v>6280</v>
      </c>
      <c r="M2704" s="68" t="s">
        <v>8912</v>
      </c>
      <c r="N2704" s="68" t="s">
        <v>8665</v>
      </c>
      <c r="O2704" s="53">
        <v>50100</v>
      </c>
      <c r="P2704" s="198" t="s">
        <v>5841</v>
      </c>
    </row>
    <row r="2705" spans="1:16" ht="18.75" hidden="1">
      <c r="A2705" s="50" t="s">
        <v>6141</v>
      </c>
      <c r="B2705" s="50" t="s">
        <v>6247</v>
      </c>
      <c r="C2705" s="50" t="s">
        <v>6257</v>
      </c>
      <c r="D2705" s="50" t="s">
        <v>6245</v>
      </c>
      <c r="E2705" s="12" t="s">
        <v>4971</v>
      </c>
      <c r="F2705" s="49">
        <v>458554</v>
      </c>
      <c r="G2705" s="77" t="s">
        <v>5779</v>
      </c>
      <c r="H2705" s="14" t="s">
        <v>5601</v>
      </c>
      <c r="I2705" s="14" t="s">
        <v>2458</v>
      </c>
      <c r="J2705" s="33" t="e">
        <f>VLOOKUP(C2705,شرکتها!A:B,2,FALSE)</f>
        <v>#N/A</v>
      </c>
      <c r="K2705" s="33" t="s">
        <v>6276</v>
      </c>
      <c r="L2705" s="53" t="s">
        <v>6280</v>
      </c>
      <c r="M2705" s="68" t="s">
        <v>8912</v>
      </c>
      <c r="N2705" s="68" t="s">
        <v>8665</v>
      </c>
      <c r="O2705" s="53">
        <v>50100</v>
      </c>
      <c r="P2705" s="198" t="s">
        <v>5841</v>
      </c>
    </row>
    <row r="2706" spans="1:16" ht="18.75" hidden="1">
      <c r="A2706" s="50" t="s">
        <v>6144</v>
      </c>
      <c r="B2706" s="50" t="s">
        <v>6248</v>
      </c>
      <c r="C2706" s="50" t="s">
        <v>5861</v>
      </c>
      <c r="D2706" s="50" t="s">
        <v>5014</v>
      </c>
      <c r="E2706" s="12" t="s">
        <v>4971</v>
      </c>
      <c r="F2706" s="49">
        <v>9597</v>
      </c>
      <c r="G2706" s="77" t="s">
        <v>5616</v>
      </c>
      <c r="H2706" s="14" t="s">
        <v>5601</v>
      </c>
      <c r="I2706" s="14" t="s">
        <v>2458</v>
      </c>
      <c r="J2706" s="33" t="s">
        <v>7110</v>
      </c>
      <c r="K2706" s="33" t="s">
        <v>6276</v>
      </c>
      <c r="L2706" s="53" t="s">
        <v>6283</v>
      </c>
      <c r="M2706" s="68" t="s">
        <v>8912</v>
      </c>
      <c r="N2706" s="68" t="s">
        <v>8665</v>
      </c>
      <c r="O2706" s="53">
        <v>50100</v>
      </c>
      <c r="P2706" s="198" t="s">
        <v>5753</v>
      </c>
    </row>
    <row r="2707" spans="1:16" ht="18.75" hidden="1">
      <c r="A2707" s="50" t="s">
        <v>6145</v>
      </c>
      <c r="B2707" s="50" t="s">
        <v>6249</v>
      </c>
      <c r="C2707" s="50" t="s">
        <v>6258</v>
      </c>
      <c r="D2707" s="50" t="s">
        <v>6245</v>
      </c>
      <c r="E2707" s="12" t="s">
        <v>4971</v>
      </c>
      <c r="F2707" s="49">
        <v>98697</v>
      </c>
      <c r="G2707" s="77" t="s">
        <v>5631</v>
      </c>
      <c r="H2707" s="14" t="s">
        <v>5601</v>
      </c>
      <c r="I2707" s="14" t="s">
        <v>2458</v>
      </c>
      <c r="J2707" s="33" t="s">
        <v>7110</v>
      </c>
      <c r="K2707" s="33" t="s">
        <v>6276</v>
      </c>
      <c r="L2707" s="53" t="s">
        <v>6283</v>
      </c>
      <c r="M2707" s="68" t="s">
        <v>8912</v>
      </c>
      <c r="N2707" s="68" t="s">
        <v>8665</v>
      </c>
      <c r="O2707" s="53">
        <v>50100</v>
      </c>
      <c r="P2707" s="197" t="s">
        <v>5842</v>
      </c>
    </row>
    <row r="2708" spans="1:16" ht="18.75" hidden="1">
      <c r="A2708" s="50" t="s">
        <v>6146</v>
      </c>
      <c r="B2708" s="50" t="s">
        <v>6243</v>
      </c>
      <c r="C2708" s="50" t="s">
        <v>5950</v>
      </c>
      <c r="D2708" s="50" t="s">
        <v>5480</v>
      </c>
      <c r="E2708" s="12" t="s">
        <v>4971</v>
      </c>
      <c r="F2708" s="49">
        <v>100000</v>
      </c>
      <c r="G2708" s="77" t="s">
        <v>5611</v>
      </c>
      <c r="H2708" s="14" t="s">
        <v>5601</v>
      </c>
      <c r="I2708" s="14" t="s">
        <v>2458</v>
      </c>
      <c r="J2708" s="33" t="s">
        <v>7110</v>
      </c>
      <c r="K2708" s="33" t="s">
        <v>6276</v>
      </c>
      <c r="L2708" s="53" t="s">
        <v>6283</v>
      </c>
      <c r="M2708" s="68" t="s">
        <v>8912</v>
      </c>
      <c r="N2708" s="68" t="s">
        <v>8665</v>
      </c>
      <c r="O2708" s="53">
        <v>50100</v>
      </c>
      <c r="P2708" s="198" t="s">
        <v>5814</v>
      </c>
    </row>
    <row r="2709" spans="1:16" ht="18.75" hidden="1">
      <c r="A2709" s="50" t="s">
        <v>6146</v>
      </c>
      <c r="B2709" s="50" t="s">
        <v>6243</v>
      </c>
      <c r="C2709" s="50" t="s">
        <v>5949</v>
      </c>
      <c r="D2709" s="50" t="s">
        <v>5480</v>
      </c>
      <c r="E2709" s="12" t="s">
        <v>4971</v>
      </c>
      <c r="F2709" s="49">
        <v>200000</v>
      </c>
      <c r="G2709" s="77" t="s">
        <v>5611</v>
      </c>
      <c r="H2709" s="14" t="s">
        <v>5601</v>
      </c>
      <c r="I2709" s="14" t="s">
        <v>2458</v>
      </c>
      <c r="J2709" s="33" t="s">
        <v>7110</v>
      </c>
      <c r="K2709" s="33" t="s">
        <v>6276</v>
      </c>
      <c r="L2709" s="53" t="s">
        <v>6283</v>
      </c>
      <c r="M2709" s="68" t="s">
        <v>8912</v>
      </c>
      <c r="N2709" s="68" t="s">
        <v>8665</v>
      </c>
      <c r="O2709" s="53">
        <v>50100</v>
      </c>
      <c r="P2709" s="198" t="s">
        <v>5814</v>
      </c>
    </row>
    <row r="2710" spans="1:16" ht="18.75" hidden="1">
      <c r="A2710" s="50" t="s">
        <v>6147</v>
      </c>
      <c r="B2710" s="50" t="s">
        <v>6075</v>
      </c>
      <c r="C2710" s="50" t="s">
        <v>6036</v>
      </c>
      <c r="D2710" s="50" t="s">
        <v>5850</v>
      </c>
      <c r="E2710" s="12" t="s">
        <v>4971</v>
      </c>
      <c r="F2710" s="49">
        <v>395529</v>
      </c>
      <c r="G2710" s="77" t="s">
        <v>5754</v>
      </c>
      <c r="H2710" s="14" t="s">
        <v>5601</v>
      </c>
      <c r="I2710" s="14" t="s">
        <v>2458</v>
      </c>
      <c r="J2710" s="33" t="s">
        <v>7110</v>
      </c>
      <c r="K2710" s="33" t="s">
        <v>6276</v>
      </c>
      <c r="L2710" s="53" t="s">
        <v>6283</v>
      </c>
      <c r="M2710" s="68" t="s">
        <v>8912</v>
      </c>
      <c r="N2710" s="68" t="s">
        <v>8665</v>
      </c>
      <c r="O2710" s="53">
        <v>50100</v>
      </c>
      <c r="P2710" s="198" t="s">
        <v>5778</v>
      </c>
    </row>
    <row r="2711" spans="1:16" ht="18.75" hidden="1">
      <c r="A2711" s="50" t="s">
        <v>6148</v>
      </c>
      <c r="B2711" s="50" t="s">
        <v>6247</v>
      </c>
      <c r="C2711" s="50" t="s">
        <v>6259</v>
      </c>
      <c r="D2711" s="50" t="s">
        <v>6243</v>
      </c>
      <c r="E2711" s="12" t="s">
        <v>4971</v>
      </c>
      <c r="F2711" s="49">
        <v>35000</v>
      </c>
      <c r="G2711" s="77" t="s">
        <v>5754</v>
      </c>
      <c r="H2711" s="14" t="s">
        <v>5601</v>
      </c>
      <c r="I2711" s="14" t="s">
        <v>2458</v>
      </c>
      <c r="J2711" s="33" t="s">
        <v>7110</v>
      </c>
      <c r="K2711" s="33" t="s">
        <v>6276</v>
      </c>
      <c r="L2711" s="53" t="s">
        <v>6283</v>
      </c>
      <c r="M2711" s="68" t="s">
        <v>8912</v>
      </c>
      <c r="N2711" s="68" t="s">
        <v>8665</v>
      </c>
      <c r="O2711" s="53">
        <v>50100</v>
      </c>
      <c r="P2711" s="198" t="s">
        <v>5858</v>
      </c>
    </row>
    <row r="2712" spans="1:16" ht="18.75" hidden="1">
      <c r="A2712" s="50" t="s">
        <v>6148</v>
      </c>
      <c r="B2712" s="50" t="s">
        <v>6247</v>
      </c>
      <c r="C2712" s="50" t="s">
        <v>6260</v>
      </c>
      <c r="D2712" s="50" t="s">
        <v>5857</v>
      </c>
      <c r="E2712" s="12" t="s">
        <v>4971</v>
      </c>
      <c r="F2712" s="49">
        <v>3654</v>
      </c>
      <c r="G2712" s="77" t="s">
        <v>5754</v>
      </c>
      <c r="H2712" s="14" t="s">
        <v>5601</v>
      </c>
      <c r="I2712" s="14" t="s">
        <v>2458</v>
      </c>
      <c r="J2712" s="33" t="s">
        <v>7110</v>
      </c>
      <c r="K2712" s="33" t="s">
        <v>6276</v>
      </c>
      <c r="L2712" s="53" t="s">
        <v>6283</v>
      </c>
      <c r="M2712" s="68" t="s">
        <v>8912</v>
      </c>
      <c r="N2712" s="68" t="s">
        <v>8665</v>
      </c>
      <c r="O2712" s="53">
        <v>50100</v>
      </c>
      <c r="P2712" s="198" t="s">
        <v>5858</v>
      </c>
    </row>
    <row r="2713" spans="1:16" ht="18.75" hidden="1">
      <c r="A2713" s="50" t="s">
        <v>6145</v>
      </c>
      <c r="B2713" s="50" t="s">
        <v>6249</v>
      </c>
      <c r="C2713" s="50" t="s">
        <v>6046</v>
      </c>
      <c r="D2713" s="50" t="s">
        <v>5857</v>
      </c>
      <c r="E2713" s="12" t="s">
        <v>4971</v>
      </c>
      <c r="F2713" s="49">
        <v>95242</v>
      </c>
      <c r="G2713" s="77" t="s">
        <v>5631</v>
      </c>
      <c r="H2713" s="14" t="s">
        <v>5601</v>
      </c>
      <c r="I2713" s="14" t="s">
        <v>2458</v>
      </c>
      <c r="J2713" s="33" t="s">
        <v>7110</v>
      </c>
      <c r="K2713" s="33" t="s">
        <v>6276</v>
      </c>
      <c r="L2713" s="53" t="s">
        <v>6283</v>
      </c>
      <c r="M2713" s="68" t="s">
        <v>8912</v>
      </c>
      <c r="N2713" s="68" t="s">
        <v>8665</v>
      </c>
      <c r="O2713" s="53">
        <v>50100</v>
      </c>
      <c r="P2713" s="197" t="s">
        <v>5842</v>
      </c>
    </row>
    <row r="2714" spans="1:16" ht="18.75" hidden="1">
      <c r="A2714" s="50" t="s">
        <v>6146</v>
      </c>
      <c r="B2714" s="50" t="s">
        <v>6243</v>
      </c>
      <c r="C2714" s="50" t="s">
        <v>5934</v>
      </c>
      <c r="D2714" s="50" t="s">
        <v>5460</v>
      </c>
      <c r="E2714" s="12" t="s">
        <v>4971</v>
      </c>
      <c r="F2714" s="49">
        <v>80000</v>
      </c>
      <c r="G2714" s="77" t="s">
        <v>5611</v>
      </c>
      <c r="H2714" s="14" t="s">
        <v>5601</v>
      </c>
      <c r="I2714" s="14" t="s">
        <v>2458</v>
      </c>
      <c r="J2714" s="33" t="s">
        <v>7110</v>
      </c>
      <c r="K2714" s="33" t="s">
        <v>6276</v>
      </c>
      <c r="L2714" s="53" t="s">
        <v>6283</v>
      </c>
      <c r="M2714" s="68" t="s">
        <v>8912</v>
      </c>
      <c r="N2714" s="68" t="s">
        <v>8665</v>
      </c>
      <c r="O2714" s="53">
        <v>50100</v>
      </c>
      <c r="P2714" s="198" t="s">
        <v>5814</v>
      </c>
    </row>
    <row r="2715" spans="1:16" ht="18.75" hidden="1">
      <c r="A2715" s="50" t="s">
        <v>6146</v>
      </c>
      <c r="B2715" s="50" t="s">
        <v>6243</v>
      </c>
      <c r="C2715" s="50" t="s">
        <v>5955</v>
      </c>
      <c r="D2715" s="50" t="s">
        <v>5828</v>
      </c>
      <c r="E2715" s="12" t="s">
        <v>4971</v>
      </c>
      <c r="F2715" s="49">
        <v>56500</v>
      </c>
      <c r="G2715" s="77" t="s">
        <v>5611</v>
      </c>
      <c r="H2715" s="14" t="s">
        <v>5601</v>
      </c>
      <c r="I2715" s="14" t="s">
        <v>2458</v>
      </c>
      <c r="J2715" s="33" t="s">
        <v>7110</v>
      </c>
      <c r="K2715" s="33" t="s">
        <v>6276</v>
      </c>
      <c r="L2715" s="53" t="s">
        <v>6283</v>
      </c>
      <c r="M2715" s="68" t="s">
        <v>8912</v>
      </c>
      <c r="N2715" s="68" t="s">
        <v>8665</v>
      </c>
      <c r="O2715" s="53">
        <v>50100</v>
      </c>
      <c r="P2715" s="198" t="s">
        <v>5814</v>
      </c>
    </row>
    <row r="2716" spans="1:16" ht="18.75" hidden="1">
      <c r="A2716" s="50" t="s">
        <v>6148</v>
      </c>
      <c r="B2716" s="50" t="s">
        <v>6247</v>
      </c>
      <c r="C2716" s="50" t="s">
        <v>6261</v>
      </c>
      <c r="D2716" s="50" t="s">
        <v>6249</v>
      </c>
      <c r="E2716" s="12" t="s">
        <v>4971</v>
      </c>
      <c r="F2716" s="49">
        <v>450853</v>
      </c>
      <c r="G2716" s="77" t="s">
        <v>5754</v>
      </c>
      <c r="H2716" s="14" t="s">
        <v>5601</v>
      </c>
      <c r="I2716" s="14" t="s">
        <v>2458</v>
      </c>
      <c r="J2716" s="33" t="s">
        <v>7110</v>
      </c>
      <c r="K2716" s="33" t="s">
        <v>6276</v>
      </c>
      <c r="L2716" s="53" t="s">
        <v>6283</v>
      </c>
      <c r="M2716" s="68" t="s">
        <v>8912</v>
      </c>
      <c r="N2716" s="68" t="s">
        <v>8665</v>
      </c>
      <c r="O2716" s="53">
        <v>50100</v>
      </c>
      <c r="P2716" s="198" t="s">
        <v>5858</v>
      </c>
    </row>
    <row r="2717" spans="1:16" ht="18.75" hidden="1">
      <c r="A2717" s="50" t="s">
        <v>6144</v>
      </c>
      <c r="B2717" s="50" t="s">
        <v>6248</v>
      </c>
      <c r="C2717" s="50" t="s">
        <v>5964</v>
      </c>
      <c r="D2717" s="50" t="s">
        <v>5830</v>
      </c>
      <c r="E2717" s="12" t="s">
        <v>4971</v>
      </c>
      <c r="F2717" s="49">
        <v>470354</v>
      </c>
      <c r="G2717" s="77" t="s">
        <v>5616</v>
      </c>
      <c r="H2717" s="14" t="s">
        <v>5601</v>
      </c>
      <c r="I2717" s="14" t="s">
        <v>2458</v>
      </c>
      <c r="J2717" s="33" t="s">
        <v>7110</v>
      </c>
      <c r="K2717" s="33" t="s">
        <v>6276</v>
      </c>
      <c r="L2717" s="53" t="s">
        <v>6283</v>
      </c>
      <c r="M2717" s="68" t="s">
        <v>8912</v>
      </c>
      <c r="N2717" s="68" t="s">
        <v>8665</v>
      </c>
      <c r="O2717" s="53">
        <v>50100</v>
      </c>
      <c r="P2717" s="198" t="s">
        <v>5781</v>
      </c>
    </row>
    <row r="2718" spans="1:16" ht="18.75" hidden="1">
      <c r="A2718" s="50" t="s">
        <v>6149</v>
      </c>
      <c r="B2718" s="50" t="s">
        <v>6245</v>
      </c>
      <c r="C2718" s="50" t="s">
        <v>5964</v>
      </c>
      <c r="D2718" s="50" t="s">
        <v>5830</v>
      </c>
      <c r="E2718" s="12" t="s">
        <v>4971</v>
      </c>
      <c r="F2718" s="49">
        <v>478326</v>
      </c>
      <c r="G2718" s="77" t="s">
        <v>5616</v>
      </c>
      <c r="H2718" s="14" t="s">
        <v>5601</v>
      </c>
      <c r="I2718" s="14" t="s">
        <v>2458</v>
      </c>
      <c r="J2718" s="33" t="s">
        <v>7110</v>
      </c>
      <c r="K2718" s="33" t="s">
        <v>6276</v>
      </c>
      <c r="L2718" s="53" t="s">
        <v>6283</v>
      </c>
      <c r="M2718" s="68" t="s">
        <v>8912</v>
      </c>
      <c r="N2718" s="68" t="s">
        <v>8665</v>
      </c>
      <c r="O2718" s="53">
        <v>50100</v>
      </c>
      <c r="P2718" s="198" t="s">
        <v>5781</v>
      </c>
    </row>
    <row r="2719" spans="1:16" ht="18.75" hidden="1">
      <c r="A2719" s="50" t="s">
        <v>6147</v>
      </c>
      <c r="B2719" s="50" t="s">
        <v>6075</v>
      </c>
      <c r="C2719" s="50" t="s">
        <v>6035</v>
      </c>
      <c r="D2719" s="50" t="s">
        <v>5850</v>
      </c>
      <c r="E2719" s="12" t="s">
        <v>4971</v>
      </c>
      <c r="F2719" s="49">
        <v>53781</v>
      </c>
      <c r="G2719" s="77" t="s">
        <v>5754</v>
      </c>
      <c r="H2719" s="14" t="s">
        <v>5601</v>
      </c>
      <c r="I2719" s="14" t="s">
        <v>2458</v>
      </c>
      <c r="J2719" s="33" t="s">
        <v>7110</v>
      </c>
      <c r="K2719" s="33" t="s">
        <v>6276</v>
      </c>
      <c r="L2719" s="53" t="s">
        <v>6283</v>
      </c>
      <c r="M2719" s="68" t="s">
        <v>8912</v>
      </c>
      <c r="N2719" s="68" t="s">
        <v>8665</v>
      </c>
      <c r="O2719" s="53">
        <v>50100</v>
      </c>
      <c r="P2719" s="198" t="s">
        <v>5798</v>
      </c>
    </row>
    <row r="2720" spans="1:16" ht="18.75" hidden="1">
      <c r="A2720" s="50" t="s">
        <v>6150</v>
      </c>
      <c r="B2720" s="50" t="s">
        <v>6245</v>
      </c>
      <c r="C2720" s="50" t="s">
        <v>6262</v>
      </c>
      <c r="D2720" s="50" t="s">
        <v>6245</v>
      </c>
      <c r="E2720" s="12" t="s">
        <v>4971</v>
      </c>
      <c r="F2720" s="49">
        <v>1405112</v>
      </c>
      <c r="G2720" s="77" t="s">
        <v>5779</v>
      </c>
      <c r="H2720" s="14" t="s">
        <v>5601</v>
      </c>
      <c r="I2720" s="14" t="s">
        <v>2458</v>
      </c>
      <c r="J2720" s="33" t="e">
        <f>VLOOKUP(C2720,شرکتها!A:B,2,FALSE)</f>
        <v>#N/A</v>
      </c>
      <c r="K2720" s="33" t="s">
        <v>6276</v>
      </c>
      <c r="L2720" s="53" t="s">
        <v>6284</v>
      </c>
      <c r="M2720" s="68" t="s">
        <v>8913</v>
      </c>
      <c r="N2720" s="68" t="s">
        <v>8665</v>
      </c>
      <c r="O2720" s="53">
        <v>50100</v>
      </c>
      <c r="P2720" s="198" t="s">
        <v>5844</v>
      </c>
    </row>
    <row r="2721" spans="1:16" ht="18.75" hidden="1">
      <c r="A2721" s="50" t="s">
        <v>6147</v>
      </c>
      <c r="B2721" s="50" t="s">
        <v>6075</v>
      </c>
      <c r="C2721" s="50" t="s">
        <v>6260</v>
      </c>
      <c r="D2721" s="50" t="s">
        <v>5857</v>
      </c>
      <c r="E2721" s="12" t="s">
        <v>4971</v>
      </c>
      <c r="F2721" s="49">
        <v>40311</v>
      </c>
      <c r="G2721" s="77" t="s">
        <v>5754</v>
      </c>
      <c r="H2721" s="14" t="s">
        <v>5601</v>
      </c>
      <c r="I2721" s="14" t="s">
        <v>2458</v>
      </c>
      <c r="J2721" s="33" t="s">
        <v>7110</v>
      </c>
      <c r="K2721" s="33" t="s">
        <v>6276</v>
      </c>
      <c r="L2721" s="53" t="s">
        <v>6283</v>
      </c>
      <c r="M2721" s="68" t="s">
        <v>8912</v>
      </c>
      <c r="N2721" s="68" t="s">
        <v>8665</v>
      </c>
      <c r="O2721" s="53">
        <v>50100</v>
      </c>
      <c r="P2721" s="198" t="s">
        <v>5858</v>
      </c>
    </row>
    <row r="2722" spans="1:16" ht="18.75" hidden="1">
      <c r="A2722" s="50" t="s">
        <v>6151</v>
      </c>
      <c r="B2722" s="50" t="s">
        <v>6248</v>
      </c>
      <c r="C2722" s="50" t="s">
        <v>6263</v>
      </c>
      <c r="D2722" s="50" t="s">
        <v>6251</v>
      </c>
      <c r="E2722" s="12" t="s">
        <v>4971</v>
      </c>
      <c r="F2722" s="49">
        <v>2849857</v>
      </c>
      <c r="G2722" s="77" t="s">
        <v>5779</v>
      </c>
      <c r="H2722" s="14" t="s">
        <v>5602</v>
      </c>
      <c r="I2722" s="14" t="s">
        <v>2458</v>
      </c>
      <c r="J2722" s="33" t="e">
        <f>VLOOKUP(C2722,شرکتها!A:B,2,FALSE)</f>
        <v>#N/A</v>
      </c>
      <c r="K2722" s="33" t="s">
        <v>6276</v>
      </c>
      <c r="L2722" s="53" t="s">
        <v>6283</v>
      </c>
      <c r="M2722" s="68" t="s">
        <v>8913</v>
      </c>
      <c r="N2722" s="68" t="s">
        <v>8665</v>
      </c>
      <c r="O2722" s="53">
        <v>50100</v>
      </c>
      <c r="P2722" s="198" t="s">
        <v>5844</v>
      </c>
    </row>
    <row r="2723" spans="1:16" ht="18.75" hidden="1">
      <c r="A2723" s="50" t="s">
        <v>6152</v>
      </c>
      <c r="B2723" s="50" t="s">
        <v>6247</v>
      </c>
      <c r="C2723" s="50" t="s">
        <v>6264</v>
      </c>
      <c r="D2723" s="50" t="s">
        <v>6251</v>
      </c>
      <c r="E2723" s="12" t="s">
        <v>4971</v>
      </c>
      <c r="F2723" s="49">
        <v>391739</v>
      </c>
      <c r="G2723" s="77" t="s">
        <v>5631</v>
      </c>
      <c r="H2723" s="14" t="s">
        <v>5601</v>
      </c>
      <c r="I2723" s="14" t="s">
        <v>2458</v>
      </c>
      <c r="J2723" s="33" t="s">
        <v>7110</v>
      </c>
      <c r="K2723" s="33" t="s">
        <v>6276</v>
      </c>
      <c r="L2723" s="53" t="s">
        <v>6283</v>
      </c>
      <c r="M2723" s="68" t="s">
        <v>8912</v>
      </c>
      <c r="N2723" s="68" t="s">
        <v>8665</v>
      </c>
      <c r="O2723" s="53">
        <v>50100</v>
      </c>
      <c r="P2723" s="197" t="s">
        <v>5842</v>
      </c>
    </row>
    <row r="2724" spans="1:16" ht="18.75" hidden="1">
      <c r="A2724" s="50" t="s">
        <v>6153</v>
      </c>
      <c r="B2724" s="50" t="s">
        <v>6250</v>
      </c>
      <c r="C2724" s="50" t="s">
        <v>6265</v>
      </c>
      <c r="D2724" s="50" t="s">
        <v>6249</v>
      </c>
      <c r="E2724" s="12" t="s">
        <v>4971</v>
      </c>
      <c r="F2724" s="49">
        <v>483837</v>
      </c>
      <c r="G2724" s="77" t="s">
        <v>5855</v>
      </c>
      <c r="H2724" s="14" t="s">
        <v>5601</v>
      </c>
      <c r="I2724" s="14" t="s">
        <v>2458</v>
      </c>
      <c r="J2724" s="33" t="s">
        <v>7110</v>
      </c>
      <c r="K2724" s="33" t="s">
        <v>6276</v>
      </c>
      <c r="L2724" s="53" t="s">
        <v>6279</v>
      </c>
      <c r="M2724" s="68" t="s">
        <v>8912</v>
      </c>
      <c r="N2724" s="68" t="s">
        <v>8665</v>
      </c>
      <c r="O2724" s="53">
        <v>50100</v>
      </c>
      <c r="P2724" s="198" t="s">
        <v>5856</v>
      </c>
    </row>
    <row r="2725" spans="1:16" ht="18.75" hidden="1">
      <c r="A2725" s="50" t="s">
        <v>6154</v>
      </c>
      <c r="B2725" s="50" t="s">
        <v>6250</v>
      </c>
      <c r="C2725" s="50" t="s">
        <v>6266</v>
      </c>
      <c r="D2725" s="50" t="s">
        <v>6247</v>
      </c>
      <c r="E2725" s="12" t="s">
        <v>4971</v>
      </c>
      <c r="F2725" s="49">
        <v>966885</v>
      </c>
      <c r="G2725" s="77" t="s">
        <v>5779</v>
      </c>
      <c r="H2725" s="14" t="s">
        <v>5602</v>
      </c>
      <c r="I2725" s="14" t="s">
        <v>2458</v>
      </c>
      <c r="J2725" s="33" t="e">
        <f>VLOOKUP(C2725,شرکتها!A:B,2,FALSE)</f>
        <v>#N/A</v>
      </c>
      <c r="K2725" s="33" t="s">
        <v>6276</v>
      </c>
      <c r="L2725" s="53" t="s">
        <v>6282</v>
      </c>
      <c r="M2725" s="68" t="s">
        <v>8913</v>
      </c>
      <c r="N2725" s="68" t="s">
        <v>8665</v>
      </c>
      <c r="O2725" s="53">
        <v>50100</v>
      </c>
      <c r="P2725" s="198" t="s">
        <v>5797</v>
      </c>
    </row>
    <row r="2726" spans="1:16" ht="18.75" hidden="1">
      <c r="A2726" s="50" t="s">
        <v>6155</v>
      </c>
      <c r="B2726" s="50" t="s">
        <v>6243</v>
      </c>
      <c r="C2726" s="50" t="s">
        <v>6267</v>
      </c>
      <c r="D2726" s="50" t="s">
        <v>6075</v>
      </c>
      <c r="E2726" s="12" t="s">
        <v>4971</v>
      </c>
      <c r="F2726" s="49">
        <v>91160</v>
      </c>
      <c r="G2726" s="77" t="s">
        <v>5631</v>
      </c>
      <c r="H2726" s="14" t="s">
        <v>5601</v>
      </c>
      <c r="I2726" s="14" t="s">
        <v>2458</v>
      </c>
      <c r="J2726" s="33" t="s">
        <v>7110</v>
      </c>
      <c r="K2726" s="33" t="s">
        <v>6276</v>
      </c>
      <c r="L2726" s="53" t="s">
        <v>6283</v>
      </c>
      <c r="M2726" s="68" t="s">
        <v>8912</v>
      </c>
      <c r="N2726" s="68" t="s">
        <v>8665</v>
      </c>
      <c r="O2726" s="53">
        <v>50100</v>
      </c>
      <c r="P2726" s="197" t="s">
        <v>5842</v>
      </c>
    </row>
    <row r="2727" spans="1:16" ht="18.75" hidden="1">
      <c r="A2727" s="50" t="s">
        <v>6156</v>
      </c>
      <c r="B2727" s="50" t="s">
        <v>6249</v>
      </c>
      <c r="C2727" s="50" t="s">
        <v>6037</v>
      </c>
      <c r="D2727" s="50" t="s">
        <v>5850</v>
      </c>
      <c r="E2727" s="12" t="s">
        <v>4971</v>
      </c>
      <c r="F2727" s="49">
        <v>194931</v>
      </c>
      <c r="G2727" s="77" t="s">
        <v>5855</v>
      </c>
      <c r="H2727" s="14" t="s">
        <v>5601</v>
      </c>
      <c r="I2727" s="14" t="s">
        <v>2458</v>
      </c>
      <c r="J2727" s="33" t="s">
        <v>7110</v>
      </c>
      <c r="K2727" s="33" t="s">
        <v>6276</v>
      </c>
      <c r="L2727" s="53" t="s">
        <v>6283</v>
      </c>
      <c r="M2727" s="68" t="s">
        <v>8912</v>
      </c>
      <c r="N2727" s="68" t="s">
        <v>8665</v>
      </c>
      <c r="O2727" s="53">
        <v>50100</v>
      </c>
      <c r="P2727" s="198" t="s">
        <v>5856</v>
      </c>
    </row>
    <row r="2728" spans="1:16" ht="18.75" hidden="1">
      <c r="A2728" s="50" t="s">
        <v>6157</v>
      </c>
      <c r="B2728" s="50" t="s">
        <v>6245</v>
      </c>
      <c r="C2728" s="50" t="s">
        <v>5947</v>
      </c>
      <c r="D2728" s="50" t="s">
        <v>5480</v>
      </c>
      <c r="E2728" s="12" t="s">
        <v>4971</v>
      </c>
      <c r="F2728" s="49">
        <v>195097</v>
      </c>
      <c r="G2728" s="77" t="s">
        <v>5611</v>
      </c>
      <c r="H2728" s="14" t="s">
        <v>5601</v>
      </c>
      <c r="I2728" s="14" t="s">
        <v>2458</v>
      </c>
      <c r="J2728" s="33" t="s">
        <v>7110</v>
      </c>
      <c r="K2728" s="33" t="s">
        <v>6276</v>
      </c>
      <c r="L2728" s="53" t="s">
        <v>6283</v>
      </c>
      <c r="M2728" s="68" t="s">
        <v>8912</v>
      </c>
      <c r="N2728" s="68" t="s">
        <v>8665</v>
      </c>
      <c r="O2728" s="53">
        <v>50100</v>
      </c>
      <c r="P2728" s="198" t="s">
        <v>5826</v>
      </c>
    </row>
    <row r="2729" spans="1:16" ht="18.75" hidden="1">
      <c r="A2729" s="50" t="s">
        <v>6158</v>
      </c>
      <c r="B2729" s="50" t="s">
        <v>6249</v>
      </c>
      <c r="C2729" s="50" t="s">
        <v>6046</v>
      </c>
      <c r="D2729" s="50" t="s">
        <v>5857</v>
      </c>
      <c r="E2729" s="12" t="s">
        <v>4971</v>
      </c>
      <c r="F2729" s="49">
        <v>169758</v>
      </c>
      <c r="G2729" s="77" t="s">
        <v>5631</v>
      </c>
      <c r="H2729" s="14" t="s">
        <v>5601</v>
      </c>
      <c r="I2729" s="14" t="s">
        <v>2458</v>
      </c>
      <c r="J2729" s="33" t="s">
        <v>7110</v>
      </c>
      <c r="K2729" s="33" t="s">
        <v>6276</v>
      </c>
      <c r="L2729" s="53" t="s">
        <v>6283</v>
      </c>
      <c r="M2729" s="68" t="s">
        <v>8912</v>
      </c>
      <c r="N2729" s="68" t="s">
        <v>8665</v>
      </c>
      <c r="O2729" s="53">
        <v>50100</v>
      </c>
      <c r="P2729" s="197" t="s">
        <v>5842</v>
      </c>
    </row>
    <row r="2730" spans="1:16" ht="18.75" hidden="1">
      <c r="A2730" s="50" t="s">
        <v>6158</v>
      </c>
      <c r="B2730" s="50" t="s">
        <v>6249</v>
      </c>
      <c r="C2730" s="50" t="s">
        <v>6021</v>
      </c>
      <c r="D2730" s="50" t="s">
        <v>5600</v>
      </c>
      <c r="E2730" s="12" t="s">
        <v>4971</v>
      </c>
      <c r="F2730" s="49">
        <v>123084</v>
      </c>
      <c r="G2730" s="77" t="s">
        <v>5631</v>
      </c>
      <c r="H2730" s="14" t="s">
        <v>5601</v>
      </c>
      <c r="I2730" s="14" t="s">
        <v>2458</v>
      </c>
      <c r="J2730" s="33" t="s">
        <v>7110</v>
      </c>
      <c r="K2730" s="33" t="s">
        <v>6276</v>
      </c>
      <c r="L2730" s="53" t="s">
        <v>6283</v>
      </c>
      <c r="M2730" s="68" t="s">
        <v>8912</v>
      </c>
      <c r="N2730" s="68" t="s">
        <v>8665</v>
      </c>
      <c r="O2730" s="53">
        <v>50100</v>
      </c>
      <c r="P2730" s="197" t="s">
        <v>5842</v>
      </c>
    </row>
    <row r="2731" spans="1:16" ht="18.75" hidden="1">
      <c r="A2731" s="50" t="s">
        <v>6154</v>
      </c>
      <c r="B2731" s="50" t="s">
        <v>6250</v>
      </c>
      <c r="C2731" s="50" t="s">
        <v>6268</v>
      </c>
      <c r="D2731" s="50" t="s">
        <v>6246</v>
      </c>
      <c r="E2731" s="12" t="s">
        <v>4971</v>
      </c>
      <c r="F2731" s="49">
        <v>1000000</v>
      </c>
      <c r="G2731" s="77" t="s">
        <v>5779</v>
      </c>
      <c r="H2731" s="14" t="s">
        <v>5602</v>
      </c>
      <c r="I2731" s="14" t="s">
        <v>2458</v>
      </c>
      <c r="J2731" s="33" t="e">
        <f>VLOOKUP(C2731,شرکتها!A:B,2,FALSE)</f>
        <v>#N/A</v>
      </c>
      <c r="K2731" s="33" t="s">
        <v>6276</v>
      </c>
      <c r="L2731" s="53" t="s">
        <v>6282</v>
      </c>
      <c r="M2731" s="68" t="s">
        <v>8913</v>
      </c>
      <c r="N2731" s="68" t="s">
        <v>8665</v>
      </c>
      <c r="O2731" s="53">
        <v>50100</v>
      </c>
      <c r="P2731" s="198" t="s">
        <v>5834</v>
      </c>
    </row>
    <row r="2732" spans="1:16" ht="18.75" hidden="1">
      <c r="A2732" s="50" t="s">
        <v>6159</v>
      </c>
      <c r="B2732" s="50" t="s">
        <v>6246</v>
      </c>
      <c r="C2732" s="50" t="s">
        <v>6264</v>
      </c>
      <c r="D2732" s="50" t="s">
        <v>6251</v>
      </c>
      <c r="E2732" s="12" t="s">
        <v>4971</v>
      </c>
      <c r="F2732" s="49">
        <v>108261</v>
      </c>
      <c r="G2732" s="77" t="s">
        <v>5631</v>
      </c>
      <c r="H2732" s="14" t="s">
        <v>5601</v>
      </c>
      <c r="I2732" s="14" t="s">
        <v>2458</v>
      </c>
      <c r="J2732" s="33" t="s">
        <v>7110</v>
      </c>
      <c r="K2732" s="33" t="s">
        <v>6276</v>
      </c>
      <c r="L2732" s="53" t="s">
        <v>6283</v>
      </c>
      <c r="M2732" s="68" t="s">
        <v>8912</v>
      </c>
      <c r="N2732" s="68" t="s">
        <v>8665</v>
      </c>
      <c r="O2732" s="53">
        <v>50100</v>
      </c>
      <c r="P2732" s="197" t="s">
        <v>5842</v>
      </c>
    </row>
    <row r="2733" spans="1:16" ht="18.75" hidden="1">
      <c r="A2733" s="50" t="s">
        <v>6159</v>
      </c>
      <c r="B2733" s="50" t="s">
        <v>6246</v>
      </c>
      <c r="C2733" s="50" t="s">
        <v>6269</v>
      </c>
      <c r="D2733" s="50" t="s">
        <v>6252</v>
      </c>
      <c r="E2733" s="12" t="s">
        <v>4971</v>
      </c>
      <c r="F2733" s="49">
        <v>183180</v>
      </c>
      <c r="G2733" s="77" t="s">
        <v>5631</v>
      </c>
      <c r="H2733" s="14" t="s">
        <v>5601</v>
      </c>
      <c r="I2733" s="14" t="s">
        <v>2458</v>
      </c>
      <c r="J2733" s="33" t="s">
        <v>7110</v>
      </c>
      <c r="K2733" s="33" t="s">
        <v>6276</v>
      </c>
      <c r="L2733" s="53" t="s">
        <v>6283</v>
      </c>
      <c r="M2733" s="68" t="s">
        <v>8912</v>
      </c>
      <c r="N2733" s="68" t="s">
        <v>8665</v>
      </c>
      <c r="O2733" s="53">
        <v>50100</v>
      </c>
      <c r="P2733" s="197" t="s">
        <v>5842</v>
      </c>
    </row>
    <row r="2734" spans="1:16" ht="18.75" hidden="1">
      <c r="A2734" s="50" t="s">
        <v>6143</v>
      </c>
      <c r="B2734" s="50" t="s">
        <v>6248</v>
      </c>
      <c r="C2734" s="50" t="s">
        <v>5939</v>
      </c>
      <c r="D2734" s="50" t="s">
        <v>5481</v>
      </c>
      <c r="E2734" s="12" t="s">
        <v>4971</v>
      </c>
      <c r="F2734" s="49">
        <v>3997</v>
      </c>
      <c r="G2734" s="77" t="s">
        <v>5611</v>
      </c>
      <c r="H2734" s="14" t="s">
        <v>5601</v>
      </c>
      <c r="I2734" s="14" t="s">
        <v>2458</v>
      </c>
      <c r="J2734" s="33" t="s">
        <v>7110</v>
      </c>
      <c r="K2734" s="33" t="s">
        <v>6276</v>
      </c>
      <c r="L2734" s="53" t="s">
        <v>6280</v>
      </c>
      <c r="M2734" s="68" t="s">
        <v>8912</v>
      </c>
      <c r="N2734" s="68" t="s">
        <v>8665</v>
      </c>
      <c r="O2734" s="53">
        <v>50100</v>
      </c>
      <c r="P2734" s="198" t="s">
        <v>5814</v>
      </c>
    </row>
    <row r="2735" spans="1:16" ht="18.75" hidden="1">
      <c r="A2735" s="50" t="s">
        <v>6160</v>
      </c>
      <c r="B2735" s="50" t="s">
        <v>6075</v>
      </c>
      <c r="C2735" s="50" t="s">
        <v>6035</v>
      </c>
      <c r="D2735" s="50" t="s">
        <v>5850</v>
      </c>
      <c r="E2735" s="12" t="s">
        <v>4971</v>
      </c>
      <c r="F2735" s="49">
        <v>490219</v>
      </c>
      <c r="G2735" s="77" t="s">
        <v>5754</v>
      </c>
      <c r="H2735" s="14" t="s">
        <v>5601</v>
      </c>
      <c r="I2735" s="14" t="s">
        <v>2458</v>
      </c>
      <c r="J2735" s="33" t="s">
        <v>7110</v>
      </c>
      <c r="K2735" s="33" t="s">
        <v>6276</v>
      </c>
      <c r="L2735" s="53" t="s">
        <v>6283</v>
      </c>
      <c r="M2735" s="68" t="s">
        <v>8912</v>
      </c>
      <c r="N2735" s="68" t="s">
        <v>8665</v>
      </c>
      <c r="O2735" s="53">
        <v>50100</v>
      </c>
      <c r="P2735" s="198" t="s">
        <v>5798</v>
      </c>
    </row>
    <row r="2736" spans="1:16" ht="18.75" hidden="1">
      <c r="A2736" s="50" t="s">
        <v>6161</v>
      </c>
      <c r="B2736" s="50" t="s">
        <v>6243</v>
      </c>
      <c r="C2736" s="50" t="s">
        <v>5942</v>
      </c>
      <c r="D2736" s="50" t="s">
        <v>5481</v>
      </c>
      <c r="E2736" s="12" t="s">
        <v>4971</v>
      </c>
      <c r="F2736" s="49">
        <v>45000</v>
      </c>
      <c r="G2736" s="77" t="s">
        <v>5611</v>
      </c>
      <c r="H2736" s="14" t="s">
        <v>5601</v>
      </c>
      <c r="I2736" s="14" t="s">
        <v>2458</v>
      </c>
      <c r="J2736" s="33" t="s">
        <v>7110</v>
      </c>
      <c r="K2736" s="33" t="s">
        <v>6276</v>
      </c>
      <c r="L2736" s="53" t="s">
        <v>6283</v>
      </c>
      <c r="M2736" s="68" t="s">
        <v>8912</v>
      </c>
      <c r="N2736" s="68" t="s">
        <v>8665</v>
      </c>
      <c r="O2736" s="53">
        <v>50100</v>
      </c>
      <c r="P2736" s="198" t="s">
        <v>5814</v>
      </c>
    </row>
    <row r="2737" spans="1:16" ht="18.75" hidden="1">
      <c r="A2737" s="50" t="s">
        <v>6162</v>
      </c>
      <c r="B2737" s="50" t="s">
        <v>5857</v>
      </c>
      <c r="C2737" s="50" t="s">
        <v>6021</v>
      </c>
      <c r="D2737" s="50" t="s">
        <v>5600</v>
      </c>
      <c r="E2737" s="12" t="s">
        <v>4971</v>
      </c>
      <c r="F2737" s="49">
        <v>376916</v>
      </c>
      <c r="G2737" s="77" t="s">
        <v>5631</v>
      </c>
      <c r="H2737" s="14" t="s">
        <v>5601</v>
      </c>
      <c r="I2737" s="14" t="s">
        <v>2458</v>
      </c>
      <c r="J2737" s="33" t="s">
        <v>7110</v>
      </c>
      <c r="K2737" s="33" t="s">
        <v>6276</v>
      </c>
      <c r="L2737" s="53" t="s">
        <v>6283</v>
      </c>
      <c r="M2737" s="68" t="s">
        <v>8912</v>
      </c>
      <c r="N2737" s="68" t="s">
        <v>8665</v>
      </c>
      <c r="O2737" s="53">
        <v>50100</v>
      </c>
      <c r="P2737" s="197" t="s">
        <v>5842</v>
      </c>
    </row>
    <row r="2738" spans="1:16" ht="18.75" hidden="1">
      <c r="A2738" s="50" t="s">
        <v>6161</v>
      </c>
      <c r="B2738" s="50" t="s">
        <v>6243</v>
      </c>
      <c r="C2738" s="50" t="s">
        <v>5955</v>
      </c>
      <c r="D2738" s="50" t="s">
        <v>5828</v>
      </c>
      <c r="E2738" s="12" t="s">
        <v>4971</v>
      </c>
      <c r="F2738" s="49">
        <v>11500</v>
      </c>
      <c r="G2738" s="77" t="s">
        <v>5611</v>
      </c>
      <c r="H2738" s="14" t="s">
        <v>5601</v>
      </c>
      <c r="I2738" s="14" t="s">
        <v>2458</v>
      </c>
      <c r="J2738" s="33" t="s">
        <v>7110</v>
      </c>
      <c r="K2738" s="33" t="s">
        <v>6276</v>
      </c>
      <c r="L2738" s="53" t="s">
        <v>6283</v>
      </c>
      <c r="M2738" s="68" t="s">
        <v>8912</v>
      </c>
      <c r="N2738" s="68" t="s">
        <v>8665</v>
      </c>
      <c r="O2738" s="53">
        <v>50100</v>
      </c>
      <c r="P2738" s="198" t="s">
        <v>5814</v>
      </c>
    </row>
    <row r="2739" spans="1:16" ht="18.75" hidden="1">
      <c r="A2739" s="50" t="s">
        <v>6163</v>
      </c>
      <c r="B2739" s="50" t="s">
        <v>6251</v>
      </c>
      <c r="C2739" s="50" t="s">
        <v>6267</v>
      </c>
      <c r="D2739" s="50" t="s">
        <v>6075</v>
      </c>
      <c r="E2739" s="12" t="s">
        <v>4971</v>
      </c>
      <c r="F2739" s="49">
        <v>107741</v>
      </c>
      <c r="G2739" s="77" t="s">
        <v>5631</v>
      </c>
      <c r="H2739" s="14" t="s">
        <v>5601</v>
      </c>
      <c r="I2739" s="14" t="s">
        <v>2458</v>
      </c>
      <c r="J2739" s="33" t="s">
        <v>7110</v>
      </c>
      <c r="K2739" s="33" t="s">
        <v>6276</v>
      </c>
      <c r="L2739" s="53" t="s">
        <v>6283</v>
      </c>
      <c r="M2739" s="68" t="s">
        <v>8912</v>
      </c>
      <c r="N2739" s="68" t="s">
        <v>8665</v>
      </c>
      <c r="O2739" s="53">
        <v>50100</v>
      </c>
      <c r="P2739" s="197" t="s">
        <v>5842</v>
      </c>
    </row>
    <row r="2740" spans="1:16" ht="18.75" hidden="1">
      <c r="A2740" s="50" t="s">
        <v>6161</v>
      </c>
      <c r="B2740" s="50" t="s">
        <v>6243</v>
      </c>
      <c r="C2740" s="50" t="s">
        <v>5971</v>
      </c>
      <c r="D2740" s="50" t="s">
        <v>5832</v>
      </c>
      <c r="E2740" s="12" t="s">
        <v>4971</v>
      </c>
      <c r="F2740" s="49">
        <v>13210</v>
      </c>
      <c r="G2740" s="77" t="s">
        <v>5611</v>
      </c>
      <c r="H2740" s="14" t="s">
        <v>5601</v>
      </c>
      <c r="I2740" s="14" t="s">
        <v>2458</v>
      </c>
      <c r="J2740" s="33" t="s">
        <v>7110</v>
      </c>
      <c r="K2740" s="33" t="s">
        <v>6276</v>
      </c>
      <c r="L2740" s="53" t="s">
        <v>6283</v>
      </c>
      <c r="M2740" s="68" t="s">
        <v>8912</v>
      </c>
      <c r="N2740" s="68" t="s">
        <v>8665</v>
      </c>
      <c r="O2740" s="53">
        <v>50100</v>
      </c>
      <c r="P2740" s="198" t="s">
        <v>5814</v>
      </c>
    </row>
    <row r="2741" spans="1:16" ht="18.75" hidden="1">
      <c r="A2741" s="50" t="s">
        <v>6164</v>
      </c>
      <c r="B2741" s="50" t="s">
        <v>5850</v>
      </c>
      <c r="C2741" s="50" t="s">
        <v>6004</v>
      </c>
      <c r="D2741" s="50" t="s">
        <v>5840</v>
      </c>
      <c r="E2741" s="12" t="s">
        <v>4971</v>
      </c>
      <c r="F2741" s="49">
        <v>496362</v>
      </c>
      <c r="G2741" s="77" t="s">
        <v>5779</v>
      </c>
      <c r="H2741" s="14" t="s">
        <v>5601</v>
      </c>
      <c r="I2741" s="14" t="s">
        <v>2458</v>
      </c>
      <c r="J2741" s="33" t="e">
        <f>VLOOKUP(C2741,شرکتها!A:B,2,FALSE)</f>
        <v>#N/A</v>
      </c>
      <c r="K2741" s="33" t="s">
        <v>6276</v>
      </c>
      <c r="L2741" s="53" t="s">
        <v>6283</v>
      </c>
      <c r="M2741" s="68" t="s">
        <v>8912</v>
      </c>
      <c r="N2741" s="68" t="s">
        <v>8665</v>
      </c>
      <c r="O2741" s="53">
        <v>50100</v>
      </c>
      <c r="P2741" s="198" t="s">
        <v>5841</v>
      </c>
    </row>
    <row r="2742" spans="1:16" ht="18.75" hidden="1">
      <c r="A2742" s="50" t="s">
        <v>6163</v>
      </c>
      <c r="B2742" s="50" t="s">
        <v>6251</v>
      </c>
      <c r="C2742" s="50" t="s">
        <v>6258</v>
      </c>
      <c r="D2742" s="50" t="s">
        <v>6245</v>
      </c>
      <c r="E2742" s="12" t="s">
        <v>4971</v>
      </c>
      <c r="F2742" s="49">
        <v>87303</v>
      </c>
      <c r="G2742" s="77" t="s">
        <v>5631</v>
      </c>
      <c r="H2742" s="14" t="s">
        <v>5601</v>
      </c>
      <c r="I2742" s="14" t="s">
        <v>2458</v>
      </c>
      <c r="J2742" s="33" t="s">
        <v>7110</v>
      </c>
      <c r="K2742" s="33" t="s">
        <v>6276</v>
      </c>
      <c r="L2742" s="53" t="s">
        <v>6283</v>
      </c>
      <c r="M2742" s="68" t="s">
        <v>8912</v>
      </c>
      <c r="N2742" s="68" t="s">
        <v>8665</v>
      </c>
      <c r="O2742" s="53">
        <v>50100</v>
      </c>
      <c r="P2742" s="197" t="s">
        <v>5842</v>
      </c>
    </row>
    <row r="2743" spans="1:16" ht="18.75" hidden="1">
      <c r="A2743" s="50" t="s">
        <v>6165</v>
      </c>
      <c r="B2743" s="50" t="s">
        <v>6248</v>
      </c>
      <c r="C2743" s="50" t="s">
        <v>6270</v>
      </c>
      <c r="D2743" s="50" t="s">
        <v>6251</v>
      </c>
      <c r="E2743" s="12" t="s">
        <v>4971</v>
      </c>
      <c r="F2743" s="49">
        <v>1072902</v>
      </c>
      <c r="G2743" s="77" t="s">
        <v>5779</v>
      </c>
      <c r="H2743" s="14" t="s">
        <v>5602</v>
      </c>
      <c r="I2743" s="14" t="s">
        <v>2458</v>
      </c>
      <c r="J2743" s="33" t="e">
        <f>VLOOKUP(C2743,شرکتها!A:B,2,FALSE)</f>
        <v>#N/A</v>
      </c>
      <c r="K2743" s="33" t="s">
        <v>6276</v>
      </c>
      <c r="L2743" s="53" t="s">
        <v>6284</v>
      </c>
      <c r="M2743" s="68" t="s">
        <v>8913</v>
      </c>
      <c r="N2743" s="68" t="s">
        <v>8665</v>
      </c>
      <c r="O2743" s="53">
        <v>50100</v>
      </c>
      <c r="P2743" s="198" t="s">
        <v>5817</v>
      </c>
    </row>
    <row r="2744" spans="1:16" ht="18.75" hidden="1">
      <c r="A2744" s="50" t="s">
        <v>6166</v>
      </c>
      <c r="B2744" s="50" t="s">
        <v>6245</v>
      </c>
      <c r="C2744" s="50" t="s">
        <v>5915</v>
      </c>
      <c r="D2744" s="50" t="s">
        <v>5560</v>
      </c>
      <c r="E2744" s="12" t="s">
        <v>4971</v>
      </c>
      <c r="F2744" s="49">
        <v>5000</v>
      </c>
      <c r="G2744" s="77" t="s">
        <v>5611</v>
      </c>
      <c r="H2744" s="14" t="s">
        <v>5601</v>
      </c>
      <c r="I2744" s="14" t="s">
        <v>2458</v>
      </c>
      <c r="J2744" s="33" t="s">
        <v>7110</v>
      </c>
      <c r="K2744" s="33" t="s">
        <v>6276</v>
      </c>
      <c r="L2744" s="53" t="s">
        <v>6283</v>
      </c>
      <c r="M2744" s="68" t="s">
        <v>8912</v>
      </c>
      <c r="N2744" s="68" t="s">
        <v>8665</v>
      </c>
      <c r="O2744" s="53">
        <v>50100</v>
      </c>
      <c r="P2744" s="198" t="s">
        <v>5814</v>
      </c>
    </row>
    <row r="2745" spans="1:16" ht="18.75" hidden="1">
      <c r="A2745" s="50" t="s">
        <v>6166</v>
      </c>
      <c r="B2745" s="50" t="s">
        <v>6245</v>
      </c>
      <c r="C2745" s="50" t="s">
        <v>5939</v>
      </c>
      <c r="D2745" s="50" t="s">
        <v>5481</v>
      </c>
      <c r="E2745" s="12" t="s">
        <v>4971</v>
      </c>
      <c r="F2745" s="49">
        <v>193000</v>
      </c>
      <c r="G2745" s="77" t="s">
        <v>5611</v>
      </c>
      <c r="H2745" s="14" t="s">
        <v>5601</v>
      </c>
      <c r="I2745" s="14" t="s">
        <v>2458</v>
      </c>
      <c r="J2745" s="33" t="s">
        <v>7110</v>
      </c>
      <c r="K2745" s="33" t="s">
        <v>6276</v>
      </c>
      <c r="L2745" s="53" t="s">
        <v>6283</v>
      </c>
      <c r="M2745" s="68" t="s">
        <v>8912</v>
      </c>
      <c r="N2745" s="68" t="s">
        <v>8665</v>
      </c>
      <c r="O2745" s="53">
        <v>50100</v>
      </c>
      <c r="P2745" s="198" t="s">
        <v>5814</v>
      </c>
    </row>
    <row r="2746" spans="1:16" ht="18.75" hidden="1">
      <c r="A2746" s="50" t="s">
        <v>6146</v>
      </c>
      <c r="B2746" s="50" t="s">
        <v>6243</v>
      </c>
      <c r="C2746" s="50" t="s">
        <v>5951</v>
      </c>
      <c r="D2746" s="50" t="s">
        <v>5827</v>
      </c>
      <c r="E2746" s="12" t="s">
        <v>4971</v>
      </c>
      <c r="F2746" s="49">
        <v>53000</v>
      </c>
      <c r="G2746" s="77" t="s">
        <v>5611</v>
      </c>
      <c r="H2746" s="14" t="s">
        <v>5601</v>
      </c>
      <c r="I2746" s="14" t="s">
        <v>2458</v>
      </c>
      <c r="J2746" s="33" t="s">
        <v>7110</v>
      </c>
      <c r="K2746" s="33" t="s">
        <v>6276</v>
      </c>
      <c r="L2746" s="53" t="s">
        <v>6283</v>
      </c>
      <c r="M2746" s="68" t="s">
        <v>8912</v>
      </c>
      <c r="N2746" s="68" t="s">
        <v>8665</v>
      </c>
      <c r="O2746" s="53">
        <v>50100</v>
      </c>
      <c r="P2746" s="198" t="s">
        <v>5814</v>
      </c>
    </row>
    <row r="2747" spans="1:16" ht="18.75" hidden="1">
      <c r="A2747" s="50" t="s">
        <v>6167</v>
      </c>
      <c r="B2747" s="50" t="s">
        <v>6245</v>
      </c>
      <c r="C2747" s="50" t="s">
        <v>5915</v>
      </c>
      <c r="D2747" s="50" t="s">
        <v>5560</v>
      </c>
      <c r="E2747" s="12" t="s">
        <v>4971</v>
      </c>
      <c r="F2747" s="49">
        <v>495000</v>
      </c>
      <c r="G2747" s="77" t="s">
        <v>5611</v>
      </c>
      <c r="H2747" s="14" t="s">
        <v>5601</v>
      </c>
      <c r="I2747" s="14" t="s">
        <v>2458</v>
      </c>
      <c r="J2747" s="33" t="s">
        <v>7110</v>
      </c>
      <c r="K2747" s="33" t="s">
        <v>6276</v>
      </c>
      <c r="L2747" s="53" t="s">
        <v>6283</v>
      </c>
      <c r="M2747" s="68" t="s">
        <v>8912</v>
      </c>
      <c r="N2747" s="68" t="s">
        <v>8665</v>
      </c>
      <c r="O2747" s="53">
        <v>50100</v>
      </c>
      <c r="P2747" s="198" t="s">
        <v>5814</v>
      </c>
    </row>
    <row r="2748" spans="1:16" ht="18.75" hidden="1">
      <c r="A2748" s="50" t="s">
        <v>6152</v>
      </c>
      <c r="B2748" s="50" t="s">
        <v>6247</v>
      </c>
      <c r="C2748" s="50" t="s">
        <v>6271</v>
      </c>
      <c r="D2748" s="50" t="s">
        <v>6249</v>
      </c>
      <c r="E2748" s="12" t="s">
        <v>4971</v>
      </c>
      <c r="F2748" s="49">
        <v>92401</v>
      </c>
      <c r="G2748" s="77" t="s">
        <v>5631</v>
      </c>
      <c r="H2748" s="14" t="s">
        <v>5601</v>
      </c>
      <c r="I2748" s="14" t="s">
        <v>2458</v>
      </c>
      <c r="J2748" s="33" t="s">
        <v>7110</v>
      </c>
      <c r="K2748" s="33" t="s">
        <v>6276</v>
      </c>
      <c r="L2748" s="53" t="s">
        <v>6283</v>
      </c>
      <c r="M2748" s="68" t="s">
        <v>8912</v>
      </c>
      <c r="N2748" s="68" t="s">
        <v>8665</v>
      </c>
      <c r="O2748" s="53">
        <v>50100</v>
      </c>
      <c r="P2748" s="197" t="s">
        <v>5842</v>
      </c>
    </row>
    <row r="2749" spans="1:16" ht="18.75" hidden="1">
      <c r="A2749" s="50" t="s">
        <v>6153</v>
      </c>
      <c r="B2749" s="50" t="s">
        <v>6250</v>
      </c>
      <c r="C2749" s="50" t="s">
        <v>6038</v>
      </c>
      <c r="D2749" s="50" t="s">
        <v>5850</v>
      </c>
      <c r="E2749" s="12" t="s">
        <v>4971</v>
      </c>
      <c r="F2749" s="49">
        <v>5693</v>
      </c>
      <c r="G2749" s="77" t="s">
        <v>5855</v>
      </c>
      <c r="H2749" s="14" t="s">
        <v>5601</v>
      </c>
      <c r="I2749" s="14" t="s">
        <v>2458</v>
      </c>
      <c r="J2749" s="33" t="s">
        <v>7110</v>
      </c>
      <c r="K2749" s="33" t="s">
        <v>6276</v>
      </c>
      <c r="L2749" s="53" t="s">
        <v>6279</v>
      </c>
      <c r="M2749" s="68" t="s">
        <v>8912</v>
      </c>
      <c r="N2749" s="68" t="s">
        <v>8665</v>
      </c>
      <c r="O2749" s="53">
        <v>50100</v>
      </c>
      <c r="P2749" s="198" t="s">
        <v>5856</v>
      </c>
    </row>
    <row r="2750" spans="1:16" ht="18.75" hidden="1">
      <c r="A2750" s="50" t="s">
        <v>6155</v>
      </c>
      <c r="B2750" s="50" t="s">
        <v>6243</v>
      </c>
      <c r="C2750" s="50" t="s">
        <v>6271</v>
      </c>
      <c r="D2750" s="50" t="s">
        <v>6249</v>
      </c>
      <c r="E2750" s="12" t="s">
        <v>4971</v>
      </c>
      <c r="F2750" s="49">
        <v>397441</v>
      </c>
      <c r="G2750" s="77" t="s">
        <v>5631</v>
      </c>
      <c r="H2750" s="14" t="s">
        <v>5601</v>
      </c>
      <c r="I2750" s="14" t="s">
        <v>2458</v>
      </c>
      <c r="J2750" s="33" t="s">
        <v>7110</v>
      </c>
      <c r="K2750" s="33" t="s">
        <v>6276</v>
      </c>
      <c r="L2750" s="53" t="s">
        <v>6283</v>
      </c>
      <c r="M2750" s="68" t="s">
        <v>8912</v>
      </c>
      <c r="N2750" s="68" t="s">
        <v>8665</v>
      </c>
      <c r="O2750" s="53">
        <v>50100</v>
      </c>
      <c r="P2750" s="197" t="s">
        <v>5842</v>
      </c>
    </row>
    <row r="2751" spans="1:16" ht="18.75" hidden="1">
      <c r="A2751" s="50" t="s">
        <v>6168</v>
      </c>
      <c r="B2751" s="50" t="s">
        <v>6249</v>
      </c>
      <c r="C2751" s="50" t="s">
        <v>6038</v>
      </c>
      <c r="D2751" s="50" t="s">
        <v>5850</v>
      </c>
      <c r="E2751" s="12" t="s">
        <v>4971</v>
      </c>
      <c r="F2751" s="49">
        <v>254307</v>
      </c>
      <c r="G2751" s="77" t="s">
        <v>5855</v>
      </c>
      <c r="H2751" s="14" t="s">
        <v>5601</v>
      </c>
      <c r="I2751" s="14" t="s">
        <v>2458</v>
      </c>
      <c r="J2751" s="33" t="s">
        <v>7110</v>
      </c>
      <c r="K2751" s="33" t="s">
        <v>6276</v>
      </c>
      <c r="L2751" s="53" t="s">
        <v>6283</v>
      </c>
      <c r="M2751" s="68" t="s">
        <v>8912</v>
      </c>
      <c r="N2751" s="68" t="s">
        <v>8665</v>
      </c>
      <c r="O2751" s="53">
        <v>50100</v>
      </c>
      <c r="P2751" s="198" t="s">
        <v>5856</v>
      </c>
    </row>
    <row r="2752" spans="1:16" ht="18.75" hidden="1">
      <c r="A2752" s="50" t="s">
        <v>6162</v>
      </c>
      <c r="B2752" s="50" t="s">
        <v>5857</v>
      </c>
      <c r="C2752" s="50" t="s">
        <v>6008</v>
      </c>
      <c r="D2752" s="50" t="s">
        <v>5840</v>
      </c>
      <c r="E2752" s="12" t="s">
        <v>4971</v>
      </c>
      <c r="F2752" s="49">
        <v>111278</v>
      </c>
      <c r="G2752" s="77" t="s">
        <v>5631</v>
      </c>
      <c r="H2752" s="14" t="s">
        <v>5601</v>
      </c>
      <c r="I2752" s="14" t="s">
        <v>2458</v>
      </c>
      <c r="J2752" s="33" t="s">
        <v>7110</v>
      </c>
      <c r="K2752" s="33" t="s">
        <v>6276</v>
      </c>
      <c r="L2752" s="53" t="s">
        <v>6283</v>
      </c>
      <c r="M2752" s="68" t="s">
        <v>8912</v>
      </c>
      <c r="N2752" s="68" t="s">
        <v>8665</v>
      </c>
      <c r="O2752" s="53">
        <v>50100</v>
      </c>
      <c r="P2752" s="197" t="s">
        <v>5842</v>
      </c>
    </row>
    <row r="2753" spans="1:16" ht="18.75" hidden="1">
      <c r="A2753" s="50" t="s">
        <v>6161</v>
      </c>
      <c r="B2753" s="50" t="s">
        <v>6243</v>
      </c>
      <c r="C2753" s="50" t="s">
        <v>5958</v>
      </c>
      <c r="D2753" s="50" t="s">
        <v>5828</v>
      </c>
      <c r="E2753" s="12" t="s">
        <v>4971</v>
      </c>
      <c r="F2753" s="49">
        <v>126090</v>
      </c>
      <c r="G2753" s="77" t="s">
        <v>5611</v>
      </c>
      <c r="H2753" s="14" t="s">
        <v>5601</v>
      </c>
      <c r="I2753" s="14" t="s">
        <v>2458</v>
      </c>
      <c r="J2753" s="33" t="s">
        <v>7110</v>
      </c>
      <c r="K2753" s="33" t="s">
        <v>6276</v>
      </c>
      <c r="L2753" s="53" t="s">
        <v>6283</v>
      </c>
      <c r="M2753" s="68" t="s">
        <v>8912</v>
      </c>
      <c r="N2753" s="68" t="s">
        <v>8665</v>
      </c>
      <c r="O2753" s="53">
        <v>50100</v>
      </c>
      <c r="P2753" s="198" t="s">
        <v>5814</v>
      </c>
    </row>
    <row r="2754" spans="1:16" ht="18.75" hidden="1">
      <c r="A2754" s="50" t="s">
        <v>6169</v>
      </c>
      <c r="B2754" s="50" t="s">
        <v>5302</v>
      </c>
      <c r="C2754" s="50" t="s">
        <v>5324</v>
      </c>
      <c r="D2754" s="50" t="s">
        <v>5273</v>
      </c>
      <c r="E2754" s="12" t="s">
        <v>4971</v>
      </c>
      <c r="F2754" s="49">
        <v>73340</v>
      </c>
      <c r="G2754" s="77" t="s">
        <v>5631</v>
      </c>
      <c r="H2754" s="14" t="s">
        <v>5601</v>
      </c>
      <c r="I2754" s="14" t="s">
        <v>2458</v>
      </c>
      <c r="J2754" s="33" t="s">
        <v>7110</v>
      </c>
      <c r="K2754" s="33" t="s">
        <v>6276</v>
      </c>
      <c r="L2754" s="53" t="s">
        <v>6054</v>
      </c>
      <c r="M2754" s="68" t="s">
        <v>8913</v>
      </c>
      <c r="N2754" s="53" t="s">
        <v>6060</v>
      </c>
      <c r="O2754" s="53">
        <v>55107</v>
      </c>
      <c r="P2754" s="197" t="s">
        <v>5803</v>
      </c>
    </row>
    <row r="2755" spans="1:16" ht="18.75" hidden="1">
      <c r="A2755" s="50" t="s">
        <v>6170</v>
      </c>
      <c r="B2755" s="50" t="s">
        <v>5367</v>
      </c>
      <c r="C2755" s="50" t="s">
        <v>5867</v>
      </c>
      <c r="D2755" s="50" t="s">
        <v>5272</v>
      </c>
      <c r="E2755" s="12" t="s">
        <v>4971</v>
      </c>
      <c r="F2755" s="49">
        <v>57960</v>
      </c>
      <c r="G2755" s="77" t="s">
        <v>5647</v>
      </c>
      <c r="H2755" s="14" t="s">
        <v>5601</v>
      </c>
      <c r="I2755" s="14" t="s">
        <v>2458</v>
      </c>
      <c r="J2755" s="33" t="s">
        <v>7110</v>
      </c>
      <c r="K2755" s="33" t="s">
        <v>6276</v>
      </c>
      <c r="L2755" s="53" t="s">
        <v>6054</v>
      </c>
      <c r="M2755" s="68" t="s">
        <v>8913</v>
      </c>
      <c r="N2755" s="53" t="s">
        <v>6061</v>
      </c>
      <c r="O2755" s="53">
        <v>55301</v>
      </c>
      <c r="P2755" s="198" t="s">
        <v>5806</v>
      </c>
    </row>
    <row r="2756" spans="1:16" ht="18.75" hidden="1">
      <c r="A2756" s="50" t="s">
        <v>6170</v>
      </c>
      <c r="B2756" s="50" t="s">
        <v>5367</v>
      </c>
      <c r="C2756" s="50" t="s">
        <v>5428</v>
      </c>
      <c r="D2756" s="50" t="s">
        <v>5230</v>
      </c>
      <c r="E2756" s="12" t="s">
        <v>4971</v>
      </c>
      <c r="F2756" s="49">
        <v>92265</v>
      </c>
      <c r="G2756" s="77" t="s">
        <v>5611</v>
      </c>
      <c r="H2756" s="14" t="s">
        <v>5601</v>
      </c>
      <c r="I2756" s="14" t="s">
        <v>2458</v>
      </c>
      <c r="J2756" s="33" t="s">
        <v>7110</v>
      </c>
      <c r="K2756" s="33" t="s">
        <v>6276</v>
      </c>
      <c r="L2756" s="53" t="s">
        <v>6054</v>
      </c>
      <c r="M2756" s="68" t="s">
        <v>8913</v>
      </c>
      <c r="N2756" s="53" t="s">
        <v>6061</v>
      </c>
      <c r="O2756" s="53">
        <v>55301</v>
      </c>
      <c r="P2756" s="198" t="s">
        <v>5799</v>
      </c>
    </row>
    <row r="2757" spans="1:16" ht="18.75" hidden="1">
      <c r="A2757" s="50" t="s">
        <v>6170</v>
      </c>
      <c r="B2757" s="50" t="s">
        <v>5367</v>
      </c>
      <c r="C2757" s="50" t="s">
        <v>5376</v>
      </c>
      <c r="D2757" s="50" t="s">
        <v>5265</v>
      </c>
      <c r="E2757" s="12" t="s">
        <v>4971</v>
      </c>
      <c r="F2757" s="49">
        <v>211915</v>
      </c>
      <c r="G2757" s="77" t="s">
        <v>5631</v>
      </c>
      <c r="H2757" s="14" t="s">
        <v>5601</v>
      </c>
      <c r="I2757" s="14" t="s">
        <v>2458</v>
      </c>
      <c r="J2757" s="33" t="s">
        <v>7110</v>
      </c>
      <c r="K2757" s="33" t="s">
        <v>6276</v>
      </c>
      <c r="L2757" s="53" t="s">
        <v>6054</v>
      </c>
      <c r="M2757" s="68" t="s">
        <v>8913</v>
      </c>
      <c r="N2757" s="53" t="s">
        <v>6061</v>
      </c>
      <c r="O2757" s="53">
        <v>55301</v>
      </c>
      <c r="P2757" s="197" t="s">
        <v>5803</v>
      </c>
    </row>
    <row r="2758" spans="1:16" ht="18.75" hidden="1">
      <c r="A2758" s="50" t="s">
        <v>6170</v>
      </c>
      <c r="B2758" s="50" t="s">
        <v>5367</v>
      </c>
      <c r="C2758" s="50" t="s">
        <v>5374</v>
      </c>
      <c r="D2758" s="50" t="s">
        <v>5267</v>
      </c>
      <c r="E2758" s="12" t="s">
        <v>4971</v>
      </c>
      <c r="F2758" s="49">
        <v>15400</v>
      </c>
      <c r="G2758" s="77" t="s">
        <v>5611</v>
      </c>
      <c r="H2758" s="14" t="s">
        <v>5601</v>
      </c>
      <c r="I2758" s="14" t="s">
        <v>2458</v>
      </c>
      <c r="J2758" s="33" t="s">
        <v>7110</v>
      </c>
      <c r="K2758" s="33" t="s">
        <v>6276</v>
      </c>
      <c r="L2758" s="53" t="s">
        <v>6054</v>
      </c>
      <c r="M2758" s="68" t="s">
        <v>8913</v>
      </c>
      <c r="N2758" s="53" t="s">
        <v>6061</v>
      </c>
      <c r="O2758" s="53">
        <v>55301</v>
      </c>
      <c r="P2758" s="198" t="s">
        <v>5799</v>
      </c>
    </row>
    <row r="2759" spans="1:16" ht="18.75" hidden="1">
      <c r="A2759" s="50" t="s">
        <v>6170</v>
      </c>
      <c r="B2759" s="50" t="s">
        <v>5367</v>
      </c>
      <c r="C2759" s="50" t="s">
        <v>5229</v>
      </c>
      <c r="D2759" s="50" t="s">
        <v>5011</v>
      </c>
      <c r="E2759" s="12" t="s">
        <v>4971</v>
      </c>
      <c r="F2759" s="49">
        <v>24620</v>
      </c>
      <c r="G2759" s="77" t="s">
        <v>5609</v>
      </c>
      <c r="H2759" s="14" t="s">
        <v>5601</v>
      </c>
      <c r="I2759" s="14" t="s">
        <v>2458</v>
      </c>
      <c r="J2759" s="33" t="s">
        <v>7110</v>
      </c>
      <c r="K2759" s="33" t="s">
        <v>6276</v>
      </c>
      <c r="L2759" s="53" t="s">
        <v>6054</v>
      </c>
      <c r="M2759" s="68" t="s">
        <v>8913</v>
      </c>
      <c r="N2759" s="53" t="s">
        <v>6061</v>
      </c>
      <c r="O2759" s="53">
        <v>55301</v>
      </c>
      <c r="P2759" s="198" t="s">
        <v>5772</v>
      </c>
    </row>
    <row r="2760" spans="1:16" ht="18.75" hidden="1">
      <c r="A2760" s="50" t="s">
        <v>6170</v>
      </c>
      <c r="B2760" s="50" t="s">
        <v>5367</v>
      </c>
      <c r="C2760" s="50" t="s">
        <v>5223</v>
      </c>
      <c r="D2760" s="50" t="s">
        <v>5011</v>
      </c>
      <c r="E2760" s="12" t="s">
        <v>4971</v>
      </c>
      <c r="F2760" s="49">
        <v>29340</v>
      </c>
      <c r="G2760" s="77" t="s">
        <v>5611</v>
      </c>
      <c r="H2760" s="14" t="s">
        <v>5601</v>
      </c>
      <c r="I2760" s="14" t="s">
        <v>2458</v>
      </c>
      <c r="J2760" s="33" t="s">
        <v>7110</v>
      </c>
      <c r="K2760" s="33" t="s">
        <v>6276</v>
      </c>
      <c r="L2760" s="53" t="s">
        <v>6054</v>
      </c>
      <c r="M2760" s="68" t="s">
        <v>8913</v>
      </c>
      <c r="N2760" s="53" t="s">
        <v>6061</v>
      </c>
      <c r="O2760" s="53">
        <v>55301</v>
      </c>
      <c r="P2760" s="198" t="s">
        <v>5758</v>
      </c>
    </row>
    <row r="2761" spans="1:16" ht="18.75" hidden="1">
      <c r="A2761" s="50" t="s">
        <v>6171</v>
      </c>
      <c r="B2761" s="50" t="s">
        <v>5300</v>
      </c>
      <c r="C2761" s="50" t="s">
        <v>5369</v>
      </c>
      <c r="D2761" s="50" t="s">
        <v>5231</v>
      </c>
      <c r="E2761" s="12" t="s">
        <v>4971</v>
      </c>
      <c r="F2761" s="49">
        <v>245420</v>
      </c>
      <c r="G2761" s="77" t="s">
        <v>5631</v>
      </c>
      <c r="H2761" s="14" t="s">
        <v>5601</v>
      </c>
      <c r="I2761" s="14" t="s">
        <v>2458</v>
      </c>
      <c r="J2761" s="33" t="s">
        <v>7110</v>
      </c>
      <c r="K2761" s="33" t="s">
        <v>6276</v>
      </c>
      <c r="L2761" s="53" t="s">
        <v>6054</v>
      </c>
      <c r="M2761" s="68" t="s">
        <v>8913</v>
      </c>
      <c r="N2761" s="53" t="s">
        <v>6061</v>
      </c>
      <c r="O2761" s="53">
        <v>55301</v>
      </c>
      <c r="P2761" s="197" t="s">
        <v>5803</v>
      </c>
    </row>
    <row r="2762" spans="1:16" ht="18.75" hidden="1">
      <c r="A2762" s="50" t="s">
        <v>6172</v>
      </c>
      <c r="B2762" s="50" t="s">
        <v>5300</v>
      </c>
      <c r="C2762" s="50" t="s">
        <v>5229</v>
      </c>
      <c r="D2762" s="50" t="s">
        <v>5011</v>
      </c>
      <c r="E2762" s="12" t="s">
        <v>4971</v>
      </c>
      <c r="F2762" s="49">
        <v>71525</v>
      </c>
      <c r="G2762" s="77" t="s">
        <v>5609</v>
      </c>
      <c r="H2762" s="14" t="s">
        <v>5601</v>
      </c>
      <c r="I2762" s="14" t="s">
        <v>2458</v>
      </c>
      <c r="J2762" s="33" t="s">
        <v>7110</v>
      </c>
      <c r="K2762" s="33" t="s">
        <v>6276</v>
      </c>
      <c r="L2762" s="53" t="s">
        <v>6054</v>
      </c>
      <c r="M2762" s="68" t="s">
        <v>8912</v>
      </c>
      <c r="N2762" s="53" t="s">
        <v>6061</v>
      </c>
      <c r="O2762" s="53">
        <v>55301</v>
      </c>
      <c r="P2762" s="198" t="s">
        <v>5772</v>
      </c>
    </row>
    <row r="2763" spans="1:16" ht="18.75" hidden="1">
      <c r="A2763" s="50" t="s">
        <v>6173</v>
      </c>
      <c r="B2763" s="50" t="s">
        <v>5379</v>
      </c>
      <c r="C2763" s="50" t="s">
        <v>5373</v>
      </c>
      <c r="D2763" s="50" t="s">
        <v>5367</v>
      </c>
      <c r="E2763" s="12" t="s">
        <v>4971</v>
      </c>
      <c r="F2763" s="49">
        <v>32890</v>
      </c>
      <c r="G2763" s="77" t="s">
        <v>5631</v>
      </c>
      <c r="H2763" s="14" t="s">
        <v>5601</v>
      </c>
      <c r="I2763" s="14" t="s">
        <v>2458</v>
      </c>
      <c r="J2763" s="33" t="s">
        <v>7110</v>
      </c>
      <c r="K2763" s="33" t="s">
        <v>6276</v>
      </c>
      <c r="L2763" s="53" t="s">
        <v>6054</v>
      </c>
      <c r="M2763" s="68" t="s">
        <v>8913</v>
      </c>
      <c r="N2763" s="53" t="s">
        <v>6061</v>
      </c>
      <c r="O2763" s="53">
        <v>55301</v>
      </c>
      <c r="P2763" s="197" t="s">
        <v>5789</v>
      </c>
    </row>
    <row r="2764" spans="1:16" ht="18.75" hidden="1">
      <c r="A2764" s="50" t="s">
        <v>6173</v>
      </c>
      <c r="B2764" s="50" t="s">
        <v>5379</v>
      </c>
      <c r="C2764" s="50" t="s">
        <v>5369</v>
      </c>
      <c r="D2764" s="50" t="s">
        <v>5231</v>
      </c>
      <c r="E2764" s="12" t="s">
        <v>4971</v>
      </c>
      <c r="F2764" s="49">
        <v>35730</v>
      </c>
      <c r="G2764" s="77" t="s">
        <v>5631</v>
      </c>
      <c r="H2764" s="14" t="s">
        <v>5601</v>
      </c>
      <c r="I2764" s="14" t="s">
        <v>2458</v>
      </c>
      <c r="J2764" s="33" t="s">
        <v>7110</v>
      </c>
      <c r="K2764" s="33" t="s">
        <v>6276</v>
      </c>
      <c r="L2764" s="53" t="s">
        <v>6054</v>
      </c>
      <c r="M2764" s="68" t="s">
        <v>8913</v>
      </c>
      <c r="N2764" s="53" t="s">
        <v>6061</v>
      </c>
      <c r="O2764" s="53">
        <v>55301</v>
      </c>
      <c r="P2764" s="197" t="s">
        <v>5803</v>
      </c>
    </row>
    <row r="2765" spans="1:16" ht="18.75" hidden="1">
      <c r="A2765" s="50" t="s">
        <v>6174</v>
      </c>
      <c r="B2765" s="50" t="s">
        <v>5379</v>
      </c>
      <c r="C2765" s="50" t="s">
        <v>5373</v>
      </c>
      <c r="D2765" s="50" t="s">
        <v>5367</v>
      </c>
      <c r="E2765" s="12" t="s">
        <v>4971</v>
      </c>
      <c r="F2765" s="49">
        <v>69830</v>
      </c>
      <c r="G2765" s="77" t="s">
        <v>5631</v>
      </c>
      <c r="H2765" s="14" t="s">
        <v>5601</v>
      </c>
      <c r="I2765" s="14" t="s">
        <v>2458</v>
      </c>
      <c r="J2765" s="33" t="s">
        <v>7110</v>
      </c>
      <c r="K2765" s="33" t="s">
        <v>6276</v>
      </c>
      <c r="L2765" s="53" t="s">
        <v>6054</v>
      </c>
      <c r="M2765" s="68" t="s">
        <v>8912</v>
      </c>
      <c r="N2765" s="53" t="s">
        <v>6061</v>
      </c>
      <c r="O2765" s="53">
        <v>55301</v>
      </c>
      <c r="P2765" s="197" t="s">
        <v>5789</v>
      </c>
    </row>
    <row r="2766" spans="1:16" ht="18.75" hidden="1">
      <c r="A2766" s="50" t="s">
        <v>6175</v>
      </c>
      <c r="B2766" s="50" t="s">
        <v>5299</v>
      </c>
      <c r="C2766" s="50" t="s">
        <v>5373</v>
      </c>
      <c r="D2766" s="50" t="s">
        <v>5367</v>
      </c>
      <c r="E2766" s="12" t="s">
        <v>4971</v>
      </c>
      <c r="F2766" s="49">
        <v>69860</v>
      </c>
      <c r="G2766" s="77" t="s">
        <v>5631</v>
      </c>
      <c r="H2766" s="14" t="s">
        <v>5601</v>
      </c>
      <c r="I2766" s="14" t="s">
        <v>2458</v>
      </c>
      <c r="J2766" s="33" t="s">
        <v>7110</v>
      </c>
      <c r="K2766" s="33" t="s">
        <v>6276</v>
      </c>
      <c r="L2766" s="53" t="s">
        <v>6054</v>
      </c>
      <c r="M2766" s="68" t="s">
        <v>8912</v>
      </c>
      <c r="N2766" s="53" t="s">
        <v>6061</v>
      </c>
      <c r="O2766" s="53">
        <v>55301</v>
      </c>
      <c r="P2766" s="197" t="s">
        <v>5789</v>
      </c>
    </row>
    <row r="2767" spans="1:16" ht="18.75" hidden="1">
      <c r="A2767" s="50" t="s">
        <v>6176</v>
      </c>
      <c r="B2767" s="50" t="s">
        <v>5364</v>
      </c>
      <c r="C2767" s="50" t="s">
        <v>5373</v>
      </c>
      <c r="D2767" s="50" t="s">
        <v>5367</v>
      </c>
      <c r="E2767" s="12" t="s">
        <v>4971</v>
      </c>
      <c r="F2767" s="49">
        <v>51720</v>
      </c>
      <c r="G2767" s="77" t="s">
        <v>5631</v>
      </c>
      <c r="H2767" s="14" t="s">
        <v>5601</v>
      </c>
      <c r="I2767" s="14" t="s">
        <v>2458</v>
      </c>
      <c r="J2767" s="33" t="s">
        <v>7110</v>
      </c>
      <c r="K2767" s="33" t="s">
        <v>6276</v>
      </c>
      <c r="L2767" s="53" t="s">
        <v>6054</v>
      </c>
      <c r="M2767" s="68" t="s">
        <v>8913</v>
      </c>
      <c r="N2767" s="53" t="s">
        <v>6061</v>
      </c>
      <c r="O2767" s="53">
        <v>55301</v>
      </c>
      <c r="P2767" s="197" t="s">
        <v>5789</v>
      </c>
    </row>
    <row r="2768" spans="1:16" ht="18.75" hidden="1">
      <c r="A2768" s="50" t="s">
        <v>6176</v>
      </c>
      <c r="B2768" s="50" t="s">
        <v>5364</v>
      </c>
      <c r="C2768" s="50" t="s">
        <v>5872</v>
      </c>
      <c r="D2768" s="50" t="s">
        <v>5231</v>
      </c>
      <c r="E2768" s="12" t="s">
        <v>4971</v>
      </c>
      <c r="F2768" s="49">
        <v>100000</v>
      </c>
      <c r="G2768" s="77" t="s">
        <v>5631</v>
      </c>
      <c r="H2768" s="14" t="s">
        <v>5601</v>
      </c>
      <c r="I2768" s="14" t="s">
        <v>2458</v>
      </c>
      <c r="J2768" s="33" t="s">
        <v>7110</v>
      </c>
      <c r="K2768" s="33" t="s">
        <v>6276</v>
      </c>
      <c r="L2768" s="53" t="s">
        <v>6054</v>
      </c>
      <c r="M2768" s="68" t="s">
        <v>8913</v>
      </c>
      <c r="N2768" s="53" t="s">
        <v>6061</v>
      </c>
      <c r="O2768" s="53">
        <v>55301</v>
      </c>
      <c r="P2768" s="197" t="s">
        <v>5807</v>
      </c>
    </row>
    <row r="2769" spans="1:16" ht="18.75" hidden="1">
      <c r="A2769" s="50" t="s">
        <v>6176</v>
      </c>
      <c r="B2769" s="50" t="s">
        <v>5364</v>
      </c>
      <c r="C2769" s="50" t="s">
        <v>5873</v>
      </c>
      <c r="D2769" s="50" t="s">
        <v>5368</v>
      </c>
      <c r="E2769" s="12" t="s">
        <v>4971</v>
      </c>
      <c r="F2769" s="49">
        <v>203500</v>
      </c>
      <c r="G2769" s="77" t="s">
        <v>5631</v>
      </c>
      <c r="H2769" s="14" t="s">
        <v>5601</v>
      </c>
      <c r="I2769" s="14" t="s">
        <v>2458</v>
      </c>
      <c r="J2769" s="33" t="s">
        <v>7110</v>
      </c>
      <c r="K2769" s="33" t="s">
        <v>6276</v>
      </c>
      <c r="L2769" s="53" t="s">
        <v>6054</v>
      </c>
      <c r="M2769" s="68" t="s">
        <v>8913</v>
      </c>
      <c r="N2769" s="53" t="s">
        <v>6061</v>
      </c>
      <c r="O2769" s="53">
        <v>55301</v>
      </c>
      <c r="P2769" s="197" t="s">
        <v>5807</v>
      </c>
    </row>
    <row r="2770" spans="1:16" ht="18.75" hidden="1">
      <c r="A2770" s="50" t="s">
        <v>6177</v>
      </c>
      <c r="B2770" s="50" t="s">
        <v>5364</v>
      </c>
      <c r="C2770" s="50" t="s">
        <v>5435</v>
      </c>
      <c r="D2770" s="50" t="s">
        <v>5367</v>
      </c>
      <c r="E2770" s="12" t="s">
        <v>4971</v>
      </c>
      <c r="F2770" s="49">
        <v>75090</v>
      </c>
      <c r="G2770" s="77" t="s">
        <v>5611</v>
      </c>
      <c r="H2770" s="14" t="s">
        <v>5601</v>
      </c>
      <c r="I2770" s="14" t="s">
        <v>2458</v>
      </c>
      <c r="J2770" s="33" t="s">
        <v>7110</v>
      </c>
      <c r="K2770" s="33" t="s">
        <v>6276</v>
      </c>
      <c r="L2770" s="53" t="s">
        <v>6054</v>
      </c>
      <c r="M2770" s="68" t="s">
        <v>8912</v>
      </c>
      <c r="N2770" s="53" t="s">
        <v>6061</v>
      </c>
      <c r="O2770" s="53">
        <v>55301</v>
      </c>
      <c r="P2770" s="198" t="s">
        <v>5799</v>
      </c>
    </row>
    <row r="2771" spans="1:16" ht="18.75" hidden="1">
      <c r="A2771" s="50" t="s">
        <v>6177</v>
      </c>
      <c r="B2771" s="50" t="s">
        <v>5364</v>
      </c>
      <c r="C2771" s="50" t="s">
        <v>5873</v>
      </c>
      <c r="D2771" s="50" t="s">
        <v>5368</v>
      </c>
      <c r="E2771" s="12" t="s">
        <v>4971</v>
      </c>
      <c r="F2771" s="49">
        <v>161500</v>
      </c>
      <c r="G2771" s="77" t="s">
        <v>5631</v>
      </c>
      <c r="H2771" s="14" t="s">
        <v>5601</v>
      </c>
      <c r="I2771" s="14" t="s">
        <v>2458</v>
      </c>
      <c r="J2771" s="33" t="s">
        <v>7110</v>
      </c>
      <c r="K2771" s="33" t="s">
        <v>6276</v>
      </c>
      <c r="L2771" s="53" t="s">
        <v>6054</v>
      </c>
      <c r="M2771" s="68" t="s">
        <v>8912</v>
      </c>
      <c r="N2771" s="53" t="s">
        <v>6061</v>
      </c>
      <c r="O2771" s="53">
        <v>55301</v>
      </c>
      <c r="P2771" s="197" t="s">
        <v>5807</v>
      </c>
    </row>
    <row r="2772" spans="1:16" ht="18.75" hidden="1">
      <c r="A2772" s="50" t="s">
        <v>6178</v>
      </c>
      <c r="B2772" s="50" t="s">
        <v>5415</v>
      </c>
      <c r="C2772" s="50" t="s">
        <v>4504</v>
      </c>
      <c r="D2772" s="50" t="s">
        <v>4178</v>
      </c>
      <c r="E2772" s="12" t="s">
        <v>3420</v>
      </c>
      <c r="F2772" s="49">
        <v>72060</v>
      </c>
      <c r="G2772" s="77" t="s">
        <v>5699</v>
      </c>
      <c r="H2772" s="14" t="s">
        <v>5601</v>
      </c>
      <c r="I2772" s="14" t="s">
        <v>2458</v>
      </c>
      <c r="J2772" s="33" t="s">
        <v>7110</v>
      </c>
      <c r="K2772" s="33" t="s">
        <v>6276</v>
      </c>
      <c r="L2772" s="53" t="s">
        <v>6054</v>
      </c>
      <c r="M2772" s="68" t="s">
        <v>8912</v>
      </c>
      <c r="N2772" s="53" t="s">
        <v>6061</v>
      </c>
      <c r="O2772" s="53">
        <v>55301</v>
      </c>
      <c r="P2772" s="198" t="s">
        <v>5715</v>
      </c>
    </row>
    <row r="2773" spans="1:16" ht="18.75" hidden="1">
      <c r="A2773" s="50" t="s">
        <v>6179</v>
      </c>
      <c r="B2773" s="50" t="s">
        <v>5566</v>
      </c>
      <c r="C2773" s="50" t="s">
        <v>5938</v>
      </c>
      <c r="D2773" s="50" t="s">
        <v>5481</v>
      </c>
      <c r="E2773" s="12" t="s">
        <v>4971</v>
      </c>
      <c r="F2773" s="49">
        <v>494780</v>
      </c>
      <c r="G2773" s="77" t="s">
        <v>5647</v>
      </c>
      <c r="H2773" s="14" t="s">
        <v>5601</v>
      </c>
      <c r="I2773" s="14" t="s">
        <v>2458</v>
      </c>
      <c r="J2773" s="33" t="s">
        <v>7110</v>
      </c>
      <c r="K2773" s="33" t="s">
        <v>6276</v>
      </c>
      <c r="L2773" s="53" t="s">
        <v>6054</v>
      </c>
      <c r="M2773" s="68" t="s">
        <v>8913</v>
      </c>
      <c r="N2773" s="53" t="s">
        <v>6061</v>
      </c>
      <c r="O2773" s="53">
        <v>55301</v>
      </c>
      <c r="P2773" s="198" t="s">
        <v>5825</v>
      </c>
    </row>
    <row r="2774" spans="1:16" ht="18.75" hidden="1">
      <c r="A2774" s="50" t="s">
        <v>6179</v>
      </c>
      <c r="B2774" s="50" t="s">
        <v>5566</v>
      </c>
      <c r="C2774" s="50" t="s">
        <v>5599</v>
      </c>
      <c r="D2774" s="50" t="s">
        <v>5482</v>
      </c>
      <c r="E2774" s="12" t="s">
        <v>4971</v>
      </c>
      <c r="F2774" s="49">
        <v>40580</v>
      </c>
      <c r="G2774" s="77" t="s">
        <v>5611</v>
      </c>
      <c r="H2774" s="14" t="s">
        <v>5601</v>
      </c>
      <c r="I2774" s="14" t="s">
        <v>2458</v>
      </c>
      <c r="J2774" s="33" t="s">
        <v>7110</v>
      </c>
      <c r="K2774" s="33" t="s">
        <v>6276</v>
      </c>
      <c r="L2774" s="53" t="s">
        <v>6054</v>
      </c>
      <c r="M2774" s="68" t="s">
        <v>8913</v>
      </c>
      <c r="N2774" s="53" t="s">
        <v>6061</v>
      </c>
      <c r="O2774" s="53">
        <v>55301</v>
      </c>
      <c r="P2774" s="198" t="s">
        <v>5813</v>
      </c>
    </row>
    <row r="2775" spans="1:16" ht="18.75" hidden="1">
      <c r="A2775" s="50" t="s">
        <v>6180</v>
      </c>
      <c r="B2775" s="50" t="s">
        <v>5840</v>
      </c>
      <c r="C2775" s="50" t="s">
        <v>5593</v>
      </c>
      <c r="D2775" s="50" t="s">
        <v>5565</v>
      </c>
      <c r="E2775" s="12" t="s">
        <v>4971</v>
      </c>
      <c r="F2775" s="49">
        <v>25370</v>
      </c>
      <c r="G2775" s="77" t="s">
        <v>5611</v>
      </c>
      <c r="H2775" s="14" t="s">
        <v>5601</v>
      </c>
      <c r="I2775" s="14" t="s">
        <v>2458</v>
      </c>
      <c r="J2775" s="33" t="s">
        <v>7110</v>
      </c>
      <c r="K2775" s="33" t="s">
        <v>6276</v>
      </c>
      <c r="L2775" s="53" t="s">
        <v>6054</v>
      </c>
      <c r="M2775" s="68" t="s">
        <v>8912</v>
      </c>
      <c r="N2775" s="53" t="s">
        <v>6285</v>
      </c>
      <c r="O2775" s="53">
        <v>55200</v>
      </c>
      <c r="P2775" s="198" t="s">
        <v>5810</v>
      </c>
    </row>
    <row r="2776" spans="1:16" ht="18.75" hidden="1">
      <c r="A2776" s="50" t="s">
        <v>6181</v>
      </c>
      <c r="B2776" s="50" t="s">
        <v>5849</v>
      </c>
      <c r="C2776" s="50" t="s">
        <v>5932</v>
      </c>
      <c r="D2776" s="50" t="s">
        <v>5460</v>
      </c>
      <c r="E2776" s="12" t="s">
        <v>4971</v>
      </c>
      <c r="F2776" s="49">
        <v>47840</v>
      </c>
      <c r="G2776" s="77" t="s">
        <v>5631</v>
      </c>
      <c r="H2776" s="14" t="s">
        <v>5601</v>
      </c>
      <c r="I2776" s="14" t="s">
        <v>2458</v>
      </c>
      <c r="J2776" s="33" t="s">
        <v>7110</v>
      </c>
      <c r="K2776" s="33" t="s">
        <v>6276</v>
      </c>
      <c r="L2776" s="53" t="s">
        <v>6054</v>
      </c>
      <c r="M2776" s="68" t="s">
        <v>8912</v>
      </c>
      <c r="N2776" s="53" t="s">
        <v>6285</v>
      </c>
      <c r="O2776" s="53">
        <v>55200</v>
      </c>
      <c r="P2776" s="197" t="s">
        <v>5819</v>
      </c>
    </row>
    <row r="2777" spans="1:16" ht="18.75" hidden="1">
      <c r="A2777" s="50" t="s">
        <v>6182</v>
      </c>
      <c r="B2777" s="50" t="s">
        <v>5846</v>
      </c>
      <c r="C2777" s="50" t="s">
        <v>5578</v>
      </c>
      <c r="D2777" s="50" t="s">
        <v>5561</v>
      </c>
      <c r="E2777" s="12" t="s">
        <v>4971</v>
      </c>
      <c r="F2777" s="49">
        <v>50190</v>
      </c>
      <c r="G2777" s="77" t="s">
        <v>5611</v>
      </c>
      <c r="H2777" s="14" t="s">
        <v>5601</v>
      </c>
      <c r="I2777" s="14" t="s">
        <v>2458</v>
      </c>
      <c r="J2777" s="33" t="s">
        <v>7110</v>
      </c>
      <c r="K2777" s="33" t="s">
        <v>6276</v>
      </c>
      <c r="L2777" s="53" t="s">
        <v>6054</v>
      </c>
      <c r="M2777" s="68" t="s">
        <v>8912</v>
      </c>
      <c r="N2777" s="53" t="s">
        <v>6285</v>
      </c>
      <c r="O2777" s="53">
        <v>55200</v>
      </c>
      <c r="P2777" s="198" t="s">
        <v>5813</v>
      </c>
    </row>
    <row r="2778" spans="1:16" ht="18.75" hidden="1">
      <c r="A2778" s="50" t="s">
        <v>6182</v>
      </c>
      <c r="B2778" s="50" t="s">
        <v>5846</v>
      </c>
      <c r="C2778" s="50" t="s">
        <v>5905</v>
      </c>
      <c r="D2778" s="50" t="s">
        <v>5478</v>
      </c>
      <c r="E2778" s="12" t="s">
        <v>4971</v>
      </c>
      <c r="F2778" s="49">
        <v>19290</v>
      </c>
      <c r="G2778" s="77" t="s">
        <v>5611</v>
      </c>
      <c r="H2778" s="14" t="s">
        <v>5601</v>
      </c>
      <c r="I2778" s="14" t="s">
        <v>2458</v>
      </c>
      <c r="J2778" s="33" t="s">
        <v>7110</v>
      </c>
      <c r="K2778" s="33" t="s">
        <v>6276</v>
      </c>
      <c r="L2778" s="53" t="s">
        <v>6054</v>
      </c>
      <c r="M2778" s="68" t="s">
        <v>8912</v>
      </c>
      <c r="N2778" s="53" t="s">
        <v>6285</v>
      </c>
      <c r="O2778" s="53">
        <v>55200</v>
      </c>
      <c r="P2778" s="198" t="s">
        <v>5813</v>
      </c>
    </row>
    <row r="2779" spans="1:16" ht="18.75" hidden="1">
      <c r="A2779" s="50" t="s">
        <v>6183</v>
      </c>
      <c r="B2779" s="50" t="s">
        <v>5850</v>
      </c>
      <c r="C2779" s="50" t="s">
        <v>6018</v>
      </c>
      <c r="D2779" s="50" t="s">
        <v>5600</v>
      </c>
      <c r="E2779" s="12" t="s">
        <v>4971</v>
      </c>
      <c r="F2779" s="49">
        <v>47040</v>
      </c>
      <c r="G2779" s="77" t="s">
        <v>5647</v>
      </c>
      <c r="H2779" s="14" t="s">
        <v>5601</v>
      </c>
      <c r="I2779" s="14" t="s">
        <v>2458</v>
      </c>
      <c r="J2779" s="33" t="s">
        <v>7110</v>
      </c>
      <c r="K2779" s="33" t="s">
        <v>6276</v>
      </c>
      <c r="L2779" s="53" t="s">
        <v>6054</v>
      </c>
      <c r="M2779" s="68" t="s">
        <v>8912</v>
      </c>
      <c r="N2779" s="53" t="s">
        <v>6076</v>
      </c>
      <c r="O2779" s="53">
        <v>55301</v>
      </c>
      <c r="P2779" s="198" t="s">
        <v>5838</v>
      </c>
    </row>
    <row r="2780" spans="1:16" ht="18.75" hidden="1">
      <c r="A2780" s="50" t="s">
        <v>6184</v>
      </c>
      <c r="B2780" s="50" t="s">
        <v>5848</v>
      </c>
      <c r="C2780" s="50" t="s">
        <v>5932</v>
      </c>
      <c r="D2780" s="50" t="s">
        <v>5460</v>
      </c>
      <c r="E2780" s="12" t="s">
        <v>4971</v>
      </c>
      <c r="F2780" s="49">
        <v>166770</v>
      </c>
      <c r="G2780" s="77" t="s">
        <v>5631</v>
      </c>
      <c r="H2780" s="14" t="s">
        <v>5601</v>
      </c>
      <c r="I2780" s="14" t="s">
        <v>2458</v>
      </c>
      <c r="J2780" s="33" t="s">
        <v>7110</v>
      </c>
      <c r="K2780" s="33" t="s">
        <v>6276</v>
      </c>
      <c r="L2780" s="53" t="s">
        <v>6054</v>
      </c>
      <c r="M2780" s="68" t="s">
        <v>8912</v>
      </c>
      <c r="N2780" s="53" t="s">
        <v>6076</v>
      </c>
      <c r="O2780" s="53">
        <v>55301</v>
      </c>
      <c r="P2780" s="197" t="s">
        <v>5819</v>
      </c>
    </row>
    <row r="2781" spans="1:16" ht="18.75" hidden="1">
      <c r="A2781" s="50" t="s">
        <v>6184</v>
      </c>
      <c r="B2781" s="50" t="s">
        <v>5848</v>
      </c>
      <c r="C2781" s="50" t="s">
        <v>5967</v>
      </c>
      <c r="D2781" s="50" t="s">
        <v>5832</v>
      </c>
      <c r="E2781" s="12" t="s">
        <v>4971</v>
      </c>
      <c r="F2781" s="49">
        <v>23950</v>
      </c>
      <c r="G2781" s="77" t="s">
        <v>5631</v>
      </c>
      <c r="H2781" s="14" t="s">
        <v>5601</v>
      </c>
      <c r="I2781" s="14" t="s">
        <v>2458</v>
      </c>
      <c r="J2781" s="33" t="s">
        <v>7110</v>
      </c>
      <c r="K2781" s="33" t="s">
        <v>6276</v>
      </c>
      <c r="L2781" s="53" t="s">
        <v>6054</v>
      </c>
      <c r="M2781" s="68" t="s">
        <v>8912</v>
      </c>
      <c r="N2781" s="53" t="s">
        <v>6076</v>
      </c>
      <c r="O2781" s="53">
        <v>55301</v>
      </c>
      <c r="P2781" s="197" t="s">
        <v>5807</v>
      </c>
    </row>
    <row r="2782" spans="1:16" ht="18.75" hidden="1">
      <c r="A2782" s="50" t="s">
        <v>6185</v>
      </c>
      <c r="B2782" s="50" t="s">
        <v>5848</v>
      </c>
      <c r="C2782" s="50" t="s">
        <v>5946</v>
      </c>
      <c r="D2782" s="50" t="s">
        <v>5480</v>
      </c>
      <c r="E2782" s="12" t="s">
        <v>4971</v>
      </c>
      <c r="F2782" s="49">
        <v>175000</v>
      </c>
      <c r="G2782" s="77" t="s">
        <v>5611</v>
      </c>
      <c r="H2782" s="14" t="s">
        <v>5601</v>
      </c>
      <c r="I2782" s="14" t="s">
        <v>2458</v>
      </c>
      <c r="J2782" s="33" t="s">
        <v>7110</v>
      </c>
      <c r="K2782" s="33" t="s">
        <v>6276</v>
      </c>
      <c r="L2782" s="53" t="s">
        <v>6054</v>
      </c>
      <c r="M2782" s="68" t="s">
        <v>8913</v>
      </c>
      <c r="N2782" s="53" t="s">
        <v>6076</v>
      </c>
      <c r="O2782" s="53">
        <v>55301</v>
      </c>
      <c r="P2782" s="198" t="s">
        <v>5826</v>
      </c>
    </row>
    <row r="2783" spans="1:16" ht="18.75" hidden="1">
      <c r="A2783" s="50" t="s">
        <v>6186</v>
      </c>
      <c r="B2783" s="50" t="s">
        <v>6248</v>
      </c>
      <c r="C2783" s="50" t="s">
        <v>5960</v>
      </c>
      <c r="D2783" s="50" t="s">
        <v>5830</v>
      </c>
      <c r="E2783" s="12" t="s">
        <v>4971</v>
      </c>
      <c r="F2783" s="49">
        <v>73000</v>
      </c>
      <c r="G2783" s="77" t="s">
        <v>5631</v>
      </c>
      <c r="H2783" s="14" t="s">
        <v>5601</v>
      </c>
      <c r="I2783" s="14" t="s">
        <v>2458</v>
      </c>
      <c r="J2783" s="33" t="s">
        <v>7110</v>
      </c>
      <c r="K2783" s="33" t="s">
        <v>6276</v>
      </c>
      <c r="L2783" s="53" t="s">
        <v>6054</v>
      </c>
      <c r="M2783" s="68" t="s">
        <v>8913</v>
      </c>
      <c r="N2783" s="53" t="s">
        <v>6076</v>
      </c>
      <c r="O2783" s="53">
        <v>55301</v>
      </c>
      <c r="P2783" s="197" t="s">
        <v>5807</v>
      </c>
    </row>
    <row r="2784" spans="1:16" ht="18.75" hidden="1">
      <c r="A2784" s="50" t="s">
        <v>6187</v>
      </c>
      <c r="B2784" s="50" t="s">
        <v>5849</v>
      </c>
      <c r="C2784" s="50" t="s">
        <v>5940</v>
      </c>
      <c r="D2784" s="50" t="s">
        <v>5481</v>
      </c>
      <c r="E2784" s="12" t="s">
        <v>4971</v>
      </c>
      <c r="F2784" s="49">
        <v>33260</v>
      </c>
      <c r="G2784" s="77" t="s">
        <v>5611</v>
      </c>
      <c r="H2784" s="14" t="s">
        <v>5601</v>
      </c>
      <c r="I2784" s="14" t="s">
        <v>2458</v>
      </c>
      <c r="J2784" s="33" t="s">
        <v>7110</v>
      </c>
      <c r="K2784" s="33" t="s">
        <v>6276</v>
      </c>
      <c r="L2784" s="53" t="s">
        <v>6054</v>
      </c>
      <c r="M2784" s="68" t="s">
        <v>8913</v>
      </c>
      <c r="N2784" s="53" t="s">
        <v>6076</v>
      </c>
      <c r="O2784" s="53">
        <v>55301</v>
      </c>
      <c r="P2784" s="198" t="s">
        <v>5814</v>
      </c>
    </row>
    <row r="2785" spans="1:16" ht="18.75" hidden="1">
      <c r="A2785" s="50" t="s">
        <v>6188</v>
      </c>
      <c r="B2785" s="50" t="s">
        <v>5857</v>
      </c>
      <c r="C2785" s="50" t="s">
        <v>6016</v>
      </c>
      <c r="D2785" s="50" t="s">
        <v>5600</v>
      </c>
      <c r="E2785" s="12" t="s">
        <v>4971</v>
      </c>
      <c r="F2785" s="49">
        <v>48000</v>
      </c>
      <c r="G2785" s="77" t="s">
        <v>5611</v>
      </c>
      <c r="H2785" s="14" t="s">
        <v>5601</v>
      </c>
      <c r="I2785" s="14" t="s">
        <v>2458</v>
      </c>
      <c r="J2785" s="33" t="s">
        <v>7110</v>
      </c>
      <c r="K2785" s="33" t="s">
        <v>6276</v>
      </c>
      <c r="L2785" s="53" t="s">
        <v>6054</v>
      </c>
      <c r="M2785" s="68" t="s">
        <v>8912</v>
      </c>
      <c r="N2785" s="53" t="s">
        <v>6285</v>
      </c>
      <c r="O2785" s="53">
        <v>55200</v>
      </c>
      <c r="P2785" s="198" t="s">
        <v>5831</v>
      </c>
    </row>
    <row r="2786" spans="1:16" ht="18.75" hidden="1">
      <c r="A2786" s="50" t="s">
        <v>6186</v>
      </c>
      <c r="B2786" s="50" t="s">
        <v>6248</v>
      </c>
      <c r="C2786" s="50" t="s">
        <v>5959</v>
      </c>
      <c r="D2786" s="50" t="s">
        <v>5830</v>
      </c>
      <c r="E2786" s="12" t="s">
        <v>4971</v>
      </c>
      <c r="F2786" s="49">
        <v>103520</v>
      </c>
      <c r="G2786" s="77" t="s">
        <v>5631</v>
      </c>
      <c r="H2786" s="14" t="s">
        <v>5601</v>
      </c>
      <c r="I2786" s="14" t="s">
        <v>2458</v>
      </c>
      <c r="J2786" s="33" t="s">
        <v>7110</v>
      </c>
      <c r="K2786" s="33" t="s">
        <v>6276</v>
      </c>
      <c r="L2786" s="53" t="s">
        <v>6054</v>
      </c>
      <c r="M2786" s="68" t="s">
        <v>8913</v>
      </c>
      <c r="N2786" s="53" t="s">
        <v>6076</v>
      </c>
      <c r="O2786" s="53">
        <v>55301</v>
      </c>
      <c r="P2786" s="197" t="s">
        <v>5807</v>
      </c>
    </row>
    <row r="2787" spans="1:16" ht="18.75" hidden="1">
      <c r="A2787" s="50" t="s">
        <v>6189</v>
      </c>
      <c r="B2787" s="50" t="s">
        <v>5857</v>
      </c>
      <c r="C2787" s="50" t="s">
        <v>6026</v>
      </c>
      <c r="D2787" s="50" t="s">
        <v>5848</v>
      </c>
      <c r="E2787" s="12" t="s">
        <v>4971</v>
      </c>
      <c r="F2787" s="49">
        <v>190140</v>
      </c>
      <c r="G2787" s="77" t="s">
        <v>5647</v>
      </c>
      <c r="H2787" s="14" t="s">
        <v>5601</v>
      </c>
      <c r="I2787" s="14" t="s">
        <v>2458</v>
      </c>
      <c r="J2787" s="33" t="s">
        <v>7110</v>
      </c>
      <c r="K2787" s="33" t="s">
        <v>6276</v>
      </c>
      <c r="L2787" s="53" t="s">
        <v>6054</v>
      </c>
      <c r="M2787" s="68" t="s">
        <v>8913</v>
      </c>
      <c r="N2787" s="53" t="s">
        <v>6076</v>
      </c>
      <c r="O2787" s="53">
        <v>55301</v>
      </c>
      <c r="P2787" s="198" t="s">
        <v>5847</v>
      </c>
    </row>
    <row r="2788" spans="1:16" ht="18.75" hidden="1">
      <c r="A2788" s="50" t="s">
        <v>6190</v>
      </c>
      <c r="B2788" s="50" t="s">
        <v>5600</v>
      </c>
      <c r="C2788" s="50" t="s">
        <v>5994</v>
      </c>
      <c r="D2788" s="50" t="s">
        <v>5839</v>
      </c>
      <c r="E2788" s="12" t="s">
        <v>4971</v>
      </c>
      <c r="F2788" s="49">
        <v>68020</v>
      </c>
      <c r="G2788" s="77" t="s">
        <v>5647</v>
      </c>
      <c r="H2788" s="14" t="s">
        <v>5601</v>
      </c>
      <c r="I2788" s="14" t="s">
        <v>2458</v>
      </c>
      <c r="J2788" s="33" t="s">
        <v>7110</v>
      </c>
      <c r="K2788" s="33" t="s">
        <v>6276</v>
      </c>
      <c r="L2788" s="53" t="s">
        <v>6054</v>
      </c>
      <c r="M2788" s="68" t="s">
        <v>8913</v>
      </c>
      <c r="N2788" s="53" t="s">
        <v>6076</v>
      </c>
      <c r="O2788" s="53">
        <v>55301</v>
      </c>
      <c r="P2788" s="198" t="s">
        <v>5838</v>
      </c>
    </row>
    <row r="2789" spans="1:16" ht="18.75" hidden="1">
      <c r="A2789" s="50" t="s">
        <v>6182</v>
      </c>
      <c r="B2789" s="50" t="s">
        <v>5846</v>
      </c>
      <c r="C2789" s="50" t="s">
        <v>5927</v>
      </c>
      <c r="D2789" s="50" t="s">
        <v>5479</v>
      </c>
      <c r="E2789" s="12" t="s">
        <v>4971</v>
      </c>
      <c r="F2789" s="49">
        <v>25500</v>
      </c>
      <c r="G2789" s="77" t="s">
        <v>5611</v>
      </c>
      <c r="H2789" s="14" t="s">
        <v>5601</v>
      </c>
      <c r="I2789" s="14" t="s">
        <v>2458</v>
      </c>
      <c r="J2789" s="33" t="s">
        <v>7110</v>
      </c>
      <c r="K2789" s="33" t="s">
        <v>6276</v>
      </c>
      <c r="L2789" s="53" t="s">
        <v>6054</v>
      </c>
      <c r="M2789" s="68" t="s">
        <v>8912</v>
      </c>
      <c r="N2789" s="53" t="s">
        <v>6285</v>
      </c>
      <c r="O2789" s="53">
        <v>55200</v>
      </c>
      <c r="P2789" s="198" t="s">
        <v>5813</v>
      </c>
    </row>
    <row r="2790" spans="1:16" ht="18.75" hidden="1">
      <c r="A2790" s="50" t="s">
        <v>6182</v>
      </c>
      <c r="B2790" s="50" t="s">
        <v>5846</v>
      </c>
      <c r="C2790" s="50" t="s">
        <v>5593</v>
      </c>
      <c r="D2790" s="50" t="s">
        <v>5565</v>
      </c>
      <c r="E2790" s="12" t="s">
        <v>4971</v>
      </c>
      <c r="F2790" s="49">
        <v>57090</v>
      </c>
      <c r="G2790" s="77" t="s">
        <v>5611</v>
      </c>
      <c r="H2790" s="14" t="s">
        <v>5601</v>
      </c>
      <c r="I2790" s="14" t="s">
        <v>2458</v>
      </c>
      <c r="J2790" s="33" t="s">
        <v>7110</v>
      </c>
      <c r="K2790" s="33" t="s">
        <v>6276</v>
      </c>
      <c r="L2790" s="53" t="s">
        <v>6054</v>
      </c>
      <c r="M2790" s="68" t="s">
        <v>8912</v>
      </c>
      <c r="N2790" s="53" t="s">
        <v>6285</v>
      </c>
      <c r="O2790" s="53">
        <v>55200</v>
      </c>
      <c r="P2790" s="198" t="s">
        <v>5810</v>
      </c>
    </row>
    <row r="2791" spans="1:16" ht="18.75" hidden="1">
      <c r="A2791" s="50" t="s">
        <v>6191</v>
      </c>
      <c r="B2791" s="50" t="s">
        <v>6246</v>
      </c>
      <c r="C2791" s="50" t="s">
        <v>6272</v>
      </c>
      <c r="D2791" s="50" t="s">
        <v>6249</v>
      </c>
      <c r="E2791" s="12" t="s">
        <v>4971</v>
      </c>
      <c r="F2791" s="49">
        <v>30220</v>
      </c>
      <c r="G2791" s="77" t="s">
        <v>5647</v>
      </c>
      <c r="H2791" s="14" t="s">
        <v>5601</v>
      </c>
      <c r="I2791" s="14" t="s">
        <v>2458</v>
      </c>
      <c r="J2791" s="33" t="s">
        <v>7110</v>
      </c>
      <c r="K2791" s="33" t="s">
        <v>6276</v>
      </c>
      <c r="L2791" s="53" t="s">
        <v>6054</v>
      </c>
      <c r="M2791" s="68" t="s">
        <v>8913</v>
      </c>
      <c r="N2791" s="53" t="s">
        <v>6076</v>
      </c>
      <c r="O2791" s="53">
        <v>55301</v>
      </c>
      <c r="P2791" s="198" t="s">
        <v>7258</v>
      </c>
    </row>
    <row r="2792" spans="1:16" ht="18.75" hidden="1">
      <c r="A2792" s="50" t="s">
        <v>6191</v>
      </c>
      <c r="B2792" s="50" t="s">
        <v>6246</v>
      </c>
      <c r="C2792" s="50" t="s">
        <v>6273</v>
      </c>
      <c r="D2792" s="50" t="s">
        <v>6248</v>
      </c>
      <c r="E2792" s="12" t="s">
        <v>4971</v>
      </c>
      <c r="F2792" s="49">
        <v>235480</v>
      </c>
      <c r="G2792" s="77" t="s">
        <v>5611</v>
      </c>
      <c r="H2792" s="14" t="s">
        <v>5601</v>
      </c>
      <c r="I2792" s="14" t="s">
        <v>2458</v>
      </c>
      <c r="J2792" s="33" t="s">
        <v>7110</v>
      </c>
      <c r="K2792" s="33" t="s">
        <v>6276</v>
      </c>
      <c r="L2792" s="53" t="s">
        <v>6054</v>
      </c>
      <c r="M2792" s="68" t="s">
        <v>8913</v>
      </c>
      <c r="N2792" s="53" t="s">
        <v>6076</v>
      </c>
      <c r="O2792" s="53">
        <v>55301</v>
      </c>
      <c r="P2792" s="198" t="s">
        <v>5831</v>
      </c>
    </row>
    <row r="2793" spans="1:16" ht="18.75" hidden="1">
      <c r="A2793" s="50" t="s">
        <v>6185</v>
      </c>
      <c r="B2793" s="50" t="s">
        <v>5848</v>
      </c>
      <c r="C2793" s="50" t="s">
        <v>5952</v>
      </c>
      <c r="D2793" s="50" t="s">
        <v>5566</v>
      </c>
      <c r="E2793" s="12" t="s">
        <v>4971</v>
      </c>
      <c r="F2793" s="49">
        <v>113110</v>
      </c>
      <c r="G2793" s="77" t="s">
        <v>5611</v>
      </c>
      <c r="H2793" s="14" t="s">
        <v>5601</v>
      </c>
      <c r="I2793" s="14" t="s">
        <v>2458</v>
      </c>
      <c r="J2793" s="33" t="s">
        <v>7110</v>
      </c>
      <c r="K2793" s="33" t="s">
        <v>6276</v>
      </c>
      <c r="L2793" s="53" t="s">
        <v>6054</v>
      </c>
      <c r="M2793" s="68" t="s">
        <v>8913</v>
      </c>
      <c r="N2793" s="53" t="s">
        <v>6076</v>
      </c>
      <c r="O2793" s="53">
        <v>55301</v>
      </c>
      <c r="P2793" s="198" t="s">
        <v>5826</v>
      </c>
    </row>
    <row r="2794" spans="1:16" ht="18.75" hidden="1">
      <c r="A2794" s="50" t="s">
        <v>6192</v>
      </c>
      <c r="B2794" s="50" t="s">
        <v>6249</v>
      </c>
      <c r="C2794" s="50" t="s">
        <v>6031</v>
      </c>
      <c r="D2794" s="50" t="s">
        <v>5850</v>
      </c>
      <c r="E2794" s="12" t="s">
        <v>4971</v>
      </c>
      <c r="F2794" s="49">
        <v>45380</v>
      </c>
      <c r="G2794" s="77" t="s">
        <v>5647</v>
      </c>
      <c r="H2794" s="14" t="s">
        <v>5601</v>
      </c>
      <c r="I2794" s="14" t="s">
        <v>2458</v>
      </c>
      <c r="J2794" s="33" t="s">
        <v>7110</v>
      </c>
      <c r="K2794" s="33" t="s">
        <v>6276</v>
      </c>
      <c r="L2794" s="53" t="s">
        <v>6054</v>
      </c>
      <c r="M2794" s="68" t="s">
        <v>8913</v>
      </c>
      <c r="N2794" s="53" t="s">
        <v>6076</v>
      </c>
      <c r="O2794" s="53">
        <v>55301</v>
      </c>
      <c r="P2794" s="198" t="s">
        <v>5851</v>
      </c>
    </row>
    <row r="2795" spans="1:16" ht="18.75" hidden="1">
      <c r="A2795" s="50" t="s">
        <v>6193</v>
      </c>
      <c r="B2795" s="50" t="s">
        <v>5843</v>
      </c>
      <c r="C2795" s="50" t="s">
        <v>5575</v>
      </c>
      <c r="D2795" s="50" t="s">
        <v>4881</v>
      </c>
      <c r="E2795" s="12" t="s">
        <v>4971</v>
      </c>
      <c r="F2795" s="49">
        <v>73980</v>
      </c>
      <c r="G2795" s="77" t="s">
        <v>5609</v>
      </c>
      <c r="H2795" s="14" t="s">
        <v>5601</v>
      </c>
      <c r="I2795" s="14" t="s">
        <v>2458</v>
      </c>
      <c r="J2795" s="33" t="s">
        <v>7110</v>
      </c>
      <c r="K2795" s="33" t="s">
        <v>6276</v>
      </c>
      <c r="L2795" s="53" t="s">
        <v>6054</v>
      </c>
      <c r="M2795" s="68" t="s">
        <v>8912</v>
      </c>
      <c r="N2795" s="53" t="s">
        <v>6285</v>
      </c>
      <c r="O2795" s="53">
        <v>55200</v>
      </c>
      <c r="P2795" s="198" t="s">
        <v>5768</v>
      </c>
    </row>
    <row r="2796" spans="1:16" ht="18.75" hidden="1">
      <c r="A2796" s="50" t="s">
        <v>6187</v>
      </c>
      <c r="B2796" s="50" t="s">
        <v>5849</v>
      </c>
      <c r="C2796" s="50" t="s">
        <v>5913</v>
      </c>
      <c r="D2796" s="50" t="s">
        <v>5560</v>
      </c>
      <c r="E2796" s="12" t="s">
        <v>4971</v>
      </c>
      <c r="F2796" s="49">
        <v>270060</v>
      </c>
      <c r="G2796" s="77" t="s">
        <v>5611</v>
      </c>
      <c r="H2796" s="14" t="s">
        <v>5601</v>
      </c>
      <c r="I2796" s="14" t="s">
        <v>2458</v>
      </c>
      <c r="J2796" s="33" t="s">
        <v>7110</v>
      </c>
      <c r="K2796" s="33" t="s">
        <v>6276</v>
      </c>
      <c r="L2796" s="53" t="s">
        <v>6054</v>
      </c>
      <c r="M2796" s="68" t="s">
        <v>8913</v>
      </c>
      <c r="N2796" s="53" t="s">
        <v>6076</v>
      </c>
      <c r="O2796" s="53">
        <v>55301</v>
      </c>
      <c r="P2796" s="198" t="s">
        <v>5813</v>
      </c>
    </row>
    <row r="2797" spans="1:16" ht="18.75" hidden="1">
      <c r="A2797" s="50" t="s">
        <v>6194</v>
      </c>
      <c r="B2797" s="50" t="s">
        <v>6249</v>
      </c>
      <c r="C2797" s="50" t="s">
        <v>5890</v>
      </c>
      <c r="D2797" s="50" t="s">
        <v>5564</v>
      </c>
      <c r="E2797" s="12" t="s">
        <v>4971</v>
      </c>
      <c r="F2797" s="49">
        <v>75890</v>
      </c>
      <c r="G2797" s="77" t="s">
        <v>5609</v>
      </c>
      <c r="H2797" s="14" t="s">
        <v>5601</v>
      </c>
      <c r="I2797" s="14" t="s">
        <v>2458</v>
      </c>
      <c r="J2797" s="33" t="s">
        <v>7110</v>
      </c>
      <c r="K2797" s="33" t="s">
        <v>6276</v>
      </c>
      <c r="L2797" s="53" t="s">
        <v>6054</v>
      </c>
      <c r="M2797" s="68" t="s">
        <v>8912</v>
      </c>
      <c r="N2797" s="53" t="s">
        <v>6285</v>
      </c>
      <c r="O2797" s="53">
        <v>55200</v>
      </c>
      <c r="P2797" s="198" t="s">
        <v>5816</v>
      </c>
    </row>
    <row r="2798" spans="1:16" ht="18.75" hidden="1">
      <c r="A2798" s="50" t="s">
        <v>6186</v>
      </c>
      <c r="B2798" s="50" t="s">
        <v>6248</v>
      </c>
      <c r="C2798" s="50" t="s">
        <v>6031</v>
      </c>
      <c r="D2798" s="50" t="s">
        <v>5850</v>
      </c>
      <c r="E2798" s="12" t="s">
        <v>4971</v>
      </c>
      <c r="F2798" s="49">
        <v>83240</v>
      </c>
      <c r="G2798" s="77" t="s">
        <v>5647</v>
      </c>
      <c r="H2798" s="14" t="s">
        <v>5601</v>
      </c>
      <c r="I2798" s="14" t="s">
        <v>2458</v>
      </c>
      <c r="J2798" s="33" t="s">
        <v>7110</v>
      </c>
      <c r="K2798" s="33" t="s">
        <v>6276</v>
      </c>
      <c r="L2798" s="53" t="s">
        <v>6054</v>
      </c>
      <c r="M2798" s="68" t="s">
        <v>8913</v>
      </c>
      <c r="N2798" s="53" t="s">
        <v>6076</v>
      </c>
      <c r="O2798" s="53">
        <v>55301</v>
      </c>
      <c r="P2798" s="198" t="s">
        <v>5851</v>
      </c>
    </row>
    <row r="2799" spans="1:16" ht="18.75" hidden="1">
      <c r="A2799" s="50" t="s">
        <v>6194</v>
      </c>
      <c r="B2799" s="50" t="s">
        <v>6249</v>
      </c>
      <c r="C2799" s="50" t="s">
        <v>5906</v>
      </c>
      <c r="D2799" s="50" t="s">
        <v>5482</v>
      </c>
      <c r="E2799" s="12" t="s">
        <v>4971</v>
      </c>
      <c r="F2799" s="49">
        <v>72500</v>
      </c>
      <c r="G2799" s="77" t="s">
        <v>5611</v>
      </c>
      <c r="H2799" s="14" t="s">
        <v>5601</v>
      </c>
      <c r="I2799" s="14" t="s">
        <v>2458</v>
      </c>
      <c r="J2799" s="33" t="s">
        <v>7110</v>
      </c>
      <c r="K2799" s="33" t="s">
        <v>6276</v>
      </c>
      <c r="L2799" s="53" t="s">
        <v>6054</v>
      </c>
      <c r="M2799" s="68" t="s">
        <v>8912</v>
      </c>
      <c r="N2799" s="53" t="s">
        <v>6285</v>
      </c>
      <c r="O2799" s="53">
        <v>55200</v>
      </c>
      <c r="P2799" s="198" t="s">
        <v>5813</v>
      </c>
    </row>
    <row r="2800" spans="1:16" ht="18.75" hidden="1">
      <c r="A2800" s="50" t="s">
        <v>6195</v>
      </c>
      <c r="B2800" s="50" t="s">
        <v>6244</v>
      </c>
      <c r="C2800" s="50" t="s">
        <v>6272</v>
      </c>
      <c r="D2800" s="50" t="s">
        <v>6249</v>
      </c>
      <c r="E2800" s="12" t="s">
        <v>4971</v>
      </c>
      <c r="F2800" s="49">
        <v>71820</v>
      </c>
      <c r="G2800" s="77" t="s">
        <v>5647</v>
      </c>
      <c r="H2800" s="14" t="s">
        <v>5601</v>
      </c>
      <c r="I2800" s="14" t="s">
        <v>2458</v>
      </c>
      <c r="J2800" s="33" t="s">
        <v>7110</v>
      </c>
      <c r="K2800" s="33" t="s">
        <v>6276</v>
      </c>
      <c r="L2800" s="53" t="s">
        <v>6054</v>
      </c>
      <c r="M2800" s="68" t="s">
        <v>8913</v>
      </c>
      <c r="N2800" s="53" t="s">
        <v>6076</v>
      </c>
      <c r="O2800" s="53">
        <v>55301</v>
      </c>
      <c r="P2800" s="198" t="s">
        <v>7258</v>
      </c>
    </row>
    <row r="2801" spans="1:16" ht="18.75" hidden="1">
      <c r="A2801" s="50" t="s">
        <v>6196</v>
      </c>
      <c r="B2801" s="50" t="s">
        <v>6075</v>
      </c>
      <c r="C2801" s="50" t="s">
        <v>6031</v>
      </c>
      <c r="D2801" s="50" t="s">
        <v>5850</v>
      </c>
      <c r="E2801" s="12" t="s">
        <v>4971</v>
      </c>
      <c r="F2801" s="49">
        <v>353270</v>
      </c>
      <c r="G2801" s="77" t="s">
        <v>5647</v>
      </c>
      <c r="H2801" s="14" t="s">
        <v>5601</v>
      </c>
      <c r="I2801" s="14" t="s">
        <v>2458</v>
      </c>
      <c r="J2801" s="33" t="s">
        <v>7110</v>
      </c>
      <c r="K2801" s="33" t="s">
        <v>6276</v>
      </c>
      <c r="L2801" s="53" t="s">
        <v>6054</v>
      </c>
      <c r="M2801" s="68" t="s">
        <v>8913</v>
      </c>
      <c r="N2801" s="53" t="s">
        <v>6076</v>
      </c>
      <c r="O2801" s="53">
        <v>55301</v>
      </c>
      <c r="P2801" s="198" t="s">
        <v>5851</v>
      </c>
    </row>
    <row r="2802" spans="1:16" ht="18.75" hidden="1">
      <c r="A2802" s="50" t="s">
        <v>6185</v>
      </c>
      <c r="B2802" s="50" t="s">
        <v>5848</v>
      </c>
      <c r="C2802" s="50" t="s">
        <v>5940</v>
      </c>
      <c r="D2802" s="50" t="s">
        <v>5481</v>
      </c>
      <c r="E2802" s="12" t="s">
        <v>4971</v>
      </c>
      <c r="F2802" s="49">
        <v>33930</v>
      </c>
      <c r="G2802" s="77" t="s">
        <v>5611</v>
      </c>
      <c r="H2802" s="14" t="s">
        <v>5601</v>
      </c>
      <c r="I2802" s="14" t="s">
        <v>2458</v>
      </c>
      <c r="J2802" s="33" t="s">
        <v>7110</v>
      </c>
      <c r="K2802" s="33" t="s">
        <v>6276</v>
      </c>
      <c r="L2802" s="53" t="s">
        <v>6054</v>
      </c>
      <c r="M2802" s="68" t="s">
        <v>8913</v>
      </c>
      <c r="N2802" s="53" t="s">
        <v>6076</v>
      </c>
      <c r="O2802" s="53">
        <v>55301</v>
      </c>
      <c r="P2802" s="198" t="s">
        <v>5814</v>
      </c>
    </row>
    <row r="2803" spans="1:16" ht="18.75" hidden="1">
      <c r="A2803" s="50" t="s">
        <v>6197</v>
      </c>
      <c r="B2803" s="50" t="s">
        <v>5857</v>
      </c>
      <c r="C2803" s="50" t="s">
        <v>5064</v>
      </c>
      <c r="D2803" s="50" t="s">
        <v>5010</v>
      </c>
      <c r="E2803" s="12" t="s">
        <v>4971</v>
      </c>
      <c r="F2803" s="49">
        <v>4210</v>
      </c>
      <c r="G2803" s="77" t="s">
        <v>5683</v>
      </c>
      <c r="H2803" s="14" t="s">
        <v>5601</v>
      </c>
      <c r="I2803" s="14" t="s">
        <v>2458</v>
      </c>
      <c r="J2803" s="33" t="s">
        <v>7110</v>
      </c>
      <c r="K2803" s="33" t="s">
        <v>6276</v>
      </c>
      <c r="L2803" s="53" t="s">
        <v>6054</v>
      </c>
      <c r="M2803" s="68" t="s">
        <v>8912</v>
      </c>
      <c r="N2803" s="53" t="s">
        <v>6285</v>
      </c>
      <c r="O2803" s="53">
        <v>55200</v>
      </c>
      <c r="P2803" s="198" t="s">
        <v>5788</v>
      </c>
    </row>
    <row r="2804" spans="1:16" ht="18.75" hidden="1">
      <c r="A2804" s="50" t="s">
        <v>6198</v>
      </c>
      <c r="B2804" s="50" t="s">
        <v>6246</v>
      </c>
      <c r="C2804" s="50" t="s">
        <v>5988</v>
      </c>
      <c r="D2804" s="50" t="s">
        <v>5496</v>
      </c>
      <c r="E2804" s="12" t="s">
        <v>4971</v>
      </c>
      <c r="F2804" s="49">
        <v>45790</v>
      </c>
      <c r="G2804" s="77" t="s">
        <v>5631</v>
      </c>
      <c r="H2804" s="14" t="s">
        <v>5601</v>
      </c>
      <c r="I2804" s="14" t="s">
        <v>2458</v>
      </c>
      <c r="J2804" s="33" t="s">
        <v>7110</v>
      </c>
      <c r="K2804" s="33" t="s">
        <v>6276</v>
      </c>
      <c r="L2804" s="53" t="s">
        <v>6054</v>
      </c>
      <c r="M2804" s="68" t="s">
        <v>8912</v>
      </c>
      <c r="N2804" s="53" t="s">
        <v>6076</v>
      </c>
      <c r="O2804" s="53">
        <v>55301</v>
      </c>
      <c r="P2804" s="197" t="s">
        <v>5820</v>
      </c>
    </row>
    <row r="2805" spans="1:16" ht="18.75" hidden="1">
      <c r="A2805" s="50" t="s">
        <v>6199</v>
      </c>
      <c r="B2805" s="50" t="s">
        <v>5600</v>
      </c>
      <c r="C2805" s="50" t="s">
        <v>5578</v>
      </c>
      <c r="D2805" s="50" t="s">
        <v>5561</v>
      </c>
      <c r="E2805" s="12" t="s">
        <v>4971</v>
      </c>
      <c r="F2805" s="49">
        <v>72360</v>
      </c>
      <c r="G2805" s="77" t="s">
        <v>5611</v>
      </c>
      <c r="H2805" s="14" t="s">
        <v>5601</v>
      </c>
      <c r="I2805" s="14" t="s">
        <v>2458</v>
      </c>
      <c r="J2805" s="33" t="s">
        <v>7110</v>
      </c>
      <c r="K2805" s="33" t="s">
        <v>6276</v>
      </c>
      <c r="L2805" s="53" t="s">
        <v>6054</v>
      </c>
      <c r="M2805" s="68" t="s">
        <v>8912</v>
      </c>
      <c r="N2805" s="53" t="s">
        <v>6285</v>
      </c>
      <c r="O2805" s="53">
        <v>55200</v>
      </c>
      <c r="P2805" s="198" t="s">
        <v>5813</v>
      </c>
    </row>
    <row r="2806" spans="1:16" ht="18.75" hidden="1">
      <c r="A2806" s="50" t="s">
        <v>6197</v>
      </c>
      <c r="B2806" s="50" t="s">
        <v>5857</v>
      </c>
      <c r="C2806" s="50" t="s">
        <v>5905</v>
      </c>
      <c r="D2806" s="50" t="s">
        <v>5478</v>
      </c>
      <c r="E2806" s="12" t="s">
        <v>4971</v>
      </c>
      <c r="F2806" s="49">
        <v>1330</v>
      </c>
      <c r="G2806" s="77" t="s">
        <v>5611</v>
      </c>
      <c r="H2806" s="14" t="s">
        <v>5601</v>
      </c>
      <c r="I2806" s="14" t="s">
        <v>2458</v>
      </c>
      <c r="J2806" s="33" t="s">
        <v>7110</v>
      </c>
      <c r="K2806" s="33" t="s">
        <v>6276</v>
      </c>
      <c r="L2806" s="53" t="s">
        <v>6054</v>
      </c>
      <c r="M2806" s="68" t="s">
        <v>8912</v>
      </c>
      <c r="N2806" s="53" t="s">
        <v>6285</v>
      </c>
      <c r="O2806" s="53">
        <v>55200</v>
      </c>
      <c r="P2806" s="198" t="s">
        <v>5813</v>
      </c>
    </row>
    <row r="2807" spans="1:16" ht="18.75" hidden="1">
      <c r="A2807" s="50" t="s">
        <v>6197</v>
      </c>
      <c r="B2807" s="50" t="s">
        <v>5857</v>
      </c>
      <c r="C2807" s="50" t="s">
        <v>6026</v>
      </c>
      <c r="D2807" s="50" t="s">
        <v>5848</v>
      </c>
      <c r="E2807" s="12" t="s">
        <v>4971</v>
      </c>
      <c r="F2807" s="49">
        <v>34650</v>
      </c>
      <c r="G2807" s="77" t="s">
        <v>5647</v>
      </c>
      <c r="H2807" s="14" t="s">
        <v>5601</v>
      </c>
      <c r="I2807" s="14" t="s">
        <v>2458</v>
      </c>
      <c r="J2807" s="33" t="s">
        <v>7110</v>
      </c>
      <c r="K2807" s="33" t="s">
        <v>6276</v>
      </c>
      <c r="L2807" s="53" t="s">
        <v>6054</v>
      </c>
      <c r="M2807" s="68" t="s">
        <v>8912</v>
      </c>
      <c r="N2807" s="53" t="s">
        <v>6285</v>
      </c>
      <c r="O2807" s="53">
        <v>55200</v>
      </c>
      <c r="P2807" s="198" t="s">
        <v>5847</v>
      </c>
    </row>
    <row r="2808" spans="1:16" ht="18.75" hidden="1">
      <c r="A2808" s="50" t="s">
        <v>6200</v>
      </c>
      <c r="B2808" s="50" t="s">
        <v>6245</v>
      </c>
      <c r="C2808" s="50" t="s">
        <v>6026</v>
      </c>
      <c r="D2808" s="50" t="s">
        <v>5848</v>
      </c>
      <c r="E2808" s="12" t="s">
        <v>4971</v>
      </c>
      <c r="F2808" s="49">
        <v>155210</v>
      </c>
      <c r="G2808" s="77" t="s">
        <v>5647</v>
      </c>
      <c r="H2808" s="14" t="s">
        <v>5601</v>
      </c>
      <c r="I2808" s="14" t="s">
        <v>2458</v>
      </c>
      <c r="J2808" s="33" t="s">
        <v>7110</v>
      </c>
      <c r="K2808" s="33" t="s">
        <v>6276</v>
      </c>
      <c r="L2808" s="53" t="s">
        <v>6054</v>
      </c>
      <c r="M2808" s="68" t="s">
        <v>8913</v>
      </c>
      <c r="N2808" s="53" t="s">
        <v>6076</v>
      </c>
      <c r="O2808" s="53">
        <v>55301</v>
      </c>
      <c r="P2808" s="198" t="s">
        <v>5847</v>
      </c>
    </row>
    <row r="2809" spans="1:16" ht="18.75" hidden="1">
      <c r="A2809" s="50" t="s">
        <v>6201</v>
      </c>
      <c r="B2809" s="50" t="s">
        <v>6128</v>
      </c>
      <c r="C2809" s="50" t="s">
        <v>6274</v>
      </c>
      <c r="D2809" s="50" t="s">
        <v>6243</v>
      </c>
      <c r="E2809" s="12" t="s">
        <v>4971</v>
      </c>
      <c r="F2809" s="49">
        <v>299380</v>
      </c>
      <c r="G2809" s="77" t="s">
        <v>5611</v>
      </c>
      <c r="H2809" s="14" t="s">
        <v>5601</v>
      </c>
      <c r="I2809" s="14" t="s">
        <v>2458</v>
      </c>
      <c r="J2809" s="33" t="s">
        <v>7110</v>
      </c>
      <c r="K2809" s="33" t="s">
        <v>6276</v>
      </c>
      <c r="L2809" s="53" t="s">
        <v>6054</v>
      </c>
      <c r="M2809" s="68" t="s">
        <v>8913</v>
      </c>
      <c r="N2809" s="53" t="s">
        <v>6076</v>
      </c>
      <c r="O2809" s="53">
        <v>55301</v>
      </c>
      <c r="P2809" s="198" t="s">
        <v>5831</v>
      </c>
    </row>
    <row r="2810" spans="1:16" ht="18.75" hidden="1">
      <c r="A2810" s="50" t="s">
        <v>6202</v>
      </c>
      <c r="B2810" s="50" t="s">
        <v>5846</v>
      </c>
      <c r="C2810" s="50" t="s">
        <v>5575</v>
      </c>
      <c r="D2810" s="50" t="s">
        <v>4881</v>
      </c>
      <c r="E2810" s="12" t="s">
        <v>4971</v>
      </c>
      <c r="F2810" s="49">
        <v>123290</v>
      </c>
      <c r="G2810" s="77" t="s">
        <v>5609</v>
      </c>
      <c r="H2810" s="14" t="s">
        <v>5601</v>
      </c>
      <c r="I2810" s="14" t="s">
        <v>2458</v>
      </c>
      <c r="J2810" s="33" t="s">
        <v>7110</v>
      </c>
      <c r="K2810" s="33" t="s">
        <v>6276</v>
      </c>
      <c r="L2810" s="53" t="s">
        <v>6054</v>
      </c>
      <c r="M2810" s="68" t="s">
        <v>8913</v>
      </c>
      <c r="N2810" s="53" t="s">
        <v>6076</v>
      </c>
      <c r="O2810" s="53">
        <v>55301</v>
      </c>
      <c r="P2810" s="198" t="s">
        <v>5768</v>
      </c>
    </row>
    <row r="2811" spans="1:16" ht="18.75" hidden="1">
      <c r="A2811" s="50" t="s">
        <v>6188</v>
      </c>
      <c r="B2811" s="50" t="s">
        <v>5857</v>
      </c>
      <c r="C2811" s="50" t="s">
        <v>6017</v>
      </c>
      <c r="D2811" s="50" t="s">
        <v>5600</v>
      </c>
      <c r="E2811" s="12" t="s">
        <v>4971</v>
      </c>
      <c r="F2811" s="49">
        <v>25390</v>
      </c>
      <c r="G2811" s="77" t="s">
        <v>5611</v>
      </c>
      <c r="H2811" s="14" t="s">
        <v>5601</v>
      </c>
      <c r="I2811" s="14" t="s">
        <v>2458</v>
      </c>
      <c r="J2811" s="33" t="s">
        <v>7110</v>
      </c>
      <c r="K2811" s="33" t="s">
        <v>6276</v>
      </c>
      <c r="L2811" s="53" t="s">
        <v>6054</v>
      </c>
      <c r="M2811" s="68" t="s">
        <v>8912</v>
      </c>
      <c r="N2811" s="53" t="s">
        <v>6285</v>
      </c>
      <c r="O2811" s="53">
        <v>55200</v>
      </c>
      <c r="P2811" s="198" t="s">
        <v>5831</v>
      </c>
    </row>
    <row r="2812" spans="1:16" ht="18.75" hidden="1">
      <c r="A2812" s="50" t="s">
        <v>6201</v>
      </c>
      <c r="B2812" s="50" t="s">
        <v>6128</v>
      </c>
      <c r="C2812" s="50" t="s">
        <v>5988</v>
      </c>
      <c r="D2812" s="50" t="s">
        <v>5496</v>
      </c>
      <c r="E2812" s="12" t="s">
        <v>4971</v>
      </c>
      <c r="F2812" s="49">
        <v>54180</v>
      </c>
      <c r="G2812" s="77" t="s">
        <v>5631</v>
      </c>
      <c r="H2812" s="14" t="s">
        <v>5601</v>
      </c>
      <c r="I2812" s="14" t="s">
        <v>2458</v>
      </c>
      <c r="J2812" s="33" t="s">
        <v>7110</v>
      </c>
      <c r="K2812" s="33" t="s">
        <v>6276</v>
      </c>
      <c r="L2812" s="53" t="s">
        <v>6054</v>
      </c>
      <c r="M2812" s="68" t="s">
        <v>8913</v>
      </c>
      <c r="N2812" s="53" t="s">
        <v>6076</v>
      </c>
      <c r="O2812" s="53">
        <v>55301</v>
      </c>
      <c r="P2812" s="197" t="s">
        <v>5820</v>
      </c>
    </row>
    <row r="2813" spans="1:16" ht="18.75" hidden="1">
      <c r="A2813" s="50" t="s">
        <v>6197</v>
      </c>
      <c r="B2813" s="50" t="s">
        <v>5857</v>
      </c>
      <c r="C2813" s="50" t="s">
        <v>5953</v>
      </c>
      <c r="D2813" s="50" t="s">
        <v>5828</v>
      </c>
      <c r="E2813" s="12" t="s">
        <v>4971</v>
      </c>
      <c r="F2813" s="49">
        <v>33680</v>
      </c>
      <c r="G2813" s="77" t="s">
        <v>5647</v>
      </c>
      <c r="H2813" s="14" t="s">
        <v>5601</v>
      </c>
      <c r="I2813" s="14" t="s">
        <v>2458</v>
      </c>
      <c r="J2813" s="33" t="s">
        <v>7110</v>
      </c>
      <c r="K2813" s="33" t="s">
        <v>6276</v>
      </c>
      <c r="L2813" s="53" t="s">
        <v>6054</v>
      </c>
      <c r="M2813" s="68" t="s">
        <v>8912</v>
      </c>
      <c r="N2813" s="53" t="s">
        <v>6285</v>
      </c>
      <c r="O2813" s="53">
        <v>55200</v>
      </c>
      <c r="P2813" s="198" t="s">
        <v>5829</v>
      </c>
    </row>
    <row r="2814" spans="1:16" ht="18.75" hidden="1">
      <c r="A2814" s="50" t="s">
        <v>6201</v>
      </c>
      <c r="B2814" s="50" t="s">
        <v>6128</v>
      </c>
      <c r="C2814" s="50" t="s">
        <v>6272</v>
      </c>
      <c r="D2814" s="50" t="s">
        <v>6249</v>
      </c>
      <c r="E2814" s="12" t="s">
        <v>4971</v>
      </c>
      <c r="F2814" s="49">
        <v>47020</v>
      </c>
      <c r="G2814" s="77" t="s">
        <v>5647</v>
      </c>
      <c r="H2814" s="14" t="s">
        <v>5601</v>
      </c>
      <c r="I2814" s="14" t="s">
        <v>2458</v>
      </c>
      <c r="J2814" s="33" t="s">
        <v>7110</v>
      </c>
      <c r="K2814" s="33" t="s">
        <v>6276</v>
      </c>
      <c r="L2814" s="53" t="s">
        <v>6054</v>
      </c>
      <c r="M2814" s="68" t="s">
        <v>8913</v>
      </c>
      <c r="N2814" s="53" t="s">
        <v>6076</v>
      </c>
      <c r="O2814" s="53">
        <v>55301</v>
      </c>
      <c r="P2814" s="198" t="s">
        <v>7258</v>
      </c>
    </row>
    <row r="2815" spans="1:16" ht="18.75" hidden="1">
      <c r="A2815" s="50" t="s">
        <v>6193</v>
      </c>
      <c r="B2815" s="50" t="s">
        <v>5843</v>
      </c>
      <c r="C2815" s="50" t="s">
        <v>5593</v>
      </c>
      <c r="D2815" s="50" t="s">
        <v>5565</v>
      </c>
      <c r="E2815" s="12" t="s">
        <v>4971</v>
      </c>
      <c r="F2815" s="49">
        <v>51200</v>
      </c>
      <c r="G2815" s="77" t="s">
        <v>5611</v>
      </c>
      <c r="H2815" s="14" t="s">
        <v>5601</v>
      </c>
      <c r="I2815" s="14" t="s">
        <v>2458</v>
      </c>
      <c r="J2815" s="33" t="s">
        <v>7110</v>
      </c>
      <c r="K2815" s="33" t="s">
        <v>6276</v>
      </c>
      <c r="L2815" s="53" t="s">
        <v>6054</v>
      </c>
      <c r="M2815" s="68" t="s">
        <v>8912</v>
      </c>
      <c r="N2815" s="53" t="s">
        <v>6285</v>
      </c>
      <c r="O2815" s="53">
        <v>55200</v>
      </c>
      <c r="P2815" s="198" t="s">
        <v>5810</v>
      </c>
    </row>
    <row r="2816" spans="1:16" ht="18.75" hidden="1">
      <c r="A2816" s="50" t="s">
        <v>6203</v>
      </c>
      <c r="B2816" s="50" t="s">
        <v>5843</v>
      </c>
      <c r="C2816" s="50" t="s">
        <v>5994</v>
      </c>
      <c r="D2816" s="50" t="s">
        <v>5839</v>
      </c>
      <c r="E2816" s="12" t="s">
        <v>4971</v>
      </c>
      <c r="F2816" s="49">
        <v>46040</v>
      </c>
      <c r="G2816" s="77" t="s">
        <v>5647</v>
      </c>
      <c r="H2816" s="14" t="s">
        <v>5601</v>
      </c>
      <c r="I2816" s="14" t="s">
        <v>2458</v>
      </c>
      <c r="J2816" s="33" t="s">
        <v>7110</v>
      </c>
      <c r="K2816" s="33" t="s">
        <v>6276</v>
      </c>
      <c r="L2816" s="53" t="s">
        <v>6054</v>
      </c>
      <c r="M2816" s="68" t="s">
        <v>8913</v>
      </c>
      <c r="N2816" s="53" t="s">
        <v>6076</v>
      </c>
      <c r="O2816" s="53">
        <v>55301</v>
      </c>
      <c r="P2816" s="198" t="s">
        <v>5838</v>
      </c>
    </row>
    <row r="2817" spans="1:16" ht="18.75" hidden="1">
      <c r="A2817" s="50" t="s">
        <v>6185</v>
      </c>
      <c r="B2817" s="50" t="s">
        <v>5848</v>
      </c>
      <c r="C2817" s="50" t="s">
        <v>5936</v>
      </c>
      <c r="D2817" s="50" t="s">
        <v>5460</v>
      </c>
      <c r="E2817" s="12" t="s">
        <v>4971</v>
      </c>
      <c r="F2817" s="49">
        <v>140000</v>
      </c>
      <c r="G2817" s="77" t="s">
        <v>5611</v>
      </c>
      <c r="H2817" s="14" t="s">
        <v>5601</v>
      </c>
      <c r="I2817" s="14" t="s">
        <v>2458</v>
      </c>
      <c r="J2817" s="33" t="s">
        <v>7110</v>
      </c>
      <c r="K2817" s="33" t="s">
        <v>6276</v>
      </c>
      <c r="L2817" s="53" t="s">
        <v>6054</v>
      </c>
      <c r="M2817" s="68" t="s">
        <v>8913</v>
      </c>
      <c r="N2817" s="53" t="s">
        <v>6076</v>
      </c>
      <c r="O2817" s="53">
        <v>55301</v>
      </c>
      <c r="P2817" s="198" t="s">
        <v>5814</v>
      </c>
    </row>
    <row r="2818" spans="1:16" ht="18.75" hidden="1">
      <c r="A2818" s="50" t="s">
        <v>6197</v>
      </c>
      <c r="B2818" s="50" t="s">
        <v>5857</v>
      </c>
      <c r="C2818" s="50" t="s">
        <v>6018</v>
      </c>
      <c r="D2818" s="50" t="s">
        <v>5600</v>
      </c>
      <c r="E2818" s="12" t="s">
        <v>4971</v>
      </c>
      <c r="F2818" s="49">
        <v>35580</v>
      </c>
      <c r="G2818" s="77" t="s">
        <v>5647</v>
      </c>
      <c r="H2818" s="14" t="s">
        <v>5601</v>
      </c>
      <c r="I2818" s="14" t="s">
        <v>2458</v>
      </c>
      <c r="J2818" s="33" t="s">
        <v>7110</v>
      </c>
      <c r="K2818" s="33" t="s">
        <v>6276</v>
      </c>
      <c r="L2818" s="53" t="s">
        <v>6054</v>
      </c>
      <c r="M2818" s="68" t="s">
        <v>8912</v>
      </c>
      <c r="N2818" s="53" t="s">
        <v>6285</v>
      </c>
      <c r="O2818" s="53">
        <v>55200</v>
      </c>
      <c r="P2818" s="198" t="s">
        <v>5838</v>
      </c>
    </row>
    <row r="2819" spans="1:16" ht="18.75" hidden="1">
      <c r="A2819" s="50" t="s">
        <v>6197</v>
      </c>
      <c r="B2819" s="50" t="s">
        <v>5857</v>
      </c>
      <c r="C2819" s="50" t="s">
        <v>6031</v>
      </c>
      <c r="D2819" s="50" t="s">
        <v>5850</v>
      </c>
      <c r="E2819" s="12" t="s">
        <v>4971</v>
      </c>
      <c r="F2819" s="49">
        <v>5140</v>
      </c>
      <c r="G2819" s="77" t="s">
        <v>5647</v>
      </c>
      <c r="H2819" s="14" t="s">
        <v>5601</v>
      </c>
      <c r="I2819" s="14" t="s">
        <v>2458</v>
      </c>
      <c r="J2819" s="33" t="s">
        <v>7110</v>
      </c>
      <c r="K2819" s="33" t="s">
        <v>6276</v>
      </c>
      <c r="L2819" s="53" t="s">
        <v>6054</v>
      </c>
      <c r="M2819" s="68" t="s">
        <v>8912</v>
      </c>
      <c r="N2819" s="53" t="s">
        <v>6285</v>
      </c>
      <c r="O2819" s="53">
        <v>55200</v>
      </c>
      <c r="P2819" s="198" t="s">
        <v>5851</v>
      </c>
    </row>
    <row r="2820" spans="1:16" ht="18.75" hidden="1">
      <c r="A2820" s="50" t="s">
        <v>6200</v>
      </c>
      <c r="B2820" s="50" t="s">
        <v>6245</v>
      </c>
      <c r="C2820" s="50" t="s">
        <v>6031</v>
      </c>
      <c r="D2820" s="50" t="s">
        <v>5850</v>
      </c>
      <c r="E2820" s="12" t="s">
        <v>4971</v>
      </c>
      <c r="F2820" s="49">
        <v>7350</v>
      </c>
      <c r="G2820" s="77" t="s">
        <v>5647</v>
      </c>
      <c r="H2820" s="14" t="s">
        <v>5601</v>
      </c>
      <c r="I2820" s="14" t="s">
        <v>2458</v>
      </c>
      <c r="J2820" s="33" t="s">
        <v>7110</v>
      </c>
      <c r="K2820" s="33" t="s">
        <v>6276</v>
      </c>
      <c r="L2820" s="53" t="s">
        <v>6054</v>
      </c>
      <c r="M2820" s="68" t="s">
        <v>8913</v>
      </c>
      <c r="N2820" s="53" t="s">
        <v>6076</v>
      </c>
      <c r="O2820" s="53">
        <v>55301</v>
      </c>
      <c r="P2820" s="198" t="s">
        <v>5851</v>
      </c>
    </row>
    <row r="2821" spans="1:16" ht="18.75" hidden="1">
      <c r="A2821" s="50" t="s">
        <v>6186</v>
      </c>
      <c r="B2821" s="50" t="s">
        <v>6248</v>
      </c>
      <c r="C2821" s="50" t="s">
        <v>5932</v>
      </c>
      <c r="D2821" s="50" t="s">
        <v>5460</v>
      </c>
      <c r="E2821" s="12" t="s">
        <v>4971</v>
      </c>
      <c r="F2821" s="49">
        <v>44960</v>
      </c>
      <c r="G2821" s="77" t="s">
        <v>5631</v>
      </c>
      <c r="H2821" s="14" t="s">
        <v>5601</v>
      </c>
      <c r="I2821" s="14" t="s">
        <v>2458</v>
      </c>
      <c r="J2821" s="33" t="s">
        <v>7110</v>
      </c>
      <c r="K2821" s="33" t="s">
        <v>6276</v>
      </c>
      <c r="L2821" s="53" t="s">
        <v>6054</v>
      </c>
      <c r="M2821" s="68" t="s">
        <v>8913</v>
      </c>
      <c r="N2821" s="53" t="s">
        <v>6076</v>
      </c>
      <c r="O2821" s="53">
        <v>55301</v>
      </c>
      <c r="P2821" s="197" t="s">
        <v>5819</v>
      </c>
    </row>
    <row r="2822" spans="1:16" ht="18.75" hidden="1">
      <c r="A2822" s="50" t="s">
        <v>6204</v>
      </c>
      <c r="B2822" s="50" t="s">
        <v>6251</v>
      </c>
      <c r="C2822" s="50" t="s">
        <v>6272</v>
      </c>
      <c r="D2822" s="50" t="s">
        <v>6249</v>
      </c>
      <c r="E2822" s="12" t="s">
        <v>4971</v>
      </c>
      <c r="F2822" s="49">
        <v>100460</v>
      </c>
      <c r="G2822" s="77" t="s">
        <v>5647</v>
      </c>
      <c r="H2822" s="14" t="s">
        <v>5601</v>
      </c>
      <c r="I2822" s="14" t="s">
        <v>2458</v>
      </c>
      <c r="J2822" s="33" t="s">
        <v>7110</v>
      </c>
      <c r="K2822" s="33" t="s">
        <v>6276</v>
      </c>
      <c r="L2822" s="53" t="s">
        <v>6054</v>
      </c>
      <c r="M2822" s="68" t="s">
        <v>8913</v>
      </c>
      <c r="N2822" s="53" t="s">
        <v>6076</v>
      </c>
      <c r="O2822" s="53">
        <v>55301</v>
      </c>
      <c r="P2822" s="198" t="s">
        <v>7258</v>
      </c>
    </row>
    <row r="2823" spans="1:16" ht="18.75" hidden="1">
      <c r="A2823" s="50" t="s">
        <v>6195</v>
      </c>
      <c r="B2823" s="50" t="s">
        <v>6244</v>
      </c>
      <c r="C2823" s="50" t="s">
        <v>5988</v>
      </c>
      <c r="D2823" s="50" t="s">
        <v>5496</v>
      </c>
      <c r="E2823" s="12" t="s">
        <v>4971</v>
      </c>
      <c r="F2823" s="49">
        <v>149320</v>
      </c>
      <c r="G2823" s="77" t="s">
        <v>5631</v>
      </c>
      <c r="H2823" s="14" t="s">
        <v>5601</v>
      </c>
      <c r="I2823" s="14" t="s">
        <v>2458</v>
      </c>
      <c r="J2823" s="33" t="s">
        <v>7110</v>
      </c>
      <c r="K2823" s="33" t="s">
        <v>6276</v>
      </c>
      <c r="L2823" s="53" t="s">
        <v>6054</v>
      </c>
      <c r="M2823" s="68" t="s">
        <v>8913</v>
      </c>
      <c r="N2823" s="53" t="s">
        <v>6076</v>
      </c>
      <c r="O2823" s="53">
        <v>55301</v>
      </c>
      <c r="P2823" s="197" t="s">
        <v>5820</v>
      </c>
    </row>
    <row r="2824" spans="1:16" ht="18.75" hidden="1">
      <c r="A2824" s="50" t="s">
        <v>6203</v>
      </c>
      <c r="B2824" s="50" t="s">
        <v>5843</v>
      </c>
      <c r="C2824" s="50" t="s">
        <v>5989</v>
      </c>
      <c r="D2824" s="50" t="s">
        <v>5496</v>
      </c>
      <c r="E2824" s="12" t="s">
        <v>4971</v>
      </c>
      <c r="F2824" s="49">
        <v>23020</v>
      </c>
      <c r="G2824" s="77" t="s">
        <v>5647</v>
      </c>
      <c r="H2824" s="14" t="s">
        <v>5601</v>
      </c>
      <c r="I2824" s="14" t="s">
        <v>2458</v>
      </c>
      <c r="J2824" s="33" t="s">
        <v>7110</v>
      </c>
      <c r="K2824" s="33" t="s">
        <v>6276</v>
      </c>
      <c r="L2824" s="53" t="s">
        <v>6054</v>
      </c>
      <c r="M2824" s="68" t="s">
        <v>8913</v>
      </c>
      <c r="N2824" s="53" t="s">
        <v>6076</v>
      </c>
      <c r="O2824" s="53">
        <v>55301</v>
      </c>
      <c r="P2824" s="198" t="s">
        <v>5838</v>
      </c>
    </row>
    <row r="2825" spans="1:16" ht="18.75" hidden="1">
      <c r="A2825" s="50" t="s">
        <v>6192</v>
      </c>
      <c r="B2825" s="50" t="s">
        <v>6249</v>
      </c>
      <c r="C2825" s="50" t="s">
        <v>5960</v>
      </c>
      <c r="D2825" s="50" t="s">
        <v>5830</v>
      </c>
      <c r="E2825" s="12" t="s">
        <v>4971</v>
      </c>
      <c r="F2825" s="49">
        <v>327000</v>
      </c>
      <c r="G2825" s="77" t="s">
        <v>5631</v>
      </c>
      <c r="H2825" s="14" t="s">
        <v>5601</v>
      </c>
      <c r="I2825" s="14" t="s">
        <v>2458</v>
      </c>
      <c r="J2825" s="33" t="s">
        <v>7110</v>
      </c>
      <c r="K2825" s="33" t="s">
        <v>6276</v>
      </c>
      <c r="L2825" s="53" t="s">
        <v>6054</v>
      </c>
      <c r="M2825" s="68" t="s">
        <v>8913</v>
      </c>
      <c r="N2825" s="53" t="s">
        <v>6076</v>
      </c>
      <c r="O2825" s="53">
        <v>55301</v>
      </c>
      <c r="P2825" s="197" t="s">
        <v>5807</v>
      </c>
    </row>
    <row r="2826" spans="1:16" ht="18.75" hidden="1">
      <c r="A2826" s="50" t="s">
        <v>6197</v>
      </c>
      <c r="B2826" s="50" t="s">
        <v>5857</v>
      </c>
      <c r="C2826" s="50" t="s">
        <v>5938</v>
      </c>
      <c r="D2826" s="50" t="s">
        <v>5481</v>
      </c>
      <c r="E2826" s="12" t="s">
        <v>4971</v>
      </c>
      <c r="F2826" s="49">
        <v>5220</v>
      </c>
      <c r="G2826" s="77" t="s">
        <v>5647</v>
      </c>
      <c r="H2826" s="14" t="s">
        <v>5601</v>
      </c>
      <c r="I2826" s="14" t="s">
        <v>2458</v>
      </c>
      <c r="J2826" s="33" t="s">
        <v>7110</v>
      </c>
      <c r="K2826" s="33" t="s">
        <v>6276</v>
      </c>
      <c r="L2826" s="53" t="s">
        <v>6054</v>
      </c>
      <c r="M2826" s="68" t="s">
        <v>8912</v>
      </c>
      <c r="N2826" s="53" t="s">
        <v>6285</v>
      </c>
      <c r="O2826" s="53">
        <v>55200</v>
      </c>
      <c r="P2826" s="198" t="s">
        <v>5825</v>
      </c>
    </row>
    <row r="2827" spans="1:16" ht="18.75" hidden="1">
      <c r="A2827" s="50" t="s">
        <v>6205</v>
      </c>
      <c r="B2827" s="50" t="s">
        <v>5846</v>
      </c>
      <c r="C2827" s="50" t="s">
        <v>5941</v>
      </c>
      <c r="D2827" s="50" t="s">
        <v>5481</v>
      </c>
      <c r="E2827" s="12" t="s">
        <v>4971</v>
      </c>
      <c r="F2827" s="49">
        <v>120720</v>
      </c>
      <c r="G2827" s="77" t="s">
        <v>5611</v>
      </c>
      <c r="H2827" s="14" t="s">
        <v>5601</v>
      </c>
      <c r="I2827" s="14" t="s">
        <v>2458</v>
      </c>
      <c r="J2827" s="33" t="s">
        <v>7110</v>
      </c>
      <c r="K2827" s="33" t="s">
        <v>6276</v>
      </c>
      <c r="L2827" s="53" t="s">
        <v>6054</v>
      </c>
      <c r="M2827" s="68" t="s">
        <v>8913</v>
      </c>
      <c r="N2827" s="53" t="s">
        <v>6286</v>
      </c>
      <c r="O2827" s="53">
        <v>55107</v>
      </c>
      <c r="P2827" s="198" t="s">
        <v>5814</v>
      </c>
    </row>
    <row r="2828" spans="1:16" ht="18.75" hidden="1">
      <c r="A2828" s="50" t="s">
        <v>6202</v>
      </c>
      <c r="B2828" s="50" t="s">
        <v>5846</v>
      </c>
      <c r="C2828" s="50" t="s">
        <v>5941</v>
      </c>
      <c r="D2828" s="50" t="s">
        <v>5481</v>
      </c>
      <c r="E2828" s="12" t="s">
        <v>4971</v>
      </c>
      <c r="F2828" s="49">
        <v>144680</v>
      </c>
      <c r="G2828" s="77" t="s">
        <v>5611</v>
      </c>
      <c r="H2828" s="14" t="s">
        <v>5601</v>
      </c>
      <c r="I2828" s="14" t="s">
        <v>2458</v>
      </c>
      <c r="J2828" s="33" t="s">
        <v>7110</v>
      </c>
      <c r="K2828" s="33" t="s">
        <v>6276</v>
      </c>
      <c r="L2828" s="53" t="s">
        <v>6054</v>
      </c>
      <c r="M2828" s="68" t="s">
        <v>8913</v>
      </c>
      <c r="N2828" s="53" t="s">
        <v>6076</v>
      </c>
      <c r="O2828" s="53">
        <v>55301</v>
      </c>
      <c r="P2828" s="198" t="s">
        <v>5814</v>
      </c>
    </row>
    <row r="2829" spans="1:16" ht="18.75" hidden="1">
      <c r="A2829" s="50" t="s">
        <v>6206</v>
      </c>
      <c r="B2829" s="50" t="s">
        <v>5843</v>
      </c>
      <c r="C2829" s="50" t="s">
        <v>5940</v>
      </c>
      <c r="D2829" s="50" t="s">
        <v>5481</v>
      </c>
      <c r="E2829" s="12" t="s">
        <v>4971</v>
      </c>
      <c r="F2829" s="49">
        <v>113980</v>
      </c>
      <c r="G2829" s="77" t="s">
        <v>5611</v>
      </c>
      <c r="H2829" s="14" t="s">
        <v>5601</v>
      </c>
      <c r="I2829" s="14" t="s">
        <v>2458</v>
      </c>
      <c r="J2829" s="33" t="s">
        <v>7110</v>
      </c>
      <c r="K2829" s="33" t="s">
        <v>6276</v>
      </c>
      <c r="L2829" s="53" t="s">
        <v>6054</v>
      </c>
      <c r="M2829" s="68" t="s">
        <v>8912</v>
      </c>
      <c r="N2829" s="53" t="s">
        <v>6076</v>
      </c>
      <c r="O2829" s="53">
        <v>55301</v>
      </c>
      <c r="P2829" s="198" t="s">
        <v>5814</v>
      </c>
    </row>
    <row r="2830" spans="1:16" ht="18.75" hidden="1">
      <c r="A2830" s="50" t="s">
        <v>6207</v>
      </c>
      <c r="B2830" s="50" t="s">
        <v>5600</v>
      </c>
      <c r="C2830" s="50" t="s">
        <v>5961</v>
      </c>
      <c r="D2830" s="50" t="s">
        <v>5830</v>
      </c>
      <c r="E2830" s="12" t="s">
        <v>4971</v>
      </c>
      <c r="F2830" s="49">
        <v>93420</v>
      </c>
      <c r="G2830" s="77" t="s">
        <v>5631</v>
      </c>
      <c r="H2830" s="14" t="s">
        <v>5601</v>
      </c>
      <c r="I2830" s="14" t="s">
        <v>2458</v>
      </c>
      <c r="J2830" s="33" t="s">
        <v>7110</v>
      </c>
      <c r="K2830" s="33" t="s">
        <v>6276</v>
      </c>
      <c r="L2830" s="53" t="s">
        <v>6054</v>
      </c>
      <c r="M2830" s="68" t="s">
        <v>8912</v>
      </c>
      <c r="N2830" s="53" t="s">
        <v>6076</v>
      </c>
      <c r="O2830" s="53">
        <v>55301</v>
      </c>
      <c r="P2830" s="197" t="s">
        <v>5807</v>
      </c>
    </row>
    <row r="2831" spans="1:16" ht="18.75" hidden="1">
      <c r="A2831" s="50" t="s">
        <v>6208</v>
      </c>
      <c r="B2831" s="50" t="s">
        <v>5846</v>
      </c>
      <c r="C2831" s="50" t="s">
        <v>5961</v>
      </c>
      <c r="D2831" s="50" t="s">
        <v>5830</v>
      </c>
      <c r="E2831" s="12" t="s">
        <v>4971</v>
      </c>
      <c r="F2831" s="49">
        <v>246580</v>
      </c>
      <c r="G2831" s="77" t="s">
        <v>5631</v>
      </c>
      <c r="H2831" s="14" t="s">
        <v>5601</v>
      </c>
      <c r="I2831" s="14" t="s">
        <v>2458</v>
      </c>
      <c r="J2831" s="33" t="s">
        <v>7110</v>
      </c>
      <c r="K2831" s="33" t="s">
        <v>6276</v>
      </c>
      <c r="L2831" s="53" t="s">
        <v>6054</v>
      </c>
      <c r="M2831" s="68" t="s">
        <v>8912</v>
      </c>
      <c r="N2831" s="53" t="s">
        <v>6076</v>
      </c>
      <c r="O2831" s="53">
        <v>55301</v>
      </c>
      <c r="P2831" s="197" t="s">
        <v>5807</v>
      </c>
    </row>
    <row r="2832" spans="1:16" ht="18.75" hidden="1">
      <c r="A2832" s="50" t="s">
        <v>6202</v>
      </c>
      <c r="B2832" s="50" t="s">
        <v>5846</v>
      </c>
      <c r="C2832" s="50" t="s">
        <v>5927</v>
      </c>
      <c r="D2832" s="50" t="s">
        <v>5479</v>
      </c>
      <c r="E2832" s="12" t="s">
        <v>4971</v>
      </c>
      <c r="F2832" s="49">
        <v>116650</v>
      </c>
      <c r="G2832" s="77" t="s">
        <v>5611</v>
      </c>
      <c r="H2832" s="14" t="s">
        <v>5601</v>
      </c>
      <c r="I2832" s="14" t="s">
        <v>2458</v>
      </c>
      <c r="J2832" s="33" t="s">
        <v>7110</v>
      </c>
      <c r="K2832" s="33" t="s">
        <v>6276</v>
      </c>
      <c r="L2832" s="53" t="s">
        <v>6054</v>
      </c>
      <c r="M2832" s="68" t="s">
        <v>8913</v>
      </c>
      <c r="N2832" s="53" t="s">
        <v>6076</v>
      </c>
      <c r="O2832" s="53">
        <v>55301</v>
      </c>
      <c r="P2832" s="198" t="s">
        <v>5813</v>
      </c>
    </row>
    <row r="2833" spans="1:16" ht="18.75" hidden="1">
      <c r="A2833" s="50" t="s">
        <v>6209</v>
      </c>
      <c r="B2833" s="50" t="s">
        <v>6245</v>
      </c>
      <c r="C2833" s="50" t="s">
        <v>5919</v>
      </c>
      <c r="D2833" s="50" t="s">
        <v>5483</v>
      </c>
      <c r="E2833" s="12" t="s">
        <v>4971</v>
      </c>
      <c r="F2833" s="49">
        <v>48500</v>
      </c>
      <c r="G2833" s="77" t="s">
        <v>5611</v>
      </c>
      <c r="H2833" s="14" t="s">
        <v>5601</v>
      </c>
      <c r="I2833" s="14" t="s">
        <v>2458</v>
      </c>
      <c r="J2833" s="33" t="s">
        <v>7110</v>
      </c>
      <c r="K2833" s="33" t="s">
        <v>6276</v>
      </c>
      <c r="L2833" s="53" t="s">
        <v>6054</v>
      </c>
      <c r="M2833" s="68" t="s">
        <v>8912</v>
      </c>
      <c r="N2833" s="53" t="s">
        <v>6285</v>
      </c>
      <c r="O2833" s="53">
        <v>55200</v>
      </c>
      <c r="P2833" s="198" t="s">
        <v>5813</v>
      </c>
    </row>
    <row r="2834" spans="1:16" ht="18.75" hidden="1">
      <c r="A2834" s="50" t="s">
        <v>6210</v>
      </c>
      <c r="B2834" s="50" t="s">
        <v>5850</v>
      </c>
      <c r="C2834" s="50" t="s">
        <v>6019</v>
      </c>
      <c r="D2834" s="50" t="s">
        <v>5600</v>
      </c>
      <c r="E2834" s="12" t="s">
        <v>4971</v>
      </c>
      <c r="F2834" s="49">
        <v>200000</v>
      </c>
      <c r="G2834" s="77" t="s">
        <v>5647</v>
      </c>
      <c r="H2834" s="14" t="s">
        <v>5601</v>
      </c>
      <c r="I2834" s="14" t="s">
        <v>2458</v>
      </c>
      <c r="J2834" s="33" t="s">
        <v>7110</v>
      </c>
      <c r="K2834" s="33" t="s">
        <v>6276</v>
      </c>
      <c r="L2834" s="53" t="s">
        <v>6054</v>
      </c>
      <c r="M2834" s="68" t="s">
        <v>8913</v>
      </c>
      <c r="N2834" s="53" t="s">
        <v>6076</v>
      </c>
      <c r="O2834" s="53">
        <v>55301</v>
      </c>
      <c r="P2834" s="198" t="s">
        <v>5845</v>
      </c>
    </row>
    <row r="2835" spans="1:16" ht="18.75" hidden="1">
      <c r="A2835" s="50" t="s">
        <v>6211</v>
      </c>
      <c r="B2835" s="50" t="s">
        <v>5846</v>
      </c>
      <c r="C2835" s="50" t="s">
        <v>5882</v>
      </c>
      <c r="D2835" s="50" t="s">
        <v>5457</v>
      </c>
      <c r="E2835" s="12" t="s">
        <v>4971</v>
      </c>
      <c r="F2835" s="49">
        <v>45880</v>
      </c>
      <c r="G2835" s="77" t="s">
        <v>5611</v>
      </c>
      <c r="H2835" s="14" t="s">
        <v>5601</v>
      </c>
      <c r="I2835" s="14" t="s">
        <v>2458</v>
      </c>
      <c r="J2835" s="33" t="s">
        <v>7110</v>
      </c>
      <c r="K2835" s="33" t="s">
        <v>6276</v>
      </c>
      <c r="L2835" s="53" t="s">
        <v>6051</v>
      </c>
      <c r="M2835" s="68" t="s">
        <v>8913</v>
      </c>
      <c r="N2835" s="53" t="s">
        <v>6056</v>
      </c>
      <c r="O2835" s="53">
        <v>60500</v>
      </c>
      <c r="P2835" s="198" t="s">
        <v>5810</v>
      </c>
    </row>
    <row r="2836" spans="1:16" ht="18.75" hidden="1">
      <c r="A2836" s="50" t="s">
        <v>6212</v>
      </c>
      <c r="B2836" s="50" t="s">
        <v>6247</v>
      </c>
      <c r="C2836" s="50" t="s">
        <v>6272</v>
      </c>
      <c r="D2836" s="50" t="s">
        <v>6249</v>
      </c>
      <c r="E2836" s="12" t="s">
        <v>4971</v>
      </c>
      <c r="F2836" s="49">
        <v>208120</v>
      </c>
      <c r="G2836" s="77" t="s">
        <v>5647</v>
      </c>
      <c r="H2836" s="14" t="s">
        <v>5601</v>
      </c>
      <c r="I2836" s="14" t="s">
        <v>2458</v>
      </c>
      <c r="J2836" s="33" t="s">
        <v>7110</v>
      </c>
      <c r="K2836" s="33" t="s">
        <v>6276</v>
      </c>
      <c r="L2836" s="53" t="s">
        <v>6054</v>
      </c>
      <c r="M2836" s="68" t="s">
        <v>8913</v>
      </c>
      <c r="N2836" s="53" t="s">
        <v>6076</v>
      </c>
      <c r="O2836" s="53">
        <v>55301</v>
      </c>
      <c r="P2836" s="198" t="s">
        <v>7258</v>
      </c>
    </row>
    <row r="2837" spans="1:16" ht="18.75" hidden="1">
      <c r="A2837" s="50" t="s">
        <v>6212</v>
      </c>
      <c r="B2837" s="50" t="s">
        <v>6247</v>
      </c>
      <c r="C2837" s="50" t="s">
        <v>6273</v>
      </c>
      <c r="D2837" s="50" t="s">
        <v>6248</v>
      </c>
      <c r="E2837" s="12" t="s">
        <v>4971</v>
      </c>
      <c r="F2837" s="49">
        <v>360020</v>
      </c>
      <c r="G2837" s="77" t="s">
        <v>5611</v>
      </c>
      <c r="H2837" s="14" t="s">
        <v>5601</v>
      </c>
      <c r="I2837" s="14" t="s">
        <v>2458</v>
      </c>
      <c r="J2837" s="33" t="s">
        <v>7110</v>
      </c>
      <c r="K2837" s="33" t="s">
        <v>6276</v>
      </c>
      <c r="L2837" s="53" t="s">
        <v>6054</v>
      </c>
      <c r="M2837" s="68" t="s">
        <v>8913</v>
      </c>
      <c r="N2837" s="53" t="s">
        <v>6076</v>
      </c>
      <c r="O2837" s="53">
        <v>55301</v>
      </c>
      <c r="P2837" s="198" t="s">
        <v>5831</v>
      </c>
    </row>
    <row r="2838" spans="1:16" ht="18.75" hidden="1">
      <c r="A2838" s="50" t="s">
        <v>6213</v>
      </c>
      <c r="B2838" s="50" t="s">
        <v>5846</v>
      </c>
      <c r="C2838" s="50" t="s">
        <v>5952</v>
      </c>
      <c r="D2838" s="50" t="s">
        <v>5566</v>
      </c>
      <c r="E2838" s="12" t="s">
        <v>4971</v>
      </c>
      <c r="F2838" s="49">
        <v>36890</v>
      </c>
      <c r="G2838" s="77" t="s">
        <v>5611</v>
      </c>
      <c r="H2838" s="14" t="s">
        <v>5601</v>
      </c>
      <c r="I2838" s="14" t="s">
        <v>2458</v>
      </c>
      <c r="J2838" s="33" t="s">
        <v>7110</v>
      </c>
      <c r="K2838" s="33" t="s">
        <v>6276</v>
      </c>
      <c r="L2838" s="53" t="s">
        <v>6054</v>
      </c>
      <c r="M2838" s="68" t="s">
        <v>8912</v>
      </c>
      <c r="N2838" s="53" t="s">
        <v>6286</v>
      </c>
      <c r="O2838" s="53">
        <v>55107</v>
      </c>
      <c r="P2838" s="198" t="s">
        <v>5826</v>
      </c>
    </row>
    <row r="2839" spans="1:16" ht="18.75" hidden="1">
      <c r="A2839" s="50" t="s">
        <v>6210</v>
      </c>
      <c r="B2839" s="50" t="s">
        <v>5850</v>
      </c>
      <c r="C2839" s="50" t="s">
        <v>6018</v>
      </c>
      <c r="D2839" s="50" t="s">
        <v>5600</v>
      </c>
      <c r="E2839" s="12" t="s">
        <v>4971</v>
      </c>
      <c r="F2839" s="49">
        <v>17380</v>
      </c>
      <c r="G2839" s="77" t="s">
        <v>5647</v>
      </c>
      <c r="H2839" s="14" t="s">
        <v>5601</v>
      </c>
      <c r="I2839" s="14" t="s">
        <v>2458</v>
      </c>
      <c r="J2839" s="33" t="s">
        <v>7110</v>
      </c>
      <c r="K2839" s="33" t="s">
        <v>6276</v>
      </c>
      <c r="L2839" s="53" t="s">
        <v>6054</v>
      </c>
      <c r="M2839" s="68" t="s">
        <v>8913</v>
      </c>
      <c r="N2839" s="53" t="s">
        <v>6076</v>
      </c>
      <c r="O2839" s="53">
        <v>55301</v>
      </c>
      <c r="P2839" s="198" t="s">
        <v>5838</v>
      </c>
    </row>
    <row r="2840" spans="1:16" ht="18.75" hidden="1">
      <c r="A2840" s="50" t="s">
        <v>6214</v>
      </c>
      <c r="B2840" s="50" t="s">
        <v>6075</v>
      </c>
      <c r="C2840" s="50" t="s">
        <v>5890</v>
      </c>
      <c r="D2840" s="50" t="s">
        <v>5564</v>
      </c>
      <c r="E2840" s="12" t="s">
        <v>4971</v>
      </c>
      <c r="F2840" s="49">
        <v>74020</v>
      </c>
      <c r="G2840" s="77" t="s">
        <v>5609</v>
      </c>
      <c r="H2840" s="14" t="s">
        <v>5601</v>
      </c>
      <c r="I2840" s="14" t="s">
        <v>2458</v>
      </c>
      <c r="J2840" s="33" t="s">
        <v>7110</v>
      </c>
      <c r="K2840" s="33" t="s">
        <v>6276</v>
      </c>
      <c r="L2840" s="53" t="s">
        <v>6054</v>
      </c>
      <c r="M2840" s="68" t="s">
        <v>8912</v>
      </c>
      <c r="N2840" s="53" t="s">
        <v>6285</v>
      </c>
      <c r="O2840" s="53">
        <v>55200</v>
      </c>
      <c r="P2840" s="198" t="s">
        <v>5816</v>
      </c>
    </row>
    <row r="2841" spans="1:16" ht="18.75" hidden="1">
      <c r="A2841" s="50" t="s">
        <v>6215</v>
      </c>
      <c r="B2841" s="50" t="s">
        <v>5600</v>
      </c>
      <c r="C2841" s="50" t="s">
        <v>5941</v>
      </c>
      <c r="D2841" s="50" t="s">
        <v>5481</v>
      </c>
      <c r="E2841" s="12" t="s">
        <v>4971</v>
      </c>
      <c r="F2841" s="49">
        <v>123220</v>
      </c>
      <c r="G2841" s="77" t="s">
        <v>5611</v>
      </c>
      <c r="H2841" s="14" t="s">
        <v>5601</v>
      </c>
      <c r="I2841" s="14" t="s">
        <v>2458</v>
      </c>
      <c r="J2841" s="33" t="s">
        <v>7110</v>
      </c>
      <c r="K2841" s="33" t="s">
        <v>6276</v>
      </c>
      <c r="L2841" s="53" t="s">
        <v>6054</v>
      </c>
      <c r="M2841" s="68" t="s">
        <v>8913</v>
      </c>
      <c r="N2841" s="53" t="s">
        <v>6286</v>
      </c>
      <c r="O2841" s="53">
        <v>55107</v>
      </c>
      <c r="P2841" s="198" t="s">
        <v>5814</v>
      </c>
    </row>
    <row r="2842" spans="1:16" ht="18.75" hidden="1">
      <c r="A2842" s="50" t="s">
        <v>6213</v>
      </c>
      <c r="B2842" s="50" t="s">
        <v>5846</v>
      </c>
      <c r="C2842" s="50" t="s">
        <v>5941</v>
      </c>
      <c r="D2842" s="50" t="s">
        <v>5481</v>
      </c>
      <c r="E2842" s="12" t="s">
        <v>4971</v>
      </c>
      <c r="F2842" s="49">
        <v>11380</v>
      </c>
      <c r="G2842" s="77" t="s">
        <v>5611</v>
      </c>
      <c r="H2842" s="14" t="s">
        <v>5601</v>
      </c>
      <c r="I2842" s="14" t="s">
        <v>2458</v>
      </c>
      <c r="J2842" s="33" t="s">
        <v>7110</v>
      </c>
      <c r="K2842" s="33" t="s">
        <v>6276</v>
      </c>
      <c r="L2842" s="53" t="s">
        <v>6054</v>
      </c>
      <c r="M2842" s="68" t="s">
        <v>8912</v>
      </c>
      <c r="N2842" s="53" t="s">
        <v>6286</v>
      </c>
      <c r="O2842" s="53">
        <v>55107</v>
      </c>
      <c r="P2842" s="198" t="s">
        <v>5814</v>
      </c>
    </row>
    <row r="2843" spans="1:16" ht="18.75" hidden="1">
      <c r="A2843" s="50" t="s">
        <v>6216</v>
      </c>
      <c r="B2843" s="50" t="s">
        <v>6243</v>
      </c>
      <c r="C2843" s="50" t="s">
        <v>5988</v>
      </c>
      <c r="D2843" s="50" t="s">
        <v>5496</v>
      </c>
      <c r="E2843" s="12" t="s">
        <v>4971</v>
      </c>
      <c r="F2843" s="49">
        <v>106200</v>
      </c>
      <c r="G2843" s="77" t="s">
        <v>5631</v>
      </c>
      <c r="H2843" s="14" t="s">
        <v>5601</v>
      </c>
      <c r="I2843" s="14" t="s">
        <v>2458</v>
      </c>
      <c r="J2843" s="33" t="s">
        <v>7110</v>
      </c>
      <c r="K2843" s="33" t="s">
        <v>6276</v>
      </c>
      <c r="L2843" s="53" t="s">
        <v>6054</v>
      </c>
      <c r="M2843" s="68" t="s">
        <v>8913</v>
      </c>
      <c r="N2843" s="53" t="s">
        <v>6076</v>
      </c>
      <c r="O2843" s="53">
        <v>55301</v>
      </c>
      <c r="P2843" s="197" t="s">
        <v>5820</v>
      </c>
    </row>
    <row r="2844" spans="1:16" ht="18.75" hidden="1">
      <c r="A2844" s="50" t="s">
        <v>6217</v>
      </c>
      <c r="B2844" s="50" t="s">
        <v>5843</v>
      </c>
      <c r="C2844" s="50" t="s">
        <v>5940</v>
      </c>
      <c r="D2844" s="50" t="s">
        <v>5481</v>
      </c>
      <c r="E2844" s="12" t="s">
        <v>4971</v>
      </c>
      <c r="F2844" s="49">
        <v>43830</v>
      </c>
      <c r="G2844" s="77" t="s">
        <v>5611</v>
      </c>
      <c r="H2844" s="14" t="s">
        <v>5601</v>
      </c>
      <c r="I2844" s="14" t="s">
        <v>2458</v>
      </c>
      <c r="J2844" s="33" t="s">
        <v>7110</v>
      </c>
      <c r="K2844" s="33" t="s">
        <v>6276</v>
      </c>
      <c r="L2844" s="53" t="s">
        <v>6054</v>
      </c>
      <c r="M2844" s="68" t="s">
        <v>8912</v>
      </c>
      <c r="N2844" s="53" t="s">
        <v>6286</v>
      </c>
      <c r="O2844" s="53">
        <v>55107</v>
      </c>
      <c r="P2844" s="198" t="s">
        <v>5814</v>
      </c>
    </row>
    <row r="2845" spans="1:16" ht="18.75" hidden="1">
      <c r="A2845" s="50" t="s">
        <v>6217</v>
      </c>
      <c r="B2845" s="50" t="s">
        <v>5843</v>
      </c>
      <c r="C2845" s="50" t="s">
        <v>5880</v>
      </c>
      <c r="D2845" s="50" t="s">
        <v>5414</v>
      </c>
      <c r="E2845" s="12" t="s">
        <v>4971</v>
      </c>
      <c r="F2845" s="49">
        <v>5310</v>
      </c>
      <c r="G2845" s="77" t="s">
        <v>5611</v>
      </c>
      <c r="H2845" s="14" t="s">
        <v>5601</v>
      </c>
      <c r="I2845" s="14" t="s">
        <v>2458</v>
      </c>
      <c r="J2845" s="33" t="s">
        <v>7110</v>
      </c>
      <c r="K2845" s="33" t="s">
        <v>6276</v>
      </c>
      <c r="L2845" s="53" t="s">
        <v>6054</v>
      </c>
      <c r="M2845" s="68" t="s">
        <v>8912</v>
      </c>
      <c r="N2845" s="53" t="s">
        <v>6286</v>
      </c>
      <c r="O2845" s="53">
        <v>55107</v>
      </c>
      <c r="P2845" s="198" t="s">
        <v>5810</v>
      </c>
    </row>
    <row r="2846" spans="1:16" ht="18.75" hidden="1">
      <c r="A2846" s="50" t="s">
        <v>6207</v>
      </c>
      <c r="B2846" s="50" t="s">
        <v>5600</v>
      </c>
      <c r="C2846" s="50" t="s">
        <v>5931</v>
      </c>
      <c r="D2846" s="50" t="s">
        <v>5460</v>
      </c>
      <c r="E2846" s="12" t="s">
        <v>4971</v>
      </c>
      <c r="F2846" s="49">
        <v>95740</v>
      </c>
      <c r="G2846" s="77" t="s">
        <v>5631</v>
      </c>
      <c r="H2846" s="14" t="s">
        <v>5601</v>
      </c>
      <c r="I2846" s="14" t="s">
        <v>2458</v>
      </c>
      <c r="J2846" s="33" t="s">
        <v>7110</v>
      </c>
      <c r="K2846" s="33" t="s">
        <v>6276</v>
      </c>
      <c r="L2846" s="53" t="s">
        <v>6054</v>
      </c>
      <c r="M2846" s="68" t="s">
        <v>8912</v>
      </c>
      <c r="N2846" s="53" t="s">
        <v>6076</v>
      </c>
      <c r="O2846" s="53">
        <v>55301</v>
      </c>
      <c r="P2846" s="197" t="s">
        <v>5819</v>
      </c>
    </row>
    <row r="2847" spans="1:16" ht="18.75" hidden="1">
      <c r="A2847" s="50" t="s">
        <v>6208</v>
      </c>
      <c r="B2847" s="50" t="s">
        <v>5846</v>
      </c>
      <c r="C2847" s="50" t="s">
        <v>5931</v>
      </c>
      <c r="D2847" s="50" t="s">
        <v>5460</v>
      </c>
      <c r="E2847" s="12" t="s">
        <v>4971</v>
      </c>
      <c r="F2847" s="49">
        <v>69260</v>
      </c>
      <c r="G2847" s="77" t="s">
        <v>5631</v>
      </c>
      <c r="H2847" s="14" t="s">
        <v>5601</v>
      </c>
      <c r="I2847" s="14" t="s">
        <v>2458</v>
      </c>
      <c r="J2847" s="33" t="s">
        <v>7110</v>
      </c>
      <c r="K2847" s="33" t="s">
        <v>6276</v>
      </c>
      <c r="L2847" s="53" t="s">
        <v>6054</v>
      </c>
      <c r="M2847" s="68" t="s">
        <v>8912</v>
      </c>
      <c r="N2847" s="53" t="s">
        <v>6076</v>
      </c>
      <c r="O2847" s="53">
        <v>55301</v>
      </c>
      <c r="P2847" s="197" t="s">
        <v>5819</v>
      </c>
    </row>
    <row r="2848" spans="1:16" ht="18.75" hidden="1">
      <c r="A2848" s="50" t="s">
        <v>6208</v>
      </c>
      <c r="B2848" s="50" t="s">
        <v>5846</v>
      </c>
      <c r="C2848" s="50" t="s">
        <v>5967</v>
      </c>
      <c r="D2848" s="50" t="s">
        <v>5832</v>
      </c>
      <c r="E2848" s="12" t="s">
        <v>4971</v>
      </c>
      <c r="F2848" s="49">
        <v>43070</v>
      </c>
      <c r="G2848" s="77" t="s">
        <v>5631</v>
      </c>
      <c r="H2848" s="14" t="s">
        <v>5601</v>
      </c>
      <c r="I2848" s="14" t="s">
        <v>2458</v>
      </c>
      <c r="J2848" s="33" t="s">
        <v>7110</v>
      </c>
      <c r="K2848" s="33" t="s">
        <v>6276</v>
      </c>
      <c r="L2848" s="53" t="s">
        <v>6054</v>
      </c>
      <c r="M2848" s="68" t="s">
        <v>8912</v>
      </c>
      <c r="N2848" s="53" t="s">
        <v>6076</v>
      </c>
      <c r="O2848" s="53">
        <v>55301</v>
      </c>
      <c r="P2848" s="197" t="s">
        <v>5807</v>
      </c>
    </row>
    <row r="2849" spans="1:16" ht="18.75" hidden="1">
      <c r="A2849" s="50" t="s">
        <v>6216</v>
      </c>
      <c r="B2849" s="50" t="s">
        <v>6243</v>
      </c>
      <c r="C2849" s="50" t="s">
        <v>5932</v>
      </c>
      <c r="D2849" s="50" t="s">
        <v>5460</v>
      </c>
      <c r="E2849" s="12" t="s">
        <v>4971</v>
      </c>
      <c r="F2849" s="49">
        <v>36820</v>
      </c>
      <c r="G2849" s="77" t="s">
        <v>5631</v>
      </c>
      <c r="H2849" s="14" t="s">
        <v>5601</v>
      </c>
      <c r="I2849" s="14" t="s">
        <v>2458</v>
      </c>
      <c r="J2849" s="33" t="s">
        <v>7110</v>
      </c>
      <c r="K2849" s="33" t="s">
        <v>6276</v>
      </c>
      <c r="L2849" s="53" t="s">
        <v>6054</v>
      </c>
      <c r="M2849" s="68" t="s">
        <v>8913</v>
      </c>
      <c r="N2849" s="53" t="s">
        <v>6076</v>
      </c>
      <c r="O2849" s="53">
        <v>55301</v>
      </c>
      <c r="P2849" s="197" t="s">
        <v>5819</v>
      </c>
    </row>
    <row r="2850" spans="1:16" ht="18.75" hidden="1">
      <c r="A2850" s="50" t="s">
        <v>6196</v>
      </c>
      <c r="B2850" s="50" t="s">
        <v>6075</v>
      </c>
      <c r="C2850" s="50" t="s">
        <v>6024</v>
      </c>
      <c r="D2850" s="50" t="s">
        <v>5846</v>
      </c>
      <c r="E2850" s="12" t="s">
        <v>4971</v>
      </c>
      <c r="F2850" s="49">
        <v>67720</v>
      </c>
      <c r="G2850" s="77" t="s">
        <v>5611</v>
      </c>
      <c r="H2850" s="14" t="s">
        <v>5601</v>
      </c>
      <c r="I2850" s="14" t="s">
        <v>2458</v>
      </c>
      <c r="J2850" s="33" t="s">
        <v>7110</v>
      </c>
      <c r="K2850" s="33" t="s">
        <v>6276</v>
      </c>
      <c r="L2850" s="53" t="s">
        <v>6054</v>
      </c>
      <c r="M2850" s="68" t="s">
        <v>8913</v>
      </c>
      <c r="N2850" s="53" t="s">
        <v>6076</v>
      </c>
      <c r="O2850" s="53">
        <v>55301</v>
      </c>
      <c r="P2850" s="198" t="s">
        <v>5831</v>
      </c>
    </row>
    <row r="2851" spans="1:16" ht="18.75" hidden="1">
      <c r="A2851" s="50" t="s">
        <v>6194</v>
      </c>
      <c r="B2851" s="50" t="s">
        <v>6249</v>
      </c>
      <c r="C2851" s="50" t="s">
        <v>5598</v>
      </c>
      <c r="D2851" s="50" t="s">
        <v>5557</v>
      </c>
      <c r="E2851" s="12" t="s">
        <v>4971</v>
      </c>
      <c r="F2851" s="49">
        <v>25000</v>
      </c>
      <c r="G2851" s="77" t="s">
        <v>5611</v>
      </c>
      <c r="H2851" s="14" t="s">
        <v>5601</v>
      </c>
      <c r="I2851" s="14" t="s">
        <v>2458</v>
      </c>
      <c r="J2851" s="33" t="s">
        <v>7110</v>
      </c>
      <c r="K2851" s="33" t="s">
        <v>6276</v>
      </c>
      <c r="L2851" s="53" t="s">
        <v>6054</v>
      </c>
      <c r="M2851" s="68" t="s">
        <v>8912</v>
      </c>
      <c r="N2851" s="53" t="s">
        <v>6285</v>
      </c>
      <c r="O2851" s="53">
        <v>55200</v>
      </c>
      <c r="P2851" s="198" t="s">
        <v>5810</v>
      </c>
    </row>
    <row r="2852" spans="1:16" ht="18.75" hidden="1">
      <c r="A2852" s="50" t="s">
        <v>6218</v>
      </c>
      <c r="B2852" s="50" t="s">
        <v>5839</v>
      </c>
      <c r="C2852" s="50" t="s">
        <v>5969</v>
      </c>
      <c r="D2852" s="50" t="s">
        <v>5832</v>
      </c>
      <c r="E2852" s="12" t="s">
        <v>4971</v>
      </c>
      <c r="F2852" s="49">
        <v>17680</v>
      </c>
      <c r="G2852" s="77" t="s">
        <v>5647</v>
      </c>
      <c r="H2852" s="14" t="s">
        <v>5601</v>
      </c>
      <c r="I2852" s="14" t="s">
        <v>2458</v>
      </c>
      <c r="J2852" s="33" t="s">
        <v>7110</v>
      </c>
      <c r="K2852" s="33" t="s">
        <v>6276</v>
      </c>
      <c r="L2852" s="53" t="s">
        <v>6054</v>
      </c>
      <c r="M2852" s="68" t="s">
        <v>8912</v>
      </c>
      <c r="N2852" s="53" t="s">
        <v>6076</v>
      </c>
      <c r="O2852" s="53">
        <v>55301</v>
      </c>
      <c r="P2852" s="198" t="s">
        <v>5833</v>
      </c>
    </row>
    <row r="2853" spans="1:16" ht="18.75" hidden="1">
      <c r="A2853" s="50" t="s">
        <v>6218</v>
      </c>
      <c r="B2853" s="50" t="s">
        <v>5839</v>
      </c>
      <c r="C2853" s="50" t="s">
        <v>5928</v>
      </c>
      <c r="D2853" s="50" t="s">
        <v>5460</v>
      </c>
      <c r="E2853" s="12" t="s">
        <v>4971</v>
      </c>
      <c r="F2853" s="49">
        <v>220570</v>
      </c>
      <c r="G2853" s="77" t="s">
        <v>5611</v>
      </c>
      <c r="H2853" s="14" t="s">
        <v>5602</v>
      </c>
      <c r="I2853" s="14" t="s">
        <v>2458</v>
      </c>
      <c r="J2853" s="33" t="s">
        <v>7110</v>
      </c>
      <c r="K2853" s="33" t="s">
        <v>6276</v>
      </c>
      <c r="L2853" s="53" t="s">
        <v>6054</v>
      </c>
      <c r="M2853" s="68" t="s">
        <v>8912</v>
      </c>
      <c r="N2853" s="53" t="s">
        <v>6076</v>
      </c>
      <c r="O2853" s="53">
        <v>55301</v>
      </c>
      <c r="P2853" s="198" t="s">
        <v>5813</v>
      </c>
    </row>
    <row r="2854" spans="1:16" ht="18.75" hidden="1">
      <c r="A2854" s="50" t="s">
        <v>6219</v>
      </c>
      <c r="B2854" s="50" t="s">
        <v>5839</v>
      </c>
      <c r="C2854" s="50" t="s">
        <v>5969</v>
      </c>
      <c r="D2854" s="50" t="s">
        <v>5832</v>
      </c>
      <c r="E2854" s="12" t="s">
        <v>4971</v>
      </c>
      <c r="F2854" s="49">
        <v>144960</v>
      </c>
      <c r="G2854" s="77" t="s">
        <v>5647</v>
      </c>
      <c r="H2854" s="14" t="s">
        <v>5601</v>
      </c>
      <c r="I2854" s="14" t="s">
        <v>2458</v>
      </c>
      <c r="J2854" s="33" t="s">
        <v>7110</v>
      </c>
      <c r="K2854" s="33" t="s">
        <v>6276</v>
      </c>
      <c r="L2854" s="53" t="s">
        <v>6054</v>
      </c>
      <c r="M2854" s="68" t="s">
        <v>8913</v>
      </c>
      <c r="N2854" s="53" t="s">
        <v>6076</v>
      </c>
      <c r="O2854" s="53">
        <v>55301</v>
      </c>
      <c r="P2854" s="198" t="s">
        <v>5833</v>
      </c>
    </row>
    <row r="2855" spans="1:16" ht="18.75" hidden="1">
      <c r="A2855" s="50" t="s">
        <v>6219</v>
      </c>
      <c r="B2855" s="50" t="s">
        <v>5839</v>
      </c>
      <c r="C2855" s="50" t="s">
        <v>5928</v>
      </c>
      <c r="D2855" s="50" t="s">
        <v>5460</v>
      </c>
      <c r="E2855" s="12" t="s">
        <v>4971</v>
      </c>
      <c r="F2855" s="49">
        <v>49260</v>
      </c>
      <c r="G2855" s="77" t="s">
        <v>5611</v>
      </c>
      <c r="H2855" s="14" t="s">
        <v>5601</v>
      </c>
      <c r="I2855" s="14" t="s">
        <v>2458</v>
      </c>
      <c r="J2855" s="33" t="s">
        <v>7110</v>
      </c>
      <c r="K2855" s="33" t="s">
        <v>6276</v>
      </c>
      <c r="L2855" s="53" t="s">
        <v>6054</v>
      </c>
      <c r="M2855" s="68" t="s">
        <v>8913</v>
      </c>
      <c r="N2855" s="53" t="s">
        <v>6076</v>
      </c>
      <c r="O2855" s="53">
        <v>55301</v>
      </c>
      <c r="P2855" s="198" t="s">
        <v>5813</v>
      </c>
    </row>
    <row r="2856" spans="1:16" ht="18.75" hidden="1">
      <c r="A2856" s="50" t="s">
        <v>6220</v>
      </c>
      <c r="B2856" s="50" t="s">
        <v>5600</v>
      </c>
      <c r="C2856" s="50" t="s">
        <v>5998</v>
      </c>
      <c r="D2856" s="50" t="s">
        <v>5839</v>
      </c>
      <c r="E2856" s="12" t="s">
        <v>4971</v>
      </c>
      <c r="F2856" s="49">
        <v>121300</v>
      </c>
      <c r="G2856" s="77" t="s">
        <v>5611</v>
      </c>
      <c r="H2856" s="14" t="s">
        <v>5601</v>
      </c>
      <c r="I2856" s="14" t="s">
        <v>2458</v>
      </c>
      <c r="J2856" s="33" t="s">
        <v>7110</v>
      </c>
      <c r="K2856" s="33" t="s">
        <v>6276</v>
      </c>
      <c r="L2856" s="53" t="s">
        <v>6055</v>
      </c>
      <c r="M2856" s="68" t="s">
        <v>8913</v>
      </c>
      <c r="N2856" s="53" t="s">
        <v>6287</v>
      </c>
      <c r="O2856" s="53">
        <v>25401</v>
      </c>
      <c r="P2856" s="198" t="s">
        <v>5826</v>
      </c>
    </row>
    <row r="2857" spans="1:16" ht="18.75" hidden="1">
      <c r="A2857" s="50" t="s">
        <v>6221</v>
      </c>
      <c r="B2857" s="50" t="s">
        <v>5832</v>
      </c>
      <c r="C2857" s="50" t="s">
        <v>5910</v>
      </c>
      <c r="D2857" s="50" t="s">
        <v>5482</v>
      </c>
      <c r="E2857" s="12" t="s">
        <v>4971</v>
      </c>
      <c r="F2857" s="49">
        <v>76171</v>
      </c>
      <c r="G2857" s="77" t="s">
        <v>5631</v>
      </c>
      <c r="H2857" s="14" t="s">
        <v>5601</v>
      </c>
      <c r="I2857" s="14" t="s">
        <v>2458</v>
      </c>
      <c r="J2857" s="33" t="s">
        <v>7110</v>
      </c>
      <c r="K2857" s="33" t="s">
        <v>6276</v>
      </c>
      <c r="L2857" s="53" t="s">
        <v>6054</v>
      </c>
      <c r="M2857" s="68" t="s">
        <v>8913</v>
      </c>
      <c r="N2857" s="53" t="s">
        <v>6076</v>
      </c>
      <c r="O2857" s="53">
        <v>55301</v>
      </c>
      <c r="P2857" s="197" t="s">
        <v>5819</v>
      </c>
    </row>
    <row r="2858" spans="1:16" ht="18.75" hidden="1">
      <c r="A2858" s="50" t="s">
        <v>6222</v>
      </c>
      <c r="B2858" s="50" t="s">
        <v>5835</v>
      </c>
      <c r="C2858" s="50" t="s">
        <v>5593</v>
      </c>
      <c r="D2858" s="50" t="s">
        <v>5565</v>
      </c>
      <c r="E2858" s="12" t="s">
        <v>4971</v>
      </c>
      <c r="F2858" s="49">
        <v>48390</v>
      </c>
      <c r="G2858" s="77" t="s">
        <v>5611</v>
      </c>
      <c r="H2858" s="14" t="s">
        <v>5601</v>
      </c>
      <c r="I2858" s="14" t="s">
        <v>2458</v>
      </c>
      <c r="J2858" s="33" t="s">
        <v>7110</v>
      </c>
      <c r="K2858" s="33" t="s">
        <v>6276</v>
      </c>
      <c r="L2858" s="53" t="s">
        <v>6054</v>
      </c>
      <c r="M2858" s="68" t="s">
        <v>8912</v>
      </c>
      <c r="N2858" s="53" t="s">
        <v>6286</v>
      </c>
      <c r="O2858" s="53">
        <v>55107</v>
      </c>
      <c r="P2858" s="198" t="s">
        <v>5810</v>
      </c>
    </row>
    <row r="2859" spans="1:16" ht="18.75" hidden="1">
      <c r="A2859" s="50" t="s">
        <v>6222</v>
      </c>
      <c r="B2859" s="50" t="s">
        <v>5835</v>
      </c>
      <c r="C2859" s="50" t="s">
        <v>5221</v>
      </c>
      <c r="D2859" s="50" t="s">
        <v>5010</v>
      </c>
      <c r="E2859" s="12" t="s">
        <v>4971</v>
      </c>
      <c r="F2859" s="49">
        <v>1240</v>
      </c>
      <c r="G2859" s="77" t="s">
        <v>5611</v>
      </c>
      <c r="H2859" s="14" t="s">
        <v>5601</v>
      </c>
      <c r="I2859" s="14" t="s">
        <v>2458</v>
      </c>
      <c r="J2859" s="33" t="s">
        <v>7110</v>
      </c>
      <c r="K2859" s="33" t="s">
        <v>6276</v>
      </c>
      <c r="L2859" s="53" t="s">
        <v>6054</v>
      </c>
      <c r="M2859" s="68" t="s">
        <v>8912</v>
      </c>
      <c r="N2859" s="53" t="s">
        <v>6286</v>
      </c>
      <c r="O2859" s="53">
        <v>55107</v>
      </c>
      <c r="P2859" s="198" t="s">
        <v>5758</v>
      </c>
    </row>
    <row r="2860" spans="1:16" ht="18.75" hidden="1">
      <c r="A2860" s="50" t="s">
        <v>6223</v>
      </c>
      <c r="B2860" s="50" t="s">
        <v>5828</v>
      </c>
      <c r="C2860" s="50" t="s">
        <v>5925</v>
      </c>
      <c r="D2860" s="50" t="s">
        <v>5479</v>
      </c>
      <c r="E2860" s="12" t="s">
        <v>4971</v>
      </c>
      <c r="F2860" s="49">
        <v>24620</v>
      </c>
      <c r="G2860" s="77" t="s">
        <v>5631</v>
      </c>
      <c r="H2860" s="14" t="s">
        <v>5601</v>
      </c>
      <c r="I2860" s="14" t="s">
        <v>2458</v>
      </c>
      <c r="J2860" s="33" t="s">
        <v>7110</v>
      </c>
      <c r="K2860" s="33" t="s">
        <v>6276</v>
      </c>
      <c r="L2860" s="53" t="s">
        <v>6054</v>
      </c>
      <c r="M2860" s="68" t="s">
        <v>8913</v>
      </c>
      <c r="N2860" s="53" t="s">
        <v>6076</v>
      </c>
      <c r="O2860" s="53">
        <v>55301</v>
      </c>
      <c r="P2860" s="197" t="s">
        <v>5819</v>
      </c>
    </row>
    <row r="2861" spans="1:16" ht="18.75" hidden="1">
      <c r="A2861" s="50" t="s">
        <v>6221</v>
      </c>
      <c r="B2861" s="50" t="s">
        <v>5832</v>
      </c>
      <c r="C2861" s="50" t="s">
        <v>5920</v>
      </c>
      <c r="D2861" s="50" t="s">
        <v>5562</v>
      </c>
      <c r="E2861" s="12" t="s">
        <v>4971</v>
      </c>
      <c r="F2861" s="49">
        <v>110000</v>
      </c>
      <c r="G2861" s="77" t="s">
        <v>5631</v>
      </c>
      <c r="H2861" s="14" t="s">
        <v>5601</v>
      </c>
      <c r="I2861" s="14" t="s">
        <v>2458</v>
      </c>
      <c r="J2861" s="33" t="s">
        <v>7110</v>
      </c>
      <c r="K2861" s="33" t="s">
        <v>6276</v>
      </c>
      <c r="L2861" s="53" t="s">
        <v>6054</v>
      </c>
      <c r="M2861" s="68" t="s">
        <v>8913</v>
      </c>
      <c r="N2861" s="53" t="s">
        <v>6076</v>
      </c>
      <c r="O2861" s="53">
        <v>55301</v>
      </c>
      <c r="P2861" s="197" t="s">
        <v>5819</v>
      </c>
    </row>
    <row r="2862" spans="1:16" ht="18.75" hidden="1">
      <c r="A2862" s="50" t="s">
        <v>6223</v>
      </c>
      <c r="B2862" s="50" t="s">
        <v>5828</v>
      </c>
      <c r="C2862" s="50" t="s">
        <v>5903</v>
      </c>
      <c r="D2862" s="50" t="s">
        <v>5478</v>
      </c>
      <c r="E2862" s="12" t="s">
        <v>4971</v>
      </c>
      <c r="F2862" s="49">
        <v>67520</v>
      </c>
      <c r="G2862" s="77" t="s">
        <v>5631</v>
      </c>
      <c r="H2862" s="14" t="s">
        <v>5601</v>
      </c>
      <c r="I2862" s="14" t="s">
        <v>2458</v>
      </c>
      <c r="J2862" s="33" t="s">
        <v>7110</v>
      </c>
      <c r="K2862" s="33" t="s">
        <v>6276</v>
      </c>
      <c r="L2862" s="53" t="s">
        <v>6054</v>
      </c>
      <c r="M2862" s="68" t="s">
        <v>8913</v>
      </c>
      <c r="N2862" s="53" t="s">
        <v>6076</v>
      </c>
      <c r="O2862" s="53">
        <v>55301</v>
      </c>
      <c r="P2862" s="197" t="s">
        <v>5819</v>
      </c>
    </row>
    <row r="2863" spans="1:16" ht="18.75" hidden="1">
      <c r="A2863" s="50" t="s">
        <v>6224</v>
      </c>
      <c r="B2863" s="50" t="s">
        <v>5496</v>
      </c>
      <c r="C2863" s="50" t="s">
        <v>5969</v>
      </c>
      <c r="D2863" s="50" t="s">
        <v>5832</v>
      </c>
      <c r="E2863" s="12" t="s">
        <v>4971</v>
      </c>
      <c r="F2863" s="49">
        <v>72220</v>
      </c>
      <c r="G2863" s="77" t="s">
        <v>5647</v>
      </c>
      <c r="H2863" s="14" t="s">
        <v>5601</v>
      </c>
      <c r="I2863" s="14" t="s">
        <v>2458</v>
      </c>
      <c r="J2863" s="33" t="s">
        <v>7110</v>
      </c>
      <c r="K2863" s="33" t="s">
        <v>6276</v>
      </c>
      <c r="L2863" s="53" t="s">
        <v>6054</v>
      </c>
      <c r="M2863" s="68" t="s">
        <v>8912</v>
      </c>
      <c r="N2863" s="53" t="s">
        <v>6285</v>
      </c>
      <c r="O2863" s="53">
        <v>55200</v>
      </c>
      <c r="P2863" s="198" t="s">
        <v>5833</v>
      </c>
    </row>
    <row r="2864" spans="1:16" ht="18.75" hidden="1">
      <c r="A2864" s="50" t="s">
        <v>6225</v>
      </c>
      <c r="B2864" s="50" t="s">
        <v>5839</v>
      </c>
      <c r="C2864" s="50" t="s">
        <v>5969</v>
      </c>
      <c r="D2864" s="50" t="s">
        <v>5832</v>
      </c>
      <c r="E2864" s="12" t="s">
        <v>4971</v>
      </c>
      <c r="F2864" s="49">
        <v>122160</v>
      </c>
      <c r="G2864" s="77" t="s">
        <v>5647</v>
      </c>
      <c r="H2864" s="14" t="s">
        <v>5601</v>
      </c>
      <c r="I2864" s="14" t="s">
        <v>2458</v>
      </c>
      <c r="J2864" s="33" t="s">
        <v>7110</v>
      </c>
      <c r="K2864" s="33" t="s">
        <v>6276</v>
      </c>
      <c r="L2864" s="53" t="s">
        <v>6054</v>
      </c>
      <c r="M2864" s="68" t="s">
        <v>8913</v>
      </c>
      <c r="N2864" s="53" t="s">
        <v>6286</v>
      </c>
      <c r="O2864" s="53">
        <v>55107</v>
      </c>
      <c r="P2864" s="198" t="s">
        <v>5833</v>
      </c>
    </row>
    <row r="2865" spans="1:16" ht="18.75" hidden="1">
      <c r="A2865" s="50" t="s">
        <v>6226</v>
      </c>
      <c r="B2865" s="50" t="s">
        <v>5839</v>
      </c>
      <c r="C2865" s="50" t="s">
        <v>5969</v>
      </c>
      <c r="D2865" s="50" t="s">
        <v>5832</v>
      </c>
      <c r="E2865" s="12" t="s">
        <v>4971</v>
      </c>
      <c r="F2865" s="49">
        <v>75040</v>
      </c>
      <c r="G2865" s="77" t="s">
        <v>5647</v>
      </c>
      <c r="H2865" s="14" t="s">
        <v>5601</v>
      </c>
      <c r="I2865" s="14" t="s">
        <v>2458</v>
      </c>
      <c r="J2865" s="33" t="s">
        <v>7110</v>
      </c>
      <c r="K2865" s="33" t="s">
        <v>6276</v>
      </c>
      <c r="L2865" s="53" t="s">
        <v>6054</v>
      </c>
      <c r="M2865" s="68" t="s">
        <v>8912</v>
      </c>
      <c r="N2865" s="53" t="s">
        <v>6285</v>
      </c>
      <c r="O2865" s="53">
        <v>55200</v>
      </c>
      <c r="P2865" s="198" t="s">
        <v>5833</v>
      </c>
    </row>
    <row r="2866" spans="1:16" ht="18.75" hidden="1">
      <c r="A2866" s="50" t="s">
        <v>6227</v>
      </c>
      <c r="B2866" s="50" t="s">
        <v>5830</v>
      </c>
      <c r="C2866" s="50" t="s">
        <v>5585</v>
      </c>
      <c r="D2866" s="50" t="s">
        <v>5565</v>
      </c>
      <c r="E2866" s="12" t="s">
        <v>4971</v>
      </c>
      <c r="F2866" s="49">
        <v>8759</v>
      </c>
      <c r="G2866" s="77" t="s">
        <v>5631</v>
      </c>
      <c r="H2866" s="14" t="s">
        <v>5601</v>
      </c>
      <c r="I2866" s="14" t="s">
        <v>2458</v>
      </c>
      <c r="J2866" s="33" t="s">
        <v>7110</v>
      </c>
      <c r="K2866" s="33" t="s">
        <v>6276</v>
      </c>
      <c r="L2866" s="53" t="s">
        <v>6054</v>
      </c>
      <c r="M2866" s="68" t="s">
        <v>8912</v>
      </c>
      <c r="N2866" s="53" t="s">
        <v>6076</v>
      </c>
      <c r="O2866" s="53">
        <v>55301</v>
      </c>
      <c r="P2866" s="197" t="s">
        <v>5807</v>
      </c>
    </row>
    <row r="2867" spans="1:16" ht="18.75" hidden="1">
      <c r="A2867" s="50" t="s">
        <v>6228</v>
      </c>
      <c r="B2867" s="50" t="s">
        <v>5837</v>
      </c>
      <c r="C2867" s="50" t="s">
        <v>5878</v>
      </c>
      <c r="D2867" s="50" t="s">
        <v>5418</v>
      </c>
      <c r="E2867" s="12" t="s">
        <v>4971</v>
      </c>
      <c r="F2867" s="49">
        <v>75550</v>
      </c>
      <c r="G2867" s="77" t="s">
        <v>5611</v>
      </c>
      <c r="H2867" s="14" t="s">
        <v>5601</v>
      </c>
      <c r="I2867" s="14" t="s">
        <v>2458</v>
      </c>
      <c r="J2867" s="33" t="s">
        <v>7110</v>
      </c>
      <c r="K2867" s="33" t="s">
        <v>6276</v>
      </c>
      <c r="L2867" s="53" t="s">
        <v>6054</v>
      </c>
      <c r="M2867" s="68" t="s">
        <v>8912</v>
      </c>
      <c r="N2867" s="53" t="s">
        <v>6285</v>
      </c>
      <c r="O2867" s="53">
        <v>55200</v>
      </c>
      <c r="P2867" s="198" t="s">
        <v>5810</v>
      </c>
    </row>
    <row r="2868" spans="1:16" ht="18.75" hidden="1">
      <c r="A2868" s="50" t="s">
        <v>6227</v>
      </c>
      <c r="B2868" s="50" t="s">
        <v>5830</v>
      </c>
      <c r="C2868" s="50" t="s">
        <v>5925</v>
      </c>
      <c r="D2868" s="50" t="s">
        <v>5479</v>
      </c>
      <c r="E2868" s="12" t="s">
        <v>4971</v>
      </c>
      <c r="F2868" s="49">
        <v>158551</v>
      </c>
      <c r="G2868" s="77" t="s">
        <v>5631</v>
      </c>
      <c r="H2868" s="14" t="s">
        <v>5601</v>
      </c>
      <c r="I2868" s="14" t="s">
        <v>2458</v>
      </c>
      <c r="J2868" s="33" t="s">
        <v>7110</v>
      </c>
      <c r="K2868" s="33" t="s">
        <v>6276</v>
      </c>
      <c r="L2868" s="53" t="s">
        <v>6054</v>
      </c>
      <c r="M2868" s="68" t="s">
        <v>8912</v>
      </c>
      <c r="N2868" s="53" t="s">
        <v>6076</v>
      </c>
      <c r="O2868" s="53">
        <v>55301</v>
      </c>
      <c r="P2868" s="197" t="s">
        <v>5819</v>
      </c>
    </row>
    <row r="2869" spans="1:16" ht="18.75" hidden="1">
      <c r="A2869" s="50" t="s">
        <v>6229</v>
      </c>
      <c r="B2869" s="50" t="s">
        <v>5828</v>
      </c>
      <c r="C2869" s="50" t="s">
        <v>5596</v>
      </c>
      <c r="D2869" s="50" t="s">
        <v>5459</v>
      </c>
      <c r="E2869" s="12" t="s">
        <v>4971</v>
      </c>
      <c r="F2869" s="49">
        <v>49400</v>
      </c>
      <c r="G2869" s="77" t="s">
        <v>5611</v>
      </c>
      <c r="H2869" s="14" t="s">
        <v>5601</v>
      </c>
      <c r="I2869" s="14" t="s">
        <v>2458</v>
      </c>
      <c r="J2869" s="33" t="s">
        <v>7110</v>
      </c>
      <c r="K2869" s="33" t="s">
        <v>6276</v>
      </c>
      <c r="L2869" s="53" t="s">
        <v>6054</v>
      </c>
      <c r="M2869" s="68" t="s">
        <v>8912</v>
      </c>
      <c r="N2869" s="53" t="s">
        <v>6076</v>
      </c>
      <c r="O2869" s="53">
        <v>55301</v>
      </c>
      <c r="P2869" s="198" t="s">
        <v>5815</v>
      </c>
    </row>
    <row r="2870" spans="1:16" ht="18.75" hidden="1">
      <c r="A2870" s="50" t="s">
        <v>6230</v>
      </c>
      <c r="B2870" s="50" t="s">
        <v>5496</v>
      </c>
      <c r="C2870" s="50" t="s">
        <v>5969</v>
      </c>
      <c r="D2870" s="50" t="s">
        <v>5832</v>
      </c>
      <c r="E2870" s="12" t="s">
        <v>4971</v>
      </c>
      <c r="F2870" s="49">
        <v>67940</v>
      </c>
      <c r="G2870" s="77" t="s">
        <v>5647</v>
      </c>
      <c r="H2870" s="14" t="s">
        <v>5601</v>
      </c>
      <c r="I2870" s="14" t="s">
        <v>2458</v>
      </c>
      <c r="J2870" s="33" t="s">
        <v>7110</v>
      </c>
      <c r="K2870" s="33" t="s">
        <v>6276</v>
      </c>
      <c r="L2870" s="53" t="s">
        <v>6054</v>
      </c>
      <c r="M2870" s="68" t="s">
        <v>8913</v>
      </c>
      <c r="N2870" s="53" t="s">
        <v>6076</v>
      </c>
      <c r="O2870" s="53">
        <v>55301</v>
      </c>
      <c r="P2870" s="198" t="s">
        <v>5833</v>
      </c>
    </row>
    <row r="2871" spans="1:16" ht="18.75" hidden="1">
      <c r="A2871" s="50" t="s">
        <v>6230</v>
      </c>
      <c r="B2871" s="50" t="s">
        <v>5496</v>
      </c>
      <c r="C2871" s="50" t="s">
        <v>5575</v>
      </c>
      <c r="D2871" s="50" t="s">
        <v>4881</v>
      </c>
      <c r="E2871" s="12" t="s">
        <v>4971</v>
      </c>
      <c r="F2871" s="49">
        <v>119240</v>
      </c>
      <c r="G2871" s="77" t="s">
        <v>5609</v>
      </c>
      <c r="H2871" s="14" t="s">
        <v>5601</v>
      </c>
      <c r="I2871" s="14" t="s">
        <v>2458</v>
      </c>
      <c r="J2871" s="33" t="s">
        <v>7110</v>
      </c>
      <c r="K2871" s="33" t="s">
        <v>6276</v>
      </c>
      <c r="L2871" s="53" t="s">
        <v>6054</v>
      </c>
      <c r="M2871" s="68" t="s">
        <v>8913</v>
      </c>
      <c r="N2871" s="53" t="s">
        <v>6076</v>
      </c>
      <c r="O2871" s="53">
        <v>55301</v>
      </c>
      <c r="P2871" s="198" t="s">
        <v>5768</v>
      </c>
    </row>
    <row r="2872" spans="1:16" ht="18.75" hidden="1">
      <c r="A2872" s="50" t="s">
        <v>6229</v>
      </c>
      <c r="B2872" s="50" t="s">
        <v>5828</v>
      </c>
      <c r="C2872" s="50" t="s">
        <v>5903</v>
      </c>
      <c r="D2872" s="50" t="s">
        <v>5478</v>
      </c>
      <c r="E2872" s="12" t="s">
        <v>4971</v>
      </c>
      <c r="F2872" s="49">
        <v>403650</v>
      </c>
      <c r="G2872" s="77" t="s">
        <v>5631</v>
      </c>
      <c r="H2872" s="14" t="s">
        <v>5601</v>
      </c>
      <c r="I2872" s="14" t="s">
        <v>2458</v>
      </c>
      <c r="J2872" s="33" t="s">
        <v>7110</v>
      </c>
      <c r="K2872" s="33" t="s">
        <v>6276</v>
      </c>
      <c r="L2872" s="53" t="s">
        <v>6054</v>
      </c>
      <c r="M2872" s="68" t="s">
        <v>8912</v>
      </c>
      <c r="N2872" s="53" t="s">
        <v>6076</v>
      </c>
      <c r="O2872" s="53">
        <v>55301</v>
      </c>
      <c r="P2872" s="197" t="s">
        <v>5819</v>
      </c>
    </row>
    <row r="2873" spans="1:16" ht="18.75" hidden="1">
      <c r="A2873" s="50" t="s">
        <v>6231</v>
      </c>
      <c r="B2873" s="50" t="s">
        <v>5828</v>
      </c>
      <c r="C2873" s="50" t="s">
        <v>5903</v>
      </c>
      <c r="D2873" s="50" t="s">
        <v>5478</v>
      </c>
      <c r="E2873" s="12" t="s">
        <v>4971</v>
      </c>
      <c r="F2873" s="49">
        <v>49060</v>
      </c>
      <c r="G2873" s="77" t="s">
        <v>5631</v>
      </c>
      <c r="H2873" s="14" t="s">
        <v>5601</v>
      </c>
      <c r="I2873" s="14" t="s">
        <v>2458</v>
      </c>
      <c r="J2873" s="33" t="s">
        <v>7110</v>
      </c>
      <c r="K2873" s="33" t="s">
        <v>6276</v>
      </c>
      <c r="L2873" s="53" t="s">
        <v>6054</v>
      </c>
      <c r="M2873" s="68" t="s">
        <v>8913</v>
      </c>
      <c r="N2873" s="53" t="s">
        <v>6286</v>
      </c>
      <c r="O2873" s="53">
        <v>55107</v>
      </c>
      <c r="P2873" s="197" t="s">
        <v>5819</v>
      </c>
    </row>
    <row r="2874" spans="1:16" ht="18.75" hidden="1">
      <c r="A2874" s="50" t="s">
        <v>6232</v>
      </c>
      <c r="B2874" s="50" t="s">
        <v>5835</v>
      </c>
      <c r="C2874" s="50" t="s">
        <v>5953</v>
      </c>
      <c r="D2874" s="50" t="s">
        <v>5828</v>
      </c>
      <c r="E2874" s="12" t="s">
        <v>4971</v>
      </c>
      <c r="F2874" s="49">
        <v>466320</v>
      </c>
      <c r="G2874" s="77" t="s">
        <v>5647</v>
      </c>
      <c r="H2874" s="14" t="s">
        <v>5601</v>
      </c>
      <c r="I2874" s="14" t="s">
        <v>2458</v>
      </c>
      <c r="J2874" s="33" t="s">
        <v>7110</v>
      </c>
      <c r="K2874" s="33" t="s">
        <v>6276</v>
      </c>
      <c r="L2874" s="53" t="s">
        <v>6054</v>
      </c>
      <c r="M2874" s="68" t="s">
        <v>8913</v>
      </c>
      <c r="N2874" s="53" t="s">
        <v>6076</v>
      </c>
      <c r="O2874" s="53">
        <v>55301</v>
      </c>
      <c r="P2874" s="198" t="s">
        <v>5829</v>
      </c>
    </row>
    <row r="2875" spans="1:16" ht="18.75" hidden="1">
      <c r="A2875" s="50" t="s">
        <v>6219</v>
      </c>
      <c r="B2875" s="50" t="s">
        <v>5839</v>
      </c>
      <c r="C2875" s="50" t="s">
        <v>5984</v>
      </c>
      <c r="D2875" s="50" t="s">
        <v>5837</v>
      </c>
      <c r="E2875" s="12" t="s">
        <v>4971</v>
      </c>
      <c r="F2875" s="49">
        <v>145000</v>
      </c>
      <c r="G2875" s="77" t="s">
        <v>5647</v>
      </c>
      <c r="H2875" s="14" t="s">
        <v>5601</v>
      </c>
      <c r="I2875" s="14" t="s">
        <v>2458</v>
      </c>
      <c r="J2875" s="33" t="s">
        <v>7110</v>
      </c>
      <c r="K2875" s="33" t="s">
        <v>6276</v>
      </c>
      <c r="L2875" s="53" t="s">
        <v>6054</v>
      </c>
      <c r="M2875" s="68" t="s">
        <v>8913</v>
      </c>
      <c r="N2875" s="53" t="s">
        <v>6076</v>
      </c>
      <c r="O2875" s="53">
        <v>55301</v>
      </c>
      <c r="P2875" s="198" t="s">
        <v>5838</v>
      </c>
    </row>
    <row r="2876" spans="1:16" ht="18.75" hidden="1">
      <c r="A2876" s="50" t="s">
        <v>6233</v>
      </c>
      <c r="B2876" s="50" t="s">
        <v>5837</v>
      </c>
      <c r="C2876" s="50" t="s">
        <v>5878</v>
      </c>
      <c r="D2876" s="50" t="s">
        <v>5418</v>
      </c>
      <c r="E2876" s="12" t="s">
        <v>4971</v>
      </c>
      <c r="F2876" s="49">
        <v>34870</v>
      </c>
      <c r="G2876" s="77" t="s">
        <v>5611</v>
      </c>
      <c r="H2876" s="14" t="s">
        <v>5601</v>
      </c>
      <c r="I2876" s="14" t="s">
        <v>2458</v>
      </c>
      <c r="J2876" s="33" t="s">
        <v>7110</v>
      </c>
      <c r="K2876" s="33" t="s">
        <v>6276</v>
      </c>
      <c r="L2876" s="53" t="s">
        <v>6054</v>
      </c>
      <c r="M2876" s="68" t="s">
        <v>8913</v>
      </c>
      <c r="N2876" s="53" t="s">
        <v>6076</v>
      </c>
      <c r="O2876" s="53">
        <v>55301</v>
      </c>
      <c r="P2876" s="198" t="s">
        <v>5810</v>
      </c>
    </row>
    <row r="2877" spans="1:16" ht="18.75" hidden="1">
      <c r="A2877" s="50" t="s">
        <v>6234</v>
      </c>
      <c r="B2877" s="50" t="s">
        <v>6252</v>
      </c>
      <c r="C2877" s="50" t="s">
        <v>5598</v>
      </c>
      <c r="D2877" s="50" t="s">
        <v>5557</v>
      </c>
      <c r="E2877" s="12" t="s">
        <v>4971</v>
      </c>
      <c r="F2877" s="49">
        <v>117150</v>
      </c>
      <c r="G2877" s="77" t="s">
        <v>5611</v>
      </c>
      <c r="H2877" s="14" t="s">
        <v>5601</v>
      </c>
      <c r="I2877" s="14" t="s">
        <v>2458</v>
      </c>
      <c r="J2877" s="33" t="s">
        <v>7110</v>
      </c>
      <c r="K2877" s="33" t="s">
        <v>6276</v>
      </c>
      <c r="L2877" s="53" t="s">
        <v>6054</v>
      </c>
      <c r="M2877" s="68" t="s">
        <v>8912</v>
      </c>
      <c r="N2877" s="53" t="s">
        <v>6076</v>
      </c>
      <c r="O2877" s="53">
        <v>55301</v>
      </c>
      <c r="P2877" s="198" t="s">
        <v>5810</v>
      </c>
    </row>
    <row r="2878" spans="1:16" ht="18.75" hidden="1">
      <c r="A2878" s="50" t="s">
        <v>6233</v>
      </c>
      <c r="B2878" s="50" t="s">
        <v>5837</v>
      </c>
      <c r="C2878" s="50" t="s">
        <v>5882</v>
      </c>
      <c r="D2878" s="50" t="s">
        <v>5457</v>
      </c>
      <c r="E2878" s="12" t="s">
        <v>4971</v>
      </c>
      <c r="F2878" s="49">
        <v>56459</v>
      </c>
      <c r="G2878" s="77" t="s">
        <v>5611</v>
      </c>
      <c r="H2878" s="14" t="s">
        <v>5601</v>
      </c>
      <c r="I2878" s="14" t="s">
        <v>2458</v>
      </c>
      <c r="J2878" s="33" t="s">
        <v>7110</v>
      </c>
      <c r="K2878" s="33" t="s">
        <v>6276</v>
      </c>
      <c r="L2878" s="53" t="s">
        <v>6054</v>
      </c>
      <c r="M2878" s="68" t="s">
        <v>8913</v>
      </c>
      <c r="N2878" s="53" t="s">
        <v>6076</v>
      </c>
      <c r="O2878" s="53">
        <v>55301</v>
      </c>
      <c r="P2878" s="198" t="s">
        <v>5810</v>
      </c>
    </row>
    <row r="2879" spans="1:16" ht="18.75" hidden="1">
      <c r="A2879" s="50" t="s">
        <v>6233</v>
      </c>
      <c r="B2879" s="50" t="s">
        <v>5837</v>
      </c>
      <c r="C2879" s="50" t="s">
        <v>5879</v>
      </c>
      <c r="D2879" s="50" t="s">
        <v>5414</v>
      </c>
      <c r="E2879" s="12" t="s">
        <v>4971</v>
      </c>
      <c r="F2879" s="49">
        <v>92000</v>
      </c>
      <c r="G2879" s="77" t="s">
        <v>5611</v>
      </c>
      <c r="H2879" s="14" t="s">
        <v>5601</v>
      </c>
      <c r="I2879" s="14" t="s">
        <v>2458</v>
      </c>
      <c r="J2879" s="33" t="s">
        <v>7110</v>
      </c>
      <c r="K2879" s="33" t="s">
        <v>6276</v>
      </c>
      <c r="L2879" s="53" t="s">
        <v>6054</v>
      </c>
      <c r="M2879" s="68" t="s">
        <v>8913</v>
      </c>
      <c r="N2879" s="53" t="s">
        <v>6076</v>
      </c>
      <c r="O2879" s="53">
        <v>55301</v>
      </c>
      <c r="P2879" s="198" t="s">
        <v>5810</v>
      </c>
    </row>
    <row r="2880" spans="1:16" ht="18.75" hidden="1">
      <c r="A2880" s="50" t="s">
        <v>6235</v>
      </c>
      <c r="B2880" s="50" t="s">
        <v>5830</v>
      </c>
      <c r="C2880" s="50" t="s">
        <v>5925</v>
      </c>
      <c r="D2880" s="50" t="s">
        <v>5479</v>
      </c>
      <c r="E2880" s="12" t="s">
        <v>4971</v>
      </c>
      <c r="F2880" s="49">
        <v>31829</v>
      </c>
      <c r="G2880" s="77" t="s">
        <v>5631</v>
      </c>
      <c r="H2880" s="14" t="s">
        <v>5601</v>
      </c>
      <c r="I2880" s="14" t="s">
        <v>2458</v>
      </c>
      <c r="J2880" s="33" t="s">
        <v>7110</v>
      </c>
      <c r="K2880" s="33" t="s">
        <v>6276</v>
      </c>
      <c r="L2880" s="53" t="s">
        <v>6054</v>
      </c>
      <c r="M2880" s="68" t="s">
        <v>8913</v>
      </c>
      <c r="N2880" s="53" t="s">
        <v>6286</v>
      </c>
      <c r="O2880" s="53">
        <v>55107</v>
      </c>
      <c r="P2880" s="197" t="s">
        <v>5819</v>
      </c>
    </row>
    <row r="2881" spans="1:16" ht="18.75" hidden="1">
      <c r="A2881" s="50" t="s">
        <v>6236</v>
      </c>
      <c r="B2881" s="50" t="s">
        <v>5832</v>
      </c>
      <c r="C2881" s="50" t="s">
        <v>5585</v>
      </c>
      <c r="D2881" s="50" t="s">
        <v>5565</v>
      </c>
      <c r="E2881" s="12" t="s">
        <v>4971</v>
      </c>
      <c r="F2881" s="49">
        <v>160170</v>
      </c>
      <c r="G2881" s="77" t="s">
        <v>5631</v>
      </c>
      <c r="H2881" s="14" t="s">
        <v>5601</v>
      </c>
      <c r="I2881" s="14" t="s">
        <v>2458</v>
      </c>
      <c r="J2881" s="33" t="s">
        <v>7110</v>
      </c>
      <c r="K2881" s="33" t="s">
        <v>6276</v>
      </c>
      <c r="L2881" s="53" t="s">
        <v>6054</v>
      </c>
      <c r="M2881" s="68" t="s">
        <v>8912</v>
      </c>
      <c r="N2881" s="53" t="s">
        <v>6076</v>
      </c>
      <c r="O2881" s="53">
        <v>55301</v>
      </c>
      <c r="P2881" s="197" t="s">
        <v>5807</v>
      </c>
    </row>
    <row r="2882" spans="1:16" ht="18.75" hidden="1">
      <c r="A2882" s="50" t="s">
        <v>6237</v>
      </c>
      <c r="B2882" s="50" t="s">
        <v>5832</v>
      </c>
      <c r="C2882" s="50" t="s">
        <v>5921</v>
      </c>
      <c r="D2882" s="50" t="s">
        <v>5562</v>
      </c>
      <c r="E2882" s="12" t="s">
        <v>4971</v>
      </c>
      <c r="F2882" s="49">
        <v>15360</v>
      </c>
      <c r="G2882" s="77" t="s">
        <v>5647</v>
      </c>
      <c r="H2882" s="14" t="s">
        <v>5601</v>
      </c>
      <c r="I2882" s="14" t="s">
        <v>2458</v>
      </c>
      <c r="J2882" s="33" t="s">
        <v>7110</v>
      </c>
      <c r="K2882" s="33" t="s">
        <v>6276</v>
      </c>
      <c r="L2882" s="53" t="s">
        <v>6054</v>
      </c>
      <c r="M2882" s="68" t="s">
        <v>8913</v>
      </c>
      <c r="N2882" s="53" t="s">
        <v>6286</v>
      </c>
      <c r="O2882" s="53">
        <v>55107</v>
      </c>
      <c r="P2882" s="198" t="s">
        <v>5823</v>
      </c>
    </row>
    <row r="2883" spans="1:16" ht="18.75" hidden="1">
      <c r="A2883" s="50" t="s">
        <v>6235</v>
      </c>
      <c r="B2883" s="50" t="s">
        <v>5830</v>
      </c>
      <c r="C2883" s="50" t="s">
        <v>5571</v>
      </c>
      <c r="D2883" s="50" t="s">
        <v>5459</v>
      </c>
      <c r="E2883" s="12" t="s">
        <v>4971</v>
      </c>
      <c r="F2883" s="49">
        <v>37311</v>
      </c>
      <c r="G2883" s="77" t="s">
        <v>5611</v>
      </c>
      <c r="H2883" s="14" t="s">
        <v>5601</v>
      </c>
      <c r="I2883" s="14" t="s">
        <v>2458</v>
      </c>
      <c r="J2883" s="33" t="s">
        <v>7110</v>
      </c>
      <c r="K2883" s="33" t="s">
        <v>6276</v>
      </c>
      <c r="L2883" s="53" t="s">
        <v>6054</v>
      </c>
      <c r="M2883" s="68" t="s">
        <v>8913</v>
      </c>
      <c r="N2883" s="53" t="s">
        <v>6286</v>
      </c>
      <c r="O2883" s="53">
        <v>55107</v>
      </c>
      <c r="P2883" s="198" t="s">
        <v>5815</v>
      </c>
    </row>
    <row r="2884" spans="1:16" ht="18.75" hidden="1">
      <c r="A2884" s="50" t="s">
        <v>6237</v>
      </c>
      <c r="B2884" s="50" t="s">
        <v>5832</v>
      </c>
      <c r="C2884" s="50" t="s">
        <v>5585</v>
      </c>
      <c r="D2884" s="50" t="s">
        <v>5565</v>
      </c>
      <c r="E2884" s="12" t="s">
        <v>4971</v>
      </c>
      <c r="F2884" s="49">
        <v>33011</v>
      </c>
      <c r="G2884" s="77" t="s">
        <v>5631</v>
      </c>
      <c r="H2884" s="14" t="s">
        <v>5601</v>
      </c>
      <c r="I2884" s="14" t="s">
        <v>2458</v>
      </c>
      <c r="J2884" s="33" t="s">
        <v>7110</v>
      </c>
      <c r="K2884" s="33" t="s">
        <v>6276</v>
      </c>
      <c r="L2884" s="53" t="s">
        <v>6054</v>
      </c>
      <c r="M2884" s="68" t="s">
        <v>8913</v>
      </c>
      <c r="N2884" s="53" t="s">
        <v>6286</v>
      </c>
      <c r="O2884" s="53">
        <v>55107</v>
      </c>
      <c r="P2884" s="197" t="s">
        <v>5807</v>
      </c>
    </row>
    <row r="2885" spans="1:16" ht="18.75" hidden="1">
      <c r="A2885" s="50" t="s">
        <v>6237</v>
      </c>
      <c r="B2885" s="50" t="s">
        <v>5832</v>
      </c>
      <c r="C2885" s="50" t="s">
        <v>5910</v>
      </c>
      <c r="D2885" s="50" t="s">
        <v>5482</v>
      </c>
      <c r="E2885" s="12" t="s">
        <v>4971</v>
      </c>
      <c r="F2885" s="49">
        <v>23829</v>
      </c>
      <c r="G2885" s="77" t="s">
        <v>5631</v>
      </c>
      <c r="H2885" s="14" t="s">
        <v>5601</v>
      </c>
      <c r="I2885" s="14" t="s">
        <v>2458</v>
      </c>
      <c r="J2885" s="33" t="s">
        <v>7110</v>
      </c>
      <c r="K2885" s="33" t="s">
        <v>6276</v>
      </c>
      <c r="L2885" s="53" t="s">
        <v>6054</v>
      </c>
      <c r="M2885" s="68" t="s">
        <v>8913</v>
      </c>
      <c r="N2885" s="53" t="s">
        <v>6286</v>
      </c>
      <c r="O2885" s="53">
        <v>55107</v>
      </c>
      <c r="P2885" s="197" t="s">
        <v>5819</v>
      </c>
    </row>
    <row r="2886" spans="1:16" ht="18.75" hidden="1">
      <c r="A2886" s="50" t="s">
        <v>6233</v>
      </c>
      <c r="B2886" s="50" t="s">
        <v>5837</v>
      </c>
      <c r="C2886" s="50" t="s">
        <v>5922</v>
      </c>
      <c r="D2886" s="50" t="s">
        <v>5562</v>
      </c>
      <c r="E2886" s="12" t="s">
        <v>4971</v>
      </c>
      <c r="F2886" s="49">
        <v>272871</v>
      </c>
      <c r="G2886" s="77" t="s">
        <v>5611</v>
      </c>
      <c r="H2886" s="14" t="s">
        <v>5601</v>
      </c>
      <c r="I2886" s="14" t="s">
        <v>2458</v>
      </c>
      <c r="J2886" s="33" t="s">
        <v>7110</v>
      </c>
      <c r="K2886" s="33" t="s">
        <v>6276</v>
      </c>
      <c r="L2886" s="53" t="s">
        <v>6054</v>
      </c>
      <c r="M2886" s="68" t="s">
        <v>8913</v>
      </c>
      <c r="N2886" s="53" t="s">
        <v>6076</v>
      </c>
      <c r="O2886" s="53">
        <v>55301</v>
      </c>
      <c r="P2886" s="198" t="s">
        <v>5813</v>
      </c>
    </row>
    <row r="2887" spans="1:16" ht="18.75" hidden="1">
      <c r="A2887" s="50" t="s">
        <v>6221</v>
      </c>
      <c r="B2887" s="50" t="s">
        <v>5832</v>
      </c>
      <c r="C2887" s="50" t="s">
        <v>5922</v>
      </c>
      <c r="D2887" s="50" t="s">
        <v>5562</v>
      </c>
      <c r="E2887" s="12" t="s">
        <v>4971</v>
      </c>
      <c r="F2887" s="49">
        <v>128069</v>
      </c>
      <c r="G2887" s="77" t="s">
        <v>5611</v>
      </c>
      <c r="H2887" s="14" t="s">
        <v>5601</v>
      </c>
      <c r="I2887" s="14" t="s">
        <v>2458</v>
      </c>
      <c r="J2887" s="33" t="s">
        <v>7110</v>
      </c>
      <c r="K2887" s="33" t="s">
        <v>6276</v>
      </c>
      <c r="L2887" s="53" t="s">
        <v>6054</v>
      </c>
      <c r="M2887" s="68" t="s">
        <v>8913</v>
      </c>
      <c r="N2887" s="53" t="s">
        <v>6076</v>
      </c>
      <c r="O2887" s="53">
        <v>55301</v>
      </c>
      <c r="P2887" s="198" t="s">
        <v>5813</v>
      </c>
    </row>
    <row r="2888" spans="1:16" ht="18.75" hidden="1">
      <c r="A2888" s="50" t="s">
        <v>6238</v>
      </c>
      <c r="B2888" s="50" t="s">
        <v>5837</v>
      </c>
      <c r="C2888" s="50" t="s">
        <v>5593</v>
      </c>
      <c r="D2888" s="50" t="s">
        <v>5565</v>
      </c>
      <c r="E2888" s="12" t="s">
        <v>4971</v>
      </c>
      <c r="F2888" s="49">
        <v>47680</v>
      </c>
      <c r="G2888" s="77" t="s">
        <v>5611</v>
      </c>
      <c r="H2888" s="14" t="s">
        <v>5601</v>
      </c>
      <c r="I2888" s="14" t="s">
        <v>2458</v>
      </c>
      <c r="J2888" s="33" t="s">
        <v>7110</v>
      </c>
      <c r="K2888" s="33" t="s">
        <v>6276</v>
      </c>
      <c r="L2888" s="53" t="s">
        <v>6054</v>
      </c>
      <c r="M2888" s="68" t="s">
        <v>8912</v>
      </c>
      <c r="N2888" s="53" t="s">
        <v>6286</v>
      </c>
      <c r="O2888" s="53">
        <v>55107</v>
      </c>
      <c r="P2888" s="198" t="s">
        <v>5810</v>
      </c>
    </row>
    <row r="2889" spans="1:16" ht="18.75" hidden="1">
      <c r="A2889" s="50" t="s">
        <v>6239</v>
      </c>
      <c r="B2889" s="50" t="s">
        <v>5840</v>
      </c>
      <c r="C2889" s="50" t="s">
        <v>5880</v>
      </c>
      <c r="D2889" s="50" t="s">
        <v>5414</v>
      </c>
      <c r="E2889" s="12" t="s">
        <v>4971</v>
      </c>
      <c r="F2889" s="49">
        <v>94690</v>
      </c>
      <c r="G2889" s="77" t="s">
        <v>5611</v>
      </c>
      <c r="H2889" s="14" t="s">
        <v>5601</v>
      </c>
      <c r="I2889" s="14" t="s">
        <v>2458</v>
      </c>
      <c r="J2889" s="33" t="s">
        <v>7110</v>
      </c>
      <c r="K2889" s="33" t="s">
        <v>6276</v>
      </c>
      <c r="L2889" s="53" t="s">
        <v>6054</v>
      </c>
      <c r="M2889" s="68" t="s">
        <v>8913</v>
      </c>
      <c r="N2889" s="53" t="s">
        <v>6076</v>
      </c>
      <c r="O2889" s="53">
        <v>55301</v>
      </c>
      <c r="P2889" s="198" t="s">
        <v>5810</v>
      </c>
    </row>
    <row r="2890" spans="1:16" ht="18.75" hidden="1">
      <c r="A2890" s="50" t="s">
        <v>6240</v>
      </c>
      <c r="B2890" s="50" t="s">
        <v>5830</v>
      </c>
      <c r="C2890" s="50" t="s">
        <v>5585</v>
      </c>
      <c r="D2890" s="50" t="s">
        <v>5565</v>
      </c>
      <c r="E2890" s="12" t="s">
        <v>4971</v>
      </c>
      <c r="F2890" s="49">
        <v>380920</v>
      </c>
      <c r="G2890" s="77" t="s">
        <v>5631</v>
      </c>
      <c r="H2890" s="14" t="s">
        <v>5601</v>
      </c>
      <c r="I2890" s="14" t="s">
        <v>2458</v>
      </c>
      <c r="J2890" s="33" t="s">
        <v>7110</v>
      </c>
      <c r="K2890" s="33" t="s">
        <v>6276</v>
      </c>
      <c r="L2890" s="53" t="s">
        <v>6054</v>
      </c>
      <c r="M2890" s="68" t="s">
        <v>8913</v>
      </c>
      <c r="N2890" s="53" t="s">
        <v>6076</v>
      </c>
      <c r="O2890" s="53">
        <v>55301</v>
      </c>
      <c r="P2890" s="197" t="s">
        <v>5807</v>
      </c>
    </row>
    <row r="2891" spans="1:16" ht="18.75" hidden="1">
      <c r="A2891" s="50" t="s">
        <v>6239</v>
      </c>
      <c r="B2891" s="50" t="s">
        <v>5840</v>
      </c>
      <c r="C2891" s="50" t="s">
        <v>5930</v>
      </c>
      <c r="D2891" s="50" t="s">
        <v>5460</v>
      </c>
      <c r="E2891" s="12" t="s">
        <v>4971</v>
      </c>
      <c r="F2891" s="49">
        <v>118230</v>
      </c>
      <c r="G2891" s="77" t="s">
        <v>5611</v>
      </c>
      <c r="H2891" s="14" t="s">
        <v>5601</v>
      </c>
      <c r="I2891" s="14" t="s">
        <v>2458</v>
      </c>
      <c r="J2891" s="33" t="s">
        <v>7110</v>
      </c>
      <c r="K2891" s="33" t="s">
        <v>6276</v>
      </c>
      <c r="L2891" s="53" t="s">
        <v>6054</v>
      </c>
      <c r="M2891" s="68" t="s">
        <v>8913</v>
      </c>
      <c r="N2891" s="53" t="s">
        <v>6076</v>
      </c>
      <c r="O2891" s="53">
        <v>55301</v>
      </c>
      <c r="P2891" s="198" t="s">
        <v>5813</v>
      </c>
    </row>
    <row r="2892" spans="1:16" ht="18.75" hidden="1">
      <c r="A2892" s="50" t="s">
        <v>6241</v>
      </c>
      <c r="B2892" s="50" t="s">
        <v>5835</v>
      </c>
      <c r="C2892" s="50" t="s">
        <v>5922</v>
      </c>
      <c r="D2892" s="50" t="s">
        <v>5562</v>
      </c>
      <c r="E2892" s="12" t="s">
        <v>4971</v>
      </c>
      <c r="F2892" s="49">
        <v>49060</v>
      </c>
      <c r="G2892" s="77" t="s">
        <v>5611</v>
      </c>
      <c r="H2892" s="14" t="s">
        <v>5601</v>
      </c>
      <c r="I2892" s="14" t="s">
        <v>2458</v>
      </c>
      <c r="J2892" s="33" t="s">
        <v>7110</v>
      </c>
      <c r="K2892" s="33" t="s">
        <v>6276</v>
      </c>
      <c r="L2892" s="53" t="s">
        <v>6054</v>
      </c>
      <c r="M2892" s="68" t="s">
        <v>8912</v>
      </c>
      <c r="N2892" s="53" t="s">
        <v>6285</v>
      </c>
      <c r="O2892" s="53">
        <v>55200</v>
      </c>
      <c r="P2892" s="198" t="s">
        <v>5813</v>
      </c>
    </row>
    <row r="2893" spans="1:16" ht="18.75" hidden="1">
      <c r="A2893" s="50" t="s">
        <v>6242</v>
      </c>
      <c r="B2893" s="50" t="s">
        <v>5849</v>
      </c>
      <c r="C2893" s="50" t="s">
        <v>5932</v>
      </c>
      <c r="D2893" s="50" t="s">
        <v>5460</v>
      </c>
      <c r="E2893" s="12" t="s">
        <v>4971</v>
      </c>
      <c r="F2893" s="49">
        <v>163610</v>
      </c>
      <c r="G2893" s="77" t="s">
        <v>5631</v>
      </c>
      <c r="H2893" s="14" t="s">
        <v>5601</v>
      </c>
      <c r="I2893" s="14" t="s">
        <v>2458</v>
      </c>
      <c r="J2893" s="33" t="s">
        <v>7110</v>
      </c>
      <c r="K2893" s="33" t="s">
        <v>6276</v>
      </c>
      <c r="L2893" s="53" t="s">
        <v>6054</v>
      </c>
      <c r="M2893" s="68" t="s">
        <v>8912</v>
      </c>
      <c r="N2893" s="53" t="s">
        <v>6076</v>
      </c>
      <c r="O2893" s="53">
        <v>55301</v>
      </c>
      <c r="P2893" s="197" t="s">
        <v>5819</v>
      </c>
    </row>
    <row r="2894" spans="1:16" ht="18.75" hidden="1">
      <c r="A2894" s="50" t="s">
        <v>6289</v>
      </c>
      <c r="B2894" s="50" t="s">
        <v>5840</v>
      </c>
      <c r="C2894" s="50" t="s">
        <v>5930</v>
      </c>
      <c r="D2894" s="50" t="s">
        <v>5460</v>
      </c>
      <c r="E2894" s="12" t="s">
        <v>4971</v>
      </c>
      <c r="F2894" s="49">
        <v>21770</v>
      </c>
      <c r="G2894" s="77" t="s">
        <v>6298</v>
      </c>
      <c r="H2894" s="14" t="s">
        <v>5601</v>
      </c>
      <c r="I2894" s="14" t="s">
        <v>2458</v>
      </c>
      <c r="J2894" s="33" t="s">
        <v>7110</v>
      </c>
      <c r="K2894" s="33" t="s">
        <v>6302</v>
      </c>
      <c r="L2894" s="53" t="s">
        <v>6054</v>
      </c>
      <c r="M2894" s="68" t="s">
        <v>8913</v>
      </c>
      <c r="N2894" s="53" t="s">
        <v>6286</v>
      </c>
      <c r="O2894" s="53">
        <v>55107</v>
      </c>
      <c r="P2894" s="198" t="s">
        <v>5813</v>
      </c>
    </row>
    <row r="2895" spans="1:16" ht="18.75" hidden="1">
      <c r="A2895" s="50" t="s">
        <v>6290</v>
      </c>
      <c r="B2895" s="50" t="s">
        <v>5849</v>
      </c>
      <c r="C2895" s="50" t="s">
        <v>5913</v>
      </c>
      <c r="D2895" s="50" t="s">
        <v>5560</v>
      </c>
      <c r="E2895" s="12" t="s">
        <v>4971</v>
      </c>
      <c r="F2895" s="49">
        <v>19940</v>
      </c>
      <c r="G2895" s="77" t="s">
        <v>6298</v>
      </c>
      <c r="H2895" s="14" t="s">
        <v>5601</v>
      </c>
      <c r="I2895" s="14" t="s">
        <v>2458</v>
      </c>
      <c r="J2895" s="33" t="s">
        <v>7110</v>
      </c>
      <c r="K2895" s="33" t="s">
        <v>6302</v>
      </c>
      <c r="L2895" s="53" t="s">
        <v>6054</v>
      </c>
      <c r="M2895" s="68" t="s">
        <v>8913</v>
      </c>
      <c r="N2895" s="53" t="s">
        <v>6286</v>
      </c>
      <c r="O2895" s="53">
        <v>55107</v>
      </c>
      <c r="P2895" s="198" t="s">
        <v>5813</v>
      </c>
    </row>
    <row r="2896" spans="1:16" ht="18.75" hidden="1">
      <c r="A2896" s="50" t="s">
        <v>6290</v>
      </c>
      <c r="B2896" s="50" t="s">
        <v>5849</v>
      </c>
      <c r="C2896" s="50" t="s">
        <v>5905</v>
      </c>
      <c r="D2896" s="50" t="s">
        <v>5478</v>
      </c>
      <c r="E2896" s="12" t="s">
        <v>4971</v>
      </c>
      <c r="F2896" s="49">
        <v>53500</v>
      </c>
      <c r="G2896" s="77" t="s">
        <v>6298</v>
      </c>
      <c r="H2896" s="14" t="s">
        <v>5601</v>
      </c>
      <c r="I2896" s="14" t="s">
        <v>2458</v>
      </c>
      <c r="J2896" s="33" t="s">
        <v>7110</v>
      </c>
      <c r="K2896" s="33" t="s">
        <v>6302</v>
      </c>
      <c r="L2896" s="53" t="s">
        <v>6054</v>
      </c>
      <c r="M2896" s="68" t="s">
        <v>8913</v>
      </c>
      <c r="N2896" s="53" t="s">
        <v>6286</v>
      </c>
      <c r="O2896" s="53">
        <v>55107</v>
      </c>
      <c r="P2896" s="198" t="s">
        <v>5813</v>
      </c>
    </row>
    <row r="2897" spans="1:16" ht="18.75" hidden="1">
      <c r="A2897" s="50" t="s">
        <v>6289</v>
      </c>
      <c r="B2897" s="50" t="s">
        <v>5840</v>
      </c>
      <c r="C2897" s="50" t="s">
        <v>5989</v>
      </c>
      <c r="D2897" s="50" t="s">
        <v>5496</v>
      </c>
      <c r="E2897" s="12" t="s">
        <v>4971</v>
      </c>
      <c r="F2897" s="49">
        <v>111980</v>
      </c>
      <c r="G2897" s="77" t="s">
        <v>6299</v>
      </c>
      <c r="H2897" s="14" t="s">
        <v>5601</v>
      </c>
      <c r="I2897" s="14" t="s">
        <v>2458</v>
      </c>
      <c r="J2897" s="33" t="s">
        <v>7110</v>
      </c>
      <c r="K2897" s="33" t="s">
        <v>6302</v>
      </c>
      <c r="L2897" s="53" t="s">
        <v>6054</v>
      </c>
      <c r="M2897" s="68" t="s">
        <v>8913</v>
      </c>
      <c r="N2897" s="53" t="s">
        <v>6286</v>
      </c>
      <c r="O2897" s="53">
        <v>55107</v>
      </c>
      <c r="P2897" s="198" t="s">
        <v>5838</v>
      </c>
    </row>
    <row r="2898" spans="1:16" ht="18.75" hidden="1">
      <c r="A2898" s="50" t="s">
        <v>6289</v>
      </c>
      <c r="B2898" s="50" t="s">
        <v>5840</v>
      </c>
      <c r="C2898" s="50" t="s">
        <v>5928</v>
      </c>
      <c r="D2898" s="50" t="s">
        <v>5460</v>
      </c>
      <c r="E2898" s="12" t="s">
        <v>4971</v>
      </c>
      <c r="F2898" s="49">
        <v>10170</v>
      </c>
      <c r="G2898" s="77" t="s">
        <v>6298</v>
      </c>
      <c r="H2898" s="14" t="s">
        <v>5601</v>
      </c>
      <c r="I2898" s="14" t="s">
        <v>2458</v>
      </c>
      <c r="J2898" s="33" t="s">
        <v>7110</v>
      </c>
      <c r="K2898" s="33" t="s">
        <v>6302</v>
      </c>
      <c r="L2898" s="53" t="s">
        <v>6054</v>
      </c>
      <c r="M2898" s="68" t="s">
        <v>8913</v>
      </c>
      <c r="N2898" s="53" t="s">
        <v>6286</v>
      </c>
      <c r="O2898" s="53">
        <v>55107</v>
      </c>
      <c r="P2898" s="198" t="s">
        <v>5813</v>
      </c>
    </row>
    <row r="2899" spans="1:16" ht="18.75" hidden="1">
      <c r="A2899" s="50" t="s">
        <v>6291</v>
      </c>
      <c r="B2899" s="50" t="s">
        <v>6249</v>
      </c>
      <c r="C2899" s="50" t="s">
        <v>5959</v>
      </c>
      <c r="D2899" s="50" t="s">
        <v>5830</v>
      </c>
      <c r="E2899" s="12" t="s">
        <v>4971</v>
      </c>
      <c r="F2899" s="49">
        <v>96480</v>
      </c>
      <c r="G2899" s="77" t="s">
        <v>6300</v>
      </c>
      <c r="H2899" s="14" t="s">
        <v>5601</v>
      </c>
      <c r="I2899" s="14" t="s">
        <v>2458</v>
      </c>
      <c r="J2899" s="33" t="s">
        <v>7110</v>
      </c>
      <c r="K2899" s="33" t="s">
        <v>6302</v>
      </c>
      <c r="L2899" s="53" t="s">
        <v>6054</v>
      </c>
      <c r="M2899" s="68" t="s">
        <v>8913</v>
      </c>
      <c r="N2899" s="53" t="s">
        <v>6286</v>
      </c>
      <c r="O2899" s="53">
        <v>55107</v>
      </c>
      <c r="P2899" s="197" t="s">
        <v>5807</v>
      </c>
    </row>
    <row r="2900" spans="1:16" ht="18.75" hidden="1">
      <c r="A2900" s="50" t="s">
        <v>6292</v>
      </c>
      <c r="B2900" s="50" t="s">
        <v>6250</v>
      </c>
      <c r="C2900" s="50" t="s">
        <v>6273</v>
      </c>
      <c r="D2900" s="50" t="s">
        <v>6248</v>
      </c>
      <c r="E2900" s="12" t="s">
        <v>4971</v>
      </c>
      <c r="F2900" s="49">
        <v>404500</v>
      </c>
      <c r="G2900" s="77" t="s">
        <v>6298</v>
      </c>
      <c r="H2900" s="14" t="s">
        <v>5601</v>
      </c>
      <c r="I2900" s="14" t="s">
        <v>2458</v>
      </c>
      <c r="J2900" s="33" t="s">
        <v>7110</v>
      </c>
      <c r="K2900" s="33" t="s">
        <v>6302</v>
      </c>
      <c r="L2900" s="53" t="s">
        <v>6054</v>
      </c>
      <c r="M2900" s="68" t="s">
        <v>8913</v>
      </c>
      <c r="N2900" s="53" t="s">
        <v>6076</v>
      </c>
      <c r="O2900" s="53">
        <v>55301</v>
      </c>
      <c r="P2900" s="198" t="s">
        <v>5831</v>
      </c>
    </row>
    <row r="2901" spans="1:16" ht="18.75" hidden="1">
      <c r="A2901" s="50" t="s">
        <v>6293</v>
      </c>
      <c r="B2901" s="50" t="s">
        <v>6075</v>
      </c>
      <c r="C2901" s="50" t="s">
        <v>6024</v>
      </c>
      <c r="D2901" s="50" t="s">
        <v>5846</v>
      </c>
      <c r="E2901" s="12" t="s">
        <v>4971</v>
      </c>
      <c r="F2901" s="49">
        <v>147180</v>
      </c>
      <c r="G2901" s="77" t="s">
        <v>6298</v>
      </c>
      <c r="H2901" s="14" t="s">
        <v>5601</v>
      </c>
      <c r="I2901" s="14" t="s">
        <v>2458</v>
      </c>
      <c r="J2901" s="33" t="s">
        <v>7110</v>
      </c>
      <c r="K2901" s="33" t="s">
        <v>6302</v>
      </c>
      <c r="L2901" s="53" t="s">
        <v>6054</v>
      </c>
      <c r="M2901" s="68" t="s">
        <v>8913</v>
      </c>
      <c r="N2901" s="53" t="s">
        <v>6286</v>
      </c>
      <c r="O2901" s="53">
        <v>55107</v>
      </c>
      <c r="P2901" s="198" t="s">
        <v>5831</v>
      </c>
    </row>
    <row r="2902" spans="1:16" ht="18.75" hidden="1">
      <c r="A2902" s="50" t="s">
        <v>6294</v>
      </c>
      <c r="B2902" s="50" t="s">
        <v>5837</v>
      </c>
      <c r="C2902" s="50" t="s">
        <v>5878</v>
      </c>
      <c r="D2902" s="50" t="s">
        <v>5418</v>
      </c>
      <c r="E2902" s="12" t="s">
        <v>4971</v>
      </c>
      <c r="F2902" s="49">
        <v>49580</v>
      </c>
      <c r="G2902" s="77" t="s">
        <v>6298</v>
      </c>
      <c r="H2902" s="14" t="s">
        <v>5601</v>
      </c>
      <c r="I2902" s="14" t="s">
        <v>2458</v>
      </c>
      <c r="J2902" s="33" t="s">
        <v>7110</v>
      </c>
      <c r="K2902" s="33" t="s">
        <v>6302</v>
      </c>
      <c r="L2902" s="53" t="s">
        <v>6054</v>
      </c>
      <c r="M2902" s="68" t="s">
        <v>8913</v>
      </c>
      <c r="N2902" s="53" t="s">
        <v>6286</v>
      </c>
      <c r="O2902" s="53">
        <v>55107</v>
      </c>
      <c r="P2902" s="198" t="s">
        <v>5810</v>
      </c>
    </row>
    <row r="2903" spans="1:16" ht="18.75" hidden="1">
      <c r="A2903" s="50" t="s">
        <v>6295</v>
      </c>
      <c r="B2903" s="50" t="s">
        <v>5273</v>
      </c>
      <c r="C2903" s="50" t="s">
        <v>5327</v>
      </c>
      <c r="D2903" s="50" t="s">
        <v>5077</v>
      </c>
      <c r="E2903" s="12" t="s">
        <v>4971</v>
      </c>
      <c r="F2903" s="49">
        <v>146375</v>
      </c>
      <c r="G2903" s="77" t="s">
        <v>6298</v>
      </c>
      <c r="H2903" s="14" t="s">
        <v>5601</v>
      </c>
      <c r="I2903" s="14" t="s">
        <v>2458</v>
      </c>
      <c r="J2903" s="33" t="s">
        <v>7110</v>
      </c>
      <c r="K2903" s="33" t="s">
        <v>6302</v>
      </c>
      <c r="L2903" s="53" t="s">
        <v>6054</v>
      </c>
      <c r="M2903" s="68" t="s">
        <v>8912</v>
      </c>
      <c r="N2903" s="53" t="s">
        <v>6286</v>
      </c>
      <c r="O2903" s="53">
        <v>55107</v>
      </c>
      <c r="P2903" s="198" t="s">
        <v>5799</v>
      </c>
    </row>
    <row r="2904" spans="1:16" ht="18.75" hidden="1">
      <c r="A2904" s="50" t="s">
        <v>6295</v>
      </c>
      <c r="B2904" s="50" t="s">
        <v>5273</v>
      </c>
      <c r="C2904" s="50" t="s">
        <v>5328</v>
      </c>
      <c r="D2904" s="50" t="s">
        <v>5171</v>
      </c>
      <c r="E2904" s="12" t="s">
        <v>4971</v>
      </c>
      <c r="F2904" s="49">
        <v>9180</v>
      </c>
      <c r="G2904" s="77" t="s">
        <v>6299</v>
      </c>
      <c r="H2904" s="14" t="s">
        <v>5601</v>
      </c>
      <c r="I2904" s="14" t="s">
        <v>2458</v>
      </c>
      <c r="J2904" s="33" t="s">
        <v>7110</v>
      </c>
      <c r="K2904" s="33" t="s">
        <v>6302</v>
      </c>
      <c r="L2904" s="53" t="s">
        <v>6054</v>
      </c>
      <c r="M2904" s="68" t="s">
        <v>8912</v>
      </c>
      <c r="N2904" s="53" t="s">
        <v>6286</v>
      </c>
      <c r="O2904" s="53">
        <v>55107</v>
      </c>
      <c r="P2904" s="198" t="s">
        <v>5805</v>
      </c>
    </row>
    <row r="2905" spans="1:16" ht="18.75" hidden="1">
      <c r="A2905" s="50" t="s">
        <v>6296</v>
      </c>
      <c r="B2905" s="50" t="s">
        <v>5331</v>
      </c>
      <c r="C2905" s="50" t="s">
        <v>5373</v>
      </c>
      <c r="D2905" s="50" t="s">
        <v>5367</v>
      </c>
      <c r="E2905" s="12" t="s">
        <v>4971</v>
      </c>
      <c r="F2905" s="49">
        <v>5060</v>
      </c>
      <c r="G2905" s="77" t="s">
        <v>6300</v>
      </c>
      <c r="H2905" s="14" t="s">
        <v>5601</v>
      </c>
      <c r="I2905" s="14" t="s">
        <v>2458</v>
      </c>
      <c r="J2905" s="33" t="s">
        <v>7110</v>
      </c>
      <c r="K2905" s="33" t="s">
        <v>6302</v>
      </c>
      <c r="L2905" s="53" t="s">
        <v>6054</v>
      </c>
      <c r="M2905" s="68" t="s">
        <v>8913</v>
      </c>
      <c r="N2905" s="53" t="s">
        <v>6286</v>
      </c>
      <c r="O2905" s="53">
        <v>55107</v>
      </c>
      <c r="P2905" s="197" t="s">
        <v>5789</v>
      </c>
    </row>
    <row r="2906" spans="1:16" ht="18.75" hidden="1">
      <c r="A2906" s="50" t="s">
        <v>6295</v>
      </c>
      <c r="B2906" s="50" t="s">
        <v>5273</v>
      </c>
      <c r="C2906" s="50" t="s">
        <v>5330</v>
      </c>
      <c r="D2906" s="50" t="s">
        <v>5272</v>
      </c>
      <c r="E2906" s="12" t="s">
        <v>4971</v>
      </c>
      <c r="F2906" s="49">
        <v>33935</v>
      </c>
      <c r="G2906" s="77" t="s">
        <v>6298</v>
      </c>
      <c r="H2906" s="14" t="s">
        <v>5601</v>
      </c>
      <c r="I2906" s="14" t="s">
        <v>2458</v>
      </c>
      <c r="J2906" s="33" t="s">
        <v>7110</v>
      </c>
      <c r="K2906" s="33" t="s">
        <v>6302</v>
      </c>
      <c r="L2906" s="53" t="s">
        <v>6054</v>
      </c>
      <c r="M2906" s="68" t="s">
        <v>8912</v>
      </c>
      <c r="N2906" s="53" t="s">
        <v>6286</v>
      </c>
      <c r="O2906" s="53">
        <v>55107</v>
      </c>
      <c r="P2906" s="198" t="s">
        <v>5799</v>
      </c>
    </row>
    <row r="2907" spans="1:16" ht="18.75" hidden="1">
      <c r="A2907" s="50" t="s">
        <v>6296</v>
      </c>
      <c r="B2907" s="50" t="s">
        <v>5331</v>
      </c>
      <c r="C2907" s="50" t="s">
        <v>5437</v>
      </c>
      <c r="D2907" s="50" t="s">
        <v>5412</v>
      </c>
      <c r="E2907" s="12" t="s">
        <v>4971</v>
      </c>
      <c r="F2907" s="49">
        <v>67720</v>
      </c>
      <c r="G2907" s="77" t="s">
        <v>6298</v>
      </c>
      <c r="H2907" s="14" t="s">
        <v>5601</v>
      </c>
      <c r="I2907" s="14" t="s">
        <v>2458</v>
      </c>
      <c r="J2907" s="33" t="s">
        <v>7110</v>
      </c>
      <c r="K2907" s="33" t="s">
        <v>6302</v>
      </c>
      <c r="L2907" s="53" t="s">
        <v>6054</v>
      </c>
      <c r="M2907" s="68" t="s">
        <v>8913</v>
      </c>
      <c r="N2907" s="53" t="s">
        <v>6286</v>
      </c>
      <c r="O2907" s="53">
        <v>55107</v>
      </c>
      <c r="P2907" s="198" t="s">
        <v>5810</v>
      </c>
    </row>
    <row r="2908" spans="1:16" ht="18.75" hidden="1">
      <c r="A2908" s="50" t="s">
        <v>6297</v>
      </c>
      <c r="B2908" s="50" t="s">
        <v>5557</v>
      </c>
      <c r="C2908" s="50" t="s">
        <v>5433</v>
      </c>
      <c r="D2908" s="50" t="s">
        <v>5011</v>
      </c>
      <c r="E2908" s="12" t="s">
        <v>4971</v>
      </c>
      <c r="F2908" s="49">
        <v>47520</v>
      </c>
      <c r="G2908" s="77" t="s">
        <v>6301</v>
      </c>
      <c r="H2908" s="14" t="s">
        <v>5601</v>
      </c>
      <c r="I2908" s="14" t="s">
        <v>2458</v>
      </c>
      <c r="J2908" s="33" t="s">
        <v>7110</v>
      </c>
      <c r="K2908" s="33" t="s">
        <v>6302</v>
      </c>
      <c r="L2908" s="53" t="s">
        <v>6054</v>
      </c>
      <c r="M2908" s="68" t="s">
        <v>8912</v>
      </c>
      <c r="N2908" s="53" t="s">
        <v>6076</v>
      </c>
      <c r="O2908" s="53">
        <v>55301</v>
      </c>
      <c r="P2908" s="198" t="s">
        <v>5776</v>
      </c>
    </row>
    <row r="2909" spans="1:16" ht="18.75" hidden="1">
      <c r="A2909" s="50" t="s">
        <v>6304</v>
      </c>
      <c r="B2909" s="50" t="s">
        <v>6305</v>
      </c>
      <c r="C2909" s="50" t="s">
        <v>6306</v>
      </c>
      <c r="D2909" s="50" t="s">
        <v>6276</v>
      </c>
      <c r="E2909" s="12" t="s">
        <v>4971</v>
      </c>
      <c r="F2909" s="49">
        <v>970800</v>
      </c>
      <c r="G2909" s="77" t="s">
        <v>6452</v>
      </c>
      <c r="H2909" s="14" t="s">
        <v>5601</v>
      </c>
      <c r="I2909" s="14" t="s">
        <v>2458</v>
      </c>
      <c r="J2909" s="33" t="e">
        <f>VLOOKUP(C2909,شرکتها!A:B,2,FALSE)</f>
        <v>#N/A</v>
      </c>
      <c r="K2909" s="33" t="s">
        <v>6457</v>
      </c>
      <c r="L2909" s="53" t="s">
        <v>8683</v>
      </c>
      <c r="M2909" s="68" t="s">
        <v>8913</v>
      </c>
      <c r="N2909" s="68" t="s">
        <v>8665</v>
      </c>
      <c r="O2909" s="53">
        <v>50100</v>
      </c>
      <c r="P2909" s="198" t="s">
        <v>7138</v>
      </c>
    </row>
    <row r="2910" spans="1:16" ht="18.75" hidden="1">
      <c r="A2910" s="50" t="s">
        <v>6307</v>
      </c>
      <c r="B2910" s="50" t="s">
        <v>6308</v>
      </c>
      <c r="C2910" s="50" t="s">
        <v>6309</v>
      </c>
      <c r="D2910" s="50" t="s">
        <v>6310</v>
      </c>
      <c r="E2910" s="12" t="s">
        <v>4971</v>
      </c>
      <c r="F2910" s="49">
        <v>5169481</v>
      </c>
      <c r="G2910" s="77" t="s">
        <v>6452</v>
      </c>
      <c r="H2910" s="14" t="s">
        <v>5601</v>
      </c>
      <c r="I2910" s="14" t="s">
        <v>2458</v>
      </c>
      <c r="J2910" s="33" t="e">
        <f>VLOOKUP(C2910,شرکتها!A:B,2,FALSE)</f>
        <v>#N/A</v>
      </c>
      <c r="K2910" s="33" t="s">
        <v>6457</v>
      </c>
      <c r="L2910" s="53" t="s">
        <v>8682</v>
      </c>
      <c r="M2910" s="68" t="s">
        <v>8913</v>
      </c>
      <c r="N2910" s="68" t="s">
        <v>8665</v>
      </c>
      <c r="O2910" s="53">
        <v>50100</v>
      </c>
      <c r="P2910" s="198" t="s">
        <v>7144</v>
      </c>
    </row>
    <row r="2911" spans="1:16" ht="18.75" hidden="1">
      <c r="A2911" s="50" t="s">
        <v>6311</v>
      </c>
      <c r="B2911" s="50" t="s">
        <v>6312</v>
      </c>
      <c r="C2911" s="50" t="s">
        <v>5980</v>
      </c>
      <c r="D2911" s="50" t="s">
        <v>5835</v>
      </c>
      <c r="E2911" s="12" t="s">
        <v>4971</v>
      </c>
      <c r="F2911" s="49">
        <v>350000</v>
      </c>
      <c r="G2911" s="77" t="s">
        <v>6298</v>
      </c>
      <c r="H2911" s="14" t="s">
        <v>5601</v>
      </c>
      <c r="I2911" s="14" t="s">
        <v>2458</v>
      </c>
      <c r="J2911" s="33" t="s">
        <v>7110</v>
      </c>
      <c r="K2911" s="33" t="s">
        <v>6457</v>
      </c>
      <c r="L2911" s="53" t="s">
        <v>8682</v>
      </c>
      <c r="M2911" s="68" t="s">
        <v>8912</v>
      </c>
      <c r="N2911" s="68" t="s">
        <v>8665</v>
      </c>
      <c r="O2911" s="53">
        <v>50100</v>
      </c>
      <c r="P2911" s="198" t="s">
        <v>5814</v>
      </c>
    </row>
    <row r="2912" spans="1:16" ht="18.75" hidden="1">
      <c r="A2912" s="50" t="s">
        <v>6311</v>
      </c>
      <c r="B2912" s="50" t="s">
        <v>6312</v>
      </c>
      <c r="C2912" s="50" t="s">
        <v>5982</v>
      </c>
      <c r="D2912" s="50" t="s">
        <v>5835</v>
      </c>
      <c r="E2912" s="12" t="s">
        <v>4971</v>
      </c>
      <c r="F2912" s="49">
        <v>139500</v>
      </c>
      <c r="G2912" s="77" t="s">
        <v>6298</v>
      </c>
      <c r="H2912" s="14" t="s">
        <v>5601</v>
      </c>
      <c r="I2912" s="14" t="s">
        <v>2458</v>
      </c>
      <c r="J2912" s="33" t="s">
        <v>7110</v>
      </c>
      <c r="K2912" s="33" t="s">
        <v>6457</v>
      </c>
      <c r="L2912" s="53" t="s">
        <v>8682</v>
      </c>
      <c r="M2912" s="68" t="s">
        <v>8912</v>
      </c>
      <c r="N2912" s="68" t="s">
        <v>8665</v>
      </c>
      <c r="O2912" s="53">
        <v>50100</v>
      </c>
      <c r="P2912" s="198" t="s">
        <v>5814</v>
      </c>
    </row>
    <row r="2913" spans="1:16" ht="18.75" hidden="1">
      <c r="A2913" s="50" t="s">
        <v>6313</v>
      </c>
      <c r="B2913" s="50" t="s">
        <v>6314</v>
      </c>
      <c r="C2913" s="50" t="s">
        <v>6315</v>
      </c>
      <c r="D2913" s="50" t="s">
        <v>6251</v>
      </c>
      <c r="E2913" s="12" t="s">
        <v>4971</v>
      </c>
      <c r="F2913" s="49">
        <v>330486</v>
      </c>
      <c r="G2913" s="77" t="s">
        <v>6453</v>
      </c>
      <c r="H2913" s="14" t="s">
        <v>5601</v>
      </c>
      <c r="I2913" s="14" t="s">
        <v>2458</v>
      </c>
      <c r="J2913" s="33" t="s">
        <v>7110</v>
      </c>
      <c r="K2913" s="33" t="s">
        <v>6457</v>
      </c>
      <c r="L2913" s="53" t="s">
        <v>8684</v>
      </c>
      <c r="M2913" s="68" t="s">
        <v>8912</v>
      </c>
      <c r="N2913" s="68" t="s">
        <v>8665</v>
      </c>
      <c r="O2913" s="53">
        <v>50100</v>
      </c>
      <c r="P2913" s="198" t="s">
        <v>7233</v>
      </c>
    </row>
    <row r="2914" spans="1:16" ht="18.75" hidden="1">
      <c r="A2914" s="50" t="s">
        <v>6316</v>
      </c>
      <c r="B2914" s="50" t="s">
        <v>6302</v>
      </c>
      <c r="C2914" s="50" t="s">
        <v>6317</v>
      </c>
      <c r="D2914" s="50" t="s">
        <v>6251</v>
      </c>
      <c r="E2914" s="12" t="s">
        <v>4971</v>
      </c>
      <c r="F2914" s="49">
        <v>438440</v>
      </c>
      <c r="G2914" s="77" t="s">
        <v>6453</v>
      </c>
      <c r="H2914" s="14" t="s">
        <v>5601</v>
      </c>
      <c r="I2914" s="14" t="s">
        <v>2458</v>
      </c>
      <c r="J2914" s="33" t="s">
        <v>7110</v>
      </c>
      <c r="K2914" s="33" t="s">
        <v>6457</v>
      </c>
      <c r="L2914" s="53" t="s">
        <v>8684</v>
      </c>
      <c r="M2914" s="68" t="s">
        <v>8912</v>
      </c>
      <c r="N2914" s="68" t="s">
        <v>8665</v>
      </c>
      <c r="O2914" s="53">
        <v>50100</v>
      </c>
      <c r="P2914" s="198" t="s">
        <v>7233</v>
      </c>
    </row>
    <row r="2915" spans="1:16" ht="18.75" hidden="1">
      <c r="A2915" s="50" t="s">
        <v>6313</v>
      </c>
      <c r="B2915" s="50" t="s">
        <v>6314</v>
      </c>
      <c r="C2915" s="50" t="s">
        <v>6318</v>
      </c>
      <c r="D2915" s="50" t="s">
        <v>6249</v>
      </c>
      <c r="E2915" s="12" t="s">
        <v>4971</v>
      </c>
      <c r="F2915" s="49">
        <v>663564</v>
      </c>
      <c r="G2915" s="77" t="s">
        <v>6453</v>
      </c>
      <c r="H2915" s="14" t="s">
        <v>5601</v>
      </c>
      <c r="I2915" s="14" t="s">
        <v>2458</v>
      </c>
      <c r="J2915" s="33" t="s">
        <v>7110</v>
      </c>
      <c r="K2915" s="33" t="s">
        <v>6457</v>
      </c>
      <c r="L2915" s="53" t="s">
        <v>8684</v>
      </c>
      <c r="M2915" s="68" t="s">
        <v>8912</v>
      </c>
      <c r="N2915" s="68" t="s">
        <v>8665</v>
      </c>
      <c r="O2915" s="53">
        <v>50100</v>
      </c>
      <c r="P2915" s="198" t="s">
        <v>7233</v>
      </c>
    </row>
    <row r="2916" spans="1:16" ht="18.75" hidden="1">
      <c r="A2916" s="50" t="s">
        <v>6319</v>
      </c>
      <c r="B2916" s="50" t="s">
        <v>6314</v>
      </c>
      <c r="C2916" s="50" t="s">
        <v>6315</v>
      </c>
      <c r="D2916" s="50" t="s">
        <v>6251</v>
      </c>
      <c r="E2916" s="12" t="s">
        <v>4971</v>
      </c>
      <c r="F2916" s="49">
        <v>669514</v>
      </c>
      <c r="G2916" s="77" t="s">
        <v>6453</v>
      </c>
      <c r="H2916" s="14" t="s">
        <v>5601</v>
      </c>
      <c r="I2916" s="14" t="s">
        <v>2458</v>
      </c>
      <c r="J2916" s="33" t="s">
        <v>7110</v>
      </c>
      <c r="K2916" s="33" t="s">
        <v>6457</v>
      </c>
      <c r="L2916" s="53" t="s">
        <v>8684</v>
      </c>
      <c r="M2916" s="68" t="s">
        <v>8912</v>
      </c>
      <c r="N2916" s="68" t="s">
        <v>8665</v>
      </c>
      <c r="O2916" s="53">
        <v>50100</v>
      </c>
      <c r="P2916" s="198" t="s">
        <v>7233</v>
      </c>
    </row>
    <row r="2917" spans="1:16" ht="18.75" hidden="1">
      <c r="A2917" s="50" t="s">
        <v>6320</v>
      </c>
      <c r="B2917" s="50" t="s">
        <v>6308</v>
      </c>
      <c r="C2917" s="50" t="s">
        <v>6321</v>
      </c>
      <c r="D2917" s="50" t="s">
        <v>6252</v>
      </c>
      <c r="E2917" s="12" t="s">
        <v>4971</v>
      </c>
      <c r="F2917" s="49">
        <v>357586</v>
      </c>
      <c r="G2917" s="77" t="s">
        <v>6453</v>
      </c>
      <c r="H2917" s="14" t="s">
        <v>5601</v>
      </c>
      <c r="I2917" s="14" t="s">
        <v>2458</v>
      </c>
      <c r="J2917" s="33" t="s">
        <v>7110</v>
      </c>
      <c r="K2917" s="33" t="s">
        <v>6457</v>
      </c>
      <c r="L2917" s="53" t="s">
        <v>8685</v>
      </c>
      <c r="M2917" s="68" t="s">
        <v>8912</v>
      </c>
      <c r="N2917" s="68" t="s">
        <v>8665</v>
      </c>
      <c r="O2917" s="53">
        <v>50100</v>
      </c>
      <c r="P2917" s="198" t="s">
        <v>7233</v>
      </c>
    </row>
    <row r="2918" spans="1:16" ht="18.75" hidden="1">
      <c r="A2918" s="50" t="s">
        <v>6319</v>
      </c>
      <c r="B2918" s="50" t="s">
        <v>6314</v>
      </c>
      <c r="C2918" s="50" t="s">
        <v>6317</v>
      </c>
      <c r="D2918" s="50" t="s">
        <v>6251</v>
      </c>
      <c r="E2918" s="12" t="s">
        <v>4971</v>
      </c>
      <c r="F2918" s="49">
        <v>321636</v>
      </c>
      <c r="G2918" s="77" t="s">
        <v>6453</v>
      </c>
      <c r="H2918" s="14" t="s">
        <v>5601</v>
      </c>
      <c r="I2918" s="14" t="s">
        <v>2458</v>
      </c>
      <c r="J2918" s="33" t="s">
        <v>7110</v>
      </c>
      <c r="K2918" s="33" t="s">
        <v>6457</v>
      </c>
      <c r="L2918" s="53" t="s">
        <v>8684</v>
      </c>
      <c r="M2918" s="68" t="s">
        <v>8912</v>
      </c>
      <c r="N2918" s="68" t="s">
        <v>8665</v>
      </c>
      <c r="O2918" s="53">
        <v>50100</v>
      </c>
      <c r="P2918" s="198" t="s">
        <v>7233</v>
      </c>
    </row>
    <row r="2919" spans="1:16" ht="18.75" hidden="1">
      <c r="A2919" s="50" t="s">
        <v>6322</v>
      </c>
      <c r="B2919" s="50" t="s">
        <v>6323</v>
      </c>
      <c r="C2919" s="50" t="s">
        <v>6324</v>
      </c>
      <c r="D2919" s="50" t="s">
        <v>6325</v>
      </c>
      <c r="E2919" s="12" t="s">
        <v>4971</v>
      </c>
      <c r="F2919" s="49">
        <v>974857</v>
      </c>
      <c r="G2919" s="77" t="s">
        <v>6454</v>
      </c>
      <c r="H2919" s="14" t="s">
        <v>5601</v>
      </c>
      <c r="I2919" s="14" t="s">
        <v>2458</v>
      </c>
      <c r="J2919" s="33" t="s">
        <v>7110</v>
      </c>
      <c r="K2919" s="33" t="s">
        <v>6457</v>
      </c>
      <c r="L2919" s="53" t="s">
        <v>8686</v>
      </c>
      <c r="M2919" s="68" t="s">
        <v>8912</v>
      </c>
      <c r="N2919" s="68" t="s">
        <v>8665</v>
      </c>
      <c r="O2919" s="53">
        <v>50100</v>
      </c>
      <c r="P2919" s="198" t="s">
        <v>7603</v>
      </c>
    </row>
    <row r="2920" spans="1:16" ht="18.75" hidden="1">
      <c r="A2920" s="50" t="s">
        <v>6322</v>
      </c>
      <c r="B2920" s="50" t="s">
        <v>6323</v>
      </c>
      <c r="C2920" s="50" t="s">
        <v>5982</v>
      </c>
      <c r="D2920" s="50" t="s">
        <v>5835</v>
      </c>
      <c r="E2920" s="12" t="s">
        <v>4971</v>
      </c>
      <c r="F2920" s="49">
        <v>7603</v>
      </c>
      <c r="G2920" s="77" t="s">
        <v>6298</v>
      </c>
      <c r="H2920" s="14" t="s">
        <v>5601</v>
      </c>
      <c r="I2920" s="14" t="s">
        <v>2458</v>
      </c>
      <c r="J2920" s="33" t="s">
        <v>7110</v>
      </c>
      <c r="K2920" s="33" t="s">
        <v>6457</v>
      </c>
      <c r="L2920" s="53" t="s">
        <v>8686</v>
      </c>
      <c r="M2920" s="68" t="s">
        <v>8912</v>
      </c>
      <c r="N2920" s="68" t="s">
        <v>8665</v>
      </c>
      <c r="O2920" s="53">
        <v>50100</v>
      </c>
      <c r="P2920" s="198" t="s">
        <v>5814</v>
      </c>
    </row>
    <row r="2921" spans="1:16" ht="18.75" hidden="1">
      <c r="A2921" s="50" t="s">
        <v>6316</v>
      </c>
      <c r="B2921" s="50" t="s">
        <v>6302</v>
      </c>
      <c r="C2921" s="50" t="s">
        <v>6326</v>
      </c>
      <c r="D2921" s="50" t="s">
        <v>6252</v>
      </c>
      <c r="E2921" s="12" t="s">
        <v>4971</v>
      </c>
      <c r="F2921" s="49">
        <v>260855</v>
      </c>
      <c r="G2921" s="77" t="s">
        <v>6453</v>
      </c>
      <c r="H2921" s="14" t="s">
        <v>5601</v>
      </c>
      <c r="I2921" s="14" t="s">
        <v>2458</v>
      </c>
      <c r="J2921" s="33" t="s">
        <v>7110</v>
      </c>
      <c r="K2921" s="33" t="s">
        <v>6457</v>
      </c>
      <c r="L2921" s="53" t="s">
        <v>8684</v>
      </c>
      <c r="M2921" s="68" t="s">
        <v>8912</v>
      </c>
      <c r="N2921" s="68" t="s">
        <v>8665</v>
      </c>
      <c r="O2921" s="53">
        <v>50100</v>
      </c>
      <c r="P2921" s="198" t="s">
        <v>7233</v>
      </c>
    </row>
    <row r="2922" spans="1:16" ht="18.75" hidden="1">
      <c r="A2922" s="50" t="s">
        <v>6327</v>
      </c>
      <c r="B2922" s="50" t="s">
        <v>6328</v>
      </c>
      <c r="C2922" s="50" t="s">
        <v>6329</v>
      </c>
      <c r="D2922" s="50" t="s">
        <v>6330</v>
      </c>
      <c r="E2922" s="12" t="s">
        <v>4971</v>
      </c>
      <c r="F2922" s="49">
        <v>390000</v>
      </c>
      <c r="G2922" s="77" t="s">
        <v>6300</v>
      </c>
      <c r="H2922" s="14" t="s">
        <v>5601</v>
      </c>
      <c r="I2922" s="14" t="s">
        <v>2458</v>
      </c>
      <c r="J2922" s="33" t="s">
        <v>7110</v>
      </c>
      <c r="K2922" s="33" t="s">
        <v>6457</v>
      </c>
      <c r="L2922" s="53" t="s">
        <v>6282</v>
      </c>
      <c r="M2922" s="68" t="s">
        <v>8912</v>
      </c>
      <c r="N2922" s="68" t="s">
        <v>8665</v>
      </c>
      <c r="O2922" s="53">
        <v>50100</v>
      </c>
      <c r="P2922" s="197" t="s">
        <v>5842</v>
      </c>
    </row>
    <row r="2923" spans="1:16" ht="18.75" hidden="1">
      <c r="A2923" s="50" t="s">
        <v>6327</v>
      </c>
      <c r="B2923" s="50" t="s">
        <v>6328</v>
      </c>
      <c r="C2923" s="50" t="s">
        <v>6331</v>
      </c>
      <c r="D2923" s="50" t="s">
        <v>6332</v>
      </c>
      <c r="E2923" s="12" t="s">
        <v>4971</v>
      </c>
      <c r="F2923" s="49">
        <v>708039</v>
      </c>
      <c r="G2923" s="77" t="s">
        <v>6300</v>
      </c>
      <c r="H2923" s="14" t="s">
        <v>5601</v>
      </c>
      <c r="I2923" s="14" t="s">
        <v>2458</v>
      </c>
      <c r="J2923" s="33" t="s">
        <v>7110</v>
      </c>
      <c r="K2923" s="33" t="s">
        <v>6457</v>
      </c>
      <c r="L2923" s="53" t="s">
        <v>6282</v>
      </c>
      <c r="M2923" s="68" t="s">
        <v>8912</v>
      </c>
      <c r="N2923" s="68" t="s">
        <v>8665</v>
      </c>
      <c r="O2923" s="53">
        <v>50100</v>
      </c>
      <c r="P2923" s="197" t="s">
        <v>5842</v>
      </c>
    </row>
    <row r="2924" spans="1:16" ht="18.75" hidden="1">
      <c r="A2924" s="50" t="s">
        <v>6327</v>
      </c>
      <c r="B2924" s="50" t="s">
        <v>6328</v>
      </c>
      <c r="C2924" s="50" t="s">
        <v>6333</v>
      </c>
      <c r="D2924" s="50" t="s">
        <v>6247</v>
      </c>
      <c r="E2924" s="12" t="s">
        <v>4971</v>
      </c>
      <c r="F2924" s="49">
        <v>6477</v>
      </c>
      <c r="G2924" s="77" t="s">
        <v>6300</v>
      </c>
      <c r="H2924" s="14" t="s">
        <v>5601</v>
      </c>
      <c r="I2924" s="14" t="s">
        <v>2458</v>
      </c>
      <c r="J2924" s="33" t="s">
        <v>7110</v>
      </c>
      <c r="K2924" s="33" t="s">
        <v>6457</v>
      </c>
      <c r="L2924" s="53" t="s">
        <v>6282</v>
      </c>
      <c r="M2924" s="68" t="s">
        <v>8912</v>
      </c>
      <c r="N2924" s="68" t="s">
        <v>8665</v>
      </c>
      <c r="O2924" s="53">
        <v>50100</v>
      </c>
      <c r="P2924" s="197" t="s">
        <v>5842</v>
      </c>
    </row>
    <row r="2925" spans="1:16" ht="18.75" hidden="1">
      <c r="A2925" s="50" t="s">
        <v>6327</v>
      </c>
      <c r="B2925" s="50" t="s">
        <v>6328</v>
      </c>
      <c r="C2925" s="50" t="s">
        <v>6269</v>
      </c>
      <c r="D2925" s="50" t="s">
        <v>6252</v>
      </c>
      <c r="E2925" s="12" t="s">
        <v>4971</v>
      </c>
      <c r="F2925" s="49">
        <v>86672</v>
      </c>
      <c r="G2925" s="77" t="s">
        <v>6300</v>
      </c>
      <c r="H2925" s="14" t="s">
        <v>5601</v>
      </c>
      <c r="I2925" s="14" t="s">
        <v>2458</v>
      </c>
      <c r="J2925" s="33" t="s">
        <v>7110</v>
      </c>
      <c r="K2925" s="33" t="s">
        <v>6457</v>
      </c>
      <c r="L2925" s="53" t="s">
        <v>6282</v>
      </c>
      <c r="M2925" s="68" t="s">
        <v>8912</v>
      </c>
      <c r="N2925" s="68" t="s">
        <v>8665</v>
      </c>
      <c r="O2925" s="53">
        <v>50100</v>
      </c>
      <c r="P2925" s="197" t="s">
        <v>5842</v>
      </c>
    </row>
    <row r="2926" spans="1:16" ht="18.75" hidden="1">
      <c r="A2926" s="50" t="s">
        <v>6334</v>
      </c>
      <c r="B2926" s="50" t="s">
        <v>6314</v>
      </c>
      <c r="C2926" s="50" t="s">
        <v>6335</v>
      </c>
      <c r="D2926" s="50" t="s">
        <v>6247</v>
      </c>
      <c r="E2926" s="12" t="s">
        <v>4971</v>
      </c>
      <c r="F2926" s="49">
        <v>59565</v>
      </c>
      <c r="G2926" s="77" t="s">
        <v>6300</v>
      </c>
      <c r="H2926" s="14" t="s">
        <v>5601</v>
      </c>
      <c r="I2926" s="14" t="s">
        <v>2458</v>
      </c>
      <c r="J2926" s="33" t="s">
        <v>7110</v>
      </c>
      <c r="K2926" s="33" t="s">
        <v>6457</v>
      </c>
      <c r="L2926" s="53" t="s">
        <v>6283</v>
      </c>
      <c r="M2926" s="68" t="s">
        <v>8912</v>
      </c>
      <c r="N2926" s="68" t="s">
        <v>8665</v>
      </c>
      <c r="O2926" s="53">
        <v>50100</v>
      </c>
      <c r="P2926" s="197" t="s">
        <v>5836</v>
      </c>
    </row>
    <row r="2927" spans="1:16" ht="18.75" hidden="1">
      <c r="A2927" s="50" t="s">
        <v>6336</v>
      </c>
      <c r="B2927" s="50" t="s">
        <v>6337</v>
      </c>
      <c r="C2927" s="50" t="s">
        <v>6338</v>
      </c>
      <c r="D2927" s="50" t="s">
        <v>6305</v>
      </c>
      <c r="E2927" s="12" t="s">
        <v>4971</v>
      </c>
      <c r="F2927" s="49">
        <v>491555</v>
      </c>
      <c r="G2927" s="77" t="s">
        <v>6300</v>
      </c>
      <c r="H2927" s="14" t="s">
        <v>5601</v>
      </c>
      <c r="I2927" s="14" t="s">
        <v>2458</v>
      </c>
      <c r="J2927" s="33" t="s">
        <v>7110</v>
      </c>
      <c r="K2927" s="33" t="s">
        <v>6457</v>
      </c>
      <c r="L2927" s="53" t="s">
        <v>6283</v>
      </c>
      <c r="M2927" s="68" t="s">
        <v>8912</v>
      </c>
      <c r="N2927" s="68" t="s">
        <v>8665</v>
      </c>
      <c r="O2927" s="53">
        <v>50100</v>
      </c>
      <c r="P2927" s="197" t="s">
        <v>5842</v>
      </c>
    </row>
    <row r="2928" spans="1:16" ht="18.75" hidden="1">
      <c r="A2928" s="50" t="s">
        <v>6339</v>
      </c>
      <c r="B2928" s="50" t="s">
        <v>6323</v>
      </c>
      <c r="C2928" s="50" t="s">
        <v>5986</v>
      </c>
      <c r="D2928" s="50" t="s">
        <v>5496</v>
      </c>
      <c r="E2928" s="12" t="s">
        <v>4971</v>
      </c>
      <c r="F2928" s="49">
        <v>295680</v>
      </c>
      <c r="G2928" s="77" t="s">
        <v>6298</v>
      </c>
      <c r="H2928" s="14" t="s">
        <v>5601</v>
      </c>
      <c r="I2928" s="14" t="s">
        <v>2458</v>
      </c>
      <c r="J2928" s="33" t="s">
        <v>7110</v>
      </c>
      <c r="K2928" s="33" t="s">
        <v>6457</v>
      </c>
      <c r="L2928" s="53" t="s">
        <v>6283</v>
      </c>
      <c r="M2928" s="68" t="s">
        <v>8912</v>
      </c>
      <c r="N2928" s="68" t="s">
        <v>8665</v>
      </c>
      <c r="O2928" s="53">
        <v>50100</v>
      </c>
      <c r="P2928" s="198" t="s">
        <v>5826</v>
      </c>
    </row>
    <row r="2929" spans="1:16" ht="18.75" hidden="1">
      <c r="A2929" s="50" t="s">
        <v>6334</v>
      </c>
      <c r="B2929" s="50" t="s">
        <v>6314</v>
      </c>
      <c r="C2929" s="50" t="s">
        <v>6340</v>
      </c>
      <c r="D2929" s="50" t="s">
        <v>6252</v>
      </c>
      <c r="E2929" s="12" t="s">
        <v>4971</v>
      </c>
      <c r="F2929" s="49">
        <v>202430</v>
      </c>
      <c r="G2929" s="77" t="s">
        <v>6300</v>
      </c>
      <c r="H2929" s="14" t="s">
        <v>5601</v>
      </c>
      <c r="I2929" s="14" t="s">
        <v>2458</v>
      </c>
      <c r="J2929" s="33" t="s">
        <v>7110</v>
      </c>
      <c r="K2929" s="33" t="s">
        <v>6457</v>
      </c>
      <c r="L2929" s="53" t="s">
        <v>6283</v>
      </c>
      <c r="M2929" s="68" t="s">
        <v>8912</v>
      </c>
      <c r="N2929" s="68" t="s">
        <v>8665</v>
      </c>
      <c r="O2929" s="53">
        <v>50100</v>
      </c>
      <c r="P2929" s="197" t="s">
        <v>5836</v>
      </c>
    </row>
    <row r="2930" spans="1:16" ht="18.75" hidden="1">
      <c r="A2930" s="50" t="s">
        <v>6341</v>
      </c>
      <c r="B2930" s="50" t="s">
        <v>6302</v>
      </c>
      <c r="C2930" s="50" t="s">
        <v>6342</v>
      </c>
      <c r="D2930" s="50" t="s">
        <v>6343</v>
      </c>
      <c r="E2930" s="12" t="s">
        <v>4971</v>
      </c>
      <c r="F2930" s="49">
        <v>150000</v>
      </c>
      <c r="G2930" s="77" t="s">
        <v>6300</v>
      </c>
      <c r="H2930" s="14" t="s">
        <v>5601</v>
      </c>
      <c r="I2930" s="14" t="s">
        <v>2458</v>
      </c>
      <c r="J2930" s="33" t="s">
        <v>7110</v>
      </c>
      <c r="K2930" s="33" t="s">
        <v>6457</v>
      </c>
      <c r="L2930" s="53" t="s">
        <v>6283</v>
      </c>
      <c r="M2930" s="68" t="s">
        <v>8912</v>
      </c>
      <c r="N2930" s="68" t="s">
        <v>8665</v>
      </c>
      <c r="O2930" s="53">
        <v>50100</v>
      </c>
      <c r="P2930" s="197" t="s">
        <v>5836</v>
      </c>
    </row>
    <row r="2931" spans="1:16" ht="18.75" hidden="1">
      <c r="A2931" s="50" t="s">
        <v>6341</v>
      </c>
      <c r="B2931" s="50" t="s">
        <v>6302</v>
      </c>
      <c r="C2931" s="50" t="s">
        <v>6344</v>
      </c>
      <c r="D2931" s="50" t="s">
        <v>6305</v>
      </c>
      <c r="E2931" s="12" t="s">
        <v>4971</v>
      </c>
      <c r="F2931" s="49">
        <v>175000</v>
      </c>
      <c r="G2931" s="77" t="s">
        <v>6300</v>
      </c>
      <c r="H2931" s="14" t="s">
        <v>5601</v>
      </c>
      <c r="I2931" s="14" t="s">
        <v>2458</v>
      </c>
      <c r="J2931" s="33" t="s">
        <v>7110</v>
      </c>
      <c r="K2931" s="33" t="s">
        <v>6457</v>
      </c>
      <c r="L2931" s="53" t="s">
        <v>6283</v>
      </c>
      <c r="M2931" s="68" t="s">
        <v>8912</v>
      </c>
      <c r="N2931" s="68" t="s">
        <v>8665</v>
      </c>
      <c r="O2931" s="53">
        <v>50100</v>
      </c>
      <c r="P2931" s="197" t="s">
        <v>5836</v>
      </c>
    </row>
    <row r="2932" spans="1:16" ht="18.75" hidden="1">
      <c r="A2932" s="50" t="s">
        <v>6345</v>
      </c>
      <c r="B2932" s="50" t="s">
        <v>6302</v>
      </c>
      <c r="C2932" s="50" t="s">
        <v>6317</v>
      </c>
      <c r="D2932" s="50" t="s">
        <v>6251</v>
      </c>
      <c r="E2932" s="12" t="s">
        <v>4971</v>
      </c>
      <c r="F2932" s="49">
        <v>239924</v>
      </c>
      <c r="G2932" s="77" t="s">
        <v>6453</v>
      </c>
      <c r="H2932" s="14" t="s">
        <v>5601</v>
      </c>
      <c r="I2932" s="14" t="s">
        <v>2458</v>
      </c>
      <c r="J2932" s="33" t="s">
        <v>7110</v>
      </c>
      <c r="K2932" s="33" t="s">
        <v>6457</v>
      </c>
      <c r="L2932" s="53" t="s">
        <v>8685</v>
      </c>
      <c r="M2932" s="68" t="s">
        <v>8912</v>
      </c>
      <c r="N2932" s="68" t="s">
        <v>8665</v>
      </c>
      <c r="O2932" s="53">
        <v>50100</v>
      </c>
      <c r="P2932" s="198" t="s">
        <v>7233</v>
      </c>
    </row>
    <row r="2933" spans="1:16" ht="18.75" hidden="1">
      <c r="A2933" s="50" t="s">
        <v>6346</v>
      </c>
      <c r="B2933" s="50" t="s">
        <v>6308</v>
      </c>
      <c r="C2933" s="50" t="s">
        <v>6347</v>
      </c>
      <c r="D2933" s="50" t="s">
        <v>6348</v>
      </c>
      <c r="E2933" s="12" t="s">
        <v>4971</v>
      </c>
      <c r="F2933" s="49">
        <v>153960</v>
      </c>
      <c r="G2933" s="77" t="s">
        <v>6452</v>
      </c>
      <c r="H2933" s="14" t="s">
        <v>5601</v>
      </c>
      <c r="I2933" s="14" t="s">
        <v>2458</v>
      </c>
      <c r="J2933" s="33" t="e">
        <f>VLOOKUP(C2933,شرکتها!A:B,2,FALSE)</f>
        <v>#N/A</v>
      </c>
      <c r="K2933" s="33" t="s">
        <v>6457</v>
      </c>
      <c r="L2933" s="53" t="s">
        <v>6280</v>
      </c>
      <c r="M2933" s="68" t="s">
        <v>8913</v>
      </c>
      <c r="N2933" s="68" t="s">
        <v>8665</v>
      </c>
      <c r="O2933" s="53">
        <v>50100</v>
      </c>
      <c r="P2933" s="198" t="s">
        <v>7138</v>
      </c>
    </row>
    <row r="2934" spans="1:16" ht="18.75" hidden="1">
      <c r="A2934" s="50" t="s">
        <v>6349</v>
      </c>
      <c r="B2934" s="50" t="s">
        <v>6302</v>
      </c>
      <c r="C2934" s="50" t="s">
        <v>6350</v>
      </c>
      <c r="D2934" s="50" t="s">
        <v>6328</v>
      </c>
      <c r="E2934" s="12" t="s">
        <v>4971</v>
      </c>
      <c r="F2934" s="49">
        <v>504680</v>
      </c>
      <c r="G2934" s="77" t="s">
        <v>6300</v>
      </c>
      <c r="H2934" s="14" t="s">
        <v>5601</v>
      </c>
      <c r="I2934" s="14" t="s">
        <v>2458</v>
      </c>
      <c r="J2934" s="33" t="s">
        <v>7110</v>
      </c>
      <c r="K2934" s="33" t="s">
        <v>6457</v>
      </c>
      <c r="L2934" s="53" t="s">
        <v>6277</v>
      </c>
      <c r="M2934" s="68" t="s">
        <v>8912</v>
      </c>
      <c r="N2934" s="68" t="s">
        <v>8665</v>
      </c>
      <c r="O2934" s="53">
        <v>50100</v>
      </c>
      <c r="P2934" s="197" t="s">
        <v>7237</v>
      </c>
    </row>
    <row r="2935" spans="1:16" ht="18.75" hidden="1">
      <c r="A2935" s="50" t="s">
        <v>6351</v>
      </c>
      <c r="B2935" s="50" t="s">
        <v>6310</v>
      </c>
      <c r="C2935" s="50" t="s">
        <v>6326</v>
      </c>
      <c r="D2935" s="50" t="s">
        <v>6252</v>
      </c>
      <c r="E2935" s="12" t="s">
        <v>4971</v>
      </c>
      <c r="F2935" s="49">
        <v>497025</v>
      </c>
      <c r="G2935" s="77" t="s">
        <v>6453</v>
      </c>
      <c r="H2935" s="14" t="s">
        <v>5601</v>
      </c>
      <c r="I2935" s="14" t="s">
        <v>2458</v>
      </c>
      <c r="J2935" s="33" t="s">
        <v>7110</v>
      </c>
      <c r="K2935" s="33" t="s">
        <v>6457</v>
      </c>
      <c r="L2935" s="53" t="s">
        <v>8685</v>
      </c>
      <c r="M2935" s="68" t="s">
        <v>8912</v>
      </c>
      <c r="N2935" s="68" t="s">
        <v>8665</v>
      </c>
      <c r="O2935" s="53">
        <v>50100</v>
      </c>
      <c r="P2935" s="198" t="s">
        <v>7233</v>
      </c>
    </row>
    <row r="2936" spans="1:16" ht="18.75" hidden="1">
      <c r="A2936" s="50" t="s">
        <v>6352</v>
      </c>
      <c r="B2936" s="50" t="s">
        <v>6308</v>
      </c>
      <c r="C2936" s="50" t="s">
        <v>6321</v>
      </c>
      <c r="D2936" s="50" t="s">
        <v>6252</v>
      </c>
      <c r="E2936" s="12" t="s">
        <v>4971</v>
      </c>
      <c r="F2936" s="49">
        <v>97739</v>
      </c>
      <c r="G2936" s="77" t="s">
        <v>6453</v>
      </c>
      <c r="H2936" s="14" t="s">
        <v>5601</v>
      </c>
      <c r="I2936" s="14" t="s">
        <v>2458</v>
      </c>
      <c r="J2936" s="33" t="s">
        <v>7110</v>
      </c>
      <c r="K2936" s="33" t="s">
        <v>6457</v>
      </c>
      <c r="L2936" s="53" t="s">
        <v>8685</v>
      </c>
      <c r="M2936" s="68" t="s">
        <v>8912</v>
      </c>
      <c r="N2936" s="68" t="s">
        <v>8665</v>
      </c>
      <c r="O2936" s="53">
        <v>50100</v>
      </c>
      <c r="P2936" s="198" t="s">
        <v>7233</v>
      </c>
    </row>
    <row r="2937" spans="1:16" ht="18.75" hidden="1">
      <c r="A2937" s="50" t="s">
        <v>6353</v>
      </c>
      <c r="B2937" s="50" t="s">
        <v>6323</v>
      </c>
      <c r="C2937" s="50" t="s">
        <v>6354</v>
      </c>
      <c r="D2937" s="50" t="s">
        <v>6252</v>
      </c>
      <c r="E2937" s="12" t="s">
        <v>4971</v>
      </c>
      <c r="F2937" s="49">
        <v>16375</v>
      </c>
      <c r="G2937" s="77" t="s">
        <v>6455</v>
      </c>
      <c r="H2937" s="14" t="s">
        <v>5601</v>
      </c>
      <c r="I2937" s="14" t="s">
        <v>2458</v>
      </c>
      <c r="J2937" s="33" t="s">
        <v>7110</v>
      </c>
      <c r="K2937" s="33" t="s">
        <v>6457</v>
      </c>
      <c r="L2937" s="53" t="s">
        <v>6283</v>
      </c>
      <c r="M2937" s="68" t="s">
        <v>8912</v>
      </c>
      <c r="N2937" s="68" t="s">
        <v>8665</v>
      </c>
      <c r="O2937" s="53">
        <v>50100</v>
      </c>
      <c r="P2937" s="198" t="s">
        <v>5856</v>
      </c>
    </row>
    <row r="2938" spans="1:16" ht="18.75" hidden="1">
      <c r="A2938" s="50" t="s">
        <v>6355</v>
      </c>
      <c r="B2938" s="50" t="s">
        <v>6310</v>
      </c>
      <c r="C2938" s="50" t="s">
        <v>6356</v>
      </c>
      <c r="D2938" s="50" t="s">
        <v>6305</v>
      </c>
      <c r="E2938" s="12" t="s">
        <v>4971</v>
      </c>
      <c r="F2938" s="49">
        <v>200000</v>
      </c>
      <c r="G2938" s="77" t="s">
        <v>6454</v>
      </c>
      <c r="H2938" s="14" t="s">
        <v>5601</v>
      </c>
      <c r="I2938" s="14" t="s">
        <v>2458</v>
      </c>
      <c r="J2938" s="33" t="s">
        <v>7110</v>
      </c>
      <c r="K2938" s="33" t="s">
        <v>6457</v>
      </c>
      <c r="L2938" s="53" t="s">
        <v>6279</v>
      </c>
      <c r="M2938" s="68" t="s">
        <v>8912</v>
      </c>
      <c r="N2938" s="68" t="s">
        <v>8665</v>
      </c>
      <c r="O2938" s="53">
        <v>50100</v>
      </c>
      <c r="P2938" s="198" t="s">
        <v>5852</v>
      </c>
    </row>
    <row r="2939" spans="1:16" ht="18.75" hidden="1">
      <c r="A2939" s="50" t="s">
        <v>6355</v>
      </c>
      <c r="B2939" s="50" t="s">
        <v>6310</v>
      </c>
      <c r="C2939" s="50" t="s">
        <v>6357</v>
      </c>
      <c r="D2939" s="50" t="s">
        <v>6248</v>
      </c>
      <c r="E2939" s="12" t="s">
        <v>4971</v>
      </c>
      <c r="F2939" s="49">
        <v>300000</v>
      </c>
      <c r="G2939" s="77" t="s">
        <v>6298</v>
      </c>
      <c r="H2939" s="14" t="s">
        <v>5601</v>
      </c>
      <c r="I2939" s="14" t="s">
        <v>2458</v>
      </c>
      <c r="J2939" s="33" t="s">
        <v>7110</v>
      </c>
      <c r="K2939" s="33" t="s">
        <v>6457</v>
      </c>
      <c r="L2939" s="53" t="s">
        <v>6279</v>
      </c>
      <c r="M2939" s="68" t="s">
        <v>8912</v>
      </c>
      <c r="N2939" s="68" t="s">
        <v>8665</v>
      </c>
      <c r="O2939" s="53">
        <v>50100</v>
      </c>
      <c r="P2939" s="198" t="s">
        <v>7231</v>
      </c>
    </row>
    <row r="2940" spans="1:16" ht="18.75" hidden="1">
      <c r="A2940" s="50" t="s">
        <v>6341</v>
      </c>
      <c r="B2940" s="50" t="s">
        <v>6302</v>
      </c>
      <c r="C2940" s="50" t="s">
        <v>6358</v>
      </c>
      <c r="D2940" s="50" t="s">
        <v>6343</v>
      </c>
      <c r="E2940" s="12" t="s">
        <v>4971</v>
      </c>
      <c r="F2940" s="49">
        <v>78340</v>
      </c>
      <c r="G2940" s="77" t="s">
        <v>6300</v>
      </c>
      <c r="H2940" s="14" t="s">
        <v>5601</v>
      </c>
      <c r="I2940" s="14" t="s">
        <v>2458</v>
      </c>
      <c r="J2940" s="33" t="s">
        <v>7110</v>
      </c>
      <c r="K2940" s="33" t="s">
        <v>6457</v>
      </c>
      <c r="L2940" s="53" t="s">
        <v>6283</v>
      </c>
      <c r="M2940" s="68" t="s">
        <v>8912</v>
      </c>
      <c r="N2940" s="68" t="s">
        <v>8665</v>
      </c>
      <c r="O2940" s="53">
        <v>50100</v>
      </c>
      <c r="P2940" s="197" t="s">
        <v>5836</v>
      </c>
    </row>
    <row r="2941" spans="1:16" ht="18.75" hidden="1">
      <c r="A2941" s="50" t="s">
        <v>6359</v>
      </c>
      <c r="B2941" s="50" t="s">
        <v>6302</v>
      </c>
      <c r="C2941" s="50" t="s">
        <v>6358</v>
      </c>
      <c r="D2941" s="50" t="s">
        <v>6343</v>
      </c>
      <c r="E2941" s="12" t="s">
        <v>4971</v>
      </c>
      <c r="F2941" s="49">
        <v>130200</v>
      </c>
      <c r="G2941" s="77" t="s">
        <v>6300</v>
      </c>
      <c r="H2941" s="14" t="s">
        <v>5601</v>
      </c>
      <c r="I2941" s="14" t="s">
        <v>2458</v>
      </c>
      <c r="J2941" s="33" t="s">
        <v>7110</v>
      </c>
      <c r="K2941" s="33" t="s">
        <v>6457</v>
      </c>
      <c r="L2941" s="53" t="s">
        <v>6283</v>
      </c>
      <c r="M2941" s="68" t="s">
        <v>8912</v>
      </c>
      <c r="N2941" s="68" t="s">
        <v>8665</v>
      </c>
      <c r="O2941" s="53">
        <v>50100</v>
      </c>
      <c r="P2941" s="197" t="s">
        <v>5836</v>
      </c>
    </row>
    <row r="2942" spans="1:16" ht="18.75" hidden="1">
      <c r="A2942" s="50" t="s">
        <v>6341</v>
      </c>
      <c r="B2942" s="50" t="s">
        <v>6302</v>
      </c>
      <c r="C2942" s="50" t="s">
        <v>6360</v>
      </c>
      <c r="D2942" s="50" t="s">
        <v>6361</v>
      </c>
      <c r="E2942" s="12" t="s">
        <v>4971</v>
      </c>
      <c r="F2942" s="49">
        <v>100000</v>
      </c>
      <c r="G2942" s="77" t="s">
        <v>6300</v>
      </c>
      <c r="H2942" s="14" t="s">
        <v>5601</v>
      </c>
      <c r="I2942" s="14" t="s">
        <v>2458</v>
      </c>
      <c r="J2942" s="33" t="s">
        <v>7110</v>
      </c>
      <c r="K2942" s="33" t="s">
        <v>6457</v>
      </c>
      <c r="L2942" s="53" t="s">
        <v>6283</v>
      </c>
      <c r="M2942" s="68" t="s">
        <v>8912</v>
      </c>
      <c r="N2942" s="68" t="s">
        <v>8665</v>
      </c>
      <c r="O2942" s="53">
        <v>50100</v>
      </c>
      <c r="P2942" s="197" t="s">
        <v>5836</v>
      </c>
    </row>
    <row r="2943" spans="1:16" ht="18.75" hidden="1">
      <c r="A2943" s="50" t="s">
        <v>6359</v>
      </c>
      <c r="B2943" s="50" t="s">
        <v>6302</v>
      </c>
      <c r="C2943" s="50" t="s">
        <v>6362</v>
      </c>
      <c r="D2943" s="50" t="s">
        <v>6363</v>
      </c>
      <c r="E2943" s="12" t="s">
        <v>4971</v>
      </c>
      <c r="F2943" s="49">
        <v>372000</v>
      </c>
      <c r="G2943" s="77" t="s">
        <v>6300</v>
      </c>
      <c r="H2943" s="14" t="s">
        <v>5601</v>
      </c>
      <c r="I2943" s="14" t="s">
        <v>2458</v>
      </c>
      <c r="J2943" s="33" t="s">
        <v>7110</v>
      </c>
      <c r="K2943" s="33" t="s">
        <v>6457</v>
      </c>
      <c r="L2943" s="53" t="s">
        <v>6283</v>
      </c>
      <c r="M2943" s="68" t="s">
        <v>8912</v>
      </c>
      <c r="N2943" s="68" t="s">
        <v>8665</v>
      </c>
      <c r="O2943" s="53">
        <v>50100</v>
      </c>
      <c r="P2943" s="197" t="s">
        <v>5836</v>
      </c>
    </row>
    <row r="2944" spans="1:16" ht="18.75" hidden="1">
      <c r="A2944" s="50" t="s">
        <v>6364</v>
      </c>
      <c r="B2944" s="50" t="s">
        <v>6302</v>
      </c>
      <c r="C2944" s="50" t="s">
        <v>6338</v>
      </c>
      <c r="D2944" s="50" t="s">
        <v>6305</v>
      </c>
      <c r="E2944" s="12" t="s">
        <v>4971</v>
      </c>
      <c r="F2944" s="49">
        <v>3311</v>
      </c>
      <c r="G2944" s="77" t="s">
        <v>6300</v>
      </c>
      <c r="H2944" s="14" t="s">
        <v>5601</v>
      </c>
      <c r="I2944" s="14" t="s">
        <v>2458</v>
      </c>
      <c r="J2944" s="33" t="s">
        <v>7110</v>
      </c>
      <c r="K2944" s="33" t="s">
        <v>6457</v>
      </c>
      <c r="L2944" s="53" t="s">
        <v>6283</v>
      </c>
      <c r="M2944" s="68" t="s">
        <v>8912</v>
      </c>
      <c r="N2944" s="68" t="s">
        <v>8665</v>
      </c>
      <c r="O2944" s="53">
        <v>50100</v>
      </c>
      <c r="P2944" s="197" t="s">
        <v>5842</v>
      </c>
    </row>
    <row r="2945" spans="1:16" ht="18.75" hidden="1">
      <c r="A2945" s="50" t="s">
        <v>6364</v>
      </c>
      <c r="B2945" s="50" t="s">
        <v>6302</v>
      </c>
      <c r="C2945" s="50" t="s">
        <v>6365</v>
      </c>
      <c r="D2945" s="50" t="s">
        <v>6314</v>
      </c>
      <c r="E2945" s="12" t="s">
        <v>4971</v>
      </c>
      <c r="F2945" s="49">
        <v>489952</v>
      </c>
      <c r="G2945" s="77" t="s">
        <v>6300</v>
      </c>
      <c r="H2945" s="14" t="s">
        <v>5601</v>
      </c>
      <c r="I2945" s="14" t="s">
        <v>2458</v>
      </c>
      <c r="J2945" s="33" t="s">
        <v>7110</v>
      </c>
      <c r="K2945" s="33" t="s">
        <v>6457</v>
      </c>
      <c r="L2945" s="53" t="s">
        <v>6283</v>
      </c>
      <c r="M2945" s="68" t="s">
        <v>8912</v>
      </c>
      <c r="N2945" s="68" t="s">
        <v>8665</v>
      </c>
      <c r="O2945" s="53">
        <v>50100</v>
      </c>
      <c r="P2945" s="197" t="s">
        <v>5842</v>
      </c>
    </row>
    <row r="2946" spans="1:16" ht="18.75" hidden="1">
      <c r="A2946" s="50" t="s">
        <v>6366</v>
      </c>
      <c r="B2946" s="50" t="s">
        <v>6310</v>
      </c>
      <c r="C2946" s="50" t="s">
        <v>6365</v>
      </c>
      <c r="D2946" s="50" t="s">
        <v>6314</v>
      </c>
      <c r="E2946" s="12" t="s">
        <v>4971</v>
      </c>
      <c r="F2946" s="49">
        <v>10048</v>
      </c>
      <c r="G2946" s="77" t="s">
        <v>6300</v>
      </c>
      <c r="H2946" s="14" t="s">
        <v>5601</v>
      </c>
      <c r="I2946" s="14" t="s">
        <v>2458</v>
      </c>
      <c r="J2946" s="33" t="s">
        <v>7110</v>
      </c>
      <c r="K2946" s="33" t="s">
        <v>6457</v>
      </c>
      <c r="L2946" s="53" t="s">
        <v>6283</v>
      </c>
      <c r="M2946" s="68" t="s">
        <v>8912</v>
      </c>
      <c r="N2946" s="68" t="s">
        <v>8665</v>
      </c>
      <c r="O2946" s="53">
        <v>50100</v>
      </c>
      <c r="P2946" s="197" t="s">
        <v>5842</v>
      </c>
    </row>
    <row r="2947" spans="1:16" ht="18.75" hidden="1">
      <c r="A2947" s="50" t="s">
        <v>6366</v>
      </c>
      <c r="B2947" s="50" t="s">
        <v>6310</v>
      </c>
      <c r="C2947" s="50" t="s">
        <v>6367</v>
      </c>
      <c r="D2947" s="50" t="s">
        <v>6328</v>
      </c>
      <c r="E2947" s="12" t="s">
        <v>4971</v>
      </c>
      <c r="F2947" s="49">
        <v>482878</v>
      </c>
      <c r="G2947" s="77" t="s">
        <v>6300</v>
      </c>
      <c r="H2947" s="14" t="s">
        <v>5601</v>
      </c>
      <c r="I2947" s="14" t="s">
        <v>2458</v>
      </c>
      <c r="J2947" s="33" t="s">
        <v>7110</v>
      </c>
      <c r="K2947" s="33" t="s">
        <v>6457</v>
      </c>
      <c r="L2947" s="53" t="s">
        <v>6283</v>
      </c>
      <c r="M2947" s="68" t="s">
        <v>8912</v>
      </c>
      <c r="N2947" s="68" t="s">
        <v>8665</v>
      </c>
      <c r="O2947" s="53">
        <v>50100</v>
      </c>
      <c r="P2947" s="197" t="s">
        <v>5842</v>
      </c>
    </row>
    <row r="2948" spans="1:16" ht="18.75" hidden="1">
      <c r="A2948" s="50" t="s">
        <v>6368</v>
      </c>
      <c r="B2948" s="50" t="s">
        <v>6328</v>
      </c>
      <c r="C2948" s="50" t="s">
        <v>6253</v>
      </c>
      <c r="D2948" s="50" t="s">
        <v>6251</v>
      </c>
      <c r="E2948" s="12" t="s">
        <v>4971</v>
      </c>
      <c r="F2948" s="49">
        <v>101090</v>
      </c>
      <c r="G2948" s="77" t="s">
        <v>6300</v>
      </c>
      <c r="H2948" s="14" t="s">
        <v>5601</v>
      </c>
      <c r="I2948" s="14" t="s">
        <v>2458</v>
      </c>
      <c r="J2948" s="33" t="s">
        <v>7110</v>
      </c>
      <c r="K2948" s="33" t="s">
        <v>6457</v>
      </c>
      <c r="L2948" s="53" t="s">
        <v>6283</v>
      </c>
      <c r="M2948" s="68" t="s">
        <v>8912</v>
      </c>
      <c r="N2948" s="68" t="s">
        <v>8665</v>
      </c>
      <c r="O2948" s="53">
        <v>50100</v>
      </c>
      <c r="P2948" s="197" t="s">
        <v>5818</v>
      </c>
    </row>
    <row r="2949" spans="1:16" ht="18.75" hidden="1">
      <c r="A2949" s="50" t="s">
        <v>6368</v>
      </c>
      <c r="B2949" s="50" t="s">
        <v>6328</v>
      </c>
      <c r="C2949" s="50" t="s">
        <v>6340</v>
      </c>
      <c r="D2949" s="50" t="s">
        <v>6252</v>
      </c>
      <c r="E2949" s="12" t="s">
        <v>4971</v>
      </c>
      <c r="F2949" s="49">
        <v>397570</v>
      </c>
      <c r="G2949" s="77" t="s">
        <v>6300</v>
      </c>
      <c r="H2949" s="14" t="s">
        <v>5601</v>
      </c>
      <c r="I2949" s="14" t="s">
        <v>2458</v>
      </c>
      <c r="J2949" s="33" t="s">
        <v>7110</v>
      </c>
      <c r="K2949" s="33" t="s">
        <v>6457</v>
      </c>
      <c r="L2949" s="53" t="s">
        <v>6283</v>
      </c>
      <c r="M2949" s="68" t="s">
        <v>8912</v>
      </c>
      <c r="N2949" s="68" t="s">
        <v>8665</v>
      </c>
      <c r="O2949" s="53">
        <v>50100</v>
      </c>
      <c r="P2949" s="197" t="s">
        <v>5836</v>
      </c>
    </row>
    <row r="2950" spans="1:16" ht="18.75" hidden="1">
      <c r="A2950" s="50" t="s">
        <v>6334</v>
      </c>
      <c r="B2950" s="50" t="s">
        <v>6314</v>
      </c>
      <c r="C2950" s="50" t="s">
        <v>6369</v>
      </c>
      <c r="D2950" s="50" t="s">
        <v>6247</v>
      </c>
      <c r="E2950" s="12" t="s">
        <v>4971</v>
      </c>
      <c r="F2950" s="49">
        <v>239880</v>
      </c>
      <c r="G2950" s="77" t="s">
        <v>6300</v>
      </c>
      <c r="H2950" s="14" t="s">
        <v>5601</v>
      </c>
      <c r="I2950" s="14" t="s">
        <v>2458</v>
      </c>
      <c r="J2950" s="33" t="s">
        <v>7110</v>
      </c>
      <c r="K2950" s="33" t="s">
        <v>6457</v>
      </c>
      <c r="L2950" s="53" t="s">
        <v>6283</v>
      </c>
      <c r="M2950" s="68" t="s">
        <v>8912</v>
      </c>
      <c r="N2950" s="68" t="s">
        <v>8665</v>
      </c>
      <c r="O2950" s="53">
        <v>50100</v>
      </c>
      <c r="P2950" s="197" t="s">
        <v>5836</v>
      </c>
    </row>
    <row r="2951" spans="1:16" ht="18.75" hidden="1">
      <c r="A2951" s="50" t="s">
        <v>6370</v>
      </c>
      <c r="B2951" s="50" t="s">
        <v>6310</v>
      </c>
      <c r="C2951" s="50" t="s">
        <v>6371</v>
      </c>
      <c r="D2951" s="50" t="s">
        <v>6332</v>
      </c>
      <c r="E2951" s="12" t="s">
        <v>4971</v>
      </c>
      <c r="F2951" s="49">
        <v>494060</v>
      </c>
      <c r="G2951" s="77" t="s">
        <v>6455</v>
      </c>
      <c r="H2951" s="14" t="s">
        <v>5601</v>
      </c>
      <c r="I2951" s="14" t="s">
        <v>2458</v>
      </c>
      <c r="J2951" s="33" t="s">
        <v>7110</v>
      </c>
      <c r="K2951" s="33" t="s">
        <v>6457</v>
      </c>
      <c r="L2951" s="53" t="s">
        <v>6280</v>
      </c>
      <c r="M2951" s="68" t="s">
        <v>8912</v>
      </c>
      <c r="N2951" s="68" t="s">
        <v>8665</v>
      </c>
      <c r="O2951" s="53">
        <v>50100</v>
      </c>
      <c r="P2951" s="198" t="s">
        <v>5856</v>
      </c>
    </row>
    <row r="2952" spans="1:16" ht="18.75" hidden="1">
      <c r="A2952" s="50" t="s">
        <v>6353</v>
      </c>
      <c r="B2952" s="50" t="s">
        <v>6323</v>
      </c>
      <c r="C2952" s="50" t="s">
        <v>6371</v>
      </c>
      <c r="D2952" s="50" t="s">
        <v>6332</v>
      </c>
      <c r="E2952" s="12" t="s">
        <v>4971</v>
      </c>
      <c r="F2952" s="49">
        <v>475185</v>
      </c>
      <c r="G2952" s="77" t="s">
        <v>6455</v>
      </c>
      <c r="H2952" s="14" t="s">
        <v>5601</v>
      </c>
      <c r="I2952" s="14" t="s">
        <v>2458</v>
      </c>
      <c r="J2952" s="33" t="s">
        <v>7110</v>
      </c>
      <c r="K2952" s="33" t="s">
        <v>6457</v>
      </c>
      <c r="L2952" s="53" t="s">
        <v>6283</v>
      </c>
      <c r="M2952" s="68" t="s">
        <v>8912</v>
      </c>
      <c r="N2952" s="68" t="s">
        <v>8665</v>
      </c>
      <c r="O2952" s="53">
        <v>50100</v>
      </c>
      <c r="P2952" s="198" t="s">
        <v>5856</v>
      </c>
    </row>
    <row r="2953" spans="1:16" ht="18.75" hidden="1">
      <c r="A2953" s="50" t="s">
        <v>6352</v>
      </c>
      <c r="B2953" s="50" t="s">
        <v>6308</v>
      </c>
      <c r="C2953" s="50" t="s">
        <v>6326</v>
      </c>
      <c r="D2953" s="50" t="s">
        <v>6252</v>
      </c>
      <c r="E2953" s="12" t="s">
        <v>4971</v>
      </c>
      <c r="F2953" s="49">
        <v>242120</v>
      </c>
      <c r="G2953" s="77" t="s">
        <v>6453</v>
      </c>
      <c r="H2953" s="14" t="s">
        <v>5601</v>
      </c>
      <c r="I2953" s="14" t="s">
        <v>2458</v>
      </c>
      <c r="J2953" s="33" t="s">
        <v>7110</v>
      </c>
      <c r="K2953" s="33" t="s">
        <v>6457</v>
      </c>
      <c r="L2953" s="53" t="s">
        <v>8685</v>
      </c>
      <c r="M2953" s="68" t="s">
        <v>8912</v>
      </c>
      <c r="N2953" s="68" t="s">
        <v>8665</v>
      </c>
      <c r="O2953" s="53">
        <v>50100</v>
      </c>
      <c r="P2953" s="198" t="s">
        <v>7233</v>
      </c>
    </row>
    <row r="2954" spans="1:16" ht="18.75" hidden="1">
      <c r="A2954" s="50" t="s">
        <v>6355</v>
      </c>
      <c r="B2954" s="50" t="s">
        <v>6310</v>
      </c>
      <c r="C2954" s="50" t="s">
        <v>6372</v>
      </c>
      <c r="D2954" s="50" t="s">
        <v>6252</v>
      </c>
      <c r="E2954" s="12" t="s">
        <v>4971</v>
      </c>
      <c r="F2954" s="49">
        <v>346180</v>
      </c>
      <c r="G2954" s="77" t="s">
        <v>6454</v>
      </c>
      <c r="H2954" s="14" t="s">
        <v>5601</v>
      </c>
      <c r="I2954" s="14" t="s">
        <v>2458</v>
      </c>
      <c r="J2954" s="33" t="s">
        <v>7110</v>
      </c>
      <c r="K2954" s="33" t="s">
        <v>6457</v>
      </c>
      <c r="L2954" s="53" t="s">
        <v>6279</v>
      </c>
      <c r="M2954" s="68" t="s">
        <v>8912</v>
      </c>
      <c r="N2954" s="68" t="s">
        <v>8665</v>
      </c>
      <c r="O2954" s="53">
        <v>50100</v>
      </c>
      <c r="P2954" s="198" t="s">
        <v>5852</v>
      </c>
    </row>
    <row r="2955" spans="1:16" ht="18.75" hidden="1">
      <c r="A2955" s="50" t="s">
        <v>6355</v>
      </c>
      <c r="B2955" s="50" t="s">
        <v>6310</v>
      </c>
      <c r="C2955" s="50" t="s">
        <v>6373</v>
      </c>
      <c r="D2955" s="50" t="s">
        <v>6305</v>
      </c>
      <c r="E2955" s="12" t="s">
        <v>4971</v>
      </c>
      <c r="F2955" s="49">
        <v>298680</v>
      </c>
      <c r="G2955" s="77" t="s">
        <v>6454</v>
      </c>
      <c r="H2955" s="14" t="s">
        <v>5601</v>
      </c>
      <c r="I2955" s="14" t="s">
        <v>2458</v>
      </c>
      <c r="J2955" s="33" t="s">
        <v>7110</v>
      </c>
      <c r="K2955" s="33" t="s">
        <v>6457</v>
      </c>
      <c r="L2955" s="53" t="s">
        <v>6279</v>
      </c>
      <c r="M2955" s="68" t="s">
        <v>8912</v>
      </c>
      <c r="N2955" s="68" t="s">
        <v>8665</v>
      </c>
      <c r="O2955" s="53">
        <v>50100</v>
      </c>
      <c r="P2955" s="198" t="s">
        <v>5852</v>
      </c>
    </row>
    <row r="2956" spans="1:16" ht="18.75" hidden="1">
      <c r="A2956" s="50" t="s">
        <v>6355</v>
      </c>
      <c r="B2956" s="50" t="s">
        <v>6310</v>
      </c>
      <c r="C2956" s="50" t="s">
        <v>6371</v>
      </c>
      <c r="D2956" s="50" t="s">
        <v>6332</v>
      </c>
      <c r="E2956" s="12" t="s">
        <v>4971</v>
      </c>
      <c r="F2956" s="49">
        <v>371911</v>
      </c>
      <c r="G2956" s="77" t="s">
        <v>6455</v>
      </c>
      <c r="H2956" s="14" t="s">
        <v>5601</v>
      </c>
      <c r="I2956" s="14" t="s">
        <v>2458</v>
      </c>
      <c r="J2956" s="33" t="s">
        <v>7110</v>
      </c>
      <c r="K2956" s="33" t="s">
        <v>6457</v>
      </c>
      <c r="L2956" s="53" t="s">
        <v>6279</v>
      </c>
      <c r="M2956" s="68" t="s">
        <v>8912</v>
      </c>
      <c r="N2956" s="68" t="s">
        <v>8665</v>
      </c>
      <c r="O2956" s="53">
        <v>50100</v>
      </c>
      <c r="P2956" s="198" t="s">
        <v>5856</v>
      </c>
    </row>
    <row r="2957" spans="1:16" ht="18.75" hidden="1">
      <c r="A2957" s="50" t="s">
        <v>6374</v>
      </c>
      <c r="B2957" s="50" t="s">
        <v>6308</v>
      </c>
      <c r="C2957" s="50" t="s">
        <v>5933</v>
      </c>
      <c r="D2957" s="50" t="s">
        <v>5460</v>
      </c>
      <c r="E2957" s="12" t="s">
        <v>4971</v>
      </c>
      <c r="F2957" s="49">
        <v>34020</v>
      </c>
      <c r="G2957" s="77" t="s">
        <v>6298</v>
      </c>
      <c r="H2957" s="14" t="s">
        <v>5601</v>
      </c>
      <c r="I2957" s="14" t="s">
        <v>2458</v>
      </c>
      <c r="J2957" s="33" t="s">
        <v>7110</v>
      </c>
      <c r="K2957" s="33" t="s">
        <v>6457</v>
      </c>
      <c r="L2957" s="53" t="s">
        <v>6054</v>
      </c>
      <c r="M2957" s="68" t="s">
        <v>8912</v>
      </c>
      <c r="N2957" s="53" t="s">
        <v>6286</v>
      </c>
      <c r="O2957" s="53">
        <v>55107</v>
      </c>
      <c r="P2957" s="198" t="s">
        <v>5814</v>
      </c>
    </row>
    <row r="2958" spans="1:16" ht="18.75" hidden="1">
      <c r="A2958" s="50" t="s">
        <v>6374</v>
      </c>
      <c r="B2958" s="50" t="s">
        <v>6308</v>
      </c>
      <c r="C2958" s="50" t="s">
        <v>5883</v>
      </c>
      <c r="D2958" s="50" t="s">
        <v>5557</v>
      </c>
      <c r="E2958" s="12" t="s">
        <v>4971</v>
      </c>
      <c r="F2958" s="49">
        <v>75000</v>
      </c>
      <c r="G2958" s="77" t="s">
        <v>6298</v>
      </c>
      <c r="H2958" s="14" t="s">
        <v>5601</v>
      </c>
      <c r="I2958" s="14" t="s">
        <v>2458</v>
      </c>
      <c r="J2958" s="33" t="s">
        <v>7110</v>
      </c>
      <c r="K2958" s="33" t="s">
        <v>6457</v>
      </c>
      <c r="L2958" s="53" t="s">
        <v>6054</v>
      </c>
      <c r="M2958" s="68" t="s">
        <v>8912</v>
      </c>
      <c r="N2958" s="53" t="s">
        <v>6286</v>
      </c>
      <c r="O2958" s="53">
        <v>55107</v>
      </c>
      <c r="P2958" s="198" t="s">
        <v>5810</v>
      </c>
    </row>
    <row r="2959" spans="1:16" ht="18.75" hidden="1">
      <c r="A2959" s="50" t="s">
        <v>6375</v>
      </c>
      <c r="B2959" s="50" t="s">
        <v>6302</v>
      </c>
      <c r="C2959" s="50" t="s">
        <v>5975</v>
      </c>
      <c r="D2959" s="50" t="s">
        <v>5835</v>
      </c>
      <c r="E2959" s="12" t="s">
        <v>4971</v>
      </c>
      <c r="F2959" s="49">
        <v>33761</v>
      </c>
      <c r="G2959" s="77" t="s">
        <v>6300</v>
      </c>
      <c r="H2959" s="14" t="s">
        <v>5601</v>
      </c>
      <c r="I2959" s="14" t="s">
        <v>2458</v>
      </c>
      <c r="J2959" s="33" t="s">
        <v>7110</v>
      </c>
      <c r="K2959" s="33" t="s">
        <v>6457</v>
      </c>
      <c r="L2959" s="53" t="s">
        <v>6054</v>
      </c>
      <c r="M2959" s="68" t="s">
        <v>8912</v>
      </c>
      <c r="N2959" s="53" t="s">
        <v>6286</v>
      </c>
      <c r="O2959" s="53">
        <v>55107</v>
      </c>
      <c r="P2959" s="197" t="s">
        <v>5820</v>
      </c>
    </row>
    <row r="2960" spans="1:16" ht="18.75" hidden="1">
      <c r="A2960" s="50" t="s">
        <v>6374</v>
      </c>
      <c r="B2960" s="50" t="s">
        <v>6308</v>
      </c>
      <c r="C2960" s="50" t="s">
        <v>5889</v>
      </c>
      <c r="D2960" s="50" t="s">
        <v>5565</v>
      </c>
      <c r="E2960" s="12" t="s">
        <v>4971</v>
      </c>
      <c r="F2960" s="49">
        <v>41920</v>
      </c>
      <c r="G2960" s="77" t="s">
        <v>6298</v>
      </c>
      <c r="H2960" s="14" t="s">
        <v>5601</v>
      </c>
      <c r="I2960" s="14" t="s">
        <v>2458</v>
      </c>
      <c r="J2960" s="33" t="s">
        <v>7110</v>
      </c>
      <c r="K2960" s="33" t="s">
        <v>6457</v>
      </c>
      <c r="L2960" s="53" t="s">
        <v>6054</v>
      </c>
      <c r="M2960" s="68" t="s">
        <v>8912</v>
      </c>
      <c r="N2960" s="53" t="s">
        <v>6286</v>
      </c>
      <c r="O2960" s="53">
        <v>55107</v>
      </c>
      <c r="P2960" s="198" t="s">
        <v>5813</v>
      </c>
    </row>
    <row r="2961" spans="1:16" ht="18.75" hidden="1">
      <c r="A2961" s="50" t="s">
        <v>6374</v>
      </c>
      <c r="B2961" s="50" t="s">
        <v>6308</v>
      </c>
      <c r="C2961" s="50" t="s">
        <v>5596</v>
      </c>
      <c r="D2961" s="50" t="s">
        <v>5459</v>
      </c>
      <c r="E2961" s="12" t="s">
        <v>4971</v>
      </c>
      <c r="F2961" s="49">
        <v>93870</v>
      </c>
      <c r="G2961" s="77" t="s">
        <v>6298</v>
      </c>
      <c r="H2961" s="14" t="s">
        <v>5601</v>
      </c>
      <c r="I2961" s="14" t="s">
        <v>2458</v>
      </c>
      <c r="J2961" s="33" t="s">
        <v>7110</v>
      </c>
      <c r="K2961" s="33" t="s">
        <v>6457</v>
      </c>
      <c r="L2961" s="53" t="s">
        <v>6054</v>
      </c>
      <c r="M2961" s="68" t="s">
        <v>8912</v>
      </c>
      <c r="N2961" s="53" t="s">
        <v>6286</v>
      </c>
      <c r="O2961" s="53">
        <v>55107</v>
      </c>
      <c r="P2961" s="198" t="s">
        <v>5815</v>
      </c>
    </row>
    <row r="2962" spans="1:16" ht="18.75" hidden="1">
      <c r="A2962" s="50" t="s">
        <v>6375</v>
      </c>
      <c r="B2962" s="50" t="s">
        <v>6302</v>
      </c>
      <c r="C2962" s="50" t="s">
        <v>6376</v>
      </c>
      <c r="D2962" s="50" t="s">
        <v>6314</v>
      </c>
      <c r="E2962" s="12" t="s">
        <v>4971</v>
      </c>
      <c r="F2962" s="49">
        <v>41479</v>
      </c>
      <c r="G2962" s="77" t="s">
        <v>6453</v>
      </c>
      <c r="H2962" s="14" t="s">
        <v>5601</v>
      </c>
      <c r="I2962" s="14" t="s">
        <v>2458</v>
      </c>
      <c r="J2962" s="33" t="s">
        <v>7110</v>
      </c>
      <c r="K2962" s="33" t="s">
        <v>6457</v>
      </c>
      <c r="L2962" s="53" t="s">
        <v>6054</v>
      </c>
      <c r="M2962" s="68" t="s">
        <v>8912</v>
      </c>
      <c r="N2962" s="53" t="s">
        <v>6286</v>
      </c>
      <c r="O2962" s="53">
        <v>55107</v>
      </c>
      <c r="P2962" s="198" t="s">
        <v>7233</v>
      </c>
    </row>
    <row r="2963" spans="1:16" ht="18.75" hidden="1">
      <c r="A2963" s="50" t="s">
        <v>6374</v>
      </c>
      <c r="B2963" s="50" t="s">
        <v>6308</v>
      </c>
      <c r="C2963" s="50" t="s">
        <v>5906</v>
      </c>
      <c r="D2963" s="50" t="s">
        <v>5482</v>
      </c>
      <c r="E2963" s="12" t="s">
        <v>4971</v>
      </c>
      <c r="F2963" s="49">
        <v>4960</v>
      </c>
      <c r="G2963" s="77" t="s">
        <v>6298</v>
      </c>
      <c r="H2963" s="14" t="s">
        <v>5601</v>
      </c>
      <c r="I2963" s="14" t="s">
        <v>2458</v>
      </c>
      <c r="J2963" s="33" t="s">
        <v>7110</v>
      </c>
      <c r="K2963" s="33" t="s">
        <v>6457</v>
      </c>
      <c r="L2963" s="53" t="s">
        <v>6054</v>
      </c>
      <c r="M2963" s="68" t="s">
        <v>8912</v>
      </c>
      <c r="N2963" s="53" t="s">
        <v>6286</v>
      </c>
      <c r="O2963" s="53">
        <v>55107</v>
      </c>
      <c r="P2963" s="198" t="s">
        <v>5813</v>
      </c>
    </row>
    <row r="2964" spans="1:16" ht="18.75" hidden="1">
      <c r="A2964" s="50" t="s">
        <v>6377</v>
      </c>
      <c r="B2964" s="50" t="s">
        <v>6302</v>
      </c>
      <c r="C2964" s="50" t="s">
        <v>6376</v>
      </c>
      <c r="D2964" s="50" t="s">
        <v>6314</v>
      </c>
      <c r="E2964" s="12" t="s">
        <v>4971</v>
      </c>
      <c r="F2964" s="49">
        <v>94220</v>
      </c>
      <c r="G2964" s="77" t="s">
        <v>6453</v>
      </c>
      <c r="H2964" s="14" t="s">
        <v>5601</v>
      </c>
      <c r="I2964" s="14" t="s">
        <v>2458</v>
      </c>
      <c r="J2964" s="33" t="s">
        <v>7110</v>
      </c>
      <c r="K2964" s="33" t="s">
        <v>6457</v>
      </c>
      <c r="L2964" s="53" t="s">
        <v>6054</v>
      </c>
      <c r="M2964" s="68" t="s">
        <v>8913</v>
      </c>
      <c r="N2964" s="53" t="s">
        <v>6286</v>
      </c>
      <c r="O2964" s="53">
        <v>55107</v>
      </c>
      <c r="P2964" s="198" t="s">
        <v>7233</v>
      </c>
    </row>
    <row r="2965" spans="1:16" ht="18.75" hidden="1">
      <c r="A2965" s="50" t="s">
        <v>6378</v>
      </c>
      <c r="B2965" s="50" t="s">
        <v>6379</v>
      </c>
      <c r="C2965" s="50" t="s">
        <v>6043</v>
      </c>
      <c r="D2965" s="50" t="s">
        <v>5857</v>
      </c>
      <c r="E2965" s="12" t="s">
        <v>4971</v>
      </c>
      <c r="F2965" s="49">
        <v>100250</v>
      </c>
      <c r="G2965" s="77" t="s">
        <v>6300</v>
      </c>
      <c r="H2965" s="14" t="s">
        <v>5601</v>
      </c>
      <c r="I2965" s="14" t="s">
        <v>2458</v>
      </c>
      <c r="J2965" s="33" t="s">
        <v>7110</v>
      </c>
      <c r="K2965" s="33" t="s">
        <v>6457</v>
      </c>
      <c r="L2965" s="53" t="s">
        <v>6054</v>
      </c>
      <c r="M2965" s="68" t="s">
        <v>8912</v>
      </c>
      <c r="N2965" s="53" t="s">
        <v>6285</v>
      </c>
      <c r="O2965" s="53">
        <v>55200</v>
      </c>
      <c r="P2965" s="197" t="s">
        <v>5818</v>
      </c>
    </row>
    <row r="2966" spans="1:16" ht="18.75" hidden="1">
      <c r="A2966" s="50" t="s">
        <v>6380</v>
      </c>
      <c r="B2966" s="50" t="s">
        <v>6323</v>
      </c>
      <c r="C2966" s="50" t="s">
        <v>5576</v>
      </c>
      <c r="D2966" s="50" t="s">
        <v>5561</v>
      </c>
      <c r="E2966" s="12" t="s">
        <v>4971</v>
      </c>
      <c r="F2966" s="49">
        <v>52230</v>
      </c>
      <c r="G2966" s="77" t="s">
        <v>6298</v>
      </c>
      <c r="H2966" s="14" t="s">
        <v>5601</v>
      </c>
      <c r="I2966" s="14" t="s">
        <v>2458</v>
      </c>
      <c r="J2966" s="33" t="s">
        <v>7110</v>
      </c>
      <c r="K2966" s="33" t="s">
        <v>6457</v>
      </c>
      <c r="L2966" s="53" t="s">
        <v>6054</v>
      </c>
      <c r="M2966" s="68" t="s">
        <v>8912</v>
      </c>
      <c r="N2966" s="53" t="s">
        <v>6285</v>
      </c>
      <c r="O2966" s="53">
        <v>55200</v>
      </c>
      <c r="P2966" s="198" t="s">
        <v>5815</v>
      </c>
    </row>
    <row r="2967" spans="1:16" ht="18.75" hidden="1">
      <c r="A2967" s="50" t="s">
        <v>6381</v>
      </c>
      <c r="B2967" s="50" t="s">
        <v>6325</v>
      </c>
      <c r="C2967" s="50" t="s">
        <v>5919</v>
      </c>
      <c r="D2967" s="50" t="s">
        <v>5483</v>
      </c>
      <c r="E2967" s="12" t="s">
        <v>4971</v>
      </c>
      <c r="F2967" s="49">
        <v>73820</v>
      </c>
      <c r="G2967" s="77" t="s">
        <v>6298</v>
      </c>
      <c r="H2967" s="14" t="s">
        <v>5601</v>
      </c>
      <c r="I2967" s="14" t="s">
        <v>2458</v>
      </c>
      <c r="J2967" s="33" t="s">
        <v>7110</v>
      </c>
      <c r="K2967" s="33" t="s">
        <v>6457</v>
      </c>
      <c r="L2967" s="53" t="s">
        <v>6055</v>
      </c>
      <c r="M2967" s="68" t="s">
        <v>8913</v>
      </c>
      <c r="N2967" s="53" t="s">
        <v>6057</v>
      </c>
      <c r="O2967" s="53">
        <v>30100</v>
      </c>
      <c r="P2967" s="198" t="s">
        <v>5813</v>
      </c>
    </row>
    <row r="2968" spans="1:16" ht="18.75" hidden="1">
      <c r="A2968" s="50" t="s">
        <v>6382</v>
      </c>
      <c r="B2968" s="50" t="s">
        <v>6383</v>
      </c>
      <c r="C2968" s="50" t="s">
        <v>5988</v>
      </c>
      <c r="D2968" s="50" t="s">
        <v>5496</v>
      </c>
      <c r="E2968" s="12" t="s">
        <v>4971</v>
      </c>
      <c r="F2968" s="49">
        <v>48080</v>
      </c>
      <c r="G2968" s="77" t="s">
        <v>6300</v>
      </c>
      <c r="H2968" s="14" t="s">
        <v>5601</v>
      </c>
      <c r="I2968" s="14" t="s">
        <v>2458</v>
      </c>
      <c r="J2968" s="33" t="s">
        <v>7110</v>
      </c>
      <c r="K2968" s="33" t="s">
        <v>6457</v>
      </c>
      <c r="L2968" s="53" t="s">
        <v>6054</v>
      </c>
      <c r="M2968" s="68" t="s">
        <v>8912</v>
      </c>
      <c r="N2968" s="53" t="s">
        <v>6076</v>
      </c>
      <c r="O2968" s="53">
        <v>55301</v>
      </c>
      <c r="P2968" s="197" t="s">
        <v>5820</v>
      </c>
    </row>
    <row r="2969" spans="1:16" ht="18.75" hidden="1">
      <c r="A2969" s="50" t="s">
        <v>6384</v>
      </c>
      <c r="B2969" s="50" t="s">
        <v>6276</v>
      </c>
      <c r="C2969" s="50" t="s">
        <v>6014</v>
      </c>
      <c r="D2969" s="50" t="s">
        <v>5600</v>
      </c>
      <c r="E2969" s="12" t="s">
        <v>4971</v>
      </c>
      <c r="F2969" s="49">
        <v>450000</v>
      </c>
      <c r="G2969" s="77" t="s">
        <v>6298</v>
      </c>
      <c r="H2969" s="14" t="s">
        <v>5601</v>
      </c>
      <c r="I2969" s="14" t="s">
        <v>2458</v>
      </c>
      <c r="J2969" s="33" t="s">
        <v>7110</v>
      </c>
      <c r="K2969" s="33" t="s">
        <v>6457</v>
      </c>
      <c r="L2969" s="53" t="s">
        <v>6054</v>
      </c>
      <c r="M2969" s="68" t="s">
        <v>8913</v>
      </c>
      <c r="N2969" s="53" t="s">
        <v>6076</v>
      </c>
      <c r="O2969" s="53">
        <v>55301</v>
      </c>
      <c r="P2969" s="198" t="s">
        <v>5826</v>
      </c>
    </row>
    <row r="2970" spans="1:16" ht="18.75" hidden="1">
      <c r="A2970" s="50" t="s">
        <v>6384</v>
      </c>
      <c r="B2970" s="50" t="s">
        <v>6276</v>
      </c>
      <c r="C2970" s="50" t="s">
        <v>6032</v>
      </c>
      <c r="D2970" s="50" t="s">
        <v>5850</v>
      </c>
      <c r="E2970" s="12" t="s">
        <v>4971</v>
      </c>
      <c r="F2970" s="49">
        <v>113330</v>
      </c>
      <c r="G2970" s="77" t="s">
        <v>6298</v>
      </c>
      <c r="H2970" s="14" t="s">
        <v>5601</v>
      </c>
      <c r="I2970" s="14" t="s">
        <v>2458</v>
      </c>
      <c r="J2970" s="33" t="s">
        <v>7110</v>
      </c>
      <c r="K2970" s="33" t="s">
        <v>6457</v>
      </c>
      <c r="L2970" s="53" t="s">
        <v>6054</v>
      </c>
      <c r="M2970" s="68" t="s">
        <v>8913</v>
      </c>
      <c r="N2970" s="53" t="s">
        <v>6076</v>
      </c>
      <c r="O2970" s="53">
        <v>55301</v>
      </c>
      <c r="P2970" s="198" t="s">
        <v>5831</v>
      </c>
    </row>
    <row r="2971" spans="1:16" ht="18.75" hidden="1">
      <c r="A2971" s="50" t="s">
        <v>6384</v>
      </c>
      <c r="B2971" s="50" t="s">
        <v>6276</v>
      </c>
      <c r="C2971" s="50" t="s">
        <v>6385</v>
      </c>
      <c r="D2971" s="50" t="s">
        <v>6248</v>
      </c>
      <c r="E2971" s="12" t="s">
        <v>4971</v>
      </c>
      <c r="F2971" s="49">
        <v>75000</v>
      </c>
      <c r="G2971" s="77" t="s">
        <v>6300</v>
      </c>
      <c r="H2971" s="14" t="s">
        <v>5601</v>
      </c>
      <c r="I2971" s="14" t="s">
        <v>2458</v>
      </c>
      <c r="J2971" s="33" t="s">
        <v>7110</v>
      </c>
      <c r="K2971" s="33" t="s">
        <v>6457</v>
      </c>
      <c r="L2971" s="53" t="s">
        <v>6054</v>
      </c>
      <c r="M2971" s="68" t="s">
        <v>8913</v>
      </c>
      <c r="N2971" s="53" t="s">
        <v>6076</v>
      </c>
      <c r="O2971" s="53">
        <v>55301</v>
      </c>
      <c r="P2971" s="197" t="s">
        <v>7237</v>
      </c>
    </row>
    <row r="2972" spans="1:16" ht="18.75" hidden="1">
      <c r="A2972" s="50" t="s">
        <v>6384</v>
      </c>
      <c r="B2972" s="50" t="s">
        <v>6276</v>
      </c>
      <c r="C2972" s="50" t="s">
        <v>6386</v>
      </c>
      <c r="D2972" s="50" t="s">
        <v>6075</v>
      </c>
      <c r="E2972" s="12" t="s">
        <v>4971</v>
      </c>
      <c r="F2972" s="49">
        <v>75500</v>
      </c>
      <c r="G2972" s="77" t="s">
        <v>6300</v>
      </c>
      <c r="H2972" s="14" t="s">
        <v>5601</v>
      </c>
      <c r="I2972" s="14" t="s">
        <v>2458</v>
      </c>
      <c r="J2972" s="33" t="s">
        <v>7110</v>
      </c>
      <c r="K2972" s="33" t="s">
        <v>6457</v>
      </c>
      <c r="L2972" s="53" t="s">
        <v>6054</v>
      </c>
      <c r="M2972" s="68" t="s">
        <v>8913</v>
      </c>
      <c r="N2972" s="53" t="s">
        <v>6076</v>
      </c>
      <c r="O2972" s="53">
        <v>55301</v>
      </c>
      <c r="P2972" s="197" t="s">
        <v>5818</v>
      </c>
    </row>
    <row r="2973" spans="1:16" ht="18.75" hidden="1">
      <c r="A2973" s="50" t="s">
        <v>6387</v>
      </c>
      <c r="B2973" s="50" t="s">
        <v>6361</v>
      </c>
      <c r="C2973" s="50" t="s">
        <v>6388</v>
      </c>
      <c r="D2973" s="50" t="s">
        <v>6075</v>
      </c>
      <c r="E2973" s="12" t="s">
        <v>4971</v>
      </c>
      <c r="F2973" s="49">
        <v>136280</v>
      </c>
      <c r="G2973" s="77" t="s">
        <v>6298</v>
      </c>
      <c r="H2973" s="14" t="s">
        <v>5601</v>
      </c>
      <c r="I2973" s="14" t="s">
        <v>2458</v>
      </c>
      <c r="J2973" s="33" t="s">
        <v>7110</v>
      </c>
      <c r="K2973" s="33" t="s">
        <v>6457</v>
      </c>
      <c r="L2973" s="53" t="s">
        <v>6054</v>
      </c>
      <c r="M2973" s="68" t="s">
        <v>8913</v>
      </c>
      <c r="N2973" s="53" t="s">
        <v>6076</v>
      </c>
      <c r="O2973" s="53">
        <v>55301</v>
      </c>
      <c r="P2973" s="198" t="s">
        <v>5831</v>
      </c>
    </row>
    <row r="2974" spans="1:16" ht="18.75" hidden="1">
      <c r="A2974" s="50" t="s">
        <v>6384</v>
      </c>
      <c r="B2974" s="50" t="s">
        <v>6276</v>
      </c>
      <c r="C2974" s="50" t="s">
        <v>5919</v>
      </c>
      <c r="D2974" s="50" t="s">
        <v>5483</v>
      </c>
      <c r="E2974" s="12" t="s">
        <v>4971</v>
      </c>
      <c r="F2974" s="49">
        <v>379220</v>
      </c>
      <c r="G2974" s="77" t="s">
        <v>6298</v>
      </c>
      <c r="H2974" s="14" t="s">
        <v>5601</v>
      </c>
      <c r="I2974" s="14" t="s">
        <v>2458</v>
      </c>
      <c r="J2974" s="33" t="s">
        <v>7110</v>
      </c>
      <c r="K2974" s="33" t="s">
        <v>6457</v>
      </c>
      <c r="L2974" s="53" t="s">
        <v>6054</v>
      </c>
      <c r="M2974" s="68" t="s">
        <v>8913</v>
      </c>
      <c r="N2974" s="53" t="s">
        <v>6076</v>
      </c>
      <c r="O2974" s="53">
        <v>55301</v>
      </c>
      <c r="P2974" s="198" t="s">
        <v>5813</v>
      </c>
    </row>
    <row r="2975" spans="1:16" ht="18.75" hidden="1">
      <c r="A2975" s="50" t="s">
        <v>6389</v>
      </c>
      <c r="B2975" s="50" t="s">
        <v>6328</v>
      </c>
      <c r="C2975" s="50" t="s">
        <v>6390</v>
      </c>
      <c r="D2975" s="50" t="s">
        <v>6305</v>
      </c>
      <c r="E2975" s="12" t="s">
        <v>4971</v>
      </c>
      <c r="F2975" s="49">
        <v>49030</v>
      </c>
      <c r="G2975" s="77" t="s">
        <v>6299</v>
      </c>
      <c r="H2975" s="14" t="s">
        <v>5601</v>
      </c>
      <c r="I2975" s="14" t="s">
        <v>2458</v>
      </c>
      <c r="J2975" s="33" t="s">
        <v>7110</v>
      </c>
      <c r="K2975" s="33" t="s">
        <v>6457</v>
      </c>
      <c r="L2975" s="53" t="s">
        <v>6054</v>
      </c>
      <c r="M2975" s="68" t="s">
        <v>8912</v>
      </c>
      <c r="N2975" s="53" t="s">
        <v>6286</v>
      </c>
      <c r="O2975" s="53">
        <v>55107</v>
      </c>
      <c r="P2975" s="198" t="s">
        <v>8501</v>
      </c>
    </row>
    <row r="2976" spans="1:16" ht="18.75" hidden="1">
      <c r="A2976" s="50" t="s">
        <v>6391</v>
      </c>
      <c r="B2976" s="50" t="s">
        <v>6314</v>
      </c>
      <c r="C2976" s="50" t="s">
        <v>6392</v>
      </c>
      <c r="D2976" s="50" t="s">
        <v>6330</v>
      </c>
      <c r="E2976" s="12" t="s">
        <v>4971</v>
      </c>
      <c r="F2976" s="49">
        <v>519780</v>
      </c>
      <c r="G2976" s="77" t="s">
        <v>6298</v>
      </c>
      <c r="H2976" s="14" t="s">
        <v>5601</v>
      </c>
      <c r="I2976" s="14" t="s">
        <v>2458</v>
      </c>
      <c r="J2976" s="33" t="s">
        <v>7110</v>
      </c>
      <c r="K2976" s="33" t="s">
        <v>6457</v>
      </c>
      <c r="L2976" s="53" t="s">
        <v>6054</v>
      </c>
      <c r="M2976" s="68" t="s">
        <v>8913</v>
      </c>
      <c r="N2976" s="53" t="s">
        <v>6076</v>
      </c>
      <c r="O2976" s="53">
        <v>55301</v>
      </c>
      <c r="P2976" s="198" t="s">
        <v>7231</v>
      </c>
    </row>
    <row r="2977" spans="1:16" ht="18.75" hidden="1">
      <c r="A2977" s="50" t="s">
        <v>6393</v>
      </c>
      <c r="B2977" s="50" t="s">
        <v>6363</v>
      </c>
      <c r="C2977" s="50" t="s">
        <v>5988</v>
      </c>
      <c r="D2977" s="50" t="s">
        <v>5496</v>
      </c>
      <c r="E2977" s="12" t="s">
        <v>4971</v>
      </c>
      <c r="F2977" s="49">
        <v>167720</v>
      </c>
      <c r="G2977" s="77" t="s">
        <v>6300</v>
      </c>
      <c r="H2977" s="14" t="s">
        <v>5601</v>
      </c>
      <c r="I2977" s="14" t="s">
        <v>2458</v>
      </c>
      <c r="J2977" s="33" t="s">
        <v>7110</v>
      </c>
      <c r="K2977" s="33" t="s">
        <v>6457</v>
      </c>
      <c r="L2977" s="53" t="s">
        <v>6054</v>
      </c>
      <c r="M2977" s="68" t="s">
        <v>8913</v>
      </c>
      <c r="N2977" s="53" t="s">
        <v>6286</v>
      </c>
      <c r="O2977" s="53">
        <v>55107</v>
      </c>
      <c r="P2977" s="197" t="s">
        <v>5820</v>
      </c>
    </row>
    <row r="2978" spans="1:16" ht="18.75" hidden="1">
      <c r="A2978" s="50" t="s">
        <v>6394</v>
      </c>
      <c r="B2978" s="50" t="s">
        <v>6395</v>
      </c>
      <c r="C2978" s="50" t="s">
        <v>5988</v>
      </c>
      <c r="D2978" s="50" t="s">
        <v>5496</v>
      </c>
      <c r="E2978" s="12" t="s">
        <v>4971</v>
      </c>
      <c r="F2978" s="49">
        <v>72540</v>
      </c>
      <c r="G2978" s="77" t="s">
        <v>6300</v>
      </c>
      <c r="H2978" s="14" t="s">
        <v>5601</v>
      </c>
      <c r="I2978" s="14" t="s">
        <v>2458</v>
      </c>
      <c r="J2978" s="33" t="s">
        <v>7110</v>
      </c>
      <c r="K2978" s="33" t="s">
        <v>6457</v>
      </c>
      <c r="L2978" s="53" t="s">
        <v>6054</v>
      </c>
      <c r="M2978" s="68" t="s">
        <v>8913</v>
      </c>
      <c r="N2978" s="53" t="s">
        <v>6286</v>
      </c>
      <c r="O2978" s="53">
        <v>55107</v>
      </c>
      <c r="P2978" s="197" t="s">
        <v>5820</v>
      </c>
    </row>
    <row r="2979" spans="1:16" ht="18.75" hidden="1">
      <c r="A2979" s="50" t="s">
        <v>6396</v>
      </c>
      <c r="B2979" s="50" t="s">
        <v>6361</v>
      </c>
      <c r="C2979" s="50" t="s">
        <v>5988</v>
      </c>
      <c r="D2979" s="50" t="s">
        <v>5496</v>
      </c>
      <c r="E2979" s="12" t="s">
        <v>4971</v>
      </c>
      <c r="F2979" s="49">
        <v>9690</v>
      </c>
      <c r="G2979" s="77" t="s">
        <v>6300</v>
      </c>
      <c r="H2979" s="14" t="s">
        <v>5601</v>
      </c>
      <c r="I2979" s="14" t="s">
        <v>2458</v>
      </c>
      <c r="J2979" s="33" t="s">
        <v>7110</v>
      </c>
      <c r="K2979" s="33" t="s">
        <v>6457</v>
      </c>
      <c r="L2979" s="53" t="s">
        <v>6054</v>
      </c>
      <c r="M2979" s="68" t="s">
        <v>8912</v>
      </c>
      <c r="N2979" s="53" t="s">
        <v>6076</v>
      </c>
      <c r="O2979" s="53">
        <v>55301</v>
      </c>
      <c r="P2979" s="197" t="s">
        <v>5820</v>
      </c>
    </row>
    <row r="2980" spans="1:16" ht="18.75" hidden="1">
      <c r="A2980" s="50" t="s">
        <v>6397</v>
      </c>
      <c r="B2980" s="50" t="s">
        <v>6337</v>
      </c>
      <c r="C2980" s="50" t="s">
        <v>6398</v>
      </c>
      <c r="D2980" s="50" t="s">
        <v>6314</v>
      </c>
      <c r="E2980" s="12" t="s">
        <v>4971</v>
      </c>
      <c r="F2980" s="49">
        <v>47140</v>
      </c>
      <c r="G2980" s="77" t="s">
        <v>6298</v>
      </c>
      <c r="H2980" s="14" t="s">
        <v>5601</v>
      </c>
      <c r="I2980" s="14" t="s">
        <v>2458</v>
      </c>
      <c r="J2980" s="33" t="s">
        <v>7110</v>
      </c>
      <c r="K2980" s="33" t="s">
        <v>6457</v>
      </c>
      <c r="L2980" s="53" t="s">
        <v>6055</v>
      </c>
      <c r="M2980" s="68" t="s">
        <v>8913</v>
      </c>
      <c r="N2980" s="53" t="s">
        <v>6287</v>
      </c>
      <c r="O2980" s="53">
        <v>25401</v>
      </c>
      <c r="P2980" s="198" t="s">
        <v>7231</v>
      </c>
    </row>
    <row r="2981" spans="1:16" ht="18.75" hidden="1">
      <c r="A2981" s="50" t="s">
        <v>6399</v>
      </c>
      <c r="B2981" s="50" t="s">
        <v>6363</v>
      </c>
      <c r="C2981" s="50" t="s">
        <v>6017</v>
      </c>
      <c r="D2981" s="50" t="s">
        <v>5600</v>
      </c>
      <c r="E2981" s="12" t="s">
        <v>4971</v>
      </c>
      <c r="F2981" s="49">
        <v>146370</v>
      </c>
      <c r="G2981" s="77" t="s">
        <v>6298</v>
      </c>
      <c r="H2981" s="14" t="s">
        <v>5601</v>
      </c>
      <c r="I2981" s="14" t="s">
        <v>2458</v>
      </c>
      <c r="J2981" s="33" t="s">
        <v>7110</v>
      </c>
      <c r="K2981" s="33" t="s">
        <v>6457</v>
      </c>
      <c r="L2981" s="53" t="s">
        <v>6054</v>
      </c>
      <c r="M2981" s="68" t="s">
        <v>8912</v>
      </c>
      <c r="N2981" s="53" t="s">
        <v>6285</v>
      </c>
      <c r="O2981" s="53">
        <v>55200</v>
      </c>
      <c r="P2981" s="198" t="s">
        <v>5831</v>
      </c>
    </row>
    <row r="2982" spans="1:16" ht="18.75" hidden="1">
      <c r="A2982" s="50" t="s">
        <v>6399</v>
      </c>
      <c r="B2982" s="50" t="s">
        <v>6363</v>
      </c>
      <c r="C2982" s="50" t="s">
        <v>5595</v>
      </c>
      <c r="D2982" s="50" t="s">
        <v>5561</v>
      </c>
      <c r="E2982" s="12" t="s">
        <v>4971</v>
      </c>
      <c r="F2982" s="49">
        <v>24790</v>
      </c>
      <c r="G2982" s="77" t="s">
        <v>6298</v>
      </c>
      <c r="H2982" s="14" t="s">
        <v>5601</v>
      </c>
      <c r="I2982" s="14" t="s">
        <v>2458</v>
      </c>
      <c r="J2982" s="33" t="s">
        <v>7110</v>
      </c>
      <c r="K2982" s="33" t="s">
        <v>6457</v>
      </c>
      <c r="L2982" s="53" t="s">
        <v>6054</v>
      </c>
      <c r="M2982" s="68" t="s">
        <v>8912</v>
      </c>
      <c r="N2982" s="53" t="s">
        <v>6285</v>
      </c>
      <c r="O2982" s="53">
        <v>55200</v>
      </c>
      <c r="P2982" s="198" t="s">
        <v>5815</v>
      </c>
    </row>
    <row r="2983" spans="1:16" ht="18.75" hidden="1">
      <c r="A2983" s="50" t="s">
        <v>6400</v>
      </c>
      <c r="B2983" s="50" t="s">
        <v>6314</v>
      </c>
      <c r="C2983" s="50" t="s">
        <v>6392</v>
      </c>
      <c r="D2983" s="50" t="s">
        <v>6330</v>
      </c>
      <c r="E2983" s="12" t="s">
        <v>4971</v>
      </c>
      <c r="F2983" s="49">
        <v>149050</v>
      </c>
      <c r="G2983" s="77" t="s">
        <v>6298</v>
      </c>
      <c r="H2983" s="14" t="s">
        <v>5601</v>
      </c>
      <c r="I2983" s="14" t="s">
        <v>2458</v>
      </c>
      <c r="J2983" s="33" t="s">
        <v>7110</v>
      </c>
      <c r="K2983" s="33" t="s">
        <v>6457</v>
      </c>
      <c r="L2983" s="53" t="s">
        <v>6054</v>
      </c>
      <c r="M2983" s="68" t="s">
        <v>8912</v>
      </c>
      <c r="N2983" s="53" t="s">
        <v>6286</v>
      </c>
      <c r="O2983" s="53">
        <v>55107</v>
      </c>
      <c r="P2983" s="198" t="s">
        <v>7231</v>
      </c>
    </row>
    <row r="2984" spans="1:16" ht="18.75" hidden="1">
      <c r="A2984" s="50" t="s">
        <v>6396</v>
      </c>
      <c r="B2984" s="50" t="s">
        <v>6361</v>
      </c>
      <c r="C2984" s="50" t="s">
        <v>6401</v>
      </c>
      <c r="D2984" s="50" t="s">
        <v>6245</v>
      </c>
      <c r="E2984" s="12" t="s">
        <v>4971</v>
      </c>
      <c r="F2984" s="49">
        <v>37030</v>
      </c>
      <c r="G2984" s="77" t="s">
        <v>6300</v>
      </c>
      <c r="H2984" s="14" t="s">
        <v>5601</v>
      </c>
      <c r="I2984" s="14" t="s">
        <v>2458</v>
      </c>
      <c r="J2984" s="33" t="s">
        <v>7110</v>
      </c>
      <c r="K2984" s="33" t="s">
        <v>6457</v>
      </c>
      <c r="L2984" s="53" t="s">
        <v>6054</v>
      </c>
      <c r="M2984" s="68" t="s">
        <v>8912</v>
      </c>
      <c r="N2984" s="53" t="s">
        <v>6076</v>
      </c>
      <c r="O2984" s="53">
        <v>55301</v>
      </c>
      <c r="P2984" s="197" t="s">
        <v>5818</v>
      </c>
    </row>
    <row r="2985" spans="1:16" ht="18.75" hidden="1">
      <c r="A2985" s="50" t="s">
        <v>6402</v>
      </c>
      <c r="B2985" s="50" t="s">
        <v>6325</v>
      </c>
      <c r="C2985" s="50" t="s">
        <v>6401</v>
      </c>
      <c r="D2985" s="50" t="s">
        <v>6245</v>
      </c>
      <c r="E2985" s="12" t="s">
        <v>4971</v>
      </c>
      <c r="F2985" s="49">
        <v>114370</v>
      </c>
      <c r="G2985" s="77" t="s">
        <v>6300</v>
      </c>
      <c r="H2985" s="14" t="s">
        <v>5601</v>
      </c>
      <c r="I2985" s="14" t="s">
        <v>2458</v>
      </c>
      <c r="J2985" s="33" t="s">
        <v>7110</v>
      </c>
      <c r="K2985" s="33" t="s">
        <v>6457</v>
      </c>
      <c r="L2985" s="53" t="s">
        <v>6054</v>
      </c>
      <c r="M2985" s="68" t="s">
        <v>8913</v>
      </c>
      <c r="N2985" s="53" t="s">
        <v>6076</v>
      </c>
      <c r="O2985" s="53">
        <v>55301</v>
      </c>
      <c r="P2985" s="197" t="s">
        <v>5818</v>
      </c>
    </row>
    <row r="2986" spans="1:16" ht="18.75" hidden="1">
      <c r="A2986" s="50" t="s">
        <v>6402</v>
      </c>
      <c r="B2986" s="50" t="s">
        <v>6325</v>
      </c>
      <c r="C2986" s="50" t="s">
        <v>6403</v>
      </c>
      <c r="D2986" s="50" t="s">
        <v>6248</v>
      </c>
      <c r="E2986" s="12" t="s">
        <v>4971</v>
      </c>
      <c r="F2986" s="49">
        <v>175270</v>
      </c>
      <c r="G2986" s="77" t="s">
        <v>6300</v>
      </c>
      <c r="H2986" s="14" t="s">
        <v>5601</v>
      </c>
      <c r="I2986" s="14" t="s">
        <v>2458</v>
      </c>
      <c r="J2986" s="33" t="s">
        <v>7110</v>
      </c>
      <c r="K2986" s="33" t="s">
        <v>6457</v>
      </c>
      <c r="L2986" s="53" t="s">
        <v>6054</v>
      </c>
      <c r="M2986" s="68" t="s">
        <v>8913</v>
      </c>
      <c r="N2986" s="53" t="s">
        <v>6076</v>
      </c>
      <c r="O2986" s="53">
        <v>55301</v>
      </c>
      <c r="P2986" s="197" t="s">
        <v>5818</v>
      </c>
    </row>
    <row r="2987" spans="1:16" ht="18.75" hidden="1">
      <c r="A2987" s="50" t="s">
        <v>6404</v>
      </c>
      <c r="B2987" s="50" t="s">
        <v>6314</v>
      </c>
      <c r="C2987" s="50" t="s">
        <v>5898</v>
      </c>
      <c r="D2987" s="50" t="s">
        <v>5561</v>
      </c>
      <c r="E2987" s="12" t="s">
        <v>4971</v>
      </c>
      <c r="F2987" s="49">
        <v>72430</v>
      </c>
      <c r="G2987" s="77" t="s">
        <v>6300</v>
      </c>
      <c r="H2987" s="14" t="s">
        <v>5601</v>
      </c>
      <c r="I2987" s="14" t="s">
        <v>2458</v>
      </c>
      <c r="J2987" s="33" t="s">
        <v>7110</v>
      </c>
      <c r="K2987" s="33" t="s">
        <v>6457</v>
      </c>
      <c r="L2987" s="53" t="s">
        <v>6054</v>
      </c>
      <c r="M2987" s="68" t="s">
        <v>8912</v>
      </c>
      <c r="N2987" s="53" t="s">
        <v>6076</v>
      </c>
      <c r="O2987" s="53">
        <v>55301</v>
      </c>
      <c r="P2987" s="197" t="s">
        <v>5818</v>
      </c>
    </row>
    <row r="2988" spans="1:16" ht="18.75" hidden="1">
      <c r="A2988" s="50" t="s">
        <v>6384</v>
      </c>
      <c r="B2988" s="50" t="s">
        <v>6276</v>
      </c>
      <c r="C2988" s="50" t="s">
        <v>6403</v>
      </c>
      <c r="D2988" s="50" t="s">
        <v>6248</v>
      </c>
      <c r="E2988" s="12" t="s">
        <v>4971</v>
      </c>
      <c r="F2988" s="49">
        <v>124730</v>
      </c>
      <c r="G2988" s="77" t="s">
        <v>6300</v>
      </c>
      <c r="H2988" s="14" t="s">
        <v>5601</v>
      </c>
      <c r="I2988" s="14" t="s">
        <v>2458</v>
      </c>
      <c r="J2988" s="33" t="s">
        <v>7110</v>
      </c>
      <c r="K2988" s="33" t="s">
        <v>6457</v>
      </c>
      <c r="L2988" s="53" t="s">
        <v>6054</v>
      </c>
      <c r="M2988" s="68" t="s">
        <v>8913</v>
      </c>
      <c r="N2988" s="53" t="s">
        <v>6076</v>
      </c>
      <c r="O2988" s="53">
        <v>55301</v>
      </c>
      <c r="P2988" s="197" t="s">
        <v>5818</v>
      </c>
    </row>
    <row r="2989" spans="1:16" ht="18.75" hidden="1">
      <c r="A2989" s="50" t="s">
        <v>6405</v>
      </c>
      <c r="B2989" s="50" t="s">
        <v>6325</v>
      </c>
      <c r="C2989" s="50" t="s">
        <v>5891</v>
      </c>
      <c r="D2989" s="50" t="s">
        <v>5564</v>
      </c>
      <c r="E2989" s="12" t="s">
        <v>4971</v>
      </c>
      <c r="F2989" s="49">
        <v>70950</v>
      </c>
      <c r="G2989" s="77" t="s">
        <v>6298</v>
      </c>
      <c r="H2989" s="14" t="s">
        <v>5601</v>
      </c>
      <c r="I2989" s="14" t="s">
        <v>2458</v>
      </c>
      <c r="J2989" s="33" t="s">
        <v>7110</v>
      </c>
      <c r="K2989" s="33" t="s">
        <v>6457</v>
      </c>
      <c r="L2989" s="53" t="s">
        <v>6054</v>
      </c>
      <c r="M2989" s="68" t="s">
        <v>8912</v>
      </c>
      <c r="N2989" s="53" t="s">
        <v>6076</v>
      </c>
      <c r="O2989" s="53">
        <v>55301</v>
      </c>
      <c r="P2989" s="198" t="s">
        <v>5813</v>
      </c>
    </row>
    <row r="2990" spans="1:16" ht="18.75" hidden="1">
      <c r="A2990" s="50" t="s">
        <v>6384</v>
      </c>
      <c r="B2990" s="50" t="s">
        <v>6276</v>
      </c>
      <c r="C2990" s="50" t="s">
        <v>5890</v>
      </c>
      <c r="D2990" s="50" t="s">
        <v>5564</v>
      </c>
      <c r="E2990" s="12" t="s">
        <v>4971</v>
      </c>
      <c r="F2990" s="49">
        <v>46180</v>
      </c>
      <c r="G2990" s="77" t="s">
        <v>6454</v>
      </c>
      <c r="H2990" s="14" t="s">
        <v>5601</v>
      </c>
      <c r="I2990" s="14" t="s">
        <v>2458</v>
      </c>
      <c r="J2990" s="33" t="s">
        <v>7110</v>
      </c>
      <c r="K2990" s="33" t="s">
        <v>6457</v>
      </c>
      <c r="L2990" s="53" t="s">
        <v>6054</v>
      </c>
      <c r="M2990" s="68" t="s">
        <v>8913</v>
      </c>
      <c r="N2990" s="53" t="s">
        <v>6076</v>
      </c>
      <c r="O2990" s="53">
        <v>55301</v>
      </c>
      <c r="P2990" s="198" t="s">
        <v>5816</v>
      </c>
    </row>
    <row r="2991" spans="1:16" ht="18.75" hidden="1">
      <c r="A2991" s="50" t="s">
        <v>6406</v>
      </c>
      <c r="B2991" s="50" t="s">
        <v>6330</v>
      </c>
      <c r="C2991" s="50" t="s">
        <v>6386</v>
      </c>
      <c r="D2991" s="50" t="s">
        <v>6075</v>
      </c>
      <c r="E2991" s="12" t="s">
        <v>4971</v>
      </c>
      <c r="F2991" s="49">
        <v>76430</v>
      </c>
      <c r="G2991" s="77" t="s">
        <v>6300</v>
      </c>
      <c r="H2991" s="14" t="s">
        <v>5601</v>
      </c>
      <c r="I2991" s="14" t="s">
        <v>2458</v>
      </c>
      <c r="J2991" s="33" t="s">
        <v>7110</v>
      </c>
      <c r="K2991" s="33" t="s">
        <v>6457</v>
      </c>
      <c r="L2991" s="53" t="s">
        <v>6054</v>
      </c>
      <c r="M2991" s="68" t="s">
        <v>8912</v>
      </c>
      <c r="N2991" s="53" t="s">
        <v>6286</v>
      </c>
      <c r="O2991" s="53">
        <v>55107</v>
      </c>
      <c r="P2991" s="197" t="s">
        <v>5818</v>
      </c>
    </row>
    <row r="2992" spans="1:16" ht="18.75" hidden="1">
      <c r="A2992" s="50" t="s">
        <v>6407</v>
      </c>
      <c r="B2992" s="50" t="s">
        <v>6408</v>
      </c>
      <c r="C2992" s="50" t="s">
        <v>5908</v>
      </c>
      <c r="D2992" s="50" t="s">
        <v>5482</v>
      </c>
      <c r="E2992" s="12" t="s">
        <v>4971</v>
      </c>
      <c r="F2992" s="49">
        <v>76940</v>
      </c>
      <c r="G2992" s="77" t="s">
        <v>6298</v>
      </c>
      <c r="H2992" s="14" t="s">
        <v>5601</v>
      </c>
      <c r="I2992" s="14" t="s">
        <v>2458</v>
      </c>
      <c r="J2992" s="33" t="s">
        <v>7110</v>
      </c>
      <c r="K2992" s="33" t="s">
        <v>6457</v>
      </c>
      <c r="L2992" s="53" t="s">
        <v>6054</v>
      </c>
      <c r="M2992" s="68" t="s">
        <v>8912</v>
      </c>
      <c r="N2992" s="53" t="s">
        <v>6286</v>
      </c>
      <c r="O2992" s="53">
        <v>55107</v>
      </c>
      <c r="P2992" s="198" t="s">
        <v>5813</v>
      </c>
    </row>
    <row r="2993" spans="1:16" ht="18.75" hidden="1">
      <c r="A2993" s="50" t="s">
        <v>6409</v>
      </c>
      <c r="B2993" s="50" t="s">
        <v>6410</v>
      </c>
      <c r="C2993" s="50" t="s">
        <v>6017</v>
      </c>
      <c r="D2993" s="50" t="s">
        <v>5600</v>
      </c>
      <c r="E2993" s="12" t="s">
        <v>4971</v>
      </c>
      <c r="F2993" s="49">
        <v>203760</v>
      </c>
      <c r="G2993" s="77" t="s">
        <v>6298</v>
      </c>
      <c r="H2993" s="14" t="s">
        <v>5601</v>
      </c>
      <c r="I2993" s="14" t="s">
        <v>2458</v>
      </c>
      <c r="J2993" s="33" t="s">
        <v>7110</v>
      </c>
      <c r="K2993" s="33" t="s">
        <v>6457</v>
      </c>
      <c r="L2993" s="53" t="s">
        <v>6054</v>
      </c>
      <c r="M2993" s="68" t="s">
        <v>8912</v>
      </c>
      <c r="N2993" s="53" t="s">
        <v>6285</v>
      </c>
      <c r="O2993" s="53">
        <v>55200</v>
      </c>
      <c r="P2993" s="198" t="s">
        <v>5831</v>
      </c>
    </row>
    <row r="2994" spans="1:16" ht="18.75" hidden="1">
      <c r="A2994" s="50" t="s">
        <v>6411</v>
      </c>
      <c r="B2994" s="50" t="s">
        <v>6412</v>
      </c>
      <c r="C2994" s="50" t="s">
        <v>6401</v>
      </c>
      <c r="D2994" s="50" t="s">
        <v>6245</v>
      </c>
      <c r="E2994" s="12" t="s">
        <v>4971</v>
      </c>
      <c r="F2994" s="49">
        <v>48600</v>
      </c>
      <c r="G2994" s="77" t="s">
        <v>6300</v>
      </c>
      <c r="H2994" s="14" t="s">
        <v>5601</v>
      </c>
      <c r="I2994" s="14" t="s">
        <v>2458</v>
      </c>
      <c r="J2994" s="33" t="s">
        <v>7110</v>
      </c>
      <c r="K2994" s="33" t="s">
        <v>6457</v>
      </c>
      <c r="L2994" s="53" t="s">
        <v>6054</v>
      </c>
      <c r="M2994" s="68" t="s">
        <v>8912</v>
      </c>
      <c r="N2994" s="53" t="s">
        <v>6076</v>
      </c>
      <c r="O2994" s="53">
        <v>55301</v>
      </c>
      <c r="P2994" s="197" t="s">
        <v>5818</v>
      </c>
    </row>
    <row r="2995" spans="1:16" ht="18.75" hidden="1">
      <c r="A2995" s="50" t="s">
        <v>6413</v>
      </c>
      <c r="B2995" s="50" t="s">
        <v>6312</v>
      </c>
      <c r="C2995" s="50" t="s">
        <v>6390</v>
      </c>
      <c r="D2995" s="50" t="s">
        <v>6305</v>
      </c>
      <c r="E2995" s="12" t="s">
        <v>4971</v>
      </c>
      <c r="F2995" s="49">
        <v>34190</v>
      </c>
      <c r="G2995" s="77" t="s">
        <v>6299</v>
      </c>
      <c r="H2995" s="14" t="s">
        <v>5601</v>
      </c>
      <c r="I2995" s="14" t="s">
        <v>2458</v>
      </c>
      <c r="J2995" s="33" t="s">
        <v>7110</v>
      </c>
      <c r="K2995" s="33" t="s">
        <v>6457</v>
      </c>
      <c r="L2995" s="53" t="s">
        <v>6054</v>
      </c>
      <c r="M2995" s="68" t="s">
        <v>8912</v>
      </c>
      <c r="N2995" s="53" t="s">
        <v>6286</v>
      </c>
      <c r="O2995" s="53">
        <v>55107</v>
      </c>
      <c r="P2995" s="198" t="s">
        <v>8501</v>
      </c>
    </row>
    <row r="2996" spans="1:16" ht="18.75" hidden="1">
      <c r="A2996" s="50" t="s">
        <v>6414</v>
      </c>
      <c r="B2996" s="50" t="s">
        <v>6325</v>
      </c>
      <c r="C2996" s="50" t="s">
        <v>6386</v>
      </c>
      <c r="D2996" s="50" t="s">
        <v>6075</v>
      </c>
      <c r="E2996" s="12" t="s">
        <v>4971</v>
      </c>
      <c r="F2996" s="49">
        <v>48070</v>
      </c>
      <c r="G2996" s="77" t="s">
        <v>6300</v>
      </c>
      <c r="H2996" s="14" t="s">
        <v>5601</v>
      </c>
      <c r="I2996" s="14" t="s">
        <v>2458</v>
      </c>
      <c r="J2996" s="33" t="s">
        <v>7110</v>
      </c>
      <c r="K2996" s="33" t="s">
        <v>6457</v>
      </c>
      <c r="L2996" s="53" t="s">
        <v>6054</v>
      </c>
      <c r="M2996" s="68" t="s">
        <v>8912</v>
      </c>
      <c r="N2996" s="53" t="s">
        <v>6286</v>
      </c>
      <c r="O2996" s="53">
        <v>55107</v>
      </c>
      <c r="P2996" s="197" t="s">
        <v>5818</v>
      </c>
    </row>
    <row r="2997" spans="1:16" ht="18.75" hidden="1">
      <c r="A2997" s="50" t="s">
        <v>6415</v>
      </c>
      <c r="B2997" s="50" t="s">
        <v>6305</v>
      </c>
      <c r="C2997" s="50" t="s">
        <v>5919</v>
      </c>
      <c r="D2997" s="50" t="s">
        <v>5483</v>
      </c>
      <c r="E2997" s="12" t="s">
        <v>4971</v>
      </c>
      <c r="F2997" s="49">
        <v>48460</v>
      </c>
      <c r="G2997" s="77" t="s">
        <v>6298</v>
      </c>
      <c r="H2997" s="14" t="s">
        <v>5601</v>
      </c>
      <c r="I2997" s="14" t="s">
        <v>2458</v>
      </c>
      <c r="J2997" s="33" t="s">
        <v>7110</v>
      </c>
      <c r="K2997" s="33" t="s">
        <v>6457</v>
      </c>
      <c r="L2997" s="53" t="s">
        <v>6054</v>
      </c>
      <c r="M2997" s="68" t="s">
        <v>8913</v>
      </c>
      <c r="N2997" s="53" t="s">
        <v>6076</v>
      </c>
      <c r="O2997" s="53">
        <v>55301</v>
      </c>
      <c r="P2997" s="198" t="s">
        <v>5813</v>
      </c>
    </row>
    <row r="2998" spans="1:16" ht="18.75" hidden="1">
      <c r="A2998" s="50" t="s">
        <v>6413</v>
      </c>
      <c r="B2998" s="50" t="s">
        <v>6312</v>
      </c>
      <c r="C2998" s="50" t="s">
        <v>6416</v>
      </c>
      <c r="D2998" s="50" t="s">
        <v>6305</v>
      </c>
      <c r="E2998" s="12" t="s">
        <v>4971</v>
      </c>
      <c r="F2998" s="49">
        <v>13920</v>
      </c>
      <c r="G2998" s="77" t="s">
        <v>6299</v>
      </c>
      <c r="H2998" s="14" t="s">
        <v>5601</v>
      </c>
      <c r="I2998" s="14" t="s">
        <v>2458</v>
      </c>
      <c r="J2998" s="33" t="s">
        <v>7110</v>
      </c>
      <c r="K2998" s="33" t="s">
        <v>6457</v>
      </c>
      <c r="L2998" s="53" t="s">
        <v>6054</v>
      </c>
      <c r="M2998" s="68" t="s">
        <v>8912</v>
      </c>
      <c r="N2998" s="53" t="s">
        <v>6286</v>
      </c>
      <c r="O2998" s="53">
        <v>55107</v>
      </c>
      <c r="P2998" s="198" t="s">
        <v>8502</v>
      </c>
    </row>
    <row r="2999" spans="1:16" ht="18.75" hidden="1">
      <c r="A2999" s="50" t="s">
        <v>6417</v>
      </c>
      <c r="B2999" s="50" t="s">
        <v>6328</v>
      </c>
      <c r="C2999" s="50" t="s">
        <v>6418</v>
      </c>
      <c r="D2999" s="50" t="s">
        <v>6412</v>
      </c>
      <c r="E2999" s="12" t="s">
        <v>4971</v>
      </c>
      <c r="F2999" s="49">
        <v>50820</v>
      </c>
      <c r="G2999" s="77" t="s">
        <v>6298</v>
      </c>
      <c r="H2999" s="14" t="s">
        <v>5601</v>
      </c>
      <c r="I2999" s="14" t="s">
        <v>2458</v>
      </c>
      <c r="J2999" s="33" t="s">
        <v>7110</v>
      </c>
      <c r="K2999" s="33" t="s">
        <v>6457</v>
      </c>
      <c r="L2999" s="53" t="s">
        <v>6054</v>
      </c>
      <c r="M2999" s="68" t="s">
        <v>8912</v>
      </c>
      <c r="N2999" s="53" t="s">
        <v>6076</v>
      </c>
      <c r="O2999" s="53">
        <v>55301</v>
      </c>
      <c r="P2999" s="198" t="s">
        <v>7231</v>
      </c>
    </row>
    <row r="3000" spans="1:16" ht="18.75" hidden="1">
      <c r="A3000" s="50" t="s">
        <v>6419</v>
      </c>
      <c r="B3000" s="50" t="s">
        <v>6128</v>
      </c>
      <c r="C3000" s="50" t="s">
        <v>5956</v>
      </c>
      <c r="D3000" s="50" t="s">
        <v>5828</v>
      </c>
      <c r="E3000" s="12" t="s">
        <v>4971</v>
      </c>
      <c r="F3000" s="49">
        <v>112000</v>
      </c>
      <c r="G3000" s="78" t="s">
        <v>6298</v>
      </c>
      <c r="H3000" s="14" t="s">
        <v>5601</v>
      </c>
      <c r="I3000" s="14" t="s">
        <v>2458</v>
      </c>
      <c r="J3000" s="33" t="s">
        <v>7110</v>
      </c>
      <c r="K3000" s="33" t="s">
        <v>6457</v>
      </c>
      <c r="L3000" s="79" t="s">
        <v>8680</v>
      </c>
      <c r="M3000" s="68" t="s">
        <v>8912</v>
      </c>
      <c r="N3000" s="68" t="s">
        <v>8665</v>
      </c>
      <c r="O3000" s="79">
        <v>50100</v>
      </c>
      <c r="P3000" s="198" t="s">
        <v>5826</v>
      </c>
    </row>
    <row r="3001" spans="1:16" ht="18.75" hidden="1">
      <c r="A3001" s="50" t="s">
        <v>6419</v>
      </c>
      <c r="B3001" s="50" t="s">
        <v>6128</v>
      </c>
      <c r="C3001" s="50" t="s">
        <v>5947</v>
      </c>
      <c r="D3001" s="50" t="s">
        <v>5480</v>
      </c>
      <c r="E3001" s="12" t="s">
        <v>4971</v>
      </c>
      <c r="F3001" s="49">
        <v>304903</v>
      </c>
      <c r="G3001" s="78" t="s">
        <v>6298</v>
      </c>
      <c r="H3001" s="14" t="s">
        <v>5601</v>
      </c>
      <c r="I3001" s="14" t="s">
        <v>2458</v>
      </c>
      <c r="J3001" s="33" t="s">
        <v>7110</v>
      </c>
      <c r="K3001" s="33" t="s">
        <v>6457</v>
      </c>
      <c r="L3001" s="79" t="s">
        <v>8680</v>
      </c>
      <c r="M3001" s="68" t="s">
        <v>8912</v>
      </c>
      <c r="N3001" s="68" t="s">
        <v>8665</v>
      </c>
      <c r="O3001" s="79">
        <v>50100</v>
      </c>
      <c r="P3001" s="198" t="s">
        <v>5826</v>
      </c>
    </row>
    <row r="3002" spans="1:16" ht="18.75" hidden="1">
      <c r="A3002" s="50" t="s">
        <v>6420</v>
      </c>
      <c r="B3002" s="50" t="s">
        <v>6395</v>
      </c>
      <c r="C3002" s="50" t="s">
        <v>6421</v>
      </c>
      <c r="D3002" s="50" t="s">
        <v>6249</v>
      </c>
      <c r="E3002" s="12" t="s">
        <v>4971</v>
      </c>
      <c r="F3002" s="49">
        <v>482525</v>
      </c>
      <c r="G3002" s="78" t="s">
        <v>6453</v>
      </c>
      <c r="H3002" s="14" t="s">
        <v>5601</v>
      </c>
      <c r="I3002" s="14" t="s">
        <v>2458</v>
      </c>
      <c r="J3002" s="33" t="s">
        <v>7110</v>
      </c>
      <c r="K3002" s="33" t="s">
        <v>6457</v>
      </c>
      <c r="L3002" s="79" t="s">
        <v>8682</v>
      </c>
      <c r="M3002" s="68" t="s">
        <v>8912</v>
      </c>
      <c r="N3002" s="68" t="s">
        <v>8665</v>
      </c>
      <c r="O3002" s="79">
        <v>50100</v>
      </c>
      <c r="P3002" s="198" t="s">
        <v>7233</v>
      </c>
    </row>
    <row r="3003" spans="1:16" ht="18.75" hidden="1">
      <c r="A3003" s="50" t="s">
        <v>6422</v>
      </c>
      <c r="B3003" s="50" t="s">
        <v>6408</v>
      </c>
      <c r="C3003" s="50" t="s">
        <v>5895</v>
      </c>
      <c r="D3003" s="50" t="s">
        <v>5459</v>
      </c>
      <c r="E3003" s="12" t="s">
        <v>4971</v>
      </c>
      <c r="F3003" s="49">
        <v>31680</v>
      </c>
      <c r="G3003" s="78" t="s">
        <v>6298</v>
      </c>
      <c r="H3003" s="14" t="s">
        <v>5601</v>
      </c>
      <c r="I3003" s="14" t="s">
        <v>2458</v>
      </c>
      <c r="J3003" s="33" t="s">
        <v>7110</v>
      </c>
      <c r="K3003" s="33" t="s">
        <v>6457</v>
      </c>
      <c r="L3003" s="79" t="s">
        <v>6277</v>
      </c>
      <c r="M3003" s="68" t="s">
        <v>8912</v>
      </c>
      <c r="N3003" s="68" t="s">
        <v>8665</v>
      </c>
      <c r="O3003" s="79">
        <v>50100</v>
      </c>
      <c r="P3003" s="198" t="s">
        <v>5815</v>
      </c>
    </row>
    <row r="3004" spans="1:16" ht="18.75" hidden="1">
      <c r="A3004" s="50" t="s">
        <v>6419</v>
      </c>
      <c r="B3004" s="50" t="s">
        <v>6128</v>
      </c>
      <c r="C3004" s="50" t="s">
        <v>5963</v>
      </c>
      <c r="D3004" s="50" t="s">
        <v>5830</v>
      </c>
      <c r="E3004" s="12" t="s">
        <v>4971</v>
      </c>
      <c r="F3004" s="49">
        <v>169340</v>
      </c>
      <c r="G3004" s="78" t="s">
        <v>6298</v>
      </c>
      <c r="H3004" s="14" t="s">
        <v>5601</v>
      </c>
      <c r="I3004" s="14" t="s">
        <v>2458</v>
      </c>
      <c r="J3004" s="33" t="s">
        <v>7110</v>
      </c>
      <c r="K3004" s="33" t="s">
        <v>6457</v>
      </c>
      <c r="L3004" s="79" t="s">
        <v>8680</v>
      </c>
      <c r="M3004" s="68" t="s">
        <v>8912</v>
      </c>
      <c r="N3004" s="68" t="s">
        <v>8665</v>
      </c>
      <c r="O3004" s="79">
        <v>50100</v>
      </c>
      <c r="P3004" s="198" t="s">
        <v>5826</v>
      </c>
    </row>
    <row r="3005" spans="1:16" ht="18.75" hidden="1">
      <c r="A3005" s="50" t="s">
        <v>6419</v>
      </c>
      <c r="B3005" s="50" t="s">
        <v>6128</v>
      </c>
      <c r="C3005" s="50" t="s">
        <v>5954</v>
      </c>
      <c r="D3005" s="50" t="s">
        <v>5828</v>
      </c>
      <c r="E3005" s="12" t="s">
        <v>4971</v>
      </c>
      <c r="F3005" s="49">
        <v>93000</v>
      </c>
      <c r="G3005" s="78" t="s">
        <v>6298</v>
      </c>
      <c r="H3005" s="14" t="s">
        <v>5601</v>
      </c>
      <c r="I3005" s="14" t="s">
        <v>2458</v>
      </c>
      <c r="J3005" s="33" t="s">
        <v>7110</v>
      </c>
      <c r="K3005" s="33" t="s">
        <v>6457</v>
      </c>
      <c r="L3005" s="79" t="s">
        <v>8680</v>
      </c>
      <c r="M3005" s="68" t="s">
        <v>8912</v>
      </c>
      <c r="N3005" s="68" t="s">
        <v>8665</v>
      </c>
      <c r="O3005" s="79">
        <v>50100</v>
      </c>
      <c r="P3005" s="198" t="s">
        <v>5826</v>
      </c>
    </row>
    <row r="3006" spans="1:16" ht="18.75" hidden="1">
      <c r="A3006" s="50" t="s">
        <v>6423</v>
      </c>
      <c r="B3006" s="50" t="s">
        <v>6412</v>
      </c>
      <c r="C3006" s="50" t="s">
        <v>6424</v>
      </c>
      <c r="D3006" s="50" t="s">
        <v>6246</v>
      </c>
      <c r="E3006" s="12" t="s">
        <v>4971</v>
      </c>
      <c r="F3006" s="49">
        <v>140000</v>
      </c>
      <c r="G3006" s="78" t="s">
        <v>6453</v>
      </c>
      <c r="H3006" s="14" t="s">
        <v>5601</v>
      </c>
      <c r="I3006" s="14" t="s">
        <v>2458</v>
      </c>
      <c r="J3006" s="33" t="s">
        <v>7110</v>
      </c>
      <c r="K3006" s="33" t="s">
        <v>6457</v>
      </c>
      <c r="L3006" s="79" t="s">
        <v>8681</v>
      </c>
      <c r="M3006" s="68" t="s">
        <v>8912</v>
      </c>
      <c r="N3006" s="68" t="s">
        <v>8665</v>
      </c>
      <c r="O3006" s="79">
        <v>50100</v>
      </c>
      <c r="P3006" s="198" t="s">
        <v>7233</v>
      </c>
    </row>
    <row r="3007" spans="1:16" ht="18.75" hidden="1">
      <c r="A3007" s="50" t="s">
        <v>6425</v>
      </c>
      <c r="B3007" s="50" t="s">
        <v>6395</v>
      </c>
      <c r="C3007" s="50" t="s">
        <v>6426</v>
      </c>
      <c r="D3007" s="50" t="s">
        <v>6245</v>
      </c>
      <c r="E3007" s="12" t="s">
        <v>4971</v>
      </c>
      <c r="F3007" s="49">
        <v>201861</v>
      </c>
      <c r="G3007" s="78" t="s">
        <v>6452</v>
      </c>
      <c r="H3007" s="14" t="s">
        <v>5601</v>
      </c>
      <c r="I3007" s="14" t="s">
        <v>2458</v>
      </c>
      <c r="J3007" s="33" t="e">
        <f>VLOOKUP(C3007,شرکتها!A:B,2,FALSE)</f>
        <v>#N/A</v>
      </c>
      <c r="K3007" s="33" t="s">
        <v>6457</v>
      </c>
      <c r="L3007" s="79" t="s">
        <v>6280</v>
      </c>
      <c r="M3007" s="68" t="s">
        <v>8912</v>
      </c>
      <c r="N3007" s="68" t="s">
        <v>8665</v>
      </c>
      <c r="O3007" s="79">
        <v>50100</v>
      </c>
      <c r="P3007" s="198" t="s">
        <v>5841</v>
      </c>
    </row>
    <row r="3008" spans="1:16" ht="18.75" hidden="1">
      <c r="A3008" s="50" t="s">
        <v>6427</v>
      </c>
      <c r="B3008" s="50" t="s">
        <v>6244</v>
      </c>
      <c r="C3008" s="50" t="s">
        <v>6428</v>
      </c>
      <c r="D3008" s="50" t="s">
        <v>6244</v>
      </c>
      <c r="E3008" s="12" t="s">
        <v>4971</v>
      </c>
      <c r="F3008" s="49">
        <v>959176</v>
      </c>
      <c r="G3008" s="78" t="s">
        <v>6452</v>
      </c>
      <c r="H3008" s="14" t="s">
        <v>5601</v>
      </c>
      <c r="I3008" s="14" t="s">
        <v>2458</v>
      </c>
      <c r="J3008" s="33" t="e">
        <f>VLOOKUP(C3008,شرکتها!A:B,2,FALSE)</f>
        <v>#N/A</v>
      </c>
      <c r="K3008" s="33" t="s">
        <v>6457</v>
      </c>
      <c r="L3008" s="79" t="s">
        <v>8683</v>
      </c>
      <c r="M3008" s="68" t="s">
        <v>8913</v>
      </c>
      <c r="N3008" s="68" t="s">
        <v>8665</v>
      </c>
      <c r="O3008" s="79">
        <v>50100</v>
      </c>
      <c r="P3008" s="198" t="s">
        <v>7138</v>
      </c>
    </row>
    <row r="3009" spans="1:16" ht="18.75" hidden="1">
      <c r="A3009" s="50" t="s">
        <v>6419</v>
      </c>
      <c r="B3009" s="50" t="s">
        <v>6128</v>
      </c>
      <c r="C3009" s="50" t="s">
        <v>5970</v>
      </c>
      <c r="D3009" s="50" t="s">
        <v>5832</v>
      </c>
      <c r="E3009" s="12" t="s">
        <v>4971</v>
      </c>
      <c r="F3009" s="49">
        <v>316257</v>
      </c>
      <c r="G3009" s="78" t="s">
        <v>6298</v>
      </c>
      <c r="H3009" s="14" t="s">
        <v>5601</v>
      </c>
      <c r="I3009" s="14" t="s">
        <v>2458</v>
      </c>
      <c r="J3009" s="33" t="s">
        <v>7110</v>
      </c>
      <c r="K3009" s="33" t="s">
        <v>6457</v>
      </c>
      <c r="L3009" s="79" t="s">
        <v>8680</v>
      </c>
      <c r="M3009" s="68" t="s">
        <v>8912</v>
      </c>
      <c r="N3009" s="68" t="s">
        <v>8665</v>
      </c>
      <c r="O3009" s="79">
        <v>50100</v>
      </c>
      <c r="P3009" s="198" t="s">
        <v>5826</v>
      </c>
    </row>
    <row r="3010" spans="1:16" ht="18.75" hidden="1">
      <c r="A3010" s="50" t="s">
        <v>6422</v>
      </c>
      <c r="B3010" s="50" t="s">
        <v>6408</v>
      </c>
      <c r="C3010" s="50" t="s">
        <v>6429</v>
      </c>
      <c r="D3010" s="50" t="s">
        <v>6252</v>
      </c>
      <c r="E3010" s="12" t="s">
        <v>4971</v>
      </c>
      <c r="F3010" s="49">
        <v>320000</v>
      </c>
      <c r="G3010" s="78" t="s">
        <v>6298</v>
      </c>
      <c r="H3010" s="14" t="s">
        <v>5601</v>
      </c>
      <c r="I3010" s="14" t="s">
        <v>2458</v>
      </c>
      <c r="J3010" s="33" t="s">
        <v>7110</v>
      </c>
      <c r="K3010" s="33" t="s">
        <v>6457</v>
      </c>
      <c r="L3010" s="79" t="s">
        <v>6277</v>
      </c>
      <c r="M3010" s="68" t="s">
        <v>8912</v>
      </c>
      <c r="N3010" s="68" t="s">
        <v>8665</v>
      </c>
      <c r="O3010" s="79">
        <v>50100</v>
      </c>
      <c r="P3010" s="198" t="s">
        <v>7231</v>
      </c>
    </row>
    <row r="3011" spans="1:16" ht="18.75" hidden="1">
      <c r="A3011" s="50" t="s">
        <v>6422</v>
      </c>
      <c r="B3011" s="50" t="s">
        <v>6408</v>
      </c>
      <c r="C3011" s="50" t="s">
        <v>6430</v>
      </c>
      <c r="D3011" s="50" t="s">
        <v>6248</v>
      </c>
      <c r="E3011" s="12" t="s">
        <v>4971</v>
      </c>
      <c r="F3011" s="49">
        <v>517900</v>
      </c>
      <c r="G3011" s="78" t="s">
        <v>6453</v>
      </c>
      <c r="H3011" s="14" t="s">
        <v>5601</v>
      </c>
      <c r="I3011" s="14" t="s">
        <v>2458</v>
      </c>
      <c r="J3011" s="33" t="s">
        <v>7110</v>
      </c>
      <c r="K3011" s="33" t="s">
        <v>6457</v>
      </c>
      <c r="L3011" s="79" t="s">
        <v>6277</v>
      </c>
      <c r="M3011" s="68" t="s">
        <v>8912</v>
      </c>
      <c r="N3011" s="68" t="s">
        <v>8665</v>
      </c>
      <c r="O3011" s="79">
        <v>50100</v>
      </c>
      <c r="P3011" s="198" t="s">
        <v>7233</v>
      </c>
    </row>
    <row r="3012" spans="1:16" ht="18.75" hidden="1">
      <c r="A3012" s="50" t="s">
        <v>6431</v>
      </c>
      <c r="B3012" s="50" t="s">
        <v>6325</v>
      </c>
      <c r="C3012" s="50" t="s">
        <v>6432</v>
      </c>
      <c r="D3012" s="50" t="s">
        <v>6330</v>
      </c>
      <c r="E3012" s="12" t="s">
        <v>4971</v>
      </c>
      <c r="F3012" s="49">
        <v>999155</v>
      </c>
      <c r="G3012" s="78" t="s">
        <v>6452</v>
      </c>
      <c r="H3012" s="14" t="s">
        <v>5601</v>
      </c>
      <c r="I3012" s="14" t="s">
        <v>2458</v>
      </c>
      <c r="J3012" s="33" t="e">
        <f>VLOOKUP(C3012,شرکتها!A:B,2,FALSE)</f>
        <v>#N/A</v>
      </c>
      <c r="K3012" s="33" t="s">
        <v>6457</v>
      </c>
      <c r="L3012" s="79" t="s">
        <v>6282</v>
      </c>
      <c r="M3012" s="68" t="s">
        <v>8913</v>
      </c>
      <c r="N3012" s="68" t="s">
        <v>8665</v>
      </c>
      <c r="O3012" s="79">
        <v>50100</v>
      </c>
      <c r="P3012" s="198" t="s">
        <v>7138</v>
      </c>
    </row>
    <row r="3013" spans="1:16" ht="18.75" hidden="1">
      <c r="A3013" s="50" t="s">
        <v>6433</v>
      </c>
      <c r="B3013" s="50" t="s">
        <v>6343</v>
      </c>
      <c r="C3013" s="50" t="s">
        <v>6434</v>
      </c>
      <c r="D3013" s="50" t="s">
        <v>6410</v>
      </c>
      <c r="E3013" s="12" t="s">
        <v>4971</v>
      </c>
      <c r="F3013" s="49">
        <v>265193</v>
      </c>
      <c r="G3013" s="78" t="s">
        <v>6452</v>
      </c>
      <c r="H3013" s="14" t="s">
        <v>5601</v>
      </c>
      <c r="I3013" s="14" t="s">
        <v>2458</v>
      </c>
      <c r="J3013" s="33" t="e">
        <f>VLOOKUP(C3013,شرکتها!A:B,2,FALSE)</f>
        <v>#N/A</v>
      </c>
      <c r="K3013" s="33" t="s">
        <v>6457</v>
      </c>
      <c r="L3013" s="79" t="s">
        <v>6280</v>
      </c>
      <c r="M3013" s="68" t="s">
        <v>8912</v>
      </c>
      <c r="N3013" s="68" t="s">
        <v>8665</v>
      </c>
      <c r="O3013" s="79">
        <v>50100</v>
      </c>
      <c r="P3013" s="198" t="s">
        <v>5841</v>
      </c>
    </row>
    <row r="3014" spans="1:16" ht="18.75" hidden="1">
      <c r="A3014" s="50" t="s">
        <v>6433</v>
      </c>
      <c r="B3014" s="50" t="s">
        <v>6343</v>
      </c>
      <c r="C3014" s="50" t="s">
        <v>6047</v>
      </c>
      <c r="D3014" s="50" t="s">
        <v>6245</v>
      </c>
      <c r="E3014" s="12" t="s">
        <v>4971</v>
      </c>
      <c r="F3014" s="49">
        <v>30157</v>
      </c>
      <c r="G3014" s="78" t="s">
        <v>6452</v>
      </c>
      <c r="H3014" s="14" t="s">
        <v>5601</v>
      </c>
      <c r="I3014" s="14" t="s">
        <v>2458</v>
      </c>
      <c r="J3014" s="33" t="e">
        <f>VLOOKUP(C3014,شرکتها!A:B,2,FALSE)</f>
        <v>#N/A</v>
      </c>
      <c r="K3014" s="33" t="s">
        <v>6457</v>
      </c>
      <c r="L3014" s="79" t="s">
        <v>6280</v>
      </c>
      <c r="M3014" s="68" t="s">
        <v>8912</v>
      </c>
      <c r="N3014" s="68" t="s">
        <v>8665</v>
      </c>
      <c r="O3014" s="79">
        <v>50100</v>
      </c>
      <c r="P3014" s="198" t="s">
        <v>5841</v>
      </c>
    </row>
    <row r="3015" spans="1:16" ht="18.75" hidden="1">
      <c r="A3015" s="50" t="s">
        <v>6435</v>
      </c>
      <c r="B3015" s="50" t="s">
        <v>6412</v>
      </c>
      <c r="C3015" s="50" t="s">
        <v>6042</v>
      </c>
      <c r="D3015" s="50" t="s">
        <v>5857</v>
      </c>
      <c r="E3015" s="12" t="s">
        <v>4971</v>
      </c>
      <c r="F3015" s="49">
        <v>220000</v>
      </c>
      <c r="G3015" s="78" t="s">
        <v>6454</v>
      </c>
      <c r="H3015" s="14" t="s">
        <v>5601</v>
      </c>
      <c r="I3015" s="14" t="s">
        <v>2458</v>
      </c>
      <c r="J3015" s="33" t="s">
        <v>7110</v>
      </c>
      <c r="K3015" s="33" t="s">
        <v>6457</v>
      </c>
      <c r="L3015" s="79" t="s">
        <v>8681</v>
      </c>
      <c r="M3015" s="68" t="s">
        <v>8912</v>
      </c>
      <c r="N3015" s="68" t="s">
        <v>8665</v>
      </c>
      <c r="O3015" s="79">
        <v>50100</v>
      </c>
      <c r="P3015" s="198" t="s">
        <v>5822</v>
      </c>
    </row>
    <row r="3016" spans="1:16" ht="18.75" hidden="1">
      <c r="A3016" s="50" t="s">
        <v>6425</v>
      </c>
      <c r="B3016" s="50" t="s">
        <v>6395</v>
      </c>
      <c r="C3016" s="50" t="s">
        <v>6047</v>
      </c>
      <c r="D3016" s="50" t="s">
        <v>6245</v>
      </c>
      <c r="E3016" s="12" t="s">
        <v>4971</v>
      </c>
      <c r="F3016" s="49">
        <v>469843</v>
      </c>
      <c r="G3016" s="78" t="s">
        <v>6452</v>
      </c>
      <c r="H3016" s="14" t="s">
        <v>5601</v>
      </c>
      <c r="I3016" s="14" t="s">
        <v>2458</v>
      </c>
      <c r="J3016" s="33" t="e">
        <f>VLOOKUP(C3016,شرکتها!A:B,2,FALSE)</f>
        <v>#N/A</v>
      </c>
      <c r="K3016" s="33" t="s">
        <v>6457</v>
      </c>
      <c r="L3016" s="79" t="s">
        <v>6280</v>
      </c>
      <c r="M3016" s="68" t="s">
        <v>8912</v>
      </c>
      <c r="N3016" s="68" t="s">
        <v>8665</v>
      </c>
      <c r="O3016" s="79">
        <v>50100</v>
      </c>
      <c r="P3016" s="198" t="s">
        <v>5841</v>
      </c>
    </row>
    <row r="3017" spans="1:16" ht="18.75" hidden="1">
      <c r="A3017" s="50" t="s">
        <v>6422</v>
      </c>
      <c r="B3017" s="50" t="s">
        <v>6408</v>
      </c>
      <c r="C3017" s="50" t="s">
        <v>6045</v>
      </c>
      <c r="D3017" s="50" t="s">
        <v>5857</v>
      </c>
      <c r="E3017" s="12" t="s">
        <v>4971</v>
      </c>
      <c r="F3017" s="49">
        <v>139780</v>
      </c>
      <c r="G3017" s="78" t="s">
        <v>6454</v>
      </c>
      <c r="H3017" s="14" t="s">
        <v>5601</v>
      </c>
      <c r="I3017" s="14" t="s">
        <v>2458</v>
      </c>
      <c r="J3017" s="33" t="s">
        <v>7110</v>
      </c>
      <c r="K3017" s="33" t="s">
        <v>6457</v>
      </c>
      <c r="L3017" s="79" t="s">
        <v>6277</v>
      </c>
      <c r="M3017" s="68" t="s">
        <v>8912</v>
      </c>
      <c r="N3017" s="68" t="s">
        <v>8665</v>
      </c>
      <c r="O3017" s="79">
        <v>50100</v>
      </c>
      <c r="P3017" s="198" t="s">
        <v>5852</v>
      </c>
    </row>
    <row r="3018" spans="1:16" ht="18.75" hidden="1">
      <c r="A3018" s="50" t="s">
        <v>6436</v>
      </c>
      <c r="B3018" s="50" t="s">
        <v>6332</v>
      </c>
      <c r="C3018" s="50" t="s">
        <v>5971</v>
      </c>
      <c r="D3018" s="50" t="s">
        <v>5832</v>
      </c>
      <c r="E3018" s="12" t="s">
        <v>4971</v>
      </c>
      <c r="F3018" s="49">
        <v>253975</v>
      </c>
      <c r="G3018" s="78" t="s">
        <v>6298</v>
      </c>
      <c r="H3018" s="14" t="s">
        <v>5601</v>
      </c>
      <c r="I3018" s="14" t="s">
        <v>2458</v>
      </c>
      <c r="J3018" s="33" t="s">
        <v>7110</v>
      </c>
      <c r="K3018" s="33" t="s">
        <v>6457</v>
      </c>
      <c r="L3018" s="79" t="s">
        <v>8680</v>
      </c>
      <c r="M3018" s="68" t="s">
        <v>8912</v>
      </c>
      <c r="N3018" s="68" t="s">
        <v>8665</v>
      </c>
      <c r="O3018" s="79">
        <v>50100</v>
      </c>
      <c r="P3018" s="198" t="s">
        <v>5814</v>
      </c>
    </row>
    <row r="3019" spans="1:16" ht="18.75" hidden="1">
      <c r="A3019" s="50" t="s">
        <v>6436</v>
      </c>
      <c r="B3019" s="50" t="s">
        <v>6332</v>
      </c>
      <c r="C3019" s="50" t="s">
        <v>5966</v>
      </c>
      <c r="D3019" s="50" t="s">
        <v>5830</v>
      </c>
      <c r="E3019" s="12" t="s">
        <v>4971</v>
      </c>
      <c r="F3019" s="49">
        <v>230000</v>
      </c>
      <c r="G3019" s="78" t="s">
        <v>6298</v>
      </c>
      <c r="H3019" s="14" t="s">
        <v>5601</v>
      </c>
      <c r="I3019" s="14" t="s">
        <v>2458</v>
      </c>
      <c r="J3019" s="33" t="s">
        <v>7110</v>
      </c>
      <c r="K3019" s="33" t="s">
        <v>6457</v>
      </c>
      <c r="L3019" s="79" t="s">
        <v>8680</v>
      </c>
      <c r="M3019" s="68" t="s">
        <v>8912</v>
      </c>
      <c r="N3019" s="68" t="s">
        <v>8665</v>
      </c>
      <c r="O3019" s="79">
        <v>50100</v>
      </c>
      <c r="P3019" s="198" t="s">
        <v>5814</v>
      </c>
    </row>
    <row r="3020" spans="1:16" ht="18.75" hidden="1">
      <c r="A3020" s="50" t="s">
        <v>6437</v>
      </c>
      <c r="B3020" s="50" t="s">
        <v>6395</v>
      </c>
      <c r="C3020" s="50" t="s">
        <v>6421</v>
      </c>
      <c r="D3020" s="50" t="s">
        <v>6249</v>
      </c>
      <c r="E3020" s="12" t="s">
        <v>4971</v>
      </c>
      <c r="F3020" s="49">
        <v>517475</v>
      </c>
      <c r="G3020" s="78" t="s">
        <v>6453</v>
      </c>
      <c r="H3020" s="14" t="s">
        <v>5601</v>
      </c>
      <c r="I3020" s="14" t="s">
        <v>2458</v>
      </c>
      <c r="J3020" s="33" t="s">
        <v>7110</v>
      </c>
      <c r="K3020" s="33" t="s">
        <v>6457</v>
      </c>
      <c r="L3020" s="79" t="s">
        <v>8686</v>
      </c>
      <c r="M3020" s="68" t="s">
        <v>8912</v>
      </c>
      <c r="N3020" s="68" t="s">
        <v>8665</v>
      </c>
      <c r="O3020" s="79">
        <v>50100</v>
      </c>
      <c r="P3020" s="198" t="s">
        <v>7233</v>
      </c>
    </row>
    <row r="3021" spans="1:16" ht="18.75" hidden="1">
      <c r="A3021" s="50" t="s">
        <v>6438</v>
      </c>
      <c r="B3021" s="50" t="s">
        <v>6363</v>
      </c>
      <c r="C3021" s="50" t="s">
        <v>6265</v>
      </c>
      <c r="D3021" s="50" t="s">
        <v>6249</v>
      </c>
      <c r="E3021" s="12" t="s">
        <v>4971</v>
      </c>
      <c r="F3021" s="49">
        <v>16163</v>
      </c>
      <c r="G3021" s="78" t="s">
        <v>6455</v>
      </c>
      <c r="H3021" s="14" t="s">
        <v>5601</v>
      </c>
      <c r="I3021" s="14" t="s">
        <v>2458</v>
      </c>
      <c r="J3021" s="33" t="s">
        <v>7110</v>
      </c>
      <c r="K3021" s="33" t="s">
        <v>6457</v>
      </c>
      <c r="L3021" s="79" t="s">
        <v>6279</v>
      </c>
      <c r="M3021" s="68" t="s">
        <v>8912</v>
      </c>
      <c r="N3021" s="68" t="s">
        <v>8665</v>
      </c>
      <c r="O3021" s="79">
        <v>50100</v>
      </c>
      <c r="P3021" s="198" t="s">
        <v>5856</v>
      </c>
    </row>
    <row r="3022" spans="1:16" ht="18.75" hidden="1">
      <c r="A3022" s="50" t="s">
        <v>6437</v>
      </c>
      <c r="B3022" s="50" t="s">
        <v>6395</v>
      </c>
      <c r="C3022" s="50" t="s">
        <v>6318</v>
      </c>
      <c r="D3022" s="50" t="s">
        <v>6249</v>
      </c>
      <c r="E3022" s="12" t="s">
        <v>4971</v>
      </c>
      <c r="F3022" s="49">
        <v>336436</v>
      </c>
      <c r="G3022" s="78" t="s">
        <v>6453</v>
      </c>
      <c r="H3022" s="14" t="s">
        <v>5601</v>
      </c>
      <c r="I3022" s="14" t="s">
        <v>2458</v>
      </c>
      <c r="J3022" s="33" t="s">
        <v>7110</v>
      </c>
      <c r="K3022" s="33" t="s">
        <v>6457</v>
      </c>
      <c r="L3022" s="79" t="s">
        <v>8686</v>
      </c>
      <c r="M3022" s="68" t="s">
        <v>8912</v>
      </c>
      <c r="N3022" s="68" t="s">
        <v>8665</v>
      </c>
      <c r="O3022" s="79">
        <v>50100</v>
      </c>
      <c r="P3022" s="198" t="s">
        <v>7233</v>
      </c>
    </row>
    <row r="3023" spans="1:16" ht="18.75" hidden="1">
      <c r="A3023" s="50" t="s">
        <v>6438</v>
      </c>
      <c r="B3023" s="50" t="s">
        <v>6363</v>
      </c>
      <c r="C3023" s="50" t="s">
        <v>6354</v>
      </c>
      <c r="D3023" s="50" t="s">
        <v>6252</v>
      </c>
      <c r="E3023" s="12" t="s">
        <v>4971</v>
      </c>
      <c r="F3023" s="49">
        <v>474062</v>
      </c>
      <c r="G3023" s="78" t="s">
        <v>6455</v>
      </c>
      <c r="H3023" s="14" t="s">
        <v>5601</v>
      </c>
      <c r="I3023" s="14" t="s">
        <v>2458</v>
      </c>
      <c r="J3023" s="33" t="s">
        <v>7110</v>
      </c>
      <c r="K3023" s="33" t="s">
        <v>6457</v>
      </c>
      <c r="L3023" s="79" t="s">
        <v>6279</v>
      </c>
      <c r="M3023" s="68" t="s">
        <v>8912</v>
      </c>
      <c r="N3023" s="68" t="s">
        <v>8665</v>
      </c>
      <c r="O3023" s="79">
        <v>50100</v>
      </c>
      <c r="P3023" s="198" t="s">
        <v>5856</v>
      </c>
    </row>
    <row r="3024" spans="1:16" ht="18.75" hidden="1">
      <c r="A3024" s="50" t="s">
        <v>6439</v>
      </c>
      <c r="B3024" s="50" t="s">
        <v>6330</v>
      </c>
      <c r="C3024" s="50" t="s">
        <v>5983</v>
      </c>
      <c r="D3024" s="50" t="s">
        <v>5837</v>
      </c>
      <c r="E3024" s="12" t="s">
        <v>4971</v>
      </c>
      <c r="F3024" s="49">
        <v>150000</v>
      </c>
      <c r="G3024" s="78" t="s">
        <v>6298</v>
      </c>
      <c r="H3024" s="14" t="s">
        <v>5601</v>
      </c>
      <c r="I3024" s="14" t="s">
        <v>2458</v>
      </c>
      <c r="J3024" s="33" t="s">
        <v>7110</v>
      </c>
      <c r="K3024" s="33" t="s">
        <v>6457</v>
      </c>
      <c r="L3024" s="79" t="s">
        <v>6283</v>
      </c>
      <c r="M3024" s="68" t="s">
        <v>8912</v>
      </c>
      <c r="N3024" s="68" t="s">
        <v>8665</v>
      </c>
      <c r="O3024" s="79">
        <v>50100</v>
      </c>
      <c r="P3024" s="198" t="s">
        <v>5826</v>
      </c>
    </row>
    <row r="3025" spans="1:16" ht="18.75" hidden="1">
      <c r="A3025" s="50" t="s">
        <v>6440</v>
      </c>
      <c r="B3025" s="50" t="s">
        <v>6330</v>
      </c>
      <c r="C3025" s="50" t="s">
        <v>6441</v>
      </c>
      <c r="D3025" s="50" t="s">
        <v>6252</v>
      </c>
      <c r="E3025" s="12" t="s">
        <v>4971</v>
      </c>
      <c r="F3025" s="49">
        <v>965218</v>
      </c>
      <c r="G3025" s="78" t="s">
        <v>6456</v>
      </c>
      <c r="H3025" s="14" t="s">
        <v>5601</v>
      </c>
      <c r="I3025" s="14" t="s">
        <v>2458</v>
      </c>
      <c r="J3025" s="33" t="s">
        <v>7110</v>
      </c>
      <c r="K3025" s="33" t="s">
        <v>6457</v>
      </c>
      <c r="L3025" s="79" t="s">
        <v>6283</v>
      </c>
      <c r="M3025" s="68" t="s">
        <v>8912</v>
      </c>
      <c r="N3025" s="68" t="s">
        <v>8665</v>
      </c>
      <c r="O3025" s="79">
        <v>50100</v>
      </c>
      <c r="P3025" s="198" t="s">
        <v>5781</v>
      </c>
    </row>
    <row r="3026" spans="1:16" ht="18.75" hidden="1">
      <c r="A3026" s="50" t="s">
        <v>6439</v>
      </c>
      <c r="B3026" s="50" t="s">
        <v>6330</v>
      </c>
      <c r="C3026" s="50" t="s">
        <v>5885</v>
      </c>
      <c r="D3026" s="50" t="s">
        <v>5458</v>
      </c>
      <c r="E3026" s="12" t="s">
        <v>4971</v>
      </c>
      <c r="F3026" s="49">
        <v>300000</v>
      </c>
      <c r="G3026" s="78" t="s">
        <v>6298</v>
      </c>
      <c r="H3026" s="14" t="s">
        <v>5601</v>
      </c>
      <c r="I3026" s="14" t="s">
        <v>2458</v>
      </c>
      <c r="J3026" s="33" t="s">
        <v>7110</v>
      </c>
      <c r="K3026" s="33" t="s">
        <v>6457</v>
      </c>
      <c r="L3026" s="79" t="s">
        <v>6283</v>
      </c>
      <c r="M3026" s="68" t="s">
        <v>8912</v>
      </c>
      <c r="N3026" s="68" t="s">
        <v>8665</v>
      </c>
      <c r="O3026" s="79">
        <v>50100</v>
      </c>
      <c r="P3026" s="198" t="s">
        <v>5810</v>
      </c>
    </row>
    <row r="3027" spans="1:16" ht="18.75" hidden="1">
      <c r="A3027" s="50" t="s">
        <v>6442</v>
      </c>
      <c r="B3027" s="50" t="s">
        <v>6128</v>
      </c>
      <c r="C3027" s="50" t="s">
        <v>6333</v>
      </c>
      <c r="D3027" s="50" t="s">
        <v>6247</v>
      </c>
      <c r="E3027" s="12" t="s">
        <v>4971</v>
      </c>
      <c r="F3027" s="49">
        <v>293203</v>
      </c>
      <c r="G3027" s="78" t="s">
        <v>6300</v>
      </c>
      <c r="H3027" s="14" t="s">
        <v>5601</v>
      </c>
      <c r="I3027" s="14" t="s">
        <v>2458</v>
      </c>
      <c r="J3027" s="33" t="s">
        <v>7110</v>
      </c>
      <c r="K3027" s="33" t="s">
        <v>6457</v>
      </c>
      <c r="L3027" s="79" t="s">
        <v>6283</v>
      </c>
      <c r="M3027" s="68" t="s">
        <v>8912</v>
      </c>
      <c r="N3027" s="68" t="s">
        <v>8665</v>
      </c>
      <c r="O3027" s="79">
        <v>50100</v>
      </c>
      <c r="P3027" s="197" t="s">
        <v>5842</v>
      </c>
    </row>
    <row r="3028" spans="1:16" ht="18.75" hidden="1">
      <c r="A3028" s="50" t="s">
        <v>6443</v>
      </c>
      <c r="B3028" s="50" t="s">
        <v>6330</v>
      </c>
      <c r="C3028" s="50" t="s">
        <v>5886</v>
      </c>
      <c r="D3028" s="50" t="s">
        <v>5458</v>
      </c>
      <c r="E3028" s="12" t="s">
        <v>4971</v>
      </c>
      <c r="F3028" s="49">
        <v>99272</v>
      </c>
      <c r="G3028" s="78" t="s">
        <v>6298</v>
      </c>
      <c r="H3028" s="14" t="s">
        <v>5601</v>
      </c>
      <c r="I3028" s="14" t="s">
        <v>2458</v>
      </c>
      <c r="J3028" s="33" t="s">
        <v>7110</v>
      </c>
      <c r="K3028" s="33" t="s">
        <v>6457</v>
      </c>
      <c r="L3028" s="79" t="s">
        <v>6283</v>
      </c>
      <c r="M3028" s="68" t="s">
        <v>8912</v>
      </c>
      <c r="N3028" s="68" t="s">
        <v>8665</v>
      </c>
      <c r="O3028" s="79">
        <v>50100</v>
      </c>
      <c r="P3028" s="198" t="s">
        <v>5810</v>
      </c>
    </row>
    <row r="3029" spans="1:16" ht="18.75" hidden="1">
      <c r="A3029" s="50" t="s">
        <v>6444</v>
      </c>
      <c r="B3029" s="50" t="s">
        <v>6343</v>
      </c>
      <c r="C3029" s="50" t="s">
        <v>6445</v>
      </c>
      <c r="D3029" s="50" t="s">
        <v>6383</v>
      </c>
      <c r="E3029" s="12" t="s">
        <v>4971</v>
      </c>
      <c r="F3029" s="49">
        <v>2844123</v>
      </c>
      <c r="G3029" s="78" t="s">
        <v>6452</v>
      </c>
      <c r="H3029" s="14" t="s">
        <v>5601</v>
      </c>
      <c r="I3029" s="14" t="s">
        <v>2458</v>
      </c>
      <c r="J3029" s="33" t="e">
        <f>VLOOKUP(C3029,شرکتها!A:B,2,FALSE)</f>
        <v>#N/A</v>
      </c>
      <c r="K3029" s="33" t="s">
        <v>6457</v>
      </c>
      <c r="L3029" s="79" t="s">
        <v>6283</v>
      </c>
      <c r="M3029" s="68" t="s">
        <v>8913</v>
      </c>
      <c r="N3029" s="68" t="s">
        <v>8665</v>
      </c>
      <c r="O3029" s="79">
        <v>50100</v>
      </c>
      <c r="P3029" s="198" t="s">
        <v>7138</v>
      </c>
    </row>
    <row r="3030" spans="1:16" ht="18.75" hidden="1">
      <c r="A3030" s="50" t="s">
        <v>6446</v>
      </c>
      <c r="B3030" s="50" t="s">
        <v>6332</v>
      </c>
      <c r="C3030" s="50" t="s">
        <v>5970</v>
      </c>
      <c r="D3030" s="50" t="s">
        <v>5832</v>
      </c>
      <c r="E3030" s="12" t="s">
        <v>4971</v>
      </c>
      <c r="F3030" s="49">
        <v>253743</v>
      </c>
      <c r="G3030" s="78" t="s">
        <v>6298</v>
      </c>
      <c r="H3030" s="14" t="s">
        <v>5601</v>
      </c>
      <c r="I3030" s="14" t="s">
        <v>2458</v>
      </c>
      <c r="J3030" s="33" t="s">
        <v>7110</v>
      </c>
      <c r="K3030" s="33" t="s">
        <v>6457</v>
      </c>
      <c r="L3030" s="79" t="s">
        <v>6283</v>
      </c>
      <c r="M3030" s="68" t="s">
        <v>8912</v>
      </c>
      <c r="N3030" s="68" t="s">
        <v>8665</v>
      </c>
      <c r="O3030" s="79">
        <v>50100</v>
      </c>
      <c r="P3030" s="198" t="s">
        <v>5826</v>
      </c>
    </row>
    <row r="3031" spans="1:16" ht="18.75" hidden="1">
      <c r="A3031" s="50" t="s">
        <v>6446</v>
      </c>
      <c r="B3031" s="50" t="s">
        <v>6332</v>
      </c>
      <c r="C3031" s="50" t="s">
        <v>5929</v>
      </c>
      <c r="D3031" s="50" t="s">
        <v>5460</v>
      </c>
      <c r="E3031" s="12" t="s">
        <v>4971</v>
      </c>
      <c r="F3031" s="49">
        <v>36000</v>
      </c>
      <c r="G3031" s="78" t="s">
        <v>6298</v>
      </c>
      <c r="H3031" s="14" t="s">
        <v>5601</v>
      </c>
      <c r="I3031" s="14" t="s">
        <v>2458</v>
      </c>
      <c r="J3031" s="33" t="s">
        <v>7110</v>
      </c>
      <c r="K3031" s="33" t="s">
        <v>6457</v>
      </c>
      <c r="L3031" s="79" t="s">
        <v>6283</v>
      </c>
      <c r="M3031" s="68" t="s">
        <v>8912</v>
      </c>
      <c r="N3031" s="68" t="s">
        <v>8665</v>
      </c>
      <c r="O3031" s="79">
        <v>50100</v>
      </c>
      <c r="P3031" s="198" t="s">
        <v>5813</v>
      </c>
    </row>
    <row r="3032" spans="1:16" ht="18.75" hidden="1">
      <c r="A3032" s="50" t="s">
        <v>6447</v>
      </c>
      <c r="B3032" s="50" t="s">
        <v>6412</v>
      </c>
      <c r="C3032" s="50" t="s">
        <v>6448</v>
      </c>
      <c r="D3032" s="50" t="s">
        <v>6244</v>
      </c>
      <c r="E3032" s="12" t="s">
        <v>4971</v>
      </c>
      <c r="F3032" s="49">
        <v>180000</v>
      </c>
      <c r="G3032" s="78" t="s">
        <v>6453</v>
      </c>
      <c r="H3032" s="14" t="s">
        <v>5601</v>
      </c>
      <c r="I3032" s="14" t="s">
        <v>2458</v>
      </c>
      <c r="J3032" s="33" t="s">
        <v>7110</v>
      </c>
      <c r="K3032" s="33" t="s">
        <v>6457</v>
      </c>
      <c r="L3032" s="79" t="s">
        <v>6280</v>
      </c>
      <c r="M3032" s="68" t="s">
        <v>8912</v>
      </c>
      <c r="N3032" s="68" t="s">
        <v>8665</v>
      </c>
      <c r="O3032" s="79">
        <v>50100</v>
      </c>
      <c r="P3032" s="198" t="s">
        <v>7233</v>
      </c>
    </row>
    <row r="3033" spans="1:16" ht="18.75" hidden="1">
      <c r="A3033" s="50" t="s">
        <v>6449</v>
      </c>
      <c r="B3033" s="50" t="s">
        <v>6408</v>
      </c>
      <c r="C3033" s="50" t="s">
        <v>6426</v>
      </c>
      <c r="D3033" s="50" t="s">
        <v>6245</v>
      </c>
      <c r="E3033" s="12" t="s">
        <v>4971</v>
      </c>
      <c r="F3033" s="49">
        <v>438139</v>
      </c>
      <c r="G3033" s="78" t="s">
        <v>6452</v>
      </c>
      <c r="H3033" s="14" t="s">
        <v>5601</v>
      </c>
      <c r="I3033" s="14" t="s">
        <v>2458</v>
      </c>
      <c r="J3033" s="33" t="e">
        <f>VLOOKUP(C3033,شرکتها!A:B,2,FALSE)</f>
        <v>#N/A</v>
      </c>
      <c r="K3033" s="33" t="s">
        <v>6457</v>
      </c>
      <c r="L3033" s="79" t="s">
        <v>6280</v>
      </c>
      <c r="M3033" s="68" t="s">
        <v>8912</v>
      </c>
      <c r="N3033" s="68" t="s">
        <v>8665</v>
      </c>
      <c r="O3033" s="79">
        <v>50100</v>
      </c>
      <c r="P3033" s="198" t="s">
        <v>5841</v>
      </c>
    </row>
    <row r="3034" spans="1:16" ht="18.75" hidden="1">
      <c r="A3034" s="50" t="s">
        <v>6449</v>
      </c>
      <c r="B3034" s="50" t="s">
        <v>6408</v>
      </c>
      <c r="C3034" s="50" t="s">
        <v>6257</v>
      </c>
      <c r="D3034" s="50" t="s">
        <v>6245</v>
      </c>
      <c r="E3034" s="12" t="s">
        <v>4971</v>
      </c>
      <c r="F3034" s="49">
        <v>201446</v>
      </c>
      <c r="G3034" s="78" t="s">
        <v>6452</v>
      </c>
      <c r="H3034" s="14" t="s">
        <v>5601</v>
      </c>
      <c r="I3034" s="14" t="s">
        <v>2458</v>
      </c>
      <c r="J3034" s="33" t="e">
        <f>VLOOKUP(C3034,شرکتها!A:B,2,FALSE)</f>
        <v>#N/A</v>
      </c>
      <c r="K3034" s="33" t="s">
        <v>6457</v>
      </c>
      <c r="L3034" s="79" t="s">
        <v>6280</v>
      </c>
      <c r="M3034" s="68" t="s">
        <v>8912</v>
      </c>
      <c r="N3034" s="68" t="s">
        <v>8665</v>
      </c>
      <c r="O3034" s="79">
        <v>50100</v>
      </c>
      <c r="P3034" s="198" t="s">
        <v>5841</v>
      </c>
    </row>
    <row r="3035" spans="1:16" ht="18.75" hidden="1">
      <c r="A3035" s="50" t="s">
        <v>6436</v>
      </c>
      <c r="B3035" s="50" t="s">
        <v>6332</v>
      </c>
      <c r="C3035" s="50" t="s">
        <v>5972</v>
      </c>
      <c r="D3035" s="50" t="s">
        <v>5832</v>
      </c>
      <c r="E3035" s="12" t="s">
        <v>4971</v>
      </c>
      <c r="F3035" s="49">
        <v>500000</v>
      </c>
      <c r="G3035" s="78" t="s">
        <v>6298</v>
      </c>
      <c r="H3035" s="14" t="s">
        <v>5601</v>
      </c>
      <c r="I3035" s="14" t="s">
        <v>2458</v>
      </c>
      <c r="J3035" s="33" t="s">
        <v>7110</v>
      </c>
      <c r="K3035" s="33" t="s">
        <v>6457</v>
      </c>
      <c r="L3035" s="79" t="s">
        <v>8680</v>
      </c>
      <c r="M3035" s="68" t="s">
        <v>8912</v>
      </c>
      <c r="N3035" s="68" t="s">
        <v>8665</v>
      </c>
      <c r="O3035" s="79">
        <v>50100</v>
      </c>
      <c r="P3035" s="198" t="s">
        <v>5814</v>
      </c>
    </row>
    <row r="3036" spans="1:16" ht="18.75" hidden="1">
      <c r="A3036" s="50" t="s">
        <v>6436</v>
      </c>
      <c r="B3036" s="50" t="s">
        <v>6332</v>
      </c>
      <c r="C3036" s="50" t="s">
        <v>5939</v>
      </c>
      <c r="D3036" s="50" t="s">
        <v>5481</v>
      </c>
      <c r="E3036" s="12" t="s">
        <v>4971</v>
      </c>
      <c r="F3036" s="49">
        <v>11525</v>
      </c>
      <c r="G3036" s="78" t="s">
        <v>6298</v>
      </c>
      <c r="H3036" s="14" t="s">
        <v>5601</v>
      </c>
      <c r="I3036" s="14" t="s">
        <v>2458</v>
      </c>
      <c r="J3036" s="33" t="s">
        <v>7110</v>
      </c>
      <c r="K3036" s="33" t="s">
        <v>6457</v>
      </c>
      <c r="L3036" s="79" t="s">
        <v>8680</v>
      </c>
      <c r="M3036" s="68" t="s">
        <v>8912</v>
      </c>
      <c r="N3036" s="68" t="s">
        <v>8665</v>
      </c>
      <c r="O3036" s="79">
        <v>50100</v>
      </c>
      <c r="P3036" s="198" t="s">
        <v>5814</v>
      </c>
    </row>
    <row r="3037" spans="1:16" ht="18.75" hidden="1">
      <c r="A3037" s="50" t="s">
        <v>6443</v>
      </c>
      <c r="B3037" s="50" t="s">
        <v>6330</v>
      </c>
      <c r="C3037" s="50" t="s">
        <v>5916</v>
      </c>
      <c r="D3037" s="50" t="s">
        <v>5447</v>
      </c>
      <c r="E3037" s="12" t="s">
        <v>4971</v>
      </c>
      <c r="F3037" s="49">
        <v>8575</v>
      </c>
      <c r="G3037" s="78" t="s">
        <v>6298</v>
      </c>
      <c r="H3037" s="14" t="s">
        <v>5601</v>
      </c>
      <c r="I3037" s="14" t="s">
        <v>2458</v>
      </c>
      <c r="J3037" s="33" t="s">
        <v>7110</v>
      </c>
      <c r="K3037" s="33" t="s">
        <v>6457</v>
      </c>
      <c r="L3037" s="79" t="s">
        <v>6283</v>
      </c>
      <c r="M3037" s="68" t="s">
        <v>8912</v>
      </c>
      <c r="N3037" s="68" t="s">
        <v>8665</v>
      </c>
      <c r="O3037" s="79">
        <v>50100</v>
      </c>
      <c r="P3037" s="198" t="s">
        <v>5813</v>
      </c>
    </row>
    <row r="3038" spans="1:16" ht="18.75" hidden="1">
      <c r="A3038" s="50" t="s">
        <v>6443</v>
      </c>
      <c r="B3038" s="50" t="s">
        <v>6330</v>
      </c>
      <c r="C3038" s="50" t="s">
        <v>5979</v>
      </c>
      <c r="D3038" s="50" t="s">
        <v>5835</v>
      </c>
      <c r="E3038" s="12" t="s">
        <v>4971</v>
      </c>
      <c r="F3038" s="49">
        <v>224078</v>
      </c>
      <c r="G3038" s="78" t="s">
        <v>6298</v>
      </c>
      <c r="H3038" s="14" t="s">
        <v>5601</v>
      </c>
      <c r="I3038" s="14" t="s">
        <v>2458</v>
      </c>
      <c r="J3038" s="33" t="s">
        <v>7110</v>
      </c>
      <c r="K3038" s="33" t="s">
        <v>6457</v>
      </c>
      <c r="L3038" s="79" t="s">
        <v>6283</v>
      </c>
      <c r="M3038" s="68" t="s">
        <v>8912</v>
      </c>
      <c r="N3038" s="68" t="s">
        <v>8665</v>
      </c>
      <c r="O3038" s="79">
        <v>50100</v>
      </c>
      <c r="P3038" s="198" t="s">
        <v>5826</v>
      </c>
    </row>
    <row r="3039" spans="1:16" ht="18.75" hidden="1">
      <c r="A3039" s="50" t="s">
        <v>6450</v>
      </c>
      <c r="B3039" s="50" t="s">
        <v>6128</v>
      </c>
      <c r="C3039" s="50" t="s">
        <v>6451</v>
      </c>
      <c r="D3039" s="50" t="s">
        <v>6128</v>
      </c>
      <c r="E3039" s="12" t="s">
        <v>4971</v>
      </c>
      <c r="F3039" s="49">
        <v>2991178</v>
      </c>
      <c r="G3039" s="78" t="s">
        <v>6452</v>
      </c>
      <c r="H3039" s="14" t="s">
        <v>5601</v>
      </c>
      <c r="I3039" s="14" t="s">
        <v>2458</v>
      </c>
      <c r="J3039" s="33" t="e">
        <f>VLOOKUP(C3039,شرکتها!A:B,2,FALSE)</f>
        <v>#N/A</v>
      </c>
      <c r="K3039" s="33" t="s">
        <v>6457</v>
      </c>
      <c r="L3039" s="79" t="s">
        <v>6284</v>
      </c>
      <c r="M3039" s="68" t="s">
        <v>8913</v>
      </c>
      <c r="N3039" s="68" t="s">
        <v>8665</v>
      </c>
      <c r="O3039" s="79">
        <v>50100</v>
      </c>
      <c r="P3039" s="198" t="s">
        <v>7138</v>
      </c>
    </row>
    <row r="3040" spans="1:16" ht="18.75" hidden="1">
      <c r="A3040" s="50" t="s">
        <v>6439</v>
      </c>
      <c r="B3040" s="50" t="s">
        <v>6330</v>
      </c>
      <c r="C3040" s="50" t="s">
        <v>5916</v>
      </c>
      <c r="D3040" s="50" t="s">
        <v>5447</v>
      </c>
      <c r="E3040" s="12" t="s">
        <v>4971</v>
      </c>
      <c r="F3040" s="49">
        <v>41425</v>
      </c>
      <c r="G3040" s="78" t="s">
        <v>6298</v>
      </c>
      <c r="H3040" s="14" t="s">
        <v>5601</v>
      </c>
      <c r="I3040" s="14" t="s">
        <v>2458</v>
      </c>
      <c r="J3040" s="33" t="s">
        <v>7110</v>
      </c>
      <c r="K3040" s="33" t="s">
        <v>6457</v>
      </c>
      <c r="L3040" s="79" t="s">
        <v>6283</v>
      </c>
      <c r="M3040" s="68" t="s">
        <v>8912</v>
      </c>
      <c r="N3040" s="68" t="s">
        <v>8665</v>
      </c>
      <c r="O3040" s="79">
        <v>50100</v>
      </c>
      <c r="P3040" s="198" t="s">
        <v>5813</v>
      </c>
    </row>
    <row r="3041" spans="1:16" ht="18.75" hidden="1">
      <c r="A3041" s="50" t="s">
        <v>6446</v>
      </c>
      <c r="B3041" s="50" t="s">
        <v>6332</v>
      </c>
      <c r="C3041" s="50" t="s">
        <v>5979</v>
      </c>
      <c r="D3041" s="50" t="s">
        <v>5835</v>
      </c>
      <c r="E3041" s="12" t="s">
        <v>4971</v>
      </c>
      <c r="F3041" s="49">
        <v>45922</v>
      </c>
      <c r="G3041" s="78" t="s">
        <v>6298</v>
      </c>
      <c r="H3041" s="14" t="s">
        <v>5601</v>
      </c>
      <c r="I3041" s="14" t="s">
        <v>2458</v>
      </c>
      <c r="J3041" s="33" t="s">
        <v>7110</v>
      </c>
      <c r="K3041" s="33" t="s">
        <v>6457</v>
      </c>
      <c r="L3041" s="79" t="s">
        <v>6283</v>
      </c>
      <c r="M3041" s="68" t="s">
        <v>8912</v>
      </c>
      <c r="N3041" s="68" t="s">
        <v>8665</v>
      </c>
      <c r="O3041" s="79">
        <v>50100</v>
      </c>
      <c r="P3041" s="198" t="s">
        <v>5826</v>
      </c>
    </row>
    <row r="3042" spans="1:16" ht="18.75" hidden="1">
      <c r="A3042" s="50" t="str">
        <f>"50100-9255377"</f>
        <v>50100-9255377</v>
      </c>
      <c r="B3042" s="50" t="str">
        <f>"96/07/01"</f>
        <v>96/07/01</v>
      </c>
      <c r="C3042" s="50" t="s">
        <v>7871</v>
      </c>
      <c r="D3042" s="50" t="s">
        <v>6328</v>
      </c>
      <c r="E3042" s="12" t="s">
        <v>4971</v>
      </c>
      <c r="F3042" s="49">
        <v>1790530</v>
      </c>
      <c r="G3042" s="78" t="s">
        <v>5607</v>
      </c>
      <c r="H3042" s="14" t="s">
        <v>5601</v>
      </c>
      <c r="I3042" s="14" t="s">
        <v>2458</v>
      </c>
      <c r="J3042" s="33" t="s">
        <v>7110</v>
      </c>
      <c r="K3042" s="33" t="s">
        <v>8621</v>
      </c>
      <c r="L3042" s="79" t="s">
        <v>8684</v>
      </c>
      <c r="M3042" s="68" t="s">
        <v>8912</v>
      </c>
      <c r="N3042" s="68" t="s">
        <v>8665</v>
      </c>
      <c r="O3042" s="79">
        <v>50100</v>
      </c>
      <c r="P3042" s="198" t="s">
        <v>7233</v>
      </c>
    </row>
    <row r="3043" spans="1:16" ht="18.75" hidden="1">
      <c r="A3043" s="50" t="str">
        <f>"50100-9270318"</f>
        <v>50100-9270318</v>
      </c>
      <c r="B3043" s="50" t="str">
        <f>"96/07/04"</f>
        <v>96/07/04</v>
      </c>
      <c r="C3043" s="50" t="s">
        <v>8074</v>
      </c>
      <c r="D3043" s="50" t="s">
        <v>8616</v>
      </c>
      <c r="E3043" s="12" t="s">
        <v>4971</v>
      </c>
      <c r="F3043" s="49">
        <v>1743069</v>
      </c>
      <c r="G3043" s="78" t="s">
        <v>5779</v>
      </c>
      <c r="H3043" s="14" t="s">
        <v>5601</v>
      </c>
      <c r="I3043" s="14" t="s">
        <v>2458</v>
      </c>
      <c r="J3043" s="33" t="e">
        <f>VLOOKUP(C3043,شرکتها!A:B,2,FALSE)</f>
        <v>#N/A</v>
      </c>
      <c r="K3043" s="33" t="s">
        <v>8621</v>
      </c>
      <c r="L3043" s="79" t="s">
        <v>8683</v>
      </c>
      <c r="M3043" s="68" t="s">
        <v>8913</v>
      </c>
      <c r="N3043" s="68" t="s">
        <v>8665</v>
      </c>
      <c r="O3043" s="79">
        <v>50100</v>
      </c>
      <c r="P3043" s="198" t="s">
        <v>7144</v>
      </c>
    </row>
    <row r="3044" spans="1:16" ht="18.75" hidden="1">
      <c r="A3044" s="50" t="str">
        <f>"50100-9246923"</f>
        <v>50100-9246923</v>
      </c>
      <c r="B3044" s="50" t="str">
        <f>"96/07/01"</f>
        <v>96/07/01</v>
      </c>
      <c r="C3044" s="50" t="s">
        <v>5993</v>
      </c>
      <c r="D3044" s="50" t="s">
        <v>5496</v>
      </c>
      <c r="E3044" s="12" t="s">
        <v>4971</v>
      </c>
      <c r="F3044" s="49">
        <v>150000</v>
      </c>
      <c r="G3044" s="78" t="s">
        <v>5611</v>
      </c>
      <c r="H3044" s="14" t="s">
        <v>5601</v>
      </c>
      <c r="I3044" s="14" t="s">
        <v>2458</v>
      </c>
      <c r="J3044" s="33" t="s">
        <v>7110</v>
      </c>
      <c r="K3044" s="33" t="s">
        <v>8621</v>
      </c>
      <c r="L3044" s="79" t="s">
        <v>6277</v>
      </c>
      <c r="M3044" s="68" t="s">
        <v>8912</v>
      </c>
      <c r="N3044" s="68" t="s">
        <v>8665</v>
      </c>
      <c r="O3044" s="79">
        <v>50100</v>
      </c>
      <c r="P3044" s="198" t="s">
        <v>5814</v>
      </c>
    </row>
    <row r="3045" spans="1:16" ht="18.75" hidden="1">
      <c r="A3045" s="50" t="str">
        <f>"50100-9246923"</f>
        <v>50100-9246923</v>
      </c>
      <c r="B3045" s="50" t="str">
        <f>"96/07/01"</f>
        <v>96/07/01</v>
      </c>
      <c r="C3045" s="50" t="s">
        <v>5982</v>
      </c>
      <c r="D3045" s="50" t="s">
        <v>5835</v>
      </c>
      <c r="E3045" s="12" t="s">
        <v>4971</v>
      </c>
      <c r="F3045" s="49">
        <v>22897</v>
      </c>
      <c r="G3045" s="78" t="s">
        <v>5611</v>
      </c>
      <c r="H3045" s="14" t="s">
        <v>5601</v>
      </c>
      <c r="I3045" s="14" t="s">
        <v>2458</v>
      </c>
      <c r="J3045" s="33" t="s">
        <v>7110</v>
      </c>
      <c r="K3045" s="33" t="s">
        <v>8621</v>
      </c>
      <c r="L3045" s="79" t="s">
        <v>6277</v>
      </c>
      <c r="M3045" s="68" t="s">
        <v>8912</v>
      </c>
      <c r="N3045" s="68" t="s">
        <v>8665</v>
      </c>
      <c r="O3045" s="79">
        <v>50100</v>
      </c>
      <c r="P3045" s="198" t="s">
        <v>5814</v>
      </c>
    </row>
    <row r="3046" spans="1:16" ht="18.75" hidden="1">
      <c r="A3046" s="50" t="str">
        <f>"50100-9298800"</f>
        <v>50100-9298800</v>
      </c>
      <c r="B3046" s="50" t="str">
        <f>"96/07/12"</f>
        <v>96/07/12</v>
      </c>
      <c r="C3046" s="50" t="s">
        <v>7143</v>
      </c>
      <c r="D3046" s="50" t="s">
        <v>8617</v>
      </c>
      <c r="E3046" s="12" t="s">
        <v>4971</v>
      </c>
      <c r="F3046" s="49">
        <v>999107</v>
      </c>
      <c r="G3046" s="78" t="s">
        <v>5779</v>
      </c>
      <c r="H3046" s="14" t="s">
        <v>5601</v>
      </c>
      <c r="I3046" s="14" t="s">
        <v>2458</v>
      </c>
      <c r="J3046" s="33" t="e">
        <f>VLOOKUP(C3046,شرکتها!A:B,2,FALSE)</f>
        <v>#N/A</v>
      </c>
      <c r="K3046" s="33" t="s">
        <v>8621</v>
      </c>
      <c r="L3046" s="79" t="s">
        <v>8683</v>
      </c>
      <c r="M3046" s="68" t="s">
        <v>8913</v>
      </c>
      <c r="N3046" s="68" t="s">
        <v>8665</v>
      </c>
      <c r="O3046" s="79">
        <v>50100</v>
      </c>
      <c r="P3046" s="198" t="s">
        <v>7144</v>
      </c>
    </row>
    <row r="3047" spans="1:16" ht="18.75" hidden="1">
      <c r="A3047" s="50" t="str">
        <f>"50100-9308739"</f>
        <v>50100-9308739</v>
      </c>
      <c r="B3047" s="50" t="str">
        <f>"96/07/15"</f>
        <v>96/07/15</v>
      </c>
      <c r="C3047" s="50" t="s">
        <v>8121</v>
      </c>
      <c r="D3047" s="50" t="s">
        <v>8618</v>
      </c>
      <c r="E3047" s="12" t="s">
        <v>4971</v>
      </c>
      <c r="F3047" s="49">
        <v>296544</v>
      </c>
      <c r="G3047" s="78" t="s">
        <v>5779</v>
      </c>
      <c r="H3047" s="14" t="s">
        <v>5601</v>
      </c>
      <c r="I3047" s="14" t="s">
        <v>2458</v>
      </c>
      <c r="J3047" s="33" t="e">
        <f>VLOOKUP(C3047,شرکتها!A:B,2,FALSE)</f>
        <v>#N/A</v>
      </c>
      <c r="K3047" s="33" t="s">
        <v>8621</v>
      </c>
      <c r="L3047" s="79" t="s">
        <v>6280</v>
      </c>
      <c r="M3047" s="68" t="s">
        <v>8912</v>
      </c>
      <c r="N3047" s="68" t="s">
        <v>8665</v>
      </c>
      <c r="O3047" s="79">
        <v>50100</v>
      </c>
      <c r="P3047" s="198" t="s">
        <v>7211</v>
      </c>
    </row>
    <row r="3048" spans="1:16" ht="18.75" hidden="1">
      <c r="A3048" s="50" t="str">
        <f>"50100-9246923"</f>
        <v>50100-9246923</v>
      </c>
      <c r="B3048" s="50" t="str">
        <f>"96/07/01"</f>
        <v>96/07/01</v>
      </c>
      <c r="C3048" s="50" t="s">
        <v>5999</v>
      </c>
      <c r="D3048" s="50" t="s">
        <v>5839</v>
      </c>
      <c r="E3048" s="12" t="s">
        <v>4971</v>
      </c>
      <c r="F3048" s="49">
        <v>151783</v>
      </c>
      <c r="G3048" s="78" t="s">
        <v>5611</v>
      </c>
      <c r="H3048" s="14" t="s">
        <v>5601</v>
      </c>
      <c r="I3048" s="14" t="s">
        <v>2458</v>
      </c>
      <c r="J3048" s="33" t="s">
        <v>7110</v>
      </c>
      <c r="K3048" s="33" t="s">
        <v>8621</v>
      </c>
      <c r="L3048" s="79" t="s">
        <v>6277</v>
      </c>
      <c r="M3048" s="68" t="s">
        <v>8912</v>
      </c>
      <c r="N3048" s="68" t="s">
        <v>8665</v>
      </c>
      <c r="O3048" s="79">
        <v>50100</v>
      </c>
      <c r="P3048" s="198" t="s">
        <v>5814</v>
      </c>
    </row>
    <row r="3049" spans="1:16" ht="18.75" hidden="1">
      <c r="A3049" s="50" t="str">
        <f>"50100-9252308"</f>
        <v>50100-9252308</v>
      </c>
      <c r="B3049" s="50" t="str">
        <f>"96/07/01"</f>
        <v>96/07/01</v>
      </c>
      <c r="C3049" s="50" t="s">
        <v>5895</v>
      </c>
      <c r="D3049" s="50" t="s">
        <v>5459</v>
      </c>
      <c r="E3049" s="12" t="s">
        <v>4971</v>
      </c>
      <c r="F3049" s="49">
        <v>188984</v>
      </c>
      <c r="G3049" s="78" t="s">
        <v>5611</v>
      </c>
      <c r="H3049" s="14" t="s">
        <v>5601</v>
      </c>
      <c r="I3049" s="14" t="s">
        <v>2458</v>
      </c>
      <c r="J3049" s="33" t="s">
        <v>7110</v>
      </c>
      <c r="K3049" s="33" t="s">
        <v>8621</v>
      </c>
      <c r="L3049" s="79" t="s">
        <v>6277</v>
      </c>
      <c r="M3049" s="68" t="s">
        <v>8912</v>
      </c>
      <c r="N3049" s="68" t="s">
        <v>8665</v>
      </c>
      <c r="O3049" s="79">
        <v>50100</v>
      </c>
      <c r="P3049" s="198" t="s">
        <v>5815</v>
      </c>
    </row>
    <row r="3050" spans="1:16" ht="18.75" hidden="1">
      <c r="A3050" s="50" t="str">
        <f>"50100-9277324"</f>
        <v>50100-9277324</v>
      </c>
      <c r="B3050" s="50" t="str">
        <f>"96/07/05"</f>
        <v>96/07/05</v>
      </c>
      <c r="C3050" s="50" t="s">
        <v>5962</v>
      </c>
      <c r="D3050" s="50" t="s">
        <v>5830</v>
      </c>
      <c r="E3050" s="12" t="s">
        <v>4971</v>
      </c>
      <c r="F3050" s="49">
        <v>125000</v>
      </c>
      <c r="G3050" s="78" t="s">
        <v>5611</v>
      </c>
      <c r="H3050" s="14" t="s">
        <v>5601</v>
      </c>
      <c r="I3050" s="14" t="s">
        <v>2458</v>
      </c>
      <c r="J3050" s="33" t="s">
        <v>7110</v>
      </c>
      <c r="K3050" s="33" t="s">
        <v>8621</v>
      </c>
      <c r="L3050" s="79" t="s">
        <v>6277</v>
      </c>
      <c r="M3050" s="68" t="s">
        <v>8912</v>
      </c>
      <c r="N3050" s="68" t="s">
        <v>8665</v>
      </c>
      <c r="O3050" s="79">
        <v>50100</v>
      </c>
      <c r="P3050" s="198" t="s">
        <v>5831</v>
      </c>
    </row>
    <row r="3051" spans="1:16" ht="18.75" hidden="1">
      <c r="A3051" s="50" t="str">
        <f>"50100-9277324"</f>
        <v>50100-9277324</v>
      </c>
      <c r="B3051" s="50" t="str">
        <f>"96/07/05"</f>
        <v>96/07/05</v>
      </c>
      <c r="C3051" s="50" t="s">
        <v>6357</v>
      </c>
      <c r="D3051" s="50" t="s">
        <v>6248</v>
      </c>
      <c r="E3051" s="12" t="s">
        <v>4971</v>
      </c>
      <c r="F3051" s="49">
        <v>89040</v>
      </c>
      <c r="G3051" s="78" t="s">
        <v>5611</v>
      </c>
      <c r="H3051" s="14" t="s">
        <v>5601</v>
      </c>
      <c r="I3051" s="14" t="s">
        <v>2458</v>
      </c>
      <c r="J3051" s="33" t="s">
        <v>7110</v>
      </c>
      <c r="K3051" s="33" t="s">
        <v>8621</v>
      </c>
      <c r="L3051" s="79" t="s">
        <v>6277</v>
      </c>
      <c r="M3051" s="68" t="s">
        <v>8912</v>
      </c>
      <c r="N3051" s="68" t="s">
        <v>8665</v>
      </c>
      <c r="O3051" s="79">
        <v>50100</v>
      </c>
      <c r="P3051" s="198" t="s">
        <v>7231</v>
      </c>
    </row>
    <row r="3052" spans="1:16" ht="18.75" hidden="1">
      <c r="A3052" s="50" t="str">
        <f>"50100-9277324"</f>
        <v>50100-9277324</v>
      </c>
      <c r="B3052" s="50" t="str">
        <f>"96/07/05"</f>
        <v>96/07/05</v>
      </c>
      <c r="C3052" s="50" t="s">
        <v>5895</v>
      </c>
      <c r="D3052" s="50" t="s">
        <v>5459</v>
      </c>
      <c r="E3052" s="12" t="s">
        <v>4971</v>
      </c>
      <c r="F3052" s="49">
        <v>79336</v>
      </c>
      <c r="G3052" s="78" t="s">
        <v>5611</v>
      </c>
      <c r="H3052" s="14" t="s">
        <v>5601</v>
      </c>
      <c r="I3052" s="14" t="s">
        <v>2458</v>
      </c>
      <c r="J3052" s="33" t="s">
        <v>7110</v>
      </c>
      <c r="K3052" s="33" t="s">
        <v>8621</v>
      </c>
      <c r="L3052" s="79" t="s">
        <v>6277</v>
      </c>
      <c r="M3052" s="68" t="s">
        <v>8912</v>
      </c>
      <c r="N3052" s="68" t="s">
        <v>8665</v>
      </c>
      <c r="O3052" s="79">
        <v>50100</v>
      </c>
      <c r="P3052" s="198" t="s">
        <v>5815</v>
      </c>
    </row>
    <row r="3053" spans="1:16" ht="18.75" hidden="1">
      <c r="A3053" s="50" t="str">
        <f>"50100-9277324"</f>
        <v>50100-9277324</v>
      </c>
      <c r="B3053" s="50" t="str">
        <f>"96/07/05"</f>
        <v>96/07/05</v>
      </c>
      <c r="C3053" s="50" t="s">
        <v>6350</v>
      </c>
      <c r="D3053" s="50" t="s">
        <v>6328</v>
      </c>
      <c r="E3053" s="12" t="s">
        <v>4971</v>
      </c>
      <c r="F3053" s="49">
        <v>136708</v>
      </c>
      <c r="G3053" s="78" t="s">
        <v>5631</v>
      </c>
      <c r="H3053" s="14" t="s">
        <v>5601</v>
      </c>
      <c r="I3053" s="14" t="s">
        <v>2458</v>
      </c>
      <c r="J3053" s="33" t="s">
        <v>7110</v>
      </c>
      <c r="K3053" s="33" t="s">
        <v>8621</v>
      </c>
      <c r="L3053" s="79" t="s">
        <v>6277</v>
      </c>
      <c r="M3053" s="68" t="s">
        <v>8912</v>
      </c>
      <c r="N3053" s="68" t="s">
        <v>8665</v>
      </c>
      <c r="O3053" s="79">
        <v>50100</v>
      </c>
      <c r="P3053" s="197" t="s">
        <v>7237</v>
      </c>
    </row>
    <row r="3054" spans="1:16" ht="18.75" hidden="1">
      <c r="A3054" s="50" t="str">
        <f>"50100-9285236"</f>
        <v>50100-9285236</v>
      </c>
      <c r="B3054" s="50" t="str">
        <f>"96/07/10"</f>
        <v>96/07/10</v>
      </c>
      <c r="C3054" s="50" t="s">
        <v>7279</v>
      </c>
      <c r="D3054" s="50" t="s">
        <v>6312</v>
      </c>
      <c r="E3054" s="12" t="s">
        <v>4971</v>
      </c>
      <c r="F3054" s="49">
        <v>360000</v>
      </c>
      <c r="G3054" s="78" t="s">
        <v>5779</v>
      </c>
      <c r="H3054" s="14" t="s">
        <v>5601</v>
      </c>
      <c r="I3054" s="14" t="s">
        <v>2458</v>
      </c>
      <c r="J3054" s="33" t="e">
        <f>VLOOKUP(C3054,شرکتها!A:B,2,FALSE)</f>
        <v>#N/A</v>
      </c>
      <c r="K3054" s="33" t="s">
        <v>8621</v>
      </c>
      <c r="L3054" s="79" t="s">
        <v>6277</v>
      </c>
      <c r="M3054" s="68" t="s">
        <v>8912</v>
      </c>
      <c r="N3054" s="68" t="s">
        <v>8665</v>
      </c>
      <c r="O3054" s="79">
        <v>50100</v>
      </c>
      <c r="P3054" s="198" t="s">
        <v>5841</v>
      </c>
    </row>
    <row r="3055" spans="1:16" ht="18.75" hidden="1">
      <c r="A3055" s="50" t="str">
        <f>"50100-9285236"</f>
        <v>50100-9285236</v>
      </c>
      <c r="B3055" s="50" t="str">
        <f>"96/07/10"</f>
        <v>96/07/10</v>
      </c>
      <c r="C3055" s="50" t="s">
        <v>6039</v>
      </c>
      <c r="D3055" s="50" t="s">
        <v>5850</v>
      </c>
      <c r="E3055" s="12" t="s">
        <v>4971</v>
      </c>
      <c r="F3055" s="49">
        <v>138688</v>
      </c>
      <c r="G3055" s="78" t="s">
        <v>5611</v>
      </c>
      <c r="H3055" s="14" t="s">
        <v>5601</v>
      </c>
      <c r="I3055" s="14" t="s">
        <v>2458</v>
      </c>
      <c r="J3055" s="33" t="s">
        <v>7110</v>
      </c>
      <c r="K3055" s="33" t="s">
        <v>8621</v>
      </c>
      <c r="L3055" s="79" t="s">
        <v>6277</v>
      </c>
      <c r="M3055" s="68" t="s">
        <v>8912</v>
      </c>
      <c r="N3055" s="68" t="s">
        <v>8665</v>
      </c>
      <c r="O3055" s="79">
        <v>50100</v>
      </c>
      <c r="P3055" s="198" t="s">
        <v>5814</v>
      </c>
    </row>
    <row r="3056" spans="1:16" ht="18.75" hidden="1">
      <c r="A3056" s="50" t="str">
        <f>"50100-9253609"</f>
        <v>50100-9253609</v>
      </c>
      <c r="B3056" s="50" t="str">
        <f>"96/07/01"</f>
        <v>96/07/01</v>
      </c>
      <c r="C3056" s="50" t="s">
        <v>6030</v>
      </c>
      <c r="D3056" s="50" t="s">
        <v>5849</v>
      </c>
      <c r="E3056" s="12" t="s">
        <v>4971</v>
      </c>
      <c r="F3056" s="49">
        <v>300000</v>
      </c>
      <c r="G3056" s="78" t="s">
        <v>5611</v>
      </c>
      <c r="H3056" s="14" t="s">
        <v>5601</v>
      </c>
      <c r="I3056" s="14" t="s">
        <v>2458</v>
      </c>
      <c r="J3056" s="33" t="s">
        <v>7110</v>
      </c>
      <c r="K3056" s="33" t="s">
        <v>8621</v>
      </c>
      <c r="L3056" s="79" t="s">
        <v>6277</v>
      </c>
      <c r="M3056" s="68" t="s">
        <v>8912</v>
      </c>
      <c r="N3056" s="68" t="s">
        <v>8665</v>
      </c>
      <c r="O3056" s="79">
        <v>50100</v>
      </c>
      <c r="P3056" s="198" t="s">
        <v>5814</v>
      </c>
    </row>
    <row r="3057" spans="1:16" ht="18.75" hidden="1">
      <c r="A3057" s="50" t="str">
        <f>"50100-9253609"</f>
        <v>50100-9253609</v>
      </c>
      <c r="B3057" s="50" t="str">
        <f>"96/07/01"</f>
        <v>96/07/01</v>
      </c>
      <c r="C3057" s="50" t="s">
        <v>6007</v>
      </c>
      <c r="D3057" s="50" t="s">
        <v>5840</v>
      </c>
      <c r="E3057" s="12" t="s">
        <v>4971</v>
      </c>
      <c r="F3057" s="49">
        <v>199977</v>
      </c>
      <c r="G3057" s="78" t="s">
        <v>5611</v>
      </c>
      <c r="H3057" s="14" t="s">
        <v>5601</v>
      </c>
      <c r="I3057" s="14" t="s">
        <v>2458</v>
      </c>
      <c r="J3057" s="33" t="s">
        <v>7110</v>
      </c>
      <c r="K3057" s="33" t="s">
        <v>8621</v>
      </c>
      <c r="L3057" s="79" t="s">
        <v>6277</v>
      </c>
      <c r="M3057" s="68" t="s">
        <v>8912</v>
      </c>
      <c r="N3057" s="68" t="s">
        <v>8665</v>
      </c>
      <c r="O3057" s="79">
        <v>50100</v>
      </c>
      <c r="P3057" s="198" t="s">
        <v>5814</v>
      </c>
    </row>
    <row r="3058" spans="1:16" ht="18.75" hidden="1">
      <c r="A3058" s="50" t="str">
        <f>"50100-9285697"</f>
        <v>50100-9285697</v>
      </c>
      <c r="B3058" s="50" t="str">
        <f>"96/07/10"</f>
        <v>96/07/10</v>
      </c>
      <c r="C3058" s="50" t="s">
        <v>8536</v>
      </c>
      <c r="D3058" s="50" t="s">
        <v>8618</v>
      </c>
      <c r="E3058" s="12" t="s">
        <v>4971</v>
      </c>
      <c r="F3058" s="49">
        <v>977778</v>
      </c>
      <c r="G3058" s="78" t="s">
        <v>5779</v>
      </c>
      <c r="H3058" s="14" t="s">
        <v>5601</v>
      </c>
      <c r="I3058" s="14" t="s">
        <v>2458</v>
      </c>
      <c r="J3058" s="33" t="e">
        <f>VLOOKUP(C3058,شرکتها!A:B,2,FALSE)</f>
        <v>#N/A</v>
      </c>
      <c r="K3058" s="33" t="s">
        <v>8621</v>
      </c>
      <c r="L3058" s="79" t="s">
        <v>8683</v>
      </c>
      <c r="M3058" s="68" t="s">
        <v>8913</v>
      </c>
      <c r="N3058" s="68" t="s">
        <v>8665</v>
      </c>
      <c r="O3058" s="79">
        <v>50100</v>
      </c>
      <c r="P3058" s="198" t="s">
        <v>7138</v>
      </c>
    </row>
    <row r="3059" spans="1:16" ht="18.75" hidden="1">
      <c r="A3059" s="50" t="str">
        <f>"50100-9252308"</f>
        <v>50100-9252308</v>
      </c>
      <c r="B3059" s="50" t="str">
        <f>"96/07/01"</f>
        <v>96/07/01</v>
      </c>
      <c r="C3059" s="50" t="s">
        <v>8427</v>
      </c>
      <c r="D3059" s="50" t="s">
        <v>6305</v>
      </c>
      <c r="E3059" s="12" t="s">
        <v>4971</v>
      </c>
      <c r="F3059" s="49">
        <v>700000</v>
      </c>
      <c r="G3059" s="78" t="s">
        <v>5631</v>
      </c>
      <c r="H3059" s="14" t="s">
        <v>5601</v>
      </c>
      <c r="I3059" s="14" t="s">
        <v>2458</v>
      </c>
      <c r="J3059" s="33" t="s">
        <v>7110</v>
      </c>
      <c r="K3059" s="33" t="s">
        <v>8621</v>
      </c>
      <c r="L3059" s="79" t="s">
        <v>6277</v>
      </c>
      <c r="M3059" s="68" t="s">
        <v>8912</v>
      </c>
      <c r="N3059" s="68" t="s">
        <v>8665</v>
      </c>
      <c r="O3059" s="79">
        <v>50100</v>
      </c>
      <c r="P3059" s="197" t="s">
        <v>5836</v>
      </c>
    </row>
    <row r="3060" spans="1:16" ht="18.75" hidden="1">
      <c r="A3060" s="50" t="str">
        <f>"50100-9253609"</f>
        <v>50100-9253609</v>
      </c>
      <c r="B3060" s="50" t="str">
        <f>"96/07/01"</f>
        <v>96/07/01</v>
      </c>
      <c r="C3060" s="50" t="s">
        <v>6027</v>
      </c>
      <c r="D3060" s="50" t="s">
        <v>5848</v>
      </c>
      <c r="E3060" s="12" t="s">
        <v>4971</v>
      </c>
      <c r="F3060" s="49">
        <v>300000</v>
      </c>
      <c r="G3060" s="78" t="s">
        <v>5611</v>
      </c>
      <c r="H3060" s="14" t="s">
        <v>5601</v>
      </c>
      <c r="I3060" s="14" t="s">
        <v>2458</v>
      </c>
      <c r="J3060" s="33" t="s">
        <v>7110</v>
      </c>
      <c r="K3060" s="33" t="s">
        <v>8621</v>
      </c>
      <c r="L3060" s="79" t="s">
        <v>6277</v>
      </c>
      <c r="M3060" s="68" t="s">
        <v>8912</v>
      </c>
      <c r="N3060" s="68" t="s">
        <v>8665</v>
      </c>
      <c r="O3060" s="79">
        <v>50100</v>
      </c>
      <c r="P3060" s="198" t="s">
        <v>5814</v>
      </c>
    </row>
    <row r="3061" spans="1:16" ht="18.75" hidden="1">
      <c r="A3061" s="50" t="str">
        <f>"50100-9279481"</f>
        <v>50100-9279481</v>
      </c>
      <c r="B3061" s="50" t="str">
        <f>"96/07/06"</f>
        <v>96/07/06</v>
      </c>
      <c r="C3061" s="50" t="s">
        <v>7123</v>
      </c>
      <c r="D3061" s="50" t="s">
        <v>8618</v>
      </c>
      <c r="E3061" s="12" t="s">
        <v>4971</v>
      </c>
      <c r="F3061" s="49">
        <v>2988339</v>
      </c>
      <c r="G3061" s="78" t="s">
        <v>5779</v>
      </c>
      <c r="H3061" s="14" t="s">
        <v>5601</v>
      </c>
      <c r="I3061" s="14" t="s">
        <v>2458</v>
      </c>
      <c r="J3061" s="33" t="e">
        <f>VLOOKUP(C3061,شرکتها!A:B,2,FALSE)</f>
        <v>#N/A</v>
      </c>
      <c r="K3061" s="33" t="s">
        <v>8621</v>
      </c>
      <c r="L3061" s="79" t="s">
        <v>8683</v>
      </c>
      <c r="M3061" s="68" t="s">
        <v>8913</v>
      </c>
      <c r="N3061" s="68" t="s">
        <v>8665</v>
      </c>
      <c r="O3061" s="79">
        <v>50100</v>
      </c>
      <c r="P3061" s="198" t="s">
        <v>7124</v>
      </c>
    </row>
    <row r="3062" spans="1:16" ht="18.75" hidden="1">
      <c r="A3062" s="50" t="str">
        <f>"50100-9251859"</f>
        <v>50100-9251859</v>
      </c>
      <c r="B3062" s="50" t="str">
        <f>"96/07/01"</f>
        <v>96/07/01</v>
      </c>
      <c r="C3062" s="50" t="s">
        <v>8073</v>
      </c>
      <c r="D3062" s="50" t="s">
        <v>8619</v>
      </c>
      <c r="E3062" s="12" t="s">
        <v>4971</v>
      </c>
      <c r="F3062" s="49">
        <v>999115</v>
      </c>
      <c r="G3062" s="78" t="s">
        <v>5779</v>
      </c>
      <c r="H3062" s="14" t="s">
        <v>5601</v>
      </c>
      <c r="I3062" s="14" t="s">
        <v>2458</v>
      </c>
      <c r="J3062" s="33" t="e">
        <f>VLOOKUP(C3062,شرکتها!A:B,2,FALSE)</f>
        <v>#N/A</v>
      </c>
      <c r="K3062" s="33" t="s">
        <v>8621</v>
      </c>
      <c r="L3062" s="79" t="s">
        <v>8683</v>
      </c>
      <c r="M3062" s="68" t="s">
        <v>8913</v>
      </c>
      <c r="N3062" s="68" t="s">
        <v>8665</v>
      </c>
      <c r="O3062" s="79">
        <v>50100</v>
      </c>
      <c r="P3062" s="198" t="s">
        <v>7144</v>
      </c>
    </row>
    <row r="3063" spans="1:16" ht="18.75" hidden="1">
      <c r="A3063" s="50" t="str">
        <f>"50100-9253609"</f>
        <v>50100-9253609</v>
      </c>
      <c r="B3063" s="50" t="str">
        <f>"96/07/01"</f>
        <v>96/07/01</v>
      </c>
      <c r="C3063" s="50" t="s">
        <v>6040</v>
      </c>
      <c r="D3063" s="50" t="s">
        <v>5850</v>
      </c>
      <c r="E3063" s="12" t="s">
        <v>4971</v>
      </c>
      <c r="F3063" s="49">
        <v>150000</v>
      </c>
      <c r="G3063" s="78" t="s">
        <v>5611</v>
      </c>
      <c r="H3063" s="14" t="s">
        <v>5601</v>
      </c>
      <c r="I3063" s="14" t="s">
        <v>2458</v>
      </c>
      <c r="J3063" s="33" t="s">
        <v>7110</v>
      </c>
      <c r="K3063" s="33" t="s">
        <v>8621</v>
      </c>
      <c r="L3063" s="79" t="s">
        <v>6277</v>
      </c>
      <c r="M3063" s="68" t="s">
        <v>8912</v>
      </c>
      <c r="N3063" s="68" t="s">
        <v>8665</v>
      </c>
      <c r="O3063" s="79">
        <v>50100</v>
      </c>
      <c r="P3063" s="198" t="s">
        <v>5814</v>
      </c>
    </row>
    <row r="3064" spans="1:16" ht="18.75" hidden="1">
      <c r="A3064" s="50" t="str">
        <f>"50100-9277324"</f>
        <v>50100-9277324</v>
      </c>
      <c r="B3064" s="50" t="str">
        <f>"96/07/05"</f>
        <v>96/07/05</v>
      </c>
      <c r="C3064" s="50" t="s">
        <v>6020</v>
      </c>
      <c r="D3064" s="50" t="s">
        <v>5600</v>
      </c>
      <c r="E3064" s="12" t="s">
        <v>4971</v>
      </c>
      <c r="F3064" s="49">
        <v>579276</v>
      </c>
      <c r="G3064" s="78" t="s">
        <v>5611</v>
      </c>
      <c r="H3064" s="14" t="s">
        <v>5601</v>
      </c>
      <c r="I3064" s="14" t="s">
        <v>2458</v>
      </c>
      <c r="J3064" s="33" t="s">
        <v>7110</v>
      </c>
      <c r="K3064" s="33" t="s">
        <v>8621</v>
      </c>
      <c r="L3064" s="79" t="s">
        <v>6277</v>
      </c>
      <c r="M3064" s="68" t="s">
        <v>8912</v>
      </c>
      <c r="N3064" s="68" t="s">
        <v>8665</v>
      </c>
      <c r="O3064" s="79">
        <v>50100</v>
      </c>
      <c r="P3064" s="198" t="s">
        <v>5826</v>
      </c>
    </row>
    <row r="3065" spans="1:16" ht="18.75" hidden="1">
      <c r="A3065" s="50" t="str">
        <f>"50100-9253609"</f>
        <v>50100-9253609</v>
      </c>
      <c r="B3065" s="50" t="str">
        <f>"96/07/01"</f>
        <v>96/07/01</v>
      </c>
      <c r="C3065" s="50" t="s">
        <v>6039</v>
      </c>
      <c r="D3065" s="50" t="s">
        <v>5850</v>
      </c>
      <c r="E3065" s="12" t="s">
        <v>4971</v>
      </c>
      <c r="F3065" s="49">
        <v>40573</v>
      </c>
      <c r="G3065" s="78" t="s">
        <v>5611</v>
      </c>
      <c r="H3065" s="14" t="s">
        <v>5601</v>
      </c>
      <c r="I3065" s="14" t="s">
        <v>2458</v>
      </c>
      <c r="J3065" s="33" t="s">
        <v>7110</v>
      </c>
      <c r="K3065" s="33" t="s">
        <v>8621</v>
      </c>
      <c r="L3065" s="79" t="s">
        <v>6277</v>
      </c>
      <c r="M3065" s="68" t="s">
        <v>8912</v>
      </c>
      <c r="N3065" s="68" t="s">
        <v>8665</v>
      </c>
      <c r="O3065" s="79">
        <v>50100</v>
      </c>
      <c r="P3065" s="198" t="s">
        <v>5814</v>
      </c>
    </row>
    <row r="3066" spans="1:16" ht="18.75" hidden="1">
      <c r="A3066" s="50" t="str">
        <f>"50100-9252308"</f>
        <v>50100-9252308</v>
      </c>
      <c r="B3066" s="50" t="str">
        <f>"96/07/01"</f>
        <v>96/07/01</v>
      </c>
      <c r="C3066" s="50" t="s">
        <v>5886</v>
      </c>
      <c r="D3066" s="50" t="s">
        <v>5458</v>
      </c>
      <c r="E3066" s="12" t="s">
        <v>4971</v>
      </c>
      <c r="F3066" s="49">
        <v>101016</v>
      </c>
      <c r="G3066" s="78" t="s">
        <v>5611</v>
      </c>
      <c r="H3066" s="14" t="s">
        <v>5601</v>
      </c>
      <c r="I3066" s="14" t="s">
        <v>2458</v>
      </c>
      <c r="J3066" s="33" t="s">
        <v>7110</v>
      </c>
      <c r="K3066" s="33" t="s">
        <v>8621</v>
      </c>
      <c r="L3066" s="79" t="s">
        <v>6277</v>
      </c>
      <c r="M3066" s="68" t="s">
        <v>8912</v>
      </c>
      <c r="N3066" s="68" t="s">
        <v>8665</v>
      </c>
      <c r="O3066" s="79">
        <v>50100</v>
      </c>
      <c r="P3066" s="198" t="s">
        <v>5810</v>
      </c>
    </row>
    <row r="3067" spans="1:16" ht="18.75" hidden="1">
      <c r="A3067" s="50" t="str">
        <f>"50100-9246923"</f>
        <v>50100-9246923</v>
      </c>
      <c r="B3067" s="50" t="str">
        <f>"96/07/01"</f>
        <v>96/07/01</v>
      </c>
      <c r="C3067" s="50" t="s">
        <v>6006</v>
      </c>
      <c r="D3067" s="50" t="s">
        <v>5840</v>
      </c>
      <c r="E3067" s="12" t="s">
        <v>4971</v>
      </c>
      <c r="F3067" s="49">
        <v>180000</v>
      </c>
      <c r="G3067" s="78" t="s">
        <v>5611</v>
      </c>
      <c r="H3067" s="14" t="s">
        <v>5601</v>
      </c>
      <c r="I3067" s="14" t="s">
        <v>2458</v>
      </c>
      <c r="J3067" s="33" t="s">
        <v>7110</v>
      </c>
      <c r="K3067" s="33" t="s">
        <v>8621</v>
      </c>
      <c r="L3067" s="79" t="s">
        <v>6277</v>
      </c>
      <c r="M3067" s="68" t="s">
        <v>8912</v>
      </c>
      <c r="N3067" s="68" t="s">
        <v>8665</v>
      </c>
      <c r="O3067" s="79">
        <v>50100</v>
      </c>
      <c r="P3067" s="198" t="s">
        <v>5814</v>
      </c>
    </row>
    <row r="3068" spans="1:16" ht="18.75" hidden="1">
      <c r="A3068" s="50" t="str">
        <f>"50100-9294126"</f>
        <v>50100-9294126</v>
      </c>
      <c r="B3068" s="50" t="str">
        <f>"96/07/11"</f>
        <v>96/07/11</v>
      </c>
      <c r="C3068" s="50" t="s">
        <v>7254</v>
      </c>
      <c r="D3068" s="50" t="s">
        <v>6247</v>
      </c>
      <c r="E3068" s="12" t="s">
        <v>4971</v>
      </c>
      <c r="F3068" s="49">
        <v>804705</v>
      </c>
      <c r="G3068" s="78" t="s">
        <v>5607</v>
      </c>
      <c r="H3068" s="14" t="s">
        <v>5601</v>
      </c>
      <c r="I3068" s="14" t="s">
        <v>2458</v>
      </c>
      <c r="J3068" s="33" t="s">
        <v>7110</v>
      </c>
      <c r="K3068" s="33" t="s">
        <v>8621</v>
      </c>
      <c r="L3068" s="79" t="s">
        <v>8682</v>
      </c>
      <c r="M3068" s="68" t="s">
        <v>8912</v>
      </c>
      <c r="N3068" s="68" t="s">
        <v>8665</v>
      </c>
      <c r="O3068" s="79">
        <v>50100</v>
      </c>
      <c r="P3068" s="198" t="s">
        <v>7233</v>
      </c>
    </row>
    <row r="3069" spans="1:16" ht="18.75" hidden="1">
      <c r="A3069" s="50" t="str">
        <f>"50100-9294126"</f>
        <v>50100-9294126</v>
      </c>
      <c r="B3069" s="50" t="str">
        <f>"96/07/11"</f>
        <v>96/07/11</v>
      </c>
      <c r="C3069" s="50" t="s">
        <v>6321</v>
      </c>
      <c r="D3069" s="50" t="s">
        <v>6252</v>
      </c>
      <c r="E3069" s="12" t="s">
        <v>4971</v>
      </c>
      <c r="F3069" s="49">
        <v>544675</v>
      </c>
      <c r="G3069" s="78" t="s">
        <v>5607</v>
      </c>
      <c r="H3069" s="14" t="s">
        <v>5601</v>
      </c>
      <c r="I3069" s="14" t="s">
        <v>2458</v>
      </c>
      <c r="J3069" s="33" t="s">
        <v>7110</v>
      </c>
      <c r="K3069" s="33" t="s">
        <v>8621</v>
      </c>
      <c r="L3069" s="79" t="s">
        <v>8682</v>
      </c>
      <c r="M3069" s="68" t="s">
        <v>8912</v>
      </c>
      <c r="N3069" s="68" t="s">
        <v>8665</v>
      </c>
      <c r="O3069" s="79">
        <v>50100</v>
      </c>
      <c r="P3069" s="198" t="s">
        <v>7233</v>
      </c>
    </row>
    <row r="3070" spans="1:16" ht="18.75" hidden="1">
      <c r="A3070" s="50" t="str">
        <f>"50100-9259007"</f>
        <v>50100-9259007</v>
      </c>
      <c r="B3070" s="50" t="str">
        <f>"96/07/02"</f>
        <v>96/07/02</v>
      </c>
      <c r="C3070" s="50" t="s">
        <v>6324</v>
      </c>
      <c r="D3070" s="50" t="s">
        <v>6325</v>
      </c>
      <c r="E3070" s="12" t="s">
        <v>4971</v>
      </c>
      <c r="F3070" s="49">
        <v>25143</v>
      </c>
      <c r="G3070" s="78" t="s">
        <v>5609</v>
      </c>
      <c r="H3070" s="14" t="s">
        <v>5601</v>
      </c>
      <c r="I3070" s="14" t="s">
        <v>2458</v>
      </c>
      <c r="J3070" s="33" t="s">
        <v>7110</v>
      </c>
      <c r="K3070" s="33" t="s">
        <v>8621</v>
      </c>
      <c r="L3070" s="79" t="s">
        <v>6279</v>
      </c>
      <c r="M3070" s="68" t="s">
        <v>8912</v>
      </c>
      <c r="N3070" s="68" t="s">
        <v>8665</v>
      </c>
      <c r="O3070" s="79">
        <v>50100</v>
      </c>
      <c r="P3070" s="198" t="s">
        <v>7603</v>
      </c>
    </row>
    <row r="3071" spans="1:16" ht="18.75" hidden="1">
      <c r="A3071" s="50" t="str">
        <f>"50100-9259007"</f>
        <v>50100-9259007</v>
      </c>
      <c r="B3071" s="50" t="str">
        <f>"96/07/02"</f>
        <v>96/07/02</v>
      </c>
      <c r="C3071" s="50" t="s">
        <v>7602</v>
      </c>
      <c r="D3071" s="50" t="s">
        <v>6305</v>
      </c>
      <c r="E3071" s="12" t="s">
        <v>4971</v>
      </c>
      <c r="F3071" s="49">
        <v>467037</v>
      </c>
      <c r="G3071" s="78" t="s">
        <v>5609</v>
      </c>
      <c r="H3071" s="14" t="s">
        <v>5601</v>
      </c>
      <c r="I3071" s="14" t="s">
        <v>2458</v>
      </c>
      <c r="J3071" s="33" t="s">
        <v>7110</v>
      </c>
      <c r="K3071" s="33" t="s">
        <v>8621</v>
      </c>
      <c r="L3071" s="79" t="s">
        <v>6279</v>
      </c>
      <c r="M3071" s="68" t="s">
        <v>8912</v>
      </c>
      <c r="N3071" s="68" t="s">
        <v>8665</v>
      </c>
      <c r="O3071" s="79">
        <v>50100</v>
      </c>
      <c r="P3071" s="198" t="s">
        <v>7603</v>
      </c>
    </row>
    <row r="3072" spans="1:16" ht="18.75" hidden="1">
      <c r="A3072" s="50" t="str">
        <f>"50100-9270589"</f>
        <v>50100-9270589</v>
      </c>
      <c r="B3072" s="50" t="str">
        <f>"96/07/04"</f>
        <v>96/07/04</v>
      </c>
      <c r="C3072" s="50" t="s">
        <v>6335</v>
      </c>
      <c r="D3072" s="50" t="s">
        <v>6247</v>
      </c>
      <c r="E3072" s="12" t="s">
        <v>4971</v>
      </c>
      <c r="F3072" s="49">
        <v>19701</v>
      </c>
      <c r="G3072" s="78" t="s">
        <v>5631</v>
      </c>
      <c r="H3072" s="14" t="s">
        <v>5601</v>
      </c>
      <c r="I3072" s="14" t="s">
        <v>2458</v>
      </c>
      <c r="J3072" s="33" t="s">
        <v>7110</v>
      </c>
      <c r="K3072" s="33" t="s">
        <v>8621</v>
      </c>
      <c r="L3072" s="79" t="s">
        <v>6283</v>
      </c>
      <c r="M3072" s="68" t="s">
        <v>8912</v>
      </c>
      <c r="N3072" s="68" t="s">
        <v>8665</v>
      </c>
      <c r="O3072" s="79">
        <v>50100</v>
      </c>
      <c r="P3072" s="197" t="s">
        <v>5836</v>
      </c>
    </row>
    <row r="3073" spans="1:16" ht="18.75" hidden="1">
      <c r="A3073" s="50" t="str">
        <f>"50100-9292714"</f>
        <v>50100-9292714</v>
      </c>
      <c r="B3073" s="50" t="str">
        <f>"96/07/11"</f>
        <v>96/07/11</v>
      </c>
      <c r="C3073" s="50" t="s">
        <v>6267</v>
      </c>
      <c r="D3073" s="50" t="s">
        <v>6075</v>
      </c>
      <c r="E3073" s="12" t="s">
        <v>4971</v>
      </c>
      <c r="F3073" s="49">
        <v>1099</v>
      </c>
      <c r="G3073" s="78" t="s">
        <v>5631</v>
      </c>
      <c r="H3073" s="14" t="s">
        <v>5601</v>
      </c>
      <c r="I3073" s="14" t="s">
        <v>2458</v>
      </c>
      <c r="J3073" s="33" t="s">
        <v>7110</v>
      </c>
      <c r="K3073" s="33" t="s">
        <v>8621</v>
      </c>
      <c r="L3073" s="79" t="s">
        <v>6283</v>
      </c>
      <c r="M3073" s="68" t="s">
        <v>8912</v>
      </c>
      <c r="N3073" s="68" t="s">
        <v>8665</v>
      </c>
      <c r="O3073" s="79">
        <v>50100</v>
      </c>
      <c r="P3073" s="197" t="s">
        <v>5842</v>
      </c>
    </row>
    <row r="3074" spans="1:16" ht="18.75" hidden="1">
      <c r="A3074" s="50" t="str">
        <f>"50100-9292714"</f>
        <v>50100-9292714</v>
      </c>
      <c r="B3074" s="50" t="str">
        <f>"96/07/11"</f>
        <v>96/07/11</v>
      </c>
      <c r="C3074" s="50" t="s">
        <v>5191</v>
      </c>
      <c r="D3074" s="50" t="s">
        <v>5169</v>
      </c>
      <c r="E3074" s="12" t="s">
        <v>4971</v>
      </c>
      <c r="F3074" s="49">
        <v>10000</v>
      </c>
      <c r="G3074" s="78" t="s">
        <v>5631</v>
      </c>
      <c r="H3074" s="14" t="s">
        <v>5601</v>
      </c>
      <c r="I3074" s="14" t="s">
        <v>2458</v>
      </c>
      <c r="J3074" s="33" t="s">
        <v>7110</v>
      </c>
      <c r="K3074" s="33" t="s">
        <v>8621</v>
      </c>
      <c r="L3074" s="79" t="s">
        <v>6283</v>
      </c>
      <c r="M3074" s="68" t="s">
        <v>8912</v>
      </c>
      <c r="N3074" s="68" t="s">
        <v>8665</v>
      </c>
      <c r="O3074" s="79">
        <v>50100</v>
      </c>
      <c r="P3074" s="197" t="s">
        <v>5803</v>
      </c>
    </row>
    <row r="3075" spans="1:16" ht="18.75" hidden="1">
      <c r="A3075" s="50" t="str">
        <f>"50100-9292714"</f>
        <v>50100-9292714</v>
      </c>
      <c r="B3075" s="50" t="str">
        <f>"96/07/11"</f>
        <v>96/07/11</v>
      </c>
      <c r="C3075" s="50" t="s">
        <v>6331</v>
      </c>
      <c r="D3075" s="50" t="s">
        <v>6332</v>
      </c>
      <c r="E3075" s="12" t="s">
        <v>4971</v>
      </c>
      <c r="F3075" s="49">
        <v>52526</v>
      </c>
      <c r="G3075" s="78" t="s">
        <v>5631</v>
      </c>
      <c r="H3075" s="14" t="s">
        <v>5601</v>
      </c>
      <c r="I3075" s="14" t="s">
        <v>2458</v>
      </c>
      <c r="J3075" s="33" t="s">
        <v>7110</v>
      </c>
      <c r="K3075" s="33" t="s">
        <v>8621</v>
      </c>
      <c r="L3075" s="79" t="s">
        <v>6283</v>
      </c>
      <c r="M3075" s="68" t="s">
        <v>8912</v>
      </c>
      <c r="N3075" s="68" t="s">
        <v>8665</v>
      </c>
      <c r="O3075" s="79">
        <v>50100</v>
      </c>
      <c r="P3075" s="197" t="s">
        <v>5842</v>
      </c>
    </row>
    <row r="3076" spans="1:16" ht="18.75" hidden="1">
      <c r="A3076" s="50" t="str">
        <f>"50100-9253166"</f>
        <v>50100-9253166</v>
      </c>
      <c r="B3076" s="50" t="str">
        <f>"96/07/01"</f>
        <v>96/07/01</v>
      </c>
      <c r="C3076" s="50" t="s">
        <v>5986</v>
      </c>
      <c r="D3076" s="50" t="s">
        <v>5496</v>
      </c>
      <c r="E3076" s="12" t="s">
        <v>4971</v>
      </c>
      <c r="F3076" s="49">
        <v>284320</v>
      </c>
      <c r="G3076" s="78" t="s">
        <v>5611</v>
      </c>
      <c r="H3076" s="14" t="s">
        <v>5601</v>
      </c>
      <c r="I3076" s="14" t="s">
        <v>2458</v>
      </c>
      <c r="J3076" s="33" t="s">
        <v>7110</v>
      </c>
      <c r="K3076" s="33" t="s">
        <v>8621</v>
      </c>
      <c r="L3076" s="79" t="s">
        <v>6283</v>
      </c>
      <c r="M3076" s="68" t="s">
        <v>8912</v>
      </c>
      <c r="N3076" s="68" t="s">
        <v>8665</v>
      </c>
      <c r="O3076" s="79">
        <v>50100</v>
      </c>
      <c r="P3076" s="198" t="s">
        <v>5826</v>
      </c>
    </row>
    <row r="3077" spans="1:16" ht="18.75" hidden="1">
      <c r="A3077" s="50" t="str">
        <f>"50100-9259136"</f>
        <v>50100-9259136</v>
      </c>
      <c r="B3077" s="50" t="str">
        <f>"96/07/02"</f>
        <v>96/07/02</v>
      </c>
      <c r="C3077" s="50" t="s">
        <v>7602</v>
      </c>
      <c r="D3077" s="50" t="s">
        <v>6305</v>
      </c>
      <c r="E3077" s="12" t="s">
        <v>4971</v>
      </c>
      <c r="F3077" s="49">
        <v>492180</v>
      </c>
      <c r="G3077" s="78" t="s">
        <v>5609</v>
      </c>
      <c r="H3077" s="14" t="s">
        <v>5601</v>
      </c>
      <c r="I3077" s="14" t="s">
        <v>2458</v>
      </c>
      <c r="J3077" s="33" t="s">
        <v>7110</v>
      </c>
      <c r="K3077" s="33" t="s">
        <v>8621</v>
      </c>
      <c r="L3077" s="79" t="s">
        <v>6279</v>
      </c>
      <c r="M3077" s="68" t="s">
        <v>8912</v>
      </c>
      <c r="N3077" s="68" t="s">
        <v>8665</v>
      </c>
      <c r="O3077" s="79">
        <v>50100</v>
      </c>
      <c r="P3077" s="198" t="s">
        <v>7603</v>
      </c>
    </row>
    <row r="3078" spans="1:16" ht="18.75" hidden="1">
      <c r="A3078" s="50" t="str">
        <f>"50100-9260242"</f>
        <v>50100-9260242</v>
      </c>
      <c r="B3078" s="50" t="str">
        <f>"96/07/02"</f>
        <v>96/07/02</v>
      </c>
      <c r="C3078" s="50" t="s">
        <v>8234</v>
      </c>
      <c r="D3078" s="50" t="s">
        <v>6323</v>
      </c>
      <c r="E3078" s="12" t="s">
        <v>4971</v>
      </c>
      <c r="F3078" s="49">
        <v>324413</v>
      </c>
      <c r="G3078" s="78" t="s">
        <v>5853</v>
      </c>
      <c r="H3078" s="14" t="s">
        <v>5601</v>
      </c>
      <c r="I3078" s="14" t="s">
        <v>2458</v>
      </c>
      <c r="J3078" s="33" t="e">
        <f>VLOOKUP(C3078,شرکتها!A:B,2,FALSE)</f>
        <v>#N/A</v>
      </c>
      <c r="K3078" s="33" t="s">
        <v>8621</v>
      </c>
      <c r="L3078" s="79" t="s">
        <v>6283</v>
      </c>
      <c r="M3078" s="68" t="s">
        <v>8912</v>
      </c>
      <c r="N3078" s="68" t="s">
        <v>8665</v>
      </c>
      <c r="O3078" s="79">
        <v>50100</v>
      </c>
      <c r="P3078" s="198" t="s">
        <v>5854</v>
      </c>
    </row>
    <row r="3079" spans="1:16" ht="18.75" hidden="1">
      <c r="A3079" s="50" t="str">
        <f>"50100-9254995"</f>
        <v>50100-9254995</v>
      </c>
      <c r="B3079" s="50" t="str">
        <f>"96/07/01"</f>
        <v>96/07/01</v>
      </c>
      <c r="C3079" s="50" t="s">
        <v>7599</v>
      </c>
      <c r="D3079" s="50" t="s">
        <v>6337</v>
      </c>
      <c r="E3079" s="12" t="s">
        <v>4971</v>
      </c>
      <c r="F3079" s="49">
        <v>500458</v>
      </c>
      <c r="G3079" s="78" t="s">
        <v>5604</v>
      </c>
      <c r="H3079" s="14" t="s">
        <v>5601</v>
      </c>
      <c r="I3079" s="14" t="s">
        <v>2458</v>
      </c>
      <c r="J3079" s="33" t="s">
        <v>7110</v>
      </c>
      <c r="K3079" s="33" t="s">
        <v>8621</v>
      </c>
      <c r="L3079" s="79" t="s">
        <v>6277</v>
      </c>
      <c r="M3079" s="68" t="s">
        <v>8912</v>
      </c>
      <c r="N3079" s="68" t="s">
        <v>8665</v>
      </c>
      <c r="O3079" s="79">
        <v>50100</v>
      </c>
      <c r="P3079" s="198" t="s">
        <v>5824</v>
      </c>
    </row>
    <row r="3080" spans="1:16" ht="18.75" hidden="1">
      <c r="A3080" s="50" t="str">
        <f>"50100-9260524"</f>
        <v>50100-9260524</v>
      </c>
      <c r="B3080" s="50" t="str">
        <f>"96/07/02"</f>
        <v>96/07/02</v>
      </c>
      <c r="C3080" s="50" t="s">
        <v>8500</v>
      </c>
      <c r="D3080" s="50" t="s">
        <v>8620</v>
      </c>
      <c r="E3080" s="12" t="s">
        <v>4971</v>
      </c>
      <c r="F3080" s="49">
        <v>991100</v>
      </c>
      <c r="G3080" s="78" t="s">
        <v>5631</v>
      </c>
      <c r="H3080" s="14" t="s">
        <v>5601</v>
      </c>
      <c r="I3080" s="14" t="s">
        <v>2458</v>
      </c>
      <c r="J3080" s="33" t="s">
        <v>7110</v>
      </c>
      <c r="K3080" s="33" t="s">
        <v>8621</v>
      </c>
      <c r="L3080" s="79" t="s">
        <v>6277</v>
      </c>
      <c r="M3080" s="68" t="s">
        <v>8912</v>
      </c>
      <c r="N3080" s="68" t="s">
        <v>8665</v>
      </c>
      <c r="O3080" s="79">
        <v>50100</v>
      </c>
      <c r="P3080" s="197" t="s">
        <v>5836</v>
      </c>
    </row>
    <row r="3081" spans="1:16" ht="18.75" hidden="1">
      <c r="A3081" s="50" t="str">
        <f>"50100-9260242"</f>
        <v>50100-9260242</v>
      </c>
      <c r="B3081" s="50" t="str">
        <f>"96/07/02"</f>
        <v>96/07/02</v>
      </c>
      <c r="C3081" s="50" t="s">
        <v>7902</v>
      </c>
      <c r="D3081" s="50" t="s">
        <v>6323</v>
      </c>
      <c r="E3081" s="12" t="s">
        <v>4971</v>
      </c>
      <c r="F3081" s="49">
        <v>2323</v>
      </c>
      <c r="G3081" s="78" t="s">
        <v>5853</v>
      </c>
      <c r="H3081" s="14" t="s">
        <v>5601</v>
      </c>
      <c r="I3081" s="14" t="s">
        <v>2458</v>
      </c>
      <c r="J3081" s="33" t="e">
        <f>VLOOKUP(C3081,شرکتها!A:B,2,FALSE)</f>
        <v>#N/A</v>
      </c>
      <c r="K3081" s="33" t="s">
        <v>8621</v>
      </c>
      <c r="L3081" s="79" t="s">
        <v>6283</v>
      </c>
      <c r="M3081" s="68" t="s">
        <v>8912</v>
      </c>
      <c r="N3081" s="68" t="s">
        <v>8665</v>
      </c>
      <c r="O3081" s="79">
        <v>50100</v>
      </c>
      <c r="P3081" s="198" t="s">
        <v>5854</v>
      </c>
    </row>
    <row r="3082" spans="1:16" ht="18.75" hidden="1">
      <c r="A3082" s="50" t="str">
        <f>"50100-9254747"</f>
        <v>50100-9254747</v>
      </c>
      <c r="B3082" s="50" t="str">
        <f>"96/07/01"</f>
        <v>96/07/01</v>
      </c>
      <c r="C3082" s="50" t="s">
        <v>7252</v>
      </c>
      <c r="D3082" s="50" t="s">
        <v>6312</v>
      </c>
      <c r="E3082" s="12" t="s">
        <v>4971</v>
      </c>
      <c r="F3082" s="49">
        <v>489500</v>
      </c>
      <c r="G3082" s="78" t="s">
        <v>5779</v>
      </c>
      <c r="H3082" s="14" t="s">
        <v>5601</v>
      </c>
      <c r="I3082" s="14" t="s">
        <v>2458</v>
      </c>
      <c r="J3082" s="33" t="e">
        <f>VLOOKUP(C3082,شرکتها!A:B,2,FALSE)</f>
        <v>#N/A</v>
      </c>
      <c r="K3082" s="33" t="s">
        <v>8621</v>
      </c>
      <c r="L3082" s="79" t="s">
        <v>6277</v>
      </c>
      <c r="M3082" s="68" t="s">
        <v>8912</v>
      </c>
      <c r="N3082" s="68" t="s">
        <v>8665</v>
      </c>
      <c r="O3082" s="79">
        <v>50100</v>
      </c>
      <c r="P3082" s="198" t="s">
        <v>5841</v>
      </c>
    </row>
    <row r="3083" spans="1:16" ht="18.75" hidden="1">
      <c r="A3083" s="50" t="str">
        <f>"50100-9271159"</f>
        <v>50100-9271159</v>
      </c>
      <c r="B3083" s="50" t="str">
        <f>"96/07/04"</f>
        <v>96/07/04</v>
      </c>
      <c r="C3083" s="50" t="s">
        <v>6357</v>
      </c>
      <c r="D3083" s="50" t="s">
        <v>6248</v>
      </c>
      <c r="E3083" s="12" t="s">
        <v>4971</v>
      </c>
      <c r="F3083" s="49">
        <v>10960</v>
      </c>
      <c r="G3083" s="78" t="s">
        <v>5611</v>
      </c>
      <c r="H3083" s="14" t="s">
        <v>5601</v>
      </c>
      <c r="I3083" s="14" t="s">
        <v>2458</v>
      </c>
      <c r="J3083" s="33" t="s">
        <v>7110</v>
      </c>
      <c r="K3083" s="33" t="s">
        <v>8621</v>
      </c>
      <c r="L3083" s="79" t="s">
        <v>6277</v>
      </c>
      <c r="M3083" s="68" t="s">
        <v>8912</v>
      </c>
      <c r="N3083" s="68" t="s">
        <v>8665</v>
      </c>
      <c r="O3083" s="79">
        <v>50100</v>
      </c>
      <c r="P3083" s="198" t="s">
        <v>7231</v>
      </c>
    </row>
    <row r="3084" spans="1:16" ht="18.75" hidden="1">
      <c r="A3084" s="50" t="str">
        <f>"50100-9271159"</f>
        <v>50100-9271159</v>
      </c>
      <c r="B3084" s="50" t="str">
        <f>"96/07/04"</f>
        <v>96/07/04</v>
      </c>
      <c r="C3084" s="50" t="s">
        <v>7599</v>
      </c>
      <c r="D3084" s="50" t="s">
        <v>6337</v>
      </c>
      <c r="E3084" s="12" t="s">
        <v>4971</v>
      </c>
      <c r="F3084" s="49">
        <v>494992</v>
      </c>
      <c r="G3084" s="78" t="s">
        <v>5604</v>
      </c>
      <c r="H3084" s="14" t="s">
        <v>5601</v>
      </c>
      <c r="I3084" s="14" t="s">
        <v>2458</v>
      </c>
      <c r="J3084" s="33" t="s">
        <v>7110</v>
      </c>
      <c r="K3084" s="33" t="s">
        <v>8621</v>
      </c>
      <c r="L3084" s="79" t="s">
        <v>6277</v>
      </c>
      <c r="M3084" s="68" t="s">
        <v>8912</v>
      </c>
      <c r="N3084" s="68" t="s">
        <v>8665</v>
      </c>
      <c r="O3084" s="79">
        <v>50100</v>
      </c>
      <c r="P3084" s="198" t="s">
        <v>5824</v>
      </c>
    </row>
    <row r="3085" spans="1:16" ht="18.75" hidden="1">
      <c r="A3085" s="50" t="str">
        <f>"50100-9259972"</f>
        <v>50100-9259972</v>
      </c>
      <c r="B3085" s="50" t="str">
        <f>"96/07/02"</f>
        <v>96/07/02</v>
      </c>
      <c r="C3085" s="50" t="s">
        <v>7902</v>
      </c>
      <c r="D3085" s="50" t="s">
        <v>6323</v>
      </c>
      <c r="E3085" s="12" t="s">
        <v>4971</v>
      </c>
      <c r="F3085" s="49">
        <v>492036</v>
      </c>
      <c r="G3085" s="78" t="s">
        <v>5853</v>
      </c>
      <c r="H3085" s="14" t="s">
        <v>5601</v>
      </c>
      <c r="I3085" s="14" t="s">
        <v>2458</v>
      </c>
      <c r="J3085" s="33" t="e">
        <f>VLOOKUP(C3085,شرکتها!A:B,2,FALSE)</f>
        <v>#N/A</v>
      </c>
      <c r="K3085" s="33" t="s">
        <v>8621</v>
      </c>
      <c r="L3085" s="79" t="s">
        <v>6283</v>
      </c>
      <c r="M3085" s="68" t="s">
        <v>8912</v>
      </c>
      <c r="N3085" s="68" t="s">
        <v>8665</v>
      </c>
      <c r="O3085" s="79">
        <v>50100</v>
      </c>
      <c r="P3085" s="198" t="s">
        <v>5854</v>
      </c>
    </row>
    <row r="3086" spans="1:16" ht="18.75" hidden="1">
      <c r="A3086" s="50" t="str">
        <f>"50100-9253166"</f>
        <v>50100-9253166</v>
      </c>
      <c r="B3086" s="50" t="str">
        <f>"96/07/01"</f>
        <v>96/07/01</v>
      </c>
      <c r="C3086" s="50" t="s">
        <v>5987</v>
      </c>
      <c r="D3086" s="50" t="s">
        <v>5496</v>
      </c>
      <c r="E3086" s="12" t="s">
        <v>4971</v>
      </c>
      <c r="F3086" s="49">
        <v>51906</v>
      </c>
      <c r="G3086" s="78" t="s">
        <v>5611</v>
      </c>
      <c r="H3086" s="14" t="s">
        <v>5601</v>
      </c>
      <c r="I3086" s="14" t="s">
        <v>2458</v>
      </c>
      <c r="J3086" s="33" t="s">
        <v>7110</v>
      </c>
      <c r="K3086" s="33" t="s">
        <v>8621</v>
      </c>
      <c r="L3086" s="79" t="s">
        <v>6283</v>
      </c>
      <c r="M3086" s="68" t="s">
        <v>8912</v>
      </c>
      <c r="N3086" s="68" t="s">
        <v>8665</v>
      </c>
      <c r="O3086" s="79">
        <v>50100</v>
      </c>
      <c r="P3086" s="198" t="s">
        <v>5826</v>
      </c>
    </row>
    <row r="3087" spans="1:16" ht="18.75" hidden="1">
      <c r="A3087" s="50" t="str">
        <f>"50100-9292714"</f>
        <v>50100-9292714</v>
      </c>
      <c r="B3087" s="50" t="str">
        <f>"96/07/11"</f>
        <v>96/07/11</v>
      </c>
      <c r="C3087" s="50" t="s">
        <v>6008</v>
      </c>
      <c r="D3087" s="50" t="s">
        <v>5840</v>
      </c>
      <c r="E3087" s="12" t="s">
        <v>4971</v>
      </c>
      <c r="F3087" s="49">
        <v>14035</v>
      </c>
      <c r="G3087" s="78" t="s">
        <v>5631</v>
      </c>
      <c r="H3087" s="14" t="s">
        <v>5601</v>
      </c>
      <c r="I3087" s="14" t="s">
        <v>2458</v>
      </c>
      <c r="J3087" s="33" t="s">
        <v>7110</v>
      </c>
      <c r="K3087" s="33" t="s">
        <v>8621</v>
      </c>
      <c r="L3087" s="79" t="s">
        <v>6283</v>
      </c>
      <c r="M3087" s="68" t="s">
        <v>8912</v>
      </c>
      <c r="N3087" s="68" t="s">
        <v>8665</v>
      </c>
      <c r="O3087" s="79">
        <v>50100</v>
      </c>
      <c r="P3087" s="197" t="s">
        <v>5842</v>
      </c>
    </row>
    <row r="3088" spans="1:16" ht="18.75" hidden="1">
      <c r="A3088" s="50" t="str">
        <f>"50100-9260242"</f>
        <v>50100-9260242</v>
      </c>
      <c r="B3088" s="50" t="str">
        <f>"96/07/02"</f>
        <v>96/07/02</v>
      </c>
      <c r="C3088" s="50" t="s">
        <v>6034</v>
      </c>
      <c r="D3088" s="50" t="s">
        <v>5850</v>
      </c>
      <c r="E3088" s="12" t="s">
        <v>4971</v>
      </c>
      <c r="F3088" s="49">
        <v>164825</v>
      </c>
      <c r="G3088" s="78" t="s">
        <v>5853</v>
      </c>
      <c r="H3088" s="14" t="s">
        <v>5601</v>
      </c>
      <c r="I3088" s="14" t="s">
        <v>2458</v>
      </c>
      <c r="J3088" s="33" t="e">
        <f>VLOOKUP(C3088,شرکتها!A:B,2,FALSE)</f>
        <v>#N/A</v>
      </c>
      <c r="K3088" s="33" t="s">
        <v>8621</v>
      </c>
      <c r="L3088" s="79" t="s">
        <v>6283</v>
      </c>
      <c r="M3088" s="68" t="s">
        <v>8912</v>
      </c>
      <c r="N3088" s="68" t="s">
        <v>8665</v>
      </c>
      <c r="O3088" s="79">
        <v>50100</v>
      </c>
      <c r="P3088" s="198" t="s">
        <v>5854</v>
      </c>
    </row>
    <row r="3089" spans="1:16" ht="18.75" hidden="1">
      <c r="A3089" s="50" t="str">
        <f>"50100-9290891"</f>
        <v>50100-9290891</v>
      </c>
      <c r="B3089" s="50" t="str">
        <f>"96/07/11"</f>
        <v>96/07/11</v>
      </c>
      <c r="C3089" s="50" t="s">
        <v>5939</v>
      </c>
      <c r="D3089" s="50" t="s">
        <v>5481</v>
      </c>
      <c r="E3089" s="12" t="s">
        <v>4971</v>
      </c>
      <c r="F3089" s="49">
        <v>254496</v>
      </c>
      <c r="G3089" s="78" t="s">
        <v>5611</v>
      </c>
      <c r="H3089" s="14" t="s">
        <v>5601</v>
      </c>
      <c r="I3089" s="14" t="s">
        <v>2458</v>
      </c>
      <c r="J3089" s="33" t="s">
        <v>7110</v>
      </c>
      <c r="K3089" s="33" t="s">
        <v>8621</v>
      </c>
      <c r="L3089" s="79" t="s">
        <v>6283</v>
      </c>
      <c r="M3089" s="68" t="s">
        <v>8912</v>
      </c>
      <c r="N3089" s="68" t="s">
        <v>8665</v>
      </c>
      <c r="O3089" s="79">
        <v>50100</v>
      </c>
      <c r="P3089" s="198" t="s">
        <v>5814</v>
      </c>
    </row>
    <row r="3090" spans="1:16" ht="18.75" hidden="1">
      <c r="A3090" s="50" t="str">
        <f>"15100-474619"</f>
        <v>15100-474619</v>
      </c>
      <c r="B3090" s="50" t="str">
        <f>"96/06/27"</f>
        <v>96/06/27</v>
      </c>
      <c r="C3090" s="50" t="s">
        <v>7275</v>
      </c>
      <c r="D3090" s="50" t="s">
        <v>6410</v>
      </c>
      <c r="E3090" s="12" t="s">
        <v>4971</v>
      </c>
      <c r="F3090" s="49">
        <v>22040</v>
      </c>
      <c r="G3090" s="78" t="s">
        <v>5631</v>
      </c>
      <c r="H3090" s="14" t="s">
        <v>5601</v>
      </c>
      <c r="I3090" s="14" t="s">
        <v>2458</v>
      </c>
      <c r="J3090" s="33" t="s">
        <v>7110</v>
      </c>
      <c r="K3090" s="33" t="s">
        <v>8621</v>
      </c>
      <c r="L3090" s="79" t="s">
        <v>6055</v>
      </c>
      <c r="M3090" s="68" t="s">
        <v>8913</v>
      </c>
      <c r="N3090" s="79" t="s">
        <v>6057</v>
      </c>
      <c r="O3090" s="79">
        <v>30100</v>
      </c>
      <c r="P3090" s="197" t="s">
        <v>5836</v>
      </c>
    </row>
    <row r="3091" spans="1:16" ht="18.75" hidden="1">
      <c r="A3091" s="50" t="str">
        <f>"15100-474619"</f>
        <v>15100-474619</v>
      </c>
      <c r="B3091" s="50" t="str">
        <f>"96/06/27"</f>
        <v>96/06/27</v>
      </c>
      <c r="C3091" s="50" t="s">
        <v>6398</v>
      </c>
      <c r="D3091" s="50" t="s">
        <v>6314</v>
      </c>
      <c r="E3091" s="12" t="s">
        <v>4971</v>
      </c>
      <c r="F3091" s="49">
        <v>45160</v>
      </c>
      <c r="G3091" s="78" t="s">
        <v>5611</v>
      </c>
      <c r="H3091" s="14" t="s">
        <v>5601</v>
      </c>
      <c r="I3091" s="14" t="s">
        <v>2458</v>
      </c>
      <c r="J3091" s="33" t="s">
        <v>7110</v>
      </c>
      <c r="K3091" s="33" t="s">
        <v>8621</v>
      </c>
      <c r="L3091" s="79" t="s">
        <v>6055</v>
      </c>
      <c r="M3091" s="68" t="s">
        <v>8913</v>
      </c>
      <c r="N3091" s="79" t="s">
        <v>6057</v>
      </c>
      <c r="O3091" s="79">
        <v>30100</v>
      </c>
      <c r="P3091" s="198" t="s">
        <v>7231</v>
      </c>
    </row>
    <row r="3092" spans="1:16" ht="18.75" hidden="1">
      <c r="A3092" s="50" t="str">
        <f>"15100-473987"</f>
        <v>15100-473987</v>
      </c>
      <c r="B3092" s="50" t="str">
        <f>"96/06/26"</f>
        <v>96/06/26</v>
      </c>
      <c r="C3092" s="50" t="s">
        <v>7261</v>
      </c>
      <c r="D3092" s="50" t="s">
        <v>6312</v>
      </c>
      <c r="E3092" s="12" t="s">
        <v>4971</v>
      </c>
      <c r="F3092" s="49">
        <v>22320</v>
      </c>
      <c r="G3092" s="78" t="s">
        <v>5647</v>
      </c>
      <c r="H3092" s="14" t="s">
        <v>5601</v>
      </c>
      <c r="I3092" s="14" t="s">
        <v>2458</v>
      </c>
      <c r="J3092" s="33" t="s">
        <v>7110</v>
      </c>
      <c r="K3092" s="33" t="s">
        <v>8621</v>
      </c>
      <c r="L3092" s="79" t="s">
        <v>6054</v>
      </c>
      <c r="M3092" s="68" t="s">
        <v>8913</v>
      </c>
      <c r="N3092" s="79" t="s">
        <v>6076</v>
      </c>
      <c r="O3092" s="79">
        <v>55301</v>
      </c>
      <c r="P3092" s="198" t="s">
        <v>7262</v>
      </c>
    </row>
    <row r="3093" spans="1:16" ht="18.75" hidden="1">
      <c r="A3093" s="50" t="str">
        <f>"15100-473987"</f>
        <v>15100-473987</v>
      </c>
      <c r="B3093" s="50" t="str">
        <f>"96/06/26"</f>
        <v>96/06/26</v>
      </c>
      <c r="C3093" s="50" t="s">
        <v>6376</v>
      </c>
      <c r="D3093" s="50" t="s">
        <v>6314</v>
      </c>
      <c r="E3093" s="12" t="s">
        <v>4971</v>
      </c>
      <c r="F3093" s="49">
        <v>239060</v>
      </c>
      <c r="G3093" s="78" t="s">
        <v>5607</v>
      </c>
      <c r="H3093" s="14" t="s">
        <v>5601</v>
      </c>
      <c r="I3093" s="14" t="s">
        <v>2458</v>
      </c>
      <c r="J3093" s="33" t="s">
        <v>7110</v>
      </c>
      <c r="K3093" s="33" t="s">
        <v>8621</v>
      </c>
      <c r="L3093" s="79" t="s">
        <v>6054</v>
      </c>
      <c r="M3093" s="68" t="s">
        <v>8913</v>
      </c>
      <c r="N3093" s="79" t="s">
        <v>6076</v>
      </c>
      <c r="O3093" s="79">
        <v>55301</v>
      </c>
      <c r="P3093" s="198" t="s">
        <v>7233</v>
      </c>
    </row>
    <row r="3094" spans="1:16" ht="18.75" hidden="1">
      <c r="A3094" s="50" t="str">
        <f>"15100-474472"</f>
        <v>15100-474472</v>
      </c>
      <c r="B3094" s="50" t="str">
        <f>"96/06/27"</f>
        <v>96/06/27</v>
      </c>
      <c r="C3094" s="50" t="s">
        <v>7250</v>
      </c>
      <c r="D3094" s="50" t="s">
        <v>6337</v>
      </c>
      <c r="E3094" s="12" t="s">
        <v>4971</v>
      </c>
      <c r="F3094" s="49">
        <v>188180</v>
      </c>
      <c r="G3094" s="78" t="s">
        <v>5647</v>
      </c>
      <c r="H3094" s="14" t="s">
        <v>5601</v>
      </c>
      <c r="I3094" s="14" t="s">
        <v>2458</v>
      </c>
      <c r="J3094" s="33" t="s">
        <v>7110</v>
      </c>
      <c r="K3094" s="33" t="s">
        <v>8621</v>
      </c>
      <c r="L3094" s="79" t="s">
        <v>6054</v>
      </c>
      <c r="M3094" s="68" t="s">
        <v>8913</v>
      </c>
      <c r="N3094" s="79" t="s">
        <v>6076</v>
      </c>
      <c r="O3094" s="79">
        <v>55301</v>
      </c>
      <c r="P3094" s="198" t="s">
        <v>7241</v>
      </c>
    </row>
    <row r="3095" spans="1:16" ht="18.75" hidden="1">
      <c r="A3095" s="50" t="str">
        <f>"15100-474472"</f>
        <v>15100-474472</v>
      </c>
      <c r="B3095" s="50" t="str">
        <f>"96/06/27"</f>
        <v>96/06/27</v>
      </c>
      <c r="C3095" s="50" t="s">
        <v>7264</v>
      </c>
      <c r="D3095" s="50" t="s">
        <v>6330</v>
      </c>
      <c r="E3095" s="12" t="s">
        <v>4971</v>
      </c>
      <c r="F3095" s="49">
        <v>150140</v>
      </c>
      <c r="G3095" s="78" t="s">
        <v>5853</v>
      </c>
      <c r="H3095" s="14" t="s">
        <v>5601</v>
      </c>
      <c r="I3095" s="14" t="s">
        <v>2458</v>
      </c>
      <c r="J3095" s="33" t="s">
        <v>7110</v>
      </c>
      <c r="K3095" s="33" t="s">
        <v>8621</v>
      </c>
      <c r="L3095" s="79" t="s">
        <v>6054</v>
      </c>
      <c r="M3095" s="68" t="s">
        <v>8913</v>
      </c>
      <c r="N3095" s="79" t="s">
        <v>6076</v>
      </c>
      <c r="O3095" s="79">
        <v>55301</v>
      </c>
      <c r="P3095" s="198" t="s">
        <v>7265</v>
      </c>
    </row>
    <row r="3096" spans="1:16" ht="18.75" hidden="1">
      <c r="A3096" s="50" t="str">
        <f>"15100-472943"</f>
        <v>15100-472943</v>
      </c>
      <c r="B3096" s="50" t="str">
        <f>"96/06/23"</f>
        <v>96/06/23</v>
      </c>
      <c r="C3096" s="50" t="s">
        <v>5975</v>
      </c>
      <c r="D3096" s="50" t="s">
        <v>5835</v>
      </c>
      <c r="E3096" s="12" t="s">
        <v>4971</v>
      </c>
      <c r="F3096" s="49">
        <v>129540</v>
      </c>
      <c r="G3096" s="78" t="s">
        <v>5631</v>
      </c>
      <c r="H3096" s="14" t="s">
        <v>5601</v>
      </c>
      <c r="I3096" s="14" t="s">
        <v>2458</v>
      </c>
      <c r="J3096" s="33" t="s">
        <v>7110</v>
      </c>
      <c r="K3096" s="33" t="s">
        <v>8621</v>
      </c>
      <c r="L3096" s="79" t="s">
        <v>6054</v>
      </c>
      <c r="M3096" s="68" t="s">
        <v>8913</v>
      </c>
      <c r="N3096" s="79" t="s">
        <v>6076</v>
      </c>
      <c r="O3096" s="79">
        <v>55301</v>
      </c>
      <c r="P3096" s="197" t="s">
        <v>5820</v>
      </c>
    </row>
    <row r="3097" spans="1:16" ht="18.75" hidden="1">
      <c r="A3097" s="50" t="str">
        <f>"15100-476287"</f>
        <v>15100-476287</v>
      </c>
      <c r="B3097" s="50" t="str">
        <f>"96/06/30"</f>
        <v>96/06/30</v>
      </c>
      <c r="C3097" s="50" t="s">
        <v>7256</v>
      </c>
      <c r="D3097" s="50" t="s">
        <v>6332</v>
      </c>
      <c r="E3097" s="12" t="s">
        <v>4971</v>
      </c>
      <c r="F3097" s="49">
        <v>50440</v>
      </c>
      <c r="G3097" s="78" t="s">
        <v>5631</v>
      </c>
      <c r="H3097" s="14" t="s">
        <v>5601</v>
      </c>
      <c r="I3097" s="14" t="s">
        <v>2458</v>
      </c>
      <c r="J3097" s="33" t="s">
        <v>7110</v>
      </c>
      <c r="K3097" s="33" t="s">
        <v>8621</v>
      </c>
      <c r="L3097" s="79" t="s">
        <v>6054</v>
      </c>
      <c r="M3097" s="68" t="s">
        <v>8912</v>
      </c>
      <c r="N3097" s="79" t="s">
        <v>6286</v>
      </c>
      <c r="O3097" s="79">
        <v>55107</v>
      </c>
      <c r="P3097" s="197" t="s">
        <v>5836</v>
      </c>
    </row>
    <row r="3098" spans="1:16" ht="18.75" hidden="1">
      <c r="A3098" s="50" t="str">
        <f>"15100-472943"</f>
        <v>15100-472943</v>
      </c>
      <c r="B3098" s="50" t="str">
        <f>"96/06/23"</f>
        <v>96/06/23</v>
      </c>
      <c r="C3098" s="50" t="s">
        <v>5890</v>
      </c>
      <c r="D3098" s="50" t="s">
        <v>5564</v>
      </c>
      <c r="E3098" s="12" t="s">
        <v>4971</v>
      </c>
      <c r="F3098" s="49">
        <v>24300</v>
      </c>
      <c r="G3098" s="78" t="s">
        <v>5609</v>
      </c>
      <c r="H3098" s="14" t="s">
        <v>5601</v>
      </c>
      <c r="I3098" s="14" t="s">
        <v>2458</v>
      </c>
      <c r="J3098" s="33" t="s">
        <v>7110</v>
      </c>
      <c r="K3098" s="33" t="s">
        <v>8621</v>
      </c>
      <c r="L3098" s="79" t="s">
        <v>6054</v>
      </c>
      <c r="M3098" s="68" t="s">
        <v>8913</v>
      </c>
      <c r="N3098" s="79" t="s">
        <v>6076</v>
      </c>
      <c r="O3098" s="79">
        <v>55301</v>
      </c>
      <c r="P3098" s="198" t="s">
        <v>5816</v>
      </c>
    </row>
    <row r="3099" spans="1:16" ht="18.75" hidden="1">
      <c r="A3099" s="50" t="str">
        <f>"15100-476299"</f>
        <v>15100-476299</v>
      </c>
      <c r="B3099" s="50" t="str">
        <f>"96/06/30"</f>
        <v>96/06/30</v>
      </c>
      <c r="C3099" s="50" t="s">
        <v>5576</v>
      </c>
      <c r="D3099" s="50" t="s">
        <v>5561</v>
      </c>
      <c r="E3099" s="12" t="s">
        <v>4971</v>
      </c>
      <c r="F3099" s="49">
        <v>73750</v>
      </c>
      <c r="G3099" s="78" t="s">
        <v>5611</v>
      </c>
      <c r="H3099" s="14" t="s">
        <v>5601</v>
      </c>
      <c r="I3099" s="14" t="s">
        <v>2458</v>
      </c>
      <c r="J3099" s="33" t="s">
        <v>7110</v>
      </c>
      <c r="K3099" s="33" t="s">
        <v>8621</v>
      </c>
      <c r="L3099" s="79" t="s">
        <v>6054</v>
      </c>
      <c r="M3099" s="68" t="s">
        <v>8912</v>
      </c>
      <c r="N3099" s="79" t="s">
        <v>6285</v>
      </c>
      <c r="O3099" s="79">
        <v>55200</v>
      </c>
      <c r="P3099" s="198" t="s">
        <v>5815</v>
      </c>
    </row>
    <row r="3100" spans="1:16" ht="18.75" hidden="1">
      <c r="A3100" s="50" t="str">
        <f t="shared" ref="A3100:A3105" si="22">"15100-472943"</f>
        <v>15100-472943</v>
      </c>
      <c r="B3100" s="50" t="str">
        <f t="shared" ref="B3100:B3105" si="23">"96/06/23"</f>
        <v>96/06/23</v>
      </c>
      <c r="C3100" s="50" t="s">
        <v>6416</v>
      </c>
      <c r="D3100" s="50" t="s">
        <v>6305</v>
      </c>
      <c r="E3100" s="12" t="s">
        <v>4971</v>
      </c>
      <c r="F3100" s="49">
        <v>81080</v>
      </c>
      <c r="G3100" s="78" t="s">
        <v>5647</v>
      </c>
      <c r="H3100" s="14" t="s">
        <v>5601</v>
      </c>
      <c r="I3100" s="14" t="s">
        <v>2458</v>
      </c>
      <c r="J3100" s="33" t="s">
        <v>7110</v>
      </c>
      <c r="K3100" s="33" t="s">
        <v>8621</v>
      </c>
      <c r="L3100" s="79" t="s">
        <v>6054</v>
      </c>
      <c r="M3100" s="68" t="s">
        <v>8913</v>
      </c>
      <c r="N3100" s="79" t="s">
        <v>6076</v>
      </c>
      <c r="O3100" s="79">
        <v>55301</v>
      </c>
      <c r="P3100" s="198" t="s">
        <v>8502</v>
      </c>
    </row>
    <row r="3101" spans="1:16" ht="18.75" hidden="1">
      <c r="A3101" s="50" t="str">
        <f t="shared" si="22"/>
        <v>15100-472943</v>
      </c>
      <c r="B3101" s="50" t="str">
        <f t="shared" si="23"/>
        <v>96/06/23</v>
      </c>
      <c r="C3101" s="50" t="s">
        <v>7266</v>
      </c>
      <c r="D3101" s="50" t="s">
        <v>6314</v>
      </c>
      <c r="E3101" s="12" t="s">
        <v>4971</v>
      </c>
      <c r="F3101" s="49">
        <v>135720</v>
      </c>
      <c r="G3101" s="78" t="s">
        <v>5647</v>
      </c>
      <c r="H3101" s="14" t="s">
        <v>5601</v>
      </c>
      <c r="I3101" s="14" t="s">
        <v>2458</v>
      </c>
      <c r="J3101" s="33" t="s">
        <v>7110</v>
      </c>
      <c r="K3101" s="33" t="s">
        <v>8621</v>
      </c>
      <c r="L3101" s="79" t="s">
        <v>6054</v>
      </c>
      <c r="M3101" s="68" t="s">
        <v>8913</v>
      </c>
      <c r="N3101" s="79" t="s">
        <v>6076</v>
      </c>
      <c r="O3101" s="79">
        <v>55301</v>
      </c>
      <c r="P3101" s="198" t="s">
        <v>7262</v>
      </c>
    </row>
    <row r="3102" spans="1:16" ht="18.75" hidden="1">
      <c r="A3102" s="50" t="str">
        <f t="shared" si="22"/>
        <v>15100-472943</v>
      </c>
      <c r="B3102" s="50" t="str">
        <f t="shared" si="23"/>
        <v>96/06/23</v>
      </c>
      <c r="C3102" s="50" t="s">
        <v>7261</v>
      </c>
      <c r="D3102" s="50" t="s">
        <v>6312</v>
      </c>
      <c r="E3102" s="12" t="s">
        <v>4971</v>
      </c>
      <c r="F3102" s="49">
        <v>111040</v>
      </c>
      <c r="G3102" s="78" t="s">
        <v>5647</v>
      </c>
      <c r="H3102" s="14" t="s">
        <v>5601</v>
      </c>
      <c r="I3102" s="14" t="s">
        <v>2458</v>
      </c>
      <c r="J3102" s="33" t="s">
        <v>7110</v>
      </c>
      <c r="K3102" s="33" t="s">
        <v>8621</v>
      </c>
      <c r="L3102" s="79" t="s">
        <v>6054</v>
      </c>
      <c r="M3102" s="68" t="s">
        <v>8913</v>
      </c>
      <c r="N3102" s="79" t="s">
        <v>6076</v>
      </c>
      <c r="O3102" s="79">
        <v>55301</v>
      </c>
      <c r="P3102" s="198" t="s">
        <v>7262</v>
      </c>
    </row>
    <row r="3103" spans="1:16" ht="18.75" hidden="1">
      <c r="A3103" s="50" t="str">
        <f t="shared" si="22"/>
        <v>15100-472943</v>
      </c>
      <c r="B3103" s="50" t="str">
        <f t="shared" si="23"/>
        <v>96/06/23</v>
      </c>
      <c r="C3103" s="50" t="s">
        <v>8503</v>
      </c>
      <c r="D3103" s="50" t="s">
        <v>6314</v>
      </c>
      <c r="E3103" s="12" t="s">
        <v>4971</v>
      </c>
      <c r="F3103" s="49">
        <v>60000</v>
      </c>
      <c r="G3103" s="78" t="s">
        <v>5647</v>
      </c>
      <c r="H3103" s="14" t="s">
        <v>5601</v>
      </c>
      <c r="I3103" s="14" t="s">
        <v>2458</v>
      </c>
      <c r="J3103" s="33" t="s">
        <v>7110</v>
      </c>
      <c r="K3103" s="33" t="s">
        <v>8621</v>
      </c>
      <c r="L3103" s="79" t="s">
        <v>6054</v>
      </c>
      <c r="M3103" s="68" t="s">
        <v>8913</v>
      </c>
      <c r="N3103" s="79" t="s">
        <v>6076</v>
      </c>
      <c r="O3103" s="79">
        <v>55301</v>
      </c>
      <c r="P3103" s="198" t="s">
        <v>8502</v>
      </c>
    </row>
    <row r="3104" spans="1:16" ht="18.75" hidden="1">
      <c r="A3104" s="50" t="str">
        <f t="shared" si="22"/>
        <v>15100-472943</v>
      </c>
      <c r="B3104" s="50" t="str">
        <f t="shared" si="23"/>
        <v>96/06/23</v>
      </c>
      <c r="C3104" s="50" t="s">
        <v>7245</v>
      </c>
      <c r="D3104" s="50" t="s">
        <v>6249</v>
      </c>
      <c r="E3104" s="12" t="s">
        <v>4971</v>
      </c>
      <c r="F3104" s="49">
        <v>124760</v>
      </c>
      <c r="G3104" s="78" t="s">
        <v>5611</v>
      </c>
      <c r="H3104" s="14" t="s">
        <v>5601</v>
      </c>
      <c r="I3104" s="14" t="s">
        <v>2458</v>
      </c>
      <c r="J3104" s="33" t="s">
        <v>7110</v>
      </c>
      <c r="K3104" s="33" t="s">
        <v>8621</v>
      </c>
      <c r="L3104" s="79" t="s">
        <v>6054</v>
      </c>
      <c r="M3104" s="68" t="s">
        <v>8913</v>
      </c>
      <c r="N3104" s="79" t="s">
        <v>6076</v>
      </c>
      <c r="O3104" s="79">
        <v>55301</v>
      </c>
      <c r="P3104" s="198" t="s">
        <v>7231</v>
      </c>
    </row>
    <row r="3105" spans="1:16" ht="18.75" hidden="1">
      <c r="A3105" s="50" t="str">
        <f t="shared" si="22"/>
        <v>15100-472943</v>
      </c>
      <c r="B3105" s="50" t="str">
        <f t="shared" si="23"/>
        <v>96/06/23</v>
      </c>
      <c r="C3105" s="50" t="s">
        <v>6388</v>
      </c>
      <c r="D3105" s="50" t="s">
        <v>6075</v>
      </c>
      <c r="E3105" s="12" t="s">
        <v>4971</v>
      </c>
      <c r="F3105" s="49">
        <v>24280</v>
      </c>
      <c r="G3105" s="78" t="s">
        <v>5611</v>
      </c>
      <c r="H3105" s="14" t="s">
        <v>5601</v>
      </c>
      <c r="I3105" s="14" t="s">
        <v>2458</v>
      </c>
      <c r="J3105" s="33" t="s">
        <v>7110</v>
      </c>
      <c r="K3105" s="33" t="s">
        <v>8621</v>
      </c>
      <c r="L3105" s="79" t="s">
        <v>6054</v>
      </c>
      <c r="M3105" s="68" t="s">
        <v>8913</v>
      </c>
      <c r="N3105" s="79" t="s">
        <v>6076</v>
      </c>
      <c r="O3105" s="79">
        <v>55301</v>
      </c>
      <c r="P3105" s="198" t="s">
        <v>5831</v>
      </c>
    </row>
    <row r="3106" spans="1:16" ht="18.75" hidden="1">
      <c r="A3106" s="50" t="str">
        <f>"15100-475643"</f>
        <v>15100-475643</v>
      </c>
      <c r="B3106" s="50" t="str">
        <f>"96/06/29"</f>
        <v>96/06/29</v>
      </c>
      <c r="C3106" s="50" t="s">
        <v>7256</v>
      </c>
      <c r="D3106" s="50" t="s">
        <v>6332</v>
      </c>
      <c r="E3106" s="12" t="s">
        <v>4971</v>
      </c>
      <c r="F3106" s="49">
        <v>51350</v>
      </c>
      <c r="G3106" s="78" t="s">
        <v>5631</v>
      </c>
      <c r="H3106" s="14" t="s">
        <v>5601</v>
      </c>
      <c r="I3106" s="14" t="s">
        <v>2458</v>
      </c>
      <c r="J3106" s="33" t="s">
        <v>7110</v>
      </c>
      <c r="K3106" s="33" t="s">
        <v>8621</v>
      </c>
      <c r="L3106" s="79" t="s">
        <v>6054</v>
      </c>
      <c r="M3106" s="68" t="s">
        <v>8912</v>
      </c>
      <c r="N3106" s="79" t="s">
        <v>6286</v>
      </c>
      <c r="O3106" s="79">
        <v>55107</v>
      </c>
      <c r="P3106" s="197" t="s">
        <v>5836</v>
      </c>
    </row>
    <row r="3107" spans="1:16" ht="18.75" hidden="1">
      <c r="A3107" s="50" t="str">
        <f>"15100-473355"</f>
        <v>15100-473355</v>
      </c>
      <c r="B3107" s="50" t="str">
        <f>"96/06/25"</f>
        <v>96/06/25</v>
      </c>
      <c r="C3107" s="50" t="s">
        <v>6009</v>
      </c>
      <c r="D3107" s="50" t="s">
        <v>5843</v>
      </c>
      <c r="E3107" s="12" t="s">
        <v>4971</v>
      </c>
      <c r="F3107" s="49">
        <v>76110</v>
      </c>
      <c r="G3107" s="78" t="s">
        <v>5631</v>
      </c>
      <c r="H3107" s="14" t="s">
        <v>5601</v>
      </c>
      <c r="I3107" s="14" t="s">
        <v>2458</v>
      </c>
      <c r="J3107" s="33" t="s">
        <v>7110</v>
      </c>
      <c r="K3107" s="33" t="s">
        <v>8621</v>
      </c>
      <c r="L3107" s="79" t="s">
        <v>6054</v>
      </c>
      <c r="M3107" s="68" t="s">
        <v>8912</v>
      </c>
      <c r="N3107" s="79" t="s">
        <v>6286</v>
      </c>
      <c r="O3107" s="79">
        <v>55107</v>
      </c>
      <c r="P3107" s="197" t="s">
        <v>5820</v>
      </c>
    </row>
    <row r="3108" spans="1:16" ht="18.75" hidden="1">
      <c r="A3108" s="50" t="str">
        <f>"15100-471808"</f>
        <v>15100-471808</v>
      </c>
      <c r="B3108" s="50" t="str">
        <f>"96/06/21"</f>
        <v>96/06/21</v>
      </c>
      <c r="C3108" s="50" t="s">
        <v>7245</v>
      </c>
      <c r="D3108" s="50" t="s">
        <v>6249</v>
      </c>
      <c r="E3108" s="12" t="s">
        <v>4971</v>
      </c>
      <c r="F3108" s="49">
        <v>177360</v>
      </c>
      <c r="G3108" s="78" t="s">
        <v>5611</v>
      </c>
      <c r="H3108" s="14" t="s">
        <v>5601</v>
      </c>
      <c r="I3108" s="14" t="s">
        <v>2458</v>
      </c>
      <c r="J3108" s="33" t="s">
        <v>7110</v>
      </c>
      <c r="K3108" s="33" t="s">
        <v>8621</v>
      </c>
      <c r="L3108" s="79" t="s">
        <v>6054</v>
      </c>
      <c r="M3108" s="68" t="s">
        <v>8913</v>
      </c>
      <c r="N3108" s="79" t="s">
        <v>6076</v>
      </c>
      <c r="O3108" s="79">
        <v>55301</v>
      </c>
      <c r="P3108" s="198" t="s">
        <v>7231</v>
      </c>
    </row>
    <row r="3109" spans="1:16" ht="18.75" hidden="1">
      <c r="A3109" s="50" t="str">
        <f>"15100-475062"</f>
        <v>15100-475062</v>
      </c>
      <c r="B3109" s="50" t="str">
        <f>"96/06/28"</f>
        <v>96/06/28</v>
      </c>
      <c r="C3109" s="50" t="s">
        <v>5906</v>
      </c>
      <c r="D3109" s="50" t="s">
        <v>5482</v>
      </c>
      <c r="E3109" s="12" t="s">
        <v>4971</v>
      </c>
      <c r="F3109" s="49">
        <v>97500</v>
      </c>
      <c r="G3109" s="78" t="s">
        <v>5611</v>
      </c>
      <c r="H3109" s="14" t="s">
        <v>5601</v>
      </c>
      <c r="I3109" s="14" t="s">
        <v>2458</v>
      </c>
      <c r="J3109" s="33" t="s">
        <v>7110</v>
      </c>
      <c r="K3109" s="33" t="s">
        <v>8621</v>
      </c>
      <c r="L3109" s="79" t="s">
        <v>6054</v>
      </c>
      <c r="M3109" s="68" t="s">
        <v>8913</v>
      </c>
      <c r="N3109" s="79" t="s">
        <v>6076</v>
      </c>
      <c r="O3109" s="79">
        <v>55301</v>
      </c>
      <c r="P3109" s="198" t="s">
        <v>5813</v>
      </c>
    </row>
    <row r="3110" spans="1:16" ht="18.75" hidden="1">
      <c r="A3110" s="50" t="str">
        <f>"15100-471808"</f>
        <v>15100-471808</v>
      </c>
      <c r="B3110" s="50" t="str">
        <f>"96/06/21"</f>
        <v>96/06/21</v>
      </c>
      <c r="C3110" s="50" t="s">
        <v>6388</v>
      </c>
      <c r="D3110" s="50" t="s">
        <v>6075</v>
      </c>
      <c r="E3110" s="12" t="s">
        <v>4971</v>
      </c>
      <c r="F3110" s="49">
        <v>18160</v>
      </c>
      <c r="G3110" s="78" t="s">
        <v>5611</v>
      </c>
      <c r="H3110" s="14" t="s">
        <v>5601</v>
      </c>
      <c r="I3110" s="14" t="s">
        <v>2458</v>
      </c>
      <c r="J3110" s="33" t="s">
        <v>7110</v>
      </c>
      <c r="K3110" s="33" t="s">
        <v>8621</v>
      </c>
      <c r="L3110" s="79" t="s">
        <v>6054</v>
      </c>
      <c r="M3110" s="68" t="s">
        <v>8913</v>
      </c>
      <c r="N3110" s="79" t="s">
        <v>6076</v>
      </c>
      <c r="O3110" s="79">
        <v>55301</v>
      </c>
      <c r="P3110" s="198" t="s">
        <v>5831</v>
      </c>
    </row>
    <row r="3111" spans="1:16" ht="18.75" hidden="1">
      <c r="A3111" s="50" t="str">
        <f>"15100-471808"</f>
        <v>15100-471808</v>
      </c>
      <c r="B3111" s="50" t="str">
        <f>"96/06/21"</f>
        <v>96/06/21</v>
      </c>
      <c r="C3111" s="50" t="s">
        <v>7266</v>
      </c>
      <c r="D3111" s="50" t="s">
        <v>6314</v>
      </c>
      <c r="E3111" s="12" t="s">
        <v>4971</v>
      </c>
      <c r="F3111" s="49">
        <v>114280</v>
      </c>
      <c r="G3111" s="78" t="s">
        <v>5647</v>
      </c>
      <c r="H3111" s="14" t="s">
        <v>5601</v>
      </c>
      <c r="I3111" s="14" t="s">
        <v>2458</v>
      </c>
      <c r="J3111" s="33" t="s">
        <v>7110</v>
      </c>
      <c r="K3111" s="33" t="s">
        <v>8621</v>
      </c>
      <c r="L3111" s="79" t="s">
        <v>6054</v>
      </c>
      <c r="M3111" s="68" t="s">
        <v>8913</v>
      </c>
      <c r="N3111" s="79" t="s">
        <v>6076</v>
      </c>
      <c r="O3111" s="79">
        <v>55301</v>
      </c>
      <c r="P3111" s="198" t="s">
        <v>7262</v>
      </c>
    </row>
    <row r="3112" spans="1:16" ht="18.75" hidden="1">
      <c r="A3112" s="50" t="str">
        <f>"15100-474559"</f>
        <v>15100-474559</v>
      </c>
      <c r="B3112" s="50" t="str">
        <f>"96/06/27"</f>
        <v>96/06/27</v>
      </c>
      <c r="C3112" s="50" t="s">
        <v>6418</v>
      </c>
      <c r="D3112" s="50" t="s">
        <v>6412</v>
      </c>
      <c r="E3112" s="12" t="s">
        <v>4971</v>
      </c>
      <c r="F3112" s="49">
        <v>208910</v>
      </c>
      <c r="G3112" s="78" t="s">
        <v>5611</v>
      </c>
      <c r="H3112" s="14" t="s">
        <v>5601</v>
      </c>
      <c r="I3112" s="14" t="s">
        <v>2458</v>
      </c>
      <c r="J3112" s="33" t="s">
        <v>7110</v>
      </c>
      <c r="K3112" s="33" t="s">
        <v>8621</v>
      </c>
      <c r="L3112" s="79" t="s">
        <v>6054</v>
      </c>
      <c r="M3112" s="68" t="s">
        <v>8912</v>
      </c>
      <c r="N3112" s="79" t="s">
        <v>6076</v>
      </c>
      <c r="O3112" s="79">
        <v>55301</v>
      </c>
      <c r="P3112" s="198" t="s">
        <v>7231</v>
      </c>
    </row>
    <row r="3113" spans="1:16" ht="18.75" hidden="1">
      <c r="A3113" s="50" t="str">
        <f>"15100-476335"</f>
        <v>15100-476335</v>
      </c>
      <c r="B3113" s="50" t="str">
        <f>"96/06/30"</f>
        <v>96/06/30</v>
      </c>
      <c r="C3113" s="50" t="s">
        <v>5893</v>
      </c>
      <c r="D3113" s="50" t="s">
        <v>5563</v>
      </c>
      <c r="E3113" s="12" t="s">
        <v>4971</v>
      </c>
      <c r="F3113" s="49">
        <v>117480</v>
      </c>
      <c r="G3113" s="78" t="s">
        <v>5609</v>
      </c>
      <c r="H3113" s="14" t="s">
        <v>5601</v>
      </c>
      <c r="I3113" s="14" t="s">
        <v>2458</v>
      </c>
      <c r="J3113" s="33" t="s">
        <v>7110</v>
      </c>
      <c r="K3113" s="33" t="s">
        <v>8621</v>
      </c>
      <c r="L3113" s="79" t="s">
        <v>6054</v>
      </c>
      <c r="M3113" s="68" t="s">
        <v>8913</v>
      </c>
      <c r="N3113" s="79" t="s">
        <v>6286</v>
      </c>
      <c r="O3113" s="79">
        <v>55107</v>
      </c>
      <c r="P3113" s="198" t="s">
        <v>5816</v>
      </c>
    </row>
    <row r="3114" spans="1:16" ht="18.75" hidden="1">
      <c r="A3114" s="50" t="str">
        <f>"15100-475694"</f>
        <v>15100-475694</v>
      </c>
      <c r="B3114" s="50" t="str">
        <f>"96/06/29"</f>
        <v>96/06/29</v>
      </c>
      <c r="C3114" s="50" t="s">
        <v>7256</v>
      </c>
      <c r="D3114" s="50" t="s">
        <v>6332</v>
      </c>
      <c r="E3114" s="12" t="s">
        <v>4971</v>
      </c>
      <c r="F3114" s="49">
        <v>72480</v>
      </c>
      <c r="G3114" s="78" t="s">
        <v>5631</v>
      </c>
      <c r="H3114" s="14" t="s">
        <v>5601</v>
      </c>
      <c r="I3114" s="14" t="s">
        <v>2458</v>
      </c>
      <c r="J3114" s="33" t="s">
        <v>7110</v>
      </c>
      <c r="K3114" s="33" t="s">
        <v>8621</v>
      </c>
      <c r="L3114" s="79" t="s">
        <v>6054</v>
      </c>
      <c r="M3114" s="68" t="s">
        <v>8913</v>
      </c>
      <c r="N3114" s="79" t="s">
        <v>6076</v>
      </c>
      <c r="O3114" s="79">
        <v>55301</v>
      </c>
      <c r="P3114" s="197" t="s">
        <v>5836</v>
      </c>
    </row>
    <row r="3115" spans="1:16" ht="18.75" hidden="1">
      <c r="A3115" s="50" t="str">
        <f>"15100-473345"</f>
        <v>15100-473345</v>
      </c>
      <c r="B3115" s="50" t="str">
        <f>"96/06/25"</f>
        <v>96/06/25</v>
      </c>
      <c r="C3115" s="50" t="s">
        <v>6043</v>
      </c>
      <c r="D3115" s="50" t="s">
        <v>5857</v>
      </c>
      <c r="E3115" s="12" t="s">
        <v>4971</v>
      </c>
      <c r="F3115" s="49">
        <v>73720</v>
      </c>
      <c r="G3115" s="78" t="s">
        <v>5631</v>
      </c>
      <c r="H3115" s="14" t="s">
        <v>5601</v>
      </c>
      <c r="I3115" s="14" t="s">
        <v>2458</v>
      </c>
      <c r="J3115" s="33" t="s">
        <v>7110</v>
      </c>
      <c r="K3115" s="33" t="s">
        <v>8621</v>
      </c>
      <c r="L3115" s="79" t="s">
        <v>6054</v>
      </c>
      <c r="M3115" s="68" t="s">
        <v>8913</v>
      </c>
      <c r="N3115" s="79" t="s">
        <v>6286</v>
      </c>
      <c r="O3115" s="79">
        <v>55107</v>
      </c>
      <c r="P3115" s="197" t="s">
        <v>5818</v>
      </c>
    </row>
    <row r="3116" spans="1:16" ht="18.75" hidden="1">
      <c r="A3116" s="50" t="str">
        <f>"15100-474559"</f>
        <v>15100-474559</v>
      </c>
      <c r="B3116" s="50" t="str">
        <f>"96/06/27"</f>
        <v>96/06/27</v>
      </c>
      <c r="C3116" s="50" t="s">
        <v>5567</v>
      </c>
      <c r="D3116" s="50" t="s">
        <v>5565</v>
      </c>
      <c r="E3116" s="12" t="s">
        <v>4971</v>
      </c>
      <c r="F3116" s="49">
        <v>94610</v>
      </c>
      <c r="G3116" s="78" t="s">
        <v>5611</v>
      </c>
      <c r="H3116" s="14" t="s">
        <v>5601</v>
      </c>
      <c r="I3116" s="14" t="s">
        <v>2458</v>
      </c>
      <c r="J3116" s="33" t="s">
        <v>7110</v>
      </c>
      <c r="K3116" s="33" t="s">
        <v>8621</v>
      </c>
      <c r="L3116" s="79" t="s">
        <v>6054</v>
      </c>
      <c r="M3116" s="68" t="s">
        <v>8912</v>
      </c>
      <c r="N3116" s="79" t="s">
        <v>6076</v>
      </c>
      <c r="O3116" s="79">
        <v>55301</v>
      </c>
      <c r="P3116" s="198" t="s">
        <v>5813</v>
      </c>
    </row>
    <row r="3117" spans="1:16" ht="18.75" hidden="1">
      <c r="A3117" s="50" t="s">
        <v>8622</v>
      </c>
      <c r="B3117" s="50" t="s">
        <v>8623</v>
      </c>
      <c r="C3117" s="50" t="s">
        <v>6029</v>
      </c>
      <c r="D3117" s="50" t="s">
        <v>5849</v>
      </c>
      <c r="E3117" s="12" t="s">
        <v>4971</v>
      </c>
      <c r="F3117" s="49">
        <v>103010</v>
      </c>
      <c r="G3117" s="78" t="s">
        <v>5631</v>
      </c>
      <c r="H3117" s="14" t="s">
        <v>5601</v>
      </c>
      <c r="I3117" s="14" t="s">
        <v>2458</v>
      </c>
      <c r="J3117" s="33" t="s">
        <v>7110</v>
      </c>
      <c r="K3117" s="33" t="s">
        <v>8621</v>
      </c>
      <c r="L3117" s="79" t="s">
        <v>6054</v>
      </c>
      <c r="M3117" s="68" t="s">
        <v>8912</v>
      </c>
      <c r="N3117" s="79" t="s">
        <v>6285</v>
      </c>
      <c r="O3117" s="79">
        <v>55200</v>
      </c>
      <c r="P3117" s="197" t="s">
        <v>5818</v>
      </c>
    </row>
    <row r="3118" spans="1:16" ht="18.75" hidden="1">
      <c r="A3118" s="50" t="s">
        <v>8622</v>
      </c>
      <c r="B3118" s="50" t="s">
        <v>8623</v>
      </c>
      <c r="C3118" s="50" t="s">
        <v>5900</v>
      </c>
      <c r="D3118" s="50" t="s">
        <v>5561</v>
      </c>
      <c r="E3118" s="12" t="s">
        <v>4971</v>
      </c>
      <c r="F3118" s="49">
        <v>50000</v>
      </c>
      <c r="G3118" s="78" t="s">
        <v>5631</v>
      </c>
      <c r="H3118" s="14" t="s">
        <v>5601</v>
      </c>
      <c r="I3118" s="14" t="s">
        <v>2458</v>
      </c>
      <c r="J3118" s="33" t="s">
        <v>7110</v>
      </c>
      <c r="K3118" s="33" t="s">
        <v>8621</v>
      </c>
      <c r="L3118" s="79" t="s">
        <v>6054</v>
      </c>
      <c r="M3118" s="68" t="s">
        <v>8912</v>
      </c>
      <c r="N3118" s="79" t="s">
        <v>6285</v>
      </c>
      <c r="O3118" s="79">
        <v>55200</v>
      </c>
      <c r="P3118" s="197" t="s">
        <v>5820</v>
      </c>
    </row>
    <row r="3119" spans="1:16" ht="18.75" hidden="1">
      <c r="A3119" s="50" t="s">
        <v>8622</v>
      </c>
      <c r="B3119" s="50" t="s">
        <v>8623</v>
      </c>
      <c r="C3119" s="50" t="s">
        <v>7275</v>
      </c>
      <c r="D3119" s="50" t="s">
        <v>6410</v>
      </c>
      <c r="E3119" s="12" t="s">
        <v>4971</v>
      </c>
      <c r="F3119" s="49">
        <v>148840</v>
      </c>
      <c r="G3119" s="78" t="s">
        <v>5631</v>
      </c>
      <c r="H3119" s="14" t="s">
        <v>5601</v>
      </c>
      <c r="I3119" s="14" t="s">
        <v>2458</v>
      </c>
      <c r="J3119" s="33" t="s">
        <v>7110</v>
      </c>
      <c r="K3119" s="33" t="s">
        <v>8621</v>
      </c>
      <c r="L3119" s="79" t="s">
        <v>6054</v>
      </c>
      <c r="M3119" s="68" t="s">
        <v>8912</v>
      </c>
      <c r="N3119" s="79" t="s">
        <v>6285</v>
      </c>
      <c r="O3119" s="79">
        <v>55200</v>
      </c>
      <c r="P3119" s="197" t="s">
        <v>5836</v>
      </c>
    </row>
    <row r="3120" spans="1:16" ht="18.75" hidden="1">
      <c r="A3120" s="50" t="s">
        <v>8624</v>
      </c>
      <c r="B3120" s="50" t="s">
        <v>8616</v>
      </c>
      <c r="C3120" s="50" t="s">
        <v>5881</v>
      </c>
      <c r="D3120" s="50" t="s">
        <v>5556</v>
      </c>
      <c r="E3120" s="12" t="s">
        <v>4971</v>
      </c>
      <c r="F3120" s="49">
        <v>73380</v>
      </c>
      <c r="G3120" s="78" t="s">
        <v>5611</v>
      </c>
      <c r="H3120" s="14" t="s">
        <v>5601</v>
      </c>
      <c r="I3120" s="14" t="s">
        <v>2458</v>
      </c>
      <c r="J3120" s="33" t="s">
        <v>7110</v>
      </c>
      <c r="K3120" s="33" t="s">
        <v>8621</v>
      </c>
      <c r="L3120" s="79" t="s">
        <v>6054</v>
      </c>
      <c r="M3120" s="68" t="s">
        <v>8913</v>
      </c>
      <c r="N3120" s="79" t="s">
        <v>6076</v>
      </c>
      <c r="O3120" s="79">
        <v>55301</v>
      </c>
      <c r="P3120" s="198" t="s">
        <v>5810</v>
      </c>
    </row>
    <row r="3121" spans="1:16" ht="18.75" hidden="1">
      <c r="A3121" s="50" t="s">
        <v>8625</v>
      </c>
      <c r="B3121" s="50" t="s">
        <v>8616</v>
      </c>
      <c r="C3121" s="50" t="s">
        <v>5576</v>
      </c>
      <c r="D3121" s="50" t="s">
        <v>5561</v>
      </c>
      <c r="E3121" s="12" t="s">
        <v>4971</v>
      </c>
      <c r="F3121" s="49">
        <v>75550</v>
      </c>
      <c r="G3121" s="78" t="s">
        <v>5611</v>
      </c>
      <c r="H3121" s="14" t="s">
        <v>5601</v>
      </c>
      <c r="I3121" s="14" t="s">
        <v>2458</v>
      </c>
      <c r="J3121" s="33" t="s">
        <v>7110</v>
      </c>
      <c r="K3121" s="33" t="s">
        <v>8621</v>
      </c>
      <c r="L3121" s="79" t="s">
        <v>6054</v>
      </c>
      <c r="M3121" s="68" t="s">
        <v>8912</v>
      </c>
      <c r="N3121" s="79" t="s">
        <v>6285</v>
      </c>
      <c r="O3121" s="79">
        <v>55200</v>
      </c>
      <c r="P3121" s="198" t="s">
        <v>5815</v>
      </c>
    </row>
    <row r="3122" spans="1:16" ht="18.75" hidden="1">
      <c r="A3122" s="50" t="s">
        <v>8626</v>
      </c>
      <c r="B3122" s="50" t="s">
        <v>8627</v>
      </c>
      <c r="C3122" s="50" t="s">
        <v>5917</v>
      </c>
      <c r="D3122" s="50" t="s">
        <v>5447</v>
      </c>
      <c r="E3122" s="12" t="s">
        <v>4971</v>
      </c>
      <c r="F3122" s="49">
        <v>94520</v>
      </c>
      <c r="G3122" s="78" t="s">
        <v>5611</v>
      </c>
      <c r="H3122" s="14" t="s">
        <v>5601</v>
      </c>
      <c r="I3122" s="14" t="s">
        <v>2458</v>
      </c>
      <c r="J3122" s="33" t="s">
        <v>7110</v>
      </c>
      <c r="K3122" s="33" t="s">
        <v>8621</v>
      </c>
      <c r="L3122" s="79" t="s">
        <v>8661</v>
      </c>
      <c r="M3122" s="68" t="s">
        <v>8913</v>
      </c>
      <c r="N3122" s="79" t="s">
        <v>8662</v>
      </c>
      <c r="O3122" s="79">
        <v>25302</v>
      </c>
      <c r="P3122" s="198" t="s">
        <v>5813</v>
      </c>
    </row>
    <row r="3123" spans="1:16" ht="18.75" hidden="1">
      <c r="A3123" s="50" t="s">
        <v>8628</v>
      </c>
      <c r="B3123" s="50" t="s">
        <v>8629</v>
      </c>
      <c r="C3123" s="50" t="s">
        <v>8505</v>
      </c>
      <c r="D3123" s="50" t="s">
        <v>8616</v>
      </c>
      <c r="E3123" s="12" t="s">
        <v>4971</v>
      </c>
      <c r="F3123" s="49">
        <v>825440</v>
      </c>
      <c r="G3123" s="78" t="s">
        <v>8506</v>
      </c>
      <c r="H3123" s="14" t="s">
        <v>5601</v>
      </c>
      <c r="I3123" s="14" t="s">
        <v>2458</v>
      </c>
      <c r="J3123" s="33" t="s">
        <v>7110</v>
      </c>
      <c r="K3123" s="33" t="s">
        <v>8621</v>
      </c>
      <c r="L3123" s="79" t="s">
        <v>6055</v>
      </c>
      <c r="M3123" s="68" t="s">
        <v>8913</v>
      </c>
      <c r="N3123" s="79" t="s">
        <v>6057</v>
      </c>
      <c r="O3123" s="79">
        <v>30100</v>
      </c>
      <c r="P3123" s="198" t="s">
        <v>8507</v>
      </c>
    </row>
    <row r="3124" spans="1:16" ht="18.75" hidden="1">
      <c r="A3124" s="50" t="s">
        <v>8630</v>
      </c>
      <c r="B3124" s="50" t="s">
        <v>8631</v>
      </c>
      <c r="C3124" s="50" t="s">
        <v>5933</v>
      </c>
      <c r="D3124" s="50" t="s">
        <v>5460</v>
      </c>
      <c r="E3124" s="12" t="s">
        <v>4971</v>
      </c>
      <c r="F3124" s="49">
        <v>30290</v>
      </c>
      <c r="G3124" s="78" t="s">
        <v>5611</v>
      </c>
      <c r="H3124" s="14" t="s">
        <v>5601</v>
      </c>
      <c r="I3124" s="14" t="s">
        <v>2458</v>
      </c>
      <c r="J3124" s="33" t="s">
        <v>7110</v>
      </c>
      <c r="K3124" s="33" t="s">
        <v>8621</v>
      </c>
      <c r="L3124" s="79" t="s">
        <v>6054</v>
      </c>
      <c r="M3124" s="68" t="s">
        <v>8912</v>
      </c>
      <c r="N3124" s="79" t="s">
        <v>6286</v>
      </c>
      <c r="O3124" s="79">
        <v>55107</v>
      </c>
      <c r="P3124" s="198" t="s">
        <v>5814</v>
      </c>
    </row>
    <row r="3125" spans="1:16" ht="18.75" hidden="1">
      <c r="A3125" s="50" t="s">
        <v>8630</v>
      </c>
      <c r="B3125" s="50" t="s">
        <v>8631</v>
      </c>
      <c r="C3125" s="50" t="s">
        <v>5596</v>
      </c>
      <c r="D3125" s="50" t="s">
        <v>5459</v>
      </c>
      <c r="E3125" s="12" t="s">
        <v>4971</v>
      </c>
      <c r="F3125" s="49">
        <v>18990</v>
      </c>
      <c r="G3125" s="78" t="s">
        <v>5611</v>
      </c>
      <c r="H3125" s="14" t="s">
        <v>5601</v>
      </c>
      <c r="I3125" s="14" t="s">
        <v>2458</v>
      </c>
      <c r="J3125" s="33" t="s">
        <v>7110</v>
      </c>
      <c r="K3125" s="33" t="s">
        <v>8621</v>
      </c>
      <c r="L3125" s="79" t="s">
        <v>6054</v>
      </c>
      <c r="M3125" s="68" t="s">
        <v>8912</v>
      </c>
      <c r="N3125" s="79" t="s">
        <v>6286</v>
      </c>
      <c r="O3125" s="79">
        <v>55107</v>
      </c>
      <c r="P3125" s="198" t="s">
        <v>5815</v>
      </c>
    </row>
    <row r="3126" spans="1:16" ht="18.75" hidden="1">
      <c r="A3126" s="50" t="s">
        <v>8632</v>
      </c>
      <c r="B3126" s="50" t="s">
        <v>8618</v>
      </c>
      <c r="C3126" s="50" t="s">
        <v>5923</v>
      </c>
      <c r="D3126" s="50" t="s">
        <v>5562</v>
      </c>
      <c r="E3126" s="12" t="s">
        <v>4971</v>
      </c>
      <c r="F3126" s="49">
        <v>2560</v>
      </c>
      <c r="G3126" s="78" t="s">
        <v>5611</v>
      </c>
      <c r="H3126" s="14" t="s">
        <v>5601</v>
      </c>
      <c r="I3126" s="14" t="s">
        <v>2458</v>
      </c>
      <c r="J3126" s="33" t="s">
        <v>7110</v>
      </c>
      <c r="K3126" s="33" t="s">
        <v>8621</v>
      </c>
      <c r="L3126" s="79" t="s">
        <v>6054</v>
      </c>
      <c r="M3126" s="68" t="s">
        <v>8912</v>
      </c>
      <c r="N3126" s="79" t="s">
        <v>6285</v>
      </c>
      <c r="O3126" s="79">
        <v>55200</v>
      </c>
      <c r="P3126" s="198" t="s">
        <v>5813</v>
      </c>
    </row>
    <row r="3127" spans="1:16" ht="18.75" hidden="1">
      <c r="A3127" s="50" t="s">
        <v>8632</v>
      </c>
      <c r="B3127" s="50" t="s">
        <v>8618</v>
      </c>
      <c r="C3127" s="50" t="s">
        <v>5908</v>
      </c>
      <c r="D3127" s="50" t="s">
        <v>5482</v>
      </c>
      <c r="E3127" s="12" t="s">
        <v>4971</v>
      </c>
      <c r="F3127" s="49">
        <v>73060</v>
      </c>
      <c r="G3127" s="78" t="s">
        <v>5611</v>
      </c>
      <c r="H3127" s="14" t="s">
        <v>5601</v>
      </c>
      <c r="I3127" s="14" t="s">
        <v>2458</v>
      </c>
      <c r="J3127" s="33" t="s">
        <v>7110</v>
      </c>
      <c r="K3127" s="33" t="s">
        <v>8621</v>
      </c>
      <c r="L3127" s="79" t="s">
        <v>6054</v>
      </c>
      <c r="M3127" s="68" t="s">
        <v>8912</v>
      </c>
      <c r="N3127" s="79" t="s">
        <v>6285</v>
      </c>
      <c r="O3127" s="79">
        <v>55200</v>
      </c>
      <c r="P3127" s="198" t="s">
        <v>5813</v>
      </c>
    </row>
    <row r="3128" spans="1:16" ht="18.75" hidden="1">
      <c r="A3128" s="50" t="s">
        <v>8630</v>
      </c>
      <c r="B3128" s="50" t="s">
        <v>8631</v>
      </c>
      <c r="C3128" s="50" t="s">
        <v>5884</v>
      </c>
      <c r="D3128" s="50" t="s">
        <v>5557</v>
      </c>
      <c r="E3128" s="12" t="s">
        <v>4971</v>
      </c>
      <c r="F3128" s="49">
        <v>45000</v>
      </c>
      <c r="G3128" s="78" t="s">
        <v>5611</v>
      </c>
      <c r="H3128" s="14" t="s">
        <v>5601</v>
      </c>
      <c r="I3128" s="14" t="s">
        <v>2458</v>
      </c>
      <c r="J3128" s="33" t="s">
        <v>7110</v>
      </c>
      <c r="K3128" s="33" t="s">
        <v>8621</v>
      </c>
      <c r="L3128" s="79" t="s">
        <v>6054</v>
      </c>
      <c r="M3128" s="68" t="s">
        <v>8912</v>
      </c>
      <c r="N3128" s="79" t="s">
        <v>6286</v>
      </c>
      <c r="O3128" s="79">
        <v>55107</v>
      </c>
      <c r="P3128" s="198" t="s">
        <v>5810</v>
      </c>
    </row>
    <row r="3129" spans="1:16" ht="18.75" hidden="1">
      <c r="A3129" s="50" t="s">
        <v>8633</v>
      </c>
      <c r="B3129" s="50" t="s">
        <v>8616</v>
      </c>
      <c r="C3129" s="50" t="s">
        <v>6028</v>
      </c>
      <c r="D3129" s="50" t="s">
        <v>5849</v>
      </c>
      <c r="E3129" s="12" t="s">
        <v>4971</v>
      </c>
      <c r="F3129" s="49">
        <v>47440</v>
      </c>
      <c r="G3129" s="78" t="s">
        <v>5631</v>
      </c>
      <c r="H3129" s="14" t="s">
        <v>5601</v>
      </c>
      <c r="I3129" s="14" t="s">
        <v>2458</v>
      </c>
      <c r="J3129" s="33" t="s">
        <v>7110</v>
      </c>
      <c r="K3129" s="33" t="s">
        <v>8621</v>
      </c>
      <c r="L3129" s="79" t="s">
        <v>6054</v>
      </c>
      <c r="M3129" s="68" t="s">
        <v>8912</v>
      </c>
      <c r="N3129" s="79" t="s">
        <v>6076</v>
      </c>
      <c r="O3129" s="79">
        <v>55301</v>
      </c>
      <c r="P3129" s="197" t="s">
        <v>5818</v>
      </c>
    </row>
    <row r="3130" spans="1:16" ht="18.75" hidden="1">
      <c r="A3130" s="50" t="s">
        <v>8630</v>
      </c>
      <c r="B3130" s="50" t="s">
        <v>8631</v>
      </c>
      <c r="C3130" s="50" t="s">
        <v>5567</v>
      </c>
      <c r="D3130" s="50" t="s">
        <v>5565</v>
      </c>
      <c r="E3130" s="12" t="s">
        <v>4971</v>
      </c>
      <c r="F3130" s="49">
        <v>30640</v>
      </c>
      <c r="G3130" s="78" t="s">
        <v>5611</v>
      </c>
      <c r="H3130" s="14" t="s">
        <v>5601</v>
      </c>
      <c r="I3130" s="14" t="s">
        <v>2458</v>
      </c>
      <c r="J3130" s="33" t="s">
        <v>7110</v>
      </c>
      <c r="K3130" s="33" t="s">
        <v>8621</v>
      </c>
      <c r="L3130" s="79" t="s">
        <v>6054</v>
      </c>
      <c r="M3130" s="68" t="s">
        <v>8912</v>
      </c>
      <c r="N3130" s="79" t="s">
        <v>6286</v>
      </c>
      <c r="O3130" s="79">
        <v>55107</v>
      </c>
      <c r="P3130" s="198" t="s">
        <v>5813</v>
      </c>
    </row>
    <row r="3131" spans="1:16" ht="18.75" hidden="1">
      <c r="A3131" s="50" t="s">
        <v>8634</v>
      </c>
      <c r="B3131" s="50" t="s">
        <v>8619</v>
      </c>
      <c r="C3131" s="50" t="s">
        <v>7256</v>
      </c>
      <c r="D3131" s="50" t="s">
        <v>6332</v>
      </c>
      <c r="E3131" s="12" t="s">
        <v>4971</v>
      </c>
      <c r="F3131" s="49">
        <v>81860</v>
      </c>
      <c r="G3131" s="78" t="s">
        <v>5631</v>
      </c>
      <c r="H3131" s="14" t="s">
        <v>5601</v>
      </c>
      <c r="I3131" s="14" t="s">
        <v>2458</v>
      </c>
      <c r="J3131" s="33" t="s">
        <v>7110</v>
      </c>
      <c r="K3131" s="33" t="s">
        <v>8621</v>
      </c>
      <c r="L3131" s="79" t="s">
        <v>6054</v>
      </c>
      <c r="M3131" s="68" t="s">
        <v>8912</v>
      </c>
      <c r="N3131" s="79" t="s">
        <v>6286</v>
      </c>
      <c r="O3131" s="79">
        <v>55107</v>
      </c>
      <c r="P3131" s="197" t="s">
        <v>5836</v>
      </c>
    </row>
    <row r="3132" spans="1:16" ht="18.75" hidden="1">
      <c r="A3132" s="50" t="s">
        <v>8634</v>
      </c>
      <c r="B3132" s="50" t="s">
        <v>8619</v>
      </c>
      <c r="C3132" s="50" t="s">
        <v>7246</v>
      </c>
      <c r="D3132" s="50" t="s">
        <v>6328</v>
      </c>
      <c r="E3132" s="12" t="s">
        <v>4971</v>
      </c>
      <c r="F3132" s="49">
        <v>42370</v>
      </c>
      <c r="G3132" s="78" t="s">
        <v>5607</v>
      </c>
      <c r="H3132" s="14" t="s">
        <v>5601</v>
      </c>
      <c r="I3132" s="14" t="s">
        <v>2458</v>
      </c>
      <c r="J3132" s="33" t="s">
        <v>7110</v>
      </c>
      <c r="K3132" s="33" t="s">
        <v>8621</v>
      </c>
      <c r="L3132" s="79" t="s">
        <v>6054</v>
      </c>
      <c r="M3132" s="68" t="s">
        <v>8912</v>
      </c>
      <c r="N3132" s="79" t="s">
        <v>6286</v>
      </c>
      <c r="O3132" s="79">
        <v>55107</v>
      </c>
      <c r="P3132" s="198" t="s">
        <v>7233</v>
      </c>
    </row>
    <row r="3133" spans="1:16" ht="18.75" hidden="1">
      <c r="A3133" s="50" t="s">
        <v>8635</v>
      </c>
      <c r="B3133" s="50" t="s">
        <v>8636</v>
      </c>
      <c r="C3133" s="50" t="s">
        <v>8505</v>
      </c>
      <c r="D3133" s="50" t="s">
        <v>8616</v>
      </c>
      <c r="E3133" s="12" t="s">
        <v>4971</v>
      </c>
      <c r="F3133" s="49">
        <v>145200</v>
      </c>
      <c r="G3133" s="78" t="s">
        <v>8506</v>
      </c>
      <c r="H3133" s="14" t="s">
        <v>5601</v>
      </c>
      <c r="I3133" s="14" t="s">
        <v>2458</v>
      </c>
      <c r="J3133" s="33" t="s">
        <v>7110</v>
      </c>
      <c r="K3133" s="33" t="s">
        <v>8621</v>
      </c>
      <c r="L3133" s="79" t="s">
        <v>6055</v>
      </c>
      <c r="M3133" s="68" t="s">
        <v>8913</v>
      </c>
      <c r="N3133" s="79" t="s">
        <v>6057</v>
      </c>
      <c r="O3133" s="79">
        <v>30100</v>
      </c>
      <c r="P3133" s="198" t="s">
        <v>8507</v>
      </c>
    </row>
    <row r="3134" spans="1:16" ht="18.75" hidden="1">
      <c r="A3134" s="50" t="s">
        <v>8637</v>
      </c>
      <c r="B3134" s="50" t="s">
        <v>8627</v>
      </c>
      <c r="C3134" s="50" t="s">
        <v>5917</v>
      </c>
      <c r="D3134" s="50" t="s">
        <v>5447</v>
      </c>
      <c r="E3134" s="12" t="s">
        <v>4971</v>
      </c>
      <c r="F3134" s="49">
        <v>81540</v>
      </c>
      <c r="G3134" s="78" t="s">
        <v>5611</v>
      </c>
      <c r="H3134" s="14" t="s">
        <v>5601</v>
      </c>
      <c r="I3134" s="14" t="s">
        <v>2458</v>
      </c>
      <c r="J3134" s="33" t="s">
        <v>7110</v>
      </c>
      <c r="K3134" s="33" t="s">
        <v>8621</v>
      </c>
      <c r="L3134" s="79" t="s">
        <v>6054</v>
      </c>
      <c r="M3134" s="68" t="s">
        <v>8913</v>
      </c>
      <c r="N3134" s="79" t="s">
        <v>6076</v>
      </c>
      <c r="O3134" s="79">
        <v>55301</v>
      </c>
      <c r="P3134" s="198" t="s">
        <v>5813</v>
      </c>
    </row>
    <row r="3135" spans="1:16" ht="18.75" hidden="1">
      <c r="A3135" s="50" t="s">
        <v>8638</v>
      </c>
      <c r="B3135" s="50" t="s">
        <v>8627</v>
      </c>
      <c r="C3135" s="50" t="s">
        <v>5917</v>
      </c>
      <c r="D3135" s="50" t="s">
        <v>5447</v>
      </c>
      <c r="E3135" s="12" t="s">
        <v>4971</v>
      </c>
      <c r="F3135" s="49">
        <v>100970</v>
      </c>
      <c r="G3135" s="78" t="s">
        <v>5611</v>
      </c>
      <c r="H3135" s="14" t="s">
        <v>5601</v>
      </c>
      <c r="I3135" s="14" t="s">
        <v>2458</v>
      </c>
      <c r="J3135" s="33" t="s">
        <v>7110</v>
      </c>
      <c r="K3135" s="33" t="s">
        <v>8621</v>
      </c>
      <c r="L3135" s="79" t="s">
        <v>6054</v>
      </c>
      <c r="M3135" s="68" t="s">
        <v>8912</v>
      </c>
      <c r="N3135" s="79" t="s">
        <v>6286</v>
      </c>
      <c r="O3135" s="79">
        <v>55107</v>
      </c>
      <c r="P3135" s="198" t="s">
        <v>5813</v>
      </c>
    </row>
    <row r="3136" spans="1:16" ht="18.75" hidden="1">
      <c r="A3136" s="50" t="s">
        <v>8639</v>
      </c>
      <c r="B3136" s="50" t="s">
        <v>8629</v>
      </c>
      <c r="C3136" s="50" t="s">
        <v>5595</v>
      </c>
      <c r="D3136" s="50" t="s">
        <v>5561</v>
      </c>
      <c r="E3136" s="12" t="s">
        <v>4971</v>
      </c>
      <c r="F3136" s="49">
        <v>101450</v>
      </c>
      <c r="G3136" s="78" t="s">
        <v>5611</v>
      </c>
      <c r="H3136" s="14" t="s">
        <v>5601</v>
      </c>
      <c r="I3136" s="14" t="s">
        <v>2458</v>
      </c>
      <c r="J3136" s="33" t="s">
        <v>7110</v>
      </c>
      <c r="K3136" s="33" t="s">
        <v>8621</v>
      </c>
      <c r="L3136" s="79" t="s">
        <v>6054</v>
      </c>
      <c r="M3136" s="68" t="s">
        <v>8912</v>
      </c>
      <c r="N3136" s="79" t="s">
        <v>6286</v>
      </c>
      <c r="O3136" s="79">
        <v>55107</v>
      </c>
      <c r="P3136" s="198" t="s">
        <v>5815</v>
      </c>
    </row>
    <row r="3137" spans="1:16" ht="18.75" hidden="1">
      <c r="A3137" s="50" t="s">
        <v>8637</v>
      </c>
      <c r="B3137" s="50" t="s">
        <v>8627</v>
      </c>
      <c r="C3137" s="50" t="s">
        <v>5595</v>
      </c>
      <c r="D3137" s="50" t="s">
        <v>5561</v>
      </c>
      <c r="E3137" s="12" t="s">
        <v>4971</v>
      </c>
      <c r="F3137" s="49">
        <v>34990</v>
      </c>
      <c r="G3137" s="78" t="s">
        <v>5611</v>
      </c>
      <c r="H3137" s="14" t="s">
        <v>5601</v>
      </c>
      <c r="I3137" s="14" t="s">
        <v>2458</v>
      </c>
      <c r="J3137" s="33" t="s">
        <v>7110</v>
      </c>
      <c r="K3137" s="33" t="s">
        <v>8621</v>
      </c>
      <c r="L3137" s="79" t="s">
        <v>6054</v>
      </c>
      <c r="M3137" s="68" t="s">
        <v>8913</v>
      </c>
      <c r="N3137" s="79" t="s">
        <v>6076</v>
      </c>
      <c r="O3137" s="79">
        <v>55301</v>
      </c>
      <c r="P3137" s="198" t="s">
        <v>5815</v>
      </c>
    </row>
    <row r="3138" spans="1:16" ht="18.75" hidden="1">
      <c r="A3138" s="50" t="s">
        <v>8637</v>
      </c>
      <c r="B3138" s="50" t="s">
        <v>8627</v>
      </c>
      <c r="C3138" s="50" t="s">
        <v>5576</v>
      </c>
      <c r="D3138" s="50" t="s">
        <v>5561</v>
      </c>
      <c r="E3138" s="12" t="s">
        <v>4971</v>
      </c>
      <c r="F3138" s="49">
        <v>106760</v>
      </c>
      <c r="G3138" s="78" t="s">
        <v>5611</v>
      </c>
      <c r="H3138" s="14" t="s">
        <v>5601</v>
      </c>
      <c r="I3138" s="14" t="s">
        <v>2458</v>
      </c>
      <c r="J3138" s="33" t="s">
        <v>7110</v>
      </c>
      <c r="K3138" s="33" t="s">
        <v>8621</v>
      </c>
      <c r="L3138" s="79" t="s">
        <v>6054</v>
      </c>
      <c r="M3138" s="68" t="s">
        <v>8913</v>
      </c>
      <c r="N3138" s="79" t="s">
        <v>6076</v>
      </c>
      <c r="O3138" s="79">
        <v>55301</v>
      </c>
      <c r="P3138" s="198" t="s">
        <v>5815</v>
      </c>
    </row>
    <row r="3139" spans="1:16" ht="18.75" hidden="1">
      <c r="A3139" s="50" t="s">
        <v>8637</v>
      </c>
      <c r="B3139" s="50" t="s">
        <v>8627</v>
      </c>
      <c r="C3139" s="50" t="s">
        <v>8498</v>
      </c>
      <c r="D3139" s="50" t="s">
        <v>6312</v>
      </c>
      <c r="E3139" s="12" t="s">
        <v>4971</v>
      </c>
      <c r="F3139" s="49">
        <v>400000</v>
      </c>
      <c r="G3139" s="78" t="s">
        <v>5631</v>
      </c>
      <c r="H3139" s="14" t="s">
        <v>5601</v>
      </c>
      <c r="I3139" s="14" t="s">
        <v>2458</v>
      </c>
      <c r="J3139" s="33" t="s">
        <v>7110</v>
      </c>
      <c r="K3139" s="33" t="s">
        <v>8621</v>
      </c>
      <c r="L3139" s="79" t="s">
        <v>6054</v>
      </c>
      <c r="M3139" s="68" t="s">
        <v>8913</v>
      </c>
      <c r="N3139" s="79" t="s">
        <v>6076</v>
      </c>
      <c r="O3139" s="79">
        <v>55301</v>
      </c>
      <c r="P3139" s="197" t="s">
        <v>7237</v>
      </c>
    </row>
    <row r="3140" spans="1:16" ht="18.75" hidden="1">
      <c r="A3140" s="50" t="s">
        <v>8637</v>
      </c>
      <c r="B3140" s="50" t="s">
        <v>8627</v>
      </c>
      <c r="C3140" s="50" t="s">
        <v>7257</v>
      </c>
      <c r="D3140" s="50" t="s">
        <v>6302</v>
      </c>
      <c r="E3140" s="12" t="s">
        <v>4971</v>
      </c>
      <c r="F3140" s="49">
        <v>205450</v>
      </c>
      <c r="G3140" s="78" t="s">
        <v>5631</v>
      </c>
      <c r="H3140" s="14" t="s">
        <v>5601</v>
      </c>
      <c r="I3140" s="14" t="s">
        <v>2458</v>
      </c>
      <c r="J3140" s="33" t="s">
        <v>7110</v>
      </c>
      <c r="K3140" s="33" t="s">
        <v>8621</v>
      </c>
      <c r="L3140" s="79" t="s">
        <v>6054</v>
      </c>
      <c r="M3140" s="68" t="s">
        <v>8913</v>
      </c>
      <c r="N3140" s="79" t="s">
        <v>6076</v>
      </c>
      <c r="O3140" s="79">
        <v>55301</v>
      </c>
      <c r="P3140" s="197" t="s">
        <v>5836</v>
      </c>
    </row>
    <row r="3141" spans="1:16" ht="18.75" hidden="1">
      <c r="A3141" s="50" t="s">
        <v>8640</v>
      </c>
      <c r="B3141" s="50" t="s">
        <v>8629</v>
      </c>
      <c r="C3141" s="50" t="s">
        <v>6028</v>
      </c>
      <c r="D3141" s="50" t="s">
        <v>5849</v>
      </c>
      <c r="E3141" s="12" t="s">
        <v>4971</v>
      </c>
      <c r="F3141" s="49">
        <v>57090</v>
      </c>
      <c r="G3141" s="78" t="s">
        <v>5631</v>
      </c>
      <c r="H3141" s="14" t="s">
        <v>5601</v>
      </c>
      <c r="I3141" s="14" t="s">
        <v>2458</v>
      </c>
      <c r="J3141" s="33" t="s">
        <v>7110</v>
      </c>
      <c r="K3141" s="33" t="s">
        <v>8621</v>
      </c>
      <c r="L3141" s="79" t="s">
        <v>6054</v>
      </c>
      <c r="M3141" s="68" t="s">
        <v>8912</v>
      </c>
      <c r="N3141" s="79" t="s">
        <v>6076</v>
      </c>
      <c r="O3141" s="79">
        <v>55301</v>
      </c>
      <c r="P3141" s="197" t="s">
        <v>5818</v>
      </c>
    </row>
    <row r="3142" spans="1:16" ht="18.75" hidden="1">
      <c r="A3142" s="50" t="s">
        <v>8640</v>
      </c>
      <c r="B3142" s="50" t="s">
        <v>8629</v>
      </c>
      <c r="C3142" s="50" t="s">
        <v>6029</v>
      </c>
      <c r="D3142" s="50" t="s">
        <v>5849</v>
      </c>
      <c r="E3142" s="12" t="s">
        <v>4971</v>
      </c>
      <c r="F3142" s="49">
        <v>16680</v>
      </c>
      <c r="G3142" s="78" t="s">
        <v>5631</v>
      </c>
      <c r="H3142" s="14" t="s">
        <v>5601</v>
      </c>
      <c r="I3142" s="14" t="s">
        <v>2458</v>
      </c>
      <c r="J3142" s="33" t="s">
        <v>7110</v>
      </c>
      <c r="K3142" s="33" t="s">
        <v>8621</v>
      </c>
      <c r="L3142" s="79" t="s">
        <v>6054</v>
      </c>
      <c r="M3142" s="68" t="s">
        <v>8912</v>
      </c>
      <c r="N3142" s="79" t="s">
        <v>6076</v>
      </c>
      <c r="O3142" s="79">
        <v>55301</v>
      </c>
      <c r="P3142" s="197" t="s">
        <v>5818</v>
      </c>
    </row>
    <row r="3143" spans="1:16" ht="18.75" hidden="1">
      <c r="A3143" s="50" t="s">
        <v>8641</v>
      </c>
      <c r="B3143" s="50" t="s">
        <v>8618</v>
      </c>
      <c r="C3143" s="50" t="s">
        <v>8498</v>
      </c>
      <c r="D3143" s="50" t="s">
        <v>6312</v>
      </c>
      <c r="E3143" s="12" t="s">
        <v>4971</v>
      </c>
      <c r="F3143" s="49">
        <v>100000</v>
      </c>
      <c r="G3143" s="78" t="s">
        <v>5631</v>
      </c>
      <c r="H3143" s="14" t="s">
        <v>5601</v>
      </c>
      <c r="I3143" s="14" t="s">
        <v>2458</v>
      </c>
      <c r="J3143" s="33" t="s">
        <v>7110</v>
      </c>
      <c r="K3143" s="33" t="s">
        <v>8621</v>
      </c>
      <c r="L3143" s="79" t="s">
        <v>6054</v>
      </c>
      <c r="M3143" s="68" t="s">
        <v>8912</v>
      </c>
      <c r="N3143" s="79" t="s">
        <v>6285</v>
      </c>
      <c r="O3143" s="79">
        <v>55200</v>
      </c>
      <c r="P3143" s="197" t="s">
        <v>7237</v>
      </c>
    </row>
    <row r="3144" spans="1:16" ht="18.75" hidden="1">
      <c r="A3144" s="50" t="s">
        <v>8641</v>
      </c>
      <c r="B3144" s="50" t="s">
        <v>8618</v>
      </c>
      <c r="C3144" s="50" t="s">
        <v>7257</v>
      </c>
      <c r="D3144" s="50" t="s">
        <v>6302</v>
      </c>
      <c r="E3144" s="12" t="s">
        <v>4971</v>
      </c>
      <c r="F3144" s="49">
        <v>117710</v>
      </c>
      <c r="G3144" s="78" t="s">
        <v>5631</v>
      </c>
      <c r="H3144" s="14" t="s">
        <v>5601</v>
      </c>
      <c r="I3144" s="14" t="s">
        <v>2458</v>
      </c>
      <c r="J3144" s="33" t="s">
        <v>7110</v>
      </c>
      <c r="K3144" s="33" t="s">
        <v>8621</v>
      </c>
      <c r="L3144" s="79" t="s">
        <v>6054</v>
      </c>
      <c r="M3144" s="68" t="s">
        <v>8912</v>
      </c>
      <c r="N3144" s="79" t="s">
        <v>6285</v>
      </c>
      <c r="O3144" s="79">
        <v>55200</v>
      </c>
      <c r="P3144" s="197" t="s">
        <v>5836</v>
      </c>
    </row>
    <row r="3145" spans="1:16" ht="18.75" hidden="1">
      <c r="A3145" s="50" t="s">
        <v>8642</v>
      </c>
      <c r="B3145" s="50" t="s">
        <v>8631</v>
      </c>
      <c r="C3145" s="50" t="s">
        <v>7249</v>
      </c>
      <c r="D3145" s="50" t="s">
        <v>6337</v>
      </c>
      <c r="E3145" s="12" t="s">
        <v>4971</v>
      </c>
      <c r="F3145" s="49">
        <v>23900</v>
      </c>
      <c r="G3145" s="78" t="s">
        <v>5607</v>
      </c>
      <c r="H3145" s="14" t="s">
        <v>5601</v>
      </c>
      <c r="I3145" s="14" t="s">
        <v>2458</v>
      </c>
      <c r="J3145" s="33" t="s">
        <v>7110</v>
      </c>
      <c r="K3145" s="33" t="s">
        <v>8621</v>
      </c>
      <c r="L3145" s="79" t="s">
        <v>6054</v>
      </c>
      <c r="M3145" s="68" t="s">
        <v>8913</v>
      </c>
      <c r="N3145" s="79" t="s">
        <v>6076</v>
      </c>
      <c r="O3145" s="79">
        <v>55301</v>
      </c>
      <c r="P3145" s="198" t="s">
        <v>7233</v>
      </c>
    </row>
    <row r="3146" spans="1:16" ht="18.75" hidden="1">
      <c r="A3146" s="50" t="s">
        <v>8643</v>
      </c>
      <c r="B3146" s="50" t="s">
        <v>8631</v>
      </c>
      <c r="C3146" s="50" t="s">
        <v>5596</v>
      </c>
      <c r="D3146" s="50" t="s">
        <v>5459</v>
      </c>
      <c r="E3146" s="12" t="s">
        <v>4971</v>
      </c>
      <c r="F3146" s="49">
        <v>92610</v>
      </c>
      <c r="G3146" s="78" t="s">
        <v>5611</v>
      </c>
      <c r="H3146" s="14" t="s">
        <v>5601</v>
      </c>
      <c r="I3146" s="14" t="s">
        <v>2458</v>
      </c>
      <c r="J3146" s="33" t="s">
        <v>7110</v>
      </c>
      <c r="K3146" s="33" t="s">
        <v>8621</v>
      </c>
      <c r="L3146" s="79" t="s">
        <v>6054</v>
      </c>
      <c r="M3146" s="68" t="s">
        <v>8912</v>
      </c>
      <c r="N3146" s="79" t="s">
        <v>6076</v>
      </c>
      <c r="O3146" s="79">
        <v>55301</v>
      </c>
      <c r="P3146" s="198" t="s">
        <v>5815</v>
      </c>
    </row>
    <row r="3147" spans="1:16" ht="18.75" hidden="1">
      <c r="A3147" s="50" t="s">
        <v>8644</v>
      </c>
      <c r="B3147" s="50" t="s">
        <v>8645</v>
      </c>
      <c r="C3147" s="50" t="s">
        <v>6009</v>
      </c>
      <c r="D3147" s="50" t="s">
        <v>5843</v>
      </c>
      <c r="E3147" s="12" t="s">
        <v>4971</v>
      </c>
      <c r="F3147" s="49">
        <v>73740</v>
      </c>
      <c r="G3147" s="78" t="s">
        <v>5631</v>
      </c>
      <c r="H3147" s="14" t="s">
        <v>5601</v>
      </c>
      <c r="I3147" s="14" t="s">
        <v>2458</v>
      </c>
      <c r="J3147" s="33" t="s">
        <v>7110</v>
      </c>
      <c r="K3147" s="33" t="s">
        <v>8621</v>
      </c>
      <c r="L3147" s="79" t="s">
        <v>6054</v>
      </c>
      <c r="M3147" s="68" t="s">
        <v>8912</v>
      </c>
      <c r="N3147" s="79" t="s">
        <v>6286</v>
      </c>
      <c r="O3147" s="79">
        <v>55107</v>
      </c>
      <c r="P3147" s="197" t="s">
        <v>5820</v>
      </c>
    </row>
    <row r="3148" spans="1:16" ht="18.75" hidden="1">
      <c r="A3148" s="50" t="s">
        <v>8646</v>
      </c>
      <c r="B3148" s="50" t="s">
        <v>8627</v>
      </c>
      <c r="C3148" s="50" t="s">
        <v>7257</v>
      </c>
      <c r="D3148" s="50" t="s">
        <v>6302</v>
      </c>
      <c r="E3148" s="12" t="s">
        <v>4971</v>
      </c>
      <c r="F3148" s="49">
        <v>11510</v>
      </c>
      <c r="G3148" s="78" t="s">
        <v>5631</v>
      </c>
      <c r="H3148" s="14" t="s">
        <v>5601</v>
      </c>
      <c r="I3148" s="14" t="s">
        <v>2458</v>
      </c>
      <c r="J3148" s="33" t="s">
        <v>7110</v>
      </c>
      <c r="K3148" s="33" t="s">
        <v>8621</v>
      </c>
      <c r="L3148" s="79" t="s">
        <v>6054</v>
      </c>
      <c r="M3148" s="68" t="s">
        <v>8912</v>
      </c>
      <c r="N3148" s="79" t="s">
        <v>6076</v>
      </c>
      <c r="O3148" s="79">
        <v>55301</v>
      </c>
      <c r="P3148" s="197" t="s">
        <v>5836</v>
      </c>
    </row>
    <row r="3149" spans="1:16" ht="18.75" hidden="1">
      <c r="A3149" s="50" t="s">
        <v>8647</v>
      </c>
      <c r="B3149" s="50" t="s">
        <v>8629</v>
      </c>
      <c r="C3149" s="50" t="s">
        <v>5881</v>
      </c>
      <c r="D3149" s="50" t="s">
        <v>5556</v>
      </c>
      <c r="E3149" s="12" t="s">
        <v>4971</v>
      </c>
      <c r="F3149" s="49">
        <v>51660</v>
      </c>
      <c r="G3149" s="78" t="s">
        <v>5611</v>
      </c>
      <c r="H3149" s="14" t="s">
        <v>5601</v>
      </c>
      <c r="I3149" s="14" t="s">
        <v>2458</v>
      </c>
      <c r="J3149" s="33" t="s">
        <v>7110</v>
      </c>
      <c r="K3149" s="33" t="s">
        <v>8621</v>
      </c>
      <c r="L3149" s="79" t="s">
        <v>6054</v>
      </c>
      <c r="M3149" s="68" t="s">
        <v>8912</v>
      </c>
      <c r="N3149" s="79" t="s">
        <v>6285</v>
      </c>
      <c r="O3149" s="79">
        <v>55200</v>
      </c>
      <c r="P3149" s="198" t="s">
        <v>5810</v>
      </c>
    </row>
    <row r="3150" spans="1:16" ht="18.75" hidden="1">
      <c r="A3150" s="50" t="s">
        <v>8647</v>
      </c>
      <c r="B3150" s="50" t="s">
        <v>8629</v>
      </c>
      <c r="C3150" s="50" t="s">
        <v>5917</v>
      </c>
      <c r="D3150" s="50" t="s">
        <v>5447</v>
      </c>
      <c r="E3150" s="12" t="s">
        <v>4971</v>
      </c>
      <c r="F3150" s="49">
        <v>48460</v>
      </c>
      <c r="G3150" s="78" t="s">
        <v>5611</v>
      </c>
      <c r="H3150" s="14" t="s">
        <v>5601</v>
      </c>
      <c r="I3150" s="14" t="s">
        <v>2458</v>
      </c>
      <c r="J3150" s="33" t="s">
        <v>7110</v>
      </c>
      <c r="K3150" s="33" t="s">
        <v>8621</v>
      </c>
      <c r="L3150" s="79" t="s">
        <v>6054</v>
      </c>
      <c r="M3150" s="68" t="s">
        <v>8912</v>
      </c>
      <c r="N3150" s="79" t="s">
        <v>6285</v>
      </c>
      <c r="O3150" s="79">
        <v>55200</v>
      </c>
      <c r="P3150" s="198" t="s">
        <v>5813</v>
      </c>
    </row>
    <row r="3151" spans="1:16" ht="18.75" hidden="1">
      <c r="A3151" s="50" t="s">
        <v>8646</v>
      </c>
      <c r="B3151" s="50" t="s">
        <v>8627</v>
      </c>
      <c r="C3151" s="50" t="s">
        <v>6029</v>
      </c>
      <c r="D3151" s="50" t="s">
        <v>5849</v>
      </c>
      <c r="E3151" s="12" t="s">
        <v>4971</v>
      </c>
      <c r="F3151" s="49">
        <v>177560</v>
      </c>
      <c r="G3151" s="78" t="s">
        <v>5631</v>
      </c>
      <c r="H3151" s="14" t="s">
        <v>5601</v>
      </c>
      <c r="I3151" s="14" t="s">
        <v>2458</v>
      </c>
      <c r="J3151" s="33" t="s">
        <v>7110</v>
      </c>
      <c r="K3151" s="33" t="s">
        <v>8621</v>
      </c>
      <c r="L3151" s="79" t="s">
        <v>6054</v>
      </c>
      <c r="M3151" s="68" t="s">
        <v>8912</v>
      </c>
      <c r="N3151" s="79" t="s">
        <v>6076</v>
      </c>
      <c r="O3151" s="79">
        <v>55301</v>
      </c>
      <c r="P3151" s="197" t="s">
        <v>5818</v>
      </c>
    </row>
    <row r="3152" spans="1:16" ht="18.75" hidden="1">
      <c r="A3152" s="50" t="s">
        <v>8642</v>
      </c>
      <c r="B3152" s="50" t="s">
        <v>8631</v>
      </c>
      <c r="C3152" s="50" t="s">
        <v>5933</v>
      </c>
      <c r="D3152" s="50" t="s">
        <v>5460</v>
      </c>
      <c r="E3152" s="12" t="s">
        <v>4971</v>
      </c>
      <c r="F3152" s="49">
        <v>23400</v>
      </c>
      <c r="G3152" s="78" t="s">
        <v>5611</v>
      </c>
      <c r="H3152" s="14" t="s">
        <v>5601</v>
      </c>
      <c r="I3152" s="14" t="s">
        <v>2458</v>
      </c>
      <c r="J3152" s="33" t="s">
        <v>7110</v>
      </c>
      <c r="K3152" s="33" t="s">
        <v>8621</v>
      </c>
      <c r="L3152" s="79" t="s">
        <v>6054</v>
      </c>
      <c r="M3152" s="68" t="s">
        <v>8913</v>
      </c>
      <c r="N3152" s="79" t="s">
        <v>6076</v>
      </c>
      <c r="O3152" s="79">
        <v>55301</v>
      </c>
      <c r="P3152" s="198" t="s">
        <v>5814</v>
      </c>
    </row>
    <row r="3153" spans="1:16" ht="18.75" hidden="1">
      <c r="A3153" s="50" t="s">
        <v>8647</v>
      </c>
      <c r="B3153" s="50" t="s">
        <v>8629</v>
      </c>
      <c r="C3153" s="50" t="s">
        <v>5888</v>
      </c>
      <c r="D3153" s="50" t="s">
        <v>5565</v>
      </c>
      <c r="E3153" s="12" t="s">
        <v>4971</v>
      </c>
      <c r="F3153" s="49">
        <v>100000</v>
      </c>
      <c r="G3153" s="78" t="s">
        <v>5611</v>
      </c>
      <c r="H3153" s="14" t="s">
        <v>5601</v>
      </c>
      <c r="I3153" s="14" t="s">
        <v>2458</v>
      </c>
      <c r="J3153" s="33" t="s">
        <v>7110</v>
      </c>
      <c r="K3153" s="33" t="s">
        <v>8621</v>
      </c>
      <c r="L3153" s="79" t="s">
        <v>6054</v>
      </c>
      <c r="M3153" s="68" t="s">
        <v>8912</v>
      </c>
      <c r="N3153" s="79" t="s">
        <v>6285</v>
      </c>
      <c r="O3153" s="79">
        <v>55200</v>
      </c>
      <c r="P3153" s="198" t="s">
        <v>5815</v>
      </c>
    </row>
    <row r="3154" spans="1:16" ht="18.75" hidden="1">
      <c r="A3154" s="50" t="s">
        <v>8648</v>
      </c>
      <c r="B3154" s="50" t="s">
        <v>8636</v>
      </c>
      <c r="C3154" s="50" t="s">
        <v>7249</v>
      </c>
      <c r="D3154" s="50" t="s">
        <v>6337</v>
      </c>
      <c r="E3154" s="12" t="s">
        <v>4971</v>
      </c>
      <c r="F3154" s="49">
        <v>126170</v>
      </c>
      <c r="G3154" s="78" t="s">
        <v>5607</v>
      </c>
      <c r="H3154" s="14" t="s">
        <v>5601</v>
      </c>
      <c r="I3154" s="14" t="s">
        <v>2458</v>
      </c>
      <c r="J3154" s="33" t="s">
        <v>7110</v>
      </c>
      <c r="K3154" s="33" t="s">
        <v>8621</v>
      </c>
      <c r="L3154" s="79" t="s">
        <v>6054</v>
      </c>
      <c r="M3154" s="68" t="s">
        <v>8912</v>
      </c>
      <c r="N3154" s="79" t="s">
        <v>6285</v>
      </c>
      <c r="O3154" s="79">
        <v>55200</v>
      </c>
      <c r="P3154" s="198" t="s">
        <v>7233</v>
      </c>
    </row>
    <row r="3155" spans="1:16" ht="18.75" hidden="1">
      <c r="A3155" s="50" t="s">
        <v>8643</v>
      </c>
      <c r="B3155" s="50" t="s">
        <v>8631</v>
      </c>
      <c r="C3155" s="50" t="s">
        <v>5595</v>
      </c>
      <c r="D3155" s="50" t="s">
        <v>5561</v>
      </c>
      <c r="E3155" s="12" t="s">
        <v>4971</v>
      </c>
      <c r="F3155" s="49">
        <v>29580</v>
      </c>
      <c r="G3155" s="78" t="s">
        <v>5611</v>
      </c>
      <c r="H3155" s="14" t="s">
        <v>5601</v>
      </c>
      <c r="I3155" s="14" t="s">
        <v>2458</v>
      </c>
      <c r="J3155" s="33" t="s">
        <v>7110</v>
      </c>
      <c r="K3155" s="33" t="s">
        <v>8621</v>
      </c>
      <c r="L3155" s="79" t="s">
        <v>6054</v>
      </c>
      <c r="M3155" s="68" t="s">
        <v>8912</v>
      </c>
      <c r="N3155" s="79" t="s">
        <v>6076</v>
      </c>
      <c r="O3155" s="79">
        <v>55301</v>
      </c>
      <c r="P3155" s="198" t="s">
        <v>5815</v>
      </c>
    </row>
    <row r="3156" spans="1:16" ht="18.75" hidden="1">
      <c r="A3156" s="50" t="s">
        <v>8647</v>
      </c>
      <c r="B3156" s="50" t="s">
        <v>8629</v>
      </c>
      <c r="C3156" s="50" t="s">
        <v>5891</v>
      </c>
      <c r="D3156" s="50" t="s">
        <v>5564</v>
      </c>
      <c r="E3156" s="12" t="s">
        <v>4971</v>
      </c>
      <c r="F3156" s="49">
        <v>78890</v>
      </c>
      <c r="G3156" s="78" t="s">
        <v>5611</v>
      </c>
      <c r="H3156" s="14" t="s">
        <v>5601</v>
      </c>
      <c r="I3156" s="14" t="s">
        <v>2458</v>
      </c>
      <c r="J3156" s="33" t="s">
        <v>7110</v>
      </c>
      <c r="K3156" s="33" t="s">
        <v>8621</v>
      </c>
      <c r="L3156" s="79" t="s">
        <v>6054</v>
      </c>
      <c r="M3156" s="68" t="s">
        <v>8912</v>
      </c>
      <c r="N3156" s="79" t="s">
        <v>6285</v>
      </c>
      <c r="O3156" s="79">
        <v>55200</v>
      </c>
      <c r="P3156" s="198" t="s">
        <v>5813</v>
      </c>
    </row>
    <row r="3157" spans="1:16" ht="18.75" hidden="1">
      <c r="A3157" s="50" t="s">
        <v>8648</v>
      </c>
      <c r="B3157" s="50" t="s">
        <v>8636</v>
      </c>
      <c r="C3157" s="50" t="s">
        <v>7257</v>
      </c>
      <c r="D3157" s="50" t="s">
        <v>6302</v>
      </c>
      <c r="E3157" s="12" t="s">
        <v>4971</v>
      </c>
      <c r="F3157" s="49">
        <v>14040</v>
      </c>
      <c r="G3157" s="78" t="s">
        <v>5631</v>
      </c>
      <c r="H3157" s="14" t="s">
        <v>5601</v>
      </c>
      <c r="I3157" s="14" t="s">
        <v>2458</v>
      </c>
      <c r="J3157" s="33" t="s">
        <v>7110</v>
      </c>
      <c r="K3157" s="33" t="s">
        <v>8621</v>
      </c>
      <c r="L3157" s="79" t="s">
        <v>6054</v>
      </c>
      <c r="M3157" s="68" t="s">
        <v>8912</v>
      </c>
      <c r="N3157" s="79" t="s">
        <v>6285</v>
      </c>
      <c r="O3157" s="79">
        <v>55200</v>
      </c>
      <c r="P3157" s="197" t="s">
        <v>5836</v>
      </c>
    </row>
    <row r="3158" spans="1:16" ht="18.75" hidden="1">
      <c r="A3158" s="50" t="s">
        <v>8649</v>
      </c>
      <c r="B3158" s="50" t="s">
        <v>8650</v>
      </c>
      <c r="C3158" s="50" t="s">
        <v>7275</v>
      </c>
      <c r="D3158" s="50" t="s">
        <v>6410</v>
      </c>
      <c r="E3158" s="12" t="s">
        <v>4971</v>
      </c>
      <c r="F3158" s="49">
        <v>29120</v>
      </c>
      <c r="G3158" s="78" t="s">
        <v>5631</v>
      </c>
      <c r="H3158" s="14" t="s">
        <v>5601</v>
      </c>
      <c r="I3158" s="14" t="s">
        <v>2458</v>
      </c>
      <c r="J3158" s="33" t="s">
        <v>7110</v>
      </c>
      <c r="K3158" s="33" t="s">
        <v>8621</v>
      </c>
      <c r="L3158" s="79" t="s">
        <v>6054</v>
      </c>
      <c r="M3158" s="68" t="s">
        <v>8913</v>
      </c>
      <c r="N3158" s="79" t="s">
        <v>6076</v>
      </c>
      <c r="O3158" s="79">
        <v>55301</v>
      </c>
      <c r="P3158" s="197" t="s">
        <v>5836</v>
      </c>
    </row>
    <row r="3159" spans="1:16" ht="18.75" hidden="1">
      <c r="A3159" s="50" t="s">
        <v>8651</v>
      </c>
      <c r="B3159" s="50" t="s">
        <v>8627</v>
      </c>
      <c r="C3159" s="50" t="s">
        <v>6003</v>
      </c>
      <c r="D3159" s="50" t="s">
        <v>5840</v>
      </c>
      <c r="E3159" s="12" t="s">
        <v>4971</v>
      </c>
      <c r="F3159" s="49">
        <v>115840</v>
      </c>
      <c r="G3159" s="78" t="s">
        <v>5609</v>
      </c>
      <c r="H3159" s="14" t="s">
        <v>5601</v>
      </c>
      <c r="I3159" s="14" t="s">
        <v>2458</v>
      </c>
      <c r="J3159" s="33" t="s">
        <v>7110</v>
      </c>
      <c r="K3159" s="33" t="s">
        <v>8621</v>
      </c>
      <c r="L3159" s="79" t="s">
        <v>6054</v>
      </c>
      <c r="M3159" s="68" t="s">
        <v>8912</v>
      </c>
      <c r="N3159" s="79" t="s">
        <v>6285</v>
      </c>
      <c r="O3159" s="79">
        <v>55200</v>
      </c>
      <c r="P3159" s="198" t="s">
        <v>5822</v>
      </c>
    </row>
    <row r="3160" spans="1:16" ht="18.75" hidden="1">
      <c r="A3160" s="50" t="s">
        <v>8648</v>
      </c>
      <c r="B3160" s="50" t="s">
        <v>8636</v>
      </c>
      <c r="C3160" s="50" t="s">
        <v>7238</v>
      </c>
      <c r="D3160" s="50" t="s">
        <v>6323</v>
      </c>
      <c r="E3160" s="12" t="s">
        <v>4971</v>
      </c>
      <c r="F3160" s="49">
        <v>35190</v>
      </c>
      <c r="G3160" s="78" t="s">
        <v>5631</v>
      </c>
      <c r="H3160" s="14" t="s">
        <v>5601</v>
      </c>
      <c r="I3160" s="14" t="s">
        <v>2458</v>
      </c>
      <c r="J3160" s="33" t="s">
        <v>7110</v>
      </c>
      <c r="K3160" s="33" t="s">
        <v>8621</v>
      </c>
      <c r="L3160" s="79" t="s">
        <v>6054</v>
      </c>
      <c r="M3160" s="68" t="s">
        <v>8912</v>
      </c>
      <c r="N3160" s="79" t="s">
        <v>6285</v>
      </c>
      <c r="O3160" s="79">
        <v>55200</v>
      </c>
      <c r="P3160" s="197" t="s">
        <v>5836</v>
      </c>
    </row>
    <row r="3161" spans="1:16" ht="18.75" hidden="1">
      <c r="A3161" s="50" t="s">
        <v>8652</v>
      </c>
      <c r="B3161" s="50" t="s">
        <v>8619</v>
      </c>
      <c r="C3161" s="50" t="s">
        <v>5576</v>
      </c>
      <c r="D3161" s="50" t="s">
        <v>5561</v>
      </c>
      <c r="E3161" s="12" t="s">
        <v>4971</v>
      </c>
      <c r="F3161" s="49">
        <v>74480</v>
      </c>
      <c r="G3161" s="78" t="s">
        <v>5611</v>
      </c>
      <c r="H3161" s="14" t="s">
        <v>5601</v>
      </c>
      <c r="I3161" s="14" t="s">
        <v>2458</v>
      </c>
      <c r="J3161" s="33" t="s">
        <v>7110</v>
      </c>
      <c r="K3161" s="33" t="s">
        <v>8621</v>
      </c>
      <c r="L3161" s="79" t="s">
        <v>6054</v>
      </c>
      <c r="M3161" s="68" t="s">
        <v>8912</v>
      </c>
      <c r="N3161" s="79" t="s">
        <v>6285</v>
      </c>
      <c r="O3161" s="79">
        <v>55200</v>
      </c>
      <c r="P3161" s="198" t="s">
        <v>5815</v>
      </c>
    </row>
    <row r="3162" spans="1:16" ht="18.75" hidden="1">
      <c r="A3162" s="50" t="s">
        <v>8653</v>
      </c>
      <c r="B3162" s="50" t="s">
        <v>8650</v>
      </c>
      <c r="C3162" s="50" t="s">
        <v>5595</v>
      </c>
      <c r="D3162" s="50" t="s">
        <v>5561</v>
      </c>
      <c r="E3162" s="12" t="s">
        <v>4971</v>
      </c>
      <c r="F3162" s="49">
        <v>76440</v>
      </c>
      <c r="G3162" s="78" t="s">
        <v>5611</v>
      </c>
      <c r="H3162" s="14" t="s">
        <v>5601</v>
      </c>
      <c r="I3162" s="14" t="s">
        <v>2458</v>
      </c>
      <c r="J3162" s="33" t="s">
        <v>7110</v>
      </c>
      <c r="K3162" s="33" t="s">
        <v>8621</v>
      </c>
      <c r="L3162" s="79" t="s">
        <v>6054</v>
      </c>
      <c r="M3162" s="68" t="s">
        <v>8912</v>
      </c>
      <c r="N3162" s="79" t="s">
        <v>6286</v>
      </c>
      <c r="O3162" s="79">
        <v>55107</v>
      </c>
      <c r="P3162" s="198" t="s">
        <v>5815</v>
      </c>
    </row>
    <row r="3163" spans="1:16" ht="18.75" hidden="1">
      <c r="A3163" s="50" t="s">
        <v>8654</v>
      </c>
      <c r="B3163" s="50" t="s">
        <v>8629</v>
      </c>
      <c r="C3163" s="50" t="s">
        <v>8505</v>
      </c>
      <c r="D3163" s="50" t="s">
        <v>8616</v>
      </c>
      <c r="E3163" s="12" t="s">
        <v>4971</v>
      </c>
      <c r="F3163" s="49">
        <v>23200</v>
      </c>
      <c r="G3163" s="78" t="s">
        <v>8506</v>
      </c>
      <c r="H3163" s="14" t="s">
        <v>5601</v>
      </c>
      <c r="I3163" s="14" t="s">
        <v>2458</v>
      </c>
      <c r="J3163" s="33" t="s">
        <v>7110</v>
      </c>
      <c r="K3163" s="33" t="s">
        <v>8621</v>
      </c>
      <c r="L3163" s="79" t="s">
        <v>6055</v>
      </c>
      <c r="M3163" s="68" t="s">
        <v>8913</v>
      </c>
      <c r="N3163" s="79" t="s">
        <v>6287</v>
      </c>
      <c r="O3163" s="79">
        <v>25401</v>
      </c>
      <c r="P3163" s="198" t="s">
        <v>8507</v>
      </c>
    </row>
    <row r="3164" spans="1:16" ht="18.75" hidden="1">
      <c r="A3164" s="50" t="s">
        <v>8649</v>
      </c>
      <c r="B3164" s="50" t="s">
        <v>8650</v>
      </c>
      <c r="C3164" s="50" t="s">
        <v>5595</v>
      </c>
      <c r="D3164" s="50" t="s">
        <v>5561</v>
      </c>
      <c r="E3164" s="12" t="s">
        <v>4971</v>
      </c>
      <c r="F3164" s="49">
        <v>43520</v>
      </c>
      <c r="G3164" s="78" t="s">
        <v>5611</v>
      </c>
      <c r="H3164" s="14" t="s">
        <v>5601</v>
      </c>
      <c r="I3164" s="14" t="s">
        <v>2458</v>
      </c>
      <c r="J3164" s="33" t="s">
        <v>7110</v>
      </c>
      <c r="K3164" s="33" t="s">
        <v>8621</v>
      </c>
      <c r="L3164" s="79" t="s">
        <v>6054</v>
      </c>
      <c r="M3164" s="68" t="s">
        <v>8913</v>
      </c>
      <c r="N3164" s="79" t="s">
        <v>6076</v>
      </c>
      <c r="O3164" s="79">
        <v>55301</v>
      </c>
      <c r="P3164" s="198" t="s">
        <v>5815</v>
      </c>
    </row>
    <row r="3165" spans="1:16" ht="18.75" hidden="1">
      <c r="A3165" s="50" t="s">
        <v>8655</v>
      </c>
      <c r="B3165" s="50" t="s">
        <v>8650</v>
      </c>
      <c r="C3165" s="50" t="s">
        <v>5595</v>
      </c>
      <c r="D3165" s="50" t="s">
        <v>5561</v>
      </c>
      <c r="E3165" s="12" t="s">
        <v>4971</v>
      </c>
      <c r="F3165" s="49">
        <v>49230</v>
      </c>
      <c r="G3165" s="78" t="s">
        <v>5611</v>
      </c>
      <c r="H3165" s="14" t="s">
        <v>5601</v>
      </c>
      <c r="I3165" s="14" t="s">
        <v>2458</v>
      </c>
      <c r="J3165" s="33" t="s">
        <v>7110</v>
      </c>
      <c r="K3165" s="33" t="s">
        <v>8621</v>
      </c>
      <c r="L3165" s="79" t="s">
        <v>6054</v>
      </c>
      <c r="M3165" s="68" t="s">
        <v>8913</v>
      </c>
      <c r="N3165" s="79" t="s">
        <v>6286</v>
      </c>
      <c r="O3165" s="79">
        <v>55107</v>
      </c>
      <c r="P3165" s="198" t="s">
        <v>5815</v>
      </c>
    </row>
    <row r="3166" spans="1:16" ht="18.75" hidden="1">
      <c r="A3166" s="50" t="s">
        <v>8651</v>
      </c>
      <c r="B3166" s="50" t="s">
        <v>8627</v>
      </c>
      <c r="C3166" s="50" t="s">
        <v>8499</v>
      </c>
      <c r="D3166" s="50" t="s">
        <v>6379</v>
      </c>
      <c r="E3166" s="12" t="s">
        <v>4971</v>
      </c>
      <c r="F3166" s="49">
        <v>50000</v>
      </c>
      <c r="G3166" s="78" t="s">
        <v>5631</v>
      </c>
      <c r="H3166" s="14" t="s">
        <v>5601</v>
      </c>
      <c r="I3166" s="14" t="s">
        <v>2458</v>
      </c>
      <c r="J3166" s="33" t="s">
        <v>7110</v>
      </c>
      <c r="K3166" s="33" t="s">
        <v>8621</v>
      </c>
      <c r="L3166" s="79" t="s">
        <v>6054</v>
      </c>
      <c r="M3166" s="68" t="s">
        <v>8912</v>
      </c>
      <c r="N3166" s="79" t="s">
        <v>6285</v>
      </c>
      <c r="O3166" s="79">
        <v>55200</v>
      </c>
      <c r="P3166" s="197" t="s">
        <v>5836</v>
      </c>
    </row>
    <row r="3167" spans="1:16" ht="18.75" hidden="1">
      <c r="A3167" s="50" t="s">
        <v>8651</v>
      </c>
      <c r="B3167" s="50" t="s">
        <v>8627</v>
      </c>
      <c r="C3167" s="50" t="s">
        <v>5918</v>
      </c>
      <c r="D3167" s="50" t="s">
        <v>5483</v>
      </c>
      <c r="E3167" s="12" t="s">
        <v>4971</v>
      </c>
      <c r="F3167" s="49">
        <v>150000</v>
      </c>
      <c r="G3167" s="78" t="s">
        <v>5609</v>
      </c>
      <c r="H3167" s="14" t="s">
        <v>5601</v>
      </c>
      <c r="I3167" s="14" t="s">
        <v>2458</v>
      </c>
      <c r="J3167" s="33" t="s">
        <v>7110</v>
      </c>
      <c r="K3167" s="33" t="s">
        <v>8621</v>
      </c>
      <c r="L3167" s="79" t="s">
        <v>6054</v>
      </c>
      <c r="M3167" s="68" t="s">
        <v>8912</v>
      </c>
      <c r="N3167" s="79" t="s">
        <v>6285</v>
      </c>
      <c r="O3167" s="79">
        <v>55200</v>
      </c>
      <c r="P3167" s="198" t="s">
        <v>5822</v>
      </c>
    </row>
    <row r="3168" spans="1:16" ht="18.75" hidden="1">
      <c r="A3168" s="50" t="s">
        <v>8655</v>
      </c>
      <c r="B3168" s="50" t="s">
        <v>8650</v>
      </c>
      <c r="C3168" s="50" t="s">
        <v>5933</v>
      </c>
      <c r="D3168" s="50" t="s">
        <v>5460</v>
      </c>
      <c r="E3168" s="12" t="s">
        <v>4971</v>
      </c>
      <c r="F3168" s="49">
        <v>23630</v>
      </c>
      <c r="G3168" s="78" t="s">
        <v>5611</v>
      </c>
      <c r="H3168" s="14" t="s">
        <v>5601</v>
      </c>
      <c r="I3168" s="14" t="s">
        <v>2458</v>
      </c>
      <c r="J3168" s="33" t="s">
        <v>7110</v>
      </c>
      <c r="K3168" s="33" t="s">
        <v>8621</v>
      </c>
      <c r="L3168" s="79" t="s">
        <v>6054</v>
      </c>
      <c r="M3168" s="68" t="s">
        <v>8913</v>
      </c>
      <c r="N3168" s="79" t="s">
        <v>6286</v>
      </c>
      <c r="O3168" s="79">
        <v>55107</v>
      </c>
      <c r="P3168" s="198" t="s">
        <v>5814</v>
      </c>
    </row>
    <row r="3169" spans="1:16" ht="18.75" hidden="1">
      <c r="A3169" s="50" t="s">
        <v>8656</v>
      </c>
      <c r="B3169" s="50" t="s">
        <v>8619</v>
      </c>
      <c r="C3169" s="50" t="s">
        <v>6025</v>
      </c>
      <c r="D3169" s="50" t="s">
        <v>5846</v>
      </c>
      <c r="E3169" s="12" t="s">
        <v>4971</v>
      </c>
      <c r="F3169" s="49">
        <v>120000</v>
      </c>
      <c r="G3169" s="78" t="s">
        <v>5647</v>
      </c>
      <c r="H3169" s="14" t="s">
        <v>5601</v>
      </c>
      <c r="I3169" s="14" t="s">
        <v>2458</v>
      </c>
      <c r="J3169" s="33" t="s">
        <v>7110</v>
      </c>
      <c r="K3169" s="33" t="s">
        <v>8621</v>
      </c>
      <c r="L3169" s="79" t="s">
        <v>6054</v>
      </c>
      <c r="M3169" s="68" t="s">
        <v>8913</v>
      </c>
      <c r="N3169" s="79" t="s">
        <v>6076</v>
      </c>
      <c r="O3169" s="79">
        <v>55301</v>
      </c>
      <c r="P3169" s="198" t="s">
        <v>5847</v>
      </c>
    </row>
    <row r="3170" spans="1:16" ht="18.75" hidden="1">
      <c r="A3170" s="50" t="s">
        <v>8657</v>
      </c>
      <c r="B3170" s="50" t="s">
        <v>8650</v>
      </c>
      <c r="C3170" s="50" t="s">
        <v>6010</v>
      </c>
      <c r="D3170" s="50" t="s">
        <v>5843</v>
      </c>
      <c r="E3170" s="12" t="s">
        <v>4971</v>
      </c>
      <c r="F3170" s="49">
        <v>110000</v>
      </c>
      <c r="G3170" s="78" t="s">
        <v>5631</v>
      </c>
      <c r="H3170" s="14" t="s">
        <v>5601</v>
      </c>
      <c r="I3170" s="14" t="s">
        <v>2458</v>
      </c>
      <c r="J3170" s="33" t="s">
        <v>7110</v>
      </c>
      <c r="K3170" s="33" t="s">
        <v>8621</v>
      </c>
      <c r="L3170" s="79" t="s">
        <v>6054</v>
      </c>
      <c r="M3170" s="68" t="s">
        <v>8912</v>
      </c>
      <c r="N3170" s="79" t="s">
        <v>6076</v>
      </c>
      <c r="O3170" s="79">
        <v>55301</v>
      </c>
      <c r="P3170" s="197" t="s">
        <v>5818</v>
      </c>
    </row>
    <row r="3171" spans="1:16" ht="18.75" hidden="1">
      <c r="A3171" s="50" t="s">
        <v>8657</v>
      </c>
      <c r="B3171" s="50" t="s">
        <v>8650</v>
      </c>
      <c r="C3171" s="50" t="s">
        <v>6028</v>
      </c>
      <c r="D3171" s="50" t="s">
        <v>5849</v>
      </c>
      <c r="E3171" s="12" t="s">
        <v>4971</v>
      </c>
      <c r="F3171" s="49">
        <v>5890</v>
      </c>
      <c r="G3171" s="78" t="s">
        <v>5631</v>
      </c>
      <c r="H3171" s="14" t="s">
        <v>5601</v>
      </c>
      <c r="I3171" s="14" t="s">
        <v>2458</v>
      </c>
      <c r="J3171" s="33" t="s">
        <v>7110</v>
      </c>
      <c r="K3171" s="33" t="s">
        <v>8621</v>
      </c>
      <c r="L3171" s="79" t="s">
        <v>6054</v>
      </c>
      <c r="M3171" s="68" t="s">
        <v>8912</v>
      </c>
      <c r="N3171" s="79" t="s">
        <v>6076</v>
      </c>
      <c r="O3171" s="79">
        <v>55301</v>
      </c>
      <c r="P3171" s="197" t="s">
        <v>5818</v>
      </c>
    </row>
    <row r="3172" spans="1:16" ht="18.75" hidden="1">
      <c r="A3172" s="50" t="s">
        <v>8656</v>
      </c>
      <c r="B3172" s="50" t="s">
        <v>8619</v>
      </c>
      <c r="C3172" s="50" t="s">
        <v>7240</v>
      </c>
      <c r="D3172" s="50" t="s">
        <v>6308</v>
      </c>
      <c r="E3172" s="12" t="s">
        <v>4971</v>
      </c>
      <c r="F3172" s="49">
        <v>94200</v>
      </c>
      <c r="G3172" s="78" t="s">
        <v>5647</v>
      </c>
      <c r="H3172" s="14" t="s">
        <v>5601</v>
      </c>
      <c r="I3172" s="14" t="s">
        <v>2458</v>
      </c>
      <c r="J3172" s="33" t="s">
        <v>7110</v>
      </c>
      <c r="K3172" s="33" t="s">
        <v>8621</v>
      </c>
      <c r="L3172" s="79" t="s">
        <v>6054</v>
      </c>
      <c r="M3172" s="68" t="s">
        <v>8913</v>
      </c>
      <c r="N3172" s="79" t="s">
        <v>6076</v>
      </c>
      <c r="O3172" s="79">
        <v>55301</v>
      </c>
      <c r="P3172" s="198" t="s">
        <v>7241</v>
      </c>
    </row>
    <row r="3173" spans="1:16" ht="18.75" hidden="1">
      <c r="A3173" s="50" t="s">
        <v>8656</v>
      </c>
      <c r="B3173" s="50" t="s">
        <v>8619</v>
      </c>
      <c r="C3173" s="50" t="s">
        <v>8496</v>
      </c>
      <c r="D3173" s="50" t="s">
        <v>6314</v>
      </c>
      <c r="E3173" s="12" t="s">
        <v>4971</v>
      </c>
      <c r="F3173" s="49">
        <v>94320</v>
      </c>
      <c r="G3173" s="78" t="s">
        <v>5607</v>
      </c>
      <c r="H3173" s="14" t="s">
        <v>5601</v>
      </c>
      <c r="I3173" s="14" t="s">
        <v>2458</v>
      </c>
      <c r="J3173" s="33" t="s">
        <v>7110</v>
      </c>
      <c r="K3173" s="33" t="s">
        <v>8621</v>
      </c>
      <c r="L3173" s="79" t="s">
        <v>6054</v>
      </c>
      <c r="M3173" s="68" t="s">
        <v>8913</v>
      </c>
      <c r="N3173" s="79" t="s">
        <v>6076</v>
      </c>
      <c r="O3173" s="79">
        <v>55301</v>
      </c>
      <c r="P3173" s="198" t="s">
        <v>7233</v>
      </c>
    </row>
    <row r="3174" spans="1:16" ht="18.75" hidden="1">
      <c r="A3174" s="50" t="s">
        <v>8656</v>
      </c>
      <c r="B3174" s="50" t="s">
        <v>8619</v>
      </c>
      <c r="C3174" s="50" t="s">
        <v>7249</v>
      </c>
      <c r="D3174" s="50" t="s">
        <v>6337</v>
      </c>
      <c r="E3174" s="12" t="s">
        <v>4971</v>
      </c>
      <c r="F3174" s="49">
        <v>162660</v>
      </c>
      <c r="G3174" s="78" t="s">
        <v>5607</v>
      </c>
      <c r="H3174" s="14" t="s">
        <v>5601</v>
      </c>
      <c r="I3174" s="14" t="s">
        <v>2458</v>
      </c>
      <c r="J3174" s="33" t="s">
        <v>7110</v>
      </c>
      <c r="K3174" s="33" t="s">
        <v>8621</v>
      </c>
      <c r="L3174" s="79" t="s">
        <v>6054</v>
      </c>
      <c r="M3174" s="68" t="s">
        <v>8913</v>
      </c>
      <c r="N3174" s="79" t="s">
        <v>6076</v>
      </c>
      <c r="O3174" s="79">
        <v>55301</v>
      </c>
      <c r="P3174" s="198" t="s">
        <v>7233</v>
      </c>
    </row>
    <row r="3175" spans="1:16" ht="18.75" hidden="1">
      <c r="A3175" s="50" t="s">
        <v>8656</v>
      </c>
      <c r="B3175" s="50" t="s">
        <v>8619</v>
      </c>
      <c r="C3175" s="50" t="s">
        <v>7246</v>
      </c>
      <c r="D3175" s="50" t="s">
        <v>6328</v>
      </c>
      <c r="E3175" s="12" t="s">
        <v>4971</v>
      </c>
      <c r="F3175" s="49">
        <v>442380</v>
      </c>
      <c r="G3175" s="78" t="s">
        <v>5607</v>
      </c>
      <c r="H3175" s="14" t="s">
        <v>5601</v>
      </c>
      <c r="I3175" s="14" t="s">
        <v>2458</v>
      </c>
      <c r="J3175" s="33" t="s">
        <v>7110</v>
      </c>
      <c r="K3175" s="33" t="s">
        <v>8621</v>
      </c>
      <c r="L3175" s="79" t="s">
        <v>6054</v>
      </c>
      <c r="M3175" s="68" t="s">
        <v>8913</v>
      </c>
      <c r="N3175" s="79" t="s">
        <v>6076</v>
      </c>
      <c r="O3175" s="79">
        <v>55301</v>
      </c>
      <c r="P3175" s="198" t="s">
        <v>7233</v>
      </c>
    </row>
    <row r="3176" spans="1:16" ht="18.75" hidden="1">
      <c r="A3176" s="50" t="s">
        <v>8657</v>
      </c>
      <c r="B3176" s="50" t="s">
        <v>8650</v>
      </c>
      <c r="C3176" s="50" t="s">
        <v>6029</v>
      </c>
      <c r="D3176" s="50" t="s">
        <v>5849</v>
      </c>
      <c r="E3176" s="12" t="s">
        <v>4971</v>
      </c>
      <c r="F3176" s="49">
        <v>92750</v>
      </c>
      <c r="G3176" s="78" t="s">
        <v>5631</v>
      </c>
      <c r="H3176" s="14" t="s">
        <v>5601</v>
      </c>
      <c r="I3176" s="14" t="s">
        <v>2458</v>
      </c>
      <c r="J3176" s="33" t="s">
        <v>7110</v>
      </c>
      <c r="K3176" s="33" t="s">
        <v>8621</v>
      </c>
      <c r="L3176" s="79" t="s">
        <v>6054</v>
      </c>
      <c r="M3176" s="68" t="s">
        <v>8912</v>
      </c>
      <c r="N3176" s="79" t="s">
        <v>6076</v>
      </c>
      <c r="O3176" s="79">
        <v>55301</v>
      </c>
      <c r="P3176" s="197" t="s">
        <v>5818</v>
      </c>
    </row>
    <row r="3177" spans="1:16" ht="18.75" hidden="1">
      <c r="A3177" s="50" t="s">
        <v>8637</v>
      </c>
      <c r="B3177" s="50" t="s">
        <v>8627</v>
      </c>
      <c r="C3177" s="50" t="s">
        <v>5598</v>
      </c>
      <c r="D3177" s="50" t="s">
        <v>5557</v>
      </c>
      <c r="E3177" s="12" t="s">
        <v>4971</v>
      </c>
      <c r="F3177" s="49">
        <v>47820</v>
      </c>
      <c r="G3177" s="78" t="s">
        <v>5611</v>
      </c>
      <c r="H3177" s="14" t="s">
        <v>5601</v>
      </c>
      <c r="I3177" s="14" t="s">
        <v>2458</v>
      </c>
      <c r="J3177" s="33" t="s">
        <v>7110</v>
      </c>
      <c r="K3177" s="33" t="s">
        <v>8621</v>
      </c>
      <c r="L3177" s="79" t="s">
        <v>6054</v>
      </c>
      <c r="M3177" s="68" t="s">
        <v>8913</v>
      </c>
      <c r="N3177" s="79" t="s">
        <v>6076</v>
      </c>
      <c r="O3177" s="79">
        <v>55301</v>
      </c>
      <c r="P3177" s="198" t="s">
        <v>5810</v>
      </c>
    </row>
    <row r="3178" spans="1:16" ht="18.75" hidden="1">
      <c r="A3178" s="50" t="s">
        <v>8658</v>
      </c>
      <c r="B3178" s="50" t="s">
        <v>8636</v>
      </c>
      <c r="C3178" s="50" t="s">
        <v>5935</v>
      </c>
      <c r="D3178" s="50" t="s">
        <v>5460</v>
      </c>
      <c r="E3178" s="12" t="s">
        <v>4971</v>
      </c>
      <c r="F3178" s="49">
        <v>72130</v>
      </c>
      <c r="G3178" s="78" t="s">
        <v>5611</v>
      </c>
      <c r="H3178" s="14" t="s">
        <v>5601</v>
      </c>
      <c r="I3178" s="14" t="s">
        <v>2458</v>
      </c>
      <c r="J3178" s="33" t="s">
        <v>7110</v>
      </c>
      <c r="K3178" s="33" t="s">
        <v>8621</v>
      </c>
      <c r="L3178" s="79" t="s">
        <v>6054</v>
      </c>
      <c r="M3178" s="68" t="s">
        <v>8912</v>
      </c>
      <c r="N3178" s="79" t="s">
        <v>6286</v>
      </c>
      <c r="O3178" s="79">
        <v>55107</v>
      </c>
      <c r="P3178" s="198" t="s">
        <v>5814</v>
      </c>
    </row>
    <row r="3179" spans="1:16" ht="18.75" hidden="1">
      <c r="A3179" s="50" t="s">
        <v>8647</v>
      </c>
      <c r="B3179" s="50" t="s">
        <v>8629</v>
      </c>
      <c r="C3179" s="50" t="s">
        <v>5598</v>
      </c>
      <c r="D3179" s="50" t="s">
        <v>5557</v>
      </c>
      <c r="E3179" s="12" t="s">
        <v>4971</v>
      </c>
      <c r="F3179" s="49">
        <v>36790</v>
      </c>
      <c r="G3179" s="78" t="s">
        <v>5611</v>
      </c>
      <c r="H3179" s="14" t="s">
        <v>5601</v>
      </c>
      <c r="I3179" s="14" t="s">
        <v>2458</v>
      </c>
      <c r="J3179" s="33" t="s">
        <v>7110</v>
      </c>
      <c r="K3179" s="33" t="s">
        <v>8621</v>
      </c>
      <c r="L3179" s="79" t="s">
        <v>6054</v>
      </c>
      <c r="M3179" s="68" t="s">
        <v>8912</v>
      </c>
      <c r="N3179" s="79" t="s">
        <v>6285</v>
      </c>
      <c r="O3179" s="79">
        <v>55200</v>
      </c>
      <c r="P3179" s="198" t="s">
        <v>5810</v>
      </c>
    </row>
    <row r="3180" spans="1:16" ht="18.75" hidden="1">
      <c r="A3180" s="50" t="s">
        <v>8651</v>
      </c>
      <c r="B3180" s="50" t="s">
        <v>8627</v>
      </c>
      <c r="C3180" s="50" t="s">
        <v>5598</v>
      </c>
      <c r="D3180" s="50" t="s">
        <v>5557</v>
      </c>
      <c r="E3180" s="12" t="s">
        <v>4971</v>
      </c>
      <c r="F3180" s="49">
        <v>34000</v>
      </c>
      <c r="G3180" s="78" t="s">
        <v>5611</v>
      </c>
      <c r="H3180" s="14" t="s">
        <v>5601</v>
      </c>
      <c r="I3180" s="14" t="s">
        <v>2458</v>
      </c>
      <c r="J3180" s="33" t="s">
        <v>7110</v>
      </c>
      <c r="K3180" s="33" t="s">
        <v>8621</v>
      </c>
      <c r="L3180" s="79" t="s">
        <v>6054</v>
      </c>
      <c r="M3180" s="68" t="s">
        <v>8912</v>
      </c>
      <c r="N3180" s="79" t="s">
        <v>6285</v>
      </c>
      <c r="O3180" s="79">
        <v>55200</v>
      </c>
      <c r="P3180" s="198" t="s">
        <v>5810</v>
      </c>
    </row>
    <row r="3181" spans="1:16" ht="18.75" hidden="1">
      <c r="A3181" s="50" t="s">
        <v>8659</v>
      </c>
      <c r="B3181" s="50" t="s">
        <v>6308</v>
      </c>
      <c r="C3181" s="50" t="s">
        <v>7256</v>
      </c>
      <c r="D3181" s="50" t="s">
        <v>6332</v>
      </c>
      <c r="E3181" s="12" t="s">
        <v>4971</v>
      </c>
      <c r="F3181" s="49">
        <v>93870</v>
      </c>
      <c r="G3181" s="78" t="s">
        <v>5631</v>
      </c>
      <c r="H3181" s="14" t="s">
        <v>5601</v>
      </c>
      <c r="I3181" s="14" t="s">
        <v>2458</v>
      </c>
      <c r="J3181" s="33" t="s">
        <v>7110</v>
      </c>
      <c r="K3181" s="33" t="s">
        <v>8621</v>
      </c>
      <c r="L3181" s="79" t="s">
        <v>6054</v>
      </c>
      <c r="M3181" s="68" t="s">
        <v>8912</v>
      </c>
      <c r="N3181" s="79" t="s">
        <v>6076</v>
      </c>
      <c r="O3181" s="79">
        <v>55301</v>
      </c>
      <c r="P3181" s="197" t="s">
        <v>5836</v>
      </c>
    </row>
    <row r="3182" spans="1:16" ht="18.75" hidden="1">
      <c r="A3182" s="50" t="s">
        <v>8659</v>
      </c>
      <c r="B3182" s="50" t="s">
        <v>6308</v>
      </c>
      <c r="C3182" s="50" t="s">
        <v>5898</v>
      </c>
      <c r="D3182" s="50" t="s">
        <v>5561</v>
      </c>
      <c r="E3182" s="12" t="s">
        <v>4971</v>
      </c>
      <c r="F3182" s="49">
        <v>2570</v>
      </c>
      <c r="G3182" s="78" t="s">
        <v>5631</v>
      </c>
      <c r="H3182" s="14" t="s">
        <v>5601</v>
      </c>
      <c r="I3182" s="14" t="s">
        <v>2458</v>
      </c>
      <c r="J3182" s="33" t="s">
        <v>7110</v>
      </c>
      <c r="K3182" s="33" t="s">
        <v>8621</v>
      </c>
      <c r="L3182" s="79" t="s">
        <v>6054</v>
      </c>
      <c r="M3182" s="68" t="s">
        <v>8912</v>
      </c>
      <c r="N3182" s="79" t="s">
        <v>6076</v>
      </c>
      <c r="O3182" s="79">
        <v>55301</v>
      </c>
      <c r="P3182" s="197" t="s">
        <v>5818</v>
      </c>
    </row>
    <row r="3183" spans="1:16" ht="18.75" hidden="1">
      <c r="A3183" s="50" t="s">
        <v>8659</v>
      </c>
      <c r="B3183" s="50" t="s">
        <v>6308</v>
      </c>
      <c r="C3183" s="50" t="s">
        <v>5899</v>
      </c>
      <c r="D3183" s="50" t="s">
        <v>5561</v>
      </c>
      <c r="E3183" s="12" t="s">
        <v>4971</v>
      </c>
      <c r="F3183" s="49">
        <v>50000</v>
      </c>
      <c r="G3183" s="78" t="s">
        <v>5631</v>
      </c>
      <c r="H3183" s="14" t="s">
        <v>5601</v>
      </c>
      <c r="I3183" s="14" t="s">
        <v>2458</v>
      </c>
      <c r="J3183" s="33" t="s">
        <v>7110</v>
      </c>
      <c r="K3183" s="33" t="s">
        <v>8621</v>
      </c>
      <c r="L3183" s="79" t="s">
        <v>6054</v>
      </c>
      <c r="M3183" s="68" t="s">
        <v>8912</v>
      </c>
      <c r="N3183" s="79" t="s">
        <v>6076</v>
      </c>
      <c r="O3183" s="79">
        <v>55301</v>
      </c>
      <c r="P3183" s="197" t="s">
        <v>5819</v>
      </c>
    </row>
    <row r="3184" spans="1:16" ht="18.75" hidden="1">
      <c r="A3184" s="50" t="s">
        <v>8659</v>
      </c>
      <c r="B3184" s="50" t="s">
        <v>6308</v>
      </c>
      <c r="C3184" s="50" t="s">
        <v>6028</v>
      </c>
      <c r="D3184" s="50" t="s">
        <v>5849</v>
      </c>
      <c r="E3184" s="12" t="s">
        <v>4971</v>
      </c>
      <c r="F3184" s="49">
        <v>19580</v>
      </c>
      <c r="G3184" s="78" t="s">
        <v>5631</v>
      </c>
      <c r="H3184" s="14" t="s">
        <v>5601</v>
      </c>
      <c r="I3184" s="14" t="s">
        <v>2458</v>
      </c>
      <c r="J3184" s="33" t="s">
        <v>7110</v>
      </c>
      <c r="K3184" s="33" t="s">
        <v>8621</v>
      </c>
      <c r="L3184" s="79" t="s">
        <v>6054</v>
      </c>
      <c r="M3184" s="68" t="s">
        <v>8912</v>
      </c>
      <c r="N3184" s="79" t="s">
        <v>6076</v>
      </c>
      <c r="O3184" s="79">
        <v>55301</v>
      </c>
      <c r="P3184" s="197" t="s">
        <v>5818</v>
      </c>
    </row>
    <row r="3185" spans="1:16" ht="18.75" hidden="1">
      <c r="A3185" s="50" t="s">
        <v>8660</v>
      </c>
      <c r="B3185" s="50" t="s">
        <v>6379</v>
      </c>
      <c r="C3185" s="50" t="s">
        <v>6043</v>
      </c>
      <c r="D3185" s="50" t="s">
        <v>5857</v>
      </c>
      <c r="E3185" s="12" t="s">
        <v>4971</v>
      </c>
      <c r="F3185" s="49">
        <v>100200</v>
      </c>
      <c r="G3185" s="78" t="s">
        <v>5631</v>
      </c>
      <c r="H3185" s="14" t="s">
        <v>5601</v>
      </c>
      <c r="I3185" s="14" t="s">
        <v>2458</v>
      </c>
      <c r="J3185" s="33" t="s">
        <v>7110</v>
      </c>
      <c r="K3185" s="33" t="s">
        <v>8621</v>
      </c>
      <c r="L3185" s="79" t="s">
        <v>6054</v>
      </c>
      <c r="M3185" s="68" t="s">
        <v>8912</v>
      </c>
      <c r="N3185" s="79" t="s">
        <v>6286</v>
      </c>
      <c r="O3185" s="79">
        <v>55107</v>
      </c>
      <c r="P3185" s="197" t="s">
        <v>5818</v>
      </c>
    </row>
    <row r="3186" spans="1:16" ht="18.75" hidden="1">
      <c r="A3186" s="50" t="s">
        <v>8688</v>
      </c>
      <c r="B3186" s="50" t="s">
        <v>6302</v>
      </c>
      <c r="C3186" s="50" t="s">
        <v>5567</v>
      </c>
      <c r="D3186" s="50" t="s">
        <v>5565</v>
      </c>
      <c r="E3186" s="12" t="s">
        <v>4971</v>
      </c>
      <c r="F3186" s="49">
        <v>144890</v>
      </c>
      <c r="G3186" s="78" t="s">
        <v>6298</v>
      </c>
      <c r="H3186" s="14" t="s">
        <v>5601</v>
      </c>
      <c r="I3186" s="14" t="s">
        <v>2458</v>
      </c>
      <c r="J3186" s="33" t="s">
        <v>7110</v>
      </c>
      <c r="K3186" s="33" t="s">
        <v>8695</v>
      </c>
      <c r="L3186" s="79" t="s">
        <v>6054</v>
      </c>
      <c r="M3186" s="68" t="s">
        <v>8912</v>
      </c>
      <c r="N3186" s="79" t="s">
        <v>6076</v>
      </c>
      <c r="O3186" s="79">
        <v>55301</v>
      </c>
      <c r="P3186" s="198" t="s">
        <v>5813</v>
      </c>
    </row>
    <row r="3187" spans="1:16" ht="18.75" hidden="1">
      <c r="A3187" s="50" t="s">
        <v>8689</v>
      </c>
      <c r="B3187" s="50" t="s">
        <v>6328</v>
      </c>
      <c r="C3187" s="50" t="s">
        <v>6390</v>
      </c>
      <c r="D3187" s="50" t="s">
        <v>6305</v>
      </c>
      <c r="E3187" s="12" t="s">
        <v>4971</v>
      </c>
      <c r="F3187" s="49">
        <v>166780</v>
      </c>
      <c r="G3187" s="78" t="s">
        <v>6299</v>
      </c>
      <c r="H3187" s="14" t="s">
        <v>5601</v>
      </c>
      <c r="I3187" s="14" t="s">
        <v>2458</v>
      </c>
      <c r="J3187" s="33" t="s">
        <v>7110</v>
      </c>
      <c r="K3187" s="33" t="s">
        <v>8695</v>
      </c>
      <c r="L3187" s="79" t="s">
        <v>6054</v>
      </c>
      <c r="M3187" s="68" t="s">
        <v>8913</v>
      </c>
      <c r="N3187" s="79" t="s">
        <v>6076</v>
      </c>
      <c r="O3187" s="79">
        <v>55301</v>
      </c>
      <c r="P3187" s="198" t="s">
        <v>8501</v>
      </c>
    </row>
    <row r="3188" spans="1:16" ht="18.75" hidden="1">
      <c r="A3188" s="50" t="s">
        <v>8690</v>
      </c>
      <c r="B3188" s="50" t="s">
        <v>6332</v>
      </c>
      <c r="C3188" s="50" t="s">
        <v>5988</v>
      </c>
      <c r="D3188" s="50" t="s">
        <v>5496</v>
      </c>
      <c r="E3188" s="12" t="s">
        <v>4971</v>
      </c>
      <c r="F3188" s="49">
        <v>46480</v>
      </c>
      <c r="G3188" s="78" t="s">
        <v>6300</v>
      </c>
      <c r="H3188" s="14" t="s">
        <v>5601</v>
      </c>
      <c r="I3188" s="14" t="s">
        <v>2458</v>
      </c>
      <c r="J3188" s="33" t="s">
        <v>7110</v>
      </c>
      <c r="K3188" s="33" t="s">
        <v>8695</v>
      </c>
      <c r="L3188" s="79" t="s">
        <v>6054</v>
      </c>
      <c r="M3188" s="68" t="s">
        <v>8912</v>
      </c>
      <c r="N3188" s="79" t="s">
        <v>6076</v>
      </c>
      <c r="O3188" s="79">
        <v>55301</v>
      </c>
      <c r="P3188" s="197" t="s">
        <v>5820</v>
      </c>
    </row>
    <row r="3189" spans="1:16" ht="18.75" hidden="1">
      <c r="A3189" s="50" t="s">
        <v>8691</v>
      </c>
      <c r="B3189" s="50" t="s">
        <v>8692</v>
      </c>
      <c r="C3189" s="50" t="s">
        <v>5893</v>
      </c>
      <c r="D3189" s="50" t="s">
        <v>5563</v>
      </c>
      <c r="E3189" s="12" t="s">
        <v>4971</v>
      </c>
      <c r="F3189" s="49">
        <v>132520</v>
      </c>
      <c r="G3189" s="78" t="s">
        <v>6454</v>
      </c>
      <c r="H3189" s="14" t="s">
        <v>5601</v>
      </c>
      <c r="I3189" s="14" t="s">
        <v>2458</v>
      </c>
      <c r="J3189" s="33" t="s">
        <v>7110</v>
      </c>
      <c r="K3189" s="33" t="s">
        <v>8695</v>
      </c>
      <c r="L3189" s="79" t="s">
        <v>6054</v>
      </c>
      <c r="M3189" s="68" t="s">
        <v>8913</v>
      </c>
      <c r="N3189" s="79" t="s">
        <v>6076</v>
      </c>
      <c r="O3189" s="79">
        <v>55301</v>
      </c>
      <c r="P3189" s="198" t="s">
        <v>5816</v>
      </c>
    </row>
    <row r="3190" spans="1:16" ht="18.75" hidden="1">
      <c r="A3190" s="50" t="s">
        <v>8691</v>
      </c>
      <c r="B3190" s="50" t="s">
        <v>8692</v>
      </c>
      <c r="C3190" s="50" t="s">
        <v>8496</v>
      </c>
      <c r="D3190" s="50" t="s">
        <v>6314</v>
      </c>
      <c r="E3190" s="12" t="s">
        <v>4971</v>
      </c>
      <c r="F3190" s="49">
        <v>71540</v>
      </c>
      <c r="G3190" s="78" t="s">
        <v>6453</v>
      </c>
      <c r="H3190" s="14" t="s">
        <v>5601</v>
      </c>
      <c r="I3190" s="14" t="s">
        <v>2458</v>
      </c>
      <c r="J3190" s="33" t="s">
        <v>7110</v>
      </c>
      <c r="K3190" s="33" t="s">
        <v>8695</v>
      </c>
      <c r="L3190" s="79" t="s">
        <v>6054</v>
      </c>
      <c r="M3190" s="68" t="s">
        <v>8913</v>
      </c>
      <c r="N3190" s="79" t="s">
        <v>6076</v>
      </c>
      <c r="O3190" s="79">
        <v>55301</v>
      </c>
      <c r="P3190" s="198" t="s">
        <v>7233</v>
      </c>
    </row>
    <row r="3191" spans="1:16" ht="18.75" hidden="1">
      <c r="A3191" s="50" t="s">
        <v>8691</v>
      </c>
      <c r="B3191" s="50" t="s">
        <v>8692</v>
      </c>
      <c r="C3191" s="50" t="s">
        <v>5992</v>
      </c>
      <c r="D3191" s="50" t="s">
        <v>5496</v>
      </c>
      <c r="E3191" s="12" t="s">
        <v>4971</v>
      </c>
      <c r="F3191" s="49">
        <v>180000</v>
      </c>
      <c r="G3191" s="78" t="s">
        <v>6454</v>
      </c>
      <c r="H3191" s="14" t="s">
        <v>5601</v>
      </c>
      <c r="I3191" s="14" t="s">
        <v>2458</v>
      </c>
      <c r="J3191" s="33" t="s">
        <v>7110</v>
      </c>
      <c r="K3191" s="33" t="s">
        <v>8695</v>
      </c>
      <c r="L3191" s="79" t="s">
        <v>6054</v>
      </c>
      <c r="M3191" s="68" t="s">
        <v>8913</v>
      </c>
      <c r="N3191" s="79" t="s">
        <v>6076</v>
      </c>
      <c r="O3191" s="79">
        <v>55301</v>
      </c>
      <c r="P3191" s="198" t="s">
        <v>5822</v>
      </c>
    </row>
    <row r="3192" spans="1:16" ht="18.75" hidden="1">
      <c r="A3192" s="50" t="s">
        <v>8691</v>
      </c>
      <c r="B3192" s="50" t="s">
        <v>8692</v>
      </c>
      <c r="C3192" s="50" t="s">
        <v>7240</v>
      </c>
      <c r="D3192" s="50" t="s">
        <v>6308</v>
      </c>
      <c r="E3192" s="12" t="s">
        <v>4971</v>
      </c>
      <c r="F3192" s="49">
        <v>70200</v>
      </c>
      <c r="G3192" s="78" t="s">
        <v>6299</v>
      </c>
      <c r="H3192" s="14" t="s">
        <v>5601</v>
      </c>
      <c r="I3192" s="14" t="s">
        <v>2458</v>
      </c>
      <c r="J3192" s="33" t="s">
        <v>7110</v>
      </c>
      <c r="K3192" s="33" t="s">
        <v>8695</v>
      </c>
      <c r="L3192" s="79" t="s">
        <v>6054</v>
      </c>
      <c r="M3192" s="68" t="s">
        <v>8913</v>
      </c>
      <c r="N3192" s="79" t="s">
        <v>6076</v>
      </c>
      <c r="O3192" s="79">
        <v>55301</v>
      </c>
      <c r="P3192" s="198" t="s">
        <v>7241</v>
      </c>
    </row>
    <row r="3193" spans="1:16" ht="18.75" hidden="1">
      <c r="A3193" s="50" t="s">
        <v>8691</v>
      </c>
      <c r="B3193" s="50" t="s">
        <v>8692</v>
      </c>
      <c r="C3193" s="50" t="s">
        <v>5894</v>
      </c>
      <c r="D3193" s="50" t="s">
        <v>5459</v>
      </c>
      <c r="E3193" s="12" t="s">
        <v>4971</v>
      </c>
      <c r="F3193" s="49">
        <v>201880</v>
      </c>
      <c r="G3193" s="78" t="s">
        <v>6454</v>
      </c>
      <c r="H3193" s="14" t="s">
        <v>5601</v>
      </c>
      <c r="I3193" s="14" t="s">
        <v>2458</v>
      </c>
      <c r="J3193" s="33" t="s">
        <v>7110</v>
      </c>
      <c r="K3193" s="33" t="s">
        <v>8695</v>
      </c>
      <c r="L3193" s="79" t="s">
        <v>6054</v>
      </c>
      <c r="M3193" s="68" t="s">
        <v>8913</v>
      </c>
      <c r="N3193" s="79" t="s">
        <v>6076</v>
      </c>
      <c r="O3193" s="79">
        <v>55301</v>
      </c>
      <c r="P3193" s="198" t="s">
        <v>5816</v>
      </c>
    </row>
    <row r="3194" spans="1:16" ht="18.75" hidden="1">
      <c r="A3194" s="50" t="s">
        <v>8693</v>
      </c>
      <c r="B3194" s="50" t="s">
        <v>6337</v>
      </c>
      <c r="C3194" s="50" t="s">
        <v>7245</v>
      </c>
      <c r="D3194" s="50" t="s">
        <v>6249</v>
      </c>
      <c r="E3194" s="12" t="s">
        <v>4971</v>
      </c>
      <c r="F3194" s="49">
        <v>97880</v>
      </c>
      <c r="G3194" s="78" t="s">
        <v>6298</v>
      </c>
      <c r="H3194" s="14" t="s">
        <v>5601</v>
      </c>
      <c r="I3194" s="14" t="s">
        <v>2458</v>
      </c>
      <c r="J3194" s="33" t="s">
        <v>7110</v>
      </c>
      <c r="K3194" s="33" t="s">
        <v>8695</v>
      </c>
      <c r="L3194" s="79" t="s">
        <v>6054</v>
      </c>
      <c r="M3194" s="68" t="s">
        <v>8913</v>
      </c>
      <c r="N3194" s="79" t="s">
        <v>6076</v>
      </c>
      <c r="O3194" s="79">
        <v>55301</v>
      </c>
      <c r="P3194" s="198" t="s">
        <v>7231</v>
      </c>
    </row>
    <row r="3195" spans="1:16" ht="18.75" hidden="1">
      <c r="A3195" s="50" t="s">
        <v>8693</v>
      </c>
      <c r="B3195" s="50" t="s">
        <v>6337</v>
      </c>
      <c r="C3195" s="50" t="s">
        <v>8503</v>
      </c>
      <c r="D3195" s="50" t="s">
        <v>6314</v>
      </c>
      <c r="E3195" s="12" t="s">
        <v>4971</v>
      </c>
      <c r="F3195" s="49">
        <v>95000</v>
      </c>
      <c r="G3195" s="78" t="s">
        <v>6299</v>
      </c>
      <c r="H3195" s="14" t="s">
        <v>5601</v>
      </c>
      <c r="I3195" s="14" t="s">
        <v>2458</v>
      </c>
      <c r="J3195" s="33" t="s">
        <v>7110</v>
      </c>
      <c r="K3195" s="33" t="s">
        <v>8695</v>
      </c>
      <c r="L3195" s="79" t="s">
        <v>6054</v>
      </c>
      <c r="M3195" s="68" t="s">
        <v>8913</v>
      </c>
      <c r="N3195" s="79" t="s">
        <v>6076</v>
      </c>
      <c r="O3195" s="79">
        <v>55301</v>
      </c>
      <c r="P3195" s="198" t="s">
        <v>8502</v>
      </c>
    </row>
    <row r="3196" spans="1:16" ht="18.75" hidden="1">
      <c r="A3196" s="50" t="s">
        <v>8694</v>
      </c>
      <c r="B3196" s="50" t="s">
        <v>6323</v>
      </c>
      <c r="C3196" s="50" t="s">
        <v>5967</v>
      </c>
      <c r="D3196" s="50" t="s">
        <v>5832</v>
      </c>
      <c r="E3196" s="12" t="s">
        <v>4971</v>
      </c>
      <c r="F3196" s="49">
        <v>12140</v>
      </c>
      <c r="G3196" s="78" t="s">
        <v>6300</v>
      </c>
      <c r="H3196" s="14" t="s">
        <v>5601</v>
      </c>
      <c r="I3196" s="14" t="s">
        <v>2458</v>
      </c>
      <c r="J3196" s="33" t="s">
        <v>7110</v>
      </c>
      <c r="K3196" s="33" t="s">
        <v>8695</v>
      </c>
      <c r="L3196" s="79" t="s">
        <v>6054</v>
      </c>
      <c r="M3196" s="68" t="s">
        <v>8913</v>
      </c>
      <c r="N3196" s="79" t="s">
        <v>6076</v>
      </c>
      <c r="O3196" s="79">
        <v>55301</v>
      </c>
      <c r="P3196" s="197" t="s">
        <v>5807</v>
      </c>
    </row>
    <row r="3197" spans="1:16" ht="18.75" hidden="1">
      <c r="A3197" s="50" t="s">
        <v>8694</v>
      </c>
      <c r="B3197" s="50" t="s">
        <v>6323</v>
      </c>
      <c r="C3197" s="50" t="s">
        <v>8496</v>
      </c>
      <c r="D3197" s="50" t="s">
        <v>6314</v>
      </c>
      <c r="E3197" s="12" t="s">
        <v>4971</v>
      </c>
      <c r="F3197" s="49">
        <v>334140</v>
      </c>
      <c r="G3197" s="78" t="s">
        <v>6453</v>
      </c>
      <c r="H3197" s="14" t="s">
        <v>5601</v>
      </c>
      <c r="I3197" s="14" t="s">
        <v>2458</v>
      </c>
      <c r="J3197" s="33" t="s">
        <v>7110</v>
      </c>
      <c r="K3197" s="33" t="s">
        <v>8695</v>
      </c>
      <c r="L3197" s="79" t="s">
        <v>6054</v>
      </c>
      <c r="M3197" s="68" t="s">
        <v>8913</v>
      </c>
      <c r="N3197" s="79" t="s">
        <v>6076</v>
      </c>
      <c r="O3197" s="79">
        <v>55301</v>
      </c>
      <c r="P3197" s="198" t="s">
        <v>7233</v>
      </c>
    </row>
    <row r="3198" spans="1:16" ht="18.75" hidden="1">
      <c r="A3198" s="50" t="s">
        <v>8694</v>
      </c>
      <c r="B3198" s="50" t="s">
        <v>6323</v>
      </c>
      <c r="C3198" s="50" t="s">
        <v>5975</v>
      </c>
      <c r="D3198" s="50" t="s">
        <v>5835</v>
      </c>
      <c r="E3198" s="12" t="s">
        <v>4971</v>
      </c>
      <c r="F3198" s="49">
        <v>236699</v>
      </c>
      <c r="G3198" s="78" t="s">
        <v>6300</v>
      </c>
      <c r="H3198" s="14" t="s">
        <v>5601</v>
      </c>
      <c r="I3198" s="14" t="s">
        <v>2458</v>
      </c>
      <c r="J3198" s="33" t="s">
        <v>7110</v>
      </c>
      <c r="K3198" s="33" t="s">
        <v>8695</v>
      </c>
      <c r="L3198" s="79" t="s">
        <v>6054</v>
      </c>
      <c r="M3198" s="68" t="s">
        <v>8913</v>
      </c>
      <c r="N3198" s="79" t="s">
        <v>6076</v>
      </c>
      <c r="O3198" s="79">
        <v>55301</v>
      </c>
      <c r="P3198" s="197" t="s">
        <v>5820</v>
      </c>
    </row>
    <row r="3199" spans="1:16" ht="18.75" hidden="1">
      <c r="A3199" s="50" t="s">
        <v>8694</v>
      </c>
      <c r="B3199" s="50" t="s">
        <v>6323</v>
      </c>
      <c r="C3199" s="50" t="s">
        <v>5882</v>
      </c>
      <c r="D3199" s="50" t="s">
        <v>5457</v>
      </c>
      <c r="E3199" s="12" t="s">
        <v>4971</v>
      </c>
      <c r="F3199" s="49">
        <v>19581</v>
      </c>
      <c r="G3199" s="78" t="s">
        <v>6298</v>
      </c>
      <c r="H3199" s="14" t="s">
        <v>5601</v>
      </c>
      <c r="I3199" s="14" t="s">
        <v>2458</v>
      </c>
      <c r="J3199" s="33" t="s">
        <v>7110</v>
      </c>
      <c r="K3199" s="33" t="s">
        <v>8695</v>
      </c>
      <c r="L3199" s="79" t="s">
        <v>6054</v>
      </c>
      <c r="M3199" s="68" t="s">
        <v>8913</v>
      </c>
      <c r="N3199" s="79" t="s">
        <v>6076</v>
      </c>
      <c r="O3199" s="79">
        <v>55301</v>
      </c>
      <c r="P3199" s="198" t="s">
        <v>5810</v>
      </c>
    </row>
    <row r="3200" spans="1:16" ht="18.75" hidden="1">
      <c r="A3200" s="50" t="s">
        <v>8694</v>
      </c>
      <c r="B3200" s="50" t="s">
        <v>6323</v>
      </c>
      <c r="C3200" s="50" t="s">
        <v>6043</v>
      </c>
      <c r="D3200" s="50" t="s">
        <v>5857</v>
      </c>
      <c r="E3200" s="12" t="s">
        <v>4971</v>
      </c>
      <c r="F3200" s="49">
        <v>65000</v>
      </c>
      <c r="G3200" s="78" t="s">
        <v>6300</v>
      </c>
      <c r="H3200" s="14" t="s">
        <v>5601</v>
      </c>
      <c r="I3200" s="14" t="s">
        <v>2458</v>
      </c>
      <c r="J3200" s="33" t="s">
        <v>7110</v>
      </c>
      <c r="K3200" s="33" t="s">
        <v>8695</v>
      </c>
      <c r="L3200" s="79" t="s">
        <v>6054</v>
      </c>
      <c r="M3200" s="68" t="s">
        <v>8913</v>
      </c>
      <c r="N3200" s="79" t="s">
        <v>6076</v>
      </c>
      <c r="O3200" s="79">
        <v>55301</v>
      </c>
      <c r="P3200" s="197" t="s">
        <v>5818</v>
      </c>
    </row>
    <row r="3201" spans="1:16" ht="18.75" hidden="1">
      <c r="A3201" s="50" t="s">
        <v>8691</v>
      </c>
      <c r="B3201" s="50" t="s">
        <v>8692</v>
      </c>
      <c r="C3201" s="50" t="s">
        <v>7250</v>
      </c>
      <c r="D3201" s="50" t="s">
        <v>6337</v>
      </c>
      <c r="E3201" s="12" t="s">
        <v>4971</v>
      </c>
      <c r="F3201" s="49">
        <v>21820</v>
      </c>
      <c r="G3201" s="78" t="s">
        <v>6299</v>
      </c>
      <c r="H3201" s="14" t="s">
        <v>5601</v>
      </c>
      <c r="I3201" s="14" t="s">
        <v>2458</v>
      </c>
      <c r="J3201" s="33" t="s">
        <v>7110</v>
      </c>
      <c r="K3201" s="33" t="s">
        <v>8695</v>
      </c>
      <c r="L3201" s="79" t="s">
        <v>6054</v>
      </c>
      <c r="M3201" s="68" t="s">
        <v>8913</v>
      </c>
      <c r="N3201" s="79" t="s">
        <v>6076</v>
      </c>
      <c r="O3201" s="79">
        <v>55301</v>
      </c>
      <c r="P3201" s="198" t="s">
        <v>7241</v>
      </c>
    </row>
    <row r="3202" spans="1:16" ht="18.75" hidden="1">
      <c r="A3202" s="50" t="s">
        <v>8694</v>
      </c>
      <c r="B3202" s="50" t="s">
        <v>6323</v>
      </c>
      <c r="C3202" s="50" t="s">
        <v>7261</v>
      </c>
      <c r="D3202" s="50" t="s">
        <v>6312</v>
      </c>
      <c r="E3202" s="12" t="s">
        <v>4971</v>
      </c>
      <c r="F3202" s="49">
        <v>116640</v>
      </c>
      <c r="G3202" s="78" t="s">
        <v>6299</v>
      </c>
      <c r="H3202" s="14" t="s">
        <v>5601</v>
      </c>
      <c r="I3202" s="14" t="s">
        <v>2458</v>
      </c>
      <c r="J3202" s="33" t="s">
        <v>7110</v>
      </c>
      <c r="K3202" s="33" t="s">
        <v>8695</v>
      </c>
      <c r="L3202" s="79" t="s">
        <v>6054</v>
      </c>
      <c r="M3202" s="68" t="s">
        <v>8913</v>
      </c>
      <c r="N3202" s="79" t="s">
        <v>6076</v>
      </c>
      <c r="O3202" s="79">
        <v>55301</v>
      </c>
      <c r="P3202" s="198" t="s">
        <v>7262</v>
      </c>
    </row>
    <row r="3203" spans="1:16" ht="18.75" hidden="1">
      <c r="A3203" s="50" t="s">
        <v>8761</v>
      </c>
      <c r="B3203" s="50" t="s">
        <v>8621</v>
      </c>
      <c r="C3203" s="50" t="s">
        <v>8762</v>
      </c>
      <c r="D3203" s="50" t="s">
        <v>6308</v>
      </c>
      <c r="E3203" s="12" t="s">
        <v>4971</v>
      </c>
      <c r="F3203" s="49">
        <v>489500</v>
      </c>
      <c r="G3203" s="77" t="s">
        <v>5631</v>
      </c>
      <c r="H3203" s="14" t="s">
        <v>5601</v>
      </c>
      <c r="I3203" s="14" t="s">
        <v>2458</v>
      </c>
      <c r="J3203" s="33" t="s">
        <v>7110</v>
      </c>
      <c r="K3203" s="33" t="s">
        <v>8833</v>
      </c>
      <c r="L3203" s="53" t="str">
        <f>"اندونزي"</f>
        <v>اندونزي</v>
      </c>
      <c r="M3203" s="68" t="s">
        <v>8912</v>
      </c>
      <c r="N3203" s="53" t="str">
        <f t="shared" ref="N3203:N3266" si="24">"بندرعباس"</f>
        <v>بندرعباس</v>
      </c>
      <c r="O3203" s="53">
        <v>50100</v>
      </c>
      <c r="P3203" s="197" t="s">
        <v>5836</v>
      </c>
    </row>
    <row r="3204" spans="1:16" ht="18.75" hidden="1">
      <c r="A3204" s="50" t="s">
        <v>8763</v>
      </c>
      <c r="B3204" s="50" t="s">
        <v>8764</v>
      </c>
      <c r="C3204" s="50" t="s">
        <v>6331</v>
      </c>
      <c r="D3204" s="50" t="s">
        <v>6332</v>
      </c>
      <c r="E3204" s="12" t="s">
        <v>4971</v>
      </c>
      <c r="F3204" s="49">
        <v>29435</v>
      </c>
      <c r="G3204" s="77" t="s">
        <v>5631</v>
      </c>
      <c r="H3204" s="14" t="s">
        <v>5601</v>
      </c>
      <c r="I3204" s="14" t="s">
        <v>2458</v>
      </c>
      <c r="J3204" s="33" t="s">
        <v>7110</v>
      </c>
      <c r="K3204" s="33" t="s">
        <v>8833</v>
      </c>
      <c r="L3204" s="53" t="str">
        <f>"تانزانيا"</f>
        <v>تانزانيا</v>
      </c>
      <c r="M3204" s="68" t="s">
        <v>8912</v>
      </c>
      <c r="N3204" s="53" t="str">
        <f t="shared" si="24"/>
        <v>بندرعباس</v>
      </c>
      <c r="O3204" s="53">
        <v>50100</v>
      </c>
      <c r="P3204" s="197" t="s">
        <v>5842</v>
      </c>
    </row>
    <row r="3205" spans="1:16" ht="18.75" hidden="1">
      <c r="A3205" s="50" t="s">
        <v>8763</v>
      </c>
      <c r="B3205" s="50" t="s">
        <v>8764</v>
      </c>
      <c r="C3205" s="50" t="s">
        <v>8765</v>
      </c>
      <c r="D3205" s="50" t="s">
        <v>6457</v>
      </c>
      <c r="E3205" s="12" t="s">
        <v>4971</v>
      </c>
      <c r="F3205" s="49">
        <v>169353</v>
      </c>
      <c r="G3205" s="77" t="s">
        <v>5631</v>
      </c>
      <c r="H3205" s="14" t="s">
        <v>5601</v>
      </c>
      <c r="I3205" s="14" t="s">
        <v>2458</v>
      </c>
      <c r="J3205" s="33" t="s">
        <v>7110</v>
      </c>
      <c r="K3205" s="33" t="s">
        <v>8833</v>
      </c>
      <c r="L3205" s="53" t="str">
        <f>"تانزانيا"</f>
        <v>تانزانيا</v>
      </c>
      <c r="M3205" s="68" t="s">
        <v>8912</v>
      </c>
      <c r="N3205" s="53" t="str">
        <f t="shared" si="24"/>
        <v>بندرعباس</v>
      </c>
      <c r="O3205" s="53">
        <v>50100</v>
      </c>
      <c r="P3205" s="197" t="s">
        <v>7145</v>
      </c>
    </row>
    <row r="3206" spans="1:16" ht="18.75" hidden="1">
      <c r="A3206" s="50" t="s">
        <v>8766</v>
      </c>
      <c r="B3206" s="50" t="s">
        <v>8767</v>
      </c>
      <c r="C3206" s="50" t="s">
        <v>8768</v>
      </c>
      <c r="D3206" s="50" t="s">
        <v>6247</v>
      </c>
      <c r="E3206" s="12" t="s">
        <v>4971</v>
      </c>
      <c r="F3206" s="49">
        <v>67154</v>
      </c>
      <c r="G3206" s="77" t="s">
        <v>5607</v>
      </c>
      <c r="H3206" s="14" t="s">
        <v>5601</v>
      </c>
      <c r="I3206" s="14" t="s">
        <v>2458</v>
      </c>
      <c r="J3206" s="33" t="s">
        <v>7110</v>
      </c>
      <c r="K3206" s="33" t="s">
        <v>8833</v>
      </c>
      <c r="L3206" s="53" t="str">
        <f>"اندونزي"</f>
        <v>اندونزي</v>
      </c>
      <c r="M3206" s="68" t="s">
        <v>8912</v>
      </c>
      <c r="N3206" s="53" t="str">
        <f t="shared" si="24"/>
        <v>بندرعباس</v>
      </c>
      <c r="O3206" s="53">
        <v>50100</v>
      </c>
      <c r="P3206" s="198" t="s">
        <v>7233</v>
      </c>
    </row>
    <row r="3207" spans="1:16" ht="18.75" hidden="1">
      <c r="A3207" s="50" t="s">
        <v>8769</v>
      </c>
      <c r="B3207" s="50" t="s">
        <v>8770</v>
      </c>
      <c r="C3207" s="50" t="s">
        <v>8771</v>
      </c>
      <c r="D3207" s="50" t="s">
        <v>8767</v>
      </c>
      <c r="E3207" s="12" t="s">
        <v>4971</v>
      </c>
      <c r="F3207" s="49">
        <v>489775</v>
      </c>
      <c r="G3207" s="77" t="s">
        <v>5631</v>
      </c>
      <c r="H3207" s="14" t="s">
        <v>5601</v>
      </c>
      <c r="I3207" s="14" t="s">
        <v>2458</v>
      </c>
      <c r="J3207" s="33" t="s">
        <v>7110</v>
      </c>
      <c r="K3207" s="33" t="s">
        <v>8833</v>
      </c>
      <c r="L3207" s="53" t="str">
        <f>"تانزانيا"</f>
        <v>تانزانيا</v>
      </c>
      <c r="M3207" s="68" t="s">
        <v>8912</v>
      </c>
      <c r="N3207" s="53" t="str">
        <f t="shared" si="24"/>
        <v>بندرعباس</v>
      </c>
      <c r="O3207" s="53">
        <v>50100</v>
      </c>
      <c r="P3207" s="197" t="s">
        <v>7145</v>
      </c>
    </row>
    <row r="3208" spans="1:16" ht="18.75" hidden="1">
      <c r="A3208" s="50" t="s">
        <v>8772</v>
      </c>
      <c r="B3208" s="50" t="s">
        <v>8770</v>
      </c>
      <c r="C3208" s="50" t="s">
        <v>8773</v>
      </c>
      <c r="D3208" s="50" t="s">
        <v>8774</v>
      </c>
      <c r="E3208" s="12" t="s">
        <v>4971</v>
      </c>
      <c r="F3208" s="49">
        <v>3499363</v>
      </c>
      <c r="G3208" s="77" t="s">
        <v>5779</v>
      </c>
      <c r="H3208" s="14" t="s">
        <v>5601</v>
      </c>
      <c r="I3208" s="14" t="s">
        <v>2458</v>
      </c>
      <c r="J3208" s="33" t="e">
        <f>VLOOKUP(C3208,شرکتها!A:B,2,FALSE)</f>
        <v>#N/A</v>
      </c>
      <c r="K3208" s="33" t="s">
        <v>8833</v>
      </c>
      <c r="L3208" s="53" t="str">
        <f>" امارات متحده عربي"</f>
        <v xml:space="preserve"> امارات متحده عربي</v>
      </c>
      <c r="M3208" s="68" t="s">
        <v>8913</v>
      </c>
      <c r="N3208" s="53" t="str">
        <f t="shared" si="24"/>
        <v>بندرعباس</v>
      </c>
      <c r="O3208" s="53">
        <v>50100</v>
      </c>
      <c r="P3208" s="198" t="s">
        <v>8706</v>
      </c>
    </row>
    <row r="3209" spans="1:16" ht="18.75" hidden="1">
      <c r="A3209" s="50" t="s">
        <v>8775</v>
      </c>
      <c r="B3209" s="50" t="s">
        <v>6457</v>
      </c>
      <c r="C3209" s="50" t="s">
        <v>8776</v>
      </c>
      <c r="D3209" s="50" t="s">
        <v>8636</v>
      </c>
      <c r="E3209" s="12" t="s">
        <v>4971</v>
      </c>
      <c r="F3209" s="49">
        <v>499990</v>
      </c>
      <c r="G3209" s="77" t="s">
        <v>5779</v>
      </c>
      <c r="H3209" s="14" t="s">
        <v>5601</v>
      </c>
      <c r="I3209" s="14" t="s">
        <v>2458</v>
      </c>
      <c r="J3209" s="33" t="e">
        <f>VLOOKUP(C3209,شرکتها!A:B,2,FALSE)</f>
        <v>#N/A</v>
      </c>
      <c r="K3209" s="33" t="s">
        <v>8833</v>
      </c>
      <c r="L3209" s="53" t="str">
        <f>"بنگلادش"</f>
        <v>بنگلادش</v>
      </c>
      <c r="M3209" s="68" t="s">
        <v>8912</v>
      </c>
      <c r="N3209" s="53" t="str">
        <f t="shared" si="24"/>
        <v>بندرعباس</v>
      </c>
      <c r="O3209" s="53">
        <v>50100</v>
      </c>
      <c r="P3209" s="198" t="s">
        <v>7211</v>
      </c>
    </row>
    <row r="3210" spans="1:16" ht="18.75" hidden="1">
      <c r="A3210" s="50" t="s">
        <v>8777</v>
      </c>
      <c r="B3210" s="50" t="s">
        <v>6457</v>
      </c>
      <c r="C3210" s="50" t="s">
        <v>8778</v>
      </c>
      <c r="D3210" s="50" t="s">
        <v>8618</v>
      </c>
      <c r="E3210" s="12" t="s">
        <v>4971</v>
      </c>
      <c r="F3210" s="49">
        <v>793742</v>
      </c>
      <c r="G3210" s="77" t="s">
        <v>5779</v>
      </c>
      <c r="H3210" s="14" t="s">
        <v>5601</v>
      </c>
      <c r="I3210" s="14" t="s">
        <v>2458</v>
      </c>
      <c r="J3210" s="33" t="e">
        <f>VLOOKUP(C3210,شرکتها!A:B,2,FALSE)</f>
        <v>#N/A</v>
      </c>
      <c r="K3210" s="33" t="s">
        <v>8833</v>
      </c>
      <c r="L3210" s="53" t="str">
        <f>"کنيا"</f>
        <v>کنيا</v>
      </c>
      <c r="M3210" s="68" t="s">
        <v>8912</v>
      </c>
      <c r="N3210" s="53" t="str">
        <f t="shared" si="24"/>
        <v>بندرعباس</v>
      </c>
      <c r="O3210" s="53">
        <v>50100</v>
      </c>
      <c r="P3210" s="198" t="s">
        <v>7211</v>
      </c>
    </row>
    <row r="3211" spans="1:16" ht="18.75" hidden="1">
      <c r="A3211" s="50" t="s">
        <v>8777</v>
      </c>
      <c r="B3211" s="50" t="s">
        <v>6457</v>
      </c>
      <c r="C3211" s="50" t="s">
        <v>8121</v>
      </c>
      <c r="D3211" s="50" t="s">
        <v>8618</v>
      </c>
      <c r="E3211" s="12" t="s">
        <v>4971</v>
      </c>
      <c r="F3211" s="49">
        <v>3456</v>
      </c>
      <c r="G3211" s="77" t="s">
        <v>5779</v>
      </c>
      <c r="H3211" s="14" t="s">
        <v>5601</v>
      </c>
      <c r="I3211" s="14" t="s">
        <v>2458</v>
      </c>
      <c r="J3211" s="33" t="e">
        <f>VLOOKUP(C3211,شرکتها!A:B,2,FALSE)</f>
        <v>#N/A</v>
      </c>
      <c r="K3211" s="33" t="s">
        <v>8833</v>
      </c>
      <c r="L3211" s="53" t="str">
        <f>"کنيا"</f>
        <v>کنيا</v>
      </c>
      <c r="M3211" s="68" t="s">
        <v>8912</v>
      </c>
      <c r="N3211" s="53" t="str">
        <f t="shared" si="24"/>
        <v>بندرعباس</v>
      </c>
      <c r="O3211" s="53">
        <v>50100</v>
      </c>
      <c r="P3211" s="198" t="s">
        <v>7211</v>
      </c>
    </row>
    <row r="3212" spans="1:16" ht="18.75" hidden="1">
      <c r="A3212" s="50" t="s">
        <v>8779</v>
      </c>
      <c r="B3212" s="50" t="s">
        <v>8621</v>
      </c>
      <c r="C3212" s="50" t="s">
        <v>8768</v>
      </c>
      <c r="D3212" s="50" t="s">
        <v>6247</v>
      </c>
      <c r="E3212" s="12" t="s">
        <v>4971</v>
      </c>
      <c r="F3212" s="49">
        <v>16925</v>
      </c>
      <c r="G3212" s="77" t="s">
        <v>5607</v>
      </c>
      <c r="H3212" s="14" t="s">
        <v>5601</v>
      </c>
      <c r="I3212" s="14" t="s">
        <v>2458</v>
      </c>
      <c r="J3212" s="33" t="s">
        <v>7110</v>
      </c>
      <c r="K3212" s="33" t="s">
        <v>8833</v>
      </c>
      <c r="L3212" s="53" t="str">
        <f>"سريلانکا"</f>
        <v>سريلانکا</v>
      </c>
      <c r="M3212" s="68" t="s">
        <v>8912</v>
      </c>
      <c r="N3212" s="53" t="str">
        <f t="shared" si="24"/>
        <v>بندرعباس</v>
      </c>
      <c r="O3212" s="53">
        <v>50100</v>
      </c>
      <c r="P3212" s="198" t="s">
        <v>7233</v>
      </c>
    </row>
    <row r="3213" spans="1:16" ht="18.75" hidden="1">
      <c r="A3213" s="50" t="s">
        <v>8779</v>
      </c>
      <c r="B3213" s="50" t="s">
        <v>8621</v>
      </c>
      <c r="C3213" s="50" t="s">
        <v>8780</v>
      </c>
      <c r="D3213" s="50" t="s">
        <v>6337</v>
      </c>
      <c r="E3213" s="12" t="s">
        <v>4971</v>
      </c>
      <c r="F3213" s="49">
        <v>498277</v>
      </c>
      <c r="G3213" s="77" t="s">
        <v>5607</v>
      </c>
      <c r="H3213" s="14" t="s">
        <v>5601</v>
      </c>
      <c r="I3213" s="14" t="s">
        <v>2458</v>
      </c>
      <c r="J3213" s="33" t="s">
        <v>7110</v>
      </c>
      <c r="K3213" s="33" t="s">
        <v>8833</v>
      </c>
      <c r="L3213" s="53" t="str">
        <f>"سريلانکا"</f>
        <v>سريلانکا</v>
      </c>
      <c r="M3213" s="68" t="s">
        <v>8912</v>
      </c>
      <c r="N3213" s="53" t="str">
        <f t="shared" si="24"/>
        <v>بندرعباس</v>
      </c>
      <c r="O3213" s="53">
        <v>50100</v>
      </c>
      <c r="P3213" s="198" t="s">
        <v>7233</v>
      </c>
    </row>
    <row r="3214" spans="1:16" ht="18.75" hidden="1">
      <c r="A3214" s="50" t="s">
        <v>8781</v>
      </c>
      <c r="B3214" s="50" t="s">
        <v>8764</v>
      </c>
      <c r="C3214" s="50" t="s">
        <v>8782</v>
      </c>
      <c r="D3214" s="50" t="s">
        <v>8767</v>
      </c>
      <c r="E3214" s="12" t="s">
        <v>4971</v>
      </c>
      <c r="F3214" s="49">
        <v>291600</v>
      </c>
      <c r="G3214" s="77" t="s">
        <v>5607</v>
      </c>
      <c r="H3214" s="14" t="s">
        <v>5601</v>
      </c>
      <c r="I3214" s="14" t="s">
        <v>2458</v>
      </c>
      <c r="J3214" s="33" t="s">
        <v>7110</v>
      </c>
      <c r="K3214" s="33" t="s">
        <v>8833</v>
      </c>
      <c r="L3214" s="53" t="str">
        <f>" ميانمار"</f>
        <v xml:space="preserve"> ميانمار</v>
      </c>
      <c r="M3214" s="68" t="s">
        <v>8912</v>
      </c>
      <c r="N3214" s="53" t="str">
        <f t="shared" si="24"/>
        <v>بندرعباس</v>
      </c>
      <c r="O3214" s="53">
        <v>50100</v>
      </c>
      <c r="P3214" s="198" t="s">
        <v>8497</v>
      </c>
    </row>
    <row r="3215" spans="1:16" ht="18.75" hidden="1">
      <c r="A3215" s="50" t="s">
        <v>8783</v>
      </c>
      <c r="B3215" s="50" t="s">
        <v>8617</v>
      </c>
      <c r="C3215" s="50" t="s">
        <v>8784</v>
      </c>
      <c r="D3215" s="50" t="s">
        <v>8617</v>
      </c>
      <c r="E3215" s="12" t="s">
        <v>4971</v>
      </c>
      <c r="F3215" s="49">
        <v>1749931</v>
      </c>
      <c r="G3215" s="77" t="s">
        <v>5779</v>
      </c>
      <c r="H3215" s="14" t="s">
        <v>5601</v>
      </c>
      <c r="I3215" s="14" t="s">
        <v>2458</v>
      </c>
      <c r="J3215" s="33" t="e">
        <f>VLOOKUP(C3215,شرکتها!A:B,2,FALSE)</f>
        <v>#N/A</v>
      </c>
      <c r="K3215" s="33" t="s">
        <v>8833</v>
      </c>
      <c r="L3215" s="53" t="str">
        <f>"قطر"</f>
        <v>قطر</v>
      </c>
      <c r="M3215" s="68" t="s">
        <v>8913</v>
      </c>
      <c r="N3215" s="53" t="str">
        <f t="shared" si="24"/>
        <v>بندرعباس</v>
      </c>
      <c r="O3215" s="53">
        <v>50100</v>
      </c>
      <c r="P3215" s="198" t="s">
        <v>7124</v>
      </c>
    </row>
    <row r="3216" spans="1:16" ht="18.75" hidden="1">
      <c r="A3216" s="50" t="s">
        <v>8785</v>
      </c>
      <c r="B3216" s="50" t="s">
        <v>8770</v>
      </c>
      <c r="C3216" s="50" t="s">
        <v>8786</v>
      </c>
      <c r="D3216" s="50" t="s">
        <v>8774</v>
      </c>
      <c r="E3216" s="12" t="s">
        <v>4971</v>
      </c>
      <c r="F3216" s="49">
        <v>948498</v>
      </c>
      <c r="G3216" s="77" t="s">
        <v>5779</v>
      </c>
      <c r="H3216" s="14" t="s">
        <v>5601</v>
      </c>
      <c r="I3216" s="14" t="s">
        <v>2458</v>
      </c>
      <c r="J3216" s="33" t="e">
        <f>VLOOKUP(C3216,شرکتها!A:B,2,FALSE)</f>
        <v>#N/A</v>
      </c>
      <c r="K3216" s="33" t="s">
        <v>8833</v>
      </c>
      <c r="L3216" s="53" t="str">
        <f>"قطر"</f>
        <v>قطر</v>
      </c>
      <c r="M3216" s="68" t="s">
        <v>8913</v>
      </c>
      <c r="N3216" s="53" t="str">
        <f t="shared" si="24"/>
        <v>بندرعباس</v>
      </c>
      <c r="O3216" s="53">
        <v>50100</v>
      </c>
      <c r="P3216" s="198" t="s">
        <v>7144</v>
      </c>
    </row>
    <row r="3217" spans="1:16" ht="18.75" hidden="1">
      <c r="A3217" s="50" t="s">
        <v>8781</v>
      </c>
      <c r="B3217" s="50" t="s">
        <v>8764</v>
      </c>
      <c r="C3217" s="50" t="s">
        <v>7871</v>
      </c>
      <c r="D3217" s="50" t="s">
        <v>6328</v>
      </c>
      <c r="E3217" s="12" t="s">
        <v>4971</v>
      </c>
      <c r="F3217" s="49">
        <v>8330</v>
      </c>
      <c r="G3217" s="77" t="s">
        <v>5607</v>
      </c>
      <c r="H3217" s="14" t="s">
        <v>5601</v>
      </c>
      <c r="I3217" s="14" t="s">
        <v>2458</v>
      </c>
      <c r="J3217" s="33" t="s">
        <v>7110</v>
      </c>
      <c r="K3217" s="33" t="s">
        <v>8833</v>
      </c>
      <c r="L3217" s="53" t="str">
        <f>" ميانمار"</f>
        <v xml:space="preserve"> ميانمار</v>
      </c>
      <c r="M3217" s="68" t="s">
        <v>8912</v>
      </c>
      <c r="N3217" s="53" t="str">
        <f t="shared" si="24"/>
        <v>بندرعباس</v>
      </c>
      <c r="O3217" s="53">
        <v>50100</v>
      </c>
      <c r="P3217" s="198" t="s">
        <v>7233</v>
      </c>
    </row>
    <row r="3218" spans="1:16" ht="18.75" hidden="1">
      <c r="A3218" s="50" t="s">
        <v>8787</v>
      </c>
      <c r="B3218" s="50" t="s">
        <v>8788</v>
      </c>
      <c r="C3218" s="50" t="s">
        <v>8776</v>
      </c>
      <c r="D3218" s="50" t="s">
        <v>8636</v>
      </c>
      <c r="E3218" s="12" t="s">
        <v>4971</v>
      </c>
      <c r="F3218" s="49">
        <v>480246</v>
      </c>
      <c r="G3218" s="77" t="s">
        <v>5779</v>
      </c>
      <c r="H3218" s="14" t="s">
        <v>5601</v>
      </c>
      <c r="I3218" s="14" t="s">
        <v>2458</v>
      </c>
      <c r="J3218" s="33" t="e">
        <f>VLOOKUP(C3218,شرکتها!A:B,2,FALSE)</f>
        <v>#N/A</v>
      </c>
      <c r="K3218" s="33" t="s">
        <v>8833</v>
      </c>
      <c r="L3218" s="53" t="str">
        <f>"بنگلادش"</f>
        <v>بنگلادش</v>
      </c>
      <c r="M3218" s="68" t="s">
        <v>8912</v>
      </c>
      <c r="N3218" s="53" t="str">
        <f t="shared" si="24"/>
        <v>بندرعباس</v>
      </c>
      <c r="O3218" s="53">
        <v>50100</v>
      </c>
      <c r="P3218" s="198" t="s">
        <v>7211</v>
      </c>
    </row>
    <row r="3219" spans="1:16" ht="18.75" hidden="1">
      <c r="A3219" s="50" t="s">
        <v>8789</v>
      </c>
      <c r="B3219" s="50" t="s">
        <v>8617</v>
      </c>
      <c r="C3219" s="50" t="s">
        <v>8790</v>
      </c>
      <c r="D3219" s="50" t="s">
        <v>8617</v>
      </c>
      <c r="E3219" s="12" t="s">
        <v>4971</v>
      </c>
      <c r="F3219" s="49">
        <v>3493888</v>
      </c>
      <c r="G3219" s="77" t="s">
        <v>5779</v>
      </c>
      <c r="H3219" s="14" t="s">
        <v>5601</v>
      </c>
      <c r="I3219" s="14" t="s">
        <v>2458</v>
      </c>
      <c r="J3219" s="33" t="e">
        <f>VLOOKUP(C3219,شرکتها!A:B,2,FALSE)</f>
        <v>#N/A</v>
      </c>
      <c r="K3219" s="33" t="s">
        <v>8833</v>
      </c>
      <c r="L3219" s="53" t="str">
        <f>" امارات متحده عربي"</f>
        <v xml:space="preserve"> امارات متحده عربي</v>
      </c>
      <c r="M3219" s="68" t="s">
        <v>8913</v>
      </c>
      <c r="N3219" s="53" t="str">
        <f t="shared" si="24"/>
        <v>بندرعباس</v>
      </c>
      <c r="O3219" s="53">
        <v>50100</v>
      </c>
      <c r="P3219" s="198" t="s">
        <v>7124</v>
      </c>
    </row>
    <row r="3220" spans="1:16" ht="18.75" hidden="1">
      <c r="A3220" s="50" t="s">
        <v>8791</v>
      </c>
      <c r="B3220" s="50" t="s">
        <v>8764</v>
      </c>
      <c r="C3220" s="50" t="s">
        <v>5990</v>
      </c>
      <c r="D3220" s="50" t="s">
        <v>5496</v>
      </c>
      <c r="E3220" s="12" t="s">
        <v>4971</v>
      </c>
      <c r="F3220" s="49">
        <v>487000</v>
      </c>
      <c r="G3220" s="77" t="s">
        <v>5611</v>
      </c>
      <c r="H3220" s="14" t="s">
        <v>5601</v>
      </c>
      <c r="I3220" s="14" t="s">
        <v>2458</v>
      </c>
      <c r="J3220" s="33" t="s">
        <v>7110</v>
      </c>
      <c r="K3220" s="33" t="s">
        <v>8833</v>
      </c>
      <c r="L3220" s="53" t="str">
        <f>"تايوان"</f>
        <v>تايوان</v>
      </c>
      <c r="M3220" s="68" t="s">
        <v>8912</v>
      </c>
      <c r="N3220" s="53" t="str">
        <f t="shared" si="24"/>
        <v>بندرعباس</v>
      </c>
      <c r="O3220" s="53">
        <v>50100</v>
      </c>
      <c r="P3220" s="198" t="s">
        <v>5826</v>
      </c>
    </row>
    <row r="3221" spans="1:16" ht="18.75" hidden="1">
      <c r="A3221" s="50" t="s">
        <v>8791</v>
      </c>
      <c r="B3221" s="50" t="s">
        <v>8764</v>
      </c>
      <c r="C3221" s="50" t="s">
        <v>5991</v>
      </c>
      <c r="D3221" s="50" t="s">
        <v>5496</v>
      </c>
      <c r="E3221" s="12" t="s">
        <v>4971</v>
      </c>
      <c r="F3221" s="49">
        <v>300000</v>
      </c>
      <c r="G3221" s="77" t="s">
        <v>5611</v>
      </c>
      <c r="H3221" s="14" t="s">
        <v>5601</v>
      </c>
      <c r="I3221" s="14" t="s">
        <v>2458</v>
      </c>
      <c r="J3221" s="33" t="s">
        <v>7110</v>
      </c>
      <c r="K3221" s="33" t="s">
        <v>8833</v>
      </c>
      <c r="L3221" s="53" t="str">
        <f>"تايوان"</f>
        <v>تايوان</v>
      </c>
      <c r="M3221" s="68" t="s">
        <v>8912</v>
      </c>
      <c r="N3221" s="53" t="str">
        <f t="shared" si="24"/>
        <v>بندرعباس</v>
      </c>
      <c r="O3221" s="53">
        <v>50100</v>
      </c>
      <c r="P3221" s="198" t="s">
        <v>5826</v>
      </c>
    </row>
    <row r="3222" spans="1:16" ht="18.75" hidden="1">
      <c r="A3222" s="50" t="s">
        <v>8792</v>
      </c>
      <c r="B3222" s="50" t="s">
        <v>8793</v>
      </c>
      <c r="C3222" s="50" t="s">
        <v>8794</v>
      </c>
      <c r="D3222" s="50" t="s">
        <v>6247</v>
      </c>
      <c r="E3222" s="12" t="s">
        <v>4971</v>
      </c>
      <c r="F3222" s="49">
        <v>445360</v>
      </c>
      <c r="G3222" s="77" t="s">
        <v>5631</v>
      </c>
      <c r="H3222" s="14" t="s">
        <v>5601</v>
      </c>
      <c r="I3222" s="14" t="s">
        <v>2458</v>
      </c>
      <c r="J3222" s="33" t="s">
        <v>7110</v>
      </c>
      <c r="K3222" s="33" t="s">
        <v>8833</v>
      </c>
      <c r="L3222" s="53" t="str">
        <f>"کنيا"</f>
        <v>کنيا</v>
      </c>
      <c r="M3222" s="68" t="s">
        <v>8912</v>
      </c>
      <c r="N3222" s="53" t="str">
        <f t="shared" si="24"/>
        <v>بندرعباس</v>
      </c>
      <c r="O3222" s="53">
        <v>50100</v>
      </c>
      <c r="P3222" s="197" t="s">
        <v>5836</v>
      </c>
    </row>
    <row r="3223" spans="1:16" ht="18.75" hidden="1">
      <c r="A3223" s="50" t="s">
        <v>8795</v>
      </c>
      <c r="B3223" s="50" t="s">
        <v>8764</v>
      </c>
      <c r="C3223" s="50" t="s">
        <v>8794</v>
      </c>
      <c r="D3223" s="50" t="s">
        <v>6247</v>
      </c>
      <c r="E3223" s="12" t="s">
        <v>4971</v>
      </c>
      <c r="F3223" s="49">
        <v>299640</v>
      </c>
      <c r="G3223" s="77" t="s">
        <v>5631</v>
      </c>
      <c r="H3223" s="14" t="s">
        <v>5601</v>
      </c>
      <c r="I3223" s="14" t="s">
        <v>2458</v>
      </c>
      <c r="J3223" s="33" t="s">
        <v>7110</v>
      </c>
      <c r="K3223" s="33" t="s">
        <v>8833</v>
      </c>
      <c r="L3223" s="53" t="str">
        <f>"کنيا"</f>
        <v>کنيا</v>
      </c>
      <c r="M3223" s="68" t="s">
        <v>8912</v>
      </c>
      <c r="N3223" s="53" t="str">
        <f t="shared" si="24"/>
        <v>بندرعباس</v>
      </c>
      <c r="O3223" s="53">
        <v>50100</v>
      </c>
      <c r="P3223" s="197" t="s">
        <v>5836</v>
      </c>
    </row>
    <row r="3224" spans="1:16" ht="18.75" hidden="1">
      <c r="A3224" s="50" t="s">
        <v>8796</v>
      </c>
      <c r="B3224" s="50" t="s">
        <v>6457</v>
      </c>
      <c r="C3224" s="50" t="s">
        <v>8776</v>
      </c>
      <c r="D3224" s="50" t="s">
        <v>8636</v>
      </c>
      <c r="E3224" s="12" t="s">
        <v>4971</v>
      </c>
      <c r="F3224" s="49">
        <v>19370</v>
      </c>
      <c r="G3224" s="77" t="s">
        <v>5779</v>
      </c>
      <c r="H3224" s="14" t="s">
        <v>5601</v>
      </c>
      <c r="I3224" s="14" t="s">
        <v>2458</v>
      </c>
      <c r="J3224" s="33" t="e">
        <f>VLOOKUP(C3224,شرکتها!A:B,2,FALSE)</f>
        <v>#N/A</v>
      </c>
      <c r="K3224" s="33" t="s">
        <v>8833</v>
      </c>
      <c r="L3224" s="53" t="str">
        <f>"کنيا"</f>
        <v>کنيا</v>
      </c>
      <c r="M3224" s="68" t="s">
        <v>8912</v>
      </c>
      <c r="N3224" s="53" t="str">
        <f t="shared" si="24"/>
        <v>بندرعباس</v>
      </c>
      <c r="O3224" s="53">
        <v>50100</v>
      </c>
      <c r="P3224" s="198" t="s">
        <v>7211</v>
      </c>
    </row>
    <row r="3225" spans="1:16" ht="18.75" hidden="1">
      <c r="A3225" s="50" t="s">
        <v>8797</v>
      </c>
      <c r="B3225" s="50" t="s">
        <v>8767</v>
      </c>
      <c r="C3225" s="50" t="s">
        <v>8768</v>
      </c>
      <c r="D3225" s="50" t="s">
        <v>6247</v>
      </c>
      <c r="E3225" s="12" t="s">
        <v>4971</v>
      </c>
      <c r="F3225" s="49">
        <v>915921</v>
      </c>
      <c r="G3225" s="77" t="s">
        <v>5607</v>
      </c>
      <c r="H3225" s="14" t="s">
        <v>5601</v>
      </c>
      <c r="I3225" s="14" t="s">
        <v>2458</v>
      </c>
      <c r="J3225" s="33" t="s">
        <v>7110</v>
      </c>
      <c r="K3225" s="33" t="s">
        <v>8833</v>
      </c>
      <c r="L3225" s="53" t="str">
        <f>"اندونزي"</f>
        <v>اندونزي</v>
      </c>
      <c r="M3225" s="68" t="s">
        <v>8912</v>
      </c>
      <c r="N3225" s="53" t="str">
        <f t="shared" si="24"/>
        <v>بندرعباس</v>
      </c>
      <c r="O3225" s="53">
        <v>50100</v>
      </c>
      <c r="P3225" s="198" t="s">
        <v>7233</v>
      </c>
    </row>
    <row r="3226" spans="1:16" ht="18.75" hidden="1">
      <c r="A3226" s="50" t="s">
        <v>8791</v>
      </c>
      <c r="B3226" s="50" t="s">
        <v>8764</v>
      </c>
      <c r="C3226" s="50" t="s">
        <v>5985</v>
      </c>
      <c r="D3226" s="50" t="s">
        <v>5496</v>
      </c>
      <c r="E3226" s="12" t="s">
        <v>4971</v>
      </c>
      <c r="F3226" s="49">
        <v>160000</v>
      </c>
      <c r="G3226" s="77" t="s">
        <v>5611</v>
      </c>
      <c r="H3226" s="14" t="s">
        <v>5601</v>
      </c>
      <c r="I3226" s="14" t="s">
        <v>2458</v>
      </c>
      <c r="J3226" s="33" t="s">
        <v>7110</v>
      </c>
      <c r="K3226" s="33" t="s">
        <v>8833</v>
      </c>
      <c r="L3226" s="53" t="str">
        <f>"تايوان"</f>
        <v>تايوان</v>
      </c>
      <c r="M3226" s="68" t="s">
        <v>8912</v>
      </c>
      <c r="N3226" s="53" t="str">
        <f t="shared" si="24"/>
        <v>بندرعباس</v>
      </c>
      <c r="O3226" s="53">
        <v>50100</v>
      </c>
      <c r="P3226" s="198" t="s">
        <v>5826</v>
      </c>
    </row>
    <row r="3227" spans="1:16" ht="18.75" hidden="1">
      <c r="A3227" s="50" t="s">
        <v>8798</v>
      </c>
      <c r="B3227" s="50" t="s">
        <v>8695</v>
      </c>
      <c r="C3227" s="50" t="s">
        <v>8799</v>
      </c>
      <c r="D3227" s="50" t="s">
        <v>6337</v>
      </c>
      <c r="E3227" s="12" t="s">
        <v>4971</v>
      </c>
      <c r="F3227" s="49">
        <v>150000</v>
      </c>
      <c r="G3227" s="77" t="s">
        <v>5631</v>
      </c>
      <c r="H3227" s="14" t="s">
        <v>5601</v>
      </c>
      <c r="I3227" s="14" t="s">
        <v>2458</v>
      </c>
      <c r="J3227" s="33" t="s">
        <v>7110</v>
      </c>
      <c r="K3227" s="33" t="s">
        <v>8833</v>
      </c>
      <c r="L3227" s="53" t="str">
        <f>"کنيا"</f>
        <v>کنيا</v>
      </c>
      <c r="M3227" s="68" t="s">
        <v>8912</v>
      </c>
      <c r="N3227" s="53" t="str">
        <f t="shared" si="24"/>
        <v>بندرعباس</v>
      </c>
      <c r="O3227" s="53">
        <v>50100</v>
      </c>
      <c r="P3227" s="197" t="s">
        <v>5836</v>
      </c>
    </row>
    <row r="3228" spans="1:16" ht="18.75" hidden="1">
      <c r="A3228" s="50" t="s">
        <v>8798</v>
      </c>
      <c r="B3228" s="50" t="s">
        <v>8695</v>
      </c>
      <c r="C3228" s="50" t="s">
        <v>8800</v>
      </c>
      <c r="D3228" s="50" t="s">
        <v>6302</v>
      </c>
      <c r="E3228" s="12" t="s">
        <v>4971</v>
      </c>
      <c r="F3228" s="49">
        <v>800000</v>
      </c>
      <c r="G3228" s="77" t="s">
        <v>5631</v>
      </c>
      <c r="H3228" s="14" t="s">
        <v>5601</v>
      </c>
      <c r="I3228" s="14" t="s">
        <v>2458</v>
      </c>
      <c r="J3228" s="33" t="s">
        <v>7110</v>
      </c>
      <c r="K3228" s="33" t="s">
        <v>8833</v>
      </c>
      <c r="L3228" s="53" t="str">
        <f>"کنيا"</f>
        <v>کنيا</v>
      </c>
      <c r="M3228" s="68" t="s">
        <v>8912</v>
      </c>
      <c r="N3228" s="53" t="str">
        <f t="shared" si="24"/>
        <v>بندرعباس</v>
      </c>
      <c r="O3228" s="53">
        <v>50100</v>
      </c>
      <c r="P3228" s="197" t="s">
        <v>5836</v>
      </c>
    </row>
    <row r="3229" spans="1:16" ht="18.75" hidden="1">
      <c r="A3229" s="50" t="s">
        <v>8797</v>
      </c>
      <c r="B3229" s="50" t="s">
        <v>8767</v>
      </c>
      <c r="C3229" s="50" t="s">
        <v>7254</v>
      </c>
      <c r="D3229" s="50" t="s">
        <v>6247</v>
      </c>
      <c r="E3229" s="12" t="s">
        <v>4971</v>
      </c>
      <c r="F3229" s="49">
        <v>193095</v>
      </c>
      <c r="G3229" s="77" t="s">
        <v>5607</v>
      </c>
      <c r="H3229" s="14" t="s">
        <v>5601</v>
      </c>
      <c r="I3229" s="14" t="s">
        <v>2458</v>
      </c>
      <c r="J3229" s="33" t="s">
        <v>7110</v>
      </c>
      <c r="K3229" s="33" t="s">
        <v>8833</v>
      </c>
      <c r="L3229" s="53" t="str">
        <f>"اندونزي"</f>
        <v>اندونزي</v>
      </c>
      <c r="M3229" s="68" t="s">
        <v>8912</v>
      </c>
      <c r="N3229" s="53" t="str">
        <f t="shared" si="24"/>
        <v>بندرعباس</v>
      </c>
      <c r="O3229" s="53">
        <v>50100</v>
      </c>
      <c r="P3229" s="198" t="s">
        <v>7233</v>
      </c>
    </row>
    <row r="3230" spans="1:16" ht="18.75" hidden="1">
      <c r="A3230" s="50" t="s">
        <v>8801</v>
      </c>
      <c r="B3230" s="50" t="s">
        <v>8770</v>
      </c>
      <c r="C3230" s="50" t="s">
        <v>8780</v>
      </c>
      <c r="D3230" s="50" t="s">
        <v>6337</v>
      </c>
      <c r="E3230" s="12" t="s">
        <v>4971</v>
      </c>
      <c r="F3230" s="49">
        <v>91723</v>
      </c>
      <c r="G3230" s="77" t="s">
        <v>5607</v>
      </c>
      <c r="H3230" s="14" t="s">
        <v>5601</v>
      </c>
      <c r="I3230" s="14" t="s">
        <v>2458</v>
      </c>
      <c r="J3230" s="33" t="s">
        <v>7110</v>
      </c>
      <c r="K3230" s="33" t="s">
        <v>8833</v>
      </c>
      <c r="L3230" s="53" t="str">
        <f>"ويتنام"</f>
        <v>ويتنام</v>
      </c>
      <c r="M3230" s="68" t="s">
        <v>8912</v>
      </c>
      <c r="N3230" s="53" t="str">
        <f t="shared" si="24"/>
        <v>بندرعباس</v>
      </c>
      <c r="O3230" s="53">
        <v>50100</v>
      </c>
      <c r="P3230" s="198" t="s">
        <v>7233</v>
      </c>
    </row>
    <row r="3231" spans="1:16" ht="18.75" hidden="1">
      <c r="A3231" s="50" t="s">
        <v>8791</v>
      </c>
      <c r="B3231" s="50" t="s">
        <v>8764</v>
      </c>
      <c r="C3231" s="50" t="s">
        <v>5997</v>
      </c>
      <c r="D3231" s="50" t="s">
        <v>5839</v>
      </c>
      <c r="E3231" s="12" t="s">
        <v>4971</v>
      </c>
      <c r="F3231" s="49">
        <v>49050</v>
      </c>
      <c r="G3231" s="77" t="s">
        <v>5611</v>
      </c>
      <c r="H3231" s="14" t="s">
        <v>5601</v>
      </c>
      <c r="I3231" s="14" t="s">
        <v>2458</v>
      </c>
      <c r="J3231" s="33" t="s">
        <v>7110</v>
      </c>
      <c r="K3231" s="33" t="s">
        <v>8833</v>
      </c>
      <c r="L3231" s="53" t="str">
        <f>"تايوان"</f>
        <v>تايوان</v>
      </c>
      <c r="M3231" s="68" t="s">
        <v>8912</v>
      </c>
      <c r="N3231" s="53" t="str">
        <f t="shared" si="24"/>
        <v>بندرعباس</v>
      </c>
      <c r="O3231" s="53">
        <v>50100</v>
      </c>
      <c r="P3231" s="198" t="s">
        <v>5826</v>
      </c>
    </row>
    <row r="3232" spans="1:16" ht="18.75" hidden="1">
      <c r="A3232" s="50" t="s">
        <v>8787</v>
      </c>
      <c r="B3232" s="50" t="s">
        <v>8788</v>
      </c>
      <c r="C3232" s="50" t="s">
        <v>8802</v>
      </c>
      <c r="D3232" s="50" t="s">
        <v>8617</v>
      </c>
      <c r="E3232" s="12" t="s">
        <v>4971</v>
      </c>
      <c r="F3232" s="49">
        <v>19754</v>
      </c>
      <c r="G3232" s="77" t="s">
        <v>5779</v>
      </c>
      <c r="H3232" s="14" t="s">
        <v>5601</v>
      </c>
      <c r="I3232" s="14" t="s">
        <v>2458</v>
      </c>
      <c r="J3232" s="33" t="e">
        <f>VLOOKUP(C3232,شرکتها!A:B,2,FALSE)</f>
        <v>#N/A</v>
      </c>
      <c r="K3232" s="33" t="s">
        <v>8833</v>
      </c>
      <c r="L3232" s="53" t="str">
        <f>"بنگلادش"</f>
        <v>بنگلادش</v>
      </c>
      <c r="M3232" s="68" t="s">
        <v>8912</v>
      </c>
      <c r="N3232" s="53" t="str">
        <f t="shared" si="24"/>
        <v>بندرعباس</v>
      </c>
      <c r="O3232" s="53">
        <v>50100</v>
      </c>
      <c r="P3232" s="198" t="s">
        <v>7211</v>
      </c>
    </row>
    <row r="3233" spans="1:16" ht="18.75" hidden="1">
      <c r="A3233" s="50" t="s">
        <v>8796</v>
      </c>
      <c r="B3233" s="50" t="s">
        <v>6457</v>
      </c>
      <c r="C3233" s="50" t="s">
        <v>8803</v>
      </c>
      <c r="D3233" s="50" t="s">
        <v>8618</v>
      </c>
      <c r="E3233" s="12" t="s">
        <v>4971</v>
      </c>
      <c r="F3233" s="49">
        <v>280510</v>
      </c>
      <c r="G3233" s="77" t="s">
        <v>5779</v>
      </c>
      <c r="H3233" s="14" t="s">
        <v>5601</v>
      </c>
      <c r="I3233" s="14" t="s">
        <v>2458</v>
      </c>
      <c r="J3233" s="33" t="e">
        <f>VLOOKUP(C3233,شرکتها!A:B,2,FALSE)</f>
        <v>#N/A</v>
      </c>
      <c r="K3233" s="33" t="s">
        <v>8833</v>
      </c>
      <c r="L3233" s="53" t="str">
        <f>"کنيا"</f>
        <v>کنيا</v>
      </c>
      <c r="M3233" s="68" t="s">
        <v>8912</v>
      </c>
      <c r="N3233" s="53" t="str">
        <f t="shared" si="24"/>
        <v>بندرعباس</v>
      </c>
      <c r="O3233" s="53">
        <v>50100</v>
      </c>
      <c r="P3233" s="198" t="s">
        <v>7211</v>
      </c>
    </row>
    <row r="3234" spans="1:16" ht="18.75" hidden="1">
      <c r="A3234" s="50" t="s">
        <v>8804</v>
      </c>
      <c r="B3234" s="50" t="s">
        <v>8621</v>
      </c>
      <c r="C3234" s="50" t="s">
        <v>8805</v>
      </c>
      <c r="D3234" s="50" t="s">
        <v>8793</v>
      </c>
      <c r="E3234" s="12" t="s">
        <v>4971</v>
      </c>
      <c r="F3234" s="49">
        <v>2129627</v>
      </c>
      <c r="G3234" s="77" t="s">
        <v>5779</v>
      </c>
      <c r="H3234" s="14" t="s">
        <v>5601</v>
      </c>
      <c r="I3234" s="14" t="s">
        <v>2458</v>
      </c>
      <c r="J3234" s="33" t="e">
        <f>VLOOKUP(C3234,شرکتها!A:B,2,FALSE)</f>
        <v>#N/A</v>
      </c>
      <c r="K3234" s="33" t="s">
        <v>8833</v>
      </c>
      <c r="L3234" s="53" t="str">
        <f>" امارات متحده عربي"</f>
        <v xml:space="preserve"> امارات متحده عربي</v>
      </c>
      <c r="M3234" s="68" t="s">
        <v>8913</v>
      </c>
      <c r="N3234" s="53" t="str">
        <f t="shared" si="24"/>
        <v>بندرعباس</v>
      </c>
      <c r="O3234" s="53">
        <v>50100</v>
      </c>
      <c r="P3234" s="198" t="s">
        <v>8706</v>
      </c>
    </row>
    <row r="3235" spans="1:16" ht="18.75" hidden="1">
      <c r="A3235" s="50" t="s">
        <v>8798</v>
      </c>
      <c r="B3235" s="50" t="s">
        <v>8695</v>
      </c>
      <c r="C3235" s="50" t="s">
        <v>8806</v>
      </c>
      <c r="D3235" s="50" t="s">
        <v>8620</v>
      </c>
      <c r="E3235" s="12" t="s">
        <v>4971</v>
      </c>
      <c r="F3235" s="49">
        <v>144836</v>
      </c>
      <c r="G3235" s="77" t="s">
        <v>5631</v>
      </c>
      <c r="H3235" s="14" t="s">
        <v>5601</v>
      </c>
      <c r="I3235" s="14" t="s">
        <v>2458</v>
      </c>
      <c r="J3235" s="33" t="s">
        <v>7110</v>
      </c>
      <c r="K3235" s="33" t="s">
        <v>8833</v>
      </c>
      <c r="L3235" s="53" t="str">
        <f>"کنيا"</f>
        <v>کنيا</v>
      </c>
      <c r="M3235" s="68" t="s">
        <v>8912</v>
      </c>
      <c r="N3235" s="53" t="str">
        <f t="shared" si="24"/>
        <v>بندرعباس</v>
      </c>
      <c r="O3235" s="53">
        <v>50100</v>
      </c>
      <c r="P3235" s="197" t="s">
        <v>5836</v>
      </c>
    </row>
    <row r="3236" spans="1:16" ht="18.75" hidden="1">
      <c r="A3236" s="50" t="s">
        <v>8807</v>
      </c>
      <c r="B3236" s="50" t="s">
        <v>6457</v>
      </c>
      <c r="C3236" s="50" t="s">
        <v>8808</v>
      </c>
      <c r="D3236" s="50" t="s">
        <v>8618</v>
      </c>
      <c r="E3236" s="12" t="s">
        <v>4971</v>
      </c>
      <c r="F3236" s="49">
        <v>300000</v>
      </c>
      <c r="G3236" s="77" t="s">
        <v>5779</v>
      </c>
      <c r="H3236" s="14" t="s">
        <v>5601</v>
      </c>
      <c r="I3236" s="14" t="s">
        <v>2458</v>
      </c>
      <c r="J3236" s="33" t="e">
        <f>VLOOKUP(C3236,شرکتها!A:B,2,FALSE)</f>
        <v>#N/A</v>
      </c>
      <c r="K3236" s="33" t="s">
        <v>8833</v>
      </c>
      <c r="L3236" s="53" t="str">
        <f>"کنيا"</f>
        <v>کنيا</v>
      </c>
      <c r="M3236" s="68" t="s">
        <v>8912</v>
      </c>
      <c r="N3236" s="53" t="str">
        <f t="shared" si="24"/>
        <v>بندرعباس</v>
      </c>
      <c r="O3236" s="53">
        <v>50100</v>
      </c>
      <c r="P3236" s="198" t="s">
        <v>7211</v>
      </c>
    </row>
    <row r="3237" spans="1:16" ht="18.75" hidden="1">
      <c r="A3237" s="50" t="s">
        <v>8792</v>
      </c>
      <c r="B3237" s="50" t="s">
        <v>8793</v>
      </c>
      <c r="C3237" s="50" t="s">
        <v>6335</v>
      </c>
      <c r="D3237" s="50" t="s">
        <v>6247</v>
      </c>
      <c r="E3237" s="12" t="s">
        <v>4971</v>
      </c>
      <c r="F3237" s="49">
        <v>56070</v>
      </c>
      <c r="G3237" s="77" t="s">
        <v>5631</v>
      </c>
      <c r="H3237" s="14" t="s">
        <v>5601</v>
      </c>
      <c r="I3237" s="14" t="s">
        <v>2458</v>
      </c>
      <c r="J3237" s="33" t="s">
        <v>7110</v>
      </c>
      <c r="K3237" s="33" t="s">
        <v>8833</v>
      </c>
      <c r="L3237" s="53" t="str">
        <f>"کنيا"</f>
        <v>کنيا</v>
      </c>
      <c r="M3237" s="68" t="s">
        <v>8912</v>
      </c>
      <c r="N3237" s="53" t="str">
        <f t="shared" si="24"/>
        <v>بندرعباس</v>
      </c>
      <c r="O3237" s="53">
        <v>50100</v>
      </c>
      <c r="P3237" s="197" t="s">
        <v>5836</v>
      </c>
    </row>
    <row r="3238" spans="1:16" ht="18.75" hidden="1">
      <c r="A3238" s="50" t="s">
        <v>8777</v>
      </c>
      <c r="B3238" s="50" t="s">
        <v>6457</v>
      </c>
      <c r="C3238" s="50" t="s">
        <v>8803</v>
      </c>
      <c r="D3238" s="50" t="s">
        <v>8618</v>
      </c>
      <c r="E3238" s="12" t="s">
        <v>4971</v>
      </c>
      <c r="F3238" s="49">
        <v>19112</v>
      </c>
      <c r="G3238" s="77" t="s">
        <v>5779</v>
      </c>
      <c r="H3238" s="14" t="s">
        <v>5601</v>
      </c>
      <c r="I3238" s="14" t="s">
        <v>2458</v>
      </c>
      <c r="J3238" s="33" t="e">
        <f>VLOOKUP(C3238,شرکتها!A:B,2,FALSE)</f>
        <v>#N/A</v>
      </c>
      <c r="K3238" s="33" t="s">
        <v>8833</v>
      </c>
      <c r="L3238" s="53" t="str">
        <f>"کنيا"</f>
        <v>کنيا</v>
      </c>
      <c r="M3238" s="68" t="s">
        <v>8912</v>
      </c>
      <c r="N3238" s="53" t="str">
        <f t="shared" si="24"/>
        <v>بندرعباس</v>
      </c>
      <c r="O3238" s="53">
        <v>50100</v>
      </c>
      <c r="P3238" s="198" t="s">
        <v>7211</v>
      </c>
    </row>
    <row r="3239" spans="1:16" ht="18.75" hidden="1">
      <c r="A3239" s="50" t="s">
        <v>8809</v>
      </c>
      <c r="B3239" s="50" t="s">
        <v>8764</v>
      </c>
      <c r="C3239" s="50" t="s">
        <v>8810</v>
      </c>
      <c r="D3239" s="50" t="s">
        <v>6457</v>
      </c>
      <c r="E3239" s="12" t="s">
        <v>4971</v>
      </c>
      <c r="F3239" s="49">
        <v>450000</v>
      </c>
      <c r="G3239" s="77" t="s">
        <v>5631</v>
      </c>
      <c r="H3239" s="14" t="s">
        <v>5601</v>
      </c>
      <c r="I3239" s="14" t="s">
        <v>2458</v>
      </c>
      <c r="J3239" s="33" t="s">
        <v>7110</v>
      </c>
      <c r="K3239" s="33" t="s">
        <v>8833</v>
      </c>
      <c r="L3239" s="53" t="str">
        <f>"هند"</f>
        <v>هند</v>
      </c>
      <c r="M3239" s="68" t="s">
        <v>8912</v>
      </c>
      <c r="N3239" s="53" t="str">
        <f t="shared" si="24"/>
        <v>بندرعباس</v>
      </c>
      <c r="O3239" s="53">
        <v>50100</v>
      </c>
      <c r="P3239" s="197" t="s">
        <v>7145</v>
      </c>
    </row>
    <row r="3240" spans="1:16" ht="18.75" hidden="1">
      <c r="A3240" s="50" t="s">
        <v>8811</v>
      </c>
      <c r="B3240" s="50" t="s">
        <v>8788</v>
      </c>
      <c r="C3240" s="50" t="s">
        <v>6331</v>
      </c>
      <c r="D3240" s="50" t="s">
        <v>6332</v>
      </c>
      <c r="E3240" s="12" t="s">
        <v>4971</v>
      </c>
      <c r="F3240" s="49">
        <v>10000</v>
      </c>
      <c r="G3240" s="77" t="s">
        <v>5631</v>
      </c>
      <c r="H3240" s="14" t="s">
        <v>5601</v>
      </c>
      <c r="I3240" s="14" t="s">
        <v>2458</v>
      </c>
      <c r="J3240" s="33" t="s">
        <v>7110</v>
      </c>
      <c r="K3240" s="33" t="s">
        <v>8833</v>
      </c>
      <c r="L3240" s="53" t="str">
        <f>"هند"</f>
        <v>هند</v>
      </c>
      <c r="M3240" s="68" t="s">
        <v>8912</v>
      </c>
      <c r="N3240" s="53" t="str">
        <f t="shared" si="24"/>
        <v>بندرعباس</v>
      </c>
      <c r="O3240" s="53">
        <v>50100</v>
      </c>
      <c r="P3240" s="197" t="s">
        <v>5842</v>
      </c>
    </row>
    <row r="3241" spans="1:16" ht="18.75" hidden="1">
      <c r="A3241" s="50" t="s">
        <v>8809</v>
      </c>
      <c r="B3241" s="50" t="s">
        <v>8764</v>
      </c>
      <c r="C3241" s="50" t="s">
        <v>6367</v>
      </c>
      <c r="D3241" s="50" t="s">
        <v>6328</v>
      </c>
      <c r="E3241" s="12" t="s">
        <v>4971</v>
      </c>
      <c r="F3241" s="49">
        <v>17122</v>
      </c>
      <c r="G3241" s="77" t="s">
        <v>5631</v>
      </c>
      <c r="H3241" s="14" t="s">
        <v>5601</v>
      </c>
      <c r="I3241" s="14" t="s">
        <v>2458</v>
      </c>
      <c r="J3241" s="33" t="s">
        <v>7110</v>
      </c>
      <c r="K3241" s="33" t="s">
        <v>8833</v>
      </c>
      <c r="L3241" s="53" t="str">
        <f>"هند"</f>
        <v>هند</v>
      </c>
      <c r="M3241" s="68" t="s">
        <v>8912</v>
      </c>
      <c r="N3241" s="53" t="str">
        <f t="shared" si="24"/>
        <v>بندرعباس</v>
      </c>
      <c r="O3241" s="53">
        <v>50100</v>
      </c>
      <c r="P3241" s="197" t="s">
        <v>5842</v>
      </c>
    </row>
    <row r="3242" spans="1:16" ht="18.75" hidden="1">
      <c r="A3242" s="50" t="s">
        <v>8795</v>
      </c>
      <c r="B3242" s="50" t="s">
        <v>8764</v>
      </c>
      <c r="C3242" s="50" t="s">
        <v>6358</v>
      </c>
      <c r="D3242" s="50" t="s">
        <v>6343</v>
      </c>
      <c r="E3242" s="12" t="s">
        <v>4971</v>
      </c>
      <c r="F3242" s="49">
        <v>701460</v>
      </c>
      <c r="G3242" s="77" t="s">
        <v>5631</v>
      </c>
      <c r="H3242" s="14" t="s">
        <v>5601</v>
      </c>
      <c r="I3242" s="14" t="s">
        <v>2458</v>
      </c>
      <c r="J3242" s="33" t="s">
        <v>7110</v>
      </c>
      <c r="K3242" s="33" t="s">
        <v>8833</v>
      </c>
      <c r="L3242" s="53" t="str">
        <f>"کنيا"</f>
        <v>کنيا</v>
      </c>
      <c r="M3242" s="68" t="s">
        <v>8912</v>
      </c>
      <c r="N3242" s="53" t="str">
        <f t="shared" si="24"/>
        <v>بندرعباس</v>
      </c>
      <c r="O3242" s="53">
        <v>50100</v>
      </c>
      <c r="P3242" s="197" t="s">
        <v>5836</v>
      </c>
    </row>
    <row r="3243" spans="1:16" ht="18.75" hidden="1">
      <c r="A3243" s="50" t="s">
        <v>8809</v>
      </c>
      <c r="B3243" s="50" t="s">
        <v>8764</v>
      </c>
      <c r="C3243" s="50" t="s">
        <v>8812</v>
      </c>
      <c r="D3243" s="50" t="s">
        <v>6302</v>
      </c>
      <c r="E3243" s="12" t="s">
        <v>4971</v>
      </c>
      <c r="F3243" s="49">
        <v>59418</v>
      </c>
      <c r="G3243" s="77" t="s">
        <v>5631</v>
      </c>
      <c r="H3243" s="14" t="s">
        <v>5601</v>
      </c>
      <c r="I3243" s="14" t="s">
        <v>2458</v>
      </c>
      <c r="J3243" s="33" t="s">
        <v>7110</v>
      </c>
      <c r="K3243" s="33" t="s">
        <v>8833</v>
      </c>
      <c r="L3243" s="53" t="str">
        <f>"هند"</f>
        <v>هند</v>
      </c>
      <c r="M3243" s="68" t="s">
        <v>8912</v>
      </c>
      <c r="N3243" s="53" t="str">
        <f t="shared" si="24"/>
        <v>بندرعباس</v>
      </c>
      <c r="O3243" s="53">
        <v>50100</v>
      </c>
      <c r="P3243" s="197" t="s">
        <v>7145</v>
      </c>
    </row>
    <row r="3244" spans="1:16" ht="18.75" hidden="1">
      <c r="A3244" s="50" t="s">
        <v>8798</v>
      </c>
      <c r="B3244" s="50" t="s">
        <v>8695</v>
      </c>
      <c r="C3244" s="50" t="s">
        <v>6335</v>
      </c>
      <c r="D3244" s="50" t="s">
        <v>6247</v>
      </c>
      <c r="E3244" s="12" t="s">
        <v>4971</v>
      </c>
      <c r="F3244" s="49">
        <v>109664</v>
      </c>
      <c r="G3244" s="77" t="s">
        <v>5631</v>
      </c>
      <c r="H3244" s="14" t="s">
        <v>5601</v>
      </c>
      <c r="I3244" s="14" t="s">
        <v>2458</v>
      </c>
      <c r="J3244" s="33" t="s">
        <v>7110</v>
      </c>
      <c r="K3244" s="33" t="s">
        <v>8833</v>
      </c>
      <c r="L3244" s="53" t="str">
        <f>"کنيا"</f>
        <v>کنيا</v>
      </c>
      <c r="M3244" s="68" t="s">
        <v>8912</v>
      </c>
      <c r="N3244" s="53" t="str">
        <f t="shared" si="24"/>
        <v>بندرعباس</v>
      </c>
      <c r="O3244" s="53">
        <v>50100</v>
      </c>
      <c r="P3244" s="197" t="s">
        <v>5836</v>
      </c>
    </row>
    <row r="3245" spans="1:16" ht="18.75" hidden="1">
      <c r="A3245" s="50" t="s">
        <v>8813</v>
      </c>
      <c r="B3245" s="50" t="s">
        <v>8793</v>
      </c>
      <c r="C3245" s="50" t="s">
        <v>8802</v>
      </c>
      <c r="D3245" s="50" t="s">
        <v>8617</v>
      </c>
      <c r="E3245" s="12" t="s">
        <v>4971</v>
      </c>
      <c r="F3245" s="49">
        <v>220133</v>
      </c>
      <c r="G3245" s="77" t="s">
        <v>5779</v>
      </c>
      <c r="H3245" s="14" t="s">
        <v>5601</v>
      </c>
      <c r="I3245" s="14" t="s">
        <v>2458</v>
      </c>
      <c r="J3245" s="33" t="e">
        <f>VLOOKUP(C3245,شرکتها!A:B,2,FALSE)</f>
        <v>#N/A</v>
      </c>
      <c r="K3245" s="33" t="s">
        <v>8833</v>
      </c>
      <c r="L3245" s="53" t="str">
        <f>"ليبريا"</f>
        <v>ليبريا</v>
      </c>
      <c r="M3245" s="68" t="s">
        <v>8912</v>
      </c>
      <c r="N3245" s="53" t="str">
        <f t="shared" si="24"/>
        <v>بندرعباس</v>
      </c>
      <c r="O3245" s="53">
        <v>50100</v>
      </c>
      <c r="P3245" s="198" t="s">
        <v>7211</v>
      </c>
    </row>
    <row r="3246" spans="1:16" ht="18.75" hidden="1">
      <c r="A3246" s="50" t="s">
        <v>8814</v>
      </c>
      <c r="B3246" s="50" t="s">
        <v>8617</v>
      </c>
      <c r="C3246" s="50" t="s">
        <v>5999</v>
      </c>
      <c r="D3246" s="50" t="s">
        <v>5839</v>
      </c>
      <c r="E3246" s="12" t="s">
        <v>4971</v>
      </c>
      <c r="F3246" s="49">
        <v>148217</v>
      </c>
      <c r="G3246" s="77" t="s">
        <v>5611</v>
      </c>
      <c r="H3246" s="14" t="s">
        <v>5601</v>
      </c>
      <c r="I3246" s="14" t="s">
        <v>2458</v>
      </c>
      <c r="J3246" s="33" t="s">
        <v>7110</v>
      </c>
      <c r="K3246" s="33" t="s">
        <v>8833</v>
      </c>
      <c r="L3246" s="53" t="str">
        <f>"هند"</f>
        <v>هند</v>
      </c>
      <c r="M3246" s="68" t="s">
        <v>8912</v>
      </c>
      <c r="N3246" s="53" t="str">
        <f t="shared" si="24"/>
        <v>بندرعباس</v>
      </c>
      <c r="O3246" s="53">
        <v>50100</v>
      </c>
      <c r="P3246" s="198" t="s">
        <v>5814</v>
      </c>
    </row>
    <row r="3247" spans="1:16" ht="18.75" hidden="1">
      <c r="A3247" s="50" t="s">
        <v>8815</v>
      </c>
      <c r="B3247" s="50" t="s">
        <v>8695</v>
      </c>
      <c r="C3247" s="50" t="s">
        <v>8816</v>
      </c>
      <c r="D3247" s="50" t="s">
        <v>8788</v>
      </c>
      <c r="E3247" s="12" t="s">
        <v>4971</v>
      </c>
      <c r="F3247" s="49">
        <v>196536</v>
      </c>
      <c r="G3247" s="77" t="s">
        <v>5631</v>
      </c>
      <c r="H3247" s="14" t="s">
        <v>5601</v>
      </c>
      <c r="I3247" s="14" t="s">
        <v>2458</v>
      </c>
      <c r="J3247" s="33" t="s">
        <v>7110</v>
      </c>
      <c r="K3247" s="33" t="s">
        <v>8833</v>
      </c>
      <c r="L3247" s="53" t="str">
        <f>"هند"</f>
        <v>هند</v>
      </c>
      <c r="M3247" s="68" t="s">
        <v>8912</v>
      </c>
      <c r="N3247" s="53" t="str">
        <f t="shared" si="24"/>
        <v>بندرعباس</v>
      </c>
      <c r="O3247" s="53">
        <v>50100</v>
      </c>
      <c r="P3247" s="197" t="s">
        <v>8080</v>
      </c>
    </row>
    <row r="3248" spans="1:16" ht="18.75" hidden="1">
      <c r="A3248" s="50" t="s">
        <v>8817</v>
      </c>
      <c r="B3248" s="50" t="s">
        <v>8793</v>
      </c>
      <c r="C3248" s="50" t="s">
        <v>8771</v>
      </c>
      <c r="D3248" s="50" t="s">
        <v>8767</v>
      </c>
      <c r="E3248" s="12" t="s">
        <v>4971</v>
      </c>
      <c r="F3248" s="49">
        <v>528571</v>
      </c>
      <c r="G3248" s="77" t="s">
        <v>5631</v>
      </c>
      <c r="H3248" s="14" t="s">
        <v>5601</v>
      </c>
      <c r="I3248" s="14" t="s">
        <v>2458</v>
      </c>
      <c r="J3248" s="33" t="s">
        <v>7110</v>
      </c>
      <c r="K3248" s="33" t="s">
        <v>8833</v>
      </c>
      <c r="L3248" s="53" t="str">
        <f>"هند"</f>
        <v>هند</v>
      </c>
      <c r="M3248" s="68" t="s">
        <v>8912</v>
      </c>
      <c r="N3248" s="53" t="str">
        <f t="shared" si="24"/>
        <v>بندرعباس</v>
      </c>
      <c r="O3248" s="53">
        <v>50100</v>
      </c>
      <c r="P3248" s="197" t="s">
        <v>7145</v>
      </c>
    </row>
    <row r="3249" spans="1:16" ht="18.75" hidden="1">
      <c r="A3249" s="50" t="s">
        <v>8801</v>
      </c>
      <c r="B3249" s="50" t="s">
        <v>8770</v>
      </c>
      <c r="C3249" s="50" t="s">
        <v>8818</v>
      </c>
      <c r="D3249" s="50" t="s">
        <v>6337</v>
      </c>
      <c r="E3249" s="12" t="s">
        <v>4971</v>
      </c>
      <c r="F3249" s="49">
        <v>406302</v>
      </c>
      <c r="G3249" s="77" t="s">
        <v>5607</v>
      </c>
      <c r="H3249" s="14" t="s">
        <v>5601</v>
      </c>
      <c r="I3249" s="14" t="s">
        <v>2458</v>
      </c>
      <c r="J3249" s="33" t="s">
        <v>7110</v>
      </c>
      <c r="K3249" s="33" t="s">
        <v>8833</v>
      </c>
      <c r="L3249" s="53" t="str">
        <f>"ويتنام"</f>
        <v>ويتنام</v>
      </c>
      <c r="M3249" s="68" t="s">
        <v>8912</v>
      </c>
      <c r="N3249" s="53" t="str">
        <f t="shared" si="24"/>
        <v>بندرعباس</v>
      </c>
      <c r="O3249" s="53">
        <v>50100</v>
      </c>
      <c r="P3249" s="198" t="s">
        <v>7233</v>
      </c>
    </row>
    <row r="3250" spans="1:16" ht="18.75" hidden="1">
      <c r="A3250" s="50" t="s">
        <v>8814</v>
      </c>
      <c r="B3250" s="50" t="s">
        <v>8617</v>
      </c>
      <c r="C3250" s="50" t="s">
        <v>6039</v>
      </c>
      <c r="D3250" s="50" t="s">
        <v>5850</v>
      </c>
      <c r="E3250" s="12" t="s">
        <v>4971</v>
      </c>
      <c r="F3250" s="49">
        <v>346041</v>
      </c>
      <c r="G3250" s="77" t="s">
        <v>5611</v>
      </c>
      <c r="H3250" s="14" t="s">
        <v>5601</v>
      </c>
      <c r="I3250" s="14" t="s">
        <v>2458</v>
      </c>
      <c r="J3250" s="33" t="s">
        <v>7110</v>
      </c>
      <c r="K3250" s="33" t="s">
        <v>8833</v>
      </c>
      <c r="L3250" s="53" t="str">
        <f>"هند"</f>
        <v>هند</v>
      </c>
      <c r="M3250" s="68" t="s">
        <v>8912</v>
      </c>
      <c r="N3250" s="53" t="str">
        <f t="shared" si="24"/>
        <v>بندرعباس</v>
      </c>
      <c r="O3250" s="53">
        <v>50100</v>
      </c>
      <c r="P3250" s="198" t="s">
        <v>5814</v>
      </c>
    </row>
    <row r="3251" spans="1:16" ht="18.75" hidden="1">
      <c r="A3251" s="50" t="s">
        <v>8819</v>
      </c>
      <c r="B3251" s="50" t="s">
        <v>8617</v>
      </c>
      <c r="C3251" s="50" t="s">
        <v>8820</v>
      </c>
      <c r="D3251" s="50" t="s">
        <v>6330</v>
      </c>
      <c r="E3251" s="12" t="s">
        <v>4971</v>
      </c>
      <c r="F3251" s="49">
        <v>393306</v>
      </c>
      <c r="G3251" s="77" t="s">
        <v>5855</v>
      </c>
      <c r="H3251" s="14" t="s">
        <v>5601</v>
      </c>
      <c r="I3251" s="14" t="s">
        <v>2458</v>
      </c>
      <c r="J3251" s="33" t="s">
        <v>7110</v>
      </c>
      <c r="K3251" s="33" t="s">
        <v>8833</v>
      </c>
      <c r="L3251" s="53" t="str">
        <f>"تايوان"</f>
        <v>تايوان</v>
      </c>
      <c r="M3251" s="68" t="s">
        <v>8912</v>
      </c>
      <c r="N3251" s="53" t="str">
        <f t="shared" si="24"/>
        <v>بندرعباس</v>
      </c>
      <c r="O3251" s="53">
        <v>50100</v>
      </c>
      <c r="P3251" s="198" t="s">
        <v>5856</v>
      </c>
    </row>
    <row r="3252" spans="1:16" ht="18.75" hidden="1">
      <c r="A3252" s="50" t="s">
        <v>8819</v>
      </c>
      <c r="B3252" s="50" t="s">
        <v>8617</v>
      </c>
      <c r="C3252" s="50" t="s">
        <v>8821</v>
      </c>
      <c r="D3252" s="50" t="s">
        <v>6330</v>
      </c>
      <c r="E3252" s="12" t="s">
        <v>4971</v>
      </c>
      <c r="F3252" s="49">
        <v>40000</v>
      </c>
      <c r="G3252" s="77" t="s">
        <v>5855</v>
      </c>
      <c r="H3252" s="14" t="s">
        <v>5601</v>
      </c>
      <c r="I3252" s="14" t="s">
        <v>2458</v>
      </c>
      <c r="J3252" s="33" t="s">
        <v>7110</v>
      </c>
      <c r="K3252" s="33" t="s">
        <v>8833</v>
      </c>
      <c r="L3252" s="53" t="str">
        <f>"تايوان"</f>
        <v>تايوان</v>
      </c>
      <c r="M3252" s="68" t="s">
        <v>8912</v>
      </c>
      <c r="N3252" s="53" t="str">
        <f t="shared" si="24"/>
        <v>بندرعباس</v>
      </c>
      <c r="O3252" s="53">
        <v>50100</v>
      </c>
      <c r="P3252" s="198" t="s">
        <v>5856</v>
      </c>
    </row>
    <row r="3253" spans="1:16" ht="18.75" hidden="1">
      <c r="A3253" s="50" t="s">
        <v>8822</v>
      </c>
      <c r="B3253" s="50" t="s">
        <v>8770</v>
      </c>
      <c r="C3253" s="50" t="s">
        <v>8816</v>
      </c>
      <c r="D3253" s="50" t="s">
        <v>8788</v>
      </c>
      <c r="E3253" s="12" t="s">
        <v>4971</v>
      </c>
      <c r="F3253" s="49">
        <v>77843</v>
      </c>
      <c r="G3253" s="77" t="s">
        <v>5631</v>
      </c>
      <c r="H3253" s="14" t="s">
        <v>5601</v>
      </c>
      <c r="I3253" s="14" t="s">
        <v>2458</v>
      </c>
      <c r="J3253" s="33" t="s">
        <v>7110</v>
      </c>
      <c r="K3253" s="33" t="s">
        <v>8833</v>
      </c>
      <c r="L3253" s="53" t="str">
        <f>"هند"</f>
        <v>هند</v>
      </c>
      <c r="M3253" s="68" t="s">
        <v>8912</v>
      </c>
      <c r="N3253" s="53" t="str">
        <f t="shared" si="24"/>
        <v>بندرعباس</v>
      </c>
      <c r="O3253" s="53">
        <v>50100</v>
      </c>
      <c r="P3253" s="197" t="s">
        <v>8080</v>
      </c>
    </row>
    <row r="3254" spans="1:16" ht="18.75" hidden="1">
      <c r="A3254" s="50" t="s">
        <v>8822</v>
      </c>
      <c r="B3254" s="50" t="s">
        <v>8770</v>
      </c>
      <c r="C3254" s="50" t="s">
        <v>8771</v>
      </c>
      <c r="D3254" s="50" t="s">
        <v>8767</v>
      </c>
      <c r="E3254" s="12" t="s">
        <v>4971</v>
      </c>
      <c r="F3254" s="49">
        <v>412207</v>
      </c>
      <c r="G3254" s="77" t="s">
        <v>5631</v>
      </c>
      <c r="H3254" s="14" t="s">
        <v>5601</v>
      </c>
      <c r="I3254" s="14" t="s">
        <v>2458</v>
      </c>
      <c r="J3254" s="33" t="s">
        <v>7110</v>
      </c>
      <c r="K3254" s="33" t="s">
        <v>8833</v>
      </c>
      <c r="L3254" s="53" t="str">
        <f>"هند"</f>
        <v>هند</v>
      </c>
      <c r="M3254" s="68" t="s">
        <v>8912</v>
      </c>
      <c r="N3254" s="53" t="str">
        <f t="shared" si="24"/>
        <v>بندرعباس</v>
      </c>
      <c r="O3254" s="53">
        <v>50100</v>
      </c>
      <c r="P3254" s="197" t="s">
        <v>7145</v>
      </c>
    </row>
    <row r="3255" spans="1:16" ht="18.75" hidden="1">
      <c r="A3255" s="50" t="s">
        <v>8823</v>
      </c>
      <c r="B3255" s="50" t="s">
        <v>8824</v>
      </c>
      <c r="C3255" s="50" t="s">
        <v>8816</v>
      </c>
      <c r="D3255" s="50" t="s">
        <v>8788</v>
      </c>
      <c r="E3255" s="12" t="s">
        <v>4971</v>
      </c>
      <c r="F3255" s="49">
        <v>294764</v>
      </c>
      <c r="G3255" s="77" t="s">
        <v>5631</v>
      </c>
      <c r="H3255" s="14" t="s">
        <v>5601</v>
      </c>
      <c r="I3255" s="14" t="s">
        <v>2458</v>
      </c>
      <c r="J3255" s="33" t="s">
        <v>7110</v>
      </c>
      <c r="K3255" s="33" t="s">
        <v>8833</v>
      </c>
      <c r="L3255" s="53" t="str">
        <f>"هند"</f>
        <v>هند</v>
      </c>
      <c r="M3255" s="68" t="s">
        <v>8912</v>
      </c>
      <c r="N3255" s="53" t="str">
        <f t="shared" si="24"/>
        <v>بندرعباس</v>
      </c>
      <c r="O3255" s="53">
        <v>50100</v>
      </c>
      <c r="P3255" s="197" t="s">
        <v>8080</v>
      </c>
    </row>
    <row r="3256" spans="1:16" ht="18.75" hidden="1">
      <c r="A3256" s="50" t="s">
        <v>8813</v>
      </c>
      <c r="B3256" s="50" t="s">
        <v>8793</v>
      </c>
      <c r="C3256" s="50" t="s">
        <v>8825</v>
      </c>
      <c r="D3256" s="50" t="s">
        <v>8617</v>
      </c>
      <c r="E3256" s="12" t="s">
        <v>4971</v>
      </c>
      <c r="F3256" s="49">
        <v>19867</v>
      </c>
      <c r="G3256" s="77" t="s">
        <v>5779</v>
      </c>
      <c r="H3256" s="14" t="s">
        <v>5601</v>
      </c>
      <c r="I3256" s="14" t="s">
        <v>2458</v>
      </c>
      <c r="J3256" s="33" t="e">
        <f>VLOOKUP(C3256,شرکتها!A:B,2,FALSE)</f>
        <v>#N/A</v>
      </c>
      <c r="K3256" s="33" t="s">
        <v>8833</v>
      </c>
      <c r="L3256" s="53" t="str">
        <f>"ليبريا"</f>
        <v>ليبريا</v>
      </c>
      <c r="M3256" s="68" t="s">
        <v>8912</v>
      </c>
      <c r="N3256" s="53" t="str">
        <f t="shared" si="24"/>
        <v>بندرعباس</v>
      </c>
      <c r="O3256" s="53">
        <v>50100</v>
      </c>
      <c r="P3256" s="198" t="s">
        <v>8081</v>
      </c>
    </row>
    <row r="3257" spans="1:16" ht="18.75" hidden="1">
      <c r="A3257" s="50" t="s">
        <v>8811</v>
      </c>
      <c r="B3257" s="50" t="s">
        <v>8788</v>
      </c>
      <c r="C3257" s="50" t="s">
        <v>8500</v>
      </c>
      <c r="D3257" s="50" t="s">
        <v>8620</v>
      </c>
      <c r="E3257" s="12" t="s">
        <v>4971</v>
      </c>
      <c r="F3257" s="49">
        <v>490000</v>
      </c>
      <c r="G3257" s="77" t="s">
        <v>5631</v>
      </c>
      <c r="H3257" s="14" t="s">
        <v>5601</v>
      </c>
      <c r="I3257" s="14" t="s">
        <v>2458</v>
      </c>
      <c r="J3257" s="33" t="s">
        <v>7110</v>
      </c>
      <c r="K3257" s="33" t="s">
        <v>8833</v>
      </c>
      <c r="L3257" s="53" t="str">
        <f>"هند"</f>
        <v>هند</v>
      </c>
      <c r="M3257" s="68" t="s">
        <v>8912</v>
      </c>
      <c r="N3257" s="53" t="str">
        <f t="shared" si="24"/>
        <v>بندرعباس</v>
      </c>
      <c r="O3257" s="53">
        <v>50100</v>
      </c>
      <c r="P3257" s="197" t="s">
        <v>5836</v>
      </c>
    </row>
    <row r="3258" spans="1:16" ht="18.75" hidden="1">
      <c r="A3258" s="50" t="s">
        <v>8811</v>
      </c>
      <c r="B3258" s="50" t="s">
        <v>8788</v>
      </c>
      <c r="C3258" s="50" t="s">
        <v>5987</v>
      </c>
      <c r="D3258" s="50" t="s">
        <v>5496</v>
      </c>
      <c r="E3258" s="12" t="s">
        <v>4971</v>
      </c>
      <c r="F3258" s="49">
        <v>34165</v>
      </c>
      <c r="G3258" s="77" t="s">
        <v>5611</v>
      </c>
      <c r="H3258" s="14" t="s">
        <v>5601</v>
      </c>
      <c r="I3258" s="14" t="s">
        <v>2458</v>
      </c>
      <c r="J3258" s="33" t="s">
        <v>7110</v>
      </c>
      <c r="K3258" s="33" t="s">
        <v>8833</v>
      </c>
      <c r="L3258" s="53" t="str">
        <f>"هند"</f>
        <v>هند</v>
      </c>
      <c r="M3258" s="68" t="s">
        <v>8912</v>
      </c>
      <c r="N3258" s="53" t="str">
        <f t="shared" si="24"/>
        <v>بندرعباس</v>
      </c>
      <c r="O3258" s="53">
        <v>50100</v>
      </c>
      <c r="P3258" s="198" t="s">
        <v>5826</v>
      </c>
    </row>
    <row r="3259" spans="1:16" ht="18.75" hidden="1">
      <c r="A3259" s="50" t="s">
        <v>8809</v>
      </c>
      <c r="B3259" s="50" t="s">
        <v>8764</v>
      </c>
      <c r="C3259" s="50" t="s">
        <v>8765</v>
      </c>
      <c r="D3259" s="50" t="s">
        <v>6457</v>
      </c>
      <c r="E3259" s="12" t="s">
        <v>4971</v>
      </c>
      <c r="F3259" s="49">
        <v>454659</v>
      </c>
      <c r="G3259" s="77" t="s">
        <v>5631</v>
      </c>
      <c r="H3259" s="14" t="s">
        <v>5601</v>
      </c>
      <c r="I3259" s="14" t="s">
        <v>2458</v>
      </c>
      <c r="J3259" s="33" t="s">
        <v>7110</v>
      </c>
      <c r="K3259" s="33" t="s">
        <v>8833</v>
      </c>
      <c r="L3259" s="53" t="str">
        <f>"هند"</f>
        <v>هند</v>
      </c>
      <c r="M3259" s="68" t="s">
        <v>8912</v>
      </c>
      <c r="N3259" s="53" t="str">
        <f t="shared" si="24"/>
        <v>بندرعباس</v>
      </c>
      <c r="O3259" s="53">
        <v>50100</v>
      </c>
      <c r="P3259" s="197" t="s">
        <v>7145</v>
      </c>
    </row>
    <row r="3260" spans="1:16" ht="18.75" hidden="1">
      <c r="A3260" s="50" t="s">
        <v>8826</v>
      </c>
      <c r="B3260" s="50" t="s">
        <v>8770</v>
      </c>
      <c r="C3260" s="50" t="s">
        <v>8818</v>
      </c>
      <c r="D3260" s="50" t="s">
        <v>6337</v>
      </c>
      <c r="E3260" s="12" t="s">
        <v>4971</v>
      </c>
      <c r="F3260" s="49">
        <v>259651</v>
      </c>
      <c r="G3260" s="77" t="s">
        <v>5607</v>
      </c>
      <c r="H3260" s="14" t="s">
        <v>5601</v>
      </c>
      <c r="I3260" s="14" t="s">
        <v>2458</v>
      </c>
      <c r="J3260" s="33" t="s">
        <v>7110</v>
      </c>
      <c r="K3260" s="33" t="s">
        <v>8833</v>
      </c>
      <c r="L3260" s="53" t="str">
        <f>"هند"</f>
        <v>هند</v>
      </c>
      <c r="M3260" s="68" t="s">
        <v>8912</v>
      </c>
      <c r="N3260" s="53" t="str">
        <f t="shared" si="24"/>
        <v>بندرعباس</v>
      </c>
      <c r="O3260" s="53">
        <v>50100</v>
      </c>
      <c r="P3260" s="198" t="s">
        <v>7233</v>
      </c>
    </row>
    <row r="3261" spans="1:16" ht="18.75" hidden="1">
      <c r="A3261" s="50" t="s">
        <v>8827</v>
      </c>
      <c r="B3261" s="50" t="s">
        <v>8621</v>
      </c>
      <c r="C3261" s="50" t="s">
        <v>8828</v>
      </c>
      <c r="D3261" s="50" t="s">
        <v>6457</v>
      </c>
      <c r="E3261" s="12" t="s">
        <v>4971</v>
      </c>
      <c r="F3261" s="49">
        <v>489482</v>
      </c>
      <c r="G3261" s="77" t="s">
        <v>5631</v>
      </c>
      <c r="H3261" s="14" t="s">
        <v>5601</v>
      </c>
      <c r="I3261" s="14" t="s">
        <v>2458</v>
      </c>
      <c r="J3261" s="33" t="s">
        <v>7110</v>
      </c>
      <c r="K3261" s="33" t="s">
        <v>8833</v>
      </c>
      <c r="L3261" s="53" t="str">
        <f>"هند"</f>
        <v>هند</v>
      </c>
      <c r="M3261" s="68" t="s">
        <v>8912</v>
      </c>
      <c r="N3261" s="53" t="str">
        <f t="shared" si="24"/>
        <v>بندرعباس</v>
      </c>
      <c r="O3261" s="53">
        <v>50100</v>
      </c>
      <c r="P3261" s="197" t="s">
        <v>5842</v>
      </c>
    </row>
    <row r="3262" spans="1:16" ht="18.75" hidden="1">
      <c r="A3262" s="50" t="s">
        <v>8829</v>
      </c>
      <c r="B3262" s="50" t="s">
        <v>8793</v>
      </c>
      <c r="C3262" s="50" t="s">
        <v>8825</v>
      </c>
      <c r="D3262" s="50" t="s">
        <v>8617</v>
      </c>
      <c r="E3262" s="12" t="s">
        <v>4971</v>
      </c>
      <c r="F3262" s="49">
        <v>1980000</v>
      </c>
      <c r="G3262" s="77" t="s">
        <v>5779</v>
      </c>
      <c r="H3262" s="14" t="s">
        <v>5601</v>
      </c>
      <c r="I3262" s="14" t="s">
        <v>2458</v>
      </c>
      <c r="J3262" s="33" t="e">
        <f>VLOOKUP(C3262,شرکتها!A:B,2,FALSE)</f>
        <v>#N/A</v>
      </c>
      <c r="K3262" s="33" t="s">
        <v>8833</v>
      </c>
      <c r="L3262" s="53" t="str">
        <f>"ليبريا"</f>
        <v>ليبريا</v>
      </c>
      <c r="M3262" s="68" t="s">
        <v>8912</v>
      </c>
      <c r="N3262" s="53" t="str">
        <f t="shared" si="24"/>
        <v>بندرعباس</v>
      </c>
      <c r="O3262" s="53">
        <v>50100</v>
      </c>
      <c r="P3262" s="198" t="s">
        <v>8081</v>
      </c>
    </row>
    <row r="3263" spans="1:16" ht="18.75" hidden="1">
      <c r="A3263" s="50" t="s">
        <v>8814</v>
      </c>
      <c r="B3263" s="50" t="s">
        <v>8617</v>
      </c>
      <c r="C3263" s="50" t="s">
        <v>5939</v>
      </c>
      <c r="D3263" s="50" t="s">
        <v>8830</v>
      </c>
      <c r="E3263" s="12" t="s">
        <v>4971</v>
      </c>
      <c r="F3263" s="49">
        <v>35942</v>
      </c>
      <c r="G3263" s="77" t="s">
        <v>5611</v>
      </c>
      <c r="H3263" s="14" t="s">
        <v>5601</v>
      </c>
      <c r="I3263" s="14" t="s">
        <v>2458</v>
      </c>
      <c r="J3263" s="33" t="s">
        <v>7110</v>
      </c>
      <c r="K3263" s="33" t="s">
        <v>8833</v>
      </c>
      <c r="L3263" s="53" t="str">
        <f>"هند"</f>
        <v>هند</v>
      </c>
      <c r="M3263" s="68" t="s">
        <v>8912</v>
      </c>
      <c r="N3263" s="53" t="str">
        <f t="shared" si="24"/>
        <v>بندرعباس</v>
      </c>
      <c r="O3263" s="53">
        <v>50100</v>
      </c>
      <c r="P3263" s="198" t="s">
        <v>5814</v>
      </c>
    </row>
    <row r="3264" spans="1:16" ht="18.75" hidden="1">
      <c r="A3264" s="50" t="s">
        <v>8831</v>
      </c>
      <c r="B3264" s="50" t="s">
        <v>8770</v>
      </c>
      <c r="C3264" s="50" t="s">
        <v>8818</v>
      </c>
      <c r="D3264" s="50" t="s">
        <v>6337</v>
      </c>
      <c r="E3264" s="12" t="s">
        <v>4971</v>
      </c>
      <c r="F3264" s="49">
        <v>198620</v>
      </c>
      <c r="G3264" s="77" t="s">
        <v>5607</v>
      </c>
      <c r="H3264" s="14" t="s">
        <v>5601</v>
      </c>
      <c r="I3264" s="14" t="s">
        <v>2458</v>
      </c>
      <c r="J3264" s="33" t="s">
        <v>7110</v>
      </c>
      <c r="K3264" s="33" t="s">
        <v>8833</v>
      </c>
      <c r="L3264" s="53" t="str">
        <f>"هند"</f>
        <v>هند</v>
      </c>
      <c r="M3264" s="68" t="s">
        <v>8912</v>
      </c>
      <c r="N3264" s="53" t="str">
        <f t="shared" si="24"/>
        <v>بندرعباس</v>
      </c>
      <c r="O3264" s="53">
        <v>50100</v>
      </c>
      <c r="P3264" s="198" t="s">
        <v>7233</v>
      </c>
    </row>
    <row r="3265" spans="1:16" ht="18.75" hidden="1">
      <c r="A3265" s="50" t="s">
        <v>8817</v>
      </c>
      <c r="B3265" s="50" t="s">
        <v>8793</v>
      </c>
      <c r="C3265" s="50" t="s">
        <v>8765</v>
      </c>
      <c r="D3265" s="50" t="s">
        <v>6457</v>
      </c>
      <c r="E3265" s="12" t="s">
        <v>4971</v>
      </c>
      <c r="F3265" s="49">
        <v>375988</v>
      </c>
      <c r="G3265" s="77" t="s">
        <v>5631</v>
      </c>
      <c r="H3265" s="14" t="s">
        <v>5601</v>
      </c>
      <c r="I3265" s="14" t="s">
        <v>2458</v>
      </c>
      <c r="J3265" s="33" t="s">
        <v>7110</v>
      </c>
      <c r="K3265" s="33" t="s">
        <v>8833</v>
      </c>
      <c r="L3265" s="53" t="str">
        <f>"هند"</f>
        <v>هند</v>
      </c>
      <c r="M3265" s="68" t="s">
        <v>8912</v>
      </c>
      <c r="N3265" s="53" t="str">
        <f t="shared" si="24"/>
        <v>بندرعباس</v>
      </c>
      <c r="O3265" s="53">
        <v>50100</v>
      </c>
      <c r="P3265" s="197" t="s">
        <v>7145</v>
      </c>
    </row>
    <row r="3266" spans="1:16" ht="18.75" hidden="1">
      <c r="A3266" s="50" t="s">
        <v>8817</v>
      </c>
      <c r="B3266" s="50" t="s">
        <v>8793</v>
      </c>
      <c r="C3266" s="50" t="s">
        <v>8832</v>
      </c>
      <c r="D3266" s="50" t="s">
        <v>6302</v>
      </c>
      <c r="E3266" s="12" t="s">
        <v>4971</v>
      </c>
      <c r="F3266" s="49">
        <v>80000</v>
      </c>
      <c r="G3266" s="77" t="s">
        <v>5631</v>
      </c>
      <c r="H3266" s="14" t="s">
        <v>5601</v>
      </c>
      <c r="I3266" s="14" t="s">
        <v>2458</v>
      </c>
      <c r="J3266" s="33" t="s">
        <v>7110</v>
      </c>
      <c r="K3266" s="33" t="s">
        <v>8833</v>
      </c>
      <c r="L3266" s="53" t="str">
        <f>"هند"</f>
        <v>هند</v>
      </c>
      <c r="M3266" s="68" t="s">
        <v>8912</v>
      </c>
      <c r="N3266" s="53" t="str">
        <f t="shared" si="24"/>
        <v>بندرعباس</v>
      </c>
      <c r="O3266" s="53">
        <v>50100</v>
      </c>
      <c r="P3266" s="197" t="s">
        <v>8080</v>
      </c>
    </row>
    <row r="3267" spans="1:16" ht="18.75" hidden="1">
      <c r="A3267" s="50" t="s">
        <v>8819</v>
      </c>
      <c r="B3267" s="50" t="s">
        <v>8617</v>
      </c>
      <c r="C3267" s="50" t="s">
        <v>6371</v>
      </c>
      <c r="D3267" s="50" t="s">
        <v>6332</v>
      </c>
      <c r="E3267" s="12" t="s">
        <v>4971</v>
      </c>
      <c r="F3267" s="49">
        <v>158844</v>
      </c>
      <c r="G3267" s="77" t="s">
        <v>5855</v>
      </c>
      <c r="H3267" s="14" t="s">
        <v>5601</v>
      </c>
      <c r="I3267" s="14" t="s">
        <v>2458</v>
      </c>
      <c r="J3267" s="33" t="s">
        <v>7110</v>
      </c>
      <c r="K3267" s="33" t="s">
        <v>8833</v>
      </c>
      <c r="L3267" s="53" t="str">
        <f>"تايوان"</f>
        <v>تايوان</v>
      </c>
      <c r="M3267" s="68" t="s">
        <v>8912</v>
      </c>
      <c r="N3267" s="53" t="str">
        <f t="shared" ref="N3267" si="25">"بندرعباس"</f>
        <v>بندرعباس</v>
      </c>
      <c r="O3267" s="53">
        <v>50100</v>
      </c>
      <c r="P3267" s="198" t="s">
        <v>5856</v>
      </c>
    </row>
    <row r="3268" spans="1:16" ht="18.75" hidden="1">
      <c r="A3268" s="50" t="s">
        <v>8834</v>
      </c>
      <c r="B3268" s="50" t="s">
        <v>6412</v>
      </c>
      <c r="C3268" s="50" t="s">
        <v>6388</v>
      </c>
      <c r="D3268" s="50" t="s">
        <v>6075</v>
      </c>
      <c r="E3268" s="12" t="s">
        <v>4971</v>
      </c>
      <c r="F3268" s="49">
        <v>21280</v>
      </c>
      <c r="G3268" s="77" t="s">
        <v>6298</v>
      </c>
      <c r="H3268" s="14" t="s">
        <v>5601</v>
      </c>
      <c r="I3268" s="14" t="s">
        <v>2458</v>
      </c>
      <c r="J3268" s="33" t="s">
        <v>7110</v>
      </c>
      <c r="K3268" s="33" t="s">
        <v>8846</v>
      </c>
      <c r="L3268" s="53" t="s">
        <v>6054</v>
      </c>
      <c r="M3268" s="68" t="s">
        <v>8913</v>
      </c>
      <c r="N3268" s="53" t="s">
        <v>6076</v>
      </c>
      <c r="O3268" s="53">
        <v>55301</v>
      </c>
      <c r="P3268" s="198" t="s">
        <v>5831</v>
      </c>
    </row>
    <row r="3269" spans="1:16" ht="18.75" hidden="1">
      <c r="A3269" s="50" t="s">
        <v>8834</v>
      </c>
      <c r="B3269" s="50" t="s">
        <v>6412</v>
      </c>
      <c r="C3269" s="50" t="s">
        <v>8835</v>
      </c>
      <c r="D3269" s="50" t="s">
        <v>6246</v>
      </c>
      <c r="E3269" s="12" t="s">
        <v>4971</v>
      </c>
      <c r="F3269" s="49">
        <v>490000</v>
      </c>
      <c r="G3269" s="77" t="s">
        <v>6300</v>
      </c>
      <c r="H3269" s="14" t="s">
        <v>5601</v>
      </c>
      <c r="I3269" s="14" t="s">
        <v>2458</v>
      </c>
      <c r="J3269" s="33" t="s">
        <v>7110</v>
      </c>
      <c r="K3269" s="33" t="s">
        <v>8846</v>
      </c>
      <c r="L3269" s="53" t="s">
        <v>6054</v>
      </c>
      <c r="M3269" s="68" t="s">
        <v>8913</v>
      </c>
      <c r="N3269" s="53" t="s">
        <v>6076</v>
      </c>
      <c r="O3269" s="53">
        <v>55301</v>
      </c>
      <c r="P3269" s="197" t="s">
        <v>5836</v>
      </c>
    </row>
    <row r="3270" spans="1:16" ht="18.75" hidden="1">
      <c r="A3270" s="50" t="s">
        <v>8836</v>
      </c>
      <c r="B3270" s="50" t="s">
        <v>8837</v>
      </c>
      <c r="C3270" s="50" t="s">
        <v>6009</v>
      </c>
      <c r="D3270" s="50" t="s">
        <v>5843</v>
      </c>
      <c r="E3270" s="12" t="s">
        <v>4971</v>
      </c>
      <c r="F3270" s="49">
        <v>49950</v>
      </c>
      <c r="G3270" s="77" t="s">
        <v>6300</v>
      </c>
      <c r="H3270" s="14" t="s">
        <v>5601</v>
      </c>
      <c r="I3270" s="14" t="s">
        <v>2458</v>
      </c>
      <c r="J3270" s="33" t="s">
        <v>7110</v>
      </c>
      <c r="K3270" s="33" t="s">
        <v>8846</v>
      </c>
      <c r="L3270" s="53" t="s">
        <v>6054</v>
      </c>
      <c r="M3270" s="68" t="s">
        <v>8912</v>
      </c>
      <c r="N3270" s="53" t="s">
        <v>6286</v>
      </c>
      <c r="O3270" s="53">
        <v>55107</v>
      </c>
      <c r="P3270" s="197" t="s">
        <v>5820</v>
      </c>
    </row>
    <row r="3271" spans="1:16" ht="18.75" hidden="1">
      <c r="A3271" s="50" t="s">
        <v>8838</v>
      </c>
      <c r="B3271" s="50" t="s">
        <v>8837</v>
      </c>
      <c r="C3271" s="50" t="s">
        <v>5086</v>
      </c>
      <c r="D3271" s="50" t="s">
        <v>5010</v>
      </c>
      <c r="E3271" s="12" t="s">
        <v>4971</v>
      </c>
      <c r="F3271" s="49">
        <v>32440</v>
      </c>
      <c r="G3271" s="77" t="s">
        <v>8845</v>
      </c>
      <c r="H3271" s="14" t="s">
        <v>5601</v>
      </c>
      <c r="I3271" s="14" t="s">
        <v>2458</v>
      </c>
      <c r="J3271" s="33" t="s">
        <v>7110</v>
      </c>
      <c r="K3271" s="33" t="s">
        <v>8846</v>
      </c>
      <c r="L3271" s="53" t="s">
        <v>6054</v>
      </c>
      <c r="M3271" s="68" t="s">
        <v>8913</v>
      </c>
      <c r="N3271" s="53" t="s">
        <v>6076</v>
      </c>
      <c r="O3271" s="53">
        <v>55301</v>
      </c>
      <c r="P3271" s="198" t="s">
        <v>5787</v>
      </c>
    </row>
    <row r="3272" spans="1:16" ht="18.75" hidden="1">
      <c r="A3272" s="50" t="s">
        <v>8838</v>
      </c>
      <c r="B3272" s="50" t="s">
        <v>8837</v>
      </c>
      <c r="C3272" s="50" t="s">
        <v>5937</v>
      </c>
      <c r="D3272" s="50" t="s">
        <v>5481</v>
      </c>
      <c r="E3272" s="12" t="s">
        <v>4971</v>
      </c>
      <c r="F3272" s="49">
        <v>144860</v>
      </c>
      <c r="G3272" s="77" t="s">
        <v>6454</v>
      </c>
      <c r="H3272" s="14" t="s">
        <v>5601</v>
      </c>
      <c r="I3272" s="14" t="s">
        <v>2458</v>
      </c>
      <c r="J3272" s="33" t="s">
        <v>7110</v>
      </c>
      <c r="K3272" s="33" t="s">
        <v>8846</v>
      </c>
      <c r="L3272" s="53" t="s">
        <v>6054</v>
      </c>
      <c r="M3272" s="68" t="s">
        <v>8913</v>
      </c>
      <c r="N3272" s="53" t="s">
        <v>6076</v>
      </c>
      <c r="O3272" s="53">
        <v>55301</v>
      </c>
      <c r="P3272" s="198" t="s">
        <v>5821</v>
      </c>
    </row>
    <row r="3273" spans="1:16" ht="18.75" hidden="1">
      <c r="A3273" s="50" t="s">
        <v>8838</v>
      </c>
      <c r="B3273" s="50" t="s">
        <v>8837</v>
      </c>
      <c r="C3273" s="50" t="s">
        <v>5067</v>
      </c>
      <c r="D3273" s="50" t="s">
        <v>5010</v>
      </c>
      <c r="E3273" s="12" t="s">
        <v>4971</v>
      </c>
      <c r="F3273" s="49">
        <v>45460</v>
      </c>
      <c r="G3273" s="77" t="s">
        <v>8845</v>
      </c>
      <c r="H3273" s="14" t="s">
        <v>5601</v>
      </c>
      <c r="I3273" s="14" t="s">
        <v>2458</v>
      </c>
      <c r="J3273" s="33" t="s">
        <v>7110</v>
      </c>
      <c r="K3273" s="33" t="s">
        <v>8846</v>
      </c>
      <c r="L3273" s="53" t="s">
        <v>6054</v>
      </c>
      <c r="M3273" s="68" t="s">
        <v>8913</v>
      </c>
      <c r="N3273" s="53" t="s">
        <v>6076</v>
      </c>
      <c r="O3273" s="53">
        <v>55301</v>
      </c>
      <c r="P3273" s="198" t="s">
        <v>5788</v>
      </c>
    </row>
    <row r="3274" spans="1:16" ht="18.75" hidden="1">
      <c r="A3274" s="50" t="s">
        <v>8838</v>
      </c>
      <c r="B3274" s="50" t="s">
        <v>8837</v>
      </c>
      <c r="C3274" s="50" t="s">
        <v>7249</v>
      </c>
      <c r="D3274" s="50" t="s">
        <v>6337</v>
      </c>
      <c r="E3274" s="12" t="s">
        <v>4971</v>
      </c>
      <c r="F3274" s="49">
        <v>88580</v>
      </c>
      <c r="G3274" s="77" t="s">
        <v>6453</v>
      </c>
      <c r="H3274" s="14" t="s">
        <v>5601</v>
      </c>
      <c r="I3274" s="14" t="s">
        <v>2458</v>
      </c>
      <c r="J3274" s="33" t="s">
        <v>7110</v>
      </c>
      <c r="K3274" s="33" t="s">
        <v>8846</v>
      </c>
      <c r="L3274" s="53" t="s">
        <v>6054</v>
      </c>
      <c r="M3274" s="68" t="s">
        <v>8913</v>
      </c>
      <c r="N3274" s="53" t="s">
        <v>6076</v>
      </c>
      <c r="O3274" s="53">
        <v>55301</v>
      </c>
      <c r="P3274" s="198" t="s">
        <v>7233</v>
      </c>
    </row>
    <row r="3275" spans="1:16" ht="18.75" hidden="1">
      <c r="A3275" s="50" t="s">
        <v>8838</v>
      </c>
      <c r="B3275" s="50" t="s">
        <v>8837</v>
      </c>
      <c r="C3275" s="50" t="s">
        <v>5087</v>
      </c>
      <c r="D3275" s="50" t="s">
        <v>5047</v>
      </c>
      <c r="E3275" s="12" t="s">
        <v>4971</v>
      </c>
      <c r="F3275" s="49">
        <v>54350</v>
      </c>
      <c r="G3275" s="77" t="s">
        <v>8845</v>
      </c>
      <c r="H3275" s="14" t="s">
        <v>5601</v>
      </c>
      <c r="I3275" s="14" t="s">
        <v>2458</v>
      </c>
      <c r="J3275" s="33" t="s">
        <v>7110</v>
      </c>
      <c r="K3275" s="33" t="s">
        <v>8846</v>
      </c>
      <c r="L3275" s="53" t="s">
        <v>6054</v>
      </c>
      <c r="M3275" s="68" t="s">
        <v>8913</v>
      </c>
      <c r="N3275" s="53" t="s">
        <v>6076</v>
      </c>
      <c r="O3275" s="53">
        <v>55301</v>
      </c>
      <c r="P3275" s="198" t="s">
        <v>5802</v>
      </c>
    </row>
    <row r="3276" spans="1:16" ht="18.75" hidden="1">
      <c r="A3276" s="50" t="s">
        <v>8838</v>
      </c>
      <c r="B3276" s="50" t="s">
        <v>8837</v>
      </c>
      <c r="C3276" s="50" t="s">
        <v>5055</v>
      </c>
      <c r="D3276" s="50" t="s">
        <v>5010</v>
      </c>
      <c r="E3276" s="12" t="s">
        <v>4971</v>
      </c>
      <c r="F3276" s="49">
        <v>11750</v>
      </c>
      <c r="G3276" s="77" t="s">
        <v>8845</v>
      </c>
      <c r="H3276" s="14" t="s">
        <v>5601</v>
      </c>
      <c r="I3276" s="14" t="s">
        <v>2458</v>
      </c>
      <c r="J3276" s="33" t="s">
        <v>7110</v>
      </c>
      <c r="K3276" s="33" t="s">
        <v>8846</v>
      </c>
      <c r="L3276" s="53" t="s">
        <v>6054</v>
      </c>
      <c r="M3276" s="68" t="s">
        <v>8913</v>
      </c>
      <c r="N3276" s="53" t="s">
        <v>6076</v>
      </c>
      <c r="O3276" s="53">
        <v>55301</v>
      </c>
      <c r="P3276" s="198" t="s">
        <v>5787</v>
      </c>
    </row>
    <row r="3277" spans="1:16" ht="18.75" hidden="1">
      <c r="A3277" s="50" t="s">
        <v>8838</v>
      </c>
      <c r="B3277" s="50" t="s">
        <v>8837</v>
      </c>
      <c r="C3277" s="50" t="s">
        <v>5978</v>
      </c>
      <c r="D3277" s="50" t="s">
        <v>5835</v>
      </c>
      <c r="E3277" s="12" t="s">
        <v>4971</v>
      </c>
      <c r="F3277" s="49">
        <v>89600</v>
      </c>
      <c r="G3277" s="77" t="s">
        <v>6454</v>
      </c>
      <c r="H3277" s="14" t="s">
        <v>5601</v>
      </c>
      <c r="I3277" s="14" t="s">
        <v>2458</v>
      </c>
      <c r="J3277" s="33" t="s">
        <v>7110</v>
      </c>
      <c r="K3277" s="33" t="s">
        <v>8846</v>
      </c>
      <c r="L3277" s="53" t="s">
        <v>6054</v>
      </c>
      <c r="M3277" s="68" t="s">
        <v>8913</v>
      </c>
      <c r="N3277" s="53" t="s">
        <v>6076</v>
      </c>
      <c r="O3277" s="53">
        <v>55301</v>
      </c>
      <c r="P3277" s="198" t="s">
        <v>5822</v>
      </c>
    </row>
    <row r="3278" spans="1:16" ht="18.75" hidden="1">
      <c r="A3278" s="50" t="s">
        <v>8839</v>
      </c>
      <c r="B3278" s="50" t="s">
        <v>8837</v>
      </c>
      <c r="C3278" s="50" t="s">
        <v>7238</v>
      </c>
      <c r="D3278" s="50" t="s">
        <v>6323</v>
      </c>
      <c r="E3278" s="12" t="s">
        <v>4971</v>
      </c>
      <c r="F3278" s="49">
        <v>260070</v>
      </c>
      <c r="G3278" s="77" t="s">
        <v>6300</v>
      </c>
      <c r="H3278" s="14" t="s">
        <v>5601</v>
      </c>
      <c r="I3278" s="14" t="s">
        <v>2458</v>
      </c>
      <c r="J3278" s="33" t="s">
        <v>7110</v>
      </c>
      <c r="K3278" s="33" t="s">
        <v>8846</v>
      </c>
      <c r="L3278" s="53" t="s">
        <v>6054</v>
      </c>
      <c r="M3278" s="68" t="s">
        <v>8912</v>
      </c>
      <c r="N3278" s="53" t="s">
        <v>6076</v>
      </c>
      <c r="O3278" s="53">
        <v>55301</v>
      </c>
      <c r="P3278" s="197" t="s">
        <v>5836</v>
      </c>
    </row>
    <row r="3279" spans="1:16" ht="18.75" hidden="1">
      <c r="A3279" s="50" t="s">
        <v>8840</v>
      </c>
      <c r="B3279" s="50" t="s">
        <v>8629</v>
      </c>
      <c r="C3279" s="50" t="s">
        <v>5576</v>
      </c>
      <c r="D3279" s="50" t="s">
        <v>5561</v>
      </c>
      <c r="E3279" s="12" t="s">
        <v>4971</v>
      </c>
      <c r="F3279" s="49">
        <v>24000</v>
      </c>
      <c r="G3279" s="77" t="s">
        <v>6298</v>
      </c>
      <c r="H3279" s="14" t="s">
        <v>5601</v>
      </c>
      <c r="I3279" s="14" t="s">
        <v>2458</v>
      </c>
      <c r="J3279" s="33" t="s">
        <v>7110</v>
      </c>
      <c r="K3279" s="33" t="s">
        <v>8846</v>
      </c>
      <c r="L3279" s="53" t="s">
        <v>6054</v>
      </c>
      <c r="M3279" s="68" t="s">
        <v>8913</v>
      </c>
      <c r="N3279" s="53" t="s">
        <v>6076</v>
      </c>
      <c r="O3279" s="53">
        <v>55301</v>
      </c>
      <c r="P3279" s="198" t="s">
        <v>5815</v>
      </c>
    </row>
    <row r="3280" spans="1:16" ht="18.75" hidden="1">
      <c r="A3280" s="50" t="s">
        <v>8840</v>
      </c>
      <c r="B3280" s="50" t="s">
        <v>8629</v>
      </c>
      <c r="C3280" s="50" t="s">
        <v>5881</v>
      </c>
      <c r="D3280" s="50" t="s">
        <v>5556</v>
      </c>
      <c r="E3280" s="12" t="s">
        <v>4971</v>
      </c>
      <c r="F3280" s="49">
        <v>73680</v>
      </c>
      <c r="G3280" s="77" t="s">
        <v>6298</v>
      </c>
      <c r="H3280" s="14" t="s">
        <v>5601</v>
      </c>
      <c r="I3280" s="14" t="s">
        <v>2458</v>
      </c>
      <c r="J3280" s="33" t="s">
        <v>7110</v>
      </c>
      <c r="K3280" s="33" t="s">
        <v>8846</v>
      </c>
      <c r="L3280" s="53" t="s">
        <v>6054</v>
      </c>
      <c r="M3280" s="68" t="s">
        <v>8913</v>
      </c>
      <c r="N3280" s="53" t="s">
        <v>6076</v>
      </c>
      <c r="O3280" s="53">
        <v>55301</v>
      </c>
      <c r="P3280" s="198" t="s">
        <v>5810</v>
      </c>
    </row>
    <row r="3281" spans="1:16" ht="18.75" hidden="1">
      <c r="A3281" s="50" t="s">
        <v>8838</v>
      </c>
      <c r="B3281" s="50" t="s">
        <v>8837</v>
      </c>
      <c r="C3281" s="50" t="s">
        <v>5957</v>
      </c>
      <c r="D3281" s="50" t="s">
        <v>5828</v>
      </c>
      <c r="E3281" s="12" t="s">
        <v>4971</v>
      </c>
      <c r="F3281" s="49">
        <v>100000</v>
      </c>
      <c r="G3281" s="77" t="s">
        <v>6454</v>
      </c>
      <c r="H3281" s="14" t="s">
        <v>5601</v>
      </c>
      <c r="I3281" s="14" t="s">
        <v>2458</v>
      </c>
      <c r="J3281" s="33" t="s">
        <v>7110</v>
      </c>
      <c r="K3281" s="33" t="s">
        <v>8846</v>
      </c>
      <c r="L3281" s="53" t="s">
        <v>6054</v>
      </c>
      <c r="M3281" s="68" t="s">
        <v>8913</v>
      </c>
      <c r="N3281" s="53" t="s">
        <v>6076</v>
      </c>
      <c r="O3281" s="53">
        <v>55301</v>
      </c>
      <c r="P3281" s="198" t="s">
        <v>5821</v>
      </c>
    </row>
    <row r="3282" spans="1:16" ht="18.75" hidden="1">
      <c r="A3282" s="50" t="s">
        <v>8841</v>
      </c>
      <c r="B3282" s="50" t="s">
        <v>8618</v>
      </c>
      <c r="C3282" s="50" t="s">
        <v>7257</v>
      </c>
      <c r="D3282" s="50" t="s">
        <v>6302</v>
      </c>
      <c r="E3282" s="12" t="s">
        <v>4971</v>
      </c>
      <c r="F3282" s="49">
        <v>91870</v>
      </c>
      <c r="G3282" s="77" t="s">
        <v>6300</v>
      </c>
      <c r="H3282" s="14" t="s">
        <v>5601</v>
      </c>
      <c r="I3282" s="14" t="s">
        <v>2458</v>
      </c>
      <c r="J3282" s="33" t="s">
        <v>7110</v>
      </c>
      <c r="K3282" s="33" t="s">
        <v>8846</v>
      </c>
      <c r="L3282" s="53" t="s">
        <v>6054</v>
      </c>
      <c r="M3282" s="68" t="s">
        <v>8912</v>
      </c>
      <c r="N3282" s="53" t="s">
        <v>6076</v>
      </c>
      <c r="O3282" s="53">
        <v>55301</v>
      </c>
      <c r="P3282" s="197" t="s">
        <v>5836</v>
      </c>
    </row>
    <row r="3283" spans="1:16" ht="18.75" hidden="1">
      <c r="A3283" s="50" t="s">
        <v>8842</v>
      </c>
      <c r="B3283" s="50" t="s">
        <v>8645</v>
      </c>
      <c r="C3283" s="50" t="s">
        <v>7238</v>
      </c>
      <c r="D3283" s="50" t="s">
        <v>6323</v>
      </c>
      <c r="E3283" s="12" t="s">
        <v>4971</v>
      </c>
      <c r="F3283" s="49">
        <v>46400</v>
      </c>
      <c r="G3283" s="77" t="s">
        <v>6300</v>
      </c>
      <c r="H3283" s="14" t="s">
        <v>5601</v>
      </c>
      <c r="I3283" s="14" t="s">
        <v>2458</v>
      </c>
      <c r="J3283" s="33" t="s">
        <v>7110</v>
      </c>
      <c r="K3283" s="33" t="s">
        <v>8846</v>
      </c>
      <c r="L3283" s="53" t="s">
        <v>6054</v>
      </c>
      <c r="M3283" s="68" t="s">
        <v>8912</v>
      </c>
      <c r="N3283" s="53" t="s">
        <v>6076</v>
      </c>
      <c r="O3283" s="53">
        <v>55301</v>
      </c>
      <c r="P3283" s="197" t="s">
        <v>5836</v>
      </c>
    </row>
    <row r="3284" spans="1:16" ht="18.75" hidden="1">
      <c r="A3284" s="50" t="s">
        <v>8843</v>
      </c>
      <c r="B3284" s="50" t="s">
        <v>8645</v>
      </c>
      <c r="C3284" s="50" t="s">
        <v>5977</v>
      </c>
      <c r="D3284" s="50" t="s">
        <v>5835</v>
      </c>
      <c r="E3284" s="12" t="s">
        <v>4971</v>
      </c>
      <c r="F3284" s="49">
        <v>270440</v>
      </c>
      <c r="G3284" s="77" t="s">
        <v>6454</v>
      </c>
      <c r="H3284" s="14" t="s">
        <v>5601</v>
      </c>
      <c r="I3284" s="14" t="s">
        <v>2458</v>
      </c>
      <c r="J3284" s="33" t="s">
        <v>7110</v>
      </c>
      <c r="K3284" s="33" t="s">
        <v>8846</v>
      </c>
      <c r="L3284" s="53" t="s">
        <v>6054</v>
      </c>
      <c r="M3284" s="68" t="s">
        <v>8913</v>
      </c>
      <c r="N3284" s="53" t="s">
        <v>6076</v>
      </c>
      <c r="O3284" s="53">
        <v>55301</v>
      </c>
      <c r="P3284" s="198" t="s">
        <v>5821</v>
      </c>
    </row>
    <row r="3285" spans="1:16" ht="18.75" hidden="1">
      <c r="A3285" s="50" t="s">
        <v>8843</v>
      </c>
      <c r="B3285" s="50" t="s">
        <v>8645</v>
      </c>
      <c r="C3285" s="50" t="s">
        <v>7249</v>
      </c>
      <c r="D3285" s="50" t="s">
        <v>6337</v>
      </c>
      <c r="E3285" s="12" t="s">
        <v>4971</v>
      </c>
      <c r="F3285" s="49">
        <v>214900</v>
      </c>
      <c r="G3285" s="77" t="s">
        <v>6453</v>
      </c>
      <c r="H3285" s="14" t="s">
        <v>5601</v>
      </c>
      <c r="I3285" s="14" t="s">
        <v>2458</v>
      </c>
      <c r="J3285" s="33" t="s">
        <v>7110</v>
      </c>
      <c r="K3285" s="33" t="s">
        <v>8846</v>
      </c>
      <c r="L3285" s="53" t="s">
        <v>6054</v>
      </c>
      <c r="M3285" s="68" t="s">
        <v>8913</v>
      </c>
      <c r="N3285" s="53" t="s">
        <v>6076</v>
      </c>
      <c r="O3285" s="53">
        <v>55301</v>
      </c>
      <c r="P3285" s="198" t="s">
        <v>7233</v>
      </c>
    </row>
    <row r="3286" spans="1:16" ht="18.75" hidden="1">
      <c r="A3286" s="50" t="s">
        <v>8844</v>
      </c>
      <c r="B3286" s="50" t="s">
        <v>8636</v>
      </c>
      <c r="C3286" s="50" t="s">
        <v>5901</v>
      </c>
      <c r="D3286" s="50" t="s">
        <v>5561</v>
      </c>
      <c r="E3286" s="12" t="s">
        <v>4971</v>
      </c>
      <c r="F3286" s="49">
        <v>29300</v>
      </c>
      <c r="G3286" s="77" t="s">
        <v>6454</v>
      </c>
      <c r="H3286" s="14" t="s">
        <v>5601</v>
      </c>
      <c r="I3286" s="14" t="s">
        <v>2458</v>
      </c>
      <c r="J3286" s="33" t="s">
        <v>7110</v>
      </c>
      <c r="K3286" s="33" t="s">
        <v>8846</v>
      </c>
      <c r="L3286" s="53" t="s">
        <v>6054</v>
      </c>
      <c r="M3286" s="68" t="s">
        <v>8913</v>
      </c>
      <c r="N3286" s="53" t="s">
        <v>6076</v>
      </c>
      <c r="O3286" s="53">
        <v>55301</v>
      </c>
      <c r="P3286" s="198" t="s">
        <v>5816</v>
      </c>
    </row>
    <row r="3287" spans="1:16" ht="18.75" hidden="1">
      <c r="A3287" s="50" t="s">
        <v>8844</v>
      </c>
      <c r="B3287" s="50" t="s">
        <v>8636</v>
      </c>
      <c r="C3287" s="50" t="s">
        <v>5890</v>
      </c>
      <c r="D3287" s="50" t="s">
        <v>5564</v>
      </c>
      <c r="E3287" s="12" t="s">
        <v>4971</v>
      </c>
      <c r="F3287" s="49">
        <v>104610</v>
      </c>
      <c r="G3287" s="77" t="s">
        <v>6454</v>
      </c>
      <c r="H3287" s="14" t="s">
        <v>5601</v>
      </c>
      <c r="I3287" s="14" t="s">
        <v>2458</v>
      </c>
      <c r="J3287" s="33" t="s">
        <v>7110</v>
      </c>
      <c r="K3287" s="33" t="s">
        <v>8846</v>
      </c>
      <c r="L3287" s="53" t="s">
        <v>6054</v>
      </c>
      <c r="M3287" s="68" t="s">
        <v>8913</v>
      </c>
      <c r="N3287" s="53" t="s">
        <v>6076</v>
      </c>
      <c r="O3287" s="53">
        <v>55301</v>
      </c>
      <c r="P3287" s="198" t="s">
        <v>5816</v>
      </c>
    </row>
    <row r="3288" spans="1:16" ht="18.75" hidden="1">
      <c r="A3288" s="50" t="s">
        <v>8844</v>
      </c>
      <c r="B3288" s="50" t="s">
        <v>8636</v>
      </c>
      <c r="C3288" s="50" t="s">
        <v>5918</v>
      </c>
      <c r="D3288" s="50" t="s">
        <v>5483</v>
      </c>
      <c r="E3288" s="12" t="s">
        <v>4971</v>
      </c>
      <c r="F3288" s="49">
        <v>50000</v>
      </c>
      <c r="G3288" s="77" t="s">
        <v>6454</v>
      </c>
      <c r="H3288" s="14" t="s">
        <v>5601</v>
      </c>
      <c r="I3288" s="14" t="s">
        <v>2458</v>
      </c>
      <c r="J3288" s="33" t="s">
        <v>7110</v>
      </c>
      <c r="K3288" s="33" t="s">
        <v>8846</v>
      </c>
      <c r="L3288" s="53" t="s">
        <v>6054</v>
      </c>
      <c r="M3288" s="68" t="s">
        <v>8913</v>
      </c>
      <c r="N3288" s="53" t="s">
        <v>6076</v>
      </c>
      <c r="O3288" s="53">
        <v>55301</v>
      </c>
      <c r="P3288" s="198" t="s">
        <v>5822</v>
      </c>
    </row>
    <row r="3289" spans="1:16" ht="18.75" hidden="1">
      <c r="A3289" s="50" t="s">
        <v>8844</v>
      </c>
      <c r="B3289" s="50" t="s">
        <v>8636</v>
      </c>
      <c r="C3289" s="50" t="s">
        <v>5917</v>
      </c>
      <c r="D3289" s="50" t="s">
        <v>5447</v>
      </c>
      <c r="E3289" s="12" t="s">
        <v>4971</v>
      </c>
      <c r="F3289" s="49">
        <v>4510</v>
      </c>
      <c r="G3289" s="77" t="s">
        <v>6298</v>
      </c>
      <c r="H3289" s="14" t="s">
        <v>5601</v>
      </c>
      <c r="I3289" s="14" t="s">
        <v>2458</v>
      </c>
      <c r="J3289" s="33" t="s">
        <v>7110</v>
      </c>
      <c r="K3289" s="33" t="s">
        <v>8846</v>
      </c>
      <c r="L3289" s="53" t="s">
        <v>6054</v>
      </c>
      <c r="M3289" s="68" t="s">
        <v>8913</v>
      </c>
      <c r="N3289" s="53" t="s">
        <v>6076</v>
      </c>
      <c r="O3289" s="53">
        <v>55301</v>
      </c>
      <c r="P3289" s="198" t="s">
        <v>5813</v>
      </c>
    </row>
    <row r="3290" spans="1:16" ht="18.75" hidden="1">
      <c r="A3290" s="50" t="s">
        <v>8844</v>
      </c>
      <c r="B3290" s="50" t="s">
        <v>8636</v>
      </c>
      <c r="C3290" s="50" t="s">
        <v>5911</v>
      </c>
      <c r="D3290" s="50" t="s">
        <v>5482</v>
      </c>
      <c r="E3290" s="12" t="s">
        <v>4971</v>
      </c>
      <c r="F3290" s="49">
        <v>47480</v>
      </c>
      <c r="G3290" s="77" t="s">
        <v>6454</v>
      </c>
      <c r="H3290" s="14" t="s">
        <v>5601</v>
      </c>
      <c r="I3290" s="14" t="s">
        <v>2458</v>
      </c>
      <c r="J3290" s="33" t="s">
        <v>7110</v>
      </c>
      <c r="K3290" s="33" t="s">
        <v>8846</v>
      </c>
      <c r="L3290" s="53" t="s">
        <v>6054</v>
      </c>
      <c r="M3290" s="68" t="s">
        <v>8913</v>
      </c>
      <c r="N3290" s="53" t="s">
        <v>6076</v>
      </c>
      <c r="O3290" s="53">
        <v>55301</v>
      </c>
      <c r="P3290" s="198" t="s">
        <v>5821</v>
      </c>
    </row>
    <row r="3291" spans="1:16" ht="18.75" hidden="1">
      <c r="A3291" s="50" t="s">
        <v>8847</v>
      </c>
      <c r="B3291" s="50" t="s">
        <v>8695</v>
      </c>
      <c r="C3291" s="50" t="s">
        <v>6043</v>
      </c>
      <c r="D3291" s="50" t="s">
        <v>5857</v>
      </c>
      <c r="E3291" s="12" t="s">
        <v>4971</v>
      </c>
      <c r="F3291" s="49">
        <v>85120</v>
      </c>
      <c r="G3291" s="77" t="s">
        <v>6300</v>
      </c>
      <c r="H3291" s="14" t="s">
        <v>5601</v>
      </c>
      <c r="I3291" s="14" t="s">
        <v>2458</v>
      </c>
      <c r="J3291" s="33" t="s">
        <v>7110</v>
      </c>
      <c r="K3291" s="33" t="s">
        <v>8911</v>
      </c>
      <c r="L3291" s="53" t="str">
        <f>"پاکستان"</f>
        <v>پاکستان</v>
      </c>
      <c r="M3291" s="68" t="s">
        <v>8912</v>
      </c>
      <c r="N3291" s="53" t="str">
        <f>"پيشين"</f>
        <v>پيشين</v>
      </c>
      <c r="O3291" s="53">
        <v>55301</v>
      </c>
      <c r="P3291" s="197" t="s">
        <v>5818</v>
      </c>
    </row>
    <row r="3292" spans="1:16" ht="18.75" hidden="1">
      <c r="A3292" s="50" t="s">
        <v>8847</v>
      </c>
      <c r="B3292" s="50" t="s">
        <v>8695</v>
      </c>
      <c r="C3292" s="50" t="s">
        <v>7238</v>
      </c>
      <c r="D3292" s="50" t="s">
        <v>6323</v>
      </c>
      <c r="E3292" s="12" t="s">
        <v>4971</v>
      </c>
      <c r="F3292" s="49">
        <v>71230</v>
      </c>
      <c r="G3292" s="77" t="s">
        <v>6300</v>
      </c>
      <c r="H3292" s="14" t="s">
        <v>5601</v>
      </c>
      <c r="I3292" s="14" t="s">
        <v>2458</v>
      </c>
      <c r="J3292" s="33" t="s">
        <v>7110</v>
      </c>
      <c r="K3292" s="33" t="s">
        <v>8911</v>
      </c>
      <c r="L3292" s="53" t="str">
        <f>"پاکستان"</f>
        <v>پاکستان</v>
      </c>
      <c r="M3292" s="68" t="s">
        <v>8912</v>
      </c>
      <c r="N3292" s="53" t="str">
        <f>"پيشين"</f>
        <v>پيشين</v>
      </c>
      <c r="O3292" s="53">
        <v>55301</v>
      </c>
      <c r="P3292" s="197" t="s">
        <v>5836</v>
      </c>
    </row>
    <row r="3293" spans="1:16" ht="18.75" hidden="1">
      <c r="A3293" s="50" t="s">
        <v>8848</v>
      </c>
      <c r="B3293" s="50" t="s">
        <v>8767</v>
      </c>
      <c r="C3293" s="50" t="s">
        <v>5935</v>
      </c>
      <c r="D3293" s="50" t="s">
        <v>5460</v>
      </c>
      <c r="E3293" s="12" t="s">
        <v>4971</v>
      </c>
      <c r="F3293" s="49">
        <v>6210</v>
      </c>
      <c r="G3293" s="77" t="s">
        <v>6298</v>
      </c>
      <c r="H3293" s="14" t="s">
        <v>5601</v>
      </c>
      <c r="I3293" s="14" t="s">
        <v>2458</v>
      </c>
      <c r="J3293" s="33" t="s">
        <v>7110</v>
      </c>
      <c r="K3293" s="33" t="s">
        <v>8911</v>
      </c>
      <c r="L3293" s="53" t="str">
        <f>" ارمنستان"</f>
        <v xml:space="preserve"> ارمنستان</v>
      </c>
      <c r="M3293" s="68" t="s">
        <v>8913</v>
      </c>
      <c r="N3293" s="53" t="str">
        <f>"نوردوز"</f>
        <v>نوردوز</v>
      </c>
      <c r="O3293" s="53">
        <v>25302</v>
      </c>
      <c r="P3293" s="198" t="s">
        <v>5814</v>
      </c>
    </row>
    <row r="3294" spans="1:16" ht="18.75" hidden="1">
      <c r="A3294" s="50" t="s">
        <v>8847</v>
      </c>
      <c r="B3294" s="50" t="s">
        <v>8695</v>
      </c>
      <c r="C3294" s="50" t="s">
        <v>5968</v>
      </c>
      <c r="D3294" s="50" t="s">
        <v>5832</v>
      </c>
      <c r="E3294" s="12" t="s">
        <v>4971</v>
      </c>
      <c r="F3294" s="49">
        <v>4930</v>
      </c>
      <c r="G3294" s="77" t="s">
        <v>6300</v>
      </c>
      <c r="H3294" s="14" t="s">
        <v>5601</v>
      </c>
      <c r="I3294" s="14" t="s">
        <v>2458</v>
      </c>
      <c r="J3294" s="33" t="s">
        <v>7110</v>
      </c>
      <c r="K3294" s="33" t="s">
        <v>8911</v>
      </c>
      <c r="L3294" s="53" t="str">
        <f>"پاکستان"</f>
        <v>پاکستان</v>
      </c>
      <c r="M3294" s="68" t="s">
        <v>8912</v>
      </c>
      <c r="N3294" s="53" t="str">
        <f>"پيشين"</f>
        <v>پيشين</v>
      </c>
      <c r="O3294" s="53">
        <v>55301</v>
      </c>
      <c r="P3294" s="197" t="s">
        <v>5820</v>
      </c>
    </row>
    <row r="3295" spans="1:16" ht="18.75" hidden="1">
      <c r="A3295" s="50" t="s">
        <v>8849</v>
      </c>
      <c r="B3295" s="50" t="s">
        <v>8793</v>
      </c>
      <c r="C3295" s="50" t="s">
        <v>8850</v>
      </c>
      <c r="D3295" s="50" t="s">
        <v>8621</v>
      </c>
      <c r="E3295" s="12" t="s">
        <v>4971</v>
      </c>
      <c r="F3295" s="49">
        <v>23700</v>
      </c>
      <c r="G3295" s="77" t="s">
        <v>6299</v>
      </c>
      <c r="H3295" s="14" t="s">
        <v>5601</v>
      </c>
      <c r="I3295" s="14" t="s">
        <v>2458</v>
      </c>
      <c r="J3295" s="33" t="s">
        <v>7110</v>
      </c>
      <c r="K3295" s="33" t="s">
        <v>8911</v>
      </c>
      <c r="L3295" s="53" t="str">
        <f>"پاکستان"</f>
        <v>پاکستان</v>
      </c>
      <c r="M3295" s="68" t="s">
        <v>8913</v>
      </c>
      <c r="N3295" s="53" t="str">
        <f>"پيشين"</f>
        <v>پيشين</v>
      </c>
      <c r="O3295" s="53">
        <v>55301</v>
      </c>
      <c r="P3295" s="198" t="s">
        <v>8727</v>
      </c>
    </row>
    <row r="3296" spans="1:16" ht="18.75" hidden="1">
      <c r="A3296" s="50" t="s">
        <v>8851</v>
      </c>
      <c r="B3296" s="50" t="s">
        <v>8824</v>
      </c>
      <c r="C3296" s="50" t="s">
        <v>6012</v>
      </c>
      <c r="D3296" s="50" t="s">
        <v>5843</v>
      </c>
      <c r="E3296" s="12" t="s">
        <v>4971</v>
      </c>
      <c r="F3296" s="49">
        <v>23600</v>
      </c>
      <c r="G3296" s="77" t="s">
        <v>6298</v>
      </c>
      <c r="H3296" s="14" t="s">
        <v>5601</v>
      </c>
      <c r="I3296" s="14" t="s">
        <v>2458</v>
      </c>
      <c r="J3296" s="33" t="s">
        <v>7110</v>
      </c>
      <c r="K3296" s="33" t="s">
        <v>8911</v>
      </c>
      <c r="L3296" s="53" t="str">
        <f>"پاکستان"</f>
        <v>پاکستان</v>
      </c>
      <c r="M3296" s="68" t="s">
        <v>8912</v>
      </c>
      <c r="N3296" s="53" t="str">
        <f>"بازارچه کوهک سراوان"</f>
        <v>بازارچه کوهک سراوان</v>
      </c>
      <c r="O3296" s="53">
        <v>55107</v>
      </c>
      <c r="P3296" s="198" t="s">
        <v>5826</v>
      </c>
    </row>
    <row r="3297" spans="1:16" ht="18.75" hidden="1">
      <c r="A3297" s="50" t="s">
        <v>8847</v>
      </c>
      <c r="B3297" s="50" t="s">
        <v>8695</v>
      </c>
      <c r="C3297" s="50" t="s">
        <v>8852</v>
      </c>
      <c r="D3297" s="50" t="s">
        <v>6308</v>
      </c>
      <c r="E3297" s="12" t="s">
        <v>4971</v>
      </c>
      <c r="F3297" s="49">
        <v>29010</v>
      </c>
      <c r="G3297" s="77" t="s">
        <v>6300</v>
      </c>
      <c r="H3297" s="14" t="s">
        <v>5601</v>
      </c>
      <c r="I3297" s="14" t="s">
        <v>2458</v>
      </c>
      <c r="J3297" s="33" t="s">
        <v>7110</v>
      </c>
      <c r="K3297" s="33" t="s">
        <v>8911</v>
      </c>
      <c r="L3297" s="53" t="str">
        <f>"پاکستان"</f>
        <v>پاکستان</v>
      </c>
      <c r="M3297" s="68" t="s">
        <v>8912</v>
      </c>
      <c r="N3297" s="53" t="str">
        <f>"پيشين"</f>
        <v>پيشين</v>
      </c>
      <c r="O3297" s="53">
        <v>55301</v>
      </c>
      <c r="P3297" s="197" t="s">
        <v>5836</v>
      </c>
    </row>
    <row r="3298" spans="1:16" ht="18.75" hidden="1">
      <c r="A3298" s="50" t="s">
        <v>8847</v>
      </c>
      <c r="B3298" s="50" t="s">
        <v>8695</v>
      </c>
      <c r="C3298" s="50" t="s">
        <v>8853</v>
      </c>
      <c r="D3298" s="50" t="s">
        <v>6328</v>
      </c>
      <c r="E3298" s="12" t="s">
        <v>4971</v>
      </c>
      <c r="F3298" s="49">
        <v>95770</v>
      </c>
      <c r="G3298" s="77" t="s">
        <v>6300</v>
      </c>
      <c r="H3298" s="14" t="s">
        <v>5601</v>
      </c>
      <c r="I3298" s="14" t="s">
        <v>2458</v>
      </c>
      <c r="J3298" s="33" t="s">
        <v>7110</v>
      </c>
      <c r="K3298" s="33" t="s">
        <v>8911</v>
      </c>
      <c r="L3298" s="53" t="str">
        <f>"پاکستان"</f>
        <v>پاکستان</v>
      </c>
      <c r="M3298" s="68" t="s">
        <v>8912</v>
      </c>
      <c r="N3298" s="53" t="str">
        <f>"پيشين"</f>
        <v>پيشين</v>
      </c>
      <c r="O3298" s="53">
        <v>55301</v>
      </c>
      <c r="P3298" s="197" t="s">
        <v>7237</v>
      </c>
    </row>
    <row r="3299" spans="1:16" ht="18.75" hidden="1">
      <c r="A3299" s="50" t="s">
        <v>8854</v>
      </c>
      <c r="B3299" s="50" t="s">
        <v>8855</v>
      </c>
      <c r="C3299" s="50" t="s">
        <v>6012</v>
      </c>
      <c r="D3299" s="50" t="s">
        <v>5843</v>
      </c>
      <c r="E3299" s="12" t="s">
        <v>4971</v>
      </c>
      <c r="F3299" s="49">
        <v>47740</v>
      </c>
      <c r="G3299" s="77" t="s">
        <v>6298</v>
      </c>
      <c r="H3299" s="14" t="s">
        <v>5601</v>
      </c>
      <c r="I3299" s="14" t="s">
        <v>2458</v>
      </c>
      <c r="J3299" s="33" t="s">
        <v>7110</v>
      </c>
      <c r="K3299" s="33" t="s">
        <v>8911</v>
      </c>
      <c r="L3299" s="53" t="str">
        <f>" ارمنستان"</f>
        <v xml:space="preserve"> ارمنستان</v>
      </c>
      <c r="M3299" s="68" t="s">
        <v>8913</v>
      </c>
      <c r="N3299" s="53" t="str">
        <f>"نوردوز"</f>
        <v>نوردوز</v>
      </c>
      <c r="O3299" s="53">
        <v>25302</v>
      </c>
      <c r="P3299" s="198" t="s">
        <v>5826</v>
      </c>
    </row>
    <row r="3300" spans="1:16" ht="18.75" hidden="1">
      <c r="A3300" s="50" t="s">
        <v>8848</v>
      </c>
      <c r="B3300" s="50" t="s">
        <v>8767</v>
      </c>
      <c r="C3300" s="50" t="s">
        <v>5943</v>
      </c>
      <c r="D3300" s="50" t="s">
        <v>5481</v>
      </c>
      <c r="E3300" s="12" t="s">
        <v>4971</v>
      </c>
      <c r="F3300" s="49">
        <v>87270</v>
      </c>
      <c r="G3300" s="77" t="s">
        <v>6298</v>
      </c>
      <c r="H3300" s="14" t="s">
        <v>5601</v>
      </c>
      <c r="I3300" s="14" t="s">
        <v>2458</v>
      </c>
      <c r="J3300" s="33" t="s">
        <v>7110</v>
      </c>
      <c r="K3300" s="33" t="s">
        <v>8911</v>
      </c>
      <c r="L3300" s="53" t="str">
        <f>" ارمنستان"</f>
        <v xml:space="preserve"> ارمنستان</v>
      </c>
      <c r="M3300" s="68" t="s">
        <v>8913</v>
      </c>
      <c r="N3300" s="53" t="str">
        <f>"نوردوز"</f>
        <v>نوردوز</v>
      </c>
      <c r="O3300" s="53">
        <v>25302</v>
      </c>
      <c r="P3300" s="198" t="s">
        <v>5814</v>
      </c>
    </row>
    <row r="3301" spans="1:16" ht="18.75" hidden="1">
      <c r="A3301" s="50" t="s">
        <v>8849</v>
      </c>
      <c r="B3301" s="50" t="s">
        <v>8793</v>
      </c>
      <c r="C3301" s="50" t="s">
        <v>8856</v>
      </c>
      <c r="D3301" s="50" t="s">
        <v>6457</v>
      </c>
      <c r="E3301" s="12" t="s">
        <v>4971</v>
      </c>
      <c r="F3301" s="49">
        <v>167300</v>
      </c>
      <c r="G3301" s="77" t="s">
        <v>6300</v>
      </c>
      <c r="H3301" s="14" t="s">
        <v>5601</v>
      </c>
      <c r="I3301" s="14" t="s">
        <v>2458</v>
      </c>
      <c r="J3301" s="33" t="s">
        <v>7110</v>
      </c>
      <c r="K3301" s="33" t="s">
        <v>8911</v>
      </c>
      <c r="L3301" s="53" t="str">
        <f t="shared" ref="L3301:L3331" si="26">"پاکستان"</f>
        <v>پاکستان</v>
      </c>
      <c r="M3301" s="68" t="s">
        <v>8913</v>
      </c>
      <c r="N3301" s="53" t="str">
        <f>"پيشين"</f>
        <v>پيشين</v>
      </c>
      <c r="O3301" s="53">
        <v>55301</v>
      </c>
      <c r="P3301" s="197" t="s">
        <v>5842</v>
      </c>
    </row>
    <row r="3302" spans="1:16" ht="18.75" hidden="1">
      <c r="A3302" s="50" t="s">
        <v>8849</v>
      </c>
      <c r="B3302" s="50" t="s">
        <v>8793</v>
      </c>
      <c r="C3302" s="50" t="s">
        <v>8857</v>
      </c>
      <c r="D3302" s="50" t="s">
        <v>8636</v>
      </c>
      <c r="E3302" s="12" t="s">
        <v>4971</v>
      </c>
      <c r="F3302" s="49">
        <v>22960</v>
      </c>
      <c r="G3302" s="77" t="s">
        <v>6453</v>
      </c>
      <c r="H3302" s="14" t="s">
        <v>5601</v>
      </c>
      <c r="I3302" s="14" t="s">
        <v>2458</v>
      </c>
      <c r="J3302" s="33" t="s">
        <v>7110</v>
      </c>
      <c r="K3302" s="33" t="s">
        <v>8911</v>
      </c>
      <c r="L3302" s="53" t="str">
        <f t="shared" si="26"/>
        <v>پاکستان</v>
      </c>
      <c r="M3302" s="68" t="s">
        <v>8913</v>
      </c>
      <c r="N3302" s="53" t="str">
        <f>"پيشين"</f>
        <v>پيشين</v>
      </c>
      <c r="O3302" s="53">
        <v>55301</v>
      </c>
      <c r="P3302" s="198" t="s">
        <v>8497</v>
      </c>
    </row>
    <row r="3303" spans="1:16" ht="18.75" hidden="1">
      <c r="A3303" s="50" t="s">
        <v>8849</v>
      </c>
      <c r="B3303" s="50" t="s">
        <v>8793</v>
      </c>
      <c r="C3303" s="50" t="s">
        <v>8858</v>
      </c>
      <c r="D3303" s="50" t="s">
        <v>8621</v>
      </c>
      <c r="E3303" s="12" t="s">
        <v>4971</v>
      </c>
      <c r="F3303" s="49">
        <v>45120</v>
      </c>
      <c r="G3303" s="77" t="s">
        <v>8859</v>
      </c>
      <c r="H3303" s="14" t="s">
        <v>5601</v>
      </c>
      <c r="I3303" s="14" t="s">
        <v>2458</v>
      </c>
      <c r="J3303" s="33" t="e">
        <f>VLOOKUP(C3303,شرکتها!A:B,2,FALSE)</f>
        <v>#N/A</v>
      </c>
      <c r="K3303" s="33" t="s">
        <v>8911</v>
      </c>
      <c r="L3303" s="53" t="str">
        <f t="shared" si="26"/>
        <v>پاکستان</v>
      </c>
      <c r="M3303" s="68" t="s">
        <v>8913</v>
      </c>
      <c r="N3303" s="53" t="str">
        <f>"پيشين"</f>
        <v>پيشين</v>
      </c>
      <c r="O3303" s="53">
        <v>55301</v>
      </c>
      <c r="P3303" s="198" t="s">
        <v>5854</v>
      </c>
    </row>
    <row r="3304" spans="1:16" ht="18.75" hidden="1">
      <c r="A3304" s="50" t="s">
        <v>8860</v>
      </c>
      <c r="B3304" s="50" t="s">
        <v>8855</v>
      </c>
      <c r="C3304" s="50" t="s">
        <v>8861</v>
      </c>
      <c r="D3304" s="50" t="s">
        <v>6308</v>
      </c>
      <c r="E3304" s="12" t="s">
        <v>4971</v>
      </c>
      <c r="F3304" s="49">
        <v>300220</v>
      </c>
      <c r="G3304" s="77" t="s">
        <v>6454</v>
      </c>
      <c r="H3304" s="14" t="s">
        <v>5601</v>
      </c>
      <c r="I3304" s="14" t="s">
        <v>2458</v>
      </c>
      <c r="J3304" s="33" t="s">
        <v>7110</v>
      </c>
      <c r="K3304" s="33" t="s">
        <v>8911</v>
      </c>
      <c r="L3304" s="53" t="str">
        <f t="shared" si="26"/>
        <v>پاکستان</v>
      </c>
      <c r="M3304" s="68" t="s">
        <v>8912</v>
      </c>
      <c r="N3304" s="53" t="str">
        <f>"تفتان (ميرجاوه)"</f>
        <v>تفتان (ميرجاوه)</v>
      </c>
      <c r="O3304" s="53">
        <v>55200</v>
      </c>
      <c r="P3304" s="198" t="s">
        <v>7255</v>
      </c>
    </row>
    <row r="3305" spans="1:16" ht="18.75" hidden="1">
      <c r="A3305" s="50" t="s">
        <v>8862</v>
      </c>
      <c r="B3305" s="50" t="s">
        <v>8824</v>
      </c>
      <c r="C3305" s="50" t="s">
        <v>8861</v>
      </c>
      <c r="D3305" s="50" t="s">
        <v>6308</v>
      </c>
      <c r="E3305" s="12" t="s">
        <v>4971</v>
      </c>
      <c r="F3305" s="49">
        <v>191880</v>
      </c>
      <c r="G3305" s="77" t="s">
        <v>6454</v>
      </c>
      <c r="H3305" s="14" t="s">
        <v>5601</v>
      </c>
      <c r="I3305" s="14" t="s">
        <v>2458</v>
      </c>
      <c r="J3305" s="33" t="s">
        <v>7110</v>
      </c>
      <c r="K3305" s="33" t="s">
        <v>8911</v>
      </c>
      <c r="L3305" s="53" t="str">
        <f t="shared" si="26"/>
        <v>پاکستان</v>
      </c>
      <c r="M3305" s="68" t="s">
        <v>8912</v>
      </c>
      <c r="N3305" s="53" t="str">
        <f>"پيشين"</f>
        <v>پيشين</v>
      </c>
      <c r="O3305" s="53">
        <v>55301</v>
      </c>
      <c r="P3305" s="198" t="s">
        <v>7255</v>
      </c>
    </row>
    <row r="3306" spans="1:16" ht="18.75" hidden="1">
      <c r="A3306" s="50" t="s">
        <v>8863</v>
      </c>
      <c r="B3306" s="50" t="s">
        <v>8770</v>
      </c>
      <c r="C3306" s="50" t="s">
        <v>5944</v>
      </c>
      <c r="D3306" s="50" t="s">
        <v>5480</v>
      </c>
      <c r="E3306" s="12" t="s">
        <v>4971</v>
      </c>
      <c r="F3306" s="49">
        <v>46980</v>
      </c>
      <c r="G3306" s="77" t="s">
        <v>6454</v>
      </c>
      <c r="H3306" s="14" t="s">
        <v>5601</v>
      </c>
      <c r="I3306" s="14" t="s">
        <v>2458</v>
      </c>
      <c r="J3306" s="33" t="s">
        <v>7110</v>
      </c>
      <c r="K3306" s="33" t="s">
        <v>8911</v>
      </c>
      <c r="L3306" s="53" t="str">
        <f t="shared" si="26"/>
        <v>پاکستان</v>
      </c>
      <c r="M3306" s="68" t="s">
        <v>8913</v>
      </c>
      <c r="N3306" s="53" t="str">
        <f>"بازارچه کوهک سراوان"</f>
        <v>بازارچه کوهک سراوان</v>
      </c>
      <c r="O3306" s="53">
        <v>55107</v>
      </c>
      <c r="P3306" s="198" t="s">
        <v>5821</v>
      </c>
    </row>
    <row r="3307" spans="1:16" ht="18.75" hidden="1">
      <c r="A3307" s="50" t="s">
        <v>8864</v>
      </c>
      <c r="B3307" s="50" t="s">
        <v>8855</v>
      </c>
      <c r="C3307" s="50" t="s">
        <v>8865</v>
      </c>
      <c r="D3307" s="50" t="s">
        <v>6328</v>
      </c>
      <c r="E3307" s="12" t="s">
        <v>4971</v>
      </c>
      <c r="F3307" s="49">
        <v>49300</v>
      </c>
      <c r="G3307" s="77" t="s">
        <v>6454</v>
      </c>
      <c r="H3307" s="14" t="s">
        <v>5601</v>
      </c>
      <c r="I3307" s="14" t="s">
        <v>2458</v>
      </c>
      <c r="J3307" s="33" t="s">
        <v>7110</v>
      </c>
      <c r="K3307" s="33" t="s">
        <v>8911</v>
      </c>
      <c r="L3307" s="53" t="str">
        <f t="shared" si="26"/>
        <v>پاکستان</v>
      </c>
      <c r="M3307" s="68" t="s">
        <v>8913</v>
      </c>
      <c r="N3307" s="53" t="str">
        <f>"پيشين"</f>
        <v>پيشين</v>
      </c>
      <c r="O3307" s="53">
        <v>55301</v>
      </c>
      <c r="P3307" s="198" t="s">
        <v>5852</v>
      </c>
    </row>
    <row r="3308" spans="1:16" ht="18.75" hidden="1">
      <c r="A3308" s="50" t="s">
        <v>8864</v>
      </c>
      <c r="B3308" s="50" t="s">
        <v>8855</v>
      </c>
      <c r="C3308" s="50" t="s">
        <v>8866</v>
      </c>
      <c r="D3308" s="50" t="s">
        <v>6310</v>
      </c>
      <c r="E3308" s="12" t="s">
        <v>4971</v>
      </c>
      <c r="F3308" s="49">
        <v>78140</v>
      </c>
      <c r="G3308" s="77" t="s">
        <v>6454</v>
      </c>
      <c r="H3308" s="14" t="s">
        <v>5601</v>
      </c>
      <c r="I3308" s="14" t="s">
        <v>2458</v>
      </c>
      <c r="J3308" s="33" t="s">
        <v>7110</v>
      </c>
      <c r="K3308" s="33" t="s">
        <v>8911</v>
      </c>
      <c r="L3308" s="53" t="str">
        <f t="shared" si="26"/>
        <v>پاکستان</v>
      </c>
      <c r="M3308" s="68" t="s">
        <v>8913</v>
      </c>
      <c r="N3308" s="53" t="str">
        <f>"پيشين"</f>
        <v>پيشين</v>
      </c>
      <c r="O3308" s="53">
        <v>55301</v>
      </c>
      <c r="P3308" s="198" t="s">
        <v>7255</v>
      </c>
    </row>
    <row r="3309" spans="1:16" ht="18.75" hidden="1">
      <c r="A3309" s="50" t="s">
        <v>8860</v>
      </c>
      <c r="B3309" s="50" t="s">
        <v>8855</v>
      </c>
      <c r="C3309" s="50" t="s">
        <v>5976</v>
      </c>
      <c r="D3309" s="50" t="s">
        <v>5835</v>
      </c>
      <c r="E3309" s="12" t="s">
        <v>4971</v>
      </c>
      <c r="F3309" s="49">
        <v>25500</v>
      </c>
      <c r="G3309" s="77" t="s">
        <v>6300</v>
      </c>
      <c r="H3309" s="14" t="s">
        <v>5601</v>
      </c>
      <c r="I3309" s="14" t="s">
        <v>2458</v>
      </c>
      <c r="J3309" s="33" t="s">
        <v>7110</v>
      </c>
      <c r="K3309" s="33" t="s">
        <v>8911</v>
      </c>
      <c r="L3309" s="53" t="str">
        <f t="shared" si="26"/>
        <v>پاکستان</v>
      </c>
      <c r="M3309" s="68" t="s">
        <v>8912</v>
      </c>
      <c r="N3309" s="53" t="str">
        <f>"تفتان (ميرجاوه)"</f>
        <v>تفتان (ميرجاوه)</v>
      </c>
      <c r="O3309" s="53">
        <v>55200</v>
      </c>
      <c r="P3309" s="197" t="s">
        <v>5820</v>
      </c>
    </row>
    <row r="3310" spans="1:16" ht="18.75" hidden="1">
      <c r="A3310" s="50" t="s">
        <v>8860</v>
      </c>
      <c r="B3310" s="50" t="s">
        <v>8855</v>
      </c>
      <c r="C3310" s="50" t="s">
        <v>6012</v>
      </c>
      <c r="D3310" s="50" t="s">
        <v>5843</v>
      </c>
      <c r="E3310" s="12" t="s">
        <v>4971</v>
      </c>
      <c r="F3310" s="49">
        <v>100790</v>
      </c>
      <c r="G3310" s="77" t="s">
        <v>6298</v>
      </c>
      <c r="H3310" s="14" t="s">
        <v>5601</v>
      </c>
      <c r="I3310" s="14" t="s">
        <v>2458</v>
      </c>
      <c r="J3310" s="33" t="s">
        <v>7110</v>
      </c>
      <c r="K3310" s="33" t="s">
        <v>8911</v>
      </c>
      <c r="L3310" s="53" t="str">
        <f t="shared" si="26"/>
        <v>پاکستان</v>
      </c>
      <c r="M3310" s="68" t="s">
        <v>8912</v>
      </c>
      <c r="N3310" s="53" t="str">
        <f>"تفتان (ميرجاوه)"</f>
        <v>تفتان (ميرجاوه)</v>
      </c>
      <c r="O3310" s="53">
        <v>55200</v>
      </c>
      <c r="P3310" s="198" t="s">
        <v>5826</v>
      </c>
    </row>
    <row r="3311" spans="1:16" ht="18.75" hidden="1">
      <c r="A3311" s="50" t="s">
        <v>8864</v>
      </c>
      <c r="B3311" s="50" t="s">
        <v>8855</v>
      </c>
      <c r="C3311" s="50" t="s">
        <v>5977</v>
      </c>
      <c r="D3311" s="50" t="s">
        <v>5835</v>
      </c>
      <c r="E3311" s="12" t="s">
        <v>4971</v>
      </c>
      <c r="F3311" s="49">
        <v>4560</v>
      </c>
      <c r="G3311" s="77" t="s">
        <v>6454</v>
      </c>
      <c r="H3311" s="14" t="s">
        <v>5601</v>
      </c>
      <c r="I3311" s="14" t="s">
        <v>2458</v>
      </c>
      <c r="J3311" s="33" t="s">
        <v>7110</v>
      </c>
      <c r="K3311" s="33" t="s">
        <v>8911</v>
      </c>
      <c r="L3311" s="53" t="str">
        <f t="shared" si="26"/>
        <v>پاکستان</v>
      </c>
      <c r="M3311" s="68" t="s">
        <v>8913</v>
      </c>
      <c r="N3311" s="53" t="str">
        <f>"پيشين"</f>
        <v>پيشين</v>
      </c>
      <c r="O3311" s="53">
        <v>55301</v>
      </c>
      <c r="P3311" s="198" t="s">
        <v>5821</v>
      </c>
    </row>
    <row r="3312" spans="1:16" ht="18.75" hidden="1">
      <c r="A3312" s="50" t="s">
        <v>8864</v>
      </c>
      <c r="B3312" s="50" t="s">
        <v>8855</v>
      </c>
      <c r="C3312" s="50" t="s">
        <v>8867</v>
      </c>
      <c r="D3312" s="50" t="s">
        <v>6247</v>
      </c>
      <c r="E3312" s="12" t="s">
        <v>4971</v>
      </c>
      <c r="F3312" s="49">
        <v>123080</v>
      </c>
      <c r="G3312" s="77" t="s">
        <v>6454</v>
      </c>
      <c r="H3312" s="14" t="s">
        <v>5601</v>
      </c>
      <c r="I3312" s="14" t="s">
        <v>2458</v>
      </c>
      <c r="J3312" s="33" t="s">
        <v>7110</v>
      </c>
      <c r="K3312" s="33" t="s">
        <v>8911</v>
      </c>
      <c r="L3312" s="53" t="str">
        <f t="shared" si="26"/>
        <v>پاکستان</v>
      </c>
      <c r="M3312" s="68" t="s">
        <v>8913</v>
      </c>
      <c r="N3312" s="53" t="str">
        <f>"پيشين"</f>
        <v>پيشين</v>
      </c>
      <c r="O3312" s="53">
        <v>55301</v>
      </c>
      <c r="P3312" s="198" t="s">
        <v>5852</v>
      </c>
    </row>
    <row r="3313" spans="1:16" ht="18.75" hidden="1">
      <c r="A3313" s="50" t="s">
        <v>8868</v>
      </c>
      <c r="B3313" s="50" t="s">
        <v>8770</v>
      </c>
      <c r="C3313" s="50" t="s">
        <v>5944</v>
      </c>
      <c r="D3313" s="50" t="s">
        <v>5480</v>
      </c>
      <c r="E3313" s="12" t="s">
        <v>4971</v>
      </c>
      <c r="F3313" s="49">
        <v>53020</v>
      </c>
      <c r="G3313" s="77" t="s">
        <v>6454</v>
      </c>
      <c r="H3313" s="14" t="s">
        <v>5601</v>
      </c>
      <c r="I3313" s="14" t="s">
        <v>2458</v>
      </c>
      <c r="J3313" s="33" t="s">
        <v>7110</v>
      </c>
      <c r="K3313" s="33" t="s">
        <v>8911</v>
      </c>
      <c r="L3313" s="53" t="str">
        <f t="shared" si="26"/>
        <v>پاکستان</v>
      </c>
      <c r="M3313" s="68" t="s">
        <v>8913</v>
      </c>
      <c r="N3313" s="53" t="str">
        <f>"پيشين"</f>
        <v>پيشين</v>
      </c>
      <c r="O3313" s="53">
        <v>55301</v>
      </c>
      <c r="P3313" s="198" t="s">
        <v>5821</v>
      </c>
    </row>
    <row r="3314" spans="1:16" ht="18.75" hidden="1">
      <c r="A3314" s="50" t="s">
        <v>8869</v>
      </c>
      <c r="B3314" s="50" t="s">
        <v>8824</v>
      </c>
      <c r="C3314" s="50" t="s">
        <v>5226</v>
      </c>
      <c r="D3314" s="50" t="s">
        <v>5165</v>
      </c>
      <c r="E3314" s="12" t="s">
        <v>4971</v>
      </c>
      <c r="F3314" s="49">
        <v>52929</v>
      </c>
      <c r="G3314" s="77" t="s">
        <v>6298</v>
      </c>
      <c r="H3314" s="14" t="s">
        <v>5601</v>
      </c>
      <c r="I3314" s="14" t="s">
        <v>2458</v>
      </c>
      <c r="J3314" s="33" t="s">
        <v>7110</v>
      </c>
      <c r="K3314" s="33" t="s">
        <v>8911</v>
      </c>
      <c r="L3314" s="53" t="str">
        <f t="shared" si="26"/>
        <v>پاکستان</v>
      </c>
      <c r="M3314" s="68" t="s">
        <v>8912</v>
      </c>
      <c r="N3314" s="53" t="str">
        <f>"تفتان (ميرجاوه)"</f>
        <v>تفتان (ميرجاوه)</v>
      </c>
      <c r="O3314" s="53">
        <v>55200</v>
      </c>
      <c r="P3314" s="198" t="s">
        <v>5762</v>
      </c>
    </row>
    <row r="3315" spans="1:16" ht="18.75" hidden="1">
      <c r="A3315" s="50" t="s">
        <v>8870</v>
      </c>
      <c r="B3315" s="50" t="s">
        <v>8793</v>
      </c>
      <c r="C3315" s="50" t="s">
        <v>8856</v>
      </c>
      <c r="D3315" s="50" t="s">
        <v>6457</v>
      </c>
      <c r="E3315" s="12" t="s">
        <v>4971</v>
      </c>
      <c r="F3315" s="49">
        <v>51160</v>
      </c>
      <c r="G3315" s="77" t="s">
        <v>6300</v>
      </c>
      <c r="H3315" s="14" t="s">
        <v>5601</v>
      </c>
      <c r="I3315" s="14" t="s">
        <v>2458</v>
      </c>
      <c r="J3315" s="33" t="s">
        <v>7110</v>
      </c>
      <c r="K3315" s="33" t="s">
        <v>8911</v>
      </c>
      <c r="L3315" s="53" t="str">
        <f t="shared" si="26"/>
        <v>پاکستان</v>
      </c>
      <c r="M3315" s="68" t="s">
        <v>8912</v>
      </c>
      <c r="N3315" s="53" t="str">
        <f>"بازارچه کوهک سراوان"</f>
        <v>بازارچه کوهک سراوان</v>
      </c>
      <c r="O3315" s="53">
        <v>55107</v>
      </c>
      <c r="P3315" s="197" t="s">
        <v>5842</v>
      </c>
    </row>
    <row r="3316" spans="1:16" ht="18.75" hidden="1">
      <c r="A3316" s="50" t="s">
        <v>8871</v>
      </c>
      <c r="B3316" s="50" t="s">
        <v>8767</v>
      </c>
      <c r="C3316" s="50" t="s">
        <v>8872</v>
      </c>
      <c r="D3316" s="50" t="s">
        <v>8837</v>
      </c>
      <c r="E3316" s="12" t="s">
        <v>4971</v>
      </c>
      <c r="F3316" s="49">
        <v>3360</v>
      </c>
      <c r="G3316" s="77" t="s">
        <v>8873</v>
      </c>
      <c r="H3316" s="14" t="s">
        <v>5601</v>
      </c>
      <c r="I3316" s="14" t="s">
        <v>2458</v>
      </c>
      <c r="J3316" s="33" t="s">
        <v>7110</v>
      </c>
      <c r="K3316" s="33" t="s">
        <v>8911</v>
      </c>
      <c r="L3316" s="53" t="str">
        <f t="shared" si="26"/>
        <v>پاکستان</v>
      </c>
      <c r="M3316" s="68" t="s">
        <v>8912</v>
      </c>
      <c r="N3316" s="53" t="str">
        <f>"بازارچه کوهک سراوان"</f>
        <v>بازارچه کوهک سراوان</v>
      </c>
      <c r="O3316" s="53">
        <v>55107</v>
      </c>
      <c r="P3316" s="198" t="s">
        <v>7253</v>
      </c>
    </row>
    <row r="3317" spans="1:16" ht="18.75" hidden="1">
      <c r="A3317" s="50" t="s">
        <v>8874</v>
      </c>
      <c r="B3317" s="50" t="s">
        <v>6457</v>
      </c>
      <c r="C3317" s="50" t="s">
        <v>7238</v>
      </c>
      <c r="D3317" s="50" t="s">
        <v>6323</v>
      </c>
      <c r="E3317" s="12" t="s">
        <v>4971</v>
      </c>
      <c r="F3317" s="49">
        <v>69380</v>
      </c>
      <c r="G3317" s="77" t="s">
        <v>6300</v>
      </c>
      <c r="H3317" s="14" t="s">
        <v>5601</v>
      </c>
      <c r="I3317" s="14" t="s">
        <v>2458</v>
      </c>
      <c r="J3317" s="33" t="s">
        <v>7110</v>
      </c>
      <c r="K3317" s="33" t="s">
        <v>8911</v>
      </c>
      <c r="L3317" s="53" t="str">
        <f t="shared" si="26"/>
        <v>پاکستان</v>
      </c>
      <c r="M3317" s="68" t="s">
        <v>8912</v>
      </c>
      <c r="N3317" s="53" t="str">
        <f>"پيشين"</f>
        <v>پيشين</v>
      </c>
      <c r="O3317" s="53">
        <v>55301</v>
      </c>
      <c r="P3317" s="197" t="s">
        <v>5836</v>
      </c>
    </row>
    <row r="3318" spans="1:16" ht="18.75" hidden="1">
      <c r="A3318" s="50" t="s">
        <v>8874</v>
      </c>
      <c r="B3318" s="50" t="s">
        <v>6457</v>
      </c>
      <c r="C3318" s="50" t="s">
        <v>8499</v>
      </c>
      <c r="D3318" s="50" t="s">
        <v>6379</v>
      </c>
      <c r="E3318" s="12" t="s">
        <v>4971</v>
      </c>
      <c r="F3318" s="49">
        <v>20</v>
      </c>
      <c r="G3318" s="77" t="s">
        <v>6300</v>
      </c>
      <c r="H3318" s="14" t="s">
        <v>5601</v>
      </c>
      <c r="I3318" s="14" t="s">
        <v>2458</v>
      </c>
      <c r="J3318" s="33" t="s">
        <v>7110</v>
      </c>
      <c r="K3318" s="33" t="s">
        <v>8911</v>
      </c>
      <c r="L3318" s="53" t="str">
        <f t="shared" si="26"/>
        <v>پاکستان</v>
      </c>
      <c r="M3318" s="68" t="s">
        <v>8912</v>
      </c>
      <c r="N3318" s="53" t="str">
        <f>"پيشين"</f>
        <v>پيشين</v>
      </c>
      <c r="O3318" s="53">
        <v>55301</v>
      </c>
      <c r="P3318" s="197" t="s">
        <v>5836</v>
      </c>
    </row>
    <row r="3319" spans="1:16" ht="18.75" hidden="1">
      <c r="A3319" s="50" t="s">
        <v>8875</v>
      </c>
      <c r="B3319" s="50" t="s">
        <v>8764</v>
      </c>
      <c r="C3319" s="50" t="s">
        <v>5926</v>
      </c>
      <c r="D3319" s="50" t="s">
        <v>5479</v>
      </c>
      <c r="E3319" s="12" t="s">
        <v>4971</v>
      </c>
      <c r="F3319" s="49">
        <v>55330</v>
      </c>
      <c r="G3319" s="77" t="s">
        <v>6298</v>
      </c>
      <c r="H3319" s="14" t="s">
        <v>5601</v>
      </c>
      <c r="I3319" s="14" t="s">
        <v>2458</v>
      </c>
      <c r="J3319" s="33" t="s">
        <v>7110</v>
      </c>
      <c r="K3319" s="33" t="s">
        <v>8911</v>
      </c>
      <c r="L3319" s="53" t="str">
        <f t="shared" si="26"/>
        <v>پاکستان</v>
      </c>
      <c r="M3319" s="68" t="s">
        <v>8912</v>
      </c>
      <c r="N3319" s="53" t="str">
        <f>"تفتان (ميرجاوه)"</f>
        <v>تفتان (ميرجاوه)</v>
      </c>
      <c r="O3319" s="53">
        <v>55200</v>
      </c>
      <c r="P3319" s="198" t="s">
        <v>5813</v>
      </c>
    </row>
    <row r="3320" spans="1:16" ht="18.75" hidden="1">
      <c r="A3320" s="50" t="s">
        <v>8876</v>
      </c>
      <c r="B3320" s="50" t="s">
        <v>8788</v>
      </c>
      <c r="C3320" s="50" t="s">
        <v>8877</v>
      </c>
      <c r="D3320" s="50" t="s">
        <v>8636</v>
      </c>
      <c r="E3320" s="12" t="s">
        <v>4971</v>
      </c>
      <c r="F3320" s="49">
        <v>44160</v>
      </c>
      <c r="G3320" s="77" t="s">
        <v>6454</v>
      </c>
      <c r="H3320" s="14" t="s">
        <v>5601</v>
      </c>
      <c r="I3320" s="14" t="s">
        <v>2458</v>
      </c>
      <c r="J3320" s="33" t="s">
        <v>7110</v>
      </c>
      <c r="K3320" s="33" t="s">
        <v>8911</v>
      </c>
      <c r="L3320" s="53" t="str">
        <f t="shared" si="26"/>
        <v>پاکستان</v>
      </c>
      <c r="M3320" s="68" t="s">
        <v>8913</v>
      </c>
      <c r="N3320" s="53" t="s">
        <v>6076</v>
      </c>
      <c r="O3320" s="53">
        <v>55301</v>
      </c>
      <c r="P3320" s="198" t="s">
        <v>7114</v>
      </c>
    </row>
    <row r="3321" spans="1:16" ht="18.75" hidden="1">
      <c r="A3321" s="50" t="s">
        <v>8878</v>
      </c>
      <c r="B3321" s="50" t="s">
        <v>8770</v>
      </c>
      <c r="C3321" s="50" t="s">
        <v>5976</v>
      </c>
      <c r="D3321" s="50" t="s">
        <v>5835</v>
      </c>
      <c r="E3321" s="12" t="s">
        <v>4971</v>
      </c>
      <c r="F3321" s="49">
        <v>50000</v>
      </c>
      <c r="G3321" s="77" t="s">
        <v>6300</v>
      </c>
      <c r="H3321" s="14" t="s">
        <v>5601</v>
      </c>
      <c r="I3321" s="14" t="s">
        <v>2458</v>
      </c>
      <c r="J3321" s="33" t="s">
        <v>7110</v>
      </c>
      <c r="K3321" s="33" t="s">
        <v>8911</v>
      </c>
      <c r="L3321" s="53" t="str">
        <f t="shared" si="26"/>
        <v>پاکستان</v>
      </c>
      <c r="M3321" s="68" t="s">
        <v>8912</v>
      </c>
      <c r="N3321" s="53" t="str">
        <f>"تفتان (ميرجاوه)"</f>
        <v>تفتان (ميرجاوه)</v>
      </c>
      <c r="O3321" s="53">
        <v>55200</v>
      </c>
      <c r="P3321" s="197" t="s">
        <v>5820</v>
      </c>
    </row>
    <row r="3322" spans="1:16" ht="18.75" hidden="1">
      <c r="A3322" s="50" t="s">
        <v>8879</v>
      </c>
      <c r="B3322" s="50" t="s">
        <v>8788</v>
      </c>
      <c r="C3322" s="50" t="s">
        <v>5926</v>
      </c>
      <c r="D3322" s="50" t="s">
        <v>5479</v>
      </c>
      <c r="E3322" s="12" t="s">
        <v>4971</v>
      </c>
      <c r="F3322" s="49">
        <v>11480</v>
      </c>
      <c r="G3322" s="77" t="s">
        <v>6298</v>
      </c>
      <c r="H3322" s="14" t="s">
        <v>5601</v>
      </c>
      <c r="I3322" s="14" t="s">
        <v>2458</v>
      </c>
      <c r="J3322" s="33" t="s">
        <v>7110</v>
      </c>
      <c r="K3322" s="33" t="s">
        <v>8911</v>
      </c>
      <c r="L3322" s="53" t="str">
        <f t="shared" si="26"/>
        <v>پاکستان</v>
      </c>
      <c r="M3322" s="68" t="s">
        <v>8912</v>
      </c>
      <c r="N3322" s="53" t="str">
        <f>"پيشين"</f>
        <v>پيشين</v>
      </c>
      <c r="O3322" s="53">
        <v>55301</v>
      </c>
      <c r="P3322" s="198" t="s">
        <v>5813</v>
      </c>
    </row>
    <row r="3323" spans="1:16" ht="18.75" hidden="1">
      <c r="A3323" s="50" t="s">
        <v>8880</v>
      </c>
      <c r="B3323" s="50" t="s">
        <v>8830</v>
      </c>
      <c r="C3323" s="50" t="s">
        <v>8881</v>
      </c>
      <c r="D3323" s="50" t="s">
        <v>6305</v>
      </c>
      <c r="E3323" s="12" t="s">
        <v>4971</v>
      </c>
      <c r="F3323" s="49">
        <v>170940</v>
      </c>
      <c r="G3323" s="77" t="s">
        <v>6300</v>
      </c>
      <c r="H3323" s="14" t="s">
        <v>5601</v>
      </c>
      <c r="I3323" s="14" t="s">
        <v>2458</v>
      </c>
      <c r="J3323" s="33" t="s">
        <v>7110</v>
      </c>
      <c r="K3323" s="33" t="s">
        <v>8911</v>
      </c>
      <c r="L3323" s="53" t="str">
        <f t="shared" si="26"/>
        <v>پاکستان</v>
      </c>
      <c r="M3323" s="68" t="s">
        <v>8913</v>
      </c>
      <c r="N3323" s="53" t="str">
        <f>"پيشين"</f>
        <v>پيشين</v>
      </c>
      <c r="O3323" s="53">
        <v>55301</v>
      </c>
      <c r="P3323" s="197" t="s">
        <v>5836</v>
      </c>
    </row>
    <row r="3324" spans="1:16" ht="18.75" hidden="1">
      <c r="A3324" s="50" t="s">
        <v>8882</v>
      </c>
      <c r="B3324" s="50" t="s">
        <v>8764</v>
      </c>
      <c r="C3324" s="50" t="s">
        <v>8881</v>
      </c>
      <c r="D3324" s="50" t="s">
        <v>6305</v>
      </c>
      <c r="E3324" s="12" t="s">
        <v>4971</v>
      </c>
      <c r="F3324" s="49">
        <v>68880</v>
      </c>
      <c r="G3324" s="77" t="s">
        <v>6300</v>
      </c>
      <c r="H3324" s="14" t="s">
        <v>5601</v>
      </c>
      <c r="I3324" s="14" t="s">
        <v>2458</v>
      </c>
      <c r="J3324" s="33" t="s">
        <v>7110</v>
      </c>
      <c r="K3324" s="33" t="s">
        <v>8911</v>
      </c>
      <c r="L3324" s="53" t="str">
        <f t="shared" si="26"/>
        <v>پاکستان</v>
      </c>
      <c r="M3324" s="68" t="s">
        <v>8913</v>
      </c>
      <c r="N3324" s="53" t="str">
        <f>"بازارچه کوهک سراوان"</f>
        <v>بازارچه کوهک سراوان</v>
      </c>
      <c r="O3324" s="53">
        <v>55107</v>
      </c>
      <c r="P3324" s="197" t="s">
        <v>5836</v>
      </c>
    </row>
    <row r="3325" spans="1:16" ht="18.75" hidden="1">
      <c r="A3325" s="50" t="s">
        <v>8883</v>
      </c>
      <c r="B3325" s="50" t="s">
        <v>6457</v>
      </c>
      <c r="C3325" s="50" t="s">
        <v>7249</v>
      </c>
      <c r="D3325" s="50" t="s">
        <v>6337</v>
      </c>
      <c r="E3325" s="12" t="s">
        <v>4971</v>
      </c>
      <c r="F3325" s="49">
        <v>162760</v>
      </c>
      <c r="G3325" s="77" t="s">
        <v>6453</v>
      </c>
      <c r="H3325" s="14" t="s">
        <v>5601</v>
      </c>
      <c r="I3325" s="14" t="s">
        <v>2458</v>
      </c>
      <c r="J3325" s="33" t="s">
        <v>7110</v>
      </c>
      <c r="K3325" s="33" t="s">
        <v>8911</v>
      </c>
      <c r="L3325" s="53" t="str">
        <f t="shared" si="26"/>
        <v>پاکستان</v>
      </c>
      <c r="M3325" s="68" t="s">
        <v>8913</v>
      </c>
      <c r="N3325" s="53" t="str">
        <f>"پيشين"</f>
        <v>پيشين</v>
      </c>
      <c r="O3325" s="53">
        <v>55301</v>
      </c>
      <c r="P3325" s="198" t="s">
        <v>7233</v>
      </c>
    </row>
    <row r="3326" spans="1:16" ht="18.75" hidden="1">
      <c r="A3326" s="50" t="s">
        <v>8884</v>
      </c>
      <c r="B3326" s="50" t="s">
        <v>8764</v>
      </c>
      <c r="C3326" s="50" t="s">
        <v>8885</v>
      </c>
      <c r="D3326" s="50" t="s">
        <v>8627</v>
      </c>
      <c r="E3326" s="12" t="s">
        <v>4971</v>
      </c>
      <c r="F3326" s="49">
        <v>570000</v>
      </c>
      <c r="G3326" s="77" t="s">
        <v>6454</v>
      </c>
      <c r="H3326" s="14" t="s">
        <v>5601</v>
      </c>
      <c r="I3326" s="14" t="s">
        <v>2458</v>
      </c>
      <c r="J3326" s="33" t="s">
        <v>7110</v>
      </c>
      <c r="K3326" s="33" t="s">
        <v>8911</v>
      </c>
      <c r="L3326" s="53" t="str">
        <f t="shared" si="26"/>
        <v>پاکستان</v>
      </c>
      <c r="M3326" s="68" t="s">
        <v>8913</v>
      </c>
      <c r="N3326" s="53" t="str">
        <f>"پيشين"</f>
        <v>پيشين</v>
      </c>
      <c r="O3326" s="53">
        <v>55301</v>
      </c>
      <c r="P3326" s="198" t="s">
        <v>7234</v>
      </c>
    </row>
    <row r="3327" spans="1:16" ht="18.75" hidden="1">
      <c r="A3327" s="50" t="s">
        <v>8886</v>
      </c>
      <c r="B3327" s="50" t="s">
        <v>8767</v>
      </c>
      <c r="C3327" s="50" t="s">
        <v>8872</v>
      </c>
      <c r="D3327" s="50" t="s">
        <v>8837</v>
      </c>
      <c r="E3327" s="12" t="s">
        <v>4971</v>
      </c>
      <c r="F3327" s="49">
        <v>46620</v>
      </c>
      <c r="G3327" s="77" t="s">
        <v>8873</v>
      </c>
      <c r="H3327" s="14" t="s">
        <v>5601</v>
      </c>
      <c r="I3327" s="14" t="s">
        <v>2458</v>
      </c>
      <c r="J3327" s="33" t="s">
        <v>7110</v>
      </c>
      <c r="K3327" s="33" t="s">
        <v>8911</v>
      </c>
      <c r="L3327" s="53" t="str">
        <f t="shared" si="26"/>
        <v>پاکستان</v>
      </c>
      <c r="M3327" s="68" t="s">
        <v>8913</v>
      </c>
      <c r="N3327" s="53" t="str">
        <f>"پيشين"</f>
        <v>پيشين</v>
      </c>
      <c r="O3327" s="53">
        <v>55301</v>
      </c>
      <c r="P3327" s="198" t="s">
        <v>7253</v>
      </c>
    </row>
    <row r="3328" spans="1:16" ht="18.75" hidden="1">
      <c r="A3328" s="50" t="s">
        <v>8876</v>
      </c>
      <c r="B3328" s="50" t="s">
        <v>8788</v>
      </c>
      <c r="C3328" s="50" t="s">
        <v>8887</v>
      </c>
      <c r="D3328" s="50" t="s">
        <v>8837</v>
      </c>
      <c r="E3328" s="12" t="s">
        <v>4971</v>
      </c>
      <c r="F3328" s="49">
        <v>25040</v>
      </c>
      <c r="G3328" s="77" t="s">
        <v>6299</v>
      </c>
      <c r="H3328" s="14" t="s">
        <v>5601</v>
      </c>
      <c r="I3328" s="14" t="s">
        <v>2458</v>
      </c>
      <c r="J3328" s="33" t="s">
        <v>7110</v>
      </c>
      <c r="K3328" s="33" t="s">
        <v>8911</v>
      </c>
      <c r="L3328" s="53" t="str">
        <f t="shared" si="26"/>
        <v>پاکستان</v>
      </c>
      <c r="M3328" s="68" t="s">
        <v>8913</v>
      </c>
      <c r="N3328" s="53" t="s">
        <v>6076</v>
      </c>
      <c r="O3328" s="53">
        <v>55301</v>
      </c>
      <c r="P3328" s="198" t="s">
        <v>7276</v>
      </c>
    </row>
    <row r="3329" spans="1:16" ht="18.75" hidden="1">
      <c r="A3329" s="50" t="s">
        <v>8879</v>
      </c>
      <c r="B3329" s="50" t="s">
        <v>8788</v>
      </c>
      <c r="C3329" s="50" t="s">
        <v>5943</v>
      </c>
      <c r="D3329" s="50" t="s">
        <v>5481</v>
      </c>
      <c r="E3329" s="12" t="s">
        <v>4971</v>
      </c>
      <c r="F3329" s="49">
        <v>12730</v>
      </c>
      <c r="G3329" s="77" t="s">
        <v>6298</v>
      </c>
      <c r="H3329" s="14" t="s">
        <v>5601</v>
      </c>
      <c r="I3329" s="14" t="s">
        <v>2458</v>
      </c>
      <c r="J3329" s="33" t="s">
        <v>7110</v>
      </c>
      <c r="K3329" s="33" t="s">
        <v>8911</v>
      </c>
      <c r="L3329" s="53" t="str">
        <f t="shared" si="26"/>
        <v>پاکستان</v>
      </c>
      <c r="M3329" s="68" t="s">
        <v>8912</v>
      </c>
      <c r="N3329" s="53" t="str">
        <f>"پيشين"</f>
        <v>پيشين</v>
      </c>
      <c r="O3329" s="53">
        <v>55301</v>
      </c>
      <c r="P3329" s="198" t="s">
        <v>5814</v>
      </c>
    </row>
    <row r="3330" spans="1:16" ht="18.75" hidden="1">
      <c r="A3330" s="50" t="s">
        <v>8888</v>
      </c>
      <c r="B3330" s="50" t="s">
        <v>8764</v>
      </c>
      <c r="C3330" s="50" t="s">
        <v>8881</v>
      </c>
      <c r="D3330" s="50" t="s">
        <v>6305</v>
      </c>
      <c r="E3330" s="12" t="s">
        <v>4971</v>
      </c>
      <c r="F3330" s="49">
        <v>116900</v>
      </c>
      <c r="G3330" s="77" t="s">
        <v>6300</v>
      </c>
      <c r="H3330" s="14" t="s">
        <v>5601</v>
      </c>
      <c r="I3330" s="14" t="s">
        <v>2458</v>
      </c>
      <c r="J3330" s="33" t="s">
        <v>7110</v>
      </c>
      <c r="K3330" s="33" t="s">
        <v>8911</v>
      </c>
      <c r="L3330" s="53" t="str">
        <f t="shared" si="26"/>
        <v>پاکستان</v>
      </c>
      <c r="M3330" s="68" t="s">
        <v>8912</v>
      </c>
      <c r="N3330" s="53" t="str">
        <f>"پيشين"</f>
        <v>پيشين</v>
      </c>
      <c r="O3330" s="53">
        <v>55301</v>
      </c>
      <c r="P3330" s="197" t="s">
        <v>5836</v>
      </c>
    </row>
    <row r="3331" spans="1:16" ht="18.75" hidden="1">
      <c r="A3331" s="50" t="s">
        <v>8884</v>
      </c>
      <c r="B3331" s="50" t="s">
        <v>8764</v>
      </c>
      <c r="C3331" s="50" t="s">
        <v>8881</v>
      </c>
      <c r="D3331" s="50" t="s">
        <v>6305</v>
      </c>
      <c r="E3331" s="12" t="s">
        <v>4971</v>
      </c>
      <c r="F3331" s="49">
        <v>167700</v>
      </c>
      <c r="G3331" s="77" t="s">
        <v>6300</v>
      </c>
      <c r="H3331" s="14" t="s">
        <v>5601</v>
      </c>
      <c r="I3331" s="14" t="s">
        <v>2458</v>
      </c>
      <c r="J3331" s="33" t="s">
        <v>7110</v>
      </c>
      <c r="K3331" s="33" t="s">
        <v>8911</v>
      </c>
      <c r="L3331" s="53" t="str">
        <f t="shared" si="26"/>
        <v>پاکستان</v>
      </c>
      <c r="M3331" s="68" t="s">
        <v>8913</v>
      </c>
      <c r="N3331" s="53" t="str">
        <f>"پيشين"</f>
        <v>پيشين</v>
      </c>
      <c r="O3331" s="53">
        <v>55301</v>
      </c>
      <c r="P3331" s="197" t="s">
        <v>5836</v>
      </c>
    </row>
    <row r="3332" spans="1:16" ht="18.75" hidden="1">
      <c r="A3332" s="50" t="s">
        <v>8889</v>
      </c>
      <c r="B3332" s="50" t="s">
        <v>8617</v>
      </c>
      <c r="C3332" s="50" t="s">
        <v>8499</v>
      </c>
      <c r="D3332" s="50" t="s">
        <v>6379</v>
      </c>
      <c r="E3332" s="12" t="s">
        <v>4971</v>
      </c>
      <c r="F3332" s="49">
        <v>49980</v>
      </c>
      <c r="G3332" s="77" t="s">
        <v>6300</v>
      </c>
      <c r="H3332" s="14" t="s">
        <v>5601</v>
      </c>
      <c r="I3332" s="14" t="s">
        <v>2458</v>
      </c>
      <c r="J3332" s="33" t="s">
        <v>7110</v>
      </c>
      <c r="K3332" s="33" t="s">
        <v>8911</v>
      </c>
      <c r="L3332" s="53" t="str">
        <f>"گرجستان"</f>
        <v>گرجستان</v>
      </c>
      <c r="M3332" s="68" t="s">
        <v>8913</v>
      </c>
      <c r="N3332" s="53" t="str">
        <f>"بازرگان"</f>
        <v>بازرگان</v>
      </c>
      <c r="O3332" s="53">
        <v>30100</v>
      </c>
      <c r="P3332" s="197" t="s">
        <v>5836</v>
      </c>
    </row>
    <row r="3333" spans="1:16" ht="18.75" hidden="1">
      <c r="A3333" s="50" t="s">
        <v>8864</v>
      </c>
      <c r="B3333" s="50" t="s">
        <v>8855</v>
      </c>
      <c r="C3333" s="50" t="s">
        <v>6003</v>
      </c>
      <c r="D3333" s="50" t="s">
        <v>5840</v>
      </c>
      <c r="E3333" s="12" t="s">
        <v>4971</v>
      </c>
      <c r="F3333" s="49">
        <v>26840</v>
      </c>
      <c r="G3333" s="77" t="s">
        <v>6454</v>
      </c>
      <c r="H3333" s="14" t="s">
        <v>5601</v>
      </c>
      <c r="I3333" s="14" t="s">
        <v>2458</v>
      </c>
      <c r="J3333" s="33" t="s">
        <v>7110</v>
      </c>
      <c r="K3333" s="33" t="s">
        <v>8911</v>
      </c>
      <c r="L3333" s="53" t="str">
        <f t="shared" ref="L3333:L3341" si="27">"پاکستان"</f>
        <v>پاکستان</v>
      </c>
      <c r="M3333" s="68" t="s">
        <v>8913</v>
      </c>
      <c r="N3333" s="53" t="str">
        <f t="shared" ref="N3333:N3338" si="28">"پيشين"</f>
        <v>پيشين</v>
      </c>
      <c r="O3333" s="53">
        <v>55301</v>
      </c>
      <c r="P3333" s="198" t="s">
        <v>5822</v>
      </c>
    </row>
    <row r="3334" spans="1:16" ht="18.75" hidden="1">
      <c r="A3334" s="50" t="s">
        <v>8864</v>
      </c>
      <c r="B3334" s="50" t="s">
        <v>8855</v>
      </c>
      <c r="C3334" s="50" t="s">
        <v>8858</v>
      </c>
      <c r="D3334" s="50" t="s">
        <v>8621</v>
      </c>
      <c r="E3334" s="12" t="s">
        <v>4971</v>
      </c>
      <c r="F3334" s="49">
        <v>90900</v>
      </c>
      <c r="G3334" s="77" t="s">
        <v>8859</v>
      </c>
      <c r="H3334" s="14" t="s">
        <v>5601</v>
      </c>
      <c r="I3334" s="14" t="s">
        <v>2458</v>
      </c>
      <c r="J3334" s="33" t="e">
        <f>VLOOKUP(C3334,شرکتها!A:B,2,FALSE)</f>
        <v>#N/A</v>
      </c>
      <c r="K3334" s="33" t="s">
        <v>8911</v>
      </c>
      <c r="L3334" s="53" t="str">
        <f t="shared" si="27"/>
        <v>پاکستان</v>
      </c>
      <c r="M3334" s="68" t="s">
        <v>8913</v>
      </c>
      <c r="N3334" s="53" t="str">
        <f t="shared" si="28"/>
        <v>پيشين</v>
      </c>
      <c r="O3334" s="53">
        <v>55301</v>
      </c>
      <c r="P3334" s="198" t="s">
        <v>5854</v>
      </c>
    </row>
    <row r="3335" spans="1:16" ht="18.75" hidden="1">
      <c r="A3335" s="50" t="s">
        <v>8868</v>
      </c>
      <c r="B3335" s="50" t="s">
        <v>8770</v>
      </c>
      <c r="C3335" s="50" t="s">
        <v>8890</v>
      </c>
      <c r="D3335" s="50" t="s">
        <v>8621</v>
      </c>
      <c r="E3335" s="12" t="s">
        <v>4971</v>
      </c>
      <c r="F3335" s="49">
        <v>96060</v>
      </c>
      <c r="G3335" s="77" t="s">
        <v>6453</v>
      </c>
      <c r="H3335" s="14" t="s">
        <v>5601</v>
      </c>
      <c r="I3335" s="14" t="s">
        <v>2458</v>
      </c>
      <c r="J3335" s="33" t="s">
        <v>7110</v>
      </c>
      <c r="K3335" s="33" t="s">
        <v>8911</v>
      </c>
      <c r="L3335" s="53" t="str">
        <f t="shared" si="27"/>
        <v>پاکستان</v>
      </c>
      <c r="M3335" s="68" t="s">
        <v>8913</v>
      </c>
      <c r="N3335" s="53" t="str">
        <f t="shared" si="28"/>
        <v>پيشين</v>
      </c>
      <c r="O3335" s="53">
        <v>55301</v>
      </c>
      <c r="P3335" s="198" t="s">
        <v>8497</v>
      </c>
    </row>
    <row r="3336" spans="1:16" ht="18.75" hidden="1">
      <c r="A3336" s="50" t="s">
        <v>8883</v>
      </c>
      <c r="B3336" s="50" t="s">
        <v>6457</v>
      </c>
      <c r="C3336" s="50" t="s">
        <v>8891</v>
      </c>
      <c r="D3336" s="50" t="s">
        <v>8618</v>
      </c>
      <c r="E3336" s="12" t="s">
        <v>4971</v>
      </c>
      <c r="F3336" s="49">
        <v>245500</v>
      </c>
      <c r="G3336" s="77" t="s">
        <v>6454</v>
      </c>
      <c r="H3336" s="14" t="s">
        <v>5601</v>
      </c>
      <c r="I3336" s="14" t="s">
        <v>2458</v>
      </c>
      <c r="J3336" s="33" t="s">
        <v>7110</v>
      </c>
      <c r="K3336" s="33" t="s">
        <v>8911</v>
      </c>
      <c r="L3336" s="53" t="str">
        <f t="shared" si="27"/>
        <v>پاکستان</v>
      </c>
      <c r="M3336" s="68" t="s">
        <v>8913</v>
      </c>
      <c r="N3336" s="53" t="str">
        <f t="shared" si="28"/>
        <v>پيشين</v>
      </c>
      <c r="O3336" s="53">
        <v>55301</v>
      </c>
      <c r="P3336" s="198" t="s">
        <v>7121</v>
      </c>
    </row>
    <row r="3337" spans="1:16" ht="18.75" hidden="1">
      <c r="A3337" s="50" t="s">
        <v>8888</v>
      </c>
      <c r="B3337" s="50" t="s">
        <v>8764</v>
      </c>
      <c r="C3337" s="50" t="s">
        <v>6009</v>
      </c>
      <c r="D3337" s="50" t="s">
        <v>5843</v>
      </c>
      <c r="E3337" s="12" t="s">
        <v>4971</v>
      </c>
      <c r="F3337" s="49">
        <v>118900</v>
      </c>
      <c r="G3337" s="77" t="s">
        <v>6300</v>
      </c>
      <c r="H3337" s="14" t="s">
        <v>5601</v>
      </c>
      <c r="I3337" s="14" t="s">
        <v>2458</v>
      </c>
      <c r="J3337" s="33" t="s">
        <v>7110</v>
      </c>
      <c r="K3337" s="33" t="s">
        <v>8911</v>
      </c>
      <c r="L3337" s="53" t="str">
        <f t="shared" si="27"/>
        <v>پاکستان</v>
      </c>
      <c r="M3337" s="68" t="s">
        <v>8912</v>
      </c>
      <c r="N3337" s="53" t="str">
        <f t="shared" si="28"/>
        <v>پيشين</v>
      </c>
      <c r="O3337" s="53">
        <v>55301</v>
      </c>
      <c r="P3337" s="197" t="s">
        <v>5820</v>
      </c>
    </row>
    <row r="3338" spans="1:16" ht="18.75" hidden="1">
      <c r="A3338" s="50" t="s">
        <v>8874</v>
      </c>
      <c r="B3338" s="50" t="s">
        <v>6457</v>
      </c>
      <c r="C3338" s="50" t="s">
        <v>6009</v>
      </c>
      <c r="D3338" s="50" t="s">
        <v>5843</v>
      </c>
      <c r="E3338" s="12" t="s">
        <v>4971</v>
      </c>
      <c r="F3338" s="49">
        <v>51410</v>
      </c>
      <c r="G3338" s="77" t="s">
        <v>6300</v>
      </c>
      <c r="H3338" s="14" t="s">
        <v>5601</v>
      </c>
      <c r="I3338" s="14" t="s">
        <v>2458</v>
      </c>
      <c r="J3338" s="33" t="s">
        <v>7110</v>
      </c>
      <c r="K3338" s="33" t="s">
        <v>8911</v>
      </c>
      <c r="L3338" s="53" t="str">
        <f t="shared" si="27"/>
        <v>پاکستان</v>
      </c>
      <c r="M3338" s="68" t="s">
        <v>8912</v>
      </c>
      <c r="N3338" s="53" t="str">
        <f t="shared" si="28"/>
        <v>پيشين</v>
      </c>
      <c r="O3338" s="53">
        <v>55301</v>
      </c>
      <c r="P3338" s="197" t="s">
        <v>5820</v>
      </c>
    </row>
    <row r="3339" spans="1:16" ht="18.75" hidden="1">
      <c r="A3339" s="50" t="s">
        <v>8892</v>
      </c>
      <c r="B3339" s="50" t="s">
        <v>8764</v>
      </c>
      <c r="C3339" s="50" t="s">
        <v>5996</v>
      </c>
      <c r="D3339" s="50" t="s">
        <v>5839</v>
      </c>
      <c r="E3339" s="12" t="s">
        <v>4971</v>
      </c>
      <c r="F3339" s="49">
        <v>49550</v>
      </c>
      <c r="G3339" s="77" t="s">
        <v>6298</v>
      </c>
      <c r="H3339" s="14" t="s">
        <v>5601</v>
      </c>
      <c r="I3339" s="14" t="s">
        <v>2458</v>
      </c>
      <c r="J3339" s="33" t="s">
        <v>7110</v>
      </c>
      <c r="K3339" s="33" t="s">
        <v>8911</v>
      </c>
      <c r="L3339" s="53" t="str">
        <f t="shared" si="27"/>
        <v>پاکستان</v>
      </c>
      <c r="M3339" s="68" t="s">
        <v>8912</v>
      </c>
      <c r="N3339" s="53" t="str">
        <f>"بازارچه کوهک سراوان"</f>
        <v>بازارچه کوهک سراوان</v>
      </c>
      <c r="O3339" s="53">
        <v>55107</v>
      </c>
      <c r="P3339" s="198" t="s">
        <v>5826</v>
      </c>
    </row>
    <row r="3340" spans="1:16" ht="18.75" hidden="1">
      <c r="A3340" s="50" t="s">
        <v>8875</v>
      </c>
      <c r="B3340" s="50" t="s">
        <v>8764</v>
      </c>
      <c r="C3340" s="50" t="s">
        <v>5996</v>
      </c>
      <c r="D3340" s="50" t="s">
        <v>5839</v>
      </c>
      <c r="E3340" s="12" t="s">
        <v>4971</v>
      </c>
      <c r="F3340" s="49">
        <v>21040</v>
      </c>
      <c r="G3340" s="77" t="s">
        <v>6298</v>
      </c>
      <c r="H3340" s="14" t="s">
        <v>5601</v>
      </c>
      <c r="I3340" s="14" t="s">
        <v>2458</v>
      </c>
      <c r="J3340" s="33" t="s">
        <v>7110</v>
      </c>
      <c r="K3340" s="33" t="s">
        <v>8911</v>
      </c>
      <c r="L3340" s="53" t="str">
        <f t="shared" si="27"/>
        <v>پاکستان</v>
      </c>
      <c r="M3340" s="68" t="s">
        <v>8912</v>
      </c>
      <c r="N3340" s="53" t="str">
        <f>"تفتان (ميرجاوه)"</f>
        <v>تفتان (ميرجاوه)</v>
      </c>
      <c r="O3340" s="53">
        <v>55200</v>
      </c>
      <c r="P3340" s="198" t="s">
        <v>5826</v>
      </c>
    </row>
    <row r="3341" spans="1:16" ht="18.75" hidden="1">
      <c r="A3341" s="50" t="s">
        <v>8893</v>
      </c>
      <c r="B3341" s="50" t="s">
        <v>8621</v>
      </c>
      <c r="C3341" s="50" t="s">
        <v>5976</v>
      </c>
      <c r="D3341" s="50" t="s">
        <v>5835</v>
      </c>
      <c r="E3341" s="12" t="s">
        <v>4971</v>
      </c>
      <c r="F3341" s="49">
        <v>73000</v>
      </c>
      <c r="G3341" s="77" t="s">
        <v>6300</v>
      </c>
      <c r="H3341" s="14" t="s">
        <v>5601</v>
      </c>
      <c r="I3341" s="14" t="s">
        <v>2458</v>
      </c>
      <c r="J3341" s="33" t="s">
        <v>7110</v>
      </c>
      <c r="K3341" s="33" t="s">
        <v>8911</v>
      </c>
      <c r="L3341" s="53" t="str">
        <f t="shared" si="27"/>
        <v>پاکستان</v>
      </c>
      <c r="M3341" s="68" t="s">
        <v>8912</v>
      </c>
      <c r="N3341" s="53" t="str">
        <f>"پيشين"</f>
        <v>پيشين</v>
      </c>
      <c r="O3341" s="53">
        <v>55301</v>
      </c>
      <c r="P3341" s="197" t="s">
        <v>5820</v>
      </c>
    </row>
    <row r="3342" spans="1:16" ht="18.75" hidden="1">
      <c r="A3342" s="50" t="s">
        <v>8894</v>
      </c>
      <c r="B3342" s="50" t="s">
        <v>8695</v>
      </c>
      <c r="C3342" s="50" t="s">
        <v>8853</v>
      </c>
      <c r="D3342" s="50" t="s">
        <v>6328</v>
      </c>
      <c r="E3342" s="12" t="s">
        <v>4971</v>
      </c>
      <c r="F3342" s="49">
        <v>48900</v>
      </c>
      <c r="G3342" s="77" t="s">
        <v>6300</v>
      </c>
      <c r="H3342" s="14" t="s">
        <v>5601</v>
      </c>
      <c r="I3342" s="14" t="s">
        <v>2458</v>
      </c>
      <c r="J3342" s="33" t="s">
        <v>7110</v>
      </c>
      <c r="K3342" s="33" t="s">
        <v>8911</v>
      </c>
      <c r="L3342" s="53" t="str">
        <f>" ارمنستان"</f>
        <v xml:space="preserve"> ارمنستان</v>
      </c>
      <c r="M3342" s="68" t="s">
        <v>8913</v>
      </c>
      <c r="N3342" s="53" t="str">
        <f>"نوردوز"</f>
        <v>نوردوز</v>
      </c>
      <c r="O3342" s="53">
        <v>25302</v>
      </c>
      <c r="P3342" s="197" t="s">
        <v>7237</v>
      </c>
    </row>
    <row r="3343" spans="1:16" ht="18.75" hidden="1">
      <c r="A3343" s="50" t="s">
        <v>8868</v>
      </c>
      <c r="B3343" s="50" t="s">
        <v>8770</v>
      </c>
      <c r="C3343" s="50" t="s">
        <v>6003</v>
      </c>
      <c r="D3343" s="50" t="s">
        <v>5840</v>
      </c>
      <c r="E3343" s="12" t="s">
        <v>4971</v>
      </c>
      <c r="F3343" s="49">
        <v>37320</v>
      </c>
      <c r="G3343" s="77" t="s">
        <v>6454</v>
      </c>
      <c r="H3343" s="14" t="s">
        <v>5601</v>
      </c>
      <c r="I3343" s="14" t="s">
        <v>2458</v>
      </c>
      <c r="J3343" s="33" t="s">
        <v>7110</v>
      </c>
      <c r="K3343" s="33" t="s">
        <v>8911</v>
      </c>
      <c r="L3343" s="53" t="str">
        <f t="shared" ref="L3343:L3379" si="29">"پاکستان"</f>
        <v>پاکستان</v>
      </c>
      <c r="M3343" s="68" t="s">
        <v>8913</v>
      </c>
      <c r="N3343" s="53" t="str">
        <f>"پيشين"</f>
        <v>پيشين</v>
      </c>
      <c r="O3343" s="53">
        <v>55301</v>
      </c>
      <c r="P3343" s="198" t="s">
        <v>5822</v>
      </c>
    </row>
    <row r="3344" spans="1:16" ht="18.75" hidden="1">
      <c r="A3344" s="50" t="s">
        <v>8879</v>
      </c>
      <c r="B3344" s="50" t="s">
        <v>8788</v>
      </c>
      <c r="C3344" s="50" t="s">
        <v>6009</v>
      </c>
      <c r="D3344" s="50" t="s">
        <v>5843</v>
      </c>
      <c r="E3344" s="12" t="s">
        <v>4971</v>
      </c>
      <c r="F3344" s="49">
        <v>25030</v>
      </c>
      <c r="G3344" s="77" t="s">
        <v>6300</v>
      </c>
      <c r="H3344" s="14" t="s">
        <v>5601</v>
      </c>
      <c r="I3344" s="14" t="s">
        <v>2458</v>
      </c>
      <c r="J3344" s="33" t="s">
        <v>7110</v>
      </c>
      <c r="K3344" s="33" t="s">
        <v>8911</v>
      </c>
      <c r="L3344" s="53" t="str">
        <f t="shared" si="29"/>
        <v>پاکستان</v>
      </c>
      <c r="M3344" s="68" t="s">
        <v>8912</v>
      </c>
      <c r="N3344" s="53" t="str">
        <f>"پيشين"</f>
        <v>پيشين</v>
      </c>
      <c r="O3344" s="53">
        <v>55301</v>
      </c>
      <c r="P3344" s="197" t="s">
        <v>5820</v>
      </c>
    </row>
    <row r="3345" spans="1:16" ht="18.75" hidden="1">
      <c r="A3345" s="50" t="s">
        <v>8895</v>
      </c>
      <c r="B3345" s="50" t="s">
        <v>8770</v>
      </c>
      <c r="C3345" s="50" t="s">
        <v>5996</v>
      </c>
      <c r="D3345" s="50" t="s">
        <v>5839</v>
      </c>
      <c r="E3345" s="12" t="s">
        <v>4971</v>
      </c>
      <c r="F3345" s="49">
        <v>54810</v>
      </c>
      <c r="G3345" s="77" t="s">
        <v>6298</v>
      </c>
      <c r="H3345" s="14" t="s">
        <v>5601</v>
      </c>
      <c r="I3345" s="14" t="s">
        <v>2458</v>
      </c>
      <c r="J3345" s="33" t="s">
        <v>7110</v>
      </c>
      <c r="K3345" s="33" t="s">
        <v>8911</v>
      </c>
      <c r="L3345" s="53" t="str">
        <f t="shared" si="29"/>
        <v>پاکستان</v>
      </c>
      <c r="M3345" s="68" t="s">
        <v>8912</v>
      </c>
      <c r="N3345" s="53" t="str">
        <f>"پيشين"</f>
        <v>پيشين</v>
      </c>
      <c r="O3345" s="53">
        <v>55301</v>
      </c>
      <c r="P3345" s="198" t="s">
        <v>5826</v>
      </c>
    </row>
    <row r="3346" spans="1:16" ht="18.75" hidden="1">
      <c r="A3346" s="50" t="s">
        <v>8869</v>
      </c>
      <c r="B3346" s="50" t="s">
        <v>8824</v>
      </c>
      <c r="C3346" s="50" t="s">
        <v>6017</v>
      </c>
      <c r="D3346" s="50" t="s">
        <v>5600</v>
      </c>
      <c r="E3346" s="12" t="s">
        <v>4971</v>
      </c>
      <c r="F3346" s="49">
        <v>23420</v>
      </c>
      <c r="G3346" s="77" t="s">
        <v>6298</v>
      </c>
      <c r="H3346" s="14" t="s">
        <v>5601</v>
      </c>
      <c r="I3346" s="14" t="s">
        <v>2458</v>
      </c>
      <c r="J3346" s="33" t="s">
        <v>7110</v>
      </c>
      <c r="K3346" s="33" t="s">
        <v>8911</v>
      </c>
      <c r="L3346" s="53" t="str">
        <f t="shared" si="29"/>
        <v>پاکستان</v>
      </c>
      <c r="M3346" s="68" t="s">
        <v>8912</v>
      </c>
      <c r="N3346" s="53" t="str">
        <f>"تفتان (ميرجاوه)"</f>
        <v>تفتان (ميرجاوه)</v>
      </c>
      <c r="O3346" s="53">
        <v>55200</v>
      </c>
      <c r="P3346" s="198" t="s">
        <v>5831</v>
      </c>
    </row>
    <row r="3347" spans="1:16" ht="18.75" hidden="1">
      <c r="A3347" s="50" t="s">
        <v>8895</v>
      </c>
      <c r="B3347" s="50" t="s">
        <v>8770</v>
      </c>
      <c r="C3347" s="50" t="s">
        <v>6001</v>
      </c>
      <c r="D3347" s="50" t="s">
        <v>5840</v>
      </c>
      <c r="E3347" s="12" t="s">
        <v>4971</v>
      </c>
      <c r="F3347" s="49">
        <v>42790</v>
      </c>
      <c r="G3347" s="77" t="s">
        <v>6298</v>
      </c>
      <c r="H3347" s="14" t="s">
        <v>5601</v>
      </c>
      <c r="I3347" s="14" t="s">
        <v>2458</v>
      </c>
      <c r="J3347" s="33" t="s">
        <v>7110</v>
      </c>
      <c r="K3347" s="33" t="s">
        <v>8911</v>
      </c>
      <c r="L3347" s="53" t="str">
        <f t="shared" si="29"/>
        <v>پاکستان</v>
      </c>
      <c r="M3347" s="68" t="s">
        <v>8912</v>
      </c>
      <c r="N3347" s="53" t="str">
        <f>"پيشين"</f>
        <v>پيشين</v>
      </c>
      <c r="O3347" s="53">
        <v>55301</v>
      </c>
      <c r="P3347" s="198" t="s">
        <v>5826</v>
      </c>
    </row>
    <row r="3348" spans="1:16" ht="18.75" hidden="1">
      <c r="A3348" s="50" t="s">
        <v>8874</v>
      </c>
      <c r="B3348" s="50" t="s">
        <v>6457</v>
      </c>
      <c r="C3348" s="50" t="s">
        <v>8896</v>
      </c>
      <c r="D3348" s="50" t="s">
        <v>6337</v>
      </c>
      <c r="E3348" s="12" t="s">
        <v>4971</v>
      </c>
      <c r="F3348" s="49">
        <v>118670</v>
      </c>
      <c r="G3348" s="77" t="s">
        <v>6300</v>
      </c>
      <c r="H3348" s="14" t="s">
        <v>5601</v>
      </c>
      <c r="I3348" s="14" t="s">
        <v>2458</v>
      </c>
      <c r="J3348" s="33" t="s">
        <v>7110</v>
      </c>
      <c r="K3348" s="33" t="s">
        <v>8911</v>
      </c>
      <c r="L3348" s="53" t="str">
        <f t="shared" si="29"/>
        <v>پاکستان</v>
      </c>
      <c r="M3348" s="68" t="s">
        <v>8912</v>
      </c>
      <c r="N3348" s="53" t="str">
        <f>"پيشين"</f>
        <v>پيشين</v>
      </c>
      <c r="O3348" s="53">
        <v>55301</v>
      </c>
      <c r="P3348" s="197" t="s">
        <v>7237</v>
      </c>
    </row>
    <row r="3349" spans="1:16" ht="18.75" hidden="1">
      <c r="A3349" s="50" t="s">
        <v>8884</v>
      </c>
      <c r="B3349" s="50" t="s">
        <v>8764</v>
      </c>
      <c r="C3349" s="50" t="s">
        <v>8857</v>
      </c>
      <c r="D3349" s="50" t="s">
        <v>8636</v>
      </c>
      <c r="E3349" s="12" t="s">
        <v>4971</v>
      </c>
      <c r="F3349" s="49">
        <v>311740</v>
      </c>
      <c r="G3349" s="77" t="s">
        <v>6453</v>
      </c>
      <c r="H3349" s="14" t="s">
        <v>5601</v>
      </c>
      <c r="I3349" s="14" t="s">
        <v>2458</v>
      </c>
      <c r="J3349" s="33" t="s">
        <v>7110</v>
      </c>
      <c r="K3349" s="33" t="s">
        <v>8911</v>
      </c>
      <c r="L3349" s="53" t="str">
        <f t="shared" si="29"/>
        <v>پاکستان</v>
      </c>
      <c r="M3349" s="68" t="s">
        <v>8913</v>
      </c>
      <c r="N3349" s="53" t="str">
        <f>"پيشين"</f>
        <v>پيشين</v>
      </c>
      <c r="O3349" s="53">
        <v>55301</v>
      </c>
      <c r="P3349" s="198" t="s">
        <v>8497</v>
      </c>
    </row>
    <row r="3350" spans="1:16" ht="18.75" hidden="1">
      <c r="A3350" s="50" t="s">
        <v>8871</v>
      </c>
      <c r="B3350" s="50" t="s">
        <v>8767</v>
      </c>
      <c r="C3350" s="50" t="s">
        <v>8896</v>
      </c>
      <c r="D3350" s="50" t="s">
        <v>6337</v>
      </c>
      <c r="E3350" s="12" t="s">
        <v>4971</v>
      </c>
      <c r="F3350" s="49">
        <v>47100</v>
      </c>
      <c r="G3350" s="77" t="s">
        <v>6300</v>
      </c>
      <c r="H3350" s="14" t="s">
        <v>5601</v>
      </c>
      <c r="I3350" s="14" t="s">
        <v>2458</v>
      </c>
      <c r="J3350" s="33" t="s">
        <v>7110</v>
      </c>
      <c r="K3350" s="33" t="s">
        <v>8911</v>
      </c>
      <c r="L3350" s="53" t="str">
        <f t="shared" si="29"/>
        <v>پاکستان</v>
      </c>
      <c r="M3350" s="68" t="s">
        <v>8912</v>
      </c>
      <c r="N3350" s="53" t="str">
        <f>"بازارچه کوهک سراوان"</f>
        <v>بازارچه کوهک سراوان</v>
      </c>
      <c r="O3350" s="53">
        <v>55107</v>
      </c>
      <c r="P3350" s="197" t="s">
        <v>7237</v>
      </c>
    </row>
    <row r="3351" spans="1:16" ht="18.75" hidden="1">
      <c r="A3351" s="50" t="s">
        <v>8880</v>
      </c>
      <c r="B3351" s="50" t="s">
        <v>8830</v>
      </c>
      <c r="C3351" s="50" t="s">
        <v>6009</v>
      </c>
      <c r="D3351" s="50" t="s">
        <v>5843</v>
      </c>
      <c r="E3351" s="12" t="s">
        <v>4971</v>
      </c>
      <c r="F3351" s="49">
        <v>54860</v>
      </c>
      <c r="G3351" s="77" t="s">
        <v>6300</v>
      </c>
      <c r="H3351" s="14" t="s">
        <v>5601</v>
      </c>
      <c r="I3351" s="14" t="s">
        <v>2458</v>
      </c>
      <c r="J3351" s="33" t="s">
        <v>7110</v>
      </c>
      <c r="K3351" s="33" t="s">
        <v>8911</v>
      </c>
      <c r="L3351" s="53" t="str">
        <f t="shared" si="29"/>
        <v>پاکستان</v>
      </c>
      <c r="M3351" s="68" t="s">
        <v>8913</v>
      </c>
      <c r="N3351" s="53" t="str">
        <f t="shared" ref="N3351:N3374" si="30">"پيشين"</f>
        <v>پيشين</v>
      </c>
      <c r="O3351" s="53">
        <v>55301</v>
      </c>
      <c r="P3351" s="197" t="s">
        <v>5820</v>
      </c>
    </row>
    <row r="3352" spans="1:16" ht="18.75" hidden="1">
      <c r="A3352" s="50" t="s">
        <v>8880</v>
      </c>
      <c r="B3352" s="50" t="s">
        <v>8830</v>
      </c>
      <c r="C3352" s="50" t="s">
        <v>8852</v>
      </c>
      <c r="D3352" s="50" t="s">
        <v>6308</v>
      </c>
      <c r="E3352" s="12" t="s">
        <v>4971</v>
      </c>
      <c r="F3352" s="49">
        <v>272000</v>
      </c>
      <c r="G3352" s="77" t="s">
        <v>6300</v>
      </c>
      <c r="H3352" s="14" t="s">
        <v>5601</v>
      </c>
      <c r="I3352" s="14" t="s">
        <v>2458</v>
      </c>
      <c r="J3352" s="33" t="s">
        <v>7110</v>
      </c>
      <c r="K3352" s="33" t="s">
        <v>8911</v>
      </c>
      <c r="L3352" s="53" t="str">
        <f t="shared" si="29"/>
        <v>پاکستان</v>
      </c>
      <c r="M3352" s="68" t="s">
        <v>8913</v>
      </c>
      <c r="N3352" s="53" t="str">
        <f t="shared" si="30"/>
        <v>پيشين</v>
      </c>
      <c r="O3352" s="53">
        <v>55301</v>
      </c>
      <c r="P3352" s="197" t="s">
        <v>5836</v>
      </c>
    </row>
    <row r="3353" spans="1:16" ht="18.75" hidden="1">
      <c r="A3353" s="50" t="s">
        <v>8897</v>
      </c>
      <c r="B3353" s="50" t="s">
        <v>8898</v>
      </c>
      <c r="C3353" s="50" t="s">
        <v>8852</v>
      </c>
      <c r="D3353" s="50" t="s">
        <v>6308</v>
      </c>
      <c r="E3353" s="12" t="s">
        <v>4971</v>
      </c>
      <c r="F3353" s="49">
        <v>124850</v>
      </c>
      <c r="G3353" s="77" t="s">
        <v>6300</v>
      </c>
      <c r="H3353" s="14" t="s">
        <v>5601</v>
      </c>
      <c r="I3353" s="14" t="s">
        <v>2458</v>
      </c>
      <c r="J3353" s="33" t="s">
        <v>7110</v>
      </c>
      <c r="K3353" s="33" t="s">
        <v>8911</v>
      </c>
      <c r="L3353" s="53" t="str">
        <f t="shared" si="29"/>
        <v>پاکستان</v>
      </c>
      <c r="M3353" s="68" t="s">
        <v>8913</v>
      </c>
      <c r="N3353" s="53" t="str">
        <f t="shared" si="30"/>
        <v>پيشين</v>
      </c>
      <c r="O3353" s="53">
        <v>55301</v>
      </c>
      <c r="P3353" s="197" t="s">
        <v>5836</v>
      </c>
    </row>
    <row r="3354" spans="1:16" ht="18.75" hidden="1">
      <c r="A3354" s="50" t="s">
        <v>8899</v>
      </c>
      <c r="B3354" s="50" t="s">
        <v>8621</v>
      </c>
      <c r="C3354" s="50" t="s">
        <v>8856</v>
      </c>
      <c r="D3354" s="50" t="s">
        <v>6457</v>
      </c>
      <c r="E3354" s="12" t="s">
        <v>4971</v>
      </c>
      <c r="F3354" s="49">
        <v>262840</v>
      </c>
      <c r="G3354" s="77" t="s">
        <v>6300</v>
      </c>
      <c r="H3354" s="14" t="s">
        <v>5601</v>
      </c>
      <c r="I3354" s="14" t="s">
        <v>2458</v>
      </c>
      <c r="J3354" s="33" t="s">
        <v>7110</v>
      </c>
      <c r="K3354" s="33" t="s">
        <v>8911</v>
      </c>
      <c r="L3354" s="53" t="str">
        <f t="shared" si="29"/>
        <v>پاکستان</v>
      </c>
      <c r="M3354" s="68" t="s">
        <v>8913</v>
      </c>
      <c r="N3354" s="53" t="str">
        <f t="shared" si="30"/>
        <v>پيشين</v>
      </c>
      <c r="O3354" s="53">
        <v>55301</v>
      </c>
      <c r="P3354" s="197" t="s">
        <v>5842</v>
      </c>
    </row>
    <row r="3355" spans="1:16" ht="18.75" hidden="1">
      <c r="A3355" s="50" t="s">
        <v>8886</v>
      </c>
      <c r="B3355" s="50" t="s">
        <v>8767</v>
      </c>
      <c r="C3355" s="50" t="s">
        <v>8887</v>
      </c>
      <c r="D3355" s="50" t="s">
        <v>8837</v>
      </c>
      <c r="E3355" s="12" t="s">
        <v>4971</v>
      </c>
      <c r="F3355" s="49">
        <v>144940</v>
      </c>
      <c r="G3355" s="77" t="s">
        <v>6299</v>
      </c>
      <c r="H3355" s="14" t="s">
        <v>5601</v>
      </c>
      <c r="I3355" s="14" t="s">
        <v>2458</v>
      </c>
      <c r="J3355" s="33" t="s">
        <v>7110</v>
      </c>
      <c r="K3355" s="33" t="s">
        <v>8911</v>
      </c>
      <c r="L3355" s="53" t="str">
        <f t="shared" si="29"/>
        <v>پاکستان</v>
      </c>
      <c r="M3355" s="68" t="s">
        <v>8913</v>
      </c>
      <c r="N3355" s="53" t="str">
        <f t="shared" si="30"/>
        <v>پيشين</v>
      </c>
      <c r="O3355" s="53">
        <v>55301</v>
      </c>
      <c r="P3355" s="198" t="s">
        <v>7276</v>
      </c>
    </row>
    <row r="3356" spans="1:16" ht="18.75" hidden="1">
      <c r="A3356" s="50" t="s">
        <v>8897</v>
      </c>
      <c r="B3356" s="50" t="s">
        <v>8898</v>
      </c>
      <c r="C3356" s="50" t="s">
        <v>8887</v>
      </c>
      <c r="D3356" s="50" t="s">
        <v>8837</v>
      </c>
      <c r="E3356" s="12" t="s">
        <v>4971</v>
      </c>
      <c r="F3356" s="49">
        <v>46780</v>
      </c>
      <c r="G3356" s="77" t="s">
        <v>6299</v>
      </c>
      <c r="H3356" s="14" t="s">
        <v>5601</v>
      </c>
      <c r="I3356" s="14" t="s">
        <v>2458</v>
      </c>
      <c r="J3356" s="33" t="s">
        <v>7110</v>
      </c>
      <c r="K3356" s="33" t="s">
        <v>8911</v>
      </c>
      <c r="L3356" s="53" t="str">
        <f t="shared" si="29"/>
        <v>پاکستان</v>
      </c>
      <c r="M3356" s="68" t="s">
        <v>8913</v>
      </c>
      <c r="N3356" s="53" t="str">
        <f t="shared" si="30"/>
        <v>پيشين</v>
      </c>
      <c r="O3356" s="53">
        <v>55301</v>
      </c>
      <c r="P3356" s="198" t="s">
        <v>7276</v>
      </c>
    </row>
    <row r="3357" spans="1:16" ht="18.75" hidden="1">
      <c r="A3357" s="50" t="s">
        <v>8899</v>
      </c>
      <c r="B3357" s="50" t="s">
        <v>8621</v>
      </c>
      <c r="C3357" s="50" t="s">
        <v>8887</v>
      </c>
      <c r="D3357" s="50" t="s">
        <v>8837</v>
      </c>
      <c r="E3357" s="12" t="s">
        <v>4971</v>
      </c>
      <c r="F3357" s="49">
        <v>32240</v>
      </c>
      <c r="G3357" s="77" t="s">
        <v>6299</v>
      </c>
      <c r="H3357" s="14" t="s">
        <v>5601</v>
      </c>
      <c r="I3357" s="14" t="s">
        <v>2458</v>
      </c>
      <c r="J3357" s="33" t="s">
        <v>7110</v>
      </c>
      <c r="K3357" s="33" t="s">
        <v>8911</v>
      </c>
      <c r="L3357" s="53" t="str">
        <f t="shared" si="29"/>
        <v>پاکستان</v>
      </c>
      <c r="M3357" s="68" t="s">
        <v>8913</v>
      </c>
      <c r="N3357" s="53" t="str">
        <f t="shared" si="30"/>
        <v>پيشين</v>
      </c>
      <c r="O3357" s="53">
        <v>55301</v>
      </c>
      <c r="P3357" s="198" t="s">
        <v>7276</v>
      </c>
    </row>
    <row r="3358" spans="1:16" ht="18.75" hidden="1">
      <c r="A3358" s="50" t="s">
        <v>8886</v>
      </c>
      <c r="B3358" s="50" t="s">
        <v>8767</v>
      </c>
      <c r="C3358" s="50" t="s">
        <v>8857</v>
      </c>
      <c r="D3358" s="50" t="s">
        <v>8636</v>
      </c>
      <c r="E3358" s="12" t="s">
        <v>4971</v>
      </c>
      <c r="F3358" s="49">
        <v>26170</v>
      </c>
      <c r="G3358" s="77" t="s">
        <v>6453</v>
      </c>
      <c r="H3358" s="14" t="s">
        <v>5601</v>
      </c>
      <c r="I3358" s="14" t="s">
        <v>2458</v>
      </c>
      <c r="J3358" s="33" t="s">
        <v>7110</v>
      </c>
      <c r="K3358" s="33" t="s">
        <v>8911</v>
      </c>
      <c r="L3358" s="53" t="str">
        <f t="shared" si="29"/>
        <v>پاکستان</v>
      </c>
      <c r="M3358" s="68" t="s">
        <v>8913</v>
      </c>
      <c r="N3358" s="53" t="str">
        <f t="shared" si="30"/>
        <v>پيشين</v>
      </c>
      <c r="O3358" s="53">
        <v>55301</v>
      </c>
      <c r="P3358" s="198" t="s">
        <v>8497</v>
      </c>
    </row>
    <row r="3359" spans="1:16" ht="18.75" hidden="1">
      <c r="A3359" s="50" t="s">
        <v>8897</v>
      </c>
      <c r="B3359" s="50" t="s">
        <v>8898</v>
      </c>
      <c r="C3359" s="50" t="s">
        <v>8857</v>
      </c>
      <c r="D3359" s="50" t="s">
        <v>8636</v>
      </c>
      <c r="E3359" s="12" t="s">
        <v>4971</v>
      </c>
      <c r="F3359" s="49">
        <v>116160</v>
      </c>
      <c r="G3359" s="77" t="s">
        <v>6453</v>
      </c>
      <c r="H3359" s="14" t="s">
        <v>5601</v>
      </c>
      <c r="I3359" s="14" t="s">
        <v>2458</v>
      </c>
      <c r="J3359" s="33" t="s">
        <v>7110</v>
      </c>
      <c r="K3359" s="33" t="s">
        <v>8911</v>
      </c>
      <c r="L3359" s="53" t="str">
        <f t="shared" si="29"/>
        <v>پاکستان</v>
      </c>
      <c r="M3359" s="68" t="s">
        <v>8913</v>
      </c>
      <c r="N3359" s="53" t="str">
        <f t="shared" si="30"/>
        <v>پيشين</v>
      </c>
      <c r="O3359" s="53">
        <v>55301</v>
      </c>
      <c r="P3359" s="198" t="s">
        <v>8497</v>
      </c>
    </row>
    <row r="3360" spans="1:16" ht="18.75" hidden="1">
      <c r="A3360" s="50" t="s">
        <v>8897</v>
      </c>
      <c r="B3360" s="50" t="s">
        <v>8898</v>
      </c>
      <c r="C3360" s="50" t="s">
        <v>8896</v>
      </c>
      <c r="D3360" s="50" t="s">
        <v>6337</v>
      </c>
      <c r="E3360" s="12" t="s">
        <v>4971</v>
      </c>
      <c r="F3360" s="49">
        <v>20850</v>
      </c>
      <c r="G3360" s="77" t="s">
        <v>6300</v>
      </c>
      <c r="H3360" s="14" t="s">
        <v>5601</v>
      </c>
      <c r="I3360" s="14" t="s">
        <v>2458</v>
      </c>
      <c r="J3360" s="33" t="s">
        <v>7110</v>
      </c>
      <c r="K3360" s="33" t="s">
        <v>8911</v>
      </c>
      <c r="L3360" s="53" t="str">
        <f t="shared" si="29"/>
        <v>پاکستان</v>
      </c>
      <c r="M3360" s="68" t="s">
        <v>8913</v>
      </c>
      <c r="N3360" s="53" t="str">
        <f t="shared" si="30"/>
        <v>پيشين</v>
      </c>
      <c r="O3360" s="53">
        <v>55301</v>
      </c>
      <c r="P3360" s="197" t="s">
        <v>7237</v>
      </c>
    </row>
    <row r="3361" spans="1:16" ht="18.75" hidden="1">
      <c r="A3361" s="50" t="s">
        <v>8899</v>
      </c>
      <c r="B3361" s="50" t="s">
        <v>8621</v>
      </c>
      <c r="C3361" s="50" t="s">
        <v>8857</v>
      </c>
      <c r="D3361" s="50" t="s">
        <v>8636</v>
      </c>
      <c r="E3361" s="12" t="s">
        <v>4971</v>
      </c>
      <c r="F3361" s="49">
        <v>183200</v>
      </c>
      <c r="G3361" s="77" t="s">
        <v>6453</v>
      </c>
      <c r="H3361" s="14" t="s">
        <v>5601</v>
      </c>
      <c r="I3361" s="14" t="s">
        <v>2458</v>
      </c>
      <c r="J3361" s="33" t="s">
        <v>7110</v>
      </c>
      <c r="K3361" s="33" t="s">
        <v>8911</v>
      </c>
      <c r="L3361" s="53" t="str">
        <f t="shared" si="29"/>
        <v>پاکستان</v>
      </c>
      <c r="M3361" s="68" t="s">
        <v>8913</v>
      </c>
      <c r="N3361" s="53" t="str">
        <f t="shared" si="30"/>
        <v>پيشين</v>
      </c>
      <c r="O3361" s="53">
        <v>55301</v>
      </c>
      <c r="P3361" s="198" t="s">
        <v>8497</v>
      </c>
    </row>
    <row r="3362" spans="1:16" ht="18.75" hidden="1">
      <c r="A3362" s="50" t="s">
        <v>8886</v>
      </c>
      <c r="B3362" s="50" t="s">
        <v>8767</v>
      </c>
      <c r="C3362" s="50" t="s">
        <v>7249</v>
      </c>
      <c r="D3362" s="50" t="s">
        <v>6337</v>
      </c>
      <c r="E3362" s="12" t="s">
        <v>4971</v>
      </c>
      <c r="F3362" s="49">
        <v>93250</v>
      </c>
      <c r="G3362" s="77" t="s">
        <v>6453</v>
      </c>
      <c r="H3362" s="14" t="s">
        <v>5601</v>
      </c>
      <c r="I3362" s="14" t="s">
        <v>2458</v>
      </c>
      <c r="J3362" s="33" t="s">
        <v>7110</v>
      </c>
      <c r="K3362" s="33" t="s">
        <v>8911</v>
      </c>
      <c r="L3362" s="53" t="str">
        <f t="shared" si="29"/>
        <v>پاکستان</v>
      </c>
      <c r="M3362" s="68" t="s">
        <v>8913</v>
      </c>
      <c r="N3362" s="53" t="str">
        <f t="shared" si="30"/>
        <v>پيشين</v>
      </c>
      <c r="O3362" s="53">
        <v>55301</v>
      </c>
      <c r="P3362" s="198" t="s">
        <v>7233</v>
      </c>
    </row>
    <row r="3363" spans="1:16" ht="18.75" hidden="1">
      <c r="A3363" s="50" t="s">
        <v>8897</v>
      </c>
      <c r="B3363" s="50" t="s">
        <v>8898</v>
      </c>
      <c r="C3363" s="50" t="s">
        <v>7264</v>
      </c>
      <c r="D3363" s="50" t="s">
        <v>6330</v>
      </c>
      <c r="E3363" s="12" t="s">
        <v>4971</v>
      </c>
      <c r="F3363" s="49">
        <v>49300</v>
      </c>
      <c r="G3363" s="77" t="s">
        <v>8859</v>
      </c>
      <c r="H3363" s="14" t="s">
        <v>5601</v>
      </c>
      <c r="I3363" s="14" t="s">
        <v>2458</v>
      </c>
      <c r="J3363" s="33" t="s">
        <v>7110</v>
      </c>
      <c r="K3363" s="33" t="s">
        <v>8911</v>
      </c>
      <c r="L3363" s="53" t="str">
        <f t="shared" si="29"/>
        <v>پاکستان</v>
      </c>
      <c r="M3363" s="68" t="s">
        <v>8913</v>
      </c>
      <c r="N3363" s="53" t="str">
        <f t="shared" si="30"/>
        <v>پيشين</v>
      </c>
      <c r="O3363" s="53">
        <v>55301</v>
      </c>
      <c r="P3363" s="198" t="s">
        <v>7265</v>
      </c>
    </row>
    <row r="3364" spans="1:16" ht="18.75" hidden="1">
      <c r="A3364" s="50" t="s">
        <v>8899</v>
      </c>
      <c r="B3364" s="50" t="s">
        <v>8621</v>
      </c>
      <c r="C3364" s="50" t="s">
        <v>8900</v>
      </c>
      <c r="D3364" s="50" t="s">
        <v>8767</v>
      </c>
      <c r="E3364" s="12" t="s">
        <v>4971</v>
      </c>
      <c r="F3364" s="49">
        <v>136480</v>
      </c>
      <c r="G3364" s="77" t="s">
        <v>6299</v>
      </c>
      <c r="H3364" s="14" t="s">
        <v>5601</v>
      </c>
      <c r="I3364" s="14" t="s">
        <v>2458</v>
      </c>
      <c r="J3364" s="33" t="s">
        <v>7110</v>
      </c>
      <c r="K3364" s="33" t="s">
        <v>8911</v>
      </c>
      <c r="L3364" s="53" t="str">
        <f t="shared" si="29"/>
        <v>پاکستان</v>
      </c>
      <c r="M3364" s="68" t="s">
        <v>8913</v>
      </c>
      <c r="N3364" s="53" t="str">
        <f t="shared" si="30"/>
        <v>پيشين</v>
      </c>
      <c r="O3364" s="53">
        <v>55301</v>
      </c>
      <c r="P3364" s="198" t="s">
        <v>8727</v>
      </c>
    </row>
    <row r="3365" spans="1:16" ht="18.75" hidden="1">
      <c r="A3365" s="50" t="s">
        <v>8901</v>
      </c>
      <c r="B3365" s="50" t="s">
        <v>8767</v>
      </c>
      <c r="C3365" s="50" t="s">
        <v>8896</v>
      </c>
      <c r="D3365" s="50" t="s">
        <v>6337</v>
      </c>
      <c r="E3365" s="12" t="s">
        <v>4971</v>
      </c>
      <c r="F3365" s="49">
        <v>46240</v>
      </c>
      <c r="G3365" s="77" t="s">
        <v>6300</v>
      </c>
      <c r="H3365" s="14" t="s">
        <v>5601</v>
      </c>
      <c r="I3365" s="14" t="s">
        <v>2458</v>
      </c>
      <c r="J3365" s="33" t="s">
        <v>7110</v>
      </c>
      <c r="K3365" s="33" t="s">
        <v>8911</v>
      </c>
      <c r="L3365" s="53" t="str">
        <f t="shared" si="29"/>
        <v>پاکستان</v>
      </c>
      <c r="M3365" s="68" t="s">
        <v>8912</v>
      </c>
      <c r="N3365" s="53" t="str">
        <f t="shared" si="30"/>
        <v>پيشين</v>
      </c>
      <c r="O3365" s="53">
        <v>55301</v>
      </c>
      <c r="P3365" s="197" t="s">
        <v>7237</v>
      </c>
    </row>
    <row r="3366" spans="1:16" ht="18.75" hidden="1">
      <c r="A3366" s="50" t="s">
        <v>8902</v>
      </c>
      <c r="B3366" s="50" t="s">
        <v>8898</v>
      </c>
      <c r="C3366" s="50" t="s">
        <v>8852</v>
      </c>
      <c r="D3366" s="50" t="s">
        <v>6308</v>
      </c>
      <c r="E3366" s="12" t="s">
        <v>4971</v>
      </c>
      <c r="F3366" s="49">
        <v>71240</v>
      </c>
      <c r="G3366" s="77" t="s">
        <v>6300</v>
      </c>
      <c r="H3366" s="14" t="s">
        <v>5601</v>
      </c>
      <c r="I3366" s="14" t="s">
        <v>2458</v>
      </c>
      <c r="J3366" s="33" t="s">
        <v>7110</v>
      </c>
      <c r="K3366" s="33" t="s">
        <v>8911</v>
      </c>
      <c r="L3366" s="53" t="str">
        <f t="shared" si="29"/>
        <v>پاکستان</v>
      </c>
      <c r="M3366" s="68" t="s">
        <v>8912</v>
      </c>
      <c r="N3366" s="53" t="str">
        <f t="shared" si="30"/>
        <v>پيشين</v>
      </c>
      <c r="O3366" s="53">
        <v>55301</v>
      </c>
      <c r="P3366" s="197" t="s">
        <v>5836</v>
      </c>
    </row>
    <row r="3367" spans="1:16" ht="18.75" hidden="1">
      <c r="A3367" s="50" t="s">
        <v>8864</v>
      </c>
      <c r="B3367" s="50" t="s">
        <v>8855</v>
      </c>
      <c r="C3367" s="50" t="s">
        <v>8850</v>
      </c>
      <c r="D3367" s="50" t="s">
        <v>8621</v>
      </c>
      <c r="E3367" s="12" t="s">
        <v>4971</v>
      </c>
      <c r="F3367" s="49">
        <v>139500</v>
      </c>
      <c r="G3367" s="77" t="s">
        <v>6299</v>
      </c>
      <c r="H3367" s="14" t="s">
        <v>5601</v>
      </c>
      <c r="I3367" s="14" t="s">
        <v>2458</v>
      </c>
      <c r="J3367" s="33" t="s">
        <v>7110</v>
      </c>
      <c r="K3367" s="33" t="s">
        <v>8911</v>
      </c>
      <c r="L3367" s="53" t="str">
        <f t="shared" si="29"/>
        <v>پاکستان</v>
      </c>
      <c r="M3367" s="68" t="s">
        <v>8913</v>
      </c>
      <c r="N3367" s="53" t="str">
        <f t="shared" si="30"/>
        <v>پيشين</v>
      </c>
      <c r="O3367" s="53">
        <v>55301</v>
      </c>
      <c r="P3367" s="198" t="s">
        <v>8727</v>
      </c>
    </row>
    <row r="3368" spans="1:16" ht="18.75" hidden="1">
      <c r="A3368" s="50" t="s">
        <v>8864</v>
      </c>
      <c r="B3368" s="50" t="s">
        <v>8855</v>
      </c>
      <c r="C3368" s="50" t="s">
        <v>5911</v>
      </c>
      <c r="D3368" s="50" t="s">
        <v>5482</v>
      </c>
      <c r="E3368" s="12" t="s">
        <v>4971</v>
      </c>
      <c r="F3368" s="49">
        <v>277520</v>
      </c>
      <c r="G3368" s="77" t="s">
        <v>6454</v>
      </c>
      <c r="H3368" s="14" t="s">
        <v>5601</v>
      </c>
      <c r="I3368" s="14" t="s">
        <v>2458</v>
      </c>
      <c r="J3368" s="33" t="s">
        <v>7110</v>
      </c>
      <c r="K3368" s="33" t="s">
        <v>8911</v>
      </c>
      <c r="L3368" s="53" t="str">
        <f t="shared" si="29"/>
        <v>پاکستان</v>
      </c>
      <c r="M3368" s="68" t="s">
        <v>8913</v>
      </c>
      <c r="N3368" s="53" t="str">
        <f t="shared" si="30"/>
        <v>پيشين</v>
      </c>
      <c r="O3368" s="53">
        <v>55301</v>
      </c>
      <c r="P3368" s="198" t="s">
        <v>5821</v>
      </c>
    </row>
    <row r="3369" spans="1:16" ht="18.75" hidden="1">
      <c r="A3369" s="50" t="s">
        <v>8880</v>
      </c>
      <c r="B3369" s="50" t="s">
        <v>8830</v>
      </c>
      <c r="C3369" s="50" t="s">
        <v>8857</v>
      </c>
      <c r="D3369" s="50" t="s">
        <v>8636</v>
      </c>
      <c r="E3369" s="12" t="s">
        <v>4971</v>
      </c>
      <c r="F3369" s="49">
        <v>118880</v>
      </c>
      <c r="G3369" s="77" t="s">
        <v>6453</v>
      </c>
      <c r="H3369" s="14" t="s">
        <v>5601</v>
      </c>
      <c r="I3369" s="14" t="s">
        <v>2458</v>
      </c>
      <c r="J3369" s="33" t="s">
        <v>7110</v>
      </c>
      <c r="K3369" s="33" t="s">
        <v>8911</v>
      </c>
      <c r="L3369" s="53" t="str">
        <f t="shared" si="29"/>
        <v>پاکستان</v>
      </c>
      <c r="M3369" s="68" t="s">
        <v>8913</v>
      </c>
      <c r="N3369" s="53" t="str">
        <f t="shared" si="30"/>
        <v>پيشين</v>
      </c>
      <c r="O3369" s="53">
        <v>55301</v>
      </c>
      <c r="P3369" s="198" t="s">
        <v>8497</v>
      </c>
    </row>
    <row r="3370" spans="1:16" ht="18.75" hidden="1">
      <c r="A3370" s="50" t="s">
        <v>8879</v>
      </c>
      <c r="B3370" s="50" t="s">
        <v>8788</v>
      </c>
      <c r="C3370" s="50" t="s">
        <v>8896</v>
      </c>
      <c r="D3370" s="50" t="s">
        <v>6337</v>
      </c>
      <c r="E3370" s="12" t="s">
        <v>4971</v>
      </c>
      <c r="F3370" s="49">
        <v>167630</v>
      </c>
      <c r="G3370" s="77" t="s">
        <v>6300</v>
      </c>
      <c r="H3370" s="14" t="s">
        <v>5601</v>
      </c>
      <c r="I3370" s="14" t="s">
        <v>2458</v>
      </c>
      <c r="J3370" s="33" t="s">
        <v>7110</v>
      </c>
      <c r="K3370" s="33" t="s">
        <v>8911</v>
      </c>
      <c r="L3370" s="53" t="str">
        <f t="shared" si="29"/>
        <v>پاکستان</v>
      </c>
      <c r="M3370" s="68" t="s">
        <v>8912</v>
      </c>
      <c r="N3370" s="53" t="str">
        <f t="shared" si="30"/>
        <v>پيشين</v>
      </c>
      <c r="O3370" s="53">
        <v>55301</v>
      </c>
      <c r="P3370" s="197" t="s">
        <v>7237</v>
      </c>
    </row>
    <row r="3371" spans="1:16" ht="18.75" hidden="1">
      <c r="A3371" s="50" t="s">
        <v>8903</v>
      </c>
      <c r="B3371" s="50" t="s">
        <v>8617</v>
      </c>
      <c r="C3371" s="50" t="s">
        <v>5937</v>
      </c>
      <c r="D3371" s="50" t="s">
        <v>5481</v>
      </c>
      <c r="E3371" s="12" t="s">
        <v>4971</v>
      </c>
      <c r="F3371" s="49">
        <v>55140</v>
      </c>
      <c r="G3371" s="77" t="s">
        <v>6454</v>
      </c>
      <c r="H3371" s="14" t="s">
        <v>5601</v>
      </c>
      <c r="I3371" s="14" t="s">
        <v>2458</v>
      </c>
      <c r="J3371" s="33" t="s">
        <v>7110</v>
      </c>
      <c r="K3371" s="33" t="s">
        <v>8911</v>
      </c>
      <c r="L3371" s="53" t="str">
        <f t="shared" si="29"/>
        <v>پاکستان</v>
      </c>
      <c r="M3371" s="68" t="s">
        <v>8913</v>
      </c>
      <c r="N3371" s="53" t="str">
        <f t="shared" si="30"/>
        <v>پيشين</v>
      </c>
      <c r="O3371" s="53">
        <v>55301</v>
      </c>
      <c r="P3371" s="198" t="s">
        <v>5821</v>
      </c>
    </row>
    <row r="3372" spans="1:16" ht="18.75" hidden="1">
      <c r="A3372" s="50" t="s">
        <v>8903</v>
      </c>
      <c r="B3372" s="50" t="s">
        <v>8617</v>
      </c>
      <c r="C3372" s="50" t="s">
        <v>7249</v>
      </c>
      <c r="D3372" s="50" t="s">
        <v>6337</v>
      </c>
      <c r="E3372" s="12" t="s">
        <v>4971</v>
      </c>
      <c r="F3372" s="49">
        <v>118080</v>
      </c>
      <c r="G3372" s="77" t="s">
        <v>6453</v>
      </c>
      <c r="H3372" s="14" t="s">
        <v>5601</v>
      </c>
      <c r="I3372" s="14" t="s">
        <v>2458</v>
      </c>
      <c r="J3372" s="33" t="s">
        <v>7110</v>
      </c>
      <c r="K3372" s="33" t="s">
        <v>8911</v>
      </c>
      <c r="L3372" s="53" t="str">
        <f t="shared" si="29"/>
        <v>پاکستان</v>
      </c>
      <c r="M3372" s="68" t="s">
        <v>8913</v>
      </c>
      <c r="N3372" s="53" t="str">
        <f t="shared" si="30"/>
        <v>پيشين</v>
      </c>
      <c r="O3372" s="53">
        <v>55301</v>
      </c>
      <c r="P3372" s="198" t="s">
        <v>7233</v>
      </c>
    </row>
    <row r="3373" spans="1:16" ht="18.75" hidden="1">
      <c r="A3373" s="50" t="s">
        <v>8903</v>
      </c>
      <c r="B3373" s="50" t="s">
        <v>8617</v>
      </c>
      <c r="C3373" s="50" t="s">
        <v>8865</v>
      </c>
      <c r="D3373" s="50" t="s">
        <v>6328</v>
      </c>
      <c r="E3373" s="12" t="s">
        <v>4971</v>
      </c>
      <c r="F3373" s="49">
        <v>225700</v>
      </c>
      <c r="G3373" s="77" t="s">
        <v>6454</v>
      </c>
      <c r="H3373" s="14" t="s">
        <v>5601</v>
      </c>
      <c r="I3373" s="14" t="s">
        <v>2458</v>
      </c>
      <c r="J3373" s="33" t="s">
        <v>7110</v>
      </c>
      <c r="K3373" s="33" t="s">
        <v>8911</v>
      </c>
      <c r="L3373" s="53" t="str">
        <f t="shared" si="29"/>
        <v>پاکستان</v>
      </c>
      <c r="M3373" s="68" t="s">
        <v>8913</v>
      </c>
      <c r="N3373" s="53" t="str">
        <f t="shared" si="30"/>
        <v>پيشين</v>
      </c>
      <c r="O3373" s="53">
        <v>55301</v>
      </c>
      <c r="P3373" s="198" t="s">
        <v>5852</v>
      </c>
    </row>
    <row r="3374" spans="1:16" ht="18.75" hidden="1">
      <c r="A3374" s="50" t="s">
        <v>8868</v>
      </c>
      <c r="B3374" s="50" t="s">
        <v>8770</v>
      </c>
      <c r="C3374" s="50" t="s">
        <v>8850</v>
      </c>
      <c r="D3374" s="50" t="s">
        <v>8621</v>
      </c>
      <c r="E3374" s="12" t="s">
        <v>4971</v>
      </c>
      <c r="F3374" s="49">
        <v>21880</v>
      </c>
      <c r="G3374" s="77" t="s">
        <v>6299</v>
      </c>
      <c r="H3374" s="14" t="s">
        <v>5601</v>
      </c>
      <c r="I3374" s="14" t="s">
        <v>2458</v>
      </c>
      <c r="J3374" s="33" t="s">
        <v>7110</v>
      </c>
      <c r="K3374" s="33" t="s">
        <v>8911</v>
      </c>
      <c r="L3374" s="53" t="str">
        <f t="shared" si="29"/>
        <v>پاکستان</v>
      </c>
      <c r="M3374" s="68" t="s">
        <v>8913</v>
      </c>
      <c r="N3374" s="53" t="str">
        <f t="shared" si="30"/>
        <v>پيشين</v>
      </c>
      <c r="O3374" s="53">
        <v>55301</v>
      </c>
      <c r="P3374" s="198" t="s">
        <v>8727</v>
      </c>
    </row>
    <row r="3375" spans="1:16" ht="18.75" hidden="1">
      <c r="A3375" s="50" t="s">
        <v>8904</v>
      </c>
      <c r="B3375" s="50" t="s">
        <v>8793</v>
      </c>
      <c r="C3375" s="50" t="s">
        <v>5968</v>
      </c>
      <c r="D3375" s="50" t="s">
        <v>5832</v>
      </c>
      <c r="E3375" s="12" t="s">
        <v>4971</v>
      </c>
      <c r="F3375" s="49">
        <v>51290</v>
      </c>
      <c r="G3375" s="77" t="s">
        <v>6300</v>
      </c>
      <c r="H3375" s="14" t="s">
        <v>5601</v>
      </c>
      <c r="I3375" s="14" t="s">
        <v>2458</v>
      </c>
      <c r="J3375" s="33" t="s">
        <v>7110</v>
      </c>
      <c r="K3375" s="33" t="s">
        <v>8911</v>
      </c>
      <c r="L3375" s="53" t="str">
        <f t="shared" si="29"/>
        <v>پاکستان</v>
      </c>
      <c r="M3375" s="68" t="s">
        <v>8912</v>
      </c>
      <c r="N3375" s="53" t="str">
        <f>"تفتان (ميرجاوه)"</f>
        <v>تفتان (ميرجاوه)</v>
      </c>
      <c r="O3375" s="53">
        <v>55200</v>
      </c>
      <c r="P3375" s="197" t="s">
        <v>5820</v>
      </c>
    </row>
    <row r="3376" spans="1:16" ht="18.75" hidden="1">
      <c r="A3376" s="50" t="s">
        <v>8905</v>
      </c>
      <c r="B3376" s="50" t="s">
        <v>8788</v>
      </c>
      <c r="C3376" s="50" t="s">
        <v>8896</v>
      </c>
      <c r="D3376" s="50" t="s">
        <v>6337</v>
      </c>
      <c r="E3376" s="12" t="s">
        <v>4971</v>
      </c>
      <c r="F3376" s="49">
        <v>24510</v>
      </c>
      <c r="G3376" s="77" t="s">
        <v>6300</v>
      </c>
      <c r="H3376" s="14" t="s">
        <v>5601</v>
      </c>
      <c r="I3376" s="14" t="s">
        <v>2458</v>
      </c>
      <c r="J3376" s="33" t="s">
        <v>7110</v>
      </c>
      <c r="K3376" s="33" t="s">
        <v>8911</v>
      </c>
      <c r="L3376" s="53" t="str">
        <f t="shared" si="29"/>
        <v>پاکستان</v>
      </c>
      <c r="M3376" s="68" t="s">
        <v>8912</v>
      </c>
      <c r="N3376" s="53" t="str">
        <f>"بازارچه کوهک سراوان"</f>
        <v>بازارچه کوهک سراوان</v>
      </c>
      <c r="O3376" s="53">
        <v>55107</v>
      </c>
      <c r="P3376" s="197" t="s">
        <v>7237</v>
      </c>
    </row>
    <row r="3377" spans="1:16" ht="18.75" hidden="1">
      <c r="A3377" s="50" t="s">
        <v>8906</v>
      </c>
      <c r="B3377" s="50" t="s">
        <v>8898</v>
      </c>
      <c r="C3377" s="50" t="s">
        <v>6043</v>
      </c>
      <c r="D3377" s="50" t="s">
        <v>5857</v>
      </c>
      <c r="E3377" s="12" t="s">
        <v>4971</v>
      </c>
      <c r="F3377" s="49">
        <v>75710</v>
      </c>
      <c r="G3377" s="77" t="s">
        <v>6300</v>
      </c>
      <c r="H3377" s="14" t="s">
        <v>5601</v>
      </c>
      <c r="I3377" s="14" t="s">
        <v>2458</v>
      </c>
      <c r="J3377" s="33" t="s">
        <v>7110</v>
      </c>
      <c r="K3377" s="33" t="s">
        <v>8911</v>
      </c>
      <c r="L3377" s="53" t="str">
        <f t="shared" si="29"/>
        <v>پاکستان</v>
      </c>
      <c r="M3377" s="68" t="s">
        <v>8912</v>
      </c>
      <c r="N3377" s="53" t="str">
        <f>"تفتان (ميرجاوه)"</f>
        <v>تفتان (ميرجاوه)</v>
      </c>
      <c r="O3377" s="53">
        <v>55200</v>
      </c>
      <c r="P3377" s="197" t="s">
        <v>5818</v>
      </c>
    </row>
    <row r="3378" spans="1:16" ht="18.75" hidden="1">
      <c r="A3378" s="50" t="s">
        <v>8880</v>
      </c>
      <c r="B3378" s="50" t="s">
        <v>8830</v>
      </c>
      <c r="C3378" s="50" t="s">
        <v>5968</v>
      </c>
      <c r="D3378" s="50" t="s">
        <v>5832</v>
      </c>
      <c r="E3378" s="12" t="s">
        <v>4971</v>
      </c>
      <c r="F3378" s="49">
        <v>143780</v>
      </c>
      <c r="G3378" s="77" t="s">
        <v>6300</v>
      </c>
      <c r="H3378" s="14" t="s">
        <v>5601</v>
      </c>
      <c r="I3378" s="14" t="s">
        <v>2458</v>
      </c>
      <c r="J3378" s="33" t="s">
        <v>7110</v>
      </c>
      <c r="K3378" s="33" t="s">
        <v>8911</v>
      </c>
      <c r="L3378" s="53" t="str">
        <f t="shared" si="29"/>
        <v>پاکستان</v>
      </c>
      <c r="M3378" s="68" t="s">
        <v>8913</v>
      </c>
      <c r="N3378" s="53" t="str">
        <f>"پيشين"</f>
        <v>پيشين</v>
      </c>
      <c r="O3378" s="53">
        <v>55301</v>
      </c>
      <c r="P3378" s="197" t="s">
        <v>5820</v>
      </c>
    </row>
    <row r="3379" spans="1:16" ht="18.75" hidden="1">
      <c r="A3379" s="50" t="s">
        <v>8907</v>
      </c>
      <c r="B3379" s="50" t="s">
        <v>8617</v>
      </c>
      <c r="C3379" s="50" t="s">
        <v>7238</v>
      </c>
      <c r="D3379" s="50" t="s">
        <v>6323</v>
      </c>
      <c r="E3379" s="12" t="s">
        <v>4971</v>
      </c>
      <c r="F3379" s="49">
        <v>47730</v>
      </c>
      <c r="G3379" s="77" t="s">
        <v>6300</v>
      </c>
      <c r="H3379" s="14" t="s">
        <v>5601</v>
      </c>
      <c r="I3379" s="14" t="s">
        <v>2458</v>
      </c>
      <c r="J3379" s="33" t="s">
        <v>7110</v>
      </c>
      <c r="K3379" s="33" t="s">
        <v>8911</v>
      </c>
      <c r="L3379" s="53" t="str">
        <f t="shared" si="29"/>
        <v>پاکستان</v>
      </c>
      <c r="M3379" s="68" t="s">
        <v>8912</v>
      </c>
      <c r="N3379" s="53" t="str">
        <f>"پيشين"</f>
        <v>پيشين</v>
      </c>
      <c r="O3379" s="53">
        <v>55301</v>
      </c>
      <c r="P3379" s="197" t="s">
        <v>5836</v>
      </c>
    </row>
    <row r="3380" spans="1:16" ht="18.75" hidden="1">
      <c r="A3380" s="50" t="s">
        <v>8889</v>
      </c>
      <c r="B3380" s="50" t="s">
        <v>8617</v>
      </c>
      <c r="C3380" s="50" t="s">
        <v>5935</v>
      </c>
      <c r="D3380" s="50" t="s">
        <v>5460</v>
      </c>
      <c r="E3380" s="12" t="s">
        <v>4971</v>
      </c>
      <c r="F3380" s="49">
        <v>21660</v>
      </c>
      <c r="G3380" s="77" t="s">
        <v>6298</v>
      </c>
      <c r="H3380" s="14" t="s">
        <v>5601</v>
      </c>
      <c r="I3380" s="14" t="s">
        <v>2458</v>
      </c>
      <c r="J3380" s="33" t="s">
        <v>7110</v>
      </c>
      <c r="K3380" s="33" t="s">
        <v>8911</v>
      </c>
      <c r="L3380" s="53" t="str">
        <f>"گرجستان"</f>
        <v>گرجستان</v>
      </c>
      <c r="M3380" s="68" t="s">
        <v>8913</v>
      </c>
      <c r="N3380" s="53" t="str">
        <f>"بازرگان"</f>
        <v>بازرگان</v>
      </c>
      <c r="O3380" s="53">
        <v>30100</v>
      </c>
      <c r="P3380" s="198" t="s">
        <v>5814</v>
      </c>
    </row>
    <row r="3381" spans="1:16" ht="18.75" hidden="1">
      <c r="A3381" s="50" t="s">
        <v>8908</v>
      </c>
      <c r="B3381" s="50" t="s">
        <v>8824</v>
      </c>
      <c r="C3381" s="50" t="s">
        <v>8856</v>
      </c>
      <c r="D3381" s="50" t="s">
        <v>6457</v>
      </c>
      <c r="E3381" s="12" t="s">
        <v>4971</v>
      </c>
      <c r="F3381" s="49">
        <v>386040</v>
      </c>
      <c r="G3381" s="77" t="s">
        <v>6300</v>
      </c>
      <c r="H3381" s="14" t="s">
        <v>5601</v>
      </c>
      <c r="I3381" s="14" t="s">
        <v>2458</v>
      </c>
      <c r="J3381" s="33" t="s">
        <v>7110</v>
      </c>
      <c r="K3381" s="33" t="s">
        <v>8911</v>
      </c>
      <c r="L3381" s="53" t="s">
        <v>6054</v>
      </c>
      <c r="M3381" s="68" t="s">
        <v>8913</v>
      </c>
      <c r="N3381" s="53" t="s">
        <v>6076</v>
      </c>
      <c r="O3381" s="53">
        <v>55301</v>
      </c>
      <c r="P3381" s="197" t="s">
        <v>5842</v>
      </c>
    </row>
    <row r="3382" spans="1:16" ht="18.75" hidden="1">
      <c r="A3382" s="50" t="s">
        <v>8908</v>
      </c>
      <c r="B3382" s="50" t="s">
        <v>8824</v>
      </c>
      <c r="C3382" s="50" t="s">
        <v>8909</v>
      </c>
      <c r="D3382" s="50" t="s">
        <v>6328</v>
      </c>
      <c r="E3382" s="12" t="s">
        <v>4971</v>
      </c>
      <c r="F3382" s="49">
        <v>254200</v>
      </c>
      <c r="G3382" s="77" t="s">
        <v>6453</v>
      </c>
      <c r="H3382" s="14" t="s">
        <v>5601</v>
      </c>
      <c r="I3382" s="14" t="s">
        <v>2458</v>
      </c>
      <c r="J3382" s="33" t="s">
        <v>7110</v>
      </c>
      <c r="K3382" s="33" t="s">
        <v>8911</v>
      </c>
      <c r="L3382" s="53" t="s">
        <v>6054</v>
      </c>
      <c r="M3382" s="68" t="s">
        <v>8913</v>
      </c>
      <c r="N3382" s="53" t="s">
        <v>6076</v>
      </c>
      <c r="O3382" s="53">
        <v>55301</v>
      </c>
      <c r="P3382" s="198" t="s">
        <v>7233</v>
      </c>
    </row>
    <row r="3383" spans="1:16" ht="18.75" hidden="1">
      <c r="A3383" s="50" t="s">
        <v>8908</v>
      </c>
      <c r="B3383" s="50" t="s">
        <v>8824</v>
      </c>
      <c r="C3383" s="50" t="s">
        <v>8858</v>
      </c>
      <c r="D3383" s="50" t="s">
        <v>8621</v>
      </c>
      <c r="E3383" s="12" t="s">
        <v>4971</v>
      </c>
      <c r="F3383" s="49">
        <v>71640</v>
      </c>
      <c r="G3383" s="77" t="s">
        <v>8859</v>
      </c>
      <c r="H3383" s="14" t="s">
        <v>5601</v>
      </c>
      <c r="I3383" s="14" t="s">
        <v>2458</v>
      </c>
      <c r="J3383" s="33" t="e">
        <f>VLOOKUP(C3383,شرکتها!A:B,2,FALSE)</f>
        <v>#N/A</v>
      </c>
      <c r="K3383" s="33" t="s">
        <v>8911</v>
      </c>
      <c r="L3383" s="53" t="s">
        <v>6054</v>
      </c>
      <c r="M3383" s="68" t="s">
        <v>8913</v>
      </c>
      <c r="N3383" s="53" t="s">
        <v>6076</v>
      </c>
      <c r="O3383" s="53">
        <v>55301</v>
      </c>
      <c r="P3383" s="198" t="s">
        <v>5854</v>
      </c>
    </row>
    <row r="3384" spans="1:16" ht="18.75" hidden="1">
      <c r="A3384" s="50" t="s">
        <v>8910</v>
      </c>
      <c r="B3384" s="50" t="s">
        <v>8636</v>
      </c>
      <c r="C3384" s="50" t="s">
        <v>7257</v>
      </c>
      <c r="D3384" s="50" t="s">
        <v>6302</v>
      </c>
      <c r="E3384" s="12" t="s">
        <v>4971</v>
      </c>
      <c r="F3384" s="49">
        <v>139420</v>
      </c>
      <c r="G3384" s="77" t="s">
        <v>6300</v>
      </c>
      <c r="H3384" s="14" t="s">
        <v>5601</v>
      </c>
      <c r="I3384" s="14" t="s">
        <v>2458</v>
      </c>
      <c r="J3384" s="33" t="s">
        <v>7110</v>
      </c>
      <c r="K3384" s="33" t="s">
        <v>8911</v>
      </c>
      <c r="L3384" s="53" t="str">
        <f t="shared" ref="L3384" si="31">"پاکستان"</f>
        <v>پاکستان</v>
      </c>
      <c r="M3384" s="68" t="s">
        <v>8912</v>
      </c>
      <c r="N3384" s="53" t="str">
        <f>"پيشين"</f>
        <v>پيشين</v>
      </c>
      <c r="O3384" s="53">
        <v>55301</v>
      </c>
      <c r="P3384" s="197" t="s">
        <v>5836</v>
      </c>
    </row>
    <row r="3385" spans="1:16" ht="18.75" hidden="1">
      <c r="A3385" s="50" t="str">
        <f>"50100-9442788"</f>
        <v>50100-9442788</v>
      </c>
      <c r="B3385" s="50" t="str">
        <f>"96/08/15"</f>
        <v>96/08/15</v>
      </c>
      <c r="C3385" s="50" t="s">
        <v>9707</v>
      </c>
      <c r="D3385" s="50" t="s">
        <v>6252</v>
      </c>
      <c r="E3385" s="12" t="s">
        <v>4971</v>
      </c>
      <c r="F3385" s="49">
        <v>994150</v>
      </c>
      <c r="G3385" s="77" t="s">
        <v>5607</v>
      </c>
      <c r="H3385" s="14" t="s">
        <v>5601</v>
      </c>
      <c r="I3385" s="14" t="s">
        <v>2458</v>
      </c>
      <c r="J3385" s="33" t="s">
        <v>7110</v>
      </c>
      <c r="K3385" s="33" t="s">
        <v>9759</v>
      </c>
      <c r="L3385" s="53" t="str">
        <f>"تانزانيا"</f>
        <v>تانزانيا</v>
      </c>
      <c r="M3385" s="68" t="str">
        <f>"بشكه"</f>
        <v>بشكه</v>
      </c>
      <c r="N3385" s="53" t="str">
        <f t="shared" ref="N3385:N3435" si="32">"منطقه ويژه اقتصادي شهيد رجايي"</f>
        <v>منطقه ويژه اقتصادي شهيد رجايي</v>
      </c>
      <c r="O3385" s="53">
        <v>50100</v>
      </c>
      <c r="P3385" s="198" t="s">
        <v>7233</v>
      </c>
    </row>
    <row r="3386" spans="1:16" ht="18.75" hidden="1">
      <c r="A3386" s="50" t="str">
        <f>"50100-9394261"</f>
        <v>50100-9394261</v>
      </c>
      <c r="B3386" s="50" t="str">
        <f>"96/08/05"</f>
        <v>96/08/05</v>
      </c>
      <c r="C3386" s="50" t="s">
        <v>9708</v>
      </c>
      <c r="D3386" s="50" t="s">
        <v>8833</v>
      </c>
      <c r="E3386" s="12" t="s">
        <v>4971</v>
      </c>
      <c r="F3386" s="49">
        <v>2996378</v>
      </c>
      <c r="G3386" s="77" t="s">
        <v>5779</v>
      </c>
      <c r="H3386" s="14" t="s">
        <v>5601</v>
      </c>
      <c r="I3386" s="14" t="s">
        <v>2458</v>
      </c>
      <c r="J3386" s="33" t="e">
        <f>VLOOKUP(C3386,شرکتها!A:B,2,FALSE)</f>
        <v>#N/A</v>
      </c>
      <c r="K3386" s="33" t="s">
        <v>9759</v>
      </c>
      <c r="L3386" s="53" t="str">
        <f>"قطر"</f>
        <v>قطر</v>
      </c>
      <c r="M3386" s="68" t="str">
        <f>"فله"</f>
        <v>فله</v>
      </c>
      <c r="N3386" s="53" t="str">
        <f t="shared" si="32"/>
        <v>منطقه ويژه اقتصادي شهيد رجايي</v>
      </c>
      <c r="O3386" s="53">
        <v>50100</v>
      </c>
      <c r="P3386" s="198" t="s">
        <v>8706</v>
      </c>
    </row>
    <row r="3387" spans="1:16" ht="18.75" hidden="1">
      <c r="A3387" s="50" t="str">
        <f>"50100-9382725"</f>
        <v>50100-9382725</v>
      </c>
      <c r="B3387" s="50" t="str">
        <f>"96/08/02"</f>
        <v>96/08/02</v>
      </c>
      <c r="C3387" s="50" t="s">
        <v>9709</v>
      </c>
      <c r="D3387" s="50" t="s">
        <v>8621</v>
      </c>
      <c r="E3387" s="12" t="s">
        <v>4971</v>
      </c>
      <c r="F3387" s="49">
        <v>5830</v>
      </c>
      <c r="G3387" s="77" t="s">
        <v>5607</v>
      </c>
      <c r="H3387" s="14" t="s">
        <v>5601</v>
      </c>
      <c r="I3387" s="14" t="s">
        <v>2458</v>
      </c>
      <c r="J3387" s="33" t="s">
        <v>7110</v>
      </c>
      <c r="K3387" s="33" t="s">
        <v>9759</v>
      </c>
      <c r="L3387" s="53" t="str">
        <f>" ميانمار"</f>
        <v xml:space="preserve"> ميانمار</v>
      </c>
      <c r="M3387" s="68" t="str">
        <f>"بشكه"</f>
        <v>بشكه</v>
      </c>
      <c r="N3387" s="53" t="str">
        <f t="shared" si="32"/>
        <v>منطقه ويژه اقتصادي شهيد رجايي</v>
      </c>
      <c r="O3387" s="53">
        <v>50100</v>
      </c>
      <c r="P3387" s="198" t="s">
        <v>8497</v>
      </c>
    </row>
    <row r="3388" spans="1:16" ht="18.75" hidden="1">
      <c r="A3388" s="50" t="str">
        <f>"50100-9382725"</f>
        <v>50100-9382725</v>
      </c>
      <c r="B3388" s="50" t="str">
        <f>"96/08/02"</f>
        <v>96/08/02</v>
      </c>
      <c r="C3388" s="50" t="s">
        <v>9710</v>
      </c>
      <c r="D3388" s="50" t="s">
        <v>8830</v>
      </c>
      <c r="E3388" s="12" t="s">
        <v>4971</v>
      </c>
      <c r="F3388" s="49">
        <v>983670</v>
      </c>
      <c r="G3388" s="77" t="s">
        <v>5607</v>
      </c>
      <c r="H3388" s="14" t="s">
        <v>5601</v>
      </c>
      <c r="I3388" s="14" t="s">
        <v>2458</v>
      </c>
      <c r="J3388" s="33" t="s">
        <v>7110</v>
      </c>
      <c r="K3388" s="33" t="s">
        <v>9759</v>
      </c>
      <c r="L3388" s="53" t="str">
        <f>" ميانمار"</f>
        <v xml:space="preserve"> ميانمار</v>
      </c>
      <c r="M3388" s="68" t="str">
        <f>"بشكه"</f>
        <v>بشكه</v>
      </c>
      <c r="N3388" s="53" t="str">
        <f t="shared" si="32"/>
        <v>منطقه ويژه اقتصادي شهيد رجايي</v>
      </c>
      <c r="O3388" s="53">
        <v>50100</v>
      </c>
      <c r="P3388" s="198" t="s">
        <v>8497</v>
      </c>
    </row>
    <row r="3389" spans="1:16" ht="18.75" hidden="1">
      <c r="A3389" s="50" t="str">
        <f>"50100-9407149"</f>
        <v>50100-9407149</v>
      </c>
      <c r="B3389" s="50" t="str">
        <f>"96/08/07"</f>
        <v>96/08/07</v>
      </c>
      <c r="C3389" s="50" t="s">
        <v>9711</v>
      </c>
      <c r="D3389" s="50" t="s">
        <v>8830</v>
      </c>
      <c r="E3389" s="12" t="s">
        <v>4971</v>
      </c>
      <c r="F3389" s="49">
        <v>679521</v>
      </c>
      <c r="G3389" s="77" t="s">
        <v>5607</v>
      </c>
      <c r="H3389" s="14" t="s">
        <v>5601</v>
      </c>
      <c r="I3389" s="14" t="s">
        <v>2458</v>
      </c>
      <c r="J3389" s="33" t="s">
        <v>7110</v>
      </c>
      <c r="K3389" s="33" t="s">
        <v>9759</v>
      </c>
      <c r="L3389" s="53" t="str">
        <f>" ميانمار"</f>
        <v xml:space="preserve"> ميانمار</v>
      </c>
      <c r="M3389" s="68" t="str">
        <f>"بشكه"</f>
        <v>بشكه</v>
      </c>
      <c r="N3389" s="53" t="str">
        <f t="shared" si="32"/>
        <v>منطقه ويژه اقتصادي شهيد رجايي</v>
      </c>
      <c r="O3389" s="53">
        <v>50100</v>
      </c>
      <c r="P3389" s="198" t="s">
        <v>8497</v>
      </c>
    </row>
    <row r="3390" spans="1:16" ht="18.75" hidden="1">
      <c r="A3390" s="50" t="str">
        <f>"50100-9391871"</f>
        <v>50100-9391871</v>
      </c>
      <c r="B3390" s="50" t="str">
        <f>"96/08/04"</f>
        <v>96/08/04</v>
      </c>
      <c r="C3390" s="50" t="s">
        <v>9712</v>
      </c>
      <c r="D3390" s="50" t="s">
        <v>8911</v>
      </c>
      <c r="E3390" s="12" t="s">
        <v>4971</v>
      </c>
      <c r="F3390" s="49">
        <v>5178555</v>
      </c>
      <c r="G3390" s="77" t="s">
        <v>9713</v>
      </c>
      <c r="H3390" s="14" t="s">
        <v>5601</v>
      </c>
      <c r="I3390" s="14" t="s">
        <v>2458</v>
      </c>
      <c r="J3390" s="33" t="e">
        <f>VLOOKUP(C3390,شرکتها!A:B,2,FALSE)</f>
        <v>#N/A</v>
      </c>
      <c r="K3390" s="33" t="s">
        <v>9759</v>
      </c>
      <c r="L3390" s="53" t="str">
        <f>"اندونزي"</f>
        <v>اندونزي</v>
      </c>
      <c r="M3390" s="68" t="str">
        <f>"فله"</f>
        <v>فله</v>
      </c>
      <c r="N3390" s="53" t="str">
        <f t="shared" si="32"/>
        <v>منطقه ويژه اقتصادي شهيد رجايي</v>
      </c>
      <c r="O3390" s="53">
        <v>50100</v>
      </c>
      <c r="P3390" s="198" t="s">
        <v>9779</v>
      </c>
    </row>
    <row r="3391" spans="1:16" ht="18.75" hidden="1">
      <c r="A3391" s="50" t="str">
        <f>"50100-9416504"</f>
        <v>50100-9416504</v>
      </c>
      <c r="B3391" s="50" t="str">
        <f>"96/08/09"</f>
        <v>96/08/09</v>
      </c>
      <c r="C3391" s="50" t="s">
        <v>9714</v>
      </c>
      <c r="D3391" s="50" t="s">
        <v>9715</v>
      </c>
      <c r="E3391" s="12" t="s">
        <v>4971</v>
      </c>
      <c r="F3391" s="49">
        <v>1743814</v>
      </c>
      <c r="G3391" s="77" t="s">
        <v>5779</v>
      </c>
      <c r="H3391" s="14" t="s">
        <v>5601</v>
      </c>
      <c r="I3391" s="14" t="s">
        <v>2458</v>
      </c>
      <c r="J3391" s="33" t="e">
        <f>VLOOKUP(C3391,شرکتها!A:B,2,FALSE)</f>
        <v>#N/A</v>
      </c>
      <c r="K3391" s="33" t="s">
        <v>9759</v>
      </c>
      <c r="L3391" s="53" t="str">
        <f>"قطر"</f>
        <v>قطر</v>
      </c>
      <c r="M3391" s="68" t="str">
        <f>"فله"</f>
        <v>فله</v>
      </c>
      <c r="N3391" s="53" t="str">
        <f t="shared" si="32"/>
        <v>منطقه ويژه اقتصادي شهيد رجايي</v>
      </c>
      <c r="O3391" s="53">
        <v>50100</v>
      </c>
      <c r="P3391" s="198" t="s">
        <v>9766</v>
      </c>
    </row>
    <row r="3392" spans="1:16" ht="18.75" hidden="1">
      <c r="A3392" s="50" t="str">
        <f>"50100-9407022"</f>
        <v>50100-9407022</v>
      </c>
      <c r="B3392" s="50" t="str">
        <f>"96/08/07"</f>
        <v>96/08/07</v>
      </c>
      <c r="C3392" s="50" t="s">
        <v>9710</v>
      </c>
      <c r="D3392" s="50" t="s">
        <v>8830</v>
      </c>
      <c r="E3392" s="12" t="s">
        <v>4971</v>
      </c>
      <c r="F3392" s="49">
        <v>16330</v>
      </c>
      <c r="G3392" s="77" t="s">
        <v>5607</v>
      </c>
      <c r="H3392" s="14" t="s">
        <v>5601</v>
      </c>
      <c r="I3392" s="14" t="s">
        <v>2458</v>
      </c>
      <c r="J3392" s="33" t="s">
        <v>7110</v>
      </c>
      <c r="K3392" s="33" t="s">
        <v>9759</v>
      </c>
      <c r="L3392" s="53" t="str">
        <f>"سريلانکا"</f>
        <v>سريلانکا</v>
      </c>
      <c r="M3392" s="68" t="str">
        <f t="shared" ref="M3392:M3398" si="33">"بشكه"</f>
        <v>بشكه</v>
      </c>
      <c r="N3392" s="53" t="str">
        <f t="shared" si="32"/>
        <v>منطقه ويژه اقتصادي شهيد رجايي</v>
      </c>
      <c r="O3392" s="53">
        <v>50100</v>
      </c>
      <c r="P3392" s="198" t="s">
        <v>8497</v>
      </c>
    </row>
    <row r="3393" spans="1:16" ht="18.75" hidden="1">
      <c r="A3393" s="50" t="str">
        <f>"50100-9407022"</f>
        <v>50100-9407022</v>
      </c>
      <c r="B3393" s="50" t="str">
        <f>"96/08/07"</f>
        <v>96/08/07</v>
      </c>
      <c r="C3393" s="50" t="s">
        <v>9711</v>
      </c>
      <c r="D3393" s="50" t="s">
        <v>8830</v>
      </c>
      <c r="E3393" s="12" t="s">
        <v>4971</v>
      </c>
      <c r="F3393" s="49">
        <v>320479</v>
      </c>
      <c r="G3393" s="77" t="s">
        <v>5607</v>
      </c>
      <c r="H3393" s="14" t="s">
        <v>5601</v>
      </c>
      <c r="I3393" s="14" t="s">
        <v>2458</v>
      </c>
      <c r="J3393" s="33" t="s">
        <v>7110</v>
      </c>
      <c r="K3393" s="33" t="s">
        <v>9759</v>
      </c>
      <c r="L3393" s="53" t="str">
        <f>"سريلانکا"</f>
        <v>سريلانکا</v>
      </c>
      <c r="M3393" s="68" t="str">
        <f t="shared" si="33"/>
        <v>بشكه</v>
      </c>
      <c r="N3393" s="53" t="str">
        <f t="shared" si="32"/>
        <v>منطقه ويژه اقتصادي شهيد رجايي</v>
      </c>
      <c r="O3393" s="53">
        <v>50100</v>
      </c>
      <c r="P3393" s="198" t="s">
        <v>8497</v>
      </c>
    </row>
    <row r="3394" spans="1:16" ht="18.75" hidden="1">
      <c r="A3394" s="50" t="str">
        <f>"50100-9407149"</f>
        <v>50100-9407149</v>
      </c>
      <c r="B3394" s="50" t="str">
        <f>"96/08/07"</f>
        <v>96/08/07</v>
      </c>
      <c r="C3394" s="50" t="s">
        <v>9716</v>
      </c>
      <c r="D3394" s="50" t="s">
        <v>8770</v>
      </c>
      <c r="E3394" s="12" t="s">
        <v>4971</v>
      </c>
      <c r="F3394" s="49">
        <v>320479</v>
      </c>
      <c r="G3394" s="77" t="s">
        <v>5607</v>
      </c>
      <c r="H3394" s="14" t="s">
        <v>5601</v>
      </c>
      <c r="I3394" s="14" t="s">
        <v>2458</v>
      </c>
      <c r="J3394" s="33" t="s">
        <v>7110</v>
      </c>
      <c r="K3394" s="33" t="s">
        <v>9759</v>
      </c>
      <c r="L3394" s="53" t="str">
        <f>" ميانمار"</f>
        <v xml:space="preserve"> ميانمار</v>
      </c>
      <c r="M3394" s="68" t="str">
        <f t="shared" si="33"/>
        <v>بشكه</v>
      </c>
      <c r="N3394" s="53" t="str">
        <f t="shared" si="32"/>
        <v>منطقه ويژه اقتصادي شهيد رجايي</v>
      </c>
      <c r="O3394" s="53">
        <v>50100</v>
      </c>
      <c r="P3394" s="198" t="s">
        <v>8497</v>
      </c>
    </row>
    <row r="3395" spans="1:16" ht="18.75" hidden="1">
      <c r="A3395" s="50" t="str">
        <f>"50100-9419541"</f>
        <v>50100-9419541</v>
      </c>
      <c r="B3395" s="50" t="str">
        <f>"96/08/10"</f>
        <v>96/08/10</v>
      </c>
      <c r="C3395" s="50" t="s">
        <v>8806</v>
      </c>
      <c r="D3395" s="50" t="s">
        <v>8620</v>
      </c>
      <c r="E3395" s="12" t="s">
        <v>4971</v>
      </c>
      <c r="F3395" s="49">
        <v>155164</v>
      </c>
      <c r="G3395" s="77" t="s">
        <v>5631</v>
      </c>
      <c r="H3395" s="14" t="s">
        <v>5601</v>
      </c>
      <c r="I3395" s="14" t="s">
        <v>2458</v>
      </c>
      <c r="J3395" s="33" t="s">
        <v>7110</v>
      </c>
      <c r="K3395" s="33" t="s">
        <v>9759</v>
      </c>
      <c r="L3395" s="53" t="str">
        <f>"کنيا"</f>
        <v>کنيا</v>
      </c>
      <c r="M3395" s="68" t="str">
        <f t="shared" si="33"/>
        <v>بشكه</v>
      </c>
      <c r="N3395" s="53" t="str">
        <f t="shared" si="32"/>
        <v>منطقه ويژه اقتصادي شهيد رجايي</v>
      </c>
      <c r="O3395" s="53">
        <v>50100</v>
      </c>
      <c r="P3395" s="197" t="s">
        <v>5836</v>
      </c>
    </row>
    <row r="3396" spans="1:16" ht="18.75" hidden="1">
      <c r="A3396" s="50" t="str">
        <f>"50100-9415486"</f>
        <v>50100-9415486</v>
      </c>
      <c r="B3396" s="50" t="str">
        <f>"96/08/09"</f>
        <v>96/08/09</v>
      </c>
      <c r="C3396" s="50" t="s">
        <v>8825</v>
      </c>
      <c r="D3396" s="50" t="s">
        <v>8617</v>
      </c>
      <c r="E3396" s="12" t="s">
        <v>4971</v>
      </c>
      <c r="F3396" s="49">
        <v>1978011</v>
      </c>
      <c r="G3396" s="77" t="s">
        <v>5779</v>
      </c>
      <c r="H3396" s="14" t="s">
        <v>5601</v>
      </c>
      <c r="I3396" s="14" t="s">
        <v>2458</v>
      </c>
      <c r="J3396" s="33" t="e">
        <f>VLOOKUP(C3396,شرکتها!A:B,2,FALSE)</f>
        <v>#N/A</v>
      </c>
      <c r="K3396" s="33" t="s">
        <v>9759</v>
      </c>
      <c r="L3396" s="53" t="str">
        <f>"ليبريا"</f>
        <v>ليبريا</v>
      </c>
      <c r="M3396" s="68" t="str">
        <f t="shared" si="33"/>
        <v>بشكه</v>
      </c>
      <c r="N3396" s="53" t="str">
        <f t="shared" si="32"/>
        <v>منطقه ويژه اقتصادي شهيد رجايي</v>
      </c>
      <c r="O3396" s="53">
        <v>50100</v>
      </c>
      <c r="P3396" s="198" t="s">
        <v>8081</v>
      </c>
    </row>
    <row r="3397" spans="1:16" ht="18.75" hidden="1">
      <c r="A3397" s="50" t="str">
        <f>"50100-9419541"</f>
        <v>50100-9419541</v>
      </c>
      <c r="B3397" s="50" t="str">
        <f>"96/08/10"</f>
        <v>96/08/10</v>
      </c>
      <c r="C3397" s="50" t="s">
        <v>9717</v>
      </c>
      <c r="D3397" s="50" t="s">
        <v>6312</v>
      </c>
      <c r="E3397" s="12" t="s">
        <v>4971</v>
      </c>
      <c r="F3397" s="49">
        <v>600000</v>
      </c>
      <c r="G3397" s="77" t="s">
        <v>5631</v>
      </c>
      <c r="H3397" s="14" t="s">
        <v>5601</v>
      </c>
      <c r="I3397" s="14" t="s">
        <v>2458</v>
      </c>
      <c r="J3397" s="33" t="s">
        <v>7110</v>
      </c>
      <c r="K3397" s="33" t="s">
        <v>9759</v>
      </c>
      <c r="L3397" s="53" t="str">
        <f>"کنيا"</f>
        <v>کنيا</v>
      </c>
      <c r="M3397" s="68" t="str">
        <f t="shared" si="33"/>
        <v>بشكه</v>
      </c>
      <c r="N3397" s="53" t="str">
        <f t="shared" si="32"/>
        <v>منطقه ويژه اقتصادي شهيد رجايي</v>
      </c>
      <c r="O3397" s="53">
        <v>50100</v>
      </c>
      <c r="P3397" s="197" t="s">
        <v>7237</v>
      </c>
    </row>
    <row r="3398" spans="1:16" ht="18.75" hidden="1">
      <c r="A3398" s="50" t="str">
        <f>"50100-9419541"</f>
        <v>50100-9419541</v>
      </c>
      <c r="B3398" s="50" t="str">
        <f>"96/08/10"</f>
        <v>96/08/10</v>
      </c>
      <c r="C3398" s="50" t="s">
        <v>9718</v>
      </c>
      <c r="D3398" s="50" t="s">
        <v>6314</v>
      </c>
      <c r="E3398" s="12" t="s">
        <v>4971</v>
      </c>
      <c r="F3398" s="49">
        <v>39396</v>
      </c>
      <c r="G3398" s="77" t="s">
        <v>5631</v>
      </c>
      <c r="H3398" s="14" t="s">
        <v>5601</v>
      </c>
      <c r="I3398" s="14" t="s">
        <v>2458</v>
      </c>
      <c r="J3398" s="33" t="s">
        <v>7110</v>
      </c>
      <c r="K3398" s="33" t="s">
        <v>9759</v>
      </c>
      <c r="L3398" s="53" t="str">
        <f>"کنيا"</f>
        <v>کنيا</v>
      </c>
      <c r="M3398" s="68" t="str">
        <f t="shared" si="33"/>
        <v>بشكه</v>
      </c>
      <c r="N3398" s="53" t="str">
        <f t="shared" si="32"/>
        <v>منطقه ويژه اقتصادي شهيد رجايي</v>
      </c>
      <c r="O3398" s="53">
        <v>50100</v>
      </c>
      <c r="P3398" s="197" t="s">
        <v>7237</v>
      </c>
    </row>
    <row r="3399" spans="1:16" ht="18.75" hidden="1">
      <c r="A3399" s="50" t="str">
        <f>"50100-9403573"</f>
        <v>50100-9403573</v>
      </c>
      <c r="B3399" s="50" t="str">
        <f>"96/08/07"</f>
        <v>96/08/07</v>
      </c>
      <c r="C3399" s="50" t="s">
        <v>9719</v>
      </c>
      <c r="D3399" s="50" t="s">
        <v>9720</v>
      </c>
      <c r="E3399" s="12" t="s">
        <v>4971</v>
      </c>
      <c r="F3399" s="49">
        <v>2926104</v>
      </c>
      <c r="G3399" s="77" t="s">
        <v>5779</v>
      </c>
      <c r="H3399" s="14" t="s">
        <v>5601</v>
      </c>
      <c r="I3399" s="14" t="s">
        <v>2458</v>
      </c>
      <c r="J3399" s="33" t="e">
        <f>VLOOKUP(C3399,شرکتها!A:B,2,FALSE)</f>
        <v>#N/A</v>
      </c>
      <c r="K3399" s="33" t="s">
        <v>9759</v>
      </c>
      <c r="L3399" s="53" t="str">
        <f>"قطر"</f>
        <v>قطر</v>
      </c>
      <c r="M3399" s="68" t="str">
        <f>"فله"</f>
        <v>فله</v>
      </c>
      <c r="N3399" s="53" t="str">
        <f t="shared" si="32"/>
        <v>منطقه ويژه اقتصادي شهيد رجايي</v>
      </c>
      <c r="O3399" s="53">
        <v>50100</v>
      </c>
      <c r="P3399" s="198" t="s">
        <v>9766</v>
      </c>
    </row>
    <row r="3400" spans="1:16" ht="18.75" hidden="1">
      <c r="A3400" s="50" t="str">
        <f>"50100-9381954"</f>
        <v>50100-9381954</v>
      </c>
      <c r="B3400" s="50" t="str">
        <f>"96/08/02"</f>
        <v>96/08/02</v>
      </c>
      <c r="C3400" s="50" t="s">
        <v>8782</v>
      </c>
      <c r="D3400" s="50" t="s">
        <v>8767</v>
      </c>
      <c r="E3400" s="12" t="s">
        <v>4971</v>
      </c>
      <c r="F3400" s="49">
        <v>5680</v>
      </c>
      <c r="G3400" s="77" t="s">
        <v>5607</v>
      </c>
      <c r="H3400" s="14" t="s">
        <v>5601</v>
      </c>
      <c r="I3400" s="14" t="s">
        <v>2458</v>
      </c>
      <c r="J3400" s="33" t="s">
        <v>7110</v>
      </c>
      <c r="K3400" s="33" t="s">
        <v>9759</v>
      </c>
      <c r="L3400" s="53" t="str">
        <f>" ميانمار"</f>
        <v xml:space="preserve"> ميانمار</v>
      </c>
      <c r="M3400" s="68" t="str">
        <f t="shared" ref="M3400:M3435" si="34">"بشكه"</f>
        <v>بشكه</v>
      </c>
      <c r="N3400" s="53" t="str">
        <f t="shared" si="32"/>
        <v>منطقه ويژه اقتصادي شهيد رجايي</v>
      </c>
      <c r="O3400" s="53">
        <v>50100</v>
      </c>
      <c r="P3400" s="198" t="s">
        <v>8497</v>
      </c>
    </row>
    <row r="3401" spans="1:16" ht="18.75" hidden="1">
      <c r="A3401" s="50" t="str">
        <f>"50100-9381954"</f>
        <v>50100-9381954</v>
      </c>
      <c r="B3401" s="50" t="str">
        <f>"96/08/02"</f>
        <v>96/08/02</v>
      </c>
      <c r="C3401" s="50" t="s">
        <v>9709</v>
      </c>
      <c r="D3401" s="50" t="s">
        <v>8621</v>
      </c>
      <c r="E3401" s="12" t="s">
        <v>4971</v>
      </c>
      <c r="F3401" s="49">
        <v>994170</v>
      </c>
      <c r="G3401" s="77" t="s">
        <v>5607</v>
      </c>
      <c r="H3401" s="14" t="s">
        <v>5601</v>
      </c>
      <c r="I3401" s="14" t="s">
        <v>2458</v>
      </c>
      <c r="J3401" s="33" t="s">
        <v>7110</v>
      </c>
      <c r="K3401" s="33" t="s">
        <v>9759</v>
      </c>
      <c r="L3401" s="53" t="str">
        <f>" ميانمار"</f>
        <v xml:space="preserve"> ميانمار</v>
      </c>
      <c r="M3401" s="68" t="str">
        <f t="shared" si="34"/>
        <v>بشكه</v>
      </c>
      <c r="N3401" s="53" t="str">
        <f t="shared" si="32"/>
        <v>منطقه ويژه اقتصادي شهيد رجايي</v>
      </c>
      <c r="O3401" s="53">
        <v>50100</v>
      </c>
      <c r="P3401" s="198" t="s">
        <v>8497</v>
      </c>
    </row>
    <row r="3402" spans="1:16" ht="18.75" hidden="1">
      <c r="A3402" s="50" t="str">
        <f>"50100-9419541"</f>
        <v>50100-9419541</v>
      </c>
      <c r="B3402" s="50" t="str">
        <f>"96/08/10"</f>
        <v>96/08/10</v>
      </c>
      <c r="C3402" s="50" t="s">
        <v>8762</v>
      </c>
      <c r="D3402" s="50" t="s">
        <v>6308</v>
      </c>
      <c r="E3402" s="12" t="s">
        <v>4971</v>
      </c>
      <c r="F3402" s="49">
        <v>206440</v>
      </c>
      <c r="G3402" s="77" t="s">
        <v>5631</v>
      </c>
      <c r="H3402" s="14" t="s">
        <v>5601</v>
      </c>
      <c r="I3402" s="14" t="s">
        <v>2458</v>
      </c>
      <c r="J3402" s="33" t="s">
        <v>7110</v>
      </c>
      <c r="K3402" s="33" t="s">
        <v>9759</v>
      </c>
      <c r="L3402" s="53" t="str">
        <f>"کنيا"</f>
        <v>کنيا</v>
      </c>
      <c r="M3402" s="68" t="str">
        <f t="shared" si="34"/>
        <v>بشكه</v>
      </c>
      <c r="N3402" s="53" t="str">
        <f t="shared" si="32"/>
        <v>منطقه ويژه اقتصادي شهيد رجايي</v>
      </c>
      <c r="O3402" s="53">
        <v>50100</v>
      </c>
      <c r="P3402" s="197" t="s">
        <v>5836</v>
      </c>
    </row>
    <row r="3403" spans="1:16" ht="18.75" hidden="1">
      <c r="A3403" s="50" t="str">
        <f>"50100-9407390"</f>
        <v>50100-9407390</v>
      </c>
      <c r="B3403" s="50" t="str">
        <f>"96/08/07"</f>
        <v>96/08/07</v>
      </c>
      <c r="C3403" s="50" t="s">
        <v>8500</v>
      </c>
      <c r="D3403" s="50" t="s">
        <v>8620</v>
      </c>
      <c r="E3403" s="12" t="s">
        <v>4971</v>
      </c>
      <c r="F3403" s="49">
        <v>100000</v>
      </c>
      <c r="G3403" s="77" t="s">
        <v>5631</v>
      </c>
      <c r="H3403" s="14" t="s">
        <v>5601</v>
      </c>
      <c r="I3403" s="14" t="s">
        <v>2458</v>
      </c>
      <c r="J3403" s="33" t="s">
        <v>7110</v>
      </c>
      <c r="K3403" s="33" t="s">
        <v>9759</v>
      </c>
      <c r="L3403" s="53" t="str">
        <f>"تانزانيا"</f>
        <v>تانزانيا</v>
      </c>
      <c r="M3403" s="68" t="str">
        <f t="shared" si="34"/>
        <v>بشكه</v>
      </c>
      <c r="N3403" s="53" t="str">
        <f t="shared" si="32"/>
        <v>منطقه ويژه اقتصادي شهيد رجايي</v>
      </c>
      <c r="O3403" s="53">
        <v>50100</v>
      </c>
      <c r="P3403" s="197" t="s">
        <v>5836</v>
      </c>
    </row>
    <row r="3404" spans="1:16" ht="18.75" hidden="1">
      <c r="A3404" s="50" t="str">
        <f>"50100-9435867"</f>
        <v>50100-9435867</v>
      </c>
      <c r="B3404" s="50" t="str">
        <f>"96/08/14"</f>
        <v>96/08/14</v>
      </c>
      <c r="C3404" s="50" t="s">
        <v>8820</v>
      </c>
      <c r="D3404" s="50" t="s">
        <v>6330</v>
      </c>
      <c r="E3404" s="12" t="s">
        <v>4971</v>
      </c>
      <c r="F3404" s="49">
        <v>106571</v>
      </c>
      <c r="G3404" s="77" t="s">
        <v>5855</v>
      </c>
      <c r="H3404" s="14" t="s">
        <v>5601</v>
      </c>
      <c r="I3404" s="14" t="s">
        <v>2458</v>
      </c>
      <c r="J3404" s="33" t="s">
        <v>7110</v>
      </c>
      <c r="K3404" s="33" t="s">
        <v>9759</v>
      </c>
      <c r="L3404" s="53" t="str">
        <f>"فيليپين"</f>
        <v>فيليپين</v>
      </c>
      <c r="M3404" s="68" t="str">
        <f t="shared" si="34"/>
        <v>بشكه</v>
      </c>
      <c r="N3404" s="53" t="str">
        <f t="shared" si="32"/>
        <v>منطقه ويژه اقتصادي شهيد رجايي</v>
      </c>
      <c r="O3404" s="53">
        <v>50100</v>
      </c>
      <c r="P3404" s="198" t="s">
        <v>5856</v>
      </c>
    </row>
    <row r="3405" spans="1:16" ht="18.75" hidden="1">
      <c r="A3405" s="50" t="str">
        <f>"50100-9383308"</f>
        <v>50100-9383308</v>
      </c>
      <c r="B3405" s="50" t="str">
        <f>"96/08/02"</f>
        <v>96/08/02</v>
      </c>
      <c r="C3405" s="50" t="s">
        <v>9721</v>
      </c>
      <c r="D3405" s="50" t="s">
        <v>8793</v>
      </c>
      <c r="E3405" s="12" t="s">
        <v>4971</v>
      </c>
      <c r="F3405" s="49">
        <v>835469</v>
      </c>
      <c r="G3405" s="77" t="s">
        <v>5779</v>
      </c>
      <c r="H3405" s="14" t="s">
        <v>5601</v>
      </c>
      <c r="I3405" s="14" t="s">
        <v>2458</v>
      </c>
      <c r="J3405" s="33" t="e">
        <f>VLOOKUP(C3405,شرکتها!A:B,2,FALSE)</f>
        <v>#N/A</v>
      </c>
      <c r="K3405" s="33" t="s">
        <v>9759</v>
      </c>
      <c r="L3405" s="53" t="str">
        <f>"کنيا"</f>
        <v>کنيا</v>
      </c>
      <c r="M3405" s="68" t="str">
        <f t="shared" si="34"/>
        <v>بشكه</v>
      </c>
      <c r="N3405" s="53" t="str">
        <f t="shared" si="32"/>
        <v>منطقه ويژه اقتصادي شهيد رجايي</v>
      </c>
      <c r="O3405" s="53">
        <v>50100</v>
      </c>
      <c r="P3405" s="198" t="s">
        <v>7211</v>
      </c>
    </row>
    <row r="3406" spans="1:16" ht="18.75" hidden="1">
      <c r="A3406" s="50" t="str">
        <f>"50100-9435867"</f>
        <v>50100-9435867</v>
      </c>
      <c r="B3406" s="50" t="str">
        <f>"96/08/14"</f>
        <v>96/08/14</v>
      </c>
      <c r="C3406" s="50" t="s">
        <v>9722</v>
      </c>
      <c r="D3406" s="50" t="s">
        <v>9723</v>
      </c>
      <c r="E3406" s="12" t="s">
        <v>4971</v>
      </c>
      <c r="F3406" s="49">
        <v>195379</v>
      </c>
      <c r="G3406" s="77" t="s">
        <v>5609</v>
      </c>
      <c r="H3406" s="14" t="s">
        <v>5601</v>
      </c>
      <c r="I3406" s="14" t="s">
        <v>2458</v>
      </c>
      <c r="J3406" s="33" t="s">
        <v>7110</v>
      </c>
      <c r="K3406" s="33" t="s">
        <v>9759</v>
      </c>
      <c r="L3406" s="53" t="str">
        <f>"فيليپين"</f>
        <v>فيليپين</v>
      </c>
      <c r="M3406" s="68" t="str">
        <f t="shared" si="34"/>
        <v>بشكه</v>
      </c>
      <c r="N3406" s="53" t="str">
        <f t="shared" si="32"/>
        <v>منطقه ويژه اقتصادي شهيد رجايي</v>
      </c>
      <c r="O3406" s="53">
        <v>50100</v>
      </c>
      <c r="P3406" s="198" t="s">
        <v>8726</v>
      </c>
    </row>
    <row r="3407" spans="1:16" ht="18.75" hidden="1">
      <c r="A3407" s="50" t="str">
        <f>"50100-9441783"</f>
        <v>50100-9441783</v>
      </c>
      <c r="B3407" s="50" t="str">
        <f>"96/08/15"</f>
        <v>96/08/15</v>
      </c>
      <c r="C3407" s="50" t="s">
        <v>5862</v>
      </c>
      <c r="D3407" s="50" t="s">
        <v>4972</v>
      </c>
      <c r="E3407" s="12" t="s">
        <v>4971</v>
      </c>
      <c r="F3407" s="49">
        <v>6787</v>
      </c>
      <c r="G3407" s="77" t="s">
        <v>5631</v>
      </c>
      <c r="H3407" s="14" t="s">
        <v>5601</v>
      </c>
      <c r="I3407" s="14" t="s">
        <v>2458</v>
      </c>
      <c r="J3407" s="33" t="s">
        <v>7110</v>
      </c>
      <c r="K3407" s="33" t="s">
        <v>9759</v>
      </c>
      <c r="L3407" s="53" t="str">
        <f>"بنگلادش"</f>
        <v>بنگلادش</v>
      </c>
      <c r="M3407" s="68" t="str">
        <f t="shared" si="34"/>
        <v>بشكه</v>
      </c>
      <c r="N3407" s="53" t="str">
        <f t="shared" si="32"/>
        <v>منطقه ويژه اقتصادي شهيد رجايي</v>
      </c>
      <c r="O3407" s="53">
        <v>50100</v>
      </c>
      <c r="P3407" s="197" t="s">
        <v>5789</v>
      </c>
    </row>
    <row r="3408" spans="1:16" ht="18.75" hidden="1">
      <c r="A3408" s="50" t="str">
        <f>"50100-9441783"</f>
        <v>50100-9441783</v>
      </c>
      <c r="B3408" s="50" t="str">
        <f>"96/08/15"</f>
        <v>96/08/15</v>
      </c>
      <c r="C3408" s="50" t="s">
        <v>6350</v>
      </c>
      <c r="D3408" s="50" t="s">
        <v>6328</v>
      </c>
      <c r="E3408" s="12" t="s">
        <v>4971</v>
      </c>
      <c r="F3408" s="49">
        <v>58612</v>
      </c>
      <c r="G3408" s="77" t="s">
        <v>5631</v>
      </c>
      <c r="H3408" s="14" t="s">
        <v>5601</v>
      </c>
      <c r="I3408" s="14" t="s">
        <v>2458</v>
      </c>
      <c r="J3408" s="33" t="s">
        <v>7110</v>
      </c>
      <c r="K3408" s="33" t="s">
        <v>9759</v>
      </c>
      <c r="L3408" s="53" t="str">
        <f>"بنگلادش"</f>
        <v>بنگلادش</v>
      </c>
      <c r="M3408" s="68" t="str">
        <f t="shared" si="34"/>
        <v>بشكه</v>
      </c>
      <c r="N3408" s="53" t="str">
        <f t="shared" si="32"/>
        <v>منطقه ويژه اقتصادي شهيد رجايي</v>
      </c>
      <c r="O3408" s="53">
        <v>50100</v>
      </c>
      <c r="P3408" s="197" t="s">
        <v>7237</v>
      </c>
    </row>
    <row r="3409" spans="1:16" ht="18.75" hidden="1">
      <c r="A3409" s="50" t="str">
        <f>"50100-9441783"</f>
        <v>50100-9441783</v>
      </c>
      <c r="B3409" s="50" t="str">
        <f>"96/08/15"</f>
        <v>96/08/15</v>
      </c>
      <c r="C3409" s="50" t="s">
        <v>9724</v>
      </c>
      <c r="D3409" s="50" t="s">
        <v>6457</v>
      </c>
      <c r="E3409" s="12" t="s">
        <v>4971</v>
      </c>
      <c r="F3409" s="49">
        <v>434601</v>
      </c>
      <c r="G3409" s="77" t="s">
        <v>5631</v>
      </c>
      <c r="H3409" s="14" t="s">
        <v>5601</v>
      </c>
      <c r="I3409" s="14" t="s">
        <v>2458</v>
      </c>
      <c r="J3409" s="33" t="s">
        <v>7110</v>
      </c>
      <c r="K3409" s="33" t="s">
        <v>9759</v>
      </c>
      <c r="L3409" s="53" t="str">
        <f>"بنگلادش"</f>
        <v>بنگلادش</v>
      </c>
      <c r="M3409" s="68" t="str">
        <f t="shared" si="34"/>
        <v>بشكه</v>
      </c>
      <c r="N3409" s="53" t="str">
        <f t="shared" si="32"/>
        <v>منطقه ويژه اقتصادي شهيد رجايي</v>
      </c>
      <c r="O3409" s="53">
        <v>50100</v>
      </c>
      <c r="P3409" s="197" t="s">
        <v>5842</v>
      </c>
    </row>
    <row r="3410" spans="1:16" ht="18.75" hidden="1">
      <c r="A3410" s="50" t="str">
        <f>"50100-9391865"</f>
        <v>50100-9391865</v>
      </c>
      <c r="B3410" s="50" t="str">
        <f>"96/08/04"</f>
        <v>96/08/04</v>
      </c>
      <c r="C3410" s="50" t="s">
        <v>9725</v>
      </c>
      <c r="D3410" s="50" t="s">
        <v>6337</v>
      </c>
      <c r="E3410" s="12" t="s">
        <v>4971</v>
      </c>
      <c r="F3410" s="49">
        <v>361858</v>
      </c>
      <c r="G3410" s="77" t="s">
        <v>5607</v>
      </c>
      <c r="H3410" s="14" t="s">
        <v>5601</v>
      </c>
      <c r="I3410" s="14" t="s">
        <v>2458</v>
      </c>
      <c r="J3410" s="33" t="s">
        <v>7110</v>
      </c>
      <c r="K3410" s="33" t="s">
        <v>9759</v>
      </c>
      <c r="L3410" s="53" t="str">
        <f>"هند"</f>
        <v>هند</v>
      </c>
      <c r="M3410" s="68" t="str">
        <f t="shared" si="34"/>
        <v>بشكه</v>
      </c>
      <c r="N3410" s="53" t="str">
        <f t="shared" si="32"/>
        <v>منطقه ويژه اقتصادي شهيد رجايي</v>
      </c>
      <c r="O3410" s="53">
        <v>50100</v>
      </c>
      <c r="P3410" s="198" t="s">
        <v>7233</v>
      </c>
    </row>
    <row r="3411" spans="1:16" ht="18.75" hidden="1">
      <c r="A3411" s="50" t="str">
        <f>"50100-9441783"</f>
        <v>50100-9441783</v>
      </c>
      <c r="B3411" s="50" t="str">
        <f>"96/08/15"</f>
        <v>96/08/15</v>
      </c>
      <c r="C3411" s="50" t="s">
        <v>9726</v>
      </c>
      <c r="D3411" s="50" t="s">
        <v>6457</v>
      </c>
      <c r="E3411" s="12" t="s">
        <v>4971</v>
      </c>
      <c r="F3411" s="49">
        <v>500000</v>
      </c>
      <c r="G3411" s="77" t="s">
        <v>5631</v>
      </c>
      <c r="H3411" s="14" t="s">
        <v>5601</v>
      </c>
      <c r="I3411" s="14" t="s">
        <v>2458</v>
      </c>
      <c r="J3411" s="33" t="s">
        <v>7110</v>
      </c>
      <c r="K3411" s="33" t="s">
        <v>9759</v>
      </c>
      <c r="L3411" s="53" t="str">
        <f>"بنگلادش"</f>
        <v>بنگلادش</v>
      </c>
      <c r="M3411" s="68" t="str">
        <f t="shared" si="34"/>
        <v>بشكه</v>
      </c>
      <c r="N3411" s="53" t="str">
        <f t="shared" si="32"/>
        <v>منطقه ويژه اقتصادي شهيد رجايي</v>
      </c>
      <c r="O3411" s="53">
        <v>50100</v>
      </c>
      <c r="P3411" s="197" t="s">
        <v>5842</v>
      </c>
    </row>
    <row r="3412" spans="1:16" ht="18.75" hidden="1">
      <c r="A3412" s="50" t="str">
        <f>"50100-9382217"</f>
        <v>50100-9382217</v>
      </c>
      <c r="B3412" s="50" t="str">
        <f>"96/08/02"</f>
        <v>96/08/02</v>
      </c>
      <c r="C3412" s="50" t="s">
        <v>8816</v>
      </c>
      <c r="D3412" s="50" t="s">
        <v>8788</v>
      </c>
      <c r="E3412" s="12" t="s">
        <v>4971</v>
      </c>
      <c r="F3412" s="49">
        <v>492688</v>
      </c>
      <c r="G3412" s="77" t="s">
        <v>5631</v>
      </c>
      <c r="H3412" s="14" t="s">
        <v>5601</v>
      </c>
      <c r="I3412" s="14" t="s">
        <v>2458</v>
      </c>
      <c r="J3412" s="33" t="s">
        <v>7110</v>
      </c>
      <c r="K3412" s="33" t="s">
        <v>9759</v>
      </c>
      <c r="L3412" s="53" t="str">
        <f t="shared" ref="L3412:L3431" si="35">"هند"</f>
        <v>هند</v>
      </c>
      <c r="M3412" s="68" t="str">
        <f t="shared" si="34"/>
        <v>بشكه</v>
      </c>
      <c r="N3412" s="53" t="str">
        <f t="shared" si="32"/>
        <v>منطقه ويژه اقتصادي شهيد رجايي</v>
      </c>
      <c r="O3412" s="53">
        <v>50100</v>
      </c>
      <c r="P3412" s="197" t="s">
        <v>8080</v>
      </c>
    </row>
    <row r="3413" spans="1:16" ht="18.75" hidden="1">
      <c r="A3413" s="50" t="str">
        <f>"50100-9440910"</f>
        <v>50100-9440910</v>
      </c>
      <c r="B3413" s="50" t="str">
        <f>"96/08/15"</f>
        <v>96/08/15</v>
      </c>
      <c r="C3413" s="50" t="s">
        <v>9727</v>
      </c>
      <c r="D3413" s="50" t="s">
        <v>8911</v>
      </c>
      <c r="E3413" s="12" t="s">
        <v>4971</v>
      </c>
      <c r="F3413" s="49">
        <v>490219</v>
      </c>
      <c r="G3413" s="77" t="s">
        <v>5754</v>
      </c>
      <c r="H3413" s="14" t="s">
        <v>5601</v>
      </c>
      <c r="I3413" s="14" t="s">
        <v>2458</v>
      </c>
      <c r="J3413" s="33" t="s">
        <v>7110</v>
      </c>
      <c r="K3413" s="33" t="s">
        <v>9759</v>
      </c>
      <c r="L3413" s="53" t="str">
        <f t="shared" si="35"/>
        <v>هند</v>
      </c>
      <c r="M3413" s="68" t="str">
        <f t="shared" si="34"/>
        <v>بشكه</v>
      </c>
      <c r="N3413" s="53" t="str">
        <f t="shared" si="32"/>
        <v>منطقه ويژه اقتصادي شهيد رجايي</v>
      </c>
      <c r="O3413" s="53">
        <v>50100</v>
      </c>
      <c r="P3413" s="198" t="s">
        <v>5858</v>
      </c>
    </row>
    <row r="3414" spans="1:16" ht="18.75" hidden="1">
      <c r="A3414" s="50" t="str">
        <f>"50100-9415920"</f>
        <v>50100-9415920</v>
      </c>
      <c r="B3414" s="50" t="str">
        <f>"96/08/09"</f>
        <v>96/08/09</v>
      </c>
      <c r="C3414" s="50" t="s">
        <v>9728</v>
      </c>
      <c r="D3414" s="50" t="s">
        <v>8830</v>
      </c>
      <c r="E3414" s="12" t="s">
        <v>4971</v>
      </c>
      <c r="F3414" s="49">
        <v>490503</v>
      </c>
      <c r="G3414" s="77" t="s">
        <v>5631</v>
      </c>
      <c r="H3414" s="14" t="s">
        <v>5601</v>
      </c>
      <c r="I3414" s="14" t="s">
        <v>2458</v>
      </c>
      <c r="J3414" s="33" t="s">
        <v>7110</v>
      </c>
      <c r="K3414" s="33" t="s">
        <v>9759</v>
      </c>
      <c r="L3414" s="53" t="str">
        <f t="shared" si="35"/>
        <v>هند</v>
      </c>
      <c r="M3414" s="68" t="str">
        <f t="shared" si="34"/>
        <v>بشكه</v>
      </c>
      <c r="N3414" s="53" t="str">
        <f t="shared" si="32"/>
        <v>منطقه ويژه اقتصادي شهيد رجايي</v>
      </c>
      <c r="O3414" s="53">
        <v>50100</v>
      </c>
      <c r="P3414" s="197" t="s">
        <v>8080</v>
      </c>
    </row>
    <row r="3415" spans="1:16" ht="18.75" hidden="1">
      <c r="A3415" s="50" t="str">
        <f>"50100-9414375"</f>
        <v>50100-9414375</v>
      </c>
      <c r="B3415" s="50" t="str">
        <f>"96/08/09"</f>
        <v>96/08/09</v>
      </c>
      <c r="C3415" s="50" t="s">
        <v>9729</v>
      </c>
      <c r="D3415" s="50" t="s">
        <v>8824</v>
      </c>
      <c r="E3415" s="12" t="s">
        <v>4971</v>
      </c>
      <c r="F3415" s="49">
        <v>489500</v>
      </c>
      <c r="G3415" s="77" t="s">
        <v>5616</v>
      </c>
      <c r="H3415" s="14" t="s">
        <v>5601</v>
      </c>
      <c r="I3415" s="14" t="s">
        <v>2458</v>
      </c>
      <c r="J3415" s="33" t="s">
        <v>7110</v>
      </c>
      <c r="K3415" s="33" t="s">
        <v>9759</v>
      </c>
      <c r="L3415" s="53" t="str">
        <f t="shared" si="35"/>
        <v>هند</v>
      </c>
      <c r="M3415" s="68" t="str">
        <f t="shared" si="34"/>
        <v>بشكه</v>
      </c>
      <c r="N3415" s="53" t="str">
        <f t="shared" si="32"/>
        <v>منطقه ويژه اقتصادي شهيد رجايي</v>
      </c>
      <c r="O3415" s="53">
        <v>50100</v>
      </c>
      <c r="P3415" s="198" t="s">
        <v>8717</v>
      </c>
    </row>
    <row r="3416" spans="1:16" ht="18.75" hidden="1">
      <c r="A3416" s="50" t="str">
        <f>"50100-9414758"</f>
        <v>50100-9414758</v>
      </c>
      <c r="B3416" s="50" t="str">
        <f>"96/08/09"</f>
        <v>96/08/09</v>
      </c>
      <c r="C3416" s="50" t="s">
        <v>9729</v>
      </c>
      <c r="D3416" s="50" t="s">
        <v>8824</v>
      </c>
      <c r="E3416" s="12" t="s">
        <v>4971</v>
      </c>
      <c r="F3416" s="49">
        <v>7835</v>
      </c>
      <c r="G3416" s="77" t="s">
        <v>5616</v>
      </c>
      <c r="H3416" s="14" t="s">
        <v>5601</v>
      </c>
      <c r="I3416" s="14" t="s">
        <v>2458</v>
      </c>
      <c r="J3416" s="33" t="s">
        <v>7110</v>
      </c>
      <c r="K3416" s="33" t="s">
        <v>9759</v>
      </c>
      <c r="L3416" s="53" t="str">
        <f t="shared" si="35"/>
        <v>هند</v>
      </c>
      <c r="M3416" s="68" t="str">
        <f t="shared" si="34"/>
        <v>بشكه</v>
      </c>
      <c r="N3416" s="53" t="str">
        <f t="shared" si="32"/>
        <v>منطقه ويژه اقتصادي شهيد رجايي</v>
      </c>
      <c r="O3416" s="53">
        <v>50100</v>
      </c>
      <c r="P3416" s="198" t="s">
        <v>8717</v>
      </c>
    </row>
    <row r="3417" spans="1:16" ht="18.75" hidden="1">
      <c r="A3417" s="50" t="str">
        <f>"50100-9414758"</f>
        <v>50100-9414758</v>
      </c>
      <c r="B3417" s="50" t="str">
        <f>"96/08/09"</f>
        <v>96/08/09</v>
      </c>
      <c r="C3417" s="50" t="s">
        <v>9730</v>
      </c>
      <c r="D3417" s="50" t="s">
        <v>8824</v>
      </c>
      <c r="E3417" s="12" t="s">
        <v>4971</v>
      </c>
      <c r="F3417" s="49">
        <v>481665</v>
      </c>
      <c r="G3417" s="77" t="s">
        <v>5616</v>
      </c>
      <c r="H3417" s="14" t="s">
        <v>5601</v>
      </c>
      <c r="I3417" s="14" t="s">
        <v>2458</v>
      </c>
      <c r="J3417" s="33" t="s">
        <v>7110</v>
      </c>
      <c r="K3417" s="33" t="s">
        <v>9759</v>
      </c>
      <c r="L3417" s="53" t="str">
        <f t="shared" si="35"/>
        <v>هند</v>
      </c>
      <c r="M3417" s="68" t="str">
        <f t="shared" si="34"/>
        <v>بشكه</v>
      </c>
      <c r="N3417" s="53" t="str">
        <f t="shared" si="32"/>
        <v>منطقه ويژه اقتصادي شهيد رجايي</v>
      </c>
      <c r="O3417" s="53">
        <v>50100</v>
      </c>
      <c r="P3417" s="198" t="s">
        <v>8717</v>
      </c>
    </row>
    <row r="3418" spans="1:16" ht="18.75" hidden="1">
      <c r="A3418" s="50" t="str">
        <f t="shared" ref="A3418:A3419" si="36">"50100-9397068"</f>
        <v>50100-9397068</v>
      </c>
      <c r="B3418" s="50" t="str">
        <f t="shared" ref="B3418:B3419" si="37">"96/08/06"</f>
        <v>96/08/06</v>
      </c>
      <c r="C3418" s="50" t="s">
        <v>8816</v>
      </c>
      <c r="D3418" s="50" t="s">
        <v>8788</v>
      </c>
      <c r="E3418" s="12" t="s">
        <v>4971</v>
      </c>
      <c r="F3418" s="49">
        <v>356911</v>
      </c>
      <c r="G3418" s="77" t="s">
        <v>5631</v>
      </c>
      <c r="H3418" s="14" t="s">
        <v>5601</v>
      </c>
      <c r="I3418" s="14" t="s">
        <v>2458</v>
      </c>
      <c r="J3418" s="33" t="s">
        <v>7110</v>
      </c>
      <c r="K3418" s="33" t="s">
        <v>9759</v>
      </c>
      <c r="L3418" s="53" t="str">
        <f t="shared" si="35"/>
        <v>هند</v>
      </c>
      <c r="M3418" s="68" t="str">
        <f t="shared" si="34"/>
        <v>بشكه</v>
      </c>
      <c r="N3418" s="53" t="str">
        <f t="shared" si="32"/>
        <v>منطقه ويژه اقتصادي شهيد رجايي</v>
      </c>
      <c r="O3418" s="53">
        <v>50100</v>
      </c>
      <c r="P3418" s="197" t="s">
        <v>8080</v>
      </c>
    </row>
    <row r="3419" spans="1:16" ht="18.75" hidden="1">
      <c r="A3419" s="50" t="str">
        <f t="shared" si="36"/>
        <v>50100-9397068</v>
      </c>
      <c r="B3419" s="50" t="str">
        <f t="shared" si="37"/>
        <v>96/08/06</v>
      </c>
      <c r="C3419" s="50" t="s">
        <v>9728</v>
      </c>
      <c r="D3419" s="50" t="s">
        <v>8830</v>
      </c>
      <c r="E3419" s="12" t="s">
        <v>4971</v>
      </c>
      <c r="F3419" s="49">
        <v>433783</v>
      </c>
      <c r="G3419" s="77" t="s">
        <v>5631</v>
      </c>
      <c r="H3419" s="14" t="s">
        <v>5601</v>
      </c>
      <c r="I3419" s="14" t="s">
        <v>2458</v>
      </c>
      <c r="J3419" s="33" t="s">
        <v>7110</v>
      </c>
      <c r="K3419" s="33" t="s">
        <v>9759</v>
      </c>
      <c r="L3419" s="53" t="str">
        <f t="shared" si="35"/>
        <v>هند</v>
      </c>
      <c r="M3419" s="68" t="str">
        <f t="shared" si="34"/>
        <v>بشكه</v>
      </c>
      <c r="N3419" s="53" t="str">
        <f t="shared" si="32"/>
        <v>منطقه ويژه اقتصادي شهيد رجايي</v>
      </c>
      <c r="O3419" s="53">
        <v>50100</v>
      </c>
      <c r="P3419" s="197" t="s">
        <v>8080</v>
      </c>
    </row>
    <row r="3420" spans="1:16" ht="18.75" hidden="1">
      <c r="A3420" s="50" t="str">
        <f>"50100-9397068"</f>
        <v>50100-9397068</v>
      </c>
      <c r="B3420" s="50" t="str">
        <f>"96/08/06"</f>
        <v>96/08/06</v>
      </c>
      <c r="C3420" s="50" t="s">
        <v>9731</v>
      </c>
      <c r="D3420" s="50" t="s">
        <v>8788</v>
      </c>
      <c r="E3420" s="12" t="s">
        <v>4971</v>
      </c>
      <c r="F3420" s="49">
        <v>194906</v>
      </c>
      <c r="G3420" s="77" t="s">
        <v>5631</v>
      </c>
      <c r="H3420" s="14" t="s">
        <v>5601</v>
      </c>
      <c r="I3420" s="14" t="s">
        <v>2458</v>
      </c>
      <c r="J3420" s="33" t="s">
        <v>7110</v>
      </c>
      <c r="K3420" s="33" t="s">
        <v>9759</v>
      </c>
      <c r="L3420" s="53" t="str">
        <f t="shared" si="35"/>
        <v>هند</v>
      </c>
      <c r="M3420" s="68" t="str">
        <f t="shared" si="34"/>
        <v>بشكه</v>
      </c>
      <c r="N3420" s="53" t="str">
        <f t="shared" si="32"/>
        <v>منطقه ويژه اقتصادي شهيد رجايي</v>
      </c>
      <c r="O3420" s="53">
        <v>50100</v>
      </c>
      <c r="P3420" s="197" t="s">
        <v>8080</v>
      </c>
    </row>
    <row r="3421" spans="1:16" ht="18.75" hidden="1">
      <c r="A3421" s="50" t="str">
        <f>"50100-9429468"</f>
        <v>50100-9429468</v>
      </c>
      <c r="B3421" s="50" t="str">
        <f>"96/08/13"</f>
        <v>96/08/13</v>
      </c>
      <c r="C3421" s="50" t="s">
        <v>9732</v>
      </c>
      <c r="D3421" s="50" t="s">
        <v>6075</v>
      </c>
      <c r="E3421" s="12" t="s">
        <v>4971</v>
      </c>
      <c r="F3421" s="49">
        <v>110000</v>
      </c>
      <c r="G3421" s="77" t="s">
        <v>5611</v>
      </c>
      <c r="H3421" s="14" t="s">
        <v>5601</v>
      </c>
      <c r="I3421" s="14" t="s">
        <v>2458</v>
      </c>
      <c r="J3421" s="33" t="s">
        <v>7110</v>
      </c>
      <c r="K3421" s="33" t="s">
        <v>9759</v>
      </c>
      <c r="L3421" s="53" t="str">
        <f t="shared" si="35"/>
        <v>هند</v>
      </c>
      <c r="M3421" s="68" t="str">
        <f t="shared" si="34"/>
        <v>بشكه</v>
      </c>
      <c r="N3421" s="53" t="str">
        <f t="shared" si="32"/>
        <v>منطقه ويژه اقتصادي شهيد رجايي</v>
      </c>
      <c r="O3421" s="53">
        <v>50100</v>
      </c>
      <c r="P3421" s="198" t="s">
        <v>5831</v>
      </c>
    </row>
    <row r="3422" spans="1:16" ht="18.75" hidden="1">
      <c r="A3422" s="50" t="str">
        <f>"50100-9420973"</f>
        <v>50100-9420973</v>
      </c>
      <c r="B3422" s="50" t="str">
        <f>"96/08/10"</f>
        <v>96/08/10</v>
      </c>
      <c r="C3422" s="50" t="s">
        <v>9733</v>
      </c>
      <c r="D3422" s="50" t="s">
        <v>6243</v>
      </c>
      <c r="E3422" s="12" t="s">
        <v>4971</v>
      </c>
      <c r="F3422" s="49">
        <v>329957</v>
      </c>
      <c r="G3422" s="77" t="s">
        <v>5611</v>
      </c>
      <c r="H3422" s="14" t="s">
        <v>5601</v>
      </c>
      <c r="I3422" s="14" t="s">
        <v>2458</v>
      </c>
      <c r="J3422" s="33" t="s">
        <v>7110</v>
      </c>
      <c r="K3422" s="33" t="s">
        <v>9759</v>
      </c>
      <c r="L3422" s="53" t="str">
        <f t="shared" si="35"/>
        <v>هند</v>
      </c>
      <c r="M3422" s="68" t="str">
        <f t="shared" si="34"/>
        <v>بشكه</v>
      </c>
      <c r="N3422" s="53" t="str">
        <f t="shared" si="32"/>
        <v>منطقه ويژه اقتصادي شهيد رجايي</v>
      </c>
      <c r="O3422" s="53">
        <v>50100</v>
      </c>
      <c r="P3422" s="198" t="s">
        <v>5831</v>
      </c>
    </row>
    <row r="3423" spans="1:16" ht="18.75" hidden="1">
      <c r="A3423" s="50" t="str">
        <f>"50100-9382444"</f>
        <v>50100-9382444</v>
      </c>
      <c r="B3423" s="50" t="str">
        <f>"96/08/02"</f>
        <v>96/08/02</v>
      </c>
      <c r="C3423" s="50" t="s">
        <v>8816</v>
      </c>
      <c r="D3423" s="50" t="s">
        <v>8788</v>
      </c>
      <c r="E3423" s="12" t="s">
        <v>4971</v>
      </c>
      <c r="F3423" s="49">
        <v>490975</v>
      </c>
      <c r="G3423" s="77" t="s">
        <v>5631</v>
      </c>
      <c r="H3423" s="14" t="s">
        <v>5601</v>
      </c>
      <c r="I3423" s="14" t="s">
        <v>2458</v>
      </c>
      <c r="J3423" s="33" t="s">
        <v>7110</v>
      </c>
      <c r="K3423" s="33" t="s">
        <v>9759</v>
      </c>
      <c r="L3423" s="53" t="str">
        <f t="shared" si="35"/>
        <v>هند</v>
      </c>
      <c r="M3423" s="68" t="str">
        <f t="shared" si="34"/>
        <v>بشكه</v>
      </c>
      <c r="N3423" s="53" t="str">
        <f t="shared" si="32"/>
        <v>منطقه ويژه اقتصادي شهيد رجايي</v>
      </c>
      <c r="O3423" s="53">
        <v>50100</v>
      </c>
      <c r="P3423" s="197" t="s">
        <v>8080</v>
      </c>
    </row>
    <row r="3424" spans="1:16" ht="18.75" hidden="1">
      <c r="A3424" s="50" t="str">
        <f>"50100-9420973"</f>
        <v>50100-9420973</v>
      </c>
      <c r="B3424" s="50" t="str">
        <f>"96/08/10"</f>
        <v>96/08/10</v>
      </c>
      <c r="C3424" s="50" t="s">
        <v>6011</v>
      </c>
      <c r="D3424" s="50" t="s">
        <v>5843</v>
      </c>
      <c r="E3424" s="12" t="s">
        <v>4971</v>
      </c>
      <c r="F3424" s="49">
        <v>90000</v>
      </c>
      <c r="G3424" s="77" t="s">
        <v>5611</v>
      </c>
      <c r="H3424" s="14" t="s">
        <v>5601</v>
      </c>
      <c r="I3424" s="14" t="s">
        <v>2458</v>
      </c>
      <c r="J3424" s="33" t="s">
        <v>7110</v>
      </c>
      <c r="K3424" s="33" t="s">
        <v>9759</v>
      </c>
      <c r="L3424" s="53" t="str">
        <f t="shared" si="35"/>
        <v>هند</v>
      </c>
      <c r="M3424" s="68" t="str">
        <f t="shared" si="34"/>
        <v>بشكه</v>
      </c>
      <c r="N3424" s="53" t="str">
        <f t="shared" si="32"/>
        <v>منطقه ويژه اقتصادي شهيد رجايي</v>
      </c>
      <c r="O3424" s="53">
        <v>50100</v>
      </c>
      <c r="P3424" s="198" t="s">
        <v>5826</v>
      </c>
    </row>
    <row r="3425" spans="1:16" ht="18.75" hidden="1">
      <c r="A3425" s="50" t="str">
        <f>"50100-9420973"</f>
        <v>50100-9420973</v>
      </c>
      <c r="B3425" s="50" t="str">
        <f>"96/08/10"</f>
        <v>96/08/10</v>
      </c>
      <c r="C3425" s="50" t="s">
        <v>6020</v>
      </c>
      <c r="D3425" s="50" t="s">
        <v>5600</v>
      </c>
      <c r="E3425" s="12" t="s">
        <v>4971</v>
      </c>
      <c r="F3425" s="49">
        <v>60724</v>
      </c>
      <c r="G3425" s="77" t="s">
        <v>5611</v>
      </c>
      <c r="H3425" s="14" t="s">
        <v>5601</v>
      </c>
      <c r="I3425" s="14" t="s">
        <v>2458</v>
      </c>
      <c r="J3425" s="33" t="s">
        <v>7110</v>
      </c>
      <c r="K3425" s="33" t="s">
        <v>9759</v>
      </c>
      <c r="L3425" s="53" t="str">
        <f t="shared" si="35"/>
        <v>هند</v>
      </c>
      <c r="M3425" s="68" t="str">
        <f t="shared" si="34"/>
        <v>بشكه</v>
      </c>
      <c r="N3425" s="53" t="str">
        <f t="shared" si="32"/>
        <v>منطقه ويژه اقتصادي شهيد رجايي</v>
      </c>
      <c r="O3425" s="53">
        <v>50100</v>
      </c>
      <c r="P3425" s="198" t="s">
        <v>5826</v>
      </c>
    </row>
    <row r="3426" spans="1:16" ht="18.75" hidden="1">
      <c r="A3426" s="50" t="str">
        <f>"50100-9420973"</f>
        <v>50100-9420973</v>
      </c>
      <c r="B3426" s="50" t="str">
        <f>"96/08/10"</f>
        <v>96/08/10</v>
      </c>
      <c r="C3426" s="50" t="s">
        <v>5997</v>
      </c>
      <c r="D3426" s="50" t="s">
        <v>5839</v>
      </c>
      <c r="E3426" s="12" t="s">
        <v>4971</v>
      </c>
      <c r="F3426" s="49">
        <v>15950</v>
      </c>
      <c r="G3426" s="77" t="s">
        <v>5611</v>
      </c>
      <c r="H3426" s="14" t="s">
        <v>5601</v>
      </c>
      <c r="I3426" s="14" t="s">
        <v>2458</v>
      </c>
      <c r="J3426" s="33" t="s">
        <v>7110</v>
      </c>
      <c r="K3426" s="33" t="s">
        <v>9759</v>
      </c>
      <c r="L3426" s="53" t="str">
        <f t="shared" si="35"/>
        <v>هند</v>
      </c>
      <c r="M3426" s="68" t="str">
        <f t="shared" si="34"/>
        <v>بشكه</v>
      </c>
      <c r="N3426" s="53" t="str">
        <f t="shared" si="32"/>
        <v>منطقه ويژه اقتصادي شهيد رجايي</v>
      </c>
      <c r="O3426" s="53">
        <v>50100</v>
      </c>
      <c r="P3426" s="198" t="s">
        <v>5826</v>
      </c>
    </row>
    <row r="3427" spans="1:16" ht="18.75" hidden="1">
      <c r="A3427" s="50" t="str">
        <f>"50100-9429468"</f>
        <v>50100-9429468</v>
      </c>
      <c r="B3427" s="50" t="str">
        <f>"96/08/13"</f>
        <v>96/08/13</v>
      </c>
      <c r="C3427" s="50" t="s">
        <v>9734</v>
      </c>
      <c r="D3427" s="50" t="s">
        <v>6248</v>
      </c>
      <c r="E3427" s="12" t="s">
        <v>4971</v>
      </c>
      <c r="F3427" s="49">
        <v>47000</v>
      </c>
      <c r="G3427" s="77" t="s">
        <v>5611</v>
      </c>
      <c r="H3427" s="14" t="s">
        <v>5601</v>
      </c>
      <c r="I3427" s="14" t="s">
        <v>2458</v>
      </c>
      <c r="J3427" s="33" t="s">
        <v>7110</v>
      </c>
      <c r="K3427" s="33" t="s">
        <v>9759</v>
      </c>
      <c r="L3427" s="53" t="str">
        <f t="shared" si="35"/>
        <v>هند</v>
      </c>
      <c r="M3427" s="68" t="str">
        <f t="shared" si="34"/>
        <v>بشكه</v>
      </c>
      <c r="N3427" s="53" t="str">
        <f t="shared" si="32"/>
        <v>منطقه ويژه اقتصادي شهيد رجايي</v>
      </c>
      <c r="O3427" s="53">
        <v>50100</v>
      </c>
      <c r="P3427" s="198" t="s">
        <v>5831</v>
      </c>
    </row>
    <row r="3428" spans="1:16" ht="18.75" hidden="1">
      <c r="A3428" s="50" t="str">
        <f>"50100-9429468"</f>
        <v>50100-9429468</v>
      </c>
      <c r="B3428" s="50" t="str">
        <f>"96/08/13"</f>
        <v>96/08/13</v>
      </c>
      <c r="C3428" s="50" t="s">
        <v>6000</v>
      </c>
      <c r="D3428" s="50" t="s">
        <v>5840</v>
      </c>
      <c r="E3428" s="12" t="s">
        <v>4971</v>
      </c>
      <c r="F3428" s="49">
        <v>37200</v>
      </c>
      <c r="G3428" s="77" t="s">
        <v>5611</v>
      </c>
      <c r="H3428" s="14" t="s">
        <v>5601</v>
      </c>
      <c r="I3428" s="14" t="s">
        <v>2458</v>
      </c>
      <c r="J3428" s="33" t="s">
        <v>7110</v>
      </c>
      <c r="K3428" s="33" t="s">
        <v>9759</v>
      </c>
      <c r="L3428" s="53" t="str">
        <f t="shared" si="35"/>
        <v>هند</v>
      </c>
      <c r="M3428" s="68" t="str">
        <f t="shared" si="34"/>
        <v>بشكه</v>
      </c>
      <c r="N3428" s="53" t="str">
        <f t="shared" si="32"/>
        <v>منطقه ويژه اقتصادي شهيد رجايي</v>
      </c>
      <c r="O3428" s="53">
        <v>50100</v>
      </c>
      <c r="P3428" s="198" t="s">
        <v>5826</v>
      </c>
    </row>
    <row r="3429" spans="1:16" ht="18.75" hidden="1">
      <c r="A3429" s="50" t="str">
        <f>"50100-9375526"</f>
        <v>50100-9375526</v>
      </c>
      <c r="B3429" s="50" t="str">
        <f>"96/08/01"</f>
        <v>96/08/01</v>
      </c>
      <c r="C3429" s="50" t="s">
        <v>6002</v>
      </c>
      <c r="D3429" s="50" t="s">
        <v>5840</v>
      </c>
      <c r="E3429" s="12" t="s">
        <v>4971</v>
      </c>
      <c r="F3429" s="49">
        <v>200000</v>
      </c>
      <c r="G3429" s="77" t="s">
        <v>5611</v>
      </c>
      <c r="H3429" s="14" t="s">
        <v>5601</v>
      </c>
      <c r="I3429" s="14" t="s">
        <v>2458</v>
      </c>
      <c r="J3429" s="33" t="s">
        <v>7110</v>
      </c>
      <c r="K3429" s="33" t="s">
        <v>9759</v>
      </c>
      <c r="L3429" s="53" t="str">
        <f t="shared" si="35"/>
        <v>هند</v>
      </c>
      <c r="M3429" s="68" t="str">
        <f t="shared" si="34"/>
        <v>بشكه</v>
      </c>
      <c r="N3429" s="53" t="str">
        <f t="shared" si="32"/>
        <v>منطقه ويژه اقتصادي شهيد رجايي</v>
      </c>
      <c r="O3429" s="53">
        <v>50100</v>
      </c>
      <c r="P3429" s="198" t="s">
        <v>5826</v>
      </c>
    </row>
    <row r="3430" spans="1:16" ht="18.75" hidden="1">
      <c r="A3430" s="50" t="str">
        <f>"50100-9375526"</f>
        <v>50100-9375526</v>
      </c>
      <c r="B3430" s="50" t="str">
        <f>"96/08/01"</f>
        <v>96/08/01</v>
      </c>
      <c r="C3430" s="50" t="s">
        <v>6000</v>
      </c>
      <c r="D3430" s="50" t="s">
        <v>5840</v>
      </c>
      <c r="E3430" s="12" t="s">
        <v>4971</v>
      </c>
      <c r="F3430" s="49">
        <v>112800</v>
      </c>
      <c r="G3430" s="77" t="s">
        <v>5611</v>
      </c>
      <c r="H3430" s="14" t="s">
        <v>5601</v>
      </c>
      <c r="I3430" s="14" t="s">
        <v>2458</v>
      </c>
      <c r="J3430" s="33" t="s">
        <v>7110</v>
      </c>
      <c r="K3430" s="33" t="s">
        <v>9759</v>
      </c>
      <c r="L3430" s="53" t="str">
        <f t="shared" si="35"/>
        <v>هند</v>
      </c>
      <c r="M3430" s="68" t="str">
        <f t="shared" si="34"/>
        <v>بشكه</v>
      </c>
      <c r="N3430" s="53" t="str">
        <f t="shared" si="32"/>
        <v>منطقه ويژه اقتصادي شهيد رجايي</v>
      </c>
      <c r="O3430" s="53">
        <v>50100</v>
      </c>
      <c r="P3430" s="198" t="s">
        <v>5826</v>
      </c>
    </row>
    <row r="3431" spans="1:16" ht="18.75" hidden="1">
      <c r="A3431" s="50" t="str">
        <f>"50100-9420973"</f>
        <v>50100-9420973</v>
      </c>
      <c r="B3431" s="50" t="str">
        <f>"96/08/10"</f>
        <v>96/08/10</v>
      </c>
      <c r="C3431" s="50" t="s">
        <v>5987</v>
      </c>
      <c r="D3431" s="50" t="s">
        <v>5496</v>
      </c>
      <c r="E3431" s="12" t="s">
        <v>4971</v>
      </c>
      <c r="F3431" s="49">
        <v>38929</v>
      </c>
      <c r="G3431" s="77" t="s">
        <v>5611</v>
      </c>
      <c r="H3431" s="14" t="s">
        <v>5601</v>
      </c>
      <c r="I3431" s="14" t="s">
        <v>2458</v>
      </c>
      <c r="J3431" s="33" t="s">
        <v>7110</v>
      </c>
      <c r="K3431" s="33" t="s">
        <v>9759</v>
      </c>
      <c r="L3431" s="53" t="str">
        <f t="shared" si="35"/>
        <v>هند</v>
      </c>
      <c r="M3431" s="68" t="str">
        <f t="shared" si="34"/>
        <v>بشكه</v>
      </c>
      <c r="N3431" s="53" t="str">
        <f t="shared" si="32"/>
        <v>منطقه ويژه اقتصادي شهيد رجايي</v>
      </c>
      <c r="O3431" s="53">
        <v>50100</v>
      </c>
      <c r="P3431" s="198" t="s">
        <v>5826</v>
      </c>
    </row>
    <row r="3432" spans="1:16" ht="18.75" hidden="1">
      <c r="A3432" s="50" t="str">
        <f>"50100-9413230"</f>
        <v>50100-9413230</v>
      </c>
      <c r="B3432" s="50" t="str">
        <f>"96/08/09"</f>
        <v>96/08/09</v>
      </c>
      <c r="C3432" s="50" t="s">
        <v>9735</v>
      </c>
      <c r="D3432" s="50" t="s">
        <v>6330</v>
      </c>
      <c r="E3432" s="12" t="s">
        <v>4971</v>
      </c>
      <c r="F3432" s="49">
        <v>500000</v>
      </c>
      <c r="G3432" s="77" t="s">
        <v>5855</v>
      </c>
      <c r="H3432" s="14" t="s">
        <v>5601</v>
      </c>
      <c r="I3432" s="14" t="s">
        <v>2458</v>
      </c>
      <c r="J3432" s="33" t="s">
        <v>7110</v>
      </c>
      <c r="K3432" s="33" t="s">
        <v>9759</v>
      </c>
      <c r="L3432" s="53" t="str">
        <f>"تايوان"</f>
        <v>تايوان</v>
      </c>
      <c r="M3432" s="68" t="str">
        <f t="shared" si="34"/>
        <v>بشكه</v>
      </c>
      <c r="N3432" s="53" t="str">
        <f t="shared" si="32"/>
        <v>منطقه ويژه اقتصادي شهيد رجايي</v>
      </c>
      <c r="O3432" s="53">
        <v>50100</v>
      </c>
      <c r="P3432" s="198" t="s">
        <v>5856</v>
      </c>
    </row>
    <row r="3433" spans="1:16" ht="18.75" hidden="1">
      <c r="A3433" s="50" t="str">
        <f>"50100-9391865"</f>
        <v>50100-9391865</v>
      </c>
      <c r="B3433" s="50" t="str">
        <f>"96/08/04"</f>
        <v>96/08/04</v>
      </c>
      <c r="C3433" s="50" t="s">
        <v>8818</v>
      </c>
      <c r="D3433" s="50" t="s">
        <v>6337</v>
      </c>
      <c r="E3433" s="12" t="s">
        <v>4971</v>
      </c>
      <c r="F3433" s="49">
        <v>135067</v>
      </c>
      <c r="G3433" s="77" t="s">
        <v>5607</v>
      </c>
      <c r="H3433" s="14" t="s">
        <v>5601</v>
      </c>
      <c r="I3433" s="14" t="s">
        <v>2458</v>
      </c>
      <c r="J3433" s="33" t="s">
        <v>7110</v>
      </c>
      <c r="K3433" s="33" t="s">
        <v>9759</v>
      </c>
      <c r="L3433" s="53" t="str">
        <f>"هند"</f>
        <v>هند</v>
      </c>
      <c r="M3433" s="68" t="str">
        <f t="shared" si="34"/>
        <v>بشكه</v>
      </c>
      <c r="N3433" s="53" t="str">
        <f t="shared" si="32"/>
        <v>منطقه ويژه اقتصادي شهيد رجايي</v>
      </c>
      <c r="O3433" s="53">
        <v>50100</v>
      </c>
      <c r="P3433" s="198" t="s">
        <v>7233</v>
      </c>
    </row>
    <row r="3434" spans="1:16" ht="18.75" hidden="1">
      <c r="A3434" s="50" t="str">
        <f>"50100-9429468"</f>
        <v>50100-9429468</v>
      </c>
      <c r="B3434" s="50" t="str">
        <f>"96/08/13"</f>
        <v>96/08/13</v>
      </c>
      <c r="C3434" s="50" t="s">
        <v>9736</v>
      </c>
      <c r="D3434" s="50" t="s">
        <v>6251</v>
      </c>
      <c r="E3434" s="12" t="s">
        <v>4971</v>
      </c>
      <c r="F3434" s="49">
        <v>10500</v>
      </c>
      <c r="G3434" s="77" t="s">
        <v>5611</v>
      </c>
      <c r="H3434" s="14" t="s">
        <v>5601</v>
      </c>
      <c r="I3434" s="14" t="s">
        <v>2458</v>
      </c>
      <c r="J3434" s="33" t="s">
        <v>7110</v>
      </c>
      <c r="K3434" s="33" t="s">
        <v>9759</v>
      </c>
      <c r="L3434" s="53" t="str">
        <f>"هند"</f>
        <v>هند</v>
      </c>
      <c r="M3434" s="68" t="str">
        <f t="shared" si="34"/>
        <v>بشكه</v>
      </c>
      <c r="N3434" s="53" t="str">
        <f t="shared" si="32"/>
        <v>منطقه ويژه اقتصادي شهيد رجايي</v>
      </c>
      <c r="O3434" s="53">
        <v>50100</v>
      </c>
      <c r="P3434" s="198" t="s">
        <v>5831</v>
      </c>
    </row>
    <row r="3435" spans="1:16" ht="18.75" hidden="1">
      <c r="A3435" s="50" t="str">
        <f>"50100-9375526"</f>
        <v>50100-9375526</v>
      </c>
      <c r="B3435" s="50" t="str">
        <f>"96/08/01"</f>
        <v>96/08/01</v>
      </c>
      <c r="C3435" s="50" t="s">
        <v>5995</v>
      </c>
      <c r="D3435" s="50" t="s">
        <v>5839</v>
      </c>
      <c r="E3435" s="12" t="s">
        <v>4971</v>
      </c>
      <c r="F3435" s="49">
        <v>200000</v>
      </c>
      <c r="G3435" s="77" t="s">
        <v>5611</v>
      </c>
      <c r="H3435" s="14" t="s">
        <v>5601</v>
      </c>
      <c r="I3435" s="14" t="s">
        <v>2458</v>
      </c>
      <c r="J3435" s="33" t="s">
        <v>7110</v>
      </c>
      <c r="K3435" s="33" t="s">
        <v>9759</v>
      </c>
      <c r="L3435" s="53" t="str">
        <f>"هند"</f>
        <v>هند</v>
      </c>
      <c r="M3435" s="68" t="str">
        <f t="shared" si="34"/>
        <v>بشكه</v>
      </c>
      <c r="N3435" s="53" t="str">
        <f t="shared" si="32"/>
        <v>منطقه ويژه اقتصادي شهيد رجايي</v>
      </c>
      <c r="O3435" s="53">
        <v>50100</v>
      </c>
      <c r="P3435" s="198" t="s">
        <v>5826</v>
      </c>
    </row>
    <row r="3436" spans="1:16" ht="18.75" hidden="1">
      <c r="A3436" s="50" t="str">
        <f>"15100-492811"</f>
        <v>15100-492811</v>
      </c>
      <c r="B3436" s="50" t="str">
        <f>"96/08/06"</f>
        <v>96/08/06</v>
      </c>
      <c r="C3436" s="50" t="s">
        <v>9737</v>
      </c>
      <c r="D3436" s="50" t="s">
        <v>6243</v>
      </c>
      <c r="E3436" s="12" t="s">
        <v>4971</v>
      </c>
      <c r="F3436" s="49">
        <v>100000</v>
      </c>
      <c r="G3436" s="77" t="s">
        <v>5611</v>
      </c>
      <c r="H3436" s="14" t="s">
        <v>5601</v>
      </c>
      <c r="I3436" s="14" t="s">
        <v>2458</v>
      </c>
      <c r="J3436" s="33" t="s">
        <v>7110</v>
      </c>
      <c r="K3436" s="33" t="s">
        <v>9759</v>
      </c>
      <c r="L3436" s="53" t="str">
        <f>"پاکستان"</f>
        <v>پاکستان</v>
      </c>
      <c r="M3436" s="68" t="str">
        <f>"بشكه"</f>
        <v>بشكه</v>
      </c>
      <c r="N3436" s="53" t="str">
        <f>"پيشين"</f>
        <v>پيشين</v>
      </c>
      <c r="O3436" s="53">
        <v>55301</v>
      </c>
      <c r="P3436" s="198" t="s">
        <v>5831</v>
      </c>
    </row>
    <row r="3437" spans="1:16" ht="18.75" hidden="1">
      <c r="A3437" s="50" t="str">
        <f>"15100-495960"</f>
        <v>15100-495960</v>
      </c>
      <c r="B3437" s="50" t="str">
        <f>"96/08/13"</f>
        <v>96/08/13</v>
      </c>
      <c r="C3437" s="50" t="s">
        <v>6392</v>
      </c>
      <c r="D3437" s="50" t="s">
        <v>6330</v>
      </c>
      <c r="E3437" s="12" t="s">
        <v>4971</v>
      </c>
      <c r="F3437" s="49">
        <v>52720</v>
      </c>
      <c r="G3437" s="77" t="s">
        <v>5611</v>
      </c>
      <c r="H3437" s="14" t="s">
        <v>5601</v>
      </c>
      <c r="I3437" s="14" t="s">
        <v>2458</v>
      </c>
      <c r="J3437" s="33" t="s">
        <v>7110</v>
      </c>
      <c r="K3437" s="33" t="s">
        <v>9759</v>
      </c>
      <c r="L3437" s="53" t="str">
        <f>"پاکستان"</f>
        <v>پاکستان</v>
      </c>
      <c r="M3437" s="68" t="str">
        <f>"بشكه"</f>
        <v>بشكه</v>
      </c>
      <c r="N3437" s="53" t="str">
        <f>"بازارچه کوهک سراوان"</f>
        <v>بازارچه کوهک سراوان</v>
      </c>
      <c r="O3437" s="53">
        <v>55107</v>
      </c>
      <c r="P3437" s="198" t="s">
        <v>7231</v>
      </c>
    </row>
    <row r="3438" spans="1:16" ht="18.75" hidden="1">
      <c r="A3438" s="50" t="str">
        <f>"15100-495960"</f>
        <v>15100-495960</v>
      </c>
      <c r="B3438" s="50" t="str">
        <f>"96/08/13"</f>
        <v>96/08/13</v>
      </c>
      <c r="C3438" s="50" t="s">
        <v>8881</v>
      </c>
      <c r="D3438" s="50" t="s">
        <v>6305</v>
      </c>
      <c r="E3438" s="12" t="s">
        <v>4971</v>
      </c>
      <c r="F3438" s="49">
        <v>15580</v>
      </c>
      <c r="G3438" s="77" t="s">
        <v>5631</v>
      </c>
      <c r="H3438" s="14" t="s">
        <v>5601</v>
      </c>
      <c r="I3438" s="14" t="s">
        <v>2458</v>
      </c>
      <c r="J3438" s="33" t="s">
        <v>7110</v>
      </c>
      <c r="K3438" s="33" t="s">
        <v>9759</v>
      </c>
      <c r="L3438" s="53" t="str">
        <f>"پاکستان"</f>
        <v>پاکستان</v>
      </c>
      <c r="M3438" s="68" t="str">
        <f>"بشكه"</f>
        <v>بشكه</v>
      </c>
      <c r="N3438" s="53" t="str">
        <f>"بازارچه کوهک سراوان"</f>
        <v>بازارچه کوهک سراوان</v>
      </c>
      <c r="O3438" s="53">
        <v>55107</v>
      </c>
      <c r="P3438" s="197" t="s">
        <v>5836</v>
      </c>
    </row>
    <row r="3439" spans="1:16" ht="18.75" hidden="1">
      <c r="A3439" s="50" t="str">
        <f>"15100-496437"</f>
        <v>15100-496437</v>
      </c>
      <c r="B3439" s="50" t="str">
        <f>"96/08/14"</f>
        <v>96/08/14</v>
      </c>
      <c r="C3439" s="50" t="s">
        <v>8850</v>
      </c>
      <c r="D3439" s="50" t="s">
        <v>8621</v>
      </c>
      <c r="E3439" s="12" t="s">
        <v>4971</v>
      </c>
      <c r="F3439" s="49">
        <v>35230</v>
      </c>
      <c r="G3439" s="77" t="s">
        <v>5647</v>
      </c>
      <c r="H3439" s="14" t="s">
        <v>5601</v>
      </c>
      <c r="I3439" s="14" t="s">
        <v>2458</v>
      </c>
      <c r="J3439" s="33" t="s">
        <v>7110</v>
      </c>
      <c r="K3439" s="33" t="s">
        <v>9759</v>
      </c>
      <c r="L3439" s="53" t="str">
        <f>"پاکستان"</f>
        <v>پاکستان</v>
      </c>
      <c r="M3439" s="68" t="str">
        <f>"فله"</f>
        <v>فله</v>
      </c>
      <c r="N3439" s="53" t="str">
        <f>"پيشين"</f>
        <v>پيشين</v>
      </c>
      <c r="O3439" s="53">
        <v>55301</v>
      </c>
      <c r="P3439" s="198" t="s">
        <v>8727</v>
      </c>
    </row>
    <row r="3440" spans="1:16" ht="18.75" hidden="1">
      <c r="A3440" s="50" t="str">
        <f>"15100-492087"</f>
        <v>15100-492087</v>
      </c>
      <c r="B3440" s="50" t="str">
        <f>"96/08/04"</f>
        <v>96/08/04</v>
      </c>
      <c r="C3440" s="50" t="s">
        <v>8853</v>
      </c>
      <c r="D3440" s="50" t="s">
        <v>6328</v>
      </c>
      <c r="E3440" s="12" t="s">
        <v>4971</v>
      </c>
      <c r="F3440" s="49">
        <v>23300</v>
      </c>
      <c r="G3440" s="77" t="s">
        <v>5631</v>
      </c>
      <c r="H3440" s="14" t="s">
        <v>5601</v>
      </c>
      <c r="I3440" s="14" t="s">
        <v>2458</v>
      </c>
      <c r="J3440" s="33" t="s">
        <v>7110</v>
      </c>
      <c r="K3440" s="33" t="s">
        <v>9759</v>
      </c>
      <c r="L3440" s="53" t="str">
        <f>" ارمنستان"</f>
        <v xml:space="preserve"> ارمنستان</v>
      </c>
      <c r="M3440" s="68" t="str">
        <f>"فله"</f>
        <v>فله</v>
      </c>
      <c r="N3440" s="53" t="str">
        <f>"نوردوز"</f>
        <v>نوردوز</v>
      </c>
      <c r="O3440" s="53">
        <v>25302</v>
      </c>
      <c r="P3440" s="197" t="s">
        <v>7237</v>
      </c>
    </row>
    <row r="3441" spans="1:16" ht="18.75" hidden="1">
      <c r="A3441" s="50" t="str">
        <f>"15100-492811"</f>
        <v>15100-492811</v>
      </c>
      <c r="B3441" s="50" t="str">
        <f>"96/08/06"</f>
        <v>96/08/06</v>
      </c>
      <c r="C3441" s="50" t="s">
        <v>9738</v>
      </c>
      <c r="D3441" s="50" t="s">
        <v>6251</v>
      </c>
      <c r="E3441" s="12" t="s">
        <v>4971</v>
      </c>
      <c r="F3441" s="49">
        <v>19670</v>
      </c>
      <c r="G3441" s="77" t="s">
        <v>5611</v>
      </c>
      <c r="H3441" s="14" t="s">
        <v>5601</v>
      </c>
      <c r="I3441" s="14" t="s">
        <v>2458</v>
      </c>
      <c r="J3441" s="33" t="s">
        <v>7110</v>
      </c>
      <c r="K3441" s="33" t="s">
        <v>9759</v>
      </c>
      <c r="L3441" s="53" t="str">
        <f t="shared" ref="L3441:L3454" si="38">"پاکستان"</f>
        <v>پاکستان</v>
      </c>
      <c r="M3441" s="68" t="str">
        <f t="shared" ref="M3441:M3447" si="39">"بشكه"</f>
        <v>بشكه</v>
      </c>
      <c r="N3441" s="53" t="str">
        <f>"پيشين"</f>
        <v>پيشين</v>
      </c>
      <c r="O3441" s="53">
        <v>55301</v>
      </c>
      <c r="P3441" s="198" t="s">
        <v>5831</v>
      </c>
    </row>
    <row r="3442" spans="1:16" ht="18.75" hidden="1">
      <c r="A3442" s="50" t="str">
        <f>"15100-492836"</f>
        <v>15100-492836</v>
      </c>
      <c r="B3442" s="50" t="str">
        <f>"96/08/06"</f>
        <v>96/08/06</v>
      </c>
      <c r="C3442" s="50" t="s">
        <v>9739</v>
      </c>
      <c r="D3442" s="50" t="s">
        <v>8770</v>
      </c>
      <c r="E3442" s="12" t="s">
        <v>4971</v>
      </c>
      <c r="F3442" s="49">
        <v>76890</v>
      </c>
      <c r="G3442" s="77" t="s">
        <v>5609</v>
      </c>
      <c r="H3442" s="14" t="s">
        <v>5601</v>
      </c>
      <c r="I3442" s="14" t="s">
        <v>2458</v>
      </c>
      <c r="J3442" s="33" t="s">
        <v>7110</v>
      </c>
      <c r="K3442" s="33" t="s">
        <v>9759</v>
      </c>
      <c r="L3442" s="53" t="str">
        <f t="shared" si="38"/>
        <v>پاکستان</v>
      </c>
      <c r="M3442" s="68" t="str">
        <f t="shared" si="39"/>
        <v>بشكه</v>
      </c>
      <c r="N3442" s="53" t="str">
        <f>"تفتان (ميرجاوه)"</f>
        <v>تفتان (ميرجاوه)</v>
      </c>
      <c r="O3442" s="53">
        <v>55200</v>
      </c>
      <c r="P3442" s="198" t="s">
        <v>7118</v>
      </c>
    </row>
    <row r="3443" spans="1:16" ht="18.75" hidden="1">
      <c r="A3443" s="50" t="str">
        <f>"15100-494432"</f>
        <v>15100-494432</v>
      </c>
      <c r="B3443" s="50" t="str">
        <f>"96/08/09"</f>
        <v>96/08/09</v>
      </c>
      <c r="C3443" s="50" t="s">
        <v>9740</v>
      </c>
      <c r="D3443" s="50" t="s">
        <v>8617</v>
      </c>
      <c r="E3443" s="12" t="s">
        <v>4971</v>
      </c>
      <c r="F3443" s="49">
        <v>99160</v>
      </c>
      <c r="G3443" s="77" t="s">
        <v>5609</v>
      </c>
      <c r="H3443" s="14" t="s">
        <v>5601</v>
      </c>
      <c r="I3443" s="14" t="s">
        <v>2458</v>
      </c>
      <c r="J3443" s="33" t="s">
        <v>7110</v>
      </c>
      <c r="K3443" s="33" t="s">
        <v>9759</v>
      </c>
      <c r="L3443" s="53" t="str">
        <f t="shared" si="38"/>
        <v>پاکستان</v>
      </c>
      <c r="M3443" s="68" t="str">
        <f t="shared" si="39"/>
        <v>بشكه</v>
      </c>
      <c r="N3443" s="53" t="str">
        <f>"تفتان (ميرجاوه)"</f>
        <v>تفتان (ميرجاوه)</v>
      </c>
      <c r="O3443" s="53">
        <v>55200</v>
      </c>
      <c r="P3443" s="198" t="s">
        <v>7114</v>
      </c>
    </row>
    <row r="3444" spans="1:16" ht="18.75" hidden="1">
      <c r="A3444" s="50" t="str">
        <f>"15100-492811"</f>
        <v>15100-492811</v>
      </c>
      <c r="B3444" s="50" t="str">
        <f>"96/08/06"</f>
        <v>96/08/06</v>
      </c>
      <c r="C3444" s="50" t="s">
        <v>9741</v>
      </c>
      <c r="D3444" s="50" t="s">
        <v>6244</v>
      </c>
      <c r="E3444" s="12" t="s">
        <v>4971</v>
      </c>
      <c r="F3444" s="49">
        <v>25870</v>
      </c>
      <c r="G3444" s="77" t="s">
        <v>5611</v>
      </c>
      <c r="H3444" s="14" t="s">
        <v>5601</v>
      </c>
      <c r="I3444" s="14" t="s">
        <v>2458</v>
      </c>
      <c r="J3444" s="33" t="s">
        <v>7110</v>
      </c>
      <c r="K3444" s="33" t="s">
        <v>9759</v>
      </c>
      <c r="L3444" s="53" t="str">
        <f t="shared" si="38"/>
        <v>پاکستان</v>
      </c>
      <c r="M3444" s="68" t="str">
        <f t="shared" si="39"/>
        <v>بشكه</v>
      </c>
      <c r="N3444" s="53" t="str">
        <f>"پيشين"</f>
        <v>پيشين</v>
      </c>
      <c r="O3444" s="53">
        <v>55301</v>
      </c>
      <c r="P3444" s="198" t="s">
        <v>7231</v>
      </c>
    </row>
    <row r="3445" spans="1:16" ht="18.75" hidden="1">
      <c r="A3445" s="50" t="str">
        <f>"15100-492836"</f>
        <v>15100-492836</v>
      </c>
      <c r="B3445" s="50" t="str">
        <f>"96/08/06"</f>
        <v>96/08/06</v>
      </c>
      <c r="C3445" s="50" t="s">
        <v>9741</v>
      </c>
      <c r="D3445" s="50" t="s">
        <v>6244</v>
      </c>
      <c r="E3445" s="12" t="s">
        <v>4971</v>
      </c>
      <c r="F3445" s="49">
        <v>50220</v>
      </c>
      <c r="G3445" s="77" t="s">
        <v>5611</v>
      </c>
      <c r="H3445" s="14" t="s">
        <v>5601</v>
      </c>
      <c r="I3445" s="14" t="s">
        <v>2458</v>
      </c>
      <c r="J3445" s="33" t="s">
        <v>7110</v>
      </c>
      <c r="K3445" s="33" t="s">
        <v>9759</v>
      </c>
      <c r="L3445" s="53" t="str">
        <f t="shared" si="38"/>
        <v>پاکستان</v>
      </c>
      <c r="M3445" s="68" t="str">
        <f t="shared" si="39"/>
        <v>بشكه</v>
      </c>
      <c r="N3445" s="53" t="str">
        <f>"تفتان (ميرجاوه)"</f>
        <v>تفتان (ميرجاوه)</v>
      </c>
      <c r="O3445" s="53">
        <v>55200</v>
      </c>
      <c r="P3445" s="198" t="s">
        <v>7231</v>
      </c>
    </row>
    <row r="3446" spans="1:16" ht="18.75" hidden="1">
      <c r="A3446" s="50" t="str">
        <f>"15100-495960"</f>
        <v>15100-495960</v>
      </c>
      <c r="B3446" s="50" t="str">
        <f>"96/08/13"</f>
        <v>96/08/13</v>
      </c>
      <c r="C3446" s="50" t="s">
        <v>9742</v>
      </c>
      <c r="D3446" s="50" t="s">
        <v>8767</v>
      </c>
      <c r="E3446" s="12" t="s">
        <v>4971</v>
      </c>
      <c r="F3446" s="49">
        <v>32060</v>
      </c>
      <c r="G3446" s="77" t="s">
        <v>5631</v>
      </c>
      <c r="H3446" s="14" t="s">
        <v>5601</v>
      </c>
      <c r="I3446" s="14" t="s">
        <v>2458</v>
      </c>
      <c r="J3446" s="33" t="s">
        <v>7110</v>
      </c>
      <c r="K3446" s="33" t="s">
        <v>9759</v>
      </c>
      <c r="L3446" s="53" t="str">
        <f t="shared" si="38"/>
        <v>پاکستان</v>
      </c>
      <c r="M3446" s="68" t="str">
        <f t="shared" si="39"/>
        <v>بشكه</v>
      </c>
      <c r="N3446" s="53" t="str">
        <f>"بازارچه کوهک سراوان"</f>
        <v>بازارچه کوهک سراوان</v>
      </c>
      <c r="O3446" s="53">
        <v>55107</v>
      </c>
      <c r="P3446" s="197" t="s">
        <v>5842</v>
      </c>
    </row>
    <row r="3447" spans="1:16" ht="18.75" hidden="1">
      <c r="A3447" s="50" t="str">
        <f>"15100-492836"</f>
        <v>15100-492836</v>
      </c>
      <c r="B3447" s="50" t="str">
        <f>"96/08/06"</f>
        <v>96/08/06</v>
      </c>
      <c r="C3447" s="50" t="s">
        <v>8866</v>
      </c>
      <c r="D3447" s="50" t="s">
        <v>6310</v>
      </c>
      <c r="E3447" s="12" t="s">
        <v>4971</v>
      </c>
      <c r="F3447" s="49">
        <v>28890</v>
      </c>
      <c r="G3447" s="77" t="s">
        <v>5609</v>
      </c>
      <c r="H3447" s="14" t="s">
        <v>5601</v>
      </c>
      <c r="I3447" s="14" t="s">
        <v>2458</v>
      </c>
      <c r="J3447" s="33" t="s">
        <v>7110</v>
      </c>
      <c r="K3447" s="33" t="s">
        <v>9759</v>
      </c>
      <c r="L3447" s="53" t="str">
        <f t="shared" si="38"/>
        <v>پاکستان</v>
      </c>
      <c r="M3447" s="68" t="str">
        <f t="shared" si="39"/>
        <v>بشكه</v>
      </c>
      <c r="N3447" s="53" t="str">
        <f>"تفتان (ميرجاوه)"</f>
        <v>تفتان (ميرجاوه)</v>
      </c>
      <c r="O3447" s="53">
        <v>55200</v>
      </c>
      <c r="P3447" s="198" t="s">
        <v>7255</v>
      </c>
    </row>
    <row r="3448" spans="1:16" ht="18.75" hidden="1">
      <c r="A3448" s="50" t="str">
        <f>"15100-495882"</f>
        <v>15100-495882</v>
      </c>
      <c r="B3448" s="50" t="str">
        <f>"96/08/13"</f>
        <v>96/08/13</v>
      </c>
      <c r="C3448" s="50" t="s">
        <v>8850</v>
      </c>
      <c r="D3448" s="50" t="s">
        <v>8621</v>
      </c>
      <c r="E3448" s="12" t="s">
        <v>4971</v>
      </c>
      <c r="F3448" s="49">
        <v>44320</v>
      </c>
      <c r="G3448" s="77" t="s">
        <v>5647</v>
      </c>
      <c r="H3448" s="14" t="s">
        <v>5601</v>
      </c>
      <c r="I3448" s="14" t="s">
        <v>2458</v>
      </c>
      <c r="J3448" s="33" t="s">
        <v>7110</v>
      </c>
      <c r="K3448" s="33" t="s">
        <v>9759</v>
      </c>
      <c r="L3448" s="53" t="str">
        <f t="shared" si="38"/>
        <v>پاکستان</v>
      </c>
      <c r="M3448" s="68" t="str">
        <f>"فله"</f>
        <v>فله</v>
      </c>
      <c r="N3448" s="53" t="str">
        <f>"پيشين"</f>
        <v>پيشين</v>
      </c>
      <c r="O3448" s="53">
        <v>55301</v>
      </c>
      <c r="P3448" s="198" t="s">
        <v>8727</v>
      </c>
    </row>
    <row r="3449" spans="1:16" ht="18.75" hidden="1">
      <c r="A3449" s="50" t="str">
        <f>"15100-493369"</f>
        <v>15100-493369</v>
      </c>
      <c r="B3449" s="50" t="str">
        <f>"96/08/07"</f>
        <v>96/08/07</v>
      </c>
      <c r="C3449" s="50" t="s">
        <v>9743</v>
      </c>
      <c r="D3449" s="50" t="s">
        <v>6410</v>
      </c>
      <c r="E3449" s="12" t="s">
        <v>4971</v>
      </c>
      <c r="F3449" s="49">
        <v>222810</v>
      </c>
      <c r="G3449" s="77" t="s">
        <v>5611</v>
      </c>
      <c r="H3449" s="14" t="s">
        <v>5601</v>
      </c>
      <c r="I3449" s="14" t="s">
        <v>2458</v>
      </c>
      <c r="J3449" s="33" t="s">
        <v>7110</v>
      </c>
      <c r="K3449" s="33" t="s">
        <v>9759</v>
      </c>
      <c r="L3449" s="53" t="str">
        <f t="shared" si="38"/>
        <v>پاکستان</v>
      </c>
      <c r="M3449" s="68" t="str">
        <f>"بشكه"</f>
        <v>بشكه</v>
      </c>
      <c r="N3449" s="53" t="str">
        <f>"پيشين"</f>
        <v>پيشين</v>
      </c>
      <c r="O3449" s="53">
        <v>55301</v>
      </c>
      <c r="P3449" s="198" t="s">
        <v>7231</v>
      </c>
    </row>
    <row r="3450" spans="1:16" ht="18.75" hidden="1">
      <c r="A3450" s="50" t="str">
        <f>"15100-496437"</f>
        <v>15100-496437</v>
      </c>
      <c r="B3450" s="50" t="str">
        <f>"96/08/14"</f>
        <v>96/08/14</v>
      </c>
      <c r="C3450" s="50" t="s">
        <v>8857</v>
      </c>
      <c r="D3450" s="50" t="s">
        <v>8636</v>
      </c>
      <c r="E3450" s="12" t="s">
        <v>4971</v>
      </c>
      <c r="F3450" s="49">
        <v>22120</v>
      </c>
      <c r="G3450" s="77" t="s">
        <v>5607</v>
      </c>
      <c r="H3450" s="14" t="s">
        <v>5601</v>
      </c>
      <c r="I3450" s="14" t="s">
        <v>2458</v>
      </c>
      <c r="J3450" s="33" t="s">
        <v>7110</v>
      </c>
      <c r="K3450" s="33" t="s">
        <v>9759</v>
      </c>
      <c r="L3450" s="53" t="str">
        <f t="shared" si="38"/>
        <v>پاکستان</v>
      </c>
      <c r="M3450" s="68" t="str">
        <f>"فله"</f>
        <v>فله</v>
      </c>
      <c r="N3450" s="53" t="str">
        <f>"پيشين"</f>
        <v>پيشين</v>
      </c>
      <c r="O3450" s="53">
        <v>55301</v>
      </c>
      <c r="P3450" s="198" t="s">
        <v>8497</v>
      </c>
    </row>
    <row r="3451" spans="1:16" ht="18.75" hidden="1">
      <c r="A3451" s="50" t="str">
        <f>"15100-492836"</f>
        <v>15100-492836</v>
      </c>
      <c r="B3451" s="50" t="str">
        <f>"96/08/06"</f>
        <v>96/08/06</v>
      </c>
      <c r="C3451" s="50" t="s">
        <v>9744</v>
      </c>
      <c r="D3451" s="50" t="s">
        <v>8617</v>
      </c>
      <c r="E3451" s="12" t="s">
        <v>4971</v>
      </c>
      <c r="F3451" s="49">
        <v>18560</v>
      </c>
      <c r="G3451" s="77" t="s">
        <v>5609</v>
      </c>
      <c r="H3451" s="14" t="s">
        <v>5601</v>
      </c>
      <c r="I3451" s="14" t="s">
        <v>2458</v>
      </c>
      <c r="J3451" s="33" t="s">
        <v>7110</v>
      </c>
      <c r="K3451" s="33" t="s">
        <v>9759</v>
      </c>
      <c r="L3451" s="53" t="str">
        <f t="shared" si="38"/>
        <v>پاکستان</v>
      </c>
      <c r="M3451" s="68" t="str">
        <f>"بشكه"</f>
        <v>بشكه</v>
      </c>
      <c r="N3451" s="53" t="str">
        <f>"تفتان (ميرجاوه)"</f>
        <v>تفتان (ميرجاوه)</v>
      </c>
      <c r="O3451" s="53">
        <v>55200</v>
      </c>
      <c r="P3451" s="198" t="s">
        <v>7121</v>
      </c>
    </row>
    <row r="3452" spans="1:16" ht="18.75" hidden="1">
      <c r="A3452" s="50" t="str">
        <f>"15100-495882"</f>
        <v>15100-495882</v>
      </c>
      <c r="B3452" s="50" t="str">
        <f>"96/08/13"</f>
        <v>96/08/13</v>
      </c>
      <c r="C3452" s="50" t="s">
        <v>8857</v>
      </c>
      <c r="D3452" s="50" t="s">
        <v>8636</v>
      </c>
      <c r="E3452" s="12" t="s">
        <v>4971</v>
      </c>
      <c r="F3452" s="49">
        <v>242440</v>
      </c>
      <c r="G3452" s="77" t="s">
        <v>5607</v>
      </c>
      <c r="H3452" s="14" t="s">
        <v>5601</v>
      </c>
      <c r="I3452" s="14" t="s">
        <v>2458</v>
      </c>
      <c r="J3452" s="33" t="s">
        <v>7110</v>
      </c>
      <c r="K3452" s="33" t="s">
        <v>9759</v>
      </c>
      <c r="L3452" s="53" t="str">
        <f t="shared" si="38"/>
        <v>پاکستان</v>
      </c>
      <c r="M3452" s="68" t="str">
        <f>"فله"</f>
        <v>فله</v>
      </c>
      <c r="N3452" s="53" t="str">
        <f>"پيشين"</f>
        <v>پيشين</v>
      </c>
      <c r="O3452" s="53">
        <v>55301</v>
      </c>
      <c r="P3452" s="198" t="s">
        <v>8497</v>
      </c>
    </row>
    <row r="3453" spans="1:16" ht="18.75" hidden="1">
      <c r="A3453" s="50" t="str">
        <f>"15100-494976"</f>
        <v>15100-494976</v>
      </c>
      <c r="B3453" s="50" t="str">
        <f>"96/08/10"</f>
        <v>96/08/10</v>
      </c>
      <c r="C3453" s="50" t="s">
        <v>9745</v>
      </c>
      <c r="D3453" s="50" t="s">
        <v>8830</v>
      </c>
      <c r="E3453" s="12" t="s">
        <v>4971</v>
      </c>
      <c r="F3453" s="49">
        <v>68960</v>
      </c>
      <c r="G3453" s="77" t="s">
        <v>5647</v>
      </c>
      <c r="H3453" s="14" t="s">
        <v>5601</v>
      </c>
      <c r="I3453" s="14" t="s">
        <v>2458</v>
      </c>
      <c r="J3453" s="33" t="s">
        <v>7110</v>
      </c>
      <c r="K3453" s="33" t="s">
        <v>9759</v>
      </c>
      <c r="L3453" s="53" t="str">
        <f t="shared" si="38"/>
        <v>پاکستان</v>
      </c>
      <c r="M3453" s="68" t="str">
        <f>"فله"</f>
        <v>فله</v>
      </c>
      <c r="N3453" s="53" t="str">
        <f>"پيشين"</f>
        <v>پيشين</v>
      </c>
      <c r="O3453" s="53">
        <v>55301</v>
      </c>
      <c r="P3453" s="198" t="s">
        <v>8723</v>
      </c>
    </row>
    <row r="3454" spans="1:16" ht="18.75" hidden="1">
      <c r="A3454" s="50" t="str">
        <f>"15100-493369"</f>
        <v>15100-493369</v>
      </c>
      <c r="B3454" s="50" t="str">
        <f>"96/08/07"</f>
        <v>96/08/07</v>
      </c>
      <c r="C3454" s="50" t="s">
        <v>9746</v>
      </c>
      <c r="D3454" s="50" t="s">
        <v>6244</v>
      </c>
      <c r="E3454" s="12" t="s">
        <v>4971</v>
      </c>
      <c r="F3454" s="49">
        <v>50000</v>
      </c>
      <c r="G3454" s="77" t="s">
        <v>5611</v>
      </c>
      <c r="H3454" s="14" t="s">
        <v>5601</v>
      </c>
      <c r="I3454" s="14" t="s">
        <v>2458</v>
      </c>
      <c r="J3454" s="33" t="s">
        <v>7110</v>
      </c>
      <c r="K3454" s="33" t="s">
        <v>9759</v>
      </c>
      <c r="L3454" s="53" t="str">
        <f t="shared" si="38"/>
        <v>پاکستان</v>
      </c>
      <c r="M3454" s="68" t="str">
        <f>"بشكه"</f>
        <v>بشكه</v>
      </c>
      <c r="N3454" s="53" t="str">
        <f>"پيشين"</f>
        <v>پيشين</v>
      </c>
      <c r="O3454" s="53">
        <v>55301</v>
      </c>
      <c r="P3454" s="198" t="s">
        <v>7231</v>
      </c>
    </row>
    <row r="3455" spans="1:16" ht="18.75" hidden="1">
      <c r="A3455" s="50" t="str">
        <f>"15100-490889"</f>
        <v>15100-490889</v>
      </c>
      <c r="B3455" s="50" t="str">
        <f>"96/08/02"</f>
        <v>96/08/02</v>
      </c>
      <c r="C3455" s="50" t="s">
        <v>8853</v>
      </c>
      <c r="D3455" s="50" t="s">
        <v>6328</v>
      </c>
      <c r="E3455" s="12" t="s">
        <v>4971</v>
      </c>
      <c r="F3455" s="49">
        <v>141220</v>
      </c>
      <c r="G3455" s="77" t="s">
        <v>5631</v>
      </c>
      <c r="H3455" s="14" t="s">
        <v>5601</v>
      </c>
      <c r="I3455" s="14" t="s">
        <v>2458</v>
      </c>
      <c r="J3455" s="33" t="s">
        <v>7110</v>
      </c>
      <c r="K3455" s="33" t="s">
        <v>9759</v>
      </c>
      <c r="L3455" s="53" t="str">
        <f>" ارمنستان"</f>
        <v xml:space="preserve"> ارمنستان</v>
      </c>
      <c r="M3455" s="68" t="str">
        <f>"فله"</f>
        <v>فله</v>
      </c>
      <c r="N3455" s="53" t="str">
        <f>"نوردوز"</f>
        <v>نوردوز</v>
      </c>
      <c r="O3455" s="53">
        <v>25302</v>
      </c>
      <c r="P3455" s="197" t="s">
        <v>7237</v>
      </c>
    </row>
    <row r="3456" spans="1:16" ht="18.75" hidden="1">
      <c r="A3456" s="50" t="str">
        <f>"15100-496392"</f>
        <v>15100-496392</v>
      </c>
      <c r="B3456" s="50" t="str">
        <f>"96/08/14"</f>
        <v>96/08/14</v>
      </c>
      <c r="C3456" s="50" t="s">
        <v>6392</v>
      </c>
      <c r="D3456" s="50" t="s">
        <v>6330</v>
      </c>
      <c r="E3456" s="12" t="s">
        <v>4971</v>
      </c>
      <c r="F3456" s="49">
        <v>6100</v>
      </c>
      <c r="G3456" s="77" t="s">
        <v>5611</v>
      </c>
      <c r="H3456" s="14" t="s">
        <v>5601</v>
      </c>
      <c r="I3456" s="14" t="s">
        <v>2458</v>
      </c>
      <c r="J3456" s="33" t="s">
        <v>7110</v>
      </c>
      <c r="K3456" s="33" t="s">
        <v>9759</v>
      </c>
      <c r="L3456" s="53" t="str">
        <f t="shared" ref="L3456:L3465" si="40">"پاکستان"</f>
        <v>پاکستان</v>
      </c>
      <c r="M3456" s="68" t="str">
        <f>"بشكه"</f>
        <v>بشكه</v>
      </c>
      <c r="N3456" s="53" t="str">
        <f>"بازارچه کوهک سراوان"</f>
        <v>بازارچه کوهک سراوان</v>
      </c>
      <c r="O3456" s="53">
        <v>55107</v>
      </c>
      <c r="P3456" s="198" t="s">
        <v>7231</v>
      </c>
    </row>
    <row r="3457" spans="1:16" ht="18.75" hidden="1">
      <c r="A3457" s="50" t="str">
        <f>"15100-493369"</f>
        <v>15100-493369</v>
      </c>
      <c r="B3457" s="50" t="str">
        <f>"96/08/07"</f>
        <v>96/08/07</v>
      </c>
      <c r="C3457" s="50" t="s">
        <v>9741</v>
      </c>
      <c r="D3457" s="50" t="s">
        <v>6244</v>
      </c>
      <c r="E3457" s="12" t="s">
        <v>4971</v>
      </c>
      <c r="F3457" s="49">
        <v>123910</v>
      </c>
      <c r="G3457" s="77" t="s">
        <v>5611</v>
      </c>
      <c r="H3457" s="14" t="s">
        <v>5601</v>
      </c>
      <c r="I3457" s="14" t="s">
        <v>2458</v>
      </c>
      <c r="J3457" s="33" t="s">
        <v>7110</v>
      </c>
      <c r="K3457" s="33" t="s">
        <v>9759</v>
      </c>
      <c r="L3457" s="53" t="str">
        <f t="shared" si="40"/>
        <v>پاکستان</v>
      </c>
      <c r="M3457" s="68" t="str">
        <f>"بشكه"</f>
        <v>بشكه</v>
      </c>
      <c r="N3457" s="53" t="str">
        <f>"پيشين"</f>
        <v>پيشين</v>
      </c>
      <c r="O3457" s="53">
        <v>55301</v>
      </c>
      <c r="P3457" s="198" t="s">
        <v>7231</v>
      </c>
    </row>
    <row r="3458" spans="1:16" ht="18.75" hidden="1">
      <c r="A3458" s="50" t="str">
        <f>"15100-496437"</f>
        <v>15100-496437</v>
      </c>
      <c r="B3458" s="50" t="str">
        <f>"96/08/14"</f>
        <v>96/08/14</v>
      </c>
      <c r="C3458" s="50" t="s">
        <v>9747</v>
      </c>
      <c r="D3458" s="50" t="s">
        <v>8760</v>
      </c>
      <c r="E3458" s="12" t="s">
        <v>4971</v>
      </c>
      <c r="F3458" s="49">
        <v>82210</v>
      </c>
      <c r="G3458" s="77" t="s">
        <v>5647</v>
      </c>
      <c r="H3458" s="14" t="s">
        <v>5601</v>
      </c>
      <c r="I3458" s="14" t="s">
        <v>2458</v>
      </c>
      <c r="J3458" s="33" t="s">
        <v>7110</v>
      </c>
      <c r="K3458" s="33" t="s">
        <v>9759</v>
      </c>
      <c r="L3458" s="53" t="str">
        <f t="shared" si="40"/>
        <v>پاکستان</v>
      </c>
      <c r="M3458" s="68" t="str">
        <f>"فله"</f>
        <v>فله</v>
      </c>
      <c r="N3458" s="53" t="str">
        <f>"پيشين"</f>
        <v>پيشين</v>
      </c>
      <c r="O3458" s="53">
        <v>55301</v>
      </c>
      <c r="P3458" s="198" t="s">
        <v>8723</v>
      </c>
    </row>
    <row r="3459" spans="1:16" ht="18.75" hidden="1">
      <c r="A3459" s="50" t="str">
        <f>"15100-494943"</f>
        <v>15100-494943</v>
      </c>
      <c r="B3459" s="50" t="str">
        <f>"96/08/10"</f>
        <v>96/08/10</v>
      </c>
      <c r="C3459" s="50" t="s">
        <v>8853</v>
      </c>
      <c r="D3459" s="50" t="s">
        <v>6328</v>
      </c>
      <c r="E3459" s="12" t="s">
        <v>4971</v>
      </c>
      <c r="F3459" s="49">
        <v>49540</v>
      </c>
      <c r="G3459" s="77" t="s">
        <v>5631</v>
      </c>
      <c r="H3459" s="14" t="s">
        <v>5601</v>
      </c>
      <c r="I3459" s="14" t="s">
        <v>2458</v>
      </c>
      <c r="J3459" s="33" t="s">
        <v>7110</v>
      </c>
      <c r="K3459" s="33" t="s">
        <v>9759</v>
      </c>
      <c r="L3459" s="53" t="str">
        <f t="shared" si="40"/>
        <v>پاکستان</v>
      </c>
      <c r="M3459" s="68" t="str">
        <f t="shared" ref="M3459:M3464" si="41">"بشكه"</f>
        <v>بشكه</v>
      </c>
      <c r="N3459" s="53" t="str">
        <f>"بازارچه کوهک سراوان"</f>
        <v>بازارچه کوهک سراوان</v>
      </c>
      <c r="O3459" s="53">
        <v>55107</v>
      </c>
      <c r="P3459" s="197" t="s">
        <v>7237</v>
      </c>
    </row>
    <row r="3460" spans="1:16" ht="18.75" hidden="1">
      <c r="A3460" s="50" t="str">
        <f>"15100-495933"</f>
        <v>15100-495933</v>
      </c>
      <c r="B3460" s="50" t="str">
        <f>"96/08/13"</f>
        <v>96/08/13</v>
      </c>
      <c r="C3460" s="50" t="s">
        <v>6392</v>
      </c>
      <c r="D3460" s="50" t="s">
        <v>6330</v>
      </c>
      <c r="E3460" s="12" t="s">
        <v>4971</v>
      </c>
      <c r="F3460" s="49">
        <v>75430</v>
      </c>
      <c r="G3460" s="77" t="s">
        <v>5611</v>
      </c>
      <c r="H3460" s="14" t="s">
        <v>5601</v>
      </c>
      <c r="I3460" s="14" t="s">
        <v>2458</v>
      </c>
      <c r="J3460" s="33" t="s">
        <v>7110</v>
      </c>
      <c r="K3460" s="33" t="s">
        <v>9759</v>
      </c>
      <c r="L3460" s="53" t="str">
        <f t="shared" si="40"/>
        <v>پاکستان</v>
      </c>
      <c r="M3460" s="68" t="str">
        <f t="shared" si="41"/>
        <v>بشكه</v>
      </c>
      <c r="N3460" s="53" t="str">
        <f>"تفتان (ميرجاوه)"</f>
        <v>تفتان (ميرجاوه)</v>
      </c>
      <c r="O3460" s="53">
        <v>55200</v>
      </c>
      <c r="P3460" s="198" t="s">
        <v>7231</v>
      </c>
    </row>
    <row r="3461" spans="1:16" ht="18.75" hidden="1">
      <c r="A3461" s="50" t="str">
        <f>"15100-496392"</f>
        <v>15100-496392</v>
      </c>
      <c r="B3461" s="50" t="str">
        <f>"96/08/14"</f>
        <v>96/08/14</v>
      </c>
      <c r="C3461" s="50" t="s">
        <v>9748</v>
      </c>
      <c r="D3461" s="50" t="s">
        <v>6323</v>
      </c>
      <c r="E3461" s="12" t="s">
        <v>4971</v>
      </c>
      <c r="F3461" s="49">
        <v>53050</v>
      </c>
      <c r="G3461" s="77" t="s">
        <v>5611</v>
      </c>
      <c r="H3461" s="14" t="s">
        <v>5601</v>
      </c>
      <c r="I3461" s="14" t="s">
        <v>2458</v>
      </c>
      <c r="J3461" s="33" t="s">
        <v>7110</v>
      </c>
      <c r="K3461" s="33" t="s">
        <v>9759</v>
      </c>
      <c r="L3461" s="53" t="str">
        <f t="shared" si="40"/>
        <v>پاکستان</v>
      </c>
      <c r="M3461" s="68" t="str">
        <f t="shared" si="41"/>
        <v>بشكه</v>
      </c>
      <c r="N3461" s="53" t="str">
        <f>"بازارچه کوهک سراوان"</f>
        <v>بازارچه کوهک سراوان</v>
      </c>
      <c r="O3461" s="53">
        <v>55107</v>
      </c>
      <c r="P3461" s="198" t="s">
        <v>7175</v>
      </c>
    </row>
    <row r="3462" spans="1:16" ht="18.75" hidden="1">
      <c r="A3462" s="50" t="str">
        <f>"15100-495501"</f>
        <v>15100-495501</v>
      </c>
      <c r="B3462" s="50" t="str">
        <f>"96/08/11"</f>
        <v>96/08/11</v>
      </c>
      <c r="C3462" s="50" t="s">
        <v>9749</v>
      </c>
      <c r="D3462" s="50" t="s">
        <v>6305</v>
      </c>
      <c r="E3462" s="12" t="s">
        <v>4971</v>
      </c>
      <c r="F3462" s="49">
        <v>95360</v>
      </c>
      <c r="G3462" s="77" t="s">
        <v>5607</v>
      </c>
      <c r="H3462" s="14" t="s">
        <v>5601</v>
      </c>
      <c r="I3462" s="14" t="s">
        <v>2458</v>
      </c>
      <c r="J3462" s="33" t="s">
        <v>7110</v>
      </c>
      <c r="K3462" s="33" t="s">
        <v>9759</v>
      </c>
      <c r="L3462" s="53" t="str">
        <f t="shared" si="40"/>
        <v>پاکستان</v>
      </c>
      <c r="M3462" s="68" t="str">
        <f t="shared" si="41"/>
        <v>بشكه</v>
      </c>
      <c r="N3462" s="53" t="str">
        <f>"بازارچه کوهک سراوان"</f>
        <v>بازارچه کوهک سراوان</v>
      </c>
      <c r="O3462" s="53">
        <v>55107</v>
      </c>
      <c r="P3462" s="198" t="s">
        <v>7233</v>
      </c>
    </row>
    <row r="3463" spans="1:16" ht="18.75" hidden="1">
      <c r="A3463" s="50" t="str">
        <f>"15100-496383"</f>
        <v>15100-496383</v>
      </c>
      <c r="B3463" s="50" t="str">
        <f>"96/08/14"</f>
        <v>96/08/14</v>
      </c>
      <c r="C3463" s="50" t="s">
        <v>9750</v>
      </c>
      <c r="D3463" s="50" t="s">
        <v>6323</v>
      </c>
      <c r="E3463" s="12" t="s">
        <v>4971</v>
      </c>
      <c r="F3463" s="49">
        <v>10740</v>
      </c>
      <c r="G3463" s="77" t="s">
        <v>5631</v>
      </c>
      <c r="H3463" s="14" t="s">
        <v>5601</v>
      </c>
      <c r="I3463" s="14" t="s">
        <v>2458</v>
      </c>
      <c r="J3463" s="33" t="s">
        <v>7110</v>
      </c>
      <c r="K3463" s="33" t="s">
        <v>9759</v>
      </c>
      <c r="L3463" s="53" t="str">
        <f t="shared" si="40"/>
        <v>پاکستان</v>
      </c>
      <c r="M3463" s="68" t="str">
        <f t="shared" si="41"/>
        <v>بشكه</v>
      </c>
      <c r="N3463" s="53" t="str">
        <f>"پيشين"</f>
        <v>پيشين</v>
      </c>
      <c r="O3463" s="53">
        <v>55301</v>
      </c>
      <c r="P3463" s="197" t="s">
        <v>5836</v>
      </c>
    </row>
    <row r="3464" spans="1:16" ht="18.75" hidden="1">
      <c r="A3464" s="50" t="str">
        <f>"15100-493384"</f>
        <v>15100-493384</v>
      </c>
      <c r="B3464" s="50" t="str">
        <f>"96/08/07"</f>
        <v>96/08/07</v>
      </c>
      <c r="C3464" s="50" t="s">
        <v>9751</v>
      </c>
      <c r="D3464" s="50" t="s">
        <v>8617</v>
      </c>
      <c r="E3464" s="12" t="s">
        <v>4971</v>
      </c>
      <c r="F3464" s="49">
        <v>30000</v>
      </c>
      <c r="G3464" s="77" t="s">
        <v>5609</v>
      </c>
      <c r="H3464" s="14" t="s">
        <v>5601</v>
      </c>
      <c r="I3464" s="14" t="s">
        <v>2458</v>
      </c>
      <c r="J3464" s="33" t="s">
        <v>7110</v>
      </c>
      <c r="K3464" s="33" t="s">
        <v>9759</v>
      </c>
      <c r="L3464" s="53" t="str">
        <f t="shared" si="40"/>
        <v>پاکستان</v>
      </c>
      <c r="M3464" s="68" t="str">
        <f t="shared" si="41"/>
        <v>بشكه</v>
      </c>
      <c r="N3464" s="53" t="str">
        <f>"تفتان (ميرجاوه)"</f>
        <v>تفتان (ميرجاوه)</v>
      </c>
      <c r="O3464" s="53">
        <v>55200</v>
      </c>
      <c r="P3464" s="198" t="s">
        <v>7118</v>
      </c>
    </row>
    <row r="3465" spans="1:16" ht="18.75" hidden="1">
      <c r="A3465" s="50" t="str">
        <f>"15100-493929"</f>
        <v>15100-493929</v>
      </c>
      <c r="B3465" s="50" t="str">
        <f>"96/08/08"</f>
        <v>96/08/08</v>
      </c>
      <c r="C3465" s="50" t="s">
        <v>9745</v>
      </c>
      <c r="D3465" s="50" t="s">
        <v>8830</v>
      </c>
      <c r="E3465" s="12" t="s">
        <v>4971</v>
      </c>
      <c r="F3465" s="49">
        <v>44960</v>
      </c>
      <c r="G3465" s="77" t="s">
        <v>5647</v>
      </c>
      <c r="H3465" s="14" t="s">
        <v>5601</v>
      </c>
      <c r="I3465" s="14" t="s">
        <v>2458</v>
      </c>
      <c r="J3465" s="33" t="s">
        <v>7110</v>
      </c>
      <c r="K3465" s="33" t="s">
        <v>9759</v>
      </c>
      <c r="L3465" s="53" t="str">
        <f t="shared" si="40"/>
        <v>پاکستان</v>
      </c>
      <c r="M3465" s="68" t="str">
        <f>"فله"</f>
        <v>فله</v>
      </c>
      <c r="N3465" s="53" t="str">
        <f>"پيشين"</f>
        <v>پيشين</v>
      </c>
      <c r="O3465" s="53">
        <v>55301</v>
      </c>
      <c r="P3465" s="198" t="s">
        <v>8723</v>
      </c>
    </row>
    <row r="3466" spans="1:16" ht="18.75" hidden="1">
      <c r="A3466" s="50" t="str">
        <f>"15100-492778"</f>
        <v>15100-492778</v>
      </c>
      <c r="B3466" s="50" t="str">
        <f>"96/08/06"</f>
        <v>96/08/06</v>
      </c>
      <c r="C3466" s="50" t="s">
        <v>9750</v>
      </c>
      <c r="D3466" s="50" t="s">
        <v>6323</v>
      </c>
      <c r="E3466" s="12" t="s">
        <v>4971</v>
      </c>
      <c r="F3466" s="49">
        <v>89260</v>
      </c>
      <c r="G3466" s="77" t="s">
        <v>5631</v>
      </c>
      <c r="H3466" s="14" t="s">
        <v>5601</v>
      </c>
      <c r="I3466" s="14" t="s">
        <v>2458</v>
      </c>
      <c r="J3466" s="33" t="s">
        <v>7110</v>
      </c>
      <c r="K3466" s="33" t="s">
        <v>9759</v>
      </c>
      <c r="L3466" s="53" t="str">
        <f>" ارمنستان"</f>
        <v xml:space="preserve"> ارمنستان</v>
      </c>
      <c r="M3466" s="68" t="str">
        <f>"فله"</f>
        <v>فله</v>
      </c>
      <c r="N3466" s="53" t="str">
        <f>"نوردوز"</f>
        <v>نوردوز</v>
      </c>
      <c r="O3466" s="53">
        <v>25302</v>
      </c>
      <c r="P3466" s="197" t="s">
        <v>5836</v>
      </c>
    </row>
    <row r="3467" spans="1:16" ht="18.75" hidden="1">
      <c r="A3467" s="50" t="str">
        <f>"15100-496383"</f>
        <v>15100-496383</v>
      </c>
      <c r="B3467" s="50" t="str">
        <f>"96/08/14"</f>
        <v>96/08/14</v>
      </c>
      <c r="C3467" s="50" t="s">
        <v>9742</v>
      </c>
      <c r="D3467" s="50" t="s">
        <v>8767</v>
      </c>
      <c r="E3467" s="12" t="s">
        <v>4971</v>
      </c>
      <c r="F3467" s="49">
        <v>35890</v>
      </c>
      <c r="G3467" s="77" t="s">
        <v>5631</v>
      </c>
      <c r="H3467" s="14" t="s">
        <v>5601</v>
      </c>
      <c r="I3467" s="14" t="s">
        <v>2458</v>
      </c>
      <c r="J3467" s="33" t="s">
        <v>7110</v>
      </c>
      <c r="K3467" s="33" t="s">
        <v>9759</v>
      </c>
      <c r="L3467" s="53" t="str">
        <f t="shared" ref="L3467:L3484" si="42">"پاکستان"</f>
        <v>پاکستان</v>
      </c>
      <c r="M3467" s="68" t="str">
        <f>"بشكه"</f>
        <v>بشكه</v>
      </c>
      <c r="N3467" s="53" t="str">
        <f t="shared" ref="N3467:N3473" si="43">"پيشين"</f>
        <v>پيشين</v>
      </c>
      <c r="O3467" s="53">
        <v>55301</v>
      </c>
      <c r="P3467" s="197" t="s">
        <v>5842</v>
      </c>
    </row>
    <row r="3468" spans="1:16" ht="18.75" hidden="1">
      <c r="A3468" s="50" t="str">
        <f>"15100-494447"</f>
        <v>15100-494447</v>
      </c>
      <c r="B3468" s="50" t="str">
        <f>"96/08/09"</f>
        <v>96/08/09</v>
      </c>
      <c r="C3468" s="50" t="s">
        <v>9752</v>
      </c>
      <c r="D3468" s="50" t="s">
        <v>6332</v>
      </c>
      <c r="E3468" s="12" t="s">
        <v>4971</v>
      </c>
      <c r="F3468" s="49">
        <v>46400</v>
      </c>
      <c r="G3468" s="77" t="s">
        <v>5611</v>
      </c>
      <c r="H3468" s="14" t="s">
        <v>5601</v>
      </c>
      <c r="I3468" s="14" t="s">
        <v>2458</v>
      </c>
      <c r="J3468" s="33" t="s">
        <v>7110</v>
      </c>
      <c r="K3468" s="33" t="s">
        <v>9759</v>
      </c>
      <c r="L3468" s="53" t="str">
        <f t="shared" si="42"/>
        <v>پاکستان</v>
      </c>
      <c r="M3468" s="68" t="str">
        <f>"بشكه"</f>
        <v>بشكه</v>
      </c>
      <c r="N3468" s="53" t="str">
        <f t="shared" si="43"/>
        <v>پيشين</v>
      </c>
      <c r="O3468" s="53">
        <v>55301</v>
      </c>
      <c r="P3468" s="198" t="s">
        <v>7231</v>
      </c>
    </row>
    <row r="3469" spans="1:16" ht="18.75" hidden="1">
      <c r="A3469" s="50" t="str">
        <f>"15100-492860"</f>
        <v>15100-492860</v>
      </c>
      <c r="B3469" s="50" t="str">
        <f>"96/08/06"</f>
        <v>96/08/06</v>
      </c>
      <c r="C3469" s="50" t="s">
        <v>5994</v>
      </c>
      <c r="D3469" s="50" t="s">
        <v>5839</v>
      </c>
      <c r="E3469" s="12" t="s">
        <v>4971</v>
      </c>
      <c r="F3469" s="49">
        <v>5940</v>
      </c>
      <c r="G3469" s="77" t="s">
        <v>5647</v>
      </c>
      <c r="H3469" s="14" t="s">
        <v>5601</v>
      </c>
      <c r="I3469" s="14" t="s">
        <v>2458</v>
      </c>
      <c r="J3469" s="33" t="s">
        <v>7110</v>
      </c>
      <c r="K3469" s="33" t="s">
        <v>9759</v>
      </c>
      <c r="L3469" s="53" t="str">
        <f t="shared" si="42"/>
        <v>پاکستان</v>
      </c>
      <c r="M3469" s="68" t="str">
        <f>"فله"</f>
        <v>فله</v>
      </c>
      <c r="N3469" s="53" t="str">
        <f t="shared" si="43"/>
        <v>پيشين</v>
      </c>
      <c r="O3469" s="53">
        <v>55301</v>
      </c>
      <c r="P3469" s="198" t="s">
        <v>5838</v>
      </c>
    </row>
    <row r="3470" spans="1:16" ht="18.75" hidden="1">
      <c r="A3470" s="50" t="str">
        <f>"15100-490309"</f>
        <v>15100-490309</v>
      </c>
      <c r="B3470" s="50" t="str">
        <f>"96/08/01"</f>
        <v>96/08/01</v>
      </c>
      <c r="C3470" s="50" t="s">
        <v>6012</v>
      </c>
      <c r="D3470" s="50" t="s">
        <v>5843</v>
      </c>
      <c r="E3470" s="12" t="s">
        <v>4971</v>
      </c>
      <c r="F3470" s="49">
        <v>33030</v>
      </c>
      <c r="G3470" s="77" t="s">
        <v>5611</v>
      </c>
      <c r="H3470" s="14" t="s">
        <v>5601</v>
      </c>
      <c r="I3470" s="14" t="s">
        <v>2458</v>
      </c>
      <c r="J3470" s="33" t="s">
        <v>7110</v>
      </c>
      <c r="K3470" s="33" t="s">
        <v>9759</v>
      </c>
      <c r="L3470" s="53" t="str">
        <f t="shared" si="42"/>
        <v>پاکستان</v>
      </c>
      <c r="M3470" s="68" t="str">
        <f>"بشكه"</f>
        <v>بشكه</v>
      </c>
      <c r="N3470" s="53" t="str">
        <f t="shared" si="43"/>
        <v>پيشين</v>
      </c>
      <c r="O3470" s="53">
        <v>55301</v>
      </c>
      <c r="P3470" s="198" t="s">
        <v>5826</v>
      </c>
    </row>
    <row r="3471" spans="1:16" ht="18.75" hidden="1">
      <c r="A3471" s="50" t="str">
        <f>"15100-495381"</f>
        <v>15100-495381</v>
      </c>
      <c r="B3471" s="50" t="str">
        <f>"96/08/11"</f>
        <v>96/08/11</v>
      </c>
      <c r="C3471" s="50" t="s">
        <v>9747</v>
      </c>
      <c r="D3471" s="50" t="s">
        <v>8760</v>
      </c>
      <c r="E3471" s="12" t="s">
        <v>4971</v>
      </c>
      <c r="F3471" s="49">
        <v>60140</v>
      </c>
      <c r="G3471" s="77" t="s">
        <v>5647</v>
      </c>
      <c r="H3471" s="14" t="s">
        <v>5601</v>
      </c>
      <c r="I3471" s="14" t="s">
        <v>2458</v>
      </c>
      <c r="J3471" s="33" t="s">
        <v>7110</v>
      </c>
      <c r="K3471" s="33" t="s">
        <v>9759</v>
      </c>
      <c r="L3471" s="53" t="str">
        <f t="shared" si="42"/>
        <v>پاکستان</v>
      </c>
      <c r="M3471" s="68" t="str">
        <f>"فله"</f>
        <v>فله</v>
      </c>
      <c r="N3471" s="53" t="str">
        <f t="shared" si="43"/>
        <v>پيشين</v>
      </c>
      <c r="O3471" s="53">
        <v>55301</v>
      </c>
      <c r="P3471" s="198" t="s">
        <v>8723</v>
      </c>
    </row>
    <row r="3472" spans="1:16" ht="18.75" hidden="1">
      <c r="A3472" s="50" t="str">
        <f>"15100-495381"</f>
        <v>15100-495381</v>
      </c>
      <c r="B3472" s="50" t="str">
        <f>"96/08/11"</f>
        <v>96/08/11</v>
      </c>
      <c r="C3472" s="50" t="s">
        <v>8887</v>
      </c>
      <c r="D3472" s="50" t="s">
        <v>8837</v>
      </c>
      <c r="E3472" s="12" t="s">
        <v>4971</v>
      </c>
      <c r="F3472" s="49">
        <v>1000</v>
      </c>
      <c r="G3472" s="77" t="s">
        <v>5647</v>
      </c>
      <c r="H3472" s="14" t="s">
        <v>5601</v>
      </c>
      <c r="I3472" s="14" t="s">
        <v>2458</v>
      </c>
      <c r="J3472" s="33" t="s">
        <v>7110</v>
      </c>
      <c r="K3472" s="33" t="s">
        <v>9759</v>
      </c>
      <c r="L3472" s="53" t="str">
        <f t="shared" si="42"/>
        <v>پاکستان</v>
      </c>
      <c r="M3472" s="68" t="str">
        <f>"فله"</f>
        <v>فله</v>
      </c>
      <c r="N3472" s="53" t="str">
        <f t="shared" si="43"/>
        <v>پيشين</v>
      </c>
      <c r="O3472" s="53">
        <v>55301</v>
      </c>
      <c r="P3472" s="198" t="s">
        <v>7276</v>
      </c>
    </row>
    <row r="3473" spans="1:16" ht="18.75" hidden="1">
      <c r="A3473" s="50" t="str">
        <f>"15100-495381"</f>
        <v>15100-495381</v>
      </c>
      <c r="B3473" s="50" t="str">
        <f>"96/08/11"</f>
        <v>96/08/11</v>
      </c>
      <c r="C3473" s="50" t="s">
        <v>8900</v>
      </c>
      <c r="D3473" s="50" t="s">
        <v>8767</v>
      </c>
      <c r="E3473" s="12" t="s">
        <v>4971</v>
      </c>
      <c r="F3473" s="49">
        <v>13520</v>
      </c>
      <c r="G3473" s="77" t="s">
        <v>5647</v>
      </c>
      <c r="H3473" s="14" t="s">
        <v>5601</v>
      </c>
      <c r="I3473" s="14" t="s">
        <v>2458</v>
      </c>
      <c r="J3473" s="33" t="s">
        <v>7110</v>
      </c>
      <c r="K3473" s="33" t="s">
        <v>9759</v>
      </c>
      <c r="L3473" s="53" t="str">
        <f t="shared" si="42"/>
        <v>پاکستان</v>
      </c>
      <c r="M3473" s="68" t="str">
        <f>"فله"</f>
        <v>فله</v>
      </c>
      <c r="N3473" s="53" t="str">
        <f t="shared" si="43"/>
        <v>پيشين</v>
      </c>
      <c r="O3473" s="53">
        <v>55301</v>
      </c>
      <c r="P3473" s="198" t="s">
        <v>8727</v>
      </c>
    </row>
    <row r="3474" spans="1:16" ht="18.75" hidden="1">
      <c r="A3474" s="50" t="str">
        <f>"15100-493384"</f>
        <v>15100-493384</v>
      </c>
      <c r="B3474" s="50" t="str">
        <f>"96/08/07"</f>
        <v>96/08/07</v>
      </c>
      <c r="C3474" s="50" t="s">
        <v>9740</v>
      </c>
      <c r="D3474" s="50" t="s">
        <v>8617</v>
      </c>
      <c r="E3474" s="12" t="s">
        <v>4971</v>
      </c>
      <c r="F3474" s="49">
        <v>44120</v>
      </c>
      <c r="G3474" s="77" t="s">
        <v>5609</v>
      </c>
      <c r="H3474" s="14" t="s">
        <v>5601</v>
      </c>
      <c r="I3474" s="14" t="s">
        <v>2458</v>
      </c>
      <c r="J3474" s="33" t="s">
        <v>7110</v>
      </c>
      <c r="K3474" s="33" t="s">
        <v>9759</v>
      </c>
      <c r="L3474" s="53" t="str">
        <f t="shared" si="42"/>
        <v>پاکستان</v>
      </c>
      <c r="M3474" s="68" t="str">
        <f>"بشكه"</f>
        <v>بشكه</v>
      </c>
      <c r="N3474" s="53" t="str">
        <f>"تفتان (ميرجاوه)"</f>
        <v>تفتان (ميرجاوه)</v>
      </c>
      <c r="O3474" s="53">
        <v>55200</v>
      </c>
      <c r="P3474" s="198" t="s">
        <v>7114</v>
      </c>
    </row>
    <row r="3475" spans="1:16" ht="18.75" hidden="1">
      <c r="A3475" s="50" t="str">
        <f>"15100-492860"</f>
        <v>15100-492860</v>
      </c>
      <c r="B3475" s="50" t="str">
        <f>"96/08/06"</f>
        <v>96/08/06</v>
      </c>
      <c r="C3475" s="50" t="s">
        <v>9745</v>
      </c>
      <c r="D3475" s="50" t="s">
        <v>8830</v>
      </c>
      <c r="E3475" s="12" t="s">
        <v>4971</v>
      </c>
      <c r="F3475" s="49">
        <v>60060</v>
      </c>
      <c r="G3475" s="77" t="s">
        <v>5647</v>
      </c>
      <c r="H3475" s="14" t="s">
        <v>5601</v>
      </c>
      <c r="I3475" s="14" t="s">
        <v>2458</v>
      </c>
      <c r="J3475" s="33" t="s">
        <v>7110</v>
      </c>
      <c r="K3475" s="33" t="s">
        <v>9759</v>
      </c>
      <c r="L3475" s="53" t="str">
        <f t="shared" si="42"/>
        <v>پاکستان</v>
      </c>
      <c r="M3475" s="68" t="str">
        <f>"فله"</f>
        <v>فله</v>
      </c>
      <c r="N3475" s="53" t="str">
        <f>"پيشين"</f>
        <v>پيشين</v>
      </c>
      <c r="O3475" s="53">
        <v>55301</v>
      </c>
      <c r="P3475" s="198" t="s">
        <v>8723</v>
      </c>
    </row>
    <row r="3476" spans="1:16" ht="18.75" hidden="1">
      <c r="A3476" s="50" t="str">
        <f>"15100-495381"</f>
        <v>15100-495381</v>
      </c>
      <c r="B3476" s="50" t="str">
        <f>"96/08/11"</f>
        <v>96/08/11</v>
      </c>
      <c r="C3476" s="50" t="s">
        <v>9745</v>
      </c>
      <c r="D3476" s="50" t="s">
        <v>8830</v>
      </c>
      <c r="E3476" s="12" t="s">
        <v>4971</v>
      </c>
      <c r="F3476" s="49">
        <v>18900</v>
      </c>
      <c r="G3476" s="77" t="s">
        <v>5647</v>
      </c>
      <c r="H3476" s="14" t="s">
        <v>5601</v>
      </c>
      <c r="I3476" s="14" t="s">
        <v>2458</v>
      </c>
      <c r="J3476" s="33" t="s">
        <v>7110</v>
      </c>
      <c r="K3476" s="33" t="s">
        <v>9759</v>
      </c>
      <c r="L3476" s="53" t="str">
        <f t="shared" si="42"/>
        <v>پاکستان</v>
      </c>
      <c r="M3476" s="68" t="str">
        <f>"فله"</f>
        <v>فله</v>
      </c>
      <c r="N3476" s="53" t="str">
        <f>"پيشين"</f>
        <v>پيشين</v>
      </c>
      <c r="O3476" s="53">
        <v>55301</v>
      </c>
      <c r="P3476" s="198" t="s">
        <v>8723</v>
      </c>
    </row>
    <row r="3477" spans="1:16" ht="18.75" hidden="1">
      <c r="A3477" s="50" t="str">
        <f>"15100-491719"</f>
        <v>15100-491719</v>
      </c>
      <c r="B3477" s="50" t="str">
        <f>"96/08/03"</f>
        <v>96/08/03</v>
      </c>
      <c r="C3477" s="50" t="s">
        <v>8866</v>
      </c>
      <c r="D3477" s="50" t="s">
        <v>6310</v>
      </c>
      <c r="E3477" s="12" t="s">
        <v>4971</v>
      </c>
      <c r="F3477" s="49">
        <v>174000</v>
      </c>
      <c r="G3477" s="77" t="s">
        <v>5609</v>
      </c>
      <c r="H3477" s="14" t="s">
        <v>5601</v>
      </c>
      <c r="I3477" s="14" t="s">
        <v>2458</v>
      </c>
      <c r="J3477" s="33" t="s">
        <v>7110</v>
      </c>
      <c r="K3477" s="33" t="s">
        <v>9759</v>
      </c>
      <c r="L3477" s="53" t="str">
        <f t="shared" si="42"/>
        <v>پاکستان</v>
      </c>
      <c r="M3477" s="68" t="str">
        <f>"بشكه"</f>
        <v>بشكه</v>
      </c>
      <c r="N3477" s="53" t="str">
        <f>"تفتان (ميرجاوه)"</f>
        <v>تفتان (ميرجاوه)</v>
      </c>
      <c r="O3477" s="53">
        <v>55200</v>
      </c>
      <c r="P3477" s="198" t="s">
        <v>7255</v>
      </c>
    </row>
    <row r="3478" spans="1:16" ht="18.75" hidden="1">
      <c r="A3478" s="50" t="str">
        <f>"15100-490309"</f>
        <v>15100-490309</v>
      </c>
      <c r="B3478" s="50" t="str">
        <f>"96/08/01"</f>
        <v>96/08/01</v>
      </c>
      <c r="C3478" s="50" t="s">
        <v>6032</v>
      </c>
      <c r="D3478" s="50" t="s">
        <v>5850</v>
      </c>
      <c r="E3478" s="12" t="s">
        <v>4971</v>
      </c>
      <c r="F3478" s="49">
        <v>66740</v>
      </c>
      <c r="G3478" s="77" t="s">
        <v>5611</v>
      </c>
      <c r="H3478" s="14" t="s">
        <v>5601</v>
      </c>
      <c r="I3478" s="14" t="s">
        <v>2458</v>
      </c>
      <c r="J3478" s="33" t="s">
        <v>7110</v>
      </c>
      <c r="K3478" s="33" t="s">
        <v>9759</v>
      </c>
      <c r="L3478" s="53" t="str">
        <f t="shared" si="42"/>
        <v>پاکستان</v>
      </c>
      <c r="M3478" s="68" t="str">
        <f>"بشكه"</f>
        <v>بشكه</v>
      </c>
      <c r="N3478" s="53" t="str">
        <f>"پيشين"</f>
        <v>پيشين</v>
      </c>
      <c r="O3478" s="53">
        <v>55301</v>
      </c>
      <c r="P3478" s="198" t="s">
        <v>5831</v>
      </c>
    </row>
    <row r="3479" spans="1:16" ht="18.75" hidden="1">
      <c r="A3479" s="50" t="str">
        <f>"15100-490309"</f>
        <v>15100-490309</v>
      </c>
      <c r="B3479" s="50" t="str">
        <f>"96/08/01"</f>
        <v>96/08/01</v>
      </c>
      <c r="C3479" s="50" t="s">
        <v>9753</v>
      </c>
      <c r="D3479" s="50" t="s">
        <v>6310</v>
      </c>
      <c r="E3479" s="12" t="s">
        <v>4971</v>
      </c>
      <c r="F3479" s="49">
        <v>75000</v>
      </c>
      <c r="G3479" s="77" t="s">
        <v>5609</v>
      </c>
      <c r="H3479" s="14" t="s">
        <v>5601</v>
      </c>
      <c r="I3479" s="14" t="s">
        <v>2458</v>
      </c>
      <c r="J3479" s="33" t="s">
        <v>7110</v>
      </c>
      <c r="K3479" s="33" t="s">
        <v>9759</v>
      </c>
      <c r="L3479" s="53" t="str">
        <f t="shared" si="42"/>
        <v>پاکستان</v>
      </c>
      <c r="M3479" s="68" t="str">
        <f>"بشكه"</f>
        <v>بشكه</v>
      </c>
      <c r="N3479" s="53" t="str">
        <f>"پيشين"</f>
        <v>پيشين</v>
      </c>
      <c r="O3479" s="53">
        <v>55301</v>
      </c>
      <c r="P3479" s="198" t="s">
        <v>7234</v>
      </c>
    </row>
    <row r="3480" spans="1:16" ht="18.75" hidden="1">
      <c r="A3480" s="50" t="str">
        <f>"15100-492096"</f>
        <v>15100-492096</v>
      </c>
      <c r="B3480" s="50" t="str">
        <f>"96/08/04"</f>
        <v>96/08/04</v>
      </c>
      <c r="C3480" s="50" t="s">
        <v>6275</v>
      </c>
      <c r="D3480" s="50" t="s">
        <v>6248</v>
      </c>
      <c r="E3480" s="12" t="s">
        <v>4971</v>
      </c>
      <c r="F3480" s="49">
        <v>72560</v>
      </c>
      <c r="G3480" s="77" t="s">
        <v>5611</v>
      </c>
      <c r="H3480" s="14" t="s">
        <v>5601</v>
      </c>
      <c r="I3480" s="14" t="s">
        <v>2458</v>
      </c>
      <c r="J3480" s="33" t="s">
        <v>7110</v>
      </c>
      <c r="K3480" s="33" t="s">
        <v>9759</v>
      </c>
      <c r="L3480" s="53" t="str">
        <f t="shared" si="42"/>
        <v>پاکستان</v>
      </c>
      <c r="M3480" s="68" t="str">
        <f>"بشكه"</f>
        <v>بشكه</v>
      </c>
      <c r="N3480" s="53" t="str">
        <f>"پيشين"</f>
        <v>پيشين</v>
      </c>
      <c r="O3480" s="53">
        <v>55301</v>
      </c>
      <c r="P3480" s="198" t="s">
        <v>5831</v>
      </c>
    </row>
    <row r="3481" spans="1:16" ht="18.75" hidden="1">
      <c r="A3481" s="50" t="str">
        <f>"15100-492096"</f>
        <v>15100-492096</v>
      </c>
      <c r="B3481" s="50" t="str">
        <f>"96/08/04"</f>
        <v>96/08/04</v>
      </c>
      <c r="C3481" s="50" t="s">
        <v>9754</v>
      </c>
      <c r="D3481" s="50" t="s">
        <v>6246</v>
      </c>
      <c r="E3481" s="12" t="s">
        <v>4971</v>
      </c>
      <c r="F3481" s="49">
        <v>104980</v>
      </c>
      <c r="G3481" s="77" t="s">
        <v>5611</v>
      </c>
      <c r="H3481" s="14" t="s">
        <v>5601</v>
      </c>
      <c r="I3481" s="14" t="s">
        <v>2458</v>
      </c>
      <c r="J3481" s="33" t="s">
        <v>7110</v>
      </c>
      <c r="K3481" s="33" t="s">
        <v>9759</v>
      </c>
      <c r="L3481" s="53" t="str">
        <f t="shared" si="42"/>
        <v>پاکستان</v>
      </c>
      <c r="M3481" s="68" t="str">
        <f>"بشكه"</f>
        <v>بشكه</v>
      </c>
      <c r="N3481" s="53" t="str">
        <f>"پيشين"</f>
        <v>پيشين</v>
      </c>
      <c r="O3481" s="53">
        <v>55301</v>
      </c>
      <c r="P3481" s="198" t="s">
        <v>7231</v>
      </c>
    </row>
    <row r="3482" spans="1:16" ht="18.75" hidden="1">
      <c r="A3482" s="50" t="str">
        <f>"15100-492216"</f>
        <v>15100-492216</v>
      </c>
      <c r="B3482" s="50" t="str">
        <f>"96/08/04"</f>
        <v>96/08/04</v>
      </c>
      <c r="C3482" s="50" t="s">
        <v>8850</v>
      </c>
      <c r="D3482" s="50" t="s">
        <v>8621</v>
      </c>
      <c r="E3482" s="12" t="s">
        <v>4971</v>
      </c>
      <c r="F3482" s="49">
        <v>22260</v>
      </c>
      <c r="G3482" s="77" t="s">
        <v>5647</v>
      </c>
      <c r="H3482" s="14" t="s">
        <v>5601</v>
      </c>
      <c r="I3482" s="14" t="s">
        <v>2458</v>
      </c>
      <c r="J3482" s="33" t="s">
        <v>7110</v>
      </c>
      <c r="K3482" s="33" t="s">
        <v>9759</v>
      </c>
      <c r="L3482" s="53" t="str">
        <f t="shared" si="42"/>
        <v>پاکستان</v>
      </c>
      <c r="M3482" s="68" t="str">
        <f>"فله"</f>
        <v>فله</v>
      </c>
      <c r="N3482" s="53" t="str">
        <f>"پيشين"</f>
        <v>پيشين</v>
      </c>
      <c r="O3482" s="53">
        <v>55301</v>
      </c>
      <c r="P3482" s="198" t="s">
        <v>8727</v>
      </c>
    </row>
    <row r="3483" spans="1:16" ht="18.75" hidden="1">
      <c r="A3483" s="50" t="str">
        <f>"15100-496392"</f>
        <v>15100-496392</v>
      </c>
      <c r="B3483" s="50" t="str">
        <f>"96/08/14"</f>
        <v>96/08/14</v>
      </c>
      <c r="C3483" s="50" t="s">
        <v>6398</v>
      </c>
      <c r="D3483" s="50" t="s">
        <v>6314</v>
      </c>
      <c r="E3483" s="12" t="s">
        <v>4971</v>
      </c>
      <c r="F3483" s="49">
        <v>7700</v>
      </c>
      <c r="G3483" s="77" t="s">
        <v>5611</v>
      </c>
      <c r="H3483" s="14" t="s">
        <v>5601</v>
      </c>
      <c r="I3483" s="14" t="s">
        <v>2458</v>
      </c>
      <c r="J3483" s="33" t="s">
        <v>7110</v>
      </c>
      <c r="K3483" s="33" t="s">
        <v>9759</v>
      </c>
      <c r="L3483" s="53" t="str">
        <f t="shared" si="42"/>
        <v>پاکستان</v>
      </c>
      <c r="M3483" s="68" t="str">
        <f>"بشكه"</f>
        <v>بشكه</v>
      </c>
      <c r="N3483" s="53" t="str">
        <f>"بازارچه کوهک سراوان"</f>
        <v>بازارچه کوهک سراوان</v>
      </c>
      <c r="O3483" s="53">
        <v>55107</v>
      </c>
      <c r="P3483" s="198" t="s">
        <v>7231</v>
      </c>
    </row>
    <row r="3484" spans="1:16" ht="18.75" hidden="1">
      <c r="A3484" s="50" t="str">
        <f>"15100-496392"</f>
        <v>15100-496392</v>
      </c>
      <c r="B3484" s="50" t="str">
        <f>"96/08/14"</f>
        <v>96/08/14</v>
      </c>
      <c r="C3484" s="50" t="s">
        <v>9755</v>
      </c>
      <c r="D3484" s="50" t="s">
        <v>6363</v>
      </c>
      <c r="E3484" s="12" t="s">
        <v>4971</v>
      </c>
      <c r="F3484" s="49">
        <v>4060</v>
      </c>
      <c r="G3484" s="77" t="s">
        <v>5611</v>
      </c>
      <c r="H3484" s="14" t="s">
        <v>5601</v>
      </c>
      <c r="I3484" s="14" t="s">
        <v>2458</v>
      </c>
      <c r="J3484" s="33" t="s">
        <v>7110</v>
      </c>
      <c r="K3484" s="33" t="s">
        <v>9759</v>
      </c>
      <c r="L3484" s="53" t="str">
        <f t="shared" si="42"/>
        <v>پاکستان</v>
      </c>
      <c r="M3484" s="68" t="str">
        <f>"بشكه"</f>
        <v>بشكه</v>
      </c>
      <c r="N3484" s="53" t="str">
        <f>"بازارچه کوهک سراوان"</f>
        <v>بازارچه کوهک سراوان</v>
      </c>
      <c r="O3484" s="53">
        <v>55107</v>
      </c>
      <c r="P3484" s="198" t="s">
        <v>7231</v>
      </c>
    </row>
    <row r="3485" spans="1:16" ht="18.75" hidden="1">
      <c r="A3485" s="50" t="str">
        <f>"15100-490933"</f>
        <v>15100-490933</v>
      </c>
      <c r="B3485" s="50" t="str">
        <f>"96/08/02"</f>
        <v>96/08/02</v>
      </c>
      <c r="C3485" s="50" t="s">
        <v>6032</v>
      </c>
      <c r="D3485" s="50" t="s">
        <v>5850</v>
      </c>
      <c r="E3485" s="12" t="s">
        <v>4971</v>
      </c>
      <c r="F3485" s="49">
        <v>88000</v>
      </c>
      <c r="G3485" s="77" t="s">
        <v>5611</v>
      </c>
      <c r="H3485" s="14" t="s">
        <v>5601</v>
      </c>
      <c r="I3485" s="14" t="s">
        <v>2458</v>
      </c>
      <c r="J3485" s="33" t="s">
        <v>7110</v>
      </c>
      <c r="K3485" s="33" t="s">
        <v>9759</v>
      </c>
      <c r="L3485" s="53" t="str">
        <f>"آذربايجان"</f>
        <v>آذربايجان</v>
      </c>
      <c r="M3485" s="68" t="str">
        <f>"فله"</f>
        <v>فله</v>
      </c>
      <c r="N3485" s="53" t="s">
        <v>9760</v>
      </c>
      <c r="O3485" s="53">
        <v>20200</v>
      </c>
      <c r="P3485" s="198" t="s">
        <v>5831</v>
      </c>
    </row>
    <row r="3486" spans="1:16" ht="18.75" hidden="1">
      <c r="A3486" s="50" t="str">
        <f>"15100-491008"</f>
        <v>15100-491008</v>
      </c>
      <c r="B3486" s="50" t="str">
        <f>"96/08/02"</f>
        <v>96/08/02</v>
      </c>
      <c r="C3486" s="50" t="s">
        <v>6044</v>
      </c>
      <c r="D3486" s="50" t="s">
        <v>5857</v>
      </c>
      <c r="E3486" s="12" t="s">
        <v>4971</v>
      </c>
      <c r="F3486" s="49">
        <v>25490</v>
      </c>
      <c r="G3486" s="77" t="s">
        <v>5611</v>
      </c>
      <c r="H3486" s="14" t="s">
        <v>5601</v>
      </c>
      <c r="I3486" s="14" t="s">
        <v>2458</v>
      </c>
      <c r="J3486" s="33" t="s">
        <v>7110</v>
      </c>
      <c r="K3486" s="33" t="s">
        <v>9759</v>
      </c>
      <c r="L3486" s="53" t="str">
        <f>"پاکستان"</f>
        <v>پاکستان</v>
      </c>
      <c r="M3486" s="68" t="str">
        <f>"بشكه"</f>
        <v>بشكه</v>
      </c>
      <c r="N3486" s="53" t="str">
        <f>"تفتان (ميرجاوه)"</f>
        <v>تفتان (ميرجاوه)</v>
      </c>
      <c r="O3486" s="53">
        <v>55200</v>
      </c>
      <c r="P3486" s="198" t="s">
        <v>5831</v>
      </c>
    </row>
    <row r="3487" spans="1:16" ht="18.75" hidden="1">
      <c r="A3487" s="50" t="str">
        <f>"15100-492042"</f>
        <v>15100-492042</v>
      </c>
      <c r="B3487" s="50" t="str">
        <f>"96/08/04"</f>
        <v>96/08/04</v>
      </c>
      <c r="C3487" s="50" t="s">
        <v>8872</v>
      </c>
      <c r="D3487" s="50" t="s">
        <v>8837</v>
      </c>
      <c r="E3487" s="12" t="s">
        <v>4971</v>
      </c>
      <c r="F3487" s="49">
        <v>23660</v>
      </c>
      <c r="G3487" s="77" t="s">
        <v>9756</v>
      </c>
      <c r="H3487" s="14" t="s">
        <v>5601</v>
      </c>
      <c r="I3487" s="14" t="s">
        <v>2458</v>
      </c>
      <c r="J3487" s="33" t="s">
        <v>7110</v>
      </c>
      <c r="K3487" s="33" t="s">
        <v>9759</v>
      </c>
      <c r="L3487" s="53" t="str">
        <f>"گرجستان"</f>
        <v>گرجستان</v>
      </c>
      <c r="M3487" s="68" t="str">
        <f>"فله"</f>
        <v>فله</v>
      </c>
      <c r="N3487" s="53" t="str">
        <f>"بازرگان"</f>
        <v>بازرگان</v>
      </c>
      <c r="O3487" s="53">
        <v>30100</v>
      </c>
      <c r="P3487" s="198" t="s">
        <v>7253</v>
      </c>
    </row>
    <row r="3488" spans="1:16" ht="18.75" hidden="1">
      <c r="A3488" s="50" t="str">
        <f>"15100-492042"</f>
        <v>15100-492042</v>
      </c>
      <c r="B3488" s="50" t="str">
        <f>"96/08/04"</f>
        <v>96/08/04</v>
      </c>
      <c r="C3488" s="50" t="s">
        <v>8853</v>
      </c>
      <c r="D3488" s="50" t="s">
        <v>6328</v>
      </c>
      <c r="E3488" s="12" t="s">
        <v>4971</v>
      </c>
      <c r="F3488" s="49">
        <v>69420</v>
      </c>
      <c r="G3488" s="77" t="s">
        <v>5631</v>
      </c>
      <c r="H3488" s="14" t="s">
        <v>5601</v>
      </c>
      <c r="I3488" s="14" t="s">
        <v>2458</v>
      </c>
      <c r="J3488" s="33" t="s">
        <v>7110</v>
      </c>
      <c r="K3488" s="33" t="s">
        <v>9759</v>
      </c>
      <c r="L3488" s="53" t="str">
        <f>"گرجستان"</f>
        <v>گرجستان</v>
      </c>
      <c r="M3488" s="68" t="str">
        <f>"فله"</f>
        <v>فله</v>
      </c>
      <c r="N3488" s="53" t="str">
        <f>"بازرگان"</f>
        <v>بازرگان</v>
      </c>
      <c r="O3488" s="53">
        <v>30100</v>
      </c>
      <c r="P3488" s="197" t="s">
        <v>7237</v>
      </c>
    </row>
    <row r="3489" spans="1:16" ht="18.75" hidden="1">
      <c r="A3489" s="50" t="str">
        <f>"15100-490996"</f>
        <v>15100-490996</v>
      </c>
      <c r="B3489" s="50" t="str">
        <f>"96/08/02"</f>
        <v>96/08/02</v>
      </c>
      <c r="C3489" s="50" t="s">
        <v>8866</v>
      </c>
      <c r="D3489" s="50" t="s">
        <v>6310</v>
      </c>
      <c r="E3489" s="12" t="s">
        <v>4971</v>
      </c>
      <c r="F3489" s="49">
        <v>93110</v>
      </c>
      <c r="G3489" s="77" t="s">
        <v>5609</v>
      </c>
      <c r="H3489" s="14" t="s">
        <v>5601</v>
      </c>
      <c r="I3489" s="14" t="s">
        <v>2458</v>
      </c>
      <c r="J3489" s="33" t="s">
        <v>7110</v>
      </c>
      <c r="K3489" s="33" t="s">
        <v>9759</v>
      </c>
      <c r="L3489" s="53" t="str">
        <f t="shared" ref="L3489:L3498" si="44">"پاکستان"</f>
        <v>پاکستان</v>
      </c>
      <c r="M3489" s="68" t="str">
        <f>"بشكه"</f>
        <v>بشكه</v>
      </c>
      <c r="N3489" s="53" t="str">
        <f t="shared" ref="N3489:N3494" si="45">"پيشين"</f>
        <v>پيشين</v>
      </c>
      <c r="O3489" s="53">
        <v>55301</v>
      </c>
      <c r="P3489" s="198" t="s">
        <v>7255</v>
      </c>
    </row>
    <row r="3490" spans="1:16" ht="18.75" hidden="1">
      <c r="A3490" s="50" t="str">
        <f>"15100-490996"</f>
        <v>15100-490996</v>
      </c>
      <c r="B3490" s="50" t="str">
        <f>"96/08/02"</f>
        <v>96/08/02</v>
      </c>
      <c r="C3490" s="50" t="s">
        <v>6044</v>
      </c>
      <c r="D3490" s="50" t="s">
        <v>5857</v>
      </c>
      <c r="E3490" s="12" t="s">
        <v>4971</v>
      </c>
      <c r="F3490" s="49">
        <v>46980</v>
      </c>
      <c r="G3490" s="77" t="s">
        <v>5611</v>
      </c>
      <c r="H3490" s="14" t="s">
        <v>5601</v>
      </c>
      <c r="I3490" s="14" t="s">
        <v>2458</v>
      </c>
      <c r="J3490" s="33" t="s">
        <v>7110</v>
      </c>
      <c r="K3490" s="33" t="s">
        <v>9759</v>
      </c>
      <c r="L3490" s="53" t="str">
        <f t="shared" si="44"/>
        <v>پاکستان</v>
      </c>
      <c r="M3490" s="68" t="str">
        <f>"بشكه"</f>
        <v>بشكه</v>
      </c>
      <c r="N3490" s="53" t="str">
        <f t="shared" si="45"/>
        <v>پيشين</v>
      </c>
      <c r="O3490" s="53">
        <v>55301</v>
      </c>
      <c r="P3490" s="198" t="s">
        <v>5831</v>
      </c>
    </row>
    <row r="3491" spans="1:16" ht="18.75" hidden="1">
      <c r="A3491" s="50" t="str">
        <f>"15100-491704"</f>
        <v>15100-491704</v>
      </c>
      <c r="B3491" s="50" t="str">
        <f>"96/08/03"</f>
        <v>96/08/03</v>
      </c>
      <c r="C3491" s="50" t="s">
        <v>6044</v>
      </c>
      <c r="D3491" s="50" t="s">
        <v>5857</v>
      </c>
      <c r="E3491" s="12" t="s">
        <v>4971</v>
      </c>
      <c r="F3491" s="49">
        <v>202530</v>
      </c>
      <c r="G3491" s="77" t="s">
        <v>5611</v>
      </c>
      <c r="H3491" s="14" t="s">
        <v>5601</v>
      </c>
      <c r="I3491" s="14" t="s">
        <v>2458</v>
      </c>
      <c r="J3491" s="33" t="s">
        <v>7110</v>
      </c>
      <c r="K3491" s="33" t="s">
        <v>9759</v>
      </c>
      <c r="L3491" s="53" t="str">
        <f t="shared" si="44"/>
        <v>پاکستان</v>
      </c>
      <c r="M3491" s="68" t="str">
        <f>"بشكه"</f>
        <v>بشكه</v>
      </c>
      <c r="N3491" s="53" t="str">
        <f t="shared" si="45"/>
        <v>پيشين</v>
      </c>
      <c r="O3491" s="53">
        <v>55301</v>
      </c>
      <c r="P3491" s="198" t="s">
        <v>5831</v>
      </c>
    </row>
    <row r="3492" spans="1:16" ht="18.75" hidden="1">
      <c r="A3492" s="50" t="str">
        <f>"15100-491704"</f>
        <v>15100-491704</v>
      </c>
      <c r="B3492" s="50" t="str">
        <f>"96/08/03"</f>
        <v>96/08/03</v>
      </c>
      <c r="C3492" s="50" t="s">
        <v>9754</v>
      </c>
      <c r="D3492" s="50" t="s">
        <v>6246</v>
      </c>
      <c r="E3492" s="12" t="s">
        <v>4971</v>
      </c>
      <c r="F3492" s="49">
        <v>25020</v>
      </c>
      <c r="G3492" s="77" t="s">
        <v>5611</v>
      </c>
      <c r="H3492" s="14" t="s">
        <v>5601</v>
      </c>
      <c r="I3492" s="14" t="s">
        <v>2458</v>
      </c>
      <c r="J3492" s="33" t="s">
        <v>7110</v>
      </c>
      <c r="K3492" s="33" t="s">
        <v>9759</v>
      </c>
      <c r="L3492" s="53" t="str">
        <f t="shared" si="44"/>
        <v>پاکستان</v>
      </c>
      <c r="M3492" s="68" t="str">
        <f>"بشكه"</f>
        <v>بشكه</v>
      </c>
      <c r="N3492" s="53" t="str">
        <f t="shared" si="45"/>
        <v>پيشين</v>
      </c>
      <c r="O3492" s="53">
        <v>55301</v>
      </c>
      <c r="P3492" s="198" t="s">
        <v>7231</v>
      </c>
    </row>
    <row r="3493" spans="1:16" ht="18.75" hidden="1">
      <c r="A3493" s="50" t="str">
        <f>"15100-491704"</f>
        <v>15100-491704</v>
      </c>
      <c r="B3493" s="50" t="str">
        <f>"96/08/03"</f>
        <v>96/08/03</v>
      </c>
      <c r="C3493" s="50" t="s">
        <v>6032</v>
      </c>
      <c r="D3493" s="50" t="s">
        <v>5850</v>
      </c>
      <c r="E3493" s="12" t="s">
        <v>4971</v>
      </c>
      <c r="F3493" s="49">
        <v>7470</v>
      </c>
      <c r="G3493" s="77" t="s">
        <v>5611</v>
      </c>
      <c r="H3493" s="14" t="s">
        <v>5601</v>
      </c>
      <c r="I3493" s="14" t="s">
        <v>2458</v>
      </c>
      <c r="J3493" s="33" t="s">
        <v>7110</v>
      </c>
      <c r="K3493" s="33" t="s">
        <v>9759</v>
      </c>
      <c r="L3493" s="53" t="str">
        <f t="shared" si="44"/>
        <v>پاکستان</v>
      </c>
      <c r="M3493" s="68" t="str">
        <f>"بشكه"</f>
        <v>بشكه</v>
      </c>
      <c r="N3493" s="53" t="str">
        <f t="shared" si="45"/>
        <v>پيشين</v>
      </c>
      <c r="O3493" s="53">
        <v>55301</v>
      </c>
      <c r="P3493" s="198" t="s">
        <v>5831</v>
      </c>
    </row>
    <row r="3494" spans="1:16" ht="18.75" hidden="1">
      <c r="A3494" s="50" t="str">
        <f>"15100-492860"</f>
        <v>15100-492860</v>
      </c>
      <c r="B3494" s="50" t="str">
        <f>"96/08/06"</f>
        <v>96/08/06</v>
      </c>
      <c r="C3494" s="50" t="s">
        <v>6031</v>
      </c>
      <c r="D3494" s="50" t="s">
        <v>5850</v>
      </c>
      <c r="E3494" s="12" t="s">
        <v>4971</v>
      </c>
      <c r="F3494" s="49">
        <v>5620</v>
      </c>
      <c r="G3494" s="77" t="s">
        <v>5647</v>
      </c>
      <c r="H3494" s="14" t="s">
        <v>5601</v>
      </c>
      <c r="I3494" s="14" t="s">
        <v>2458</v>
      </c>
      <c r="J3494" s="33" t="s">
        <v>7110</v>
      </c>
      <c r="K3494" s="33" t="s">
        <v>9759</v>
      </c>
      <c r="L3494" s="53" t="str">
        <f t="shared" si="44"/>
        <v>پاکستان</v>
      </c>
      <c r="M3494" s="68" t="str">
        <f>"فله"</f>
        <v>فله</v>
      </c>
      <c r="N3494" s="53" t="str">
        <f t="shared" si="45"/>
        <v>پيشين</v>
      </c>
      <c r="O3494" s="53">
        <v>55301</v>
      </c>
      <c r="P3494" s="198" t="s">
        <v>5851</v>
      </c>
    </row>
    <row r="3495" spans="1:16" ht="18.75" hidden="1">
      <c r="A3495" s="50" t="str">
        <f>"15100-492204"</f>
        <v>15100-492204</v>
      </c>
      <c r="B3495" s="50" t="str">
        <f>"96/08/04"</f>
        <v>96/08/04</v>
      </c>
      <c r="C3495" s="50" t="s">
        <v>6275</v>
      </c>
      <c r="D3495" s="50" t="s">
        <v>6248</v>
      </c>
      <c r="E3495" s="12" t="s">
        <v>4971</v>
      </c>
      <c r="F3495" s="49">
        <v>177440</v>
      </c>
      <c r="G3495" s="77" t="s">
        <v>5611</v>
      </c>
      <c r="H3495" s="14" t="s">
        <v>5601</v>
      </c>
      <c r="I3495" s="14" t="s">
        <v>2458</v>
      </c>
      <c r="J3495" s="33" t="s">
        <v>7110</v>
      </c>
      <c r="K3495" s="33" t="s">
        <v>9759</v>
      </c>
      <c r="L3495" s="53" t="str">
        <f t="shared" si="44"/>
        <v>پاکستان</v>
      </c>
      <c r="M3495" s="68" t="str">
        <f>"بشكه"</f>
        <v>بشكه</v>
      </c>
      <c r="N3495" s="53" t="str">
        <f>"تفتان (ميرجاوه)"</f>
        <v>تفتان (ميرجاوه)</v>
      </c>
      <c r="O3495" s="53">
        <v>55200</v>
      </c>
      <c r="P3495" s="198" t="s">
        <v>5831</v>
      </c>
    </row>
    <row r="3496" spans="1:16" ht="18.75" hidden="1">
      <c r="A3496" s="50" t="str">
        <f>"15100-492204"</f>
        <v>15100-492204</v>
      </c>
      <c r="B3496" s="50" t="str">
        <f>"96/08/04"</f>
        <v>96/08/04</v>
      </c>
      <c r="C3496" s="50" t="s">
        <v>8866</v>
      </c>
      <c r="D3496" s="50" t="s">
        <v>6310</v>
      </c>
      <c r="E3496" s="12" t="s">
        <v>4971</v>
      </c>
      <c r="F3496" s="49">
        <v>125860</v>
      </c>
      <c r="G3496" s="77" t="s">
        <v>5609</v>
      </c>
      <c r="H3496" s="14" t="s">
        <v>5601</v>
      </c>
      <c r="I3496" s="14" t="s">
        <v>2458</v>
      </c>
      <c r="J3496" s="33" t="s">
        <v>7110</v>
      </c>
      <c r="K3496" s="33" t="s">
        <v>9759</v>
      </c>
      <c r="L3496" s="53" t="str">
        <f t="shared" si="44"/>
        <v>پاکستان</v>
      </c>
      <c r="M3496" s="68" t="str">
        <f>"بشكه"</f>
        <v>بشكه</v>
      </c>
      <c r="N3496" s="53" t="str">
        <f>"تفتان (ميرجاوه)"</f>
        <v>تفتان (ميرجاوه)</v>
      </c>
      <c r="O3496" s="53">
        <v>55200</v>
      </c>
      <c r="P3496" s="198" t="s">
        <v>7255</v>
      </c>
    </row>
    <row r="3497" spans="1:16" ht="18.75" hidden="1">
      <c r="A3497" s="50" t="str">
        <f>"15100-492216"</f>
        <v>15100-492216</v>
      </c>
      <c r="B3497" s="50" t="str">
        <f>"96/08/04"</f>
        <v>96/08/04</v>
      </c>
      <c r="C3497" s="50" t="s">
        <v>9744</v>
      </c>
      <c r="D3497" s="50" t="s">
        <v>8617</v>
      </c>
      <c r="E3497" s="12" t="s">
        <v>4971</v>
      </c>
      <c r="F3497" s="49">
        <v>51440</v>
      </c>
      <c r="G3497" s="77" t="s">
        <v>5609</v>
      </c>
      <c r="H3497" s="14" t="s">
        <v>5601</v>
      </c>
      <c r="I3497" s="14" t="s">
        <v>2458</v>
      </c>
      <c r="J3497" s="33" t="s">
        <v>7110</v>
      </c>
      <c r="K3497" s="33" t="s">
        <v>9759</v>
      </c>
      <c r="L3497" s="53" t="str">
        <f t="shared" si="44"/>
        <v>پاکستان</v>
      </c>
      <c r="M3497" s="68" t="str">
        <f>"فله"</f>
        <v>فله</v>
      </c>
      <c r="N3497" s="53" t="str">
        <f>"پيشين"</f>
        <v>پيشين</v>
      </c>
      <c r="O3497" s="53">
        <v>55301</v>
      </c>
      <c r="P3497" s="198" t="s">
        <v>7121</v>
      </c>
    </row>
    <row r="3498" spans="1:16" ht="18.75" hidden="1">
      <c r="A3498" s="50" t="str">
        <f>"15100-492096"</f>
        <v>15100-492096</v>
      </c>
      <c r="B3498" s="50" t="str">
        <f>"96/08/04"</f>
        <v>96/08/04</v>
      </c>
      <c r="C3498" s="50" t="s">
        <v>9738</v>
      </c>
      <c r="D3498" s="50" t="s">
        <v>6251</v>
      </c>
      <c r="E3498" s="12" t="s">
        <v>4971</v>
      </c>
      <c r="F3498" s="49">
        <v>130330</v>
      </c>
      <c r="G3498" s="77" t="s">
        <v>5611</v>
      </c>
      <c r="H3498" s="14" t="s">
        <v>5601</v>
      </c>
      <c r="I3498" s="14" t="s">
        <v>2458</v>
      </c>
      <c r="J3498" s="33" t="s">
        <v>7110</v>
      </c>
      <c r="K3498" s="33" t="s">
        <v>9759</v>
      </c>
      <c r="L3498" s="53" t="str">
        <f t="shared" si="44"/>
        <v>پاکستان</v>
      </c>
      <c r="M3498" s="68" t="str">
        <f>"بشكه"</f>
        <v>بشكه</v>
      </c>
      <c r="N3498" s="53" t="str">
        <f>"پيشين"</f>
        <v>پيشين</v>
      </c>
      <c r="O3498" s="53">
        <v>55301</v>
      </c>
      <c r="P3498" s="198" t="s">
        <v>5831</v>
      </c>
    </row>
    <row r="3499" spans="1:16" ht="18.75" hidden="1">
      <c r="A3499" s="50" t="s">
        <v>9757</v>
      </c>
      <c r="B3499" s="50" t="s">
        <v>8774</v>
      </c>
      <c r="C3499" s="50" t="s">
        <v>6032</v>
      </c>
      <c r="D3499" s="50" t="s">
        <v>5850</v>
      </c>
      <c r="E3499" s="12" t="s">
        <v>4971</v>
      </c>
      <c r="F3499" s="49">
        <v>24460</v>
      </c>
      <c r="G3499" s="77" t="s">
        <v>5611</v>
      </c>
      <c r="H3499" s="14" t="s">
        <v>5601</v>
      </c>
      <c r="I3499" s="14" t="s">
        <v>2458</v>
      </c>
      <c r="J3499" s="33" t="s">
        <v>7110</v>
      </c>
      <c r="K3499" s="33" t="s">
        <v>9759</v>
      </c>
      <c r="L3499" s="53" t="s">
        <v>6054</v>
      </c>
      <c r="M3499" s="68" t="s">
        <v>8913</v>
      </c>
      <c r="N3499" s="53" t="s">
        <v>6076</v>
      </c>
      <c r="O3499" s="53">
        <v>55301</v>
      </c>
      <c r="P3499" s="198" t="s">
        <v>5831</v>
      </c>
    </row>
    <row r="3500" spans="1:16" ht="18.75" hidden="1">
      <c r="A3500" s="50" t="s">
        <v>9757</v>
      </c>
      <c r="B3500" s="50" t="s">
        <v>8774</v>
      </c>
      <c r="C3500" s="50" t="s">
        <v>6272</v>
      </c>
      <c r="D3500" s="50" t="s">
        <v>6249</v>
      </c>
      <c r="E3500" s="12" t="s">
        <v>4971</v>
      </c>
      <c r="F3500" s="49">
        <v>31020</v>
      </c>
      <c r="G3500" s="77" t="s">
        <v>5647</v>
      </c>
      <c r="H3500" s="14" t="s">
        <v>5601</v>
      </c>
      <c r="I3500" s="14" t="s">
        <v>2458</v>
      </c>
      <c r="J3500" s="33" t="s">
        <v>7110</v>
      </c>
      <c r="K3500" s="33" t="s">
        <v>9759</v>
      </c>
      <c r="L3500" s="53" t="s">
        <v>6054</v>
      </c>
      <c r="M3500" s="68" t="s">
        <v>8913</v>
      </c>
      <c r="N3500" s="53" t="s">
        <v>6076</v>
      </c>
      <c r="O3500" s="53">
        <v>55301</v>
      </c>
      <c r="P3500" s="198" t="s">
        <v>7258</v>
      </c>
    </row>
    <row r="3501" spans="1:16" ht="18.75" hidden="1">
      <c r="A3501" s="50" t="s">
        <v>9757</v>
      </c>
      <c r="B3501" s="50" t="s">
        <v>8774</v>
      </c>
      <c r="C3501" s="50" t="s">
        <v>8850</v>
      </c>
      <c r="D3501" s="50" t="s">
        <v>8621</v>
      </c>
      <c r="E3501" s="12" t="s">
        <v>4971</v>
      </c>
      <c r="F3501" s="49">
        <v>63110</v>
      </c>
      <c r="G3501" s="77" t="s">
        <v>5647</v>
      </c>
      <c r="H3501" s="14" t="s">
        <v>5601</v>
      </c>
      <c r="I3501" s="14" t="s">
        <v>2458</v>
      </c>
      <c r="J3501" s="33" t="s">
        <v>7110</v>
      </c>
      <c r="K3501" s="33" t="s">
        <v>9759</v>
      </c>
      <c r="L3501" s="53" t="s">
        <v>6054</v>
      </c>
      <c r="M3501" s="68" t="s">
        <v>8913</v>
      </c>
      <c r="N3501" s="53" t="s">
        <v>6076</v>
      </c>
      <c r="O3501" s="53">
        <v>55301</v>
      </c>
      <c r="P3501" s="198" t="s">
        <v>8727</v>
      </c>
    </row>
    <row r="3502" spans="1:16" ht="18.75" hidden="1">
      <c r="A3502" s="50" t="s">
        <v>9757</v>
      </c>
      <c r="B3502" s="50" t="s">
        <v>8774</v>
      </c>
      <c r="C3502" s="50" t="s">
        <v>6024</v>
      </c>
      <c r="D3502" s="50" t="s">
        <v>5846</v>
      </c>
      <c r="E3502" s="12" t="s">
        <v>4971</v>
      </c>
      <c r="F3502" s="49">
        <v>15590</v>
      </c>
      <c r="G3502" s="77" t="s">
        <v>5611</v>
      </c>
      <c r="H3502" s="14" t="s">
        <v>5601</v>
      </c>
      <c r="I3502" s="14" t="s">
        <v>2458</v>
      </c>
      <c r="J3502" s="33" t="s">
        <v>7110</v>
      </c>
      <c r="K3502" s="33" t="s">
        <v>9759</v>
      </c>
      <c r="L3502" s="53" t="s">
        <v>6054</v>
      </c>
      <c r="M3502" s="68" t="s">
        <v>8913</v>
      </c>
      <c r="N3502" s="53" t="s">
        <v>6076</v>
      </c>
      <c r="O3502" s="53">
        <v>55301</v>
      </c>
      <c r="P3502" s="198" t="s">
        <v>5831</v>
      </c>
    </row>
    <row r="3503" spans="1:16" ht="18.75" hidden="1">
      <c r="A3503" s="50" t="s">
        <v>9757</v>
      </c>
      <c r="B3503" s="50" t="s">
        <v>8774</v>
      </c>
      <c r="C3503" s="50" t="s">
        <v>6015</v>
      </c>
      <c r="D3503" s="50" t="s">
        <v>5600</v>
      </c>
      <c r="E3503" s="12" t="s">
        <v>4971</v>
      </c>
      <c r="F3503" s="49">
        <v>150700</v>
      </c>
      <c r="G3503" s="77" t="s">
        <v>5611</v>
      </c>
      <c r="H3503" s="14" t="s">
        <v>5601</v>
      </c>
      <c r="I3503" s="14" t="s">
        <v>2458</v>
      </c>
      <c r="J3503" s="33" t="s">
        <v>7110</v>
      </c>
      <c r="K3503" s="33" t="s">
        <v>9759</v>
      </c>
      <c r="L3503" s="53" t="s">
        <v>6054</v>
      </c>
      <c r="M3503" s="68" t="s">
        <v>8913</v>
      </c>
      <c r="N3503" s="53" t="s">
        <v>6076</v>
      </c>
      <c r="O3503" s="53">
        <v>55301</v>
      </c>
      <c r="P3503" s="198" t="s">
        <v>5826</v>
      </c>
    </row>
    <row r="3504" spans="1:16" ht="18.75" hidden="1">
      <c r="A3504" s="50" t="s">
        <v>9758</v>
      </c>
      <c r="B3504" s="50" t="s">
        <v>8760</v>
      </c>
      <c r="C3504" s="50" t="s">
        <v>8853</v>
      </c>
      <c r="D3504" s="50" t="s">
        <v>6328</v>
      </c>
      <c r="E3504" s="12" t="s">
        <v>4971</v>
      </c>
      <c r="F3504" s="49">
        <v>49840</v>
      </c>
      <c r="G3504" s="77" t="s">
        <v>5631</v>
      </c>
      <c r="H3504" s="14" t="s">
        <v>5601</v>
      </c>
      <c r="I3504" s="14" t="s">
        <v>2458</v>
      </c>
      <c r="J3504" s="33" t="s">
        <v>7110</v>
      </c>
      <c r="K3504" s="33" t="s">
        <v>9759</v>
      </c>
      <c r="L3504" s="53" t="s">
        <v>6054</v>
      </c>
      <c r="M3504" s="68" t="s">
        <v>8913</v>
      </c>
      <c r="N3504" s="53" t="s">
        <v>6076</v>
      </c>
      <c r="O3504" s="53">
        <v>55301</v>
      </c>
      <c r="P3504" s="197" t="s">
        <v>7237</v>
      </c>
    </row>
    <row r="3505" spans="1:16" ht="18.75" hidden="1">
      <c r="A3505" s="50" t="s">
        <v>9799</v>
      </c>
      <c r="B3505" s="50" t="s">
        <v>8645</v>
      </c>
      <c r="C3505" s="50" t="s">
        <v>5927</v>
      </c>
      <c r="D3505" s="50" t="s">
        <v>5479</v>
      </c>
      <c r="E3505" s="12" t="s">
        <v>4971</v>
      </c>
      <c r="F3505" s="49">
        <v>175240</v>
      </c>
      <c r="G3505" s="77" t="s">
        <v>6298</v>
      </c>
      <c r="H3505" s="14" t="s">
        <v>5601</v>
      </c>
      <c r="I3505" s="14" t="s">
        <v>2458</v>
      </c>
      <c r="J3505" s="33" t="s">
        <v>7110</v>
      </c>
      <c r="K3505" s="33" t="s">
        <v>9811</v>
      </c>
      <c r="L3505" s="53" t="s">
        <v>6054</v>
      </c>
      <c r="M3505" s="68" t="s">
        <v>8912</v>
      </c>
      <c r="N3505" s="53" t="s">
        <v>6285</v>
      </c>
      <c r="O3505" s="53">
        <v>55200</v>
      </c>
      <c r="P3505" s="198" t="s">
        <v>5813</v>
      </c>
    </row>
    <row r="3506" spans="1:16" ht="18.75" hidden="1">
      <c r="A3506" s="50" t="s">
        <v>9799</v>
      </c>
      <c r="B3506" s="50" t="s">
        <v>8645</v>
      </c>
      <c r="C3506" s="50" t="s">
        <v>5923</v>
      </c>
      <c r="D3506" s="50" t="s">
        <v>5562</v>
      </c>
      <c r="E3506" s="12" t="s">
        <v>4971</v>
      </c>
      <c r="F3506" s="49">
        <v>247070</v>
      </c>
      <c r="G3506" s="77" t="s">
        <v>6298</v>
      </c>
      <c r="H3506" s="14" t="s">
        <v>5601</v>
      </c>
      <c r="I3506" s="14" t="s">
        <v>2458</v>
      </c>
      <c r="J3506" s="33" t="s">
        <v>7110</v>
      </c>
      <c r="K3506" s="33" t="s">
        <v>9811</v>
      </c>
      <c r="L3506" s="53" t="s">
        <v>6054</v>
      </c>
      <c r="M3506" s="68" t="s">
        <v>8912</v>
      </c>
      <c r="N3506" s="53" t="s">
        <v>6285</v>
      </c>
      <c r="O3506" s="53">
        <v>55200</v>
      </c>
      <c r="P3506" s="198" t="s">
        <v>5813</v>
      </c>
    </row>
    <row r="3507" spans="1:16" ht="18.75" hidden="1">
      <c r="A3507" s="50" t="s">
        <v>9800</v>
      </c>
      <c r="B3507" s="50" t="s">
        <v>8855</v>
      </c>
      <c r="C3507" s="50" t="s">
        <v>6012</v>
      </c>
      <c r="D3507" s="50" t="s">
        <v>5843</v>
      </c>
      <c r="E3507" s="12" t="s">
        <v>4971</v>
      </c>
      <c r="F3507" s="49">
        <v>94840</v>
      </c>
      <c r="G3507" s="77" t="s">
        <v>6298</v>
      </c>
      <c r="H3507" s="14" t="s">
        <v>5601</v>
      </c>
      <c r="I3507" s="14" t="s">
        <v>2458</v>
      </c>
      <c r="J3507" s="33" t="s">
        <v>7110</v>
      </c>
      <c r="K3507" s="33" t="s">
        <v>9811</v>
      </c>
      <c r="L3507" s="53" t="s">
        <v>6054</v>
      </c>
      <c r="M3507" s="68" t="s">
        <v>8912</v>
      </c>
      <c r="N3507" s="53" t="s">
        <v>6076</v>
      </c>
      <c r="O3507" s="53">
        <v>55301</v>
      </c>
      <c r="P3507" s="198" t="s">
        <v>5826</v>
      </c>
    </row>
    <row r="3508" spans="1:16" ht="18.75" hidden="1">
      <c r="A3508" s="50" t="s">
        <v>9801</v>
      </c>
      <c r="B3508" s="50" t="s">
        <v>8695</v>
      </c>
      <c r="C3508" s="50" t="s">
        <v>6024</v>
      </c>
      <c r="D3508" s="50" t="s">
        <v>5846</v>
      </c>
      <c r="E3508" s="12" t="s">
        <v>4971</v>
      </c>
      <c r="F3508" s="49">
        <v>4510</v>
      </c>
      <c r="G3508" s="77" t="s">
        <v>6298</v>
      </c>
      <c r="H3508" s="14" t="s">
        <v>5601</v>
      </c>
      <c r="I3508" s="14" t="s">
        <v>2458</v>
      </c>
      <c r="J3508" s="33" t="s">
        <v>7110</v>
      </c>
      <c r="K3508" s="33" t="s">
        <v>9811</v>
      </c>
      <c r="L3508" s="53" t="s">
        <v>6054</v>
      </c>
      <c r="M3508" s="68" t="s">
        <v>8913</v>
      </c>
      <c r="N3508" s="53" t="s">
        <v>6076</v>
      </c>
      <c r="O3508" s="53">
        <v>55301</v>
      </c>
      <c r="P3508" s="198" t="s">
        <v>5831</v>
      </c>
    </row>
    <row r="3509" spans="1:16" ht="18.75" hidden="1">
      <c r="A3509" s="50" t="s">
        <v>9801</v>
      </c>
      <c r="B3509" s="50" t="s">
        <v>8695</v>
      </c>
      <c r="C3509" s="50" t="s">
        <v>8909</v>
      </c>
      <c r="D3509" s="50" t="s">
        <v>6328</v>
      </c>
      <c r="E3509" s="12" t="s">
        <v>4971</v>
      </c>
      <c r="F3509" s="49">
        <v>68960</v>
      </c>
      <c r="G3509" s="77" t="s">
        <v>6453</v>
      </c>
      <c r="H3509" s="14" t="s">
        <v>5601</v>
      </c>
      <c r="I3509" s="14" t="s">
        <v>2458</v>
      </c>
      <c r="J3509" s="33" t="s">
        <v>7110</v>
      </c>
      <c r="K3509" s="33" t="s">
        <v>9811</v>
      </c>
      <c r="L3509" s="53" t="s">
        <v>6054</v>
      </c>
      <c r="M3509" s="68" t="s">
        <v>8913</v>
      </c>
      <c r="N3509" s="53" t="s">
        <v>6076</v>
      </c>
      <c r="O3509" s="53">
        <v>55301</v>
      </c>
      <c r="P3509" s="198" t="s">
        <v>7233</v>
      </c>
    </row>
    <row r="3510" spans="1:16" ht="18.75" hidden="1">
      <c r="A3510" s="50" t="s">
        <v>9801</v>
      </c>
      <c r="B3510" s="50" t="s">
        <v>8695</v>
      </c>
      <c r="C3510" s="50" t="s">
        <v>6001</v>
      </c>
      <c r="D3510" s="50" t="s">
        <v>5840</v>
      </c>
      <c r="E3510" s="12" t="s">
        <v>4971</v>
      </c>
      <c r="F3510" s="49">
        <v>257210</v>
      </c>
      <c r="G3510" s="77" t="s">
        <v>6298</v>
      </c>
      <c r="H3510" s="14" t="s">
        <v>5601</v>
      </c>
      <c r="I3510" s="14" t="s">
        <v>2458</v>
      </c>
      <c r="J3510" s="33" t="s">
        <v>7110</v>
      </c>
      <c r="K3510" s="33" t="s">
        <v>9811</v>
      </c>
      <c r="L3510" s="53" t="s">
        <v>6054</v>
      </c>
      <c r="M3510" s="68" t="s">
        <v>8913</v>
      </c>
      <c r="N3510" s="53" t="s">
        <v>6076</v>
      </c>
      <c r="O3510" s="53">
        <v>55301</v>
      </c>
      <c r="P3510" s="198" t="s">
        <v>5826</v>
      </c>
    </row>
    <row r="3511" spans="1:16" ht="18.75" hidden="1">
      <c r="A3511" s="50" t="s">
        <v>9801</v>
      </c>
      <c r="B3511" s="50" t="s">
        <v>8695</v>
      </c>
      <c r="C3511" s="50" t="s">
        <v>8858</v>
      </c>
      <c r="D3511" s="50" t="s">
        <v>8621</v>
      </c>
      <c r="E3511" s="12" t="s">
        <v>4971</v>
      </c>
      <c r="F3511" s="49">
        <v>46360</v>
      </c>
      <c r="G3511" s="77" t="s">
        <v>8859</v>
      </c>
      <c r="H3511" s="14" t="s">
        <v>5601</v>
      </c>
      <c r="I3511" s="14" t="s">
        <v>2458</v>
      </c>
      <c r="J3511" s="33" t="e">
        <f>VLOOKUP(C3511,شرکتها!A:B,2,FALSE)</f>
        <v>#N/A</v>
      </c>
      <c r="K3511" s="33" t="s">
        <v>9811</v>
      </c>
      <c r="L3511" s="53" t="s">
        <v>6054</v>
      </c>
      <c r="M3511" s="68" t="s">
        <v>8913</v>
      </c>
      <c r="N3511" s="53" t="s">
        <v>6076</v>
      </c>
      <c r="O3511" s="53">
        <v>55301</v>
      </c>
      <c r="P3511" s="198" t="s">
        <v>5854</v>
      </c>
    </row>
    <row r="3512" spans="1:16" ht="18.75" hidden="1">
      <c r="A3512" s="50" t="s">
        <v>9802</v>
      </c>
      <c r="B3512" s="50" t="s">
        <v>8911</v>
      </c>
      <c r="C3512" s="50" t="s">
        <v>6392</v>
      </c>
      <c r="D3512" s="50" t="s">
        <v>6330</v>
      </c>
      <c r="E3512" s="12" t="s">
        <v>4971</v>
      </c>
      <c r="F3512" s="49">
        <v>28590</v>
      </c>
      <c r="G3512" s="77" t="s">
        <v>6298</v>
      </c>
      <c r="H3512" s="14" t="s">
        <v>5601</v>
      </c>
      <c r="I3512" s="14" t="s">
        <v>2458</v>
      </c>
      <c r="J3512" s="33" t="s">
        <v>7110</v>
      </c>
      <c r="K3512" s="33" t="s">
        <v>9811</v>
      </c>
      <c r="L3512" s="53" t="s">
        <v>6054</v>
      </c>
      <c r="M3512" s="68" t="s">
        <v>8912</v>
      </c>
      <c r="N3512" s="53" t="s">
        <v>6285</v>
      </c>
      <c r="O3512" s="53">
        <v>55200</v>
      </c>
      <c r="P3512" s="198" t="s">
        <v>7231</v>
      </c>
    </row>
    <row r="3513" spans="1:16" ht="18.75" hidden="1">
      <c r="A3513" s="50" t="s">
        <v>9802</v>
      </c>
      <c r="B3513" s="50" t="s">
        <v>8911</v>
      </c>
      <c r="C3513" s="50" t="s">
        <v>8853</v>
      </c>
      <c r="D3513" s="50" t="s">
        <v>6328</v>
      </c>
      <c r="E3513" s="12" t="s">
        <v>4971</v>
      </c>
      <c r="F3513" s="49">
        <v>122010</v>
      </c>
      <c r="G3513" s="77" t="s">
        <v>6300</v>
      </c>
      <c r="H3513" s="14" t="s">
        <v>5601</v>
      </c>
      <c r="I3513" s="14" t="s">
        <v>2458</v>
      </c>
      <c r="J3513" s="33" t="s">
        <v>7110</v>
      </c>
      <c r="K3513" s="33" t="s">
        <v>9811</v>
      </c>
      <c r="L3513" s="53" t="s">
        <v>6054</v>
      </c>
      <c r="M3513" s="68" t="s">
        <v>8912</v>
      </c>
      <c r="N3513" s="53" t="s">
        <v>6285</v>
      </c>
      <c r="O3513" s="53">
        <v>55200</v>
      </c>
      <c r="P3513" s="197" t="s">
        <v>7237</v>
      </c>
    </row>
    <row r="3514" spans="1:16" ht="18.75" hidden="1">
      <c r="A3514" s="50" t="s">
        <v>9803</v>
      </c>
      <c r="B3514" s="50" t="s">
        <v>9804</v>
      </c>
      <c r="C3514" s="50" t="s">
        <v>9742</v>
      </c>
      <c r="D3514" s="50" t="s">
        <v>8767</v>
      </c>
      <c r="E3514" s="12" t="s">
        <v>4971</v>
      </c>
      <c r="F3514" s="49">
        <v>44380</v>
      </c>
      <c r="G3514" s="77" t="s">
        <v>6300</v>
      </c>
      <c r="H3514" s="14" t="s">
        <v>5601</v>
      </c>
      <c r="I3514" s="14" t="s">
        <v>2458</v>
      </c>
      <c r="J3514" s="33" t="s">
        <v>7110</v>
      </c>
      <c r="K3514" s="33" t="s">
        <v>9811</v>
      </c>
      <c r="L3514" s="53" t="s">
        <v>6054</v>
      </c>
      <c r="M3514" s="68" t="s">
        <v>8912</v>
      </c>
      <c r="N3514" s="53" t="s">
        <v>6285</v>
      </c>
      <c r="O3514" s="53">
        <v>55200</v>
      </c>
      <c r="P3514" s="197" t="s">
        <v>5842</v>
      </c>
    </row>
    <row r="3515" spans="1:16" ht="18.75" hidden="1">
      <c r="A3515" s="50" t="s">
        <v>9802</v>
      </c>
      <c r="B3515" s="50" t="s">
        <v>8911</v>
      </c>
      <c r="C3515" s="50" t="s">
        <v>5976</v>
      </c>
      <c r="D3515" s="50" t="s">
        <v>5835</v>
      </c>
      <c r="E3515" s="12" t="s">
        <v>4971</v>
      </c>
      <c r="F3515" s="49">
        <v>51500</v>
      </c>
      <c r="G3515" s="77" t="s">
        <v>6300</v>
      </c>
      <c r="H3515" s="14" t="s">
        <v>5601</v>
      </c>
      <c r="I3515" s="14" t="s">
        <v>2458</v>
      </c>
      <c r="J3515" s="33" t="s">
        <v>7110</v>
      </c>
      <c r="K3515" s="33" t="s">
        <v>9811</v>
      </c>
      <c r="L3515" s="53" t="s">
        <v>6054</v>
      </c>
      <c r="M3515" s="68" t="s">
        <v>8912</v>
      </c>
      <c r="N3515" s="53" t="s">
        <v>6285</v>
      </c>
      <c r="O3515" s="53">
        <v>55200</v>
      </c>
      <c r="P3515" s="197" t="s">
        <v>5820</v>
      </c>
    </row>
    <row r="3516" spans="1:16" ht="18.75" hidden="1">
      <c r="A3516" s="50" t="s">
        <v>9802</v>
      </c>
      <c r="B3516" s="50" t="s">
        <v>8911</v>
      </c>
      <c r="C3516" s="50" t="s">
        <v>9740</v>
      </c>
      <c r="D3516" s="50" t="s">
        <v>8617</v>
      </c>
      <c r="E3516" s="12" t="s">
        <v>4971</v>
      </c>
      <c r="F3516" s="49">
        <v>125860</v>
      </c>
      <c r="G3516" s="77" t="s">
        <v>6454</v>
      </c>
      <c r="H3516" s="14" t="s">
        <v>5601</v>
      </c>
      <c r="I3516" s="14" t="s">
        <v>2458</v>
      </c>
      <c r="J3516" s="33" t="s">
        <v>7110</v>
      </c>
      <c r="K3516" s="33" t="s">
        <v>9811</v>
      </c>
      <c r="L3516" s="53" t="s">
        <v>6054</v>
      </c>
      <c r="M3516" s="68" t="s">
        <v>8912</v>
      </c>
      <c r="N3516" s="53" t="s">
        <v>6285</v>
      </c>
      <c r="O3516" s="53">
        <v>55200</v>
      </c>
      <c r="P3516" s="198" t="s">
        <v>7114</v>
      </c>
    </row>
    <row r="3517" spans="1:16" ht="18.75" hidden="1">
      <c r="A3517" s="50" t="s">
        <v>9803</v>
      </c>
      <c r="B3517" s="50" t="s">
        <v>9804</v>
      </c>
      <c r="C3517" s="50" t="s">
        <v>8856</v>
      </c>
      <c r="D3517" s="50" t="s">
        <v>6457</v>
      </c>
      <c r="E3517" s="12" t="s">
        <v>4971</v>
      </c>
      <c r="F3517" s="49">
        <v>132660</v>
      </c>
      <c r="G3517" s="77" t="s">
        <v>6300</v>
      </c>
      <c r="H3517" s="14" t="s">
        <v>5601</v>
      </c>
      <c r="I3517" s="14" t="s">
        <v>2458</v>
      </c>
      <c r="J3517" s="33" t="s">
        <v>7110</v>
      </c>
      <c r="K3517" s="33" t="s">
        <v>9811</v>
      </c>
      <c r="L3517" s="53" t="s">
        <v>6054</v>
      </c>
      <c r="M3517" s="68" t="s">
        <v>8912</v>
      </c>
      <c r="N3517" s="53" t="s">
        <v>6285</v>
      </c>
      <c r="O3517" s="53">
        <v>55200</v>
      </c>
      <c r="P3517" s="197" t="s">
        <v>5842</v>
      </c>
    </row>
    <row r="3518" spans="1:16" ht="18.75" hidden="1">
      <c r="A3518" s="50" t="s">
        <v>9805</v>
      </c>
      <c r="B3518" s="50" t="s">
        <v>8846</v>
      </c>
      <c r="C3518" s="50" t="s">
        <v>6418</v>
      </c>
      <c r="D3518" s="50" t="s">
        <v>6412</v>
      </c>
      <c r="E3518" s="12" t="s">
        <v>4971</v>
      </c>
      <c r="F3518" s="49">
        <v>140270</v>
      </c>
      <c r="G3518" s="77" t="s">
        <v>6298</v>
      </c>
      <c r="H3518" s="14" t="s">
        <v>5601</v>
      </c>
      <c r="I3518" s="14" t="s">
        <v>2458</v>
      </c>
      <c r="J3518" s="33" t="s">
        <v>7110</v>
      </c>
      <c r="K3518" s="33" t="s">
        <v>9811</v>
      </c>
      <c r="L3518" s="53" t="s">
        <v>6054</v>
      </c>
      <c r="M3518" s="68" t="s">
        <v>8912</v>
      </c>
      <c r="N3518" s="53" t="s">
        <v>6076</v>
      </c>
      <c r="O3518" s="53">
        <v>55301</v>
      </c>
      <c r="P3518" s="198" t="s">
        <v>7231</v>
      </c>
    </row>
    <row r="3519" spans="1:16" ht="18.75" hidden="1">
      <c r="A3519" s="50" t="s">
        <v>9805</v>
      </c>
      <c r="B3519" s="50" t="s">
        <v>8846</v>
      </c>
      <c r="C3519" s="50" t="s">
        <v>9743</v>
      </c>
      <c r="D3519" s="50" t="s">
        <v>6410</v>
      </c>
      <c r="E3519" s="12" t="s">
        <v>4971</v>
      </c>
      <c r="F3519" s="49">
        <v>27190</v>
      </c>
      <c r="G3519" s="77" t="s">
        <v>6298</v>
      </c>
      <c r="H3519" s="14" t="s">
        <v>5601</v>
      </c>
      <c r="I3519" s="14" t="s">
        <v>2458</v>
      </c>
      <c r="J3519" s="33" t="s">
        <v>7110</v>
      </c>
      <c r="K3519" s="33" t="s">
        <v>9811</v>
      </c>
      <c r="L3519" s="53" t="s">
        <v>6054</v>
      </c>
      <c r="M3519" s="68" t="s">
        <v>8912</v>
      </c>
      <c r="N3519" s="53" t="s">
        <v>6076</v>
      </c>
      <c r="O3519" s="53">
        <v>55301</v>
      </c>
      <c r="P3519" s="198" t="s">
        <v>7231</v>
      </c>
    </row>
    <row r="3520" spans="1:16" ht="18.75" hidden="1">
      <c r="A3520" s="50" t="s">
        <v>9805</v>
      </c>
      <c r="B3520" s="50" t="s">
        <v>8846</v>
      </c>
      <c r="C3520" s="50" t="s">
        <v>9755</v>
      </c>
      <c r="D3520" s="50" t="s">
        <v>6363</v>
      </c>
      <c r="E3520" s="12" t="s">
        <v>4971</v>
      </c>
      <c r="F3520" s="49">
        <v>175940</v>
      </c>
      <c r="G3520" s="77" t="s">
        <v>6298</v>
      </c>
      <c r="H3520" s="14" t="s">
        <v>5601</v>
      </c>
      <c r="I3520" s="14" t="s">
        <v>2458</v>
      </c>
      <c r="J3520" s="33" t="s">
        <v>7110</v>
      </c>
      <c r="K3520" s="33" t="s">
        <v>9811</v>
      </c>
      <c r="L3520" s="53" t="s">
        <v>6054</v>
      </c>
      <c r="M3520" s="68" t="s">
        <v>8912</v>
      </c>
      <c r="N3520" s="53" t="s">
        <v>6076</v>
      </c>
      <c r="O3520" s="53">
        <v>55301</v>
      </c>
      <c r="P3520" s="198" t="s">
        <v>7231</v>
      </c>
    </row>
    <row r="3521" spans="1:16" ht="18.75" hidden="1">
      <c r="A3521" s="50" t="s">
        <v>9806</v>
      </c>
      <c r="B3521" s="50" t="s">
        <v>5558</v>
      </c>
      <c r="C3521" s="50" t="s">
        <v>5594</v>
      </c>
      <c r="D3521" s="50" t="s">
        <v>5458</v>
      </c>
      <c r="E3521" s="12" t="s">
        <v>4971</v>
      </c>
      <c r="F3521" s="49">
        <v>74320</v>
      </c>
      <c r="G3521" s="77" t="s">
        <v>6300</v>
      </c>
      <c r="H3521" s="14" t="s">
        <v>5601</v>
      </c>
      <c r="I3521" s="14" t="s">
        <v>2458</v>
      </c>
      <c r="J3521" s="33" t="s">
        <v>7110</v>
      </c>
      <c r="K3521" s="33" t="s">
        <v>9811</v>
      </c>
      <c r="L3521" s="53" t="s">
        <v>6054</v>
      </c>
      <c r="M3521" s="68" t="s">
        <v>8912</v>
      </c>
      <c r="N3521" s="53" t="s">
        <v>6286</v>
      </c>
      <c r="O3521" s="53">
        <v>55107</v>
      </c>
      <c r="P3521" s="197" t="s">
        <v>5807</v>
      </c>
    </row>
    <row r="3522" spans="1:16" ht="18.75" hidden="1">
      <c r="A3522" s="50" t="s">
        <v>9807</v>
      </c>
      <c r="B3522" s="50" t="s">
        <v>5848</v>
      </c>
      <c r="C3522" s="50" t="s">
        <v>5905</v>
      </c>
      <c r="D3522" s="50" t="s">
        <v>5478</v>
      </c>
      <c r="E3522" s="12" t="s">
        <v>4971</v>
      </c>
      <c r="F3522" s="49">
        <v>75880</v>
      </c>
      <c r="G3522" s="77" t="s">
        <v>6298</v>
      </c>
      <c r="H3522" s="14" t="s">
        <v>5601</v>
      </c>
      <c r="I3522" s="14" t="s">
        <v>2458</v>
      </c>
      <c r="J3522" s="33" t="s">
        <v>7110</v>
      </c>
      <c r="K3522" s="33" t="s">
        <v>9811</v>
      </c>
      <c r="L3522" s="53" t="s">
        <v>6054</v>
      </c>
      <c r="M3522" s="68" t="s">
        <v>8912</v>
      </c>
      <c r="N3522" s="53" t="s">
        <v>6285</v>
      </c>
      <c r="O3522" s="53">
        <v>55200</v>
      </c>
      <c r="P3522" s="198" t="s">
        <v>5813</v>
      </c>
    </row>
    <row r="3523" spans="1:16" ht="18.75" hidden="1">
      <c r="A3523" s="50" t="s">
        <v>9808</v>
      </c>
      <c r="B3523" s="50" t="s">
        <v>8830</v>
      </c>
      <c r="C3523" s="50" t="s">
        <v>6015</v>
      </c>
      <c r="D3523" s="50" t="s">
        <v>5600</v>
      </c>
      <c r="E3523" s="12" t="s">
        <v>4971</v>
      </c>
      <c r="F3523" s="49">
        <v>48860</v>
      </c>
      <c r="G3523" s="77" t="s">
        <v>6298</v>
      </c>
      <c r="H3523" s="14" t="s">
        <v>5601</v>
      </c>
      <c r="I3523" s="14" t="s">
        <v>2458</v>
      </c>
      <c r="J3523" s="33" t="s">
        <v>7110</v>
      </c>
      <c r="K3523" s="33" t="s">
        <v>9811</v>
      </c>
      <c r="L3523" s="53" t="s">
        <v>6054</v>
      </c>
      <c r="M3523" s="68" t="s">
        <v>8912</v>
      </c>
      <c r="N3523" s="53" t="s">
        <v>6076</v>
      </c>
      <c r="O3523" s="53">
        <v>55301</v>
      </c>
      <c r="P3523" s="198" t="s">
        <v>5826</v>
      </c>
    </row>
    <row r="3524" spans="1:16" ht="18.75" hidden="1">
      <c r="A3524" s="50" t="s">
        <v>9808</v>
      </c>
      <c r="B3524" s="50" t="s">
        <v>8830</v>
      </c>
      <c r="C3524" s="50" t="s">
        <v>9809</v>
      </c>
      <c r="D3524" s="50" t="s">
        <v>5600</v>
      </c>
      <c r="E3524" s="12" t="s">
        <v>4971</v>
      </c>
      <c r="F3524" s="49">
        <v>163000</v>
      </c>
      <c r="G3524" s="77" t="s">
        <v>6298</v>
      </c>
      <c r="H3524" s="14" t="s">
        <v>5601</v>
      </c>
      <c r="I3524" s="14" t="s">
        <v>2458</v>
      </c>
      <c r="J3524" s="33" t="s">
        <v>7110</v>
      </c>
      <c r="K3524" s="33" t="s">
        <v>9811</v>
      </c>
      <c r="L3524" s="53" t="s">
        <v>6054</v>
      </c>
      <c r="M3524" s="68" t="s">
        <v>8912</v>
      </c>
      <c r="N3524" s="53" t="s">
        <v>6076</v>
      </c>
      <c r="O3524" s="53">
        <v>55301</v>
      </c>
      <c r="P3524" s="198" t="s">
        <v>5826</v>
      </c>
    </row>
    <row r="3525" spans="1:16" ht="18.75" hidden="1">
      <c r="A3525" s="50" t="s">
        <v>9810</v>
      </c>
      <c r="B3525" s="50" t="s">
        <v>8830</v>
      </c>
      <c r="C3525" s="50" t="s">
        <v>5996</v>
      </c>
      <c r="D3525" s="50" t="s">
        <v>5839</v>
      </c>
      <c r="E3525" s="12" t="s">
        <v>4971</v>
      </c>
      <c r="F3525" s="49">
        <v>24600</v>
      </c>
      <c r="G3525" s="77" t="s">
        <v>6298</v>
      </c>
      <c r="H3525" s="14" t="s">
        <v>5601</v>
      </c>
      <c r="I3525" s="14" t="s">
        <v>2458</v>
      </c>
      <c r="J3525" s="33" t="s">
        <v>7110</v>
      </c>
      <c r="K3525" s="33" t="s">
        <v>9811</v>
      </c>
      <c r="L3525" s="53" t="s">
        <v>6054</v>
      </c>
      <c r="M3525" s="68" t="s">
        <v>8912</v>
      </c>
      <c r="N3525" s="53" t="s">
        <v>6286</v>
      </c>
      <c r="O3525" s="53">
        <v>55107</v>
      </c>
      <c r="P3525" s="198" t="s">
        <v>5826</v>
      </c>
    </row>
    <row r="3526" spans="1:16" ht="18.75" hidden="1">
      <c r="A3526" s="50" t="s">
        <v>9812</v>
      </c>
      <c r="B3526" s="50" t="s">
        <v>9813</v>
      </c>
      <c r="C3526" s="50" t="s">
        <v>9814</v>
      </c>
      <c r="D3526" s="50" t="s">
        <v>9815</v>
      </c>
      <c r="E3526" s="12" t="s">
        <v>4971</v>
      </c>
      <c r="F3526" s="49">
        <v>22560</v>
      </c>
      <c r="G3526" s="77" t="s">
        <v>6299</v>
      </c>
      <c r="H3526" s="14" t="s">
        <v>5601</v>
      </c>
      <c r="I3526" s="14" t="s">
        <v>2458</v>
      </c>
      <c r="J3526" s="33" t="s">
        <v>7110</v>
      </c>
      <c r="K3526" s="33" t="s">
        <v>9835</v>
      </c>
      <c r="L3526" s="53" t="s">
        <v>6054</v>
      </c>
      <c r="M3526" s="68" t="s">
        <v>8913</v>
      </c>
      <c r="N3526" s="53" t="s">
        <v>6076</v>
      </c>
      <c r="O3526" s="53">
        <v>55301</v>
      </c>
      <c r="P3526" s="198" t="s">
        <v>9775</v>
      </c>
    </row>
    <row r="3527" spans="1:16" ht="18.75" hidden="1">
      <c r="A3527" s="50" t="s">
        <v>9816</v>
      </c>
      <c r="B3527" s="50" t="s">
        <v>9817</v>
      </c>
      <c r="C3527" s="50" t="s">
        <v>8861</v>
      </c>
      <c r="D3527" s="50" t="s">
        <v>6308</v>
      </c>
      <c r="E3527" s="12" t="s">
        <v>4971</v>
      </c>
      <c r="F3527" s="49">
        <v>5820</v>
      </c>
      <c r="G3527" s="77" t="s">
        <v>6454</v>
      </c>
      <c r="H3527" s="14" t="s">
        <v>5601</v>
      </c>
      <c r="I3527" s="14" t="s">
        <v>2458</v>
      </c>
      <c r="J3527" s="33" t="s">
        <v>7110</v>
      </c>
      <c r="K3527" s="33" t="s">
        <v>9835</v>
      </c>
      <c r="L3527" s="53" t="s">
        <v>6054</v>
      </c>
      <c r="M3527" s="68" t="s">
        <v>8913</v>
      </c>
      <c r="N3527" s="53" t="s">
        <v>6076</v>
      </c>
      <c r="O3527" s="53">
        <v>55301</v>
      </c>
      <c r="P3527" s="198" t="s">
        <v>7255</v>
      </c>
    </row>
    <row r="3528" spans="1:16" ht="18.75" hidden="1">
      <c r="A3528" s="50" t="s">
        <v>9818</v>
      </c>
      <c r="B3528" s="50" t="s">
        <v>9819</v>
      </c>
      <c r="C3528" s="50" t="s">
        <v>9820</v>
      </c>
      <c r="D3528" s="50" t="s">
        <v>8629</v>
      </c>
      <c r="E3528" s="12" t="s">
        <v>4971</v>
      </c>
      <c r="F3528" s="49">
        <v>92580</v>
      </c>
      <c r="G3528" s="77" t="s">
        <v>6298</v>
      </c>
      <c r="H3528" s="14" t="s">
        <v>5601</v>
      </c>
      <c r="I3528" s="14" t="s">
        <v>2458</v>
      </c>
      <c r="J3528" s="33" t="s">
        <v>7110</v>
      </c>
      <c r="K3528" s="33" t="s">
        <v>9835</v>
      </c>
      <c r="L3528" s="53" t="s">
        <v>6054</v>
      </c>
      <c r="M3528" s="68" t="s">
        <v>8913</v>
      </c>
      <c r="N3528" s="53" t="s">
        <v>6076</v>
      </c>
      <c r="O3528" s="53">
        <v>55301</v>
      </c>
      <c r="P3528" s="198" t="s">
        <v>7111</v>
      </c>
    </row>
    <row r="3529" spans="1:16" ht="18.75" hidden="1">
      <c r="A3529" s="50" t="s">
        <v>9816</v>
      </c>
      <c r="B3529" s="50" t="s">
        <v>9817</v>
      </c>
      <c r="C3529" s="50" t="s">
        <v>9749</v>
      </c>
      <c r="D3529" s="50" t="s">
        <v>6305</v>
      </c>
      <c r="E3529" s="12" t="s">
        <v>4971</v>
      </c>
      <c r="F3529" s="49">
        <v>204640</v>
      </c>
      <c r="G3529" s="77" t="s">
        <v>6453</v>
      </c>
      <c r="H3529" s="14" t="s">
        <v>5601</v>
      </c>
      <c r="I3529" s="14" t="s">
        <v>2458</v>
      </c>
      <c r="J3529" s="33" t="s">
        <v>7110</v>
      </c>
      <c r="K3529" s="33" t="s">
        <v>9835</v>
      </c>
      <c r="L3529" s="53" t="s">
        <v>6054</v>
      </c>
      <c r="M3529" s="68" t="s">
        <v>8913</v>
      </c>
      <c r="N3529" s="53" t="s">
        <v>6076</v>
      </c>
      <c r="O3529" s="53">
        <v>55301</v>
      </c>
      <c r="P3529" s="198" t="s">
        <v>7233</v>
      </c>
    </row>
    <row r="3530" spans="1:16" ht="18.75" hidden="1">
      <c r="A3530" s="50" t="s">
        <v>9821</v>
      </c>
      <c r="B3530" s="50" t="s">
        <v>9822</v>
      </c>
      <c r="C3530" s="50" t="s">
        <v>9748</v>
      </c>
      <c r="D3530" s="50" t="s">
        <v>6323</v>
      </c>
      <c r="E3530" s="12" t="s">
        <v>4971</v>
      </c>
      <c r="F3530" s="49">
        <v>118830</v>
      </c>
      <c r="G3530" s="77" t="s">
        <v>6298</v>
      </c>
      <c r="H3530" s="14" t="s">
        <v>5601</v>
      </c>
      <c r="I3530" s="14" t="s">
        <v>2458</v>
      </c>
      <c r="J3530" s="33" t="s">
        <v>7110</v>
      </c>
      <c r="K3530" s="33" t="s">
        <v>9835</v>
      </c>
      <c r="L3530" s="53" t="s">
        <v>6054</v>
      </c>
      <c r="M3530" s="68" t="s">
        <v>8912</v>
      </c>
      <c r="N3530" s="53" t="s">
        <v>9836</v>
      </c>
      <c r="O3530" s="53">
        <v>55112</v>
      </c>
      <c r="P3530" s="198" t="s">
        <v>7175</v>
      </c>
    </row>
    <row r="3531" spans="1:16" ht="18.75" hidden="1">
      <c r="A3531" s="50" t="s">
        <v>9823</v>
      </c>
      <c r="B3531" s="50" t="s">
        <v>9813</v>
      </c>
      <c r="C3531" s="50" t="s">
        <v>9820</v>
      </c>
      <c r="D3531" s="50" t="s">
        <v>8629</v>
      </c>
      <c r="E3531" s="12" t="s">
        <v>4971</v>
      </c>
      <c r="F3531" s="49">
        <v>49310</v>
      </c>
      <c r="G3531" s="77" t="s">
        <v>6298</v>
      </c>
      <c r="H3531" s="14" t="s">
        <v>5601</v>
      </c>
      <c r="I3531" s="14" t="s">
        <v>2458</v>
      </c>
      <c r="J3531" s="33" t="s">
        <v>7110</v>
      </c>
      <c r="K3531" s="33" t="s">
        <v>9835</v>
      </c>
      <c r="L3531" s="53" t="s">
        <v>6054</v>
      </c>
      <c r="M3531" s="68" t="s">
        <v>8912</v>
      </c>
      <c r="N3531" s="53" t="s">
        <v>6286</v>
      </c>
      <c r="O3531" s="53">
        <v>55107</v>
      </c>
      <c r="P3531" s="198" t="s">
        <v>7111</v>
      </c>
    </row>
    <row r="3532" spans="1:16" ht="18.75" hidden="1">
      <c r="A3532" s="50" t="s">
        <v>9824</v>
      </c>
      <c r="B3532" s="50" t="s">
        <v>9825</v>
      </c>
      <c r="C3532" s="50" t="s">
        <v>9820</v>
      </c>
      <c r="D3532" s="50" t="s">
        <v>8629</v>
      </c>
      <c r="E3532" s="12" t="s">
        <v>4971</v>
      </c>
      <c r="F3532" s="49">
        <v>17700</v>
      </c>
      <c r="G3532" s="77" t="s">
        <v>6298</v>
      </c>
      <c r="H3532" s="14" t="s">
        <v>5601</v>
      </c>
      <c r="I3532" s="14" t="s">
        <v>2458</v>
      </c>
      <c r="J3532" s="33" t="s">
        <v>7110</v>
      </c>
      <c r="K3532" s="33" t="s">
        <v>9835</v>
      </c>
      <c r="L3532" s="53" t="s">
        <v>6054</v>
      </c>
      <c r="M3532" s="68" t="s">
        <v>8912</v>
      </c>
      <c r="N3532" s="53" t="s">
        <v>6285</v>
      </c>
      <c r="O3532" s="53">
        <v>55200</v>
      </c>
      <c r="P3532" s="198" t="s">
        <v>7111</v>
      </c>
    </row>
    <row r="3533" spans="1:16" ht="18.75" hidden="1">
      <c r="A3533" s="50" t="s">
        <v>9826</v>
      </c>
      <c r="B3533" s="50" t="s">
        <v>9827</v>
      </c>
      <c r="C3533" s="50" t="s">
        <v>9739</v>
      </c>
      <c r="D3533" s="50" t="s">
        <v>8770</v>
      </c>
      <c r="E3533" s="12" t="s">
        <v>4971</v>
      </c>
      <c r="F3533" s="49">
        <v>6530</v>
      </c>
      <c r="G3533" s="77" t="s">
        <v>6454</v>
      </c>
      <c r="H3533" s="14" t="s">
        <v>5601</v>
      </c>
      <c r="I3533" s="14" t="s">
        <v>2458</v>
      </c>
      <c r="J3533" s="33" t="s">
        <v>7110</v>
      </c>
      <c r="K3533" s="33" t="s">
        <v>9835</v>
      </c>
      <c r="L3533" s="53" t="s">
        <v>6054</v>
      </c>
      <c r="M3533" s="68" t="s">
        <v>8912</v>
      </c>
      <c r="N3533" s="53" t="s">
        <v>6076</v>
      </c>
      <c r="O3533" s="53">
        <v>55301</v>
      </c>
      <c r="P3533" s="198" t="s">
        <v>7118</v>
      </c>
    </row>
    <row r="3534" spans="1:16" ht="18.75" hidden="1">
      <c r="A3534" s="50" t="s">
        <v>9826</v>
      </c>
      <c r="B3534" s="50" t="s">
        <v>9827</v>
      </c>
      <c r="C3534" s="50" t="s">
        <v>9820</v>
      </c>
      <c r="D3534" s="50" t="s">
        <v>8629</v>
      </c>
      <c r="E3534" s="12" t="s">
        <v>4971</v>
      </c>
      <c r="F3534" s="49">
        <v>88470</v>
      </c>
      <c r="G3534" s="77" t="s">
        <v>6298</v>
      </c>
      <c r="H3534" s="14" t="s">
        <v>5601</v>
      </c>
      <c r="I3534" s="14" t="s">
        <v>2458</v>
      </c>
      <c r="J3534" s="33" t="s">
        <v>7110</v>
      </c>
      <c r="K3534" s="33" t="s">
        <v>9835</v>
      </c>
      <c r="L3534" s="53" t="s">
        <v>6054</v>
      </c>
      <c r="M3534" s="68" t="s">
        <v>8912</v>
      </c>
      <c r="N3534" s="53" t="s">
        <v>6076</v>
      </c>
      <c r="O3534" s="53">
        <v>55301</v>
      </c>
      <c r="P3534" s="198" t="s">
        <v>7111</v>
      </c>
    </row>
    <row r="3535" spans="1:16" ht="18.75" hidden="1">
      <c r="A3535" s="50" t="s">
        <v>9828</v>
      </c>
      <c r="B3535" s="50" t="s">
        <v>9813</v>
      </c>
      <c r="C3535" s="50" t="s">
        <v>9820</v>
      </c>
      <c r="D3535" s="50" t="s">
        <v>8629</v>
      </c>
      <c r="E3535" s="12" t="s">
        <v>4971</v>
      </c>
      <c r="F3535" s="49">
        <v>51080</v>
      </c>
      <c r="G3535" s="77" t="s">
        <v>6298</v>
      </c>
      <c r="H3535" s="14" t="s">
        <v>5601</v>
      </c>
      <c r="I3535" s="14" t="s">
        <v>2458</v>
      </c>
      <c r="J3535" s="33" t="s">
        <v>7110</v>
      </c>
      <c r="K3535" s="33" t="s">
        <v>9835</v>
      </c>
      <c r="L3535" s="53" t="s">
        <v>6054</v>
      </c>
      <c r="M3535" s="68" t="s">
        <v>8912</v>
      </c>
      <c r="N3535" s="53" t="s">
        <v>6285</v>
      </c>
      <c r="O3535" s="53">
        <v>55200</v>
      </c>
      <c r="P3535" s="198" t="s">
        <v>7111</v>
      </c>
    </row>
    <row r="3536" spans="1:16" ht="18.75" hidden="1">
      <c r="A3536" s="50" t="s">
        <v>9829</v>
      </c>
      <c r="B3536" s="50" t="s">
        <v>9830</v>
      </c>
      <c r="C3536" s="50" t="s">
        <v>8909</v>
      </c>
      <c r="D3536" s="50" t="s">
        <v>6328</v>
      </c>
      <c r="E3536" s="12" t="s">
        <v>4971</v>
      </c>
      <c r="F3536" s="49">
        <v>10750</v>
      </c>
      <c r="G3536" s="77" t="s">
        <v>6453</v>
      </c>
      <c r="H3536" s="14" t="s">
        <v>5601</v>
      </c>
      <c r="I3536" s="14" t="s">
        <v>2458</v>
      </c>
      <c r="J3536" s="33" t="s">
        <v>7110</v>
      </c>
      <c r="K3536" s="33" t="s">
        <v>9835</v>
      </c>
      <c r="L3536" s="53" t="s">
        <v>6054</v>
      </c>
      <c r="M3536" s="68" t="s">
        <v>8913</v>
      </c>
      <c r="N3536" s="53" t="s">
        <v>6076</v>
      </c>
      <c r="O3536" s="53">
        <v>55301</v>
      </c>
      <c r="P3536" s="198" t="s">
        <v>7233</v>
      </c>
    </row>
    <row r="3537" spans="1:16" ht="18.75" hidden="1">
      <c r="A3537" s="50" t="s">
        <v>9831</v>
      </c>
      <c r="B3537" s="50" t="s">
        <v>9832</v>
      </c>
      <c r="C3537" s="50" t="s">
        <v>9833</v>
      </c>
      <c r="D3537" s="50" t="s">
        <v>8767</v>
      </c>
      <c r="E3537" s="12" t="s">
        <v>4971</v>
      </c>
      <c r="F3537" s="49">
        <v>108190</v>
      </c>
      <c r="G3537" s="77" t="s">
        <v>6300</v>
      </c>
      <c r="H3537" s="14" t="s">
        <v>5601</v>
      </c>
      <c r="I3537" s="14" t="s">
        <v>2458</v>
      </c>
      <c r="J3537" s="33" t="s">
        <v>7110</v>
      </c>
      <c r="K3537" s="33" t="s">
        <v>9835</v>
      </c>
      <c r="L3537" s="53" t="s">
        <v>6054</v>
      </c>
      <c r="M3537" s="68" t="s">
        <v>8912</v>
      </c>
      <c r="N3537" s="53" t="s">
        <v>9836</v>
      </c>
      <c r="O3537" s="53">
        <v>55112</v>
      </c>
      <c r="P3537" s="197" t="s">
        <v>5842</v>
      </c>
    </row>
    <row r="3538" spans="1:16" ht="18.75" hidden="1">
      <c r="A3538" s="50" t="s">
        <v>9831</v>
      </c>
      <c r="B3538" s="50" t="s">
        <v>9832</v>
      </c>
      <c r="C3538" s="50" t="s">
        <v>9748</v>
      </c>
      <c r="D3538" s="50" t="s">
        <v>6323</v>
      </c>
      <c r="E3538" s="12" t="s">
        <v>4971</v>
      </c>
      <c r="F3538" s="49">
        <v>96330</v>
      </c>
      <c r="G3538" s="77" t="s">
        <v>6298</v>
      </c>
      <c r="H3538" s="14" t="s">
        <v>5601</v>
      </c>
      <c r="I3538" s="14" t="s">
        <v>2458</v>
      </c>
      <c r="J3538" s="33" t="s">
        <v>7110</v>
      </c>
      <c r="K3538" s="33" t="s">
        <v>9835</v>
      </c>
      <c r="L3538" s="53" t="s">
        <v>6054</v>
      </c>
      <c r="M3538" s="68" t="s">
        <v>8912</v>
      </c>
      <c r="N3538" s="53" t="s">
        <v>9836</v>
      </c>
      <c r="O3538" s="53">
        <v>55112</v>
      </c>
      <c r="P3538" s="198" t="s">
        <v>7175</v>
      </c>
    </row>
    <row r="3539" spans="1:16" ht="18.75" hidden="1">
      <c r="A3539" s="50" t="s">
        <v>9829</v>
      </c>
      <c r="B3539" s="50" t="s">
        <v>9830</v>
      </c>
      <c r="C3539" s="50" t="s">
        <v>8857</v>
      </c>
      <c r="D3539" s="50" t="s">
        <v>8636</v>
      </c>
      <c r="E3539" s="12" t="s">
        <v>4971</v>
      </c>
      <c r="F3539" s="49">
        <v>12590</v>
      </c>
      <c r="G3539" s="77" t="s">
        <v>6453</v>
      </c>
      <c r="H3539" s="14" t="s">
        <v>5601</v>
      </c>
      <c r="I3539" s="14" t="s">
        <v>2458</v>
      </c>
      <c r="J3539" s="33" t="s">
        <v>7110</v>
      </c>
      <c r="K3539" s="33" t="s">
        <v>9835</v>
      </c>
      <c r="L3539" s="53" t="s">
        <v>6054</v>
      </c>
      <c r="M3539" s="68" t="s">
        <v>8913</v>
      </c>
      <c r="N3539" s="53" t="s">
        <v>6076</v>
      </c>
      <c r="O3539" s="53">
        <v>55301</v>
      </c>
      <c r="P3539" s="198" t="s">
        <v>8497</v>
      </c>
    </row>
    <row r="3540" spans="1:16" ht="18.75" hidden="1">
      <c r="A3540" s="50" t="s">
        <v>9831</v>
      </c>
      <c r="B3540" s="50" t="s">
        <v>9832</v>
      </c>
      <c r="C3540" s="50" t="s">
        <v>9742</v>
      </c>
      <c r="D3540" s="50" t="s">
        <v>8767</v>
      </c>
      <c r="E3540" s="12" t="s">
        <v>4971</v>
      </c>
      <c r="F3540" s="49">
        <v>16770</v>
      </c>
      <c r="G3540" s="77" t="s">
        <v>6300</v>
      </c>
      <c r="H3540" s="14" t="s">
        <v>5601</v>
      </c>
      <c r="I3540" s="14" t="s">
        <v>2458</v>
      </c>
      <c r="J3540" s="33" t="s">
        <v>7110</v>
      </c>
      <c r="K3540" s="33" t="s">
        <v>9835</v>
      </c>
      <c r="L3540" s="53" t="s">
        <v>6054</v>
      </c>
      <c r="M3540" s="68" t="s">
        <v>8912</v>
      </c>
      <c r="N3540" s="53" t="s">
        <v>9836</v>
      </c>
      <c r="O3540" s="53">
        <v>55112</v>
      </c>
      <c r="P3540" s="197" t="s">
        <v>5842</v>
      </c>
    </row>
    <row r="3541" spans="1:16" ht="18.75" hidden="1">
      <c r="A3541" s="50" t="s">
        <v>9831</v>
      </c>
      <c r="B3541" s="50" t="s">
        <v>9832</v>
      </c>
      <c r="C3541" s="50" t="s">
        <v>9820</v>
      </c>
      <c r="D3541" s="50" t="s">
        <v>8629</v>
      </c>
      <c r="E3541" s="12" t="s">
        <v>4971</v>
      </c>
      <c r="F3541" s="49">
        <v>2860</v>
      </c>
      <c r="G3541" s="77" t="s">
        <v>6298</v>
      </c>
      <c r="H3541" s="14" t="s">
        <v>5601</v>
      </c>
      <c r="I3541" s="14" t="s">
        <v>2458</v>
      </c>
      <c r="J3541" s="33" t="s">
        <v>7110</v>
      </c>
      <c r="K3541" s="33" t="s">
        <v>9835</v>
      </c>
      <c r="L3541" s="53" t="s">
        <v>6054</v>
      </c>
      <c r="M3541" s="68" t="s">
        <v>8912</v>
      </c>
      <c r="N3541" s="53" t="s">
        <v>9836</v>
      </c>
      <c r="O3541" s="53">
        <v>55112</v>
      </c>
      <c r="P3541" s="198" t="s">
        <v>7111</v>
      </c>
    </row>
    <row r="3542" spans="1:16" ht="18.75" hidden="1">
      <c r="A3542" s="50" t="s">
        <v>9831</v>
      </c>
      <c r="B3542" s="50" t="s">
        <v>9832</v>
      </c>
      <c r="C3542" s="50" t="s">
        <v>8858</v>
      </c>
      <c r="D3542" s="50" t="s">
        <v>8621</v>
      </c>
      <c r="E3542" s="12" t="s">
        <v>4971</v>
      </c>
      <c r="F3542" s="49">
        <v>20450</v>
      </c>
      <c r="G3542" s="77" t="s">
        <v>8859</v>
      </c>
      <c r="H3542" s="14" t="s">
        <v>5601</v>
      </c>
      <c r="I3542" s="14" t="s">
        <v>2458</v>
      </c>
      <c r="J3542" s="33" t="e">
        <f>VLOOKUP(C3542,شرکتها!A:B,2,FALSE)</f>
        <v>#N/A</v>
      </c>
      <c r="K3542" s="33" t="s">
        <v>9835</v>
      </c>
      <c r="L3542" s="53" t="s">
        <v>6054</v>
      </c>
      <c r="M3542" s="68" t="s">
        <v>8912</v>
      </c>
      <c r="N3542" s="53" t="s">
        <v>9836</v>
      </c>
      <c r="O3542" s="53">
        <v>55112</v>
      </c>
      <c r="P3542" s="198" t="s">
        <v>5854</v>
      </c>
    </row>
    <row r="3543" spans="1:16" ht="18.75" hidden="1">
      <c r="A3543" s="50" t="s">
        <v>9834</v>
      </c>
      <c r="B3543" s="50" t="s">
        <v>9827</v>
      </c>
      <c r="C3543" s="50" t="s">
        <v>9814</v>
      </c>
      <c r="D3543" s="50" t="s">
        <v>9815</v>
      </c>
      <c r="E3543" s="12" t="s">
        <v>4971</v>
      </c>
      <c r="F3543" s="49">
        <v>45460</v>
      </c>
      <c r="G3543" s="77" t="s">
        <v>6299</v>
      </c>
      <c r="H3543" s="14" t="s">
        <v>5601</v>
      </c>
      <c r="I3543" s="14" t="s">
        <v>2458</v>
      </c>
      <c r="J3543" s="33" t="s">
        <v>7110</v>
      </c>
      <c r="K3543" s="33" t="s">
        <v>9835</v>
      </c>
      <c r="L3543" s="53" t="s">
        <v>6054</v>
      </c>
      <c r="M3543" s="68" t="s">
        <v>8913</v>
      </c>
      <c r="N3543" s="53" t="s">
        <v>6076</v>
      </c>
      <c r="O3543" s="53">
        <v>55301</v>
      </c>
      <c r="P3543" s="198" t="s">
        <v>9775</v>
      </c>
    </row>
    <row r="3544" spans="1:16" ht="18.75" hidden="1">
      <c r="A3544" s="50" t="s">
        <v>9816</v>
      </c>
      <c r="B3544" s="50" t="s">
        <v>9817</v>
      </c>
      <c r="C3544" s="50" t="s">
        <v>6376</v>
      </c>
      <c r="D3544" s="50" t="s">
        <v>6314</v>
      </c>
      <c r="E3544" s="12" t="s">
        <v>4971</v>
      </c>
      <c r="F3544" s="49">
        <v>23520</v>
      </c>
      <c r="G3544" s="77" t="s">
        <v>6453</v>
      </c>
      <c r="H3544" s="14" t="s">
        <v>5601</v>
      </c>
      <c r="I3544" s="14" t="s">
        <v>2458</v>
      </c>
      <c r="J3544" s="33" t="s">
        <v>7110</v>
      </c>
      <c r="K3544" s="33" t="s">
        <v>9835</v>
      </c>
      <c r="L3544" s="53" t="s">
        <v>6054</v>
      </c>
      <c r="M3544" s="68" t="s">
        <v>8913</v>
      </c>
      <c r="N3544" s="53" t="s">
        <v>6076</v>
      </c>
      <c r="O3544" s="53">
        <v>55301</v>
      </c>
      <c r="P3544" s="198" t="s">
        <v>7233</v>
      </c>
    </row>
    <row r="3545" spans="1:16" ht="18.75" hidden="1">
      <c r="A3545" s="50" t="s">
        <v>9824</v>
      </c>
      <c r="B3545" s="50" t="s">
        <v>9825</v>
      </c>
      <c r="C3545" s="50" t="s">
        <v>5087</v>
      </c>
      <c r="D3545" s="50" t="s">
        <v>5047</v>
      </c>
      <c r="E3545" s="12" t="s">
        <v>4971</v>
      </c>
      <c r="F3545" s="49">
        <v>83030</v>
      </c>
      <c r="G3545" s="77" t="s">
        <v>8845</v>
      </c>
      <c r="H3545" s="14" t="s">
        <v>5601</v>
      </c>
      <c r="I3545" s="14" t="s">
        <v>2458</v>
      </c>
      <c r="J3545" s="33" t="s">
        <v>7110</v>
      </c>
      <c r="K3545" s="33" t="s">
        <v>9835</v>
      </c>
      <c r="L3545" s="53" t="s">
        <v>6054</v>
      </c>
      <c r="M3545" s="68" t="s">
        <v>8912</v>
      </c>
      <c r="N3545" s="53" t="s">
        <v>6285</v>
      </c>
      <c r="O3545" s="53">
        <v>55200</v>
      </c>
      <c r="P3545" s="198" t="s">
        <v>5802</v>
      </c>
    </row>
    <row r="3546" spans="1:16" ht="18.75" hidden="1">
      <c r="A3546" s="50" t="str">
        <f>"50100-9490332"</f>
        <v>50100-9490332</v>
      </c>
      <c r="B3546" s="50" t="str">
        <f>"96/08/27"</f>
        <v>96/08/27</v>
      </c>
      <c r="C3546" s="50" t="s">
        <v>9733</v>
      </c>
      <c r="D3546" s="50" t="s">
        <v>6243</v>
      </c>
      <c r="E3546" s="12" t="s">
        <v>4971</v>
      </c>
      <c r="F3546" s="49">
        <v>166977</v>
      </c>
      <c r="G3546" s="77" t="s">
        <v>5611</v>
      </c>
      <c r="H3546" s="14" t="s">
        <v>5601</v>
      </c>
      <c r="I3546" s="14" t="s">
        <v>2458</v>
      </c>
      <c r="J3546" s="33" t="s">
        <v>7110</v>
      </c>
      <c r="K3546" s="33" t="s">
        <v>9910</v>
      </c>
      <c r="L3546" s="53" t="str">
        <f>"سودان"</f>
        <v>سودان</v>
      </c>
      <c r="M3546" s="68" t="str">
        <f>"بشكه"</f>
        <v>بشكه</v>
      </c>
      <c r="N3546" s="53" t="str">
        <f t="shared" ref="N3546:N3609" si="46">"منطقه ويژه اقتصادي شهيد رجايي"</f>
        <v>منطقه ويژه اقتصادي شهيد رجايي</v>
      </c>
      <c r="O3546" s="53">
        <v>50100</v>
      </c>
      <c r="P3546" s="198" t="s">
        <v>5831</v>
      </c>
    </row>
    <row r="3547" spans="1:16" ht="18.75" hidden="1">
      <c r="A3547" s="50" t="str">
        <f>"50100-9490332"</f>
        <v>50100-9490332</v>
      </c>
      <c r="B3547" s="50" t="str">
        <f>"96/08/27"</f>
        <v>96/08/27</v>
      </c>
      <c r="C3547" s="50" t="s">
        <v>9837</v>
      </c>
      <c r="D3547" s="50" t="s">
        <v>6332</v>
      </c>
      <c r="E3547" s="12" t="s">
        <v>4971</v>
      </c>
      <c r="F3547" s="49">
        <v>26560</v>
      </c>
      <c r="G3547" s="77" t="s">
        <v>5611</v>
      </c>
      <c r="H3547" s="14" t="s">
        <v>5601</v>
      </c>
      <c r="I3547" s="14" t="s">
        <v>2458</v>
      </c>
      <c r="J3547" s="33" t="s">
        <v>7110</v>
      </c>
      <c r="K3547" s="33" t="s">
        <v>9910</v>
      </c>
      <c r="L3547" s="53" t="str">
        <f>"سودان"</f>
        <v>سودان</v>
      </c>
      <c r="M3547" s="68" t="str">
        <f>"بشكه"</f>
        <v>بشكه</v>
      </c>
      <c r="N3547" s="53" t="str">
        <f t="shared" si="46"/>
        <v>منطقه ويژه اقتصادي شهيد رجايي</v>
      </c>
      <c r="O3547" s="53">
        <v>50100</v>
      </c>
      <c r="P3547" s="198" t="s">
        <v>7231</v>
      </c>
    </row>
    <row r="3548" spans="1:16" ht="18.75" hidden="1">
      <c r="A3548" s="50" t="str">
        <f>"50100-9446838"</f>
        <v>50100-9446838</v>
      </c>
      <c r="B3548" s="50" t="str">
        <f>"96/08/16"</f>
        <v>96/08/16</v>
      </c>
      <c r="C3548" s="50" t="s">
        <v>9838</v>
      </c>
      <c r="D3548" s="50" t="s">
        <v>8616</v>
      </c>
      <c r="E3548" s="12" t="s">
        <v>4971</v>
      </c>
      <c r="F3548" s="49">
        <v>350000</v>
      </c>
      <c r="G3548" s="77" t="s">
        <v>5609</v>
      </c>
      <c r="H3548" s="14" t="s">
        <v>5601</v>
      </c>
      <c r="I3548" s="14" t="s">
        <v>2458</v>
      </c>
      <c r="J3548" s="33" t="s">
        <v>7110</v>
      </c>
      <c r="K3548" s="33" t="s">
        <v>9910</v>
      </c>
      <c r="L3548" s="53" t="str">
        <f>"سودان"</f>
        <v>سودان</v>
      </c>
      <c r="M3548" s="68" t="str">
        <f>"بشكه"</f>
        <v>بشكه</v>
      </c>
      <c r="N3548" s="53" t="str">
        <f t="shared" si="46"/>
        <v>منطقه ويژه اقتصادي شهيد رجايي</v>
      </c>
      <c r="O3548" s="53">
        <v>50100</v>
      </c>
      <c r="P3548" s="198" t="s">
        <v>7255</v>
      </c>
    </row>
    <row r="3549" spans="1:16" ht="18.75" hidden="1">
      <c r="A3549" s="50" t="str">
        <f>"50100-9446838"</f>
        <v>50100-9446838</v>
      </c>
      <c r="B3549" s="50" t="str">
        <f>"96/08/16"</f>
        <v>96/08/16</v>
      </c>
      <c r="C3549" s="50" t="s">
        <v>9839</v>
      </c>
      <c r="D3549" s="50" t="s">
        <v>8620</v>
      </c>
      <c r="E3549" s="12" t="s">
        <v>4971</v>
      </c>
      <c r="F3549" s="49">
        <v>199880</v>
      </c>
      <c r="G3549" s="77" t="s">
        <v>5609</v>
      </c>
      <c r="H3549" s="14" t="s">
        <v>5601</v>
      </c>
      <c r="I3549" s="14" t="s">
        <v>2458</v>
      </c>
      <c r="J3549" s="33" t="s">
        <v>7110</v>
      </c>
      <c r="K3549" s="33" t="s">
        <v>9910</v>
      </c>
      <c r="L3549" s="53" t="str">
        <f>"سودان"</f>
        <v>سودان</v>
      </c>
      <c r="M3549" s="68" t="str">
        <f>"بشكه"</f>
        <v>بشكه</v>
      </c>
      <c r="N3549" s="53" t="str">
        <f t="shared" si="46"/>
        <v>منطقه ويژه اقتصادي شهيد رجايي</v>
      </c>
      <c r="O3549" s="53">
        <v>50100</v>
      </c>
      <c r="P3549" s="198" t="s">
        <v>7255</v>
      </c>
    </row>
    <row r="3550" spans="1:16" ht="18.75" hidden="1">
      <c r="A3550" s="50" t="str">
        <f>"50100-9446838"</f>
        <v>50100-9446838</v>
      </c>
      <c r="B3550" s="50" t="str">
        <f>"96/08/16"</f>
        <v>96/08/16</v>
      </c>
      <c r="C3550" s="50" t="s">
        <v>9840</v>
      </c>
      <c r="D3550" s="50" t="s">
        <v>6246</v>
      </c>
      <c r="E3550" s="12" t="s">
        <v>4971</v>
      </c>
      <c r="F3550" s="49">
        <v>300000</v>
      </c>
      <c r="G3550" s="77" t="s">
        <v>5611</v>
      </c>
      <c r="H3550" s="14" t="s">
        <v>5601</v>
      </c>
      <c r="I3550" s="14" t="s">
        <v>2458</v>
      </c>
      <c r="J3550" s="33" t="s">
        <v>7110</v>
      </c>
      <c r="K3550" s="33" t="s">
        <v>9910</v>
      </c>
      <c r="L3550" s="53" t="str">
        <f>"سودان"</f>
        <v>سودان</v>
      </c>
      <c r="M3550" s="68" t="str">
        <f>"بشكه"</f>
        <v>بشكه</v>
      </c>
      <c r="N3550" s="53" t="str">
        <f t="shared" si="46"/>
        <v>منطقه ويژه اقتصادي شهيد رجايي</v>
      </c>
      <c r="O3550" s="53">
        <v>50100</v>
      </c>
      <c r="P3550" s="198" t="s">
        <v>7231</v>
      </c>
    </row>
    <row r="3551" spans="1:16" ht="18.75" hidden="1">
      <c r="A3551" s="50" t="str">
        <f>"50100-9471751"</f>
        <v>50100-9471751</v>
      </c>
      <c r="B3551" s="50" t="str">
        <f>"96/08/22"</f>
        <v>96/08/22</v>
      </c>
      <c r="C3551" s="50" t="s">
        <v>9841</v>
      </c>
      <c r="D3551" s="50" t="s">
        <v>9822</v>
      </c>
      <c r="E3551" s="12" t="s">
        <v>4971</v>
      </c>
      <c r="F3551" s="49">
        <v>994436</v>
      </c>
      <c r="G3551" s="77" t="s">
        <v>5779</v>
      </c>
      <c r="H3551" s="14" t="s">
        <v>5601</v>
      </c>
      <c r="I3551" s="14" t="s">
        <v>2458</v>
      </c>
      <c r="J3551" s="33" t="e">
        <f>VLOOKUP(C3551,شرکتها!A:B,2,FALSE)</f>
        <v>#N/A</v>
      </c>
      <c r="K3551" s="33" t="s">
        <v>9910</v>
      </c>
      <c r="L3551" s="53" t="str">
        <f>"قطر"</f>
        <v>قطر</v>
      </c>
      <c r="M3551" s="68" t="str">
        <f>"فله"</f>
        <v>فله</v>
      </c>
      <c r="N3551" s="53" t="str">
        <f t="shared" si="46"/>
        <v>منطقه ويژه اقتصادي شهيد رجايي</v>
      </c>
      <c r="O3551" s="53">
        <v>50100</v>
      </c>
      <c r="P3551" s="198" t="s">
        <v>7124</v>
      </c>
    </row>
    <row r="3552" spans="1:16" ht="18.75" hidden="1">
      <c r="A3552" s="50" t="str">
        <f>"50100-9476872"</f>
        <v>50100-9476872</v>
      </c>
      <c r="B3552" s="50" t="str">
        <f>"96/08/23"</f>
        <v>96/08/23</v>
      </c>
      <c r="C3552" s="50" t="s">
        <v>9733</v>
      </c>
      <c r="D3552" s="50" t="s">
        <v>6243</v>
      </c>
      <c r="E3552" s="12" t="s">
        <v>4971</v>
      </c>
      <c r="F3552" s="49">
        <v>103401</v>
      </c>
      <c r="G3552" s="77" t="s">
        <v>5611</v>
      </c>
      <c r="H3552" s="14" t="s">
        <v>5601</v>
      </c>
      <c r="I3552" s="14" t="s">
        <v>2458</v>
      </c>
      <c r="J3552" s="33" t="s">
        <v>7110</v>
      </c>
      <c r="K3552" s="33" t="s">
        <v>9910</v>
      </c>
      <c r="L3552" s="53" t="str">
        <f t="shared" ref="L3552:L3558" si="47">"سودان"</f>
        <v>سودان</v>
      </c>
      <c r="M3552" s="68" t="str">
        <f t="shared" ref="M3552:M3584" si="48">"بشكه"</f>
        <v>بشكه</v>
      </c>
      <c r="N3552" s="53" t="str">
        <f t="shared" si="46"/>
        <v>منطقه ويژه اقتصادي شهيد رجايي</v>
      </c>
      <c r="O3552" s="53">
        <v>50100</v>
      </c>
      <c r="P3552" s="198" t="s">
        <v>5831</v>
      </c>
    </row>
    <row r="3553" spans="1:16" ht="18.75" hidden="1">
      <c r="A3553" s="50" t="str">
        <f>"50100-9490332"</f>
        <v>50100-9490332</v>
      </c>
      <c r="B3553" s="50" t="str">
        <f>"96/08/27"</f>
        <v>96/08/27</v>
      </c>
      <c r="C3553" s="50" t="s">
        <v>9842</v>
      </c>
      <c r="D3553" s="50" t="s">
        <v>6363</v>
      </c>
      <c r="E3553" s="12" t="s">
        <v>4971</v>
      </c>
      <c r="F3553" s="49">
        <v>35600</v>
      </c>
      <c r="G3553" s="77" t="s">
        <v>5611</v>
      </c>
      <c r="H3553" s="14" t="s">
        <v>5601</v>
      </c>
      <c r="I3553" s="14" t="s">
        <v>2458</v>
      </c>
      <c r="J3553" s="33" t="s">
        <v>7110</v>
      </c>
      <c r="K3553" s="33" t="s">
        <v>9910</v>
      </c>
      <c r="L3553" s="53" t="str">
        <f t="shared" si="47"/>
        <v>سودان</v>
      </c>
      <c r="M3553" s="68" t="str">
        <f t="shared" si="48"/>
        <v>بشكه</v>
      </c>
      <c r="N3553" s="53" t="str">
        <f t="shared" si="46"/>
        <v>منطقه ويژه اقتصادي شهيد رجايي</v>
      </c>
      <c r="O3553" s="53">
        <v>50100</v>
      </c>
      <c r="P3553" s="198" t="s">
        <v>7231</v>
      </c>
    </row>
    <row r="3554" spans="1:16" ht="18.75" hidden="1">
      <c r="A3554" s="50" t="str">
        <f>"50100-9490332"</f>
        <v>50100-9490332</v>
      </c>
      <c r="B3554" s="50" t="str">
        <f>"96/08/27"</f>
        <v>96/08/27</v>
      </c>
      <c r="C3554" s="50" t="s">
        <v>9843</v>
      </c>
      <c r="D3554" s="50" t="s">
        <v>6314</v>
      </c>
      <c r="E3554" s="12" t="s">
        <v>4971</v>
      </c>
      <c r="F3554" s="49">
        <v>300000</v>
      </c>
      <c r="G3554" s="77" t="s">
        <v>5611</v>
      </c>
      <c r="H3554" s="14" t="s">
        <v>5601</v>
      </c>
      <c r="I3554" s="14" t="s">
        <v>2458</v>
      </c>
      <c r="J3554" s="33" t="s">
        <v>7110</v>
      </c>
      <c r="K3554" s="33" t="s">
        <v>9910</v>
      </c>
      <c r="L3554" s="53" t="str">
        <f t="shared" si="47"/>
        <v>سودان</v>
      </c>
      <c r="M3554" s="68" t="str">
        <f t="shared" si="48"/>
        <v>بشكه</v>
      </c>
      <c r="N3554" s="53" t="str">
        <f t="shared" si="46"/>
        <v>منطقه ويژه اقتصادي شهيد رجايي</v>
      </c>
      <c r="O3554" s="53">
        <v>50100</v>
      </c>
      <c r="P3554" s="198" t="s">
        <v>7231</v>
      </c>
    </row>
    <row r="3555" spans="1:16" ht="18.75" hidden="1">
      <c r="A3555" s="50" t="str">
        <f>"50100-9446838"</f>
        <v>50100-9446838</v>
      </c>
      <c r="B3555" s="50" t="str">
        <f>"96/08/16"</f>
        <v>96/08/16</v>
      </c>
      <c r="C3555" s="50" t="s">
        <v>9844</v>
      </c>
      <c r="D3555" s="50" t="s">
        <v>6310</v>
      </c>
      <c r="E3555" s="12" t="s">
        <v>4971</v>
      </c>
      <c r="F3555" s="49">
        <v>350000</v>
      </c>
      <c r="G3555" s="77" t="s">
        <v>5609</v>
      </c>
      <c r="H3555" s="14" t="s">
        <v>5601</v>
      </c>
      <c r="I3555" s="14" t="s">
        <v>2458</v>
      </c>
      <c r="J3555" s="33" t="s">
        <v>7110</v>
      </c>
      <c r="K3555" s="33" t="s">
        <v>9910</v>
      </c>
      <c r="L3555" s="53" t="str">
        <f t="shared" si="47"/>
        <v>سودان</v>
      </c>
      <c r="M3555" s="68" t="str">
        <f t="shared" si="48"/>
        <v>بشكه</v>
      </c>
      <c r="N3555" s="53" t="str">
        <f t="shared" si="46"/>
        <v>منطقه ويژه اقتصادي شهيد رجايي</v>
      </c>
      <c r="O3555" s="53">
        <v>50100</v>
      </c>
      <c r="P3555" s="198" t="s">
        <v>7255</v>
      </c>
    </row>
    <row r="3556" spans="1:16" ht="18.75" hidden="1">
      <c r="A3556" s="50" t="str">
        <f>"50100-9446838"</f>
        <v>50100-9446838</v>
      </c>
      <c r="B3556" s="50" t="str">
        <f>"96/08/16"</f>
        <v>96/08/16</v>
      </c>
      <c r="C3556" s="50" t="s">
        <v>9845</v>
      </c>
      <c r="D3556" s="50" t="s">
        <v>6276</v>
      </c>
      <c r="E3556" s="12" t="s">
        <v>4971</v>
      </c>
      <c r="F3556" s="49">
        <v>500000</v>
      </c>
      <c r="G3556" s="77" t="s">
        <v>5611</v>
      </c>
      <c r="H3556" s="14" t="s">
        <v>5601</v>
      </c>
      <c r="I3556" s="14" t="s">
        <v>2458</v>
      </c>
      <c r="J3556" s="33" t="s">
        <v>7110</v>
      </c>
      <c r="K3556" s="33" t="s">
        <v>9910</v>
      </c>
      <c r="L3556" s="53" t="str">
        <f t="shared" si="47"/>
        <v>سودان</v>
      </c>
      <c r="M3556" s="68" t="str">
        <f t="shared" si="48"/>
        <v>بشكه</v>
      </c>
      <c r="N3556" s="53" t="str">
        <f t="shared" si="46"/>
        <v>منطقه ويژه اقتصادي شهيد رجايي</v>
      </c>
      <c r="O3556" s="53">
        <v>50100</v>
      </c>
      <c r="P3556" s="198" t="s">
        <v>7231</v>
      </c>
    </row>
    <row r="3557" spans="1:16" ht="18.75" hidden="1">
      <c r="A3557" s="50" t="str">
        <f>"50100-9490332"</f>
        <v>50100-9490332</v>
      </c>
      <c r="B3557" s="50" t="str">
        <f>"96/08/27"</f>
        <v>96/08/27</v>
      </c>
      <c r="C3557" s="50" t="s">
        <v>9846</v>
      </c>
      <c r="D3557" s="50" t="s">
        <v>9847</v>
      </c>
      <c r="E3557" s="12" t="s">
        <v>4971</v>
      </c>
      <c r="F3557" s="49">
        <v>300000</v>
      </c>
      <c r="G3557" s="77" t="s">
        <v>5611</v>
      </c>
      <c r="H3557" s="14" t="s">
        <v>5601</v>
      </c>
      <c r="I3557" s="14" t="s">
        <v>2458</v>
      </c>
      <c r="J3557" s="33" t="s">
        <v>7110</v>
      </c>
      <c r="K3557" s="33" t="s">
        <v>9910</v>
      </c>
      <c r="L3557" s="53" t="str">
        <f t="shared" si="47"/>
        <v>سودان</v>
      </c>
      <c r="M3557" s="68" t="str">
        <f t="shared" si="48"/>
        <v>بشكه</v>
      </c>
      <c r="N3557" s="53" t="str">
        <f t="shared" si="46"/>
        <v>منطقه ويژه اقتصادي شهيد رجايي</v>
      </c>
      <c r="O3557" s="53">
        <v>50100</v>
      </c>
      <c r="P3557" s="198" t="s">
        <v>7231</v>
      </c>
    </row>
    <row r="3558" spans="1:16" ht="18.75" hidden="1">
      <c r="A3558" s="50" t="str">
        <f>"50100-9476872"</f>
        <v>50100-9476872</v>
      </c>
      <c r="B3558" s="50" t="str">
        <f>"96/08/23"</f>
        <v>96/08/23</v>
      </c>
      <c r="C3558" s="50" t="s">
        <v>9848</v>
      </c>
      <c r="D3558" s="50" t="s">
        <v>6245</v>
      </c>
      <c r="E3558" s="12" t="s">
        <v>4971</v>
      </c>
      <c r="F3558" s="49">
        <v>22299</v>
      </c>
      <c r="G3558" s="77" t="s">
        <v>5611</v>
      </c>
      <c r="H3558" s="14" t="s">
        <v>5601</v>
      </c>
      <c r="I3558" s="14" t="s">
        <v>2458</v>
      </c>
      <c r="J3558" s="33" t="s">
        <v>7110</v>
      </c>
      <c r="K3558" s="33" t="s">
        <v>9910</v>
      </c>
      <c r="L3558" s="53" t="str">
        <f t="shared" si="47"/>
        <v>سودان</v>
      </c>
      <c r="M3558" s="68" t="str">
        <f t="shared" si="48"/>
        <v>بشكه</v>
      </c>
      <c r="N3558" s="53" t="str">
        <f t="shared" si="46"/>
        <v>منطقه ويژه اقتصادي شهيد رجايي</v>
      </c>
      <c r="O3558" s="53">
        <v>50100</v>
      </c>
      <c r="P3558" s="198" t="s">
        <v>5831</v>
      </c>
    </row>
    <row r="3559" spans="1:16" ht="18.75" hidden="1">
      <c r="A3559" s="50" t="str">
        <f>"50100-9466624"</f>
        <v>50100-9466624</v>
      </c>
      <c r="B3559" s="50" t="str">
        <f>"96/08/21"</f>
        <v>96/08/21</v>
      </c>
      <c r="C3559" s="50" t="s">
        <v>9849</v>
      </c>
      <c r="D3559" s="50" t="s">
        <v>8833</v>
      </c>
      <c r="E3559" s="12" t="s">
        <v>4971</v>
      </c>
      <c r="F3559" s="49">
        <v>38400</v>
      </c>
      <c r="G3559" s="77" t="s">
        <v>5609</v>
      </c>
      <c r="H3559" s="14" t="s">
        <v>5601</v>
      </c>
      <c r="I3559" s="14" t="s">
        <v>2458</v>
      </c>
      <c r="J3559" s="33" t="s">
        <v>7110</v>
      </c>
      <c r="K3559" s="33" t="s">
        <v>9910</v>
      </c>
      <c r="L3559" s="53" t="str">
        <f>"بنگلادش"</f>
        <v>بنگلادش</v>
      </c>
      <c r="M3559" s="68" t="str">
        <f t="shared" si="48"/>
        <v>بشكه</v>
      </c>
      <c r="N3559" s="53" t="str">
        <f t="shared" si="46"/>
        <v>منطقه ويژه اقتصادي شهيد رجايي</v>
      </c>
      <c r="O3559" s="53">
        <v>50100</v>
      </c>
      <c r="P3559" s="198" t="s">
        <v>8725</v>
      </c>
    </row>
    <row r="3560" spans="1:16" ht="18.75" hidden="1">
      <c r="A3560" s="50" t="str">
        <f>"50100-9465896"</f>
        <v>50100-9465896</v>
      </c>
      <c r="B3560" s="50" t="str">
        <f>"96/08/21"</f>
        <v>96/08/21</v>
      </c>
      <c r="C3560" s="50" t="s">
        <v>9850</v>
      </c>
      <c r="D3560" s="50" t="s">
        <v>6361</v>
      </c>
      <c r="E3560" s="12" t="s">
        <v>4971</v>
      </c>
      <c r="F3560" s="49">
        <v>134920</v>
      </c>
      <c r="G3560" s="77" t="s">
        <v>5607</v>
      </c>
      <c r="H3560" s="14" t="s">
        <v>5601</v>
      </c>
      <c r="I3560" s="14" t="s">
        <v>2458</v>
      </c>
      <c r="J3560" s="33" t="s">
        <v>7110</v>
      </c>
      <c r="K3560" s="33" t="s">
        <v>9910</v>
      </c>
      <c r="L3560" s="53" t="str">
        <f>" ميانمار"</f>
        <v xml:space="preserve"> ميانمار</v>
      </c>
      <c r="M3560" s="68" t="str">
        <f t="shared" si="48"/>
        <v>بشكه</v>
      </c>
      <c r="N3560" s="53" t="str">
        <f t="shared" si="46"/>
        <v>منطقه ويژه اقتصادي شهيد رجايي</v>
      </c>
      <c r="O3560" s="53">
        <v>50100</v>
      </c>
      <c r="P3560" s="198" t="s">
        <v>7233</v>
      </c>
    </row>
    <row r="3561" spans="1:16" ht="18.75" hidden="1">
      <c r="A3561" s="50" t="str">
        <f>"50100-9465896"</f>
        <v>50100-9465896</v>
      </c>
      <c r="B3561" s="50" t="str">
        <f>"96/08/21"</f>
        <v>96/08/21</v>
      </c>
      <c r="C3561" s="50" t="s">
        <v>9851</v>
      </c>
      <c r="D3561" s="50" t="s">
        <v>6244</v>
      </c>
      <c r="E3561" s="12" t="s">
        <v>4971</v>
      </c>
      <c r="F3561" s="49">
        <v>136520</v>
      </c>
      <c r="G3561" s="77" t="s">
        <v>5607</v>
      </c>
      <c r="H3561" s="14" t="s">
        <v>5601</v>
      </c>
      <c r="I3561" s="14" t="s">
        <v>2458</v>
      </c>
      <c r="J3561" s="33" t="s">
        <v>7110</v>
      </c>
      <c r="K3561" s="33" t="s">
        <v>9910</v>
      </c>
      <c r="L3561" s="53" t="str">
        <f>" ميانمار"</f>
        <v xml:space="preserve"> ميانمار</v>
      </c>
      <c r="M3561" s="68" t="str">
        <f t="shared" si="48"/>
        <v>بشكه</v>
      </c>
      <c r="N3561" s="53" t="str">
        <f t="shared" si="46"/>
        <v>منطقه ويژه اقتصادي شهيد رجايي</v>
      </c>
      <c r="O3561" s="53">
        <v>50100</v>
      </c>
      <c r="P3561" s="198" t="s">
        <v>7233</v>
      </c>
    </row>
    <row r="3562" spans="1:16" ht="18.75" hidden="1">
      <c r="A3562" s="50" t="str">
        <f>"50100-9446838"</f>
        <v>50100-9446838</v>
      </c>
      <c r="B3562" s="50" t="str">
        <f>"96/08/16"</f>
        <v>96/08/16</v>
      </c>
      <c r="C3562" s="50" t="s">
        <v>9852</v>
      </c>
      <c r="D3562" s="50" t="s">
        <v>8620</v>
      </c>
      <c r="E3562" s="12" t="s">
        <v>4971</v>
      </c>
      <c r="F3562" s="49">
        <v>100000</v>
      </c>
      <c r="G3562" s="77" t="s">
        <v>5609</v>
      </c>
      <c r="H3562" s="14" t="s">
        <v>5601</v>
      </c>
      <c r="I3562" s="14" t="s">
        <v>2458</v>
      </c>
      <c r="J3562" s="33" t="s">
        <v>7110</v>
      </c>
      <c r="K3562" s="33" t="s">
        <v>9910</v>
      </c>
      <c r="L3562" s="53" t="str">
        <f>"سودان"</f>
        <v>سودان</v>
      </c>
      <c r="M3562" s="68" t="str">
        <f t="shared" si="48"/>
        <v>بشكه</v>
      </c>
      <c r="N3562" s="53" t="str">
        <f t="shared" si="46"/>
        <v>منطقه ويژه اقتصادي شهيد رجايي</v>
      </c>
      <c r="O3562" s="53">
        <v>50100</v>
      </c>
      <c r="P3562" s="198" t="s">
        <v>7255</v>
      </c>
    </row>
    <row r="3563" spans="1:16" ht="18.75" hidden="1">
      <c r="A3563" s="50" t="str">
        <f>"50100-9481370"</f>
        <v>50100-9481370</v>
      </c>
      <c r="B3563" s="50" t="str">
        <f>"96/08/24"</f>
        <v>96/08/24</v>
      </c>
      <c r="C3563" s="50" t="s">
        <v>9853</v>
      </c>
      <c r="D3563" s="50" t="s">
        <v>6379</v>
      </c>
      <c r="E3563" s="12" t="s">
        <v>4971</v>
      </c>
      <c r="F3563" s="49">
        <v>552000</v>
      </c>
      <c r="G3563" s="77" t="s">
        <v>5611</v>
      </c>
      <c r="H3563" s="14" t="s">
        <v>5601</v>
      </c>
      <c r="I3563" s="14" t="s">
        <v>2458</v>
      </c>
      <c r="J3563" s="33" t="s">
        <v>7110</v>
      </c>
      <c r="K3563" s="33" t="s">
        <v>9910</v>
      </c>
      <c r="L3563" s="53" t="str">
        <f>"بنگلادش"</f>
        <v>بنگلادش</v>
      </c>
      <c r="M3563" s="68" t="str">
        <f t="shared" si="48"/>
        <v>بشكه</v>
      </c>
      <c r="N3563" s="53" t="str">
        <f t="shared" si="46"/>
        <v>منطقه ويژه اقتصادي شهيد رجايي</v>
      </c>
      <c r="O3563" s="53">
        <v>50100</v>
      </c>
      <c r="P3563" s="198" t="s">
        <v>7231</v>
      </c>
    </row>
    <row r="3564" spans="1:16" ht="18.75" hidden="1">
      <c r="A3564" s="50" t="str">
        <f>"50100-9481370"</f>
        <v>50100-9481370</v>
      </c>
      <c r="B3564" s="50" t="str">
        <f>"96/08/24"</f>
        <v>96/08/24</v>
      </c>
      <c r="C3564" s="50" t="s">
        <v>9854</v>
      </c>
      <c r="D3564" s="50" t="s">
        <v>5600</v>
      </c>
      <c r="E3564" s="12" t="s">
        <v>4971</v>
      </c>
      <c r="F3564" s="49">
        <v>124560</v>
      </c>
      <c r="G3564" s="77" t="s">
        <v>5611</v>
      </c>
      <c r="H3564" s="14" t="s">
        <v>5601</v>
      </c>
      <c r="I3564" s="14" t="s">
        <v>2458</v>
      </c>
      <c r="J3564" s="33" t="s">
        <v>7110</v>
      </c>
      <c r="K3564" s="33" t="s">
        <v>9910</v>
      </c>
      <c r="L3564" s="53" t="str">
        <f>"بنگلادش"</f>
        <v>بنگلادش</v>
      </c>
      <c r="M3564" s="68" t="str">
        <f t="shared" si="48"/>
        <v>بشكه</v>
      </c>
      <c r="N3564" s="53" t="str">
        <f t="shared" si="46"/>
        <v>منطقه ويژه اقتصادي شهيد رجايي</v>
      </c>
      <c r="O3564" s="53">
        <v>50100</v>
      </c>
      <c r="P3564" s="198" t="s">
        <v>5826</v>
      </c>
    </row>
    <row r="3565" spans="1:16" ht="18.75" hidden="1">
      <c r="A3565" s="50" t="str">
        <f>"50100-9490602"</f>
        <v>50100-9490602</v>
      </c>
      <c r="B3565" s="50" t="str">
        <f>"96/08/27"</f>
        <v>96/08/27</v>
      </c>
      <c r="C3565" s="50" t="s">
        <v>9855</v>
      </c>
      <c r="D3565" s="50" t="s">
        <v>6361</v>
      </c>
      <c r="E3565" s="12" t="s">
        <v>4971</v>
      </c>
      <c r="F3565" s="49">
        <v>83087</v>
      </c>
      <c r="G3565" s="77" t="s">
        <v>5611</v>
      </c>
      <c r="H3565" s="14" t="s">
        <v>5601</v>
      </c>
      <c r="I3565" s="14" t="s">
        <v>2458</v>
      </c>
      <c r="J3565" s="33" t="s">
        <v>7110</v>
      </c>
      <c r="K3565" s="33" t="s">
        <v>9910</v>
      </c>
      <c r="L3565" s="53" t="str">
        <f>"سودان"</f>
        <v>سودان</v>
      </c>
      <c r="M3565" s="68" t="str">
        <f t="shared" si="48"/>
        <v>بشكه</v>
      </c>
      <c r="N3565" s="53" t="str">
        <f t="shared" si="46"/>
        <v>منطقه ويژه اقتصادي شهيد رجايي</v>
      </c>
      <c r="O3565" s="53">
        <v>50100</v>
      </c>
      <c r="P3565" s="198" t="s">
        <v>7231</v>
      </c>
    </row>
    <row r="3566" spans="1:16" ht="18.75" hidden="1">
      <c r="A3566" s="50" t="str">
        <f>"50100-9490602"</f>
        <v>50100-9490602</v>
      </c>
      <c r="B3566" s="50" t="str">
        <f>"96/08/27"</f>
        <v>96/08/27</v>
      </c>
      <c r="C3566" s="50" t="s">
        <v>9856</v>
      </c>
      <c r="D3566" s="50" t="s">
        <v>6361</v>
      </c>
      <c r="E3566" s="12" t="s">
        <v>4971</v>
      </c>
      <c r="F3566" s="49">
        <v>100000</v>
      </c>
      <c r="G3566" s="77" t="s">
        <v>5611</v>
      </c>
      <c r="H3566" s="14" t="s">
        <v>5601</v>
      </c>
      <c r="I3566" s="14" t="s">
        <v>2458</v>
      </c>
      <c r="J3566" s="33" t="s">
        <v>7110</v>
      </c>
      <c r="K3566" s="33" t="s">
        <v>9910</v>
      </c>
      <c r="L3566" s="53" t="str">
        <f>"سودان"</f>
        <v>سودان</v>
      </c>
      <c r="M3566" s="68" t="str">
        <f t="shared" si="48"/>
        <v>بشكه</v>
      </c>
      <c r="N3566" s="53" t="str">
        <f t="shared" si="46"/>
        <v>منطقه ويژه اقتصادي شهيد رجايي</v>
      </c>
      <c r="O3566" s="53">
        <v>50100</v>
      </c>
      <c r="P3566" s="198" t="s">
        <v>7231</v>
      </c>
    </row>
    <row r="3567" spans="1:16" ht="18.75" hidden="1">
      <c r="A3567" s="50" t="str">
        <f>"50100-9471814"</f>
        <v>50100-9471814</v>
      </c>
      <c r="B3567" s="50" t="str">
        <f>"96/08/22"</f>
        <v>96/08/22</v>
      </c>
      <c r="C3567" s="50" t="s">
        <v>9857</v>
      </c>
      <c r="D3567" s="50" t="s">
        <v>6323</v>
      </c>
      <c r="E3567" s="12" t="s">
        <v>4971</v>
      </c>
      <c r="F3567" s="49">
        <v>488400</v>
      </c>
      <c r="G3567" s="77" t="s">
        <v>5652</v>
      </c>
      <c r="H3567" s="14" t="s">
        <v>5601</v>
      </c>
      <c r="I3567" s="14" t="s">
        <v>2458</v>
      </c>
      <c r="J3567" s="33" t="s">
        <v>7110</v>
      </c>
      <c r="K3567" s="33" t="s">
        <v>9910</v>
      </c>
      <c r="L3567" s="53" t="str">
        <f>"بنگلادش"</f>
        <v>بنگلادش</v>
      </c>
      <c r="M3567" s="68" t="str">
        <f t="shared" si="48"/>
        <v>بشكه</v>
      </c>
      <c r="N3567" s="53" t="str">
        <f t="shared" si="46"/>
        <v>منطقه ويژه اقتصادي شهيد رجايي</v>
      </c>
      <c r="O3567" s="53">
        <v>50100</v>
      </c>
      <c r="P3567" s="198" t="s">
        <v>7271</v>
      </c>
    </row>
    <row r="3568" spans="1:16" ht="18.75" hidden="1">
      <c r="A3568" s="50" t="str">
        <f>"50100-9481370"</f>
        <v>50100-9481370</v>
      </c>
      <c r="B3568" s="50" t="str">
        <f>"96/08/24"</f>
        <v>96/08/24</v>
      </c>
      <c r="C3568" s="50" t="s">
        <v>9837</v>
      </c>
      <c r="D3568" s="50" t="s">
        <v>6332</v>
      </c>
      <c r="E3568" s="12" t="s">
        <v>4971</v>
      </c>
      <c r="F3568" s="49">
        <v>323440</v>
      </c>
      <c r="G3568" s="77" t="s">
        <v>5611</v>
      </c>
      <c r="H3568" s="14" t="s">
        <v>5601</v>
      </c>
      <c r="I3568" s="14" t="s">
        <v>2458</v>
      </c>
      <c r="J3568" s="33" t="s">
        <v>7110</v>
      </c>
      <c r="K3568" s="33" t="s">
        <v>9910</v>
      </c>
      <c r="L3568" s="53" t="str">
        <f>"بنگلادش"</f>
        <v>بنگلادش</v>
      </c>
      <c r="M3568" s="68" t="str">
        <f t="shared" si="48"/>
        <v>بشكه</v>
      </c>
      <c r="N3568" s="53" t="str">
        <f t="shared" si="46"/>
        <v>منطقه ويژه اقتصادي شهيد رجايي</v>
      </c>
      <c r="O3568" s="53">
        <v>50100</v>
      </c>
      <c r="P3568" s="198" t="s">
        <v>7231</v>
      </c>
    </row>
    <row r="3569" spans="1:16" ht="18.75" hidden="1">
      <c r="A3569" s="50" t="str">
        <f>"50100-9481370"</f>
        <v>50100-9481370</v>
      </c>
      <c r="B3569" s="50" t="str">
        <f>"96/08/24"</f>
        <v>96/08/24</v>
      </c>
      <c r="C3569" s="50" t="s">
        <v>9858</v>
      </c>
      <c r="D3569" s="50" t="s">
        <v>8830</v>
      </c>
      <c r="E3569" s="12" t="s">
        <v>4971</v>
      </c>
      <c r="F3569" s="49">
        <v>479870</v>
      </c>
      <c r="G3569" s="77" t="s">
        <v>5609</v>
      </c>
      <c r="H3569" s="14" t="s">
        <v>5601</v>
      </c>
      <c r="I3569" s="14" t="s">
        <v>2458</v>
      </c>
      <c r="J3569" s="33" t="s">
        <v>7110</v>
      </c>
      <c r="K3569" s="33" t="s">
        <v>9910</v>
      </c>
      <c r="L3569" s="53" t="str">
        <f>"بنگلادش"</f>
        <v>بنگلادش</v>
      </c>
      <c r="M3569" s="68" t="str">
        <f t="shared" si="48"/>
        <v>بشكه</v>
      </c>
      <c r="N3569" s="53" t="str">
        <f t="shared" si="46"/>
        <v>منطقه ويژه اقتصادي شهيد رجايي</v>
      </c>
      <c r="O3569" s="53">
        <v>50100</v>
      </c>
      <c r="P3569" s="198" t="s">
        <v>8748</v>
      </c>
    </row>
    <row r="3570" spans="1:16" ht="18.75" hidden="1">
      <c r="A3570" s="50" t="str">
        <f>"50100-9476872"</f>
        <v>50100-9476872</v>
      </c>
      <c r="B3570" s="50" t="str">
        <f>"96/08/23"</f>
        <v>96/08/23</v>
      </c>
      <c r="C3570" s="50" t="s">
        <v>9859</v>
      </c>
      <c r="D3570" s="50" t="s">
        <v>6248</v>
      </c>
      <c r="E3570" s="12" t="s">
        <v>4971</v>
      </c>
      <c r="F3570" s="49">
        <v>200000</v>
      </c>
      <c r="G3570" s="77" t="s">
        <v>5611</v>
      </c>
      <c r="H3570" s="14" t="s">
        <v>5601</v>
      </c>
      <c r="I3570" s="14" t="s">
        <v>2458</v>
      </c>
      <c r="J3570" s="33" t="s">
        <v>7110</v>
      </c>
      <c r="K3570" s="33" t="s">
        <v>9910</v>
      </c>
      <c r="L3570" s="53" t="str">
        <f>"سودان"</f>
        <v>سودان</v>
      </c>
      <c r="M3570" s="68" t="str">
        <f t="shared" si="48"/>
        <v>بشكه</v>
      </c>
      <c r="N3570" s="53" t="str">
        <f t="shared" si="46"/>
        <v>منطقه ويژه اقتصادي شهيد رجايي</v>
      </c>
      <c r="O3570" s="53">
        <v>50100</v>
      </c>
      <c r="P3570" s="198" t="s">
        <v>5831</v>
      </c>
    </row>
    <row r="3571" spans="1:16" ht="18.75" hidden="1">
      <c r="A3571" s="50" t="str">
        <f>"50100-9472030"</f>
        <v>50100-9472030</v>
      </c>
      <c r="B3571" s="50" t="str">
        <f>"96/08/22"</f>
        <v>96/08/22</v>
      </c>
      <c r="C3571" s="50" t="s">
        <v>9733</v>
      </c>
      <c r="D3571" s="50" t="s">
        <v>6243</v>
      </c>
      <c r="E3571" s="12" t="s">
        <v>4971</v>
      </c>
      <c r="F3571" s="49">
        <v>83325</v>
      </c>
      <c r="G3571" s="77" t="s">
        <v>5611</v>
      </c>
      <c r="H3571" s="14" t="s">
        <v>5601</v>
      </c>
      <c r="I3571" s="14" t="s">
        <v>2458</v>
      </c>
      <c r="J3571" s="33" t="s">
        <v>7110</v>
      </c>
      <c r="K3571" s="33" t="s">
        <v>9910</v>
      </c>
      <c r="L3571" s="53" t="str">
        <f>"سودان"</f>
        <v>سودان</v>
      </c>
      <c r="M3571" s="68" t="str">
        <f t="shared" si="48"/>
        <v>بشكه</v>
      </c>
      <c r="N3571" s="53" t="str">
        <f t="shared" si="46"/>
        <v>منطقه ويژه اقتصادي شهيد رجايي</v>
      </c>
      <c r="O3571" s="53">
        <v>50100</v>
      </c>
      <c r="P3571" s="198" t="s">
        <v>5831</v>
      </c>
    </row>
    <row r="3572" spans="1:16" ht="18.75" hidden="1">
      <c r="A3572" s="50" t="str">
        <f>"50100-9474525"</f>
        <v>50100-9474525</v>
      </c>
      <c r="B3572" s="50" t="str">
        <f>"96/08/23"</f>
        <v>96/08/23</v>
      </c>
      <c r="C3572" s="50" t="s">
        <v>9860</v>
      </c>
      <c r="D3572" s="50" t="s">
        <v>9715</v>
      </c>
      <c r="E3572" s="12" t="s">
        <v>4971</v>
      </c>
      <c r="F3572" s="49">
        <v>494931</v>
      </c>
      <c r="G3572" s="77" t="s">
        <v>5779</v>
      </c>
      <c r="H3572" s="14" t="s">
        <v>5601</v>
      </c>
      <c r="I3572" s="14" t="s">
        <v>2458</v>
      </c>
      <c r="J3572" s="33" t="e">
        <f>VLOOKUP(C3572,شرکتها!A:B,2,FALSE)</f>
        <v>#N/A</v>
      </c>
      <c r="K3572" s="33" t="s">
        <v>9910</v>
      </c>
      <c r="L3572" s="53" t="str">
        <f>"بنگلادش"</f>
        <v>بنگلادش</v>
      </c>
      <c r="M3572" s="68" t="str">
        <f t="shared" si="48"/>
        <v>بشكه</v>
      </c>
      <c r="N3572" s="53" t="str">
        <f t="shared" si="46"/>
        <v>منطقه ويژه اقتصادي شهيد رجايي</v>
      </c>
      <c r="O3572" s="53">
        <v>50100</v>
      </c>
      <c r="P3572" s="198" t="s">
        <v>9761</v>
      </c>
    </row>
    <row r="3573" spans="1:16" ht="18.75" hidden="1">
      <c r="A3573" s="50" t="str">
        <f>"50100-9472030"</f>
        <v>50100-9472030</v>
      </c>
      <c r="B3573" s="50" t="str">
        <f>"96/08/22"</f>
        <v>96/08/22</v>
      </c>
      <c r="C3573" s="50" t="s">
        <v>9861</v>
      </c>
      <c r="D3573" s="50" t="s">
        <v>6128</v>
      </c>
      <c r="E3573" s="12" t="s">
        <v>4971</v>
      </c>
      <c r="F3573" s="49">
        <v>56520</v>
      </c>
      <c r="G3573" s="77" t="s">
        <v>5611</v>
      </c>
      <c r="H3573" s="14" t="s">
        <v>5601</v>
      </c>
      <c r="I3573" s="14" t="s">
        <v>2458</v>
      </c>
      <c r="J3573" s="33" t="s">
        <v>7110</v>
      </c>
      <c r="K3573" s="33" t="s">
        <v>9910</v>
      </c>
      <c r="L3573" s="53" t="str">
        <f>"سودان"</f>
        <v>سودان</v>
      </c>
      <c r="M3573" s="68" t="str">
        <f t="shared" si="48"/>
        <v>بشكه</v>
      </c>
      <c r="N3573" s="53" t="str">
        <f t="shared" si="46"/>
        <v>منطقه ويژه اقتصادي شهيد رجايي</v>
      </c>
      <c r="O3573" s="53">
        <v>50100</v>
      </c>
      <c r="P3573" s="198" t="s">
        <v>7231</v>
      </c>
    </row>
    <row r="3574" spans="1:16" ht="18.75" hidden="1">
      <c r="A3574" s="50" t="str">
        <f>"50100-9502749"</f>
        <v>50100-9502749</v>
      </c>
      <c r="B3574" s="50" t="str">
        <f>"96/08/30"</f>
        <v>96/08/30</v>
      </c>
      <c r="C3574" s="50" t="s">
        <v>9862</v>
      </c>
      <c r="D3574" s="50" t="s">
        <v>6314</v>
      </c>
      <c r="E3574" s="12" t="s">
        <v>4971</v>
      </c>
      <c r="F3574" s="49">
        <v>100000</v>
      </c>
      <c r="G3574" s="77" t="s">
        <v>5611</v>
      </c>
      <c r="H3574" s="14" t="s">
        <v>5601</v>
      </c>
      <c r="I3574" s="14" t="s">
        <v>2458</v>
      </c>
      <c r="J3574" s="33" t="s">
        <v>7110</v>
      </c>
      <c r="K3574" s="33" t="s">
        <v>9910</v>
      </c>
      <c r="L3574" s="53" t="str">
        <f>"سودان"</f>
        <v>سودان</v>
      </c>
      <c r="M3574" s="68" t="str">
        <f t="shared" si="48"/>
        <v>بشكه</v>
      </c>
      <c r="N3574" s="53" t="str">
        <f t="shared" si="46"/>
        <v>منطقه ويژه اقتصادي شهيد رجايي</v>
      </c>
      <c r="O3574" s="53">
        <v>50100</v>
      </c>
      <c r="P3574" s="198" t="s">
        <v>7231</v>
      </c>
    </row>
    <row r="3575" spans="1:16" ht="18.75" hidden="1">
      <c r="A3575" s="50" t="str">
        <f>"50100-9480490"</f>
        <v>50100-9480490</v>
      </c>
      <c r="B3575" s="50" t="str">
        <f>"96/08/24"</f>
        <v>96/08/24</v>
      </c>
      <c r="C3575" s="50" t="s">
        <v>9850</v>
      </c>
      <c r="D3575" s="50" t="s">
        <v>6361</v>
      </c>
      <c r="E3575" s="12" t="s">
        <v>4971</v>
      </c>
      <c r="F3575" s="49">
        <v>365080</v>
      </c>
      <c r="G3575" s="77" t="s">
        <v>5607</v>
      </c>
      <c r="H3575" s="14" t="s">
        <v>5601</v>
      </c>
      <c r="I3575" s="14" t="s">
        <v>2458</v>
      </c>
      <c r="J3575" s="33" t="s">
        <v>7110</v>
      </c>
      <c r="K3575" s="33" t="s">
        <v>9910</v>
      </c>
      <c r="L3575" s="53" t="str">
        <f>"بنگلادش"</f>
        <v>بنگلادش</v>
      </c>
      <c r="M3575" s="68" t="str">
        <f t="shared" si="48"/>
        <v>بشكه</v>
      </c>
      <c r="N3575" s="53" t="str">
        <f t="shared" si="46"/>
        <v>منطقه ويژه اقتصادي شهيد رجايي</v>
      </c>
      <c r="O3575" s="53">
        <v>50100</v>
      </c>
      <c r="P3575" s="198" t="s">
        <v>7233</v>
      </c>
    </row>
    <row r="3576" spans="1:16" ht="18.75" hidden="1">
      <c r="A3576" s="50" t="str">
        <f>"50100-9490332"</f>
        <v>50100-9490332</v>
      </c>
      <c r="B3576" s="50" t="str">
        <f>"96/08/27"</f>
        <v>96/08/27</v>
      </c>
      <c r="C3576" s="50" t="s">
        <v>9855</v>
      </c>
      <c r="D3576" s="50" t="s">
        <v>6361</v>
      </c>
      <c r="E3576" s="12" t="s">
        <v>4971</v>
      </c>
      <c r="F3576" s="49">
        <v>166913</v>
      </c>
      <c r="G3576" s="77" t="s">
        <v>5611</v>
      </c>
      <c r="H3576" s="14" t="s">
        <v>5601</v>
      </c>
      <c r="I3576" s="14" t="s">
        <v>2458</v>
      </c>
      <c r="J3576" s="33" t="s">
        <v>7110</v>
      </c>
      <c r="K3576" s="33" t="s">
        <v>9910</v>
      </c>
      <c r="L3576" s="53" t="str">
        <f>"سودان"</f>
        <v>سودان</v>
      </c>
      <c r="M3576" s="68" t="str">
        <f t="shared" si="48"/>
        <v>بشكه</v>
      </c>
      <c r="N3576" s="53" t="str">
        <f t="shared" si="46"/>
        <v>منطقه ويژه اقتصادي شهيد رجايي</v>
      </c>
      <c r="O3576" s="53">
        <v>50100</v>
      </c>
      <c r="P3576" s="198" t="s">
        <v>7231</v>
      </c>
    </row>
    <row r="3577" spans="1:16" ht="18.75" hidden="1">
      <c r="A3577" s="50" t="str">
        <f>"50100-9490602"</f>
        <v>50100-9490602</v>
      </c>
      <c r="B3577" s="50" t="str">
        <f>"96/08/27"</f>
        <v>96/08/27</v>
      </c>
      <c r="C3577" s="50" t="s">
        <v>9863</v>
      </c>
      <c r="D3577" s="50" t="s">
        <v>6412</v>
      </c>
      <c r="E3577" s="12" t="s">
        <v>4971</v>
      </c>
      <c r="F3577" s="49">
        <v>64113</v>
      </c>
      <c r="G3577" s="77" t="s">
        <v>5611</v>
      </c>
      <c r="H3577" s="14" t="s">
        <v>5601</v>
      </c>
      <c r="I3577" s="14" t="s">
        <v>2458</v>
      </c>
      <c r="J3577" s="33" t="s">
        <v>7110</v>
      </c>
      <c r="K3577" s="33" t="s">
        <v>9910</v>
      </c>
      <c r="L3577" s="53" t="str">
        <f>"سودان"</f>
        <v>سودان</v>
      </c>
      <c r="M3577" s="68" t="str">
        <f t="shared" si="48"/>
        <v>بشكه</v>
      </c>
      <c r="N3577" s="53" t="str">
        <f t="shared" si="46"/>
        <v>منطقه ويژه اقتصادي شهيد رجايي</v>
      </c>
      <c r="O3577" s="53">
        <v>50100</v>
      </c>
      <c r="P3577" s="198" t="s">
        <v>7231</v>
      </c>
    </row>
    <row r="3578" spans="1:16" ht="18.75" hidden="1">
      <c r="A3578" s="50" t="str">
        <f>"50100-9490602"</f>
        <v>50100-9490602</v>
      </c>
      <c r="B3578" s="50" t="str">
        <f>"96/08/27"</f>
        <v>96/08/27</v>
      </c>
      <c r="C3578" s="50" t="s">
        <v>9864</v>
      </c>
      <c r="D3578" s="50" t="s">
        <v>6251</v>
      </c>
      <c r="E3578" s="12" t="s">
        <v>4971</v>
      </c>
      <c r="F3578" s="49">
        <v>250000</v>
      </c>
      <c r="G3578" s="77" t="s">
        <v>5611</v>
      </c>
      <c r="H3578" s="14" t="s">
        <v>5601</v>
      </c>
      <c r="I3578" s="14" t="s">
        <v>2458</v>
      </c>
      <c r="J3578" s="33" t="s">
        <v>7110</v>
      </c>
      <c r="K3578" s="33" t="s">
        <v>9910</v>
      </c>
      <c r="L3578" s="53" t="str">
        <f>"سودان"</f>
        <v>سودان</v>
      </c>
      <c r="M3578" s="68" t="str">
        <f t="shared" si="48"/>
        <v>بشكه</v>
      </c>
      <c r="N3578" s="53" t="str">
        <f t="shared" si="46"/>
        <v>منطقه ويژه اقتصادي شهيد رجايي</v>
      </c>
      <c r="O3578" s="53">
        <v>50100</v>
      </c>
      <c r="P3578" s="198" t="s">
        <v>7231</v>
      </c>
    </row>
    <row r="3579" spans="1:16" ht="18.75" hidden="1">
      <c r="A3579" s="50" t="str">
        <f>"50100-9476872"</f>
        <v>50100-9476872</v>
      </c>
      <c r="B3579" s="50" t="str">
        <f>"96/08/23"</f>
        <v>96/08/23</v>
      </c>
      <c r="C3579" s="50" t="s">
        <v>9865</v>
      </c>
      <c r="D3579" s="50" t="s">
        <v>6075</v>
      </c>
      <c r="E3579" s="12" t="s">
        <v>4971</v>
      </c>
      <c r="F3579" s="49">
        <v>50000</v>
      </c>
      <c r="G3579" s="77" t="s">
        <v>5611</v>
      </c>
      <c r="H3579" s="14" t="s">
        <v>5601</v>
      </c>
      <c r="I3579" s="14" t="s">
        <v>2458</v>
      </c>
      <c r="J3579" s="33" t="s">
        <v>7110</v>
      </c>
      <c r="K3579" s="33" t="s">
        <v>9910</v>
      </c>
      <c r="L3579" s="53" t="str">
        <f>"سودان"</f>
        <v>سودان</v>
      </c>
      <c r="M3579" s="68" t="str">
        <f t="shared" si="48"/>
        <v>بشكه</v>
      </c>
      <c r="N3579" s="53" t="str">
        <f t="shared" si="46"/>
        <v>منطقه ويژه اقتصادي شهيد رجايي</v>
      </c>
      <c r="O3579" s="53">
        <v>50100</v>
      </c>
      <c r="P3579" s="198" t="s">
        <v>5831</v>
      </c>
    </row>
    <row r="3580" spans="1:16" ht="18.75" hidden="1">
      <c r="A3580" s="50" t="str">
        <f>"50100-9487835"</f>
        <v>50100-9487835</v>
      </c>
      <c r="B3580" s="50" t="str">
        <f>"96/08/27"</f>
        <v>96/08/27</v>
      </c>
      <c r="C3580" s="50" t="s">
        <v>9866</v>
      </c>
      <c r="D3580" s="50" t="s">
        <v>8770</v>
      </c>
      <c r="E3580" s="12" t="s">
        <v>4971</v>
      </c>
      <c r="F3580" s="49">
        <v>500000</v>
      </c>
      <c r="G3580" s="77" t="s">
        <v>5631</v>
      </c>
      <c r="H3580" s="14" t="s">
        <v>5601</v>
      </c>
      <c r="I3580" s="14" t="s">
        <v>2458</v>
      </c>
      <c r="J3580" s="33" t="s">
        <v>7110</v>
      </c>
      <c r="K3580" s="33" t="s">
        <v>9910</v>
      </c>
      <c r="L3580" s="53" t="str">
        <f>"آفريقاي جنوبي"</f>
        <v>آفريقاي جنوبي</v>
      </c>
      <c r="M3580" s="68" t="str">
        <f t="shared" si="48"/>
        <v>بشكه</v>
      </c>
      <c r="N3580" s="53" t="str">
        <f t="shared" si="46"/>
        <v>منطقه ويژه اقتصادي شهيد رجايي</v>
      </c>
      <c r="O3580" s="53">
        <v>50100</v>
      </c>
      <c r="P3580" s="197" t="s">
        <v>8722</v>
      </c>
    </row>
    <row r="3581" spans="1:16" ht="18.75" hidden="1">
      <c r="A3581" s="50" t="str">
        <f>"50100-9465896"</f>
        <v>50100-9465896</v>
      </c>
      <c r="B3581" s="50" t="str">
        <f>"96/08/21"</f>
        <v>96/08/21</v>
      </c>
      <c r="C3581" s="50" t="s">
        <v>6448</v>
      </c>
      <c r="D3581" s="50" t="s">
        <v>6244</v>
      </c>
      <c r="E3581" s="12" t="s">
        <v>4971</v>
      </c>
      <c r="F3581" s="49">
        <v>218560</v>
      </c>
      <c r="G3581" s="77" t="s">
        <v>5607</v>
      </c>
      <c r="H3581" s="14" t="s">
        <v>5601</v>
      </c>
      <c r="I3581" s="14" t="s">
        <v>2458</v>
      </c>
      <c r="J3581" s="33" t="s">
        <v>7110</v>
      </c>
      <c r="K3581" s="33" t="s">
        <v>9910</v>
      </c>
      <c r="L3581" s="53" t="str">
        <f>" ميانمار"</f>
        <v xml:space="preserve"> ميانمار</v>
      </c>
      <c r="M3581" s="68" t="str">
        <f t="shared" si="48"/>
        <v>بشكه</v>
      </c>
      <c r="N3581" s="53" t="str">
        <f t="shared" si="46"/>
        <v>منطقه ويژه اقتصادي شهيد رجايي</v>
      </c>
      <c r="O3581" s="53">
        <v>50100</v>
      </c>
      <c r="P3581" s="198" t="s">
        <v>7233</v>
      </c>
    </row>
    <row r="3582" spans="1:16" ht="18.75" hidden="1">
      <c r="A3582" s="50" t="str">
        <f>"50100-9502749"</f>
        <v>50100-9502749</v>
      </c>
      <c r="B3582" s="50" t="str">
        <f>"96/08/30"</f>
        <v>96/08/30</v>
      </c>
      <c r="C3582" s="50" t="s">
        <v>9867</v>
      </c>
      <c r="D3582" s="50" t="s">
        <v>6328</v>
      </c>
      <c r="E3582" s="12" t="s">
        <v>4971</v>
      </c>
      <c r="F3582" s="49">
        <v>100000</v>
      </c>
      <c r="G3582" s="77" t="s">
        <v>5611</v>
      </c>
      <c r="H3582" s="14" t="s">
        <v>5601</v>
      </c>
      <c r="I3582" s="14" t="s">
        <v>2458</v>
      </c>
      <c r="J3582" s="33" t="s">
        <v>7110</v>
      </c>
      <c r="K3582" s="33" t="s">
        <v>9910</v>
      </c>
      <c r="L3582" s="53" t="str">
        <f>"سودان"</f>
        <v>سودان</v>
      </c>
      <c r="M3582" s="68" t="str">
        <f t="shared" si="48"/>
        <v>بشكه</v>
      </c>
      <c r="N3582" s="53" t="str">
        <f t="shared" si="46"/>
        <v>منطقه ويژه اقتصادي شهيد رجايي</v>
      </c>
      <c r="O3582" s="53">
        <v>50100</v>
      </c>
      <c r="P3582" s="198" t="s">
        <v>7231</v>
      </c>
    </row>
    <row r="3583" spans="1:16" ht="18.75" hidden="1">
      <c r="A3583" s="50" t="str">
        <f>"50100-9502749"</f>
        <v>50100-9502749</v>
      </c>
      <c r="B3583" s="50" t="str">
        <f>"96/08/30"</f>
        <v>96/08/30</v>
      </c>
      <c r="C3583" s="50" t="s">
        <v>9863</v>
      </c>
      <c r="D3583" s="50" t="s">
        <v>6412</v>
      </c>
      <c r="E3583" s="12" t="s">
        <v>4971</v>
      </c>
      <c r="F3583" s="49">
        <v>15150</v>
      </c>
      <c r="G3583" s="77" t="s">
        <v>5611</v>
      </c>
      <c r="H3583" s="14" t="s">
        <v>5601</v>
      </c>
      <c r="I3583" s="14" t="s">
        <v>2458</v>
      </c>
      <c r="J3583" s="33" t="s">
        <v>7110</v>
      </c>
      <c r="K3583" s="33" t="s">
        <v>9910</v>
      </c>
      <c r="L3583" s="53" t="str">
        <f>"سودان"</f>
        <v>سودان</v>
      </c>
      <c r="M3583" s="68" t="str">
        <f t="shared" si="48"/>
        <v>بشكه</v>
      </c>
      <c r="N3583" s="53" t="str">
        <f t="shared" si="46"/>
        <v>منطقه ويژه اقتصادي شهيد رجايي</v>
      </c>
      <c r="O3583" s="53">
        <v>50100</v>
      </c>
      <c r="P3583" s="198" t="s">
        <v>7231</v>
      </c>
    </row>
    <row r="3584" spans="1:16" ht="18.75" hidden="1">
      <c r="A3584" s="50" t="str">
        <f>"50100-9502749"</f>
        <v>50100-9502749</v>
      </c>
      <c r="B3584" s="50" t="str">
        <f>"96/08/30"</f>
        <v>96/08/30</v>
      </c>
      <c r="C3584" s="50" t="s">
        <v>9868</v>
      </c>
      <c r="D3584" s="50" t="s">
        <v>6312</v>
      </c>
      <c r="E3584" s="12" t="s">
        <v>4971</v>
      </c>
      <c r="F3584" s="49">
        <v>150000</v>
      </c>
      <c r="G3584" s="77" t="s">
        <v>5611</v>
      </c>
      <c r="H3584" s="14" t="s">
        <v>5601</v>
      </c>
      <c r="I3584" s="14" t="s">
        <v>2458</v>
      </c>
      <c r="J3584" s="33" t="s">
        <v>7110</v>
      </c>
      <c r="K3584" s="33" t="s">
        <v>9910</v>
      </c>
      <c r="L3584" s="53" t="str">
        <f>"سودان"</f>
        <v>سودان</v>
      </c>
      <c r="M3584" s="68" t="str">
        <f t="shared" si="48"/>
        <v>بشكه</v>
      </c>
      <c r="N3584" s="53" t="str">
        <f t="shared" si="46"/>
        <v>منطقه ويژه اقتصادي شهيد رجايي</v>
      </c>
      <c r="O3584" s="53">
        <v>50100</v>
      </c>
      <c r="P3584" s="198" t="s">
        <v>7231</v>
      </c>
    </row>
    <row r="3585" spans="1:16" ht="18.75" hidden="1">
      <c r="A3585" s="50" t="str">
        <f>"50100-9489089"</f>
        <v>50100-9489089</v>
      </c>
      <c r="B3585" s="50" t="str">
        <f>"96/08/27"</f>
        <v>96/08/27</v>
      </c>
      <c r="C3585" s="50" t="s">
        <v>9869</v>
      </c>
      <c r="D3585" s="50" t="s">
        <v>9759</v>
      </c>
      <c r="E3585" s="12" t="s">
        <v>4971</v>
      </c>
      <c r="F3585" s="49">
        <v>274000</v>
      </c>
      <c r="G3585" s="77" t="s">
        <v>5779</v>
      </c>
      <c r="H3585" s="14" t="s">
        <v>5601</v>
      </c>
      <c r="I3585" s="14" t="s">
        <v>2458</v>
      </c>
      <c r="J3585" s="33" t="e">
        <f>VLOOKUP(C3585,شرکتها!A:B,2,FALSE)</f>
        <v>#N/A</v>
      </c>
      <c r="K3585" s="33" t="s">
        <v>9910</v>
      </c>
      <c r="L3585" s="53" t="str">
        <f>"قطر"</f>
        <v>قطر</v>
      </c>
      <c r="M3585" s="68" t="str">
        <f>"فله"</f>
        <v>فله</v>
      </c>
      <c r="N3585" s="53" t="str">
        <f t="shared" si="46"/>
        <v>منطقه ويژه اقتصادي شهيد رجايي</v>
      </c>
      <c r="O3585" s="53">
        <v>50100</v>
      </c>
      <c r="P3585" s="198" t="s">
        <v>5844</v>
      </c>
    </row>
    <row r="3586" spans="1:16" ht="18.75" hidden="1">
      <c r="A3586" s="50" t="str">
        <f>"50100-9489089"</f>
        <v>50100-9489089</v>
      </c>
      <c r="B3586" s="50" t="str">
        <f>"96/08/27"</f>
        <v>96/08/27</v>
      </c>
      <c r="C3586" s="50" t="s">
        <v>9870</v>
      </c>
      <c r="D3586" s="50" t="s">
        <v>9759</v>
      </c>
      <c r="E3586" s="12" t="s">
        <v>4971</v>
      </c>
      <c r="F3586" s="49">
        <v>672987</v>
      </c>
      <c r="G3586" s="77" t="s">
        <v>5779</v>
      </c>
      <c r="H3586" s="14" t="s">
        <v>5601</v>
      </c>
      <c r="I3586" s="14" t="s">
        <v>2458</v>
      </c>
      <c r="J3586" s="33" t="e">
        <f>VLOOKUP(C3586,شرکتها!A:B,2,FALSE)</f>
        <v>#N/A</v>
      </c>
      <c r="K3586" s="33" t="s">
        <v>9910</v>
      </c>
      <c r="L3586" s="53" t="str">
        <f>"قطر"</f>
        <v>قطر</v>
      </c>
      <c r="M3586" s="68" t="str">
        <f>"فله"</f>
        <v>فله</v>
      </c>
      <c r="N3586" s="53" t="str">
        <f t="shared" si="46"/>
        <v>منطقه ويژه اقتصادي شهيد رجايي</v>
      </c>
      <c r="O3586" s="53">
        <v>50100</v>
      </c>
      <c r="P3586" s="198" t="s">
        <v>7124</v>
      </c>
    </row>
    <row r="3587" spans="1:16" ht="18.75" hidden="1">
      <c r="A3587" s="50" t="str">
        <f>"50100-9466428"</f>
        <v>50100-9466428</v>
      </c>
      <c r="B3587" s="50" t="str">
        <f>"96/08/21"</f>
        <v>96/08/21</v>
      </c>
      <c r="C3587" s="50" t="s">
        <v>9871</v>
      </c>
      <c r="D3587" s="50" t="s">
        <v>9830</v>
      </c>
      <c r="E3587" s="12" t="s">
        <v>4971</v>
      </c>
      <c r="F3587" s="49">
        <v>457604</v>
      </c>
      <c r="G3587" s="77" t="s">
        <v>5754</v>
      </c>
      <c r="H3587" s="14" t="s">
        <v>5601</v>
      </c>
      <c r="I3587" s="14" t="s">
        <v>2458</v>
      </c>
      <c r="J3587" s="33" t="s">
        <v>7110</v>
      </c>
      <c r="K3587" s="33" t="s">
        <v>9910</v>
      </c>
      <c r="L3587" s="53" t="str">
        <f>"هند"</f>
        <v>هند</v>
      </c>
      <c r="M3587" s="68" t="str">
        <f t="shared" ref="M3587:M3608" si="49">"بشكه"</f>
        <v>بشكه</v>
      </c>
      <c r="N3587" s="53" t="str">
        <f t="shared" si="46"/>
        <v>منطقه ويژه اقتصادي شهيد رجايي</v>
      </c>
      <c r="O3587" s="53">
        <v>50100</v>
      </c>
      <c r="P3587" s="198" t="s">
        <v>5858</v>
      </c>
    </row>
    <row r="3588" spans="1:16" ht="18.75" hidden="1">
      <c r="A3588" s="50" t="str">
        <f>"50100-9495978"</f>
        <v>50100-9495978</v>
      </c>
      <c r="B3588" s="50" t="str">
        <f>"96/08/29"</f>
        <v>96/08/29</v>
      </c>
      <c r="C3588" s="50" t="s">
        <v>9866</v>
      </c>
      <c r="D3588" s="50" t="s">
        <v>8770</v>
      </c>
      <c r="E3588" s="12" t="s">
        <v>4971</v>
      </c>
      <c r="F3588" s="49">
        <v>495620</v>
      </c>
      <c r="G3588" s="77" t="s">
        <v>5631</v>
      </c>
      <c r="H3588" s="14" t="s">
        <v>5601</v>
      </c>
      <c r="I3588" s="14" t="s">
        <v>2458</v>
      </c>
      <c r="J3588" s="33" t="s">
        <v>7110</v>
      </c>
      <c r="K3588" s="33" t="s">
        <v>9910</v>
      </c>
      <c r="L3588" s="53" t="str">
        <f>"هند"</f>
        <v>هند</v>
      </c>
      <c r="M3588" s="68" t="str">
        <f t="shared" si="49"/>
        <v>بشكه</v>
      </c>
      <c r="N3588" s="53" t="str">
        <f t="shared" si="46"/>
        <v>منطقه ويژه اقتصادي شهيد رجايي</v>
      </c>
      <c r="O3588" s="53">
        <v>50100</v>
      </c>
      <c r="P3588" s="197" t="s">
        <v>8722</v>
      </c>
    </row>
    <row r="3589" spans="1:16" ht="18.75" hidden="1">
      <c r="A3589" s="50" t="str">
        <f>"50100-9480490"</f>
        <v>50100-9480490</v>
      </c>
      <c r="B3589" s="50" t="str">
        <f>"96/08/24"</f>
        <v>96/08/24</v>
      </c>
      <c r="C3589" s="50" t="s">
        <v>6424</v>
      </c>
      <c r="D3589" s="50" t="s">
        <v>6246</v>
      </c>
      <c r="E3589" s="12" t="s">
        <v>4971</v>
      </c>
      <c r="F3589" s="49">
        <v>110000</v>
      </c>
      <c r="G3589" s="77" t="s">
        <v>5607</v>
      </c>
      <c r="H3589" s="14" t="s">
        <v>5601</v>
      </c>
      <c r="I3589" s="14" t="s">
        <v>2458</v>
      </c>
      <c r="J3589" s="33" t="s">
        <v>7110</v>
      </c>
      <c r="K3589" s="33" t="s">
        <v>9910</v>
      </c>
      <c r="L3589" s="53" t="str">
        <f>"بنگلادش"</f>
        <v>بنگلادش</v>
      </c>
      <c r="M3589" s="68" t="str">
        <f t="shared" si="49"/>
        <v>بشكه</v>
      </c>
      <c r="N3589" s="53" t="str">
        <f t="shared" si="46"/>
        <v>منطقه ويژه اقتصادي شهيد رجايي</v>
      </c>
      <c r="O3589" s="53">
        <v>50100</v>
      </c>
      <c r="P3589" s="198" t="s">
        <v>7233</v>
      </c>
    </row>
    <row r="3590" spans="1:16" ht="18.75" hidden="1">
      <c r="A3590" s="50" t="str">
        <f>"50100-9480490"</f>
        <v>50100-9480490</v>
      </c>
      <c r="B3590" s="50" t="str">
        <f>"96/08/24"</f>
        <v>96/08/24</v>
      </c>
      <c r="C3590" s="50" t="s">
        <v>9707</v>
      </c>
      <c r="D3590" s="50" t="s">
        <v>6252</v>
      </c>
      <c r="E3590" s="12" t="s">
        <v>4971</v>
      </c>
      <c r="F3590" s="49">
        <v>5850</v>
      </c>
      <c r="G3590" s="77" t="s">
        <v>5607</v>
      </c>
      <c r="H3590" s="14" t="s">
        <v>5601</v>
      </c>
      <c r="I3590" s="14" t="s">
        <v>2458</v>
      </c>
      <c r="J3590" s="33" t="s">
        <v>7110</v>
      </c>
      <c r="K3590" s="33" t="s">
        <v>9910</v>
      </c>
      <c r="L3590" s="53" t="str">
        <f>"بنگلادش"</f>
        <v>بنگلادش</v>
      </c>
      <c r="M3590" s="68" t="str">
        <f t="shared" si="49"/>
        <v>بشكه</v>
      </c>
      <c r="N3590" s="53" t="str">
        <f t="shared" si="46"/>
        <v>منطقه ويژه اقتصادي شهيد رجايي</v>
      </c>
      <c r="O3590" s="53">
        <v>50100</v>
      </c>
      <c r="P3590" s="198" t="s">
        <v>7233</v>
      </c>
    </row>
    <row r="3591" spans="1:16" ht="18.75" hidden="1">
      <c r="A3591" s="50" t="str">
        <f>"50100-9472030"</f>
        <v>50100-9472030</v>
      </c>
      <c r="B3591" s="50" t="str">
        <f>"96/08/22"</f>
        <v>96/08/22</v>
      </c>
      <c r="C3591" s="50" t="s">
        <v>9872</v>
      </c>
      <c r="D3591" s="50" t="s">
        <v>6246</v>
      </c>
      <c r="E3591" s="12" t="s">
        <v>4971</v>
      </c>
      <c r="F3591" s="49">
        <v>200000</v>
      </c>
      <c r="G3591" s="77" t="s">
        <v>5611</v>
      </c>
      <c r="H3591" s="14" t="s">
        <v>5601</v>
      </c>
      <c r="I3591" s="14" t="s">
        <v>2458</v>
      </c>
      <c r="J3591" s="33" t="s">
        <v>7110</v>
      </c>
      <c r="K3591" s="33" t="s">
        <v>9910</v>
      </c>
      <c r="L3591" s="53" t="str">
        <f>"سودان"</f>
        <v>سودان</v>
      </c>
      <c r="M3591" s="68" t="str">
        <f t="shared" si="49"/>
        <v>بشكه</v>
      </c>
      <c r="N3591" s="53" t="str">
        <f t="shared" si="46"/>
        <v>منطقه ويژه اقتصادي شهيد رجايي</v>
      </c>
      <c r="O3591" s="53">
        <v>50100</v>
      </c>
      <c r="P3591" s="198" t="s">
        <v>7231</v>
      </c>
    </row>
    <row r="3592" spans="1:16" ht="18.75" hidden="1">
      <c r="A3592" s="50" t="str">
        <f>"50100-9472030"</f>
        <v>50100-9472030</v>
      </c>
      <c r="B3592" s="50" t="str">
        <f>"96/08/22"</f>
        <v>96/08/22</v>
      </c>
      <c r="C3592" s="50" t="s">
        <v>9873</v>
      </c>
      <c r="D3592" s="50" t="s">
        <v>6246</v>
      </c>
      <c r="E3592" s="12" t="s">
        <v>4971</v>
      </c>
      <c r="F3592" s="49">
        <v>159280</v>
      </c>
      <c r="G3592" s="77" t="s">
        <v>5611</v>
      </c>
      <c r="H3592" s="14" t="s">
        <v>5601</v>
      </c>
      <c r="I3592" s="14" t="s">
        <v>2458</v>
      </c>
      <c r="J3592" s="33" t="s">
        <v>7110</v>
      </c>
      <c r="K3592" s="33" t="s">
        <v>9910</v>
      </c>
      <c r="L3592" s="53" t="str">
        <f>"سودان"</f>
        <v>سودان</v>
      </c>
      <c r="M3592" s="68" t="str">
        <f t="shared" si="49"/>
        <v>بشكه</v>
      </c>
      <c r="N3592" s="53" t="str">
        <f t="shared" si="46"/>
        <v>منطقه ويژه اقتصادي شهيد رجايي</v>
      </c>
      <c r="O3592" s="53">
        <v>50100</v>
      </c>
      <c r="P3592" s="198" t="s">
        <v>7231</v>
      </c>
    </row>
    <row r="3593" spans="1:16" ht="18.75" hidden="1">
      <c r="A3593" s="50" t="str">
        <f>"50100-9502749"</f>
        <v>50100-9502749</v>
      </c>
      <c r="B3593" s="50" t="str">
        <f>"96/08/30"</f>
        <v>96/08/30</v>
      </c>
      <c r="C3593" s="50" t="s">
        <v>9874</v>
      </c>
      <c r="D3593" s="50" t="s">
        <v>6314</v>
      </c>
      <c r="E3593" s="12" t="s">
        <v>4971</v>
      </c>
      <c r="F3593" s="49">
        <v>131500</v>
      </c>
      <c r="G3593" s="77" t="s">
        <v>5611</v>
      </c>
      <c r="H3593" s="14" t="s">
        <v>5601</v>
      </c>
      <c r="I3593" s="14" t="s">
        <v>2458</v>
      </c>
      <c r="J3593" s="33" t="s">
        <v>7110</v>
      </c>
      <c r="K3593" s="33" t="s">
        <v>9910</v>
      </c>
      <c r="L3593" s="53" t="str">
        <f>"سودان"</f>
        <v>سودان</v>
      </c>
      <c r="M3593" s="68" t="str">
        <f t="shared" si="49"/>
        <v>بشكه</v>
      </c>
      <c r="N3593" s="53" t="str">
        <f t="shared" si="46"/>
        <v>منطقه ويژه اقتصادي شهيد رجايي</v>
      </c>
      <c r="O3593" s="53">
        <v>50100</v>
      </c>
      <c r="P3593" s="198" t="s">
        <v>7231</v>
      </c>
    </row>
    <row r="3594" spans="1:16" ht="18.75" hidden="1">
      <c r="A3594" s="50" t="str">
        <f>"50100-9474616"</f>
        <v>50100-9474616</v>
      </c>
      <c r="B3594" s="50" t="str">
        <f>"96/08/23"</f>
        <v>96/08/23</v>
      </c>
      <c r="C3594" s="50" t="s">
        <v>9860</v>
      </c>
      <c r="D3594" s="50" t="s">
        <v>9715</v>
      </c>
      <c r="E3594" s="12" t="s">
        <v>4971</v>
      </c>
      <c r="F3594" s="49">
        <v>494931</v>
      </c>
      <c r="G3594" s="77" t="s">
        <v>5779</v>
      </c>
      <c r="H3594" s="14" t="s">
        <v>5601</v>
      </c>
      <c r="I3594" s="14" t="s">
        <v>2458</v>
      </c>
      <c r="J3594" s="33" t="e">
        <f>VLOOKUP(C3594,شرکتها!A:B,2,FALSE)</f>
        <v>#N/A</v>
      </c>
      <c r="K3594" s="33" t="s">
        <v>9910</v>
      </c>
      <c r="L3594" s="53" t="str">
        <f>"بنگلادش"</f>
        <v>بنگلادش</v>
      </c>
      <c r="M3594" s="68" t="str">
        <f t="shared" si="49"/>
        <v>بشكه</v>
      </c>
      <c r="N3594" s="53" t="str">
        <f t="shared" si="46"/>
        <v>منطقه ويژه اقتصادي شهيد رجايي</v>
      </c>
      <c r="O3594" s="53">
        <v>50100</v>
      </c>
      <c r="P3594" s="198" t="s">
        <v>9761</v>
      </c>
    </row>
    <row r="3595" spans="1:16" ht="18.75" hidden="1">
      <c r="A3595" s="50" t="str">
        <f>"50100-9476920"</f>
        <v>50100-9476920</v>
      </c>
      <c r="B3595" s="50" t="str">
        <f>"96/08/23"</f>
        <v>96/08/23</v>
      </c>
      <c r="C3595" s="50" t="s">
        <v>9733</v>
      </c>
      <c r="D3595" s="50" t="s">
        <v>6243</v>
      </c>
      <c r="E3595" s="12" t="s">
        <v>4971</v>
      </c>
      <c r="F3595" s="49">
        <v>82340</v>
      </c>
      <c r="G3595" s="77" t="s">
        <v>5611</v>
      </c>
      <c r="H3595" s="14" t="s">
        <v>5601</v>
      </c>
      <c r="I3595" s="14" t="s">
        <v>2458</v>
      </c>
      <c r="J3595" s="33" t="s">
        <v>7110</v>
      </c>
      <c r="K3595" s="33" t="s">
        <v>9910</v>
      </c>
      <c r="L3595" s="53" t="str">
        <f t="shared" ref="L3595:L3602" si="50">"هند"</f>
        <v>هند</v>
      </c>
      <c r="M3595" s="68" t="str">
        <f t="shared" si="49"/>
        <v>بشكه</v>
      </c>
      <c r="N3595" s="53" t="str">
        <f t="shared" si="46"/>
        <v>منطقه ويژه اقتصادي شهيد رجايي</v>
      </c>
      <c r="O3595" s="53">
        <v>50100</v>
      </c>
      <c r="P3595" s="198" t="s">
        <v>5831</v>
      </c>
    </row>
    <row r="3596" spans="1:16" ht="18.75" hidden="1">
      <c r="A3596" s="50" t="str">
        <f>"50100-9481685"</f>
        <v>50100-9481685</v>
      </c>
      <c r="B3596" s="50" t="str">
        <f>"96/08/25"</f>
        <v>96/08/25</v>
      </c>
      <c r="C3596" s="50" t="s">
        <v>9718</v>
      </c>
      <c r="D3596" s="50" t="s">
        <v>6314</v>
      </c>
      <c r="E3596" s="12" t="s">
        <v>4971</v>
      </c>
      <c r="F3596" s="49">
        <v>60604</v>
      </c>
      <c r="G3596" s="77" t="s">
        <v>5631</v>
      </c>
      <c r="H3596" s="14" t="s">
        <v>5601</v>
      </c>
      <c r="I3596" s="14" t="s">
        <v>2458</v>
      </c>
      <c r="J3596" s="33" t="s">
        <v>7110</v>
      </c>
      <c r="K3596" s="33" t="s">
        <v>9910</v>
      </c>
      <c r="L3596" s="53" t="str">
        <f t="shared" si="50"/>
        <v>هند</v>
      </c>
      <c r="M3596" s="68" t="str">
        <f t="shared" si="49"/>
        <v>بشكه</v>
      </c>
      <c r="N3596" s="53" t="str">
        <f t="shared" si="46"/>
        <v>منطقه ويژه اقتصادي شهيد رجايي</v>
      </c>
      <c r="O3596" s="53">
        <v>50100</v>
      </c>
      <c r="P3596" s="197" t="s">
        <v>7237</v>
      </c>
    </row>
    <row r="3597" spans="1:16" ht="18.75" hidden="1">
      <c r="A3597" s="50" t="str">
        <f>"50100-9481685"</f>
        <v>50100-9481685</v>
      </c>
      <c r="B3597" s="50" t="str">
        <f>"96/08/25"</f>
        <v>96/08/25</v>
      </c>
      <c r="C3597" s="50" t="s">
        <v>8828</v>
      </c>
      <c r="D3597" s="50" t="s">
        <v>6457</v>
      </c>
      <c r="E3597" s="12" t="s">
        <v>4971</v>
      </c>
      <c r="F3597" s="49">
        <v>10518</v>
      </c>
      <c r="G3597" s="77" t="s">
        <v>5631</v>
      </c>
      <c r="H3597" s="14" t="s">
        <v>5601</v>
      </c>
      <c r="I3597" s="14" t="s">
        <v>2458</v>
      </c>
      <c r="J3597" s="33" t="s">
        <v>7110</v>
      </c>
      <c r="K3597" s="33" t="s">
        <v>9910</v>
      </c>
      <c r="L3597" s="53" t="str">
        <f t="shared" si="50"/>
        <v>هند</v>
      </c>
      <c r="M3597" s="68" t="str">
        <f t="shared" si="49"/>
        <v>بشكه</v>
      </c>
      <c r="N3597" s="53" t="str">
        <f t="shared" si="46"/>
        <v>منطقه ويژه اقتصادي شهيد رجايي</v>
      </c>
      <c r="O3597" s="53">
        <v>50100</v>
      </c>
      <c r="P3597" s="197" t="s">
        <v>5842</v>
      </c>
    </row>
    <row r="3598" spans="1:16" ht="18.75" hidden="1">
      <c r="A3598" s="50" t="str">
        <f>"50100-9466428"</f>
        <v>50100-9466428</v>
      </c>
      <c r="B3598" s="50" t="str">
        <f>"96/08/21"</f>
        <v>96/08/21</v>
      </c>
      <c r="C3598" s="50" t="s">
        <v>9727</v>
      </c>
      <c r="D3598" s="50" t="s">
        <v>8911</v>
      </c>
      <c r="E3598" s="12" t="s">
        <v>4971</v>
      </c>
      <c r="F3598" s="49">
        <v>38126</v>
      </c>
      <c r="G3598" s="77" t="s">
        <v>5754</v>
      </c>
      <c r="H3598" s="14" t="s">
        <v>5601</v>
      </c>
      <c r="I3598" s="14" t="s">
        <v>2458</v>
      </c>
      <c r="J3598" s="33" t="s">
        <v>7110</v>
      </c>
      <c r="K3598" s="33" t="s">
        <v>9910</v>
      </c>
      <c r="L3598" s="53" t="str">
        <f t="shared" si="50"/>
        <v>هند</v>
      </c>
      <c r="M3598" s="68" t="str">
        <f t="shared" si="49"/>
        <v>بشكه</v>
      </c>
      <c r="N3598" s="53" t="str">
        <f t="shared" si="46"/>
        <v>منطقه ويژه اقتصادي شهيد رجايي</v>
      </c>
      <c r="O3598" s="53">
        <v>50100</v>
      </c>
      <c r="P3598" s="198" t="s">
        <v>5858</v>
      </c>
    </row>
    <row r="3599" spans="1:16" ht="18.75" hidden="1">
      <c r="A3599" s="50" t="str">
        <f>"50100-9481685"</f>
        <v>50100-9481685</v>
      </c>
      <c r="B3599" s="50" t="str">
        <f>"96/08/25"</f>
        <v>96/08/25</v>
      </c>
      <c r="C3599" s="50" t="s">
        <v>8771</v>
      </c>
      <c r="D3599" s="50" t="s">
        <v>8767</v>
      </c>
      <c r="E3599" s="12" t="s">
        <v>4971</v>
      </c>
      <c r="F3599" s="49">
        <v>59447</v>
      </c>
      <c r="G3599" s="77" t="s">
        <v>5631</v>
      </c>
      <c r="H3599" s="14" t="s">
        <v>5601</v>
      </c>
      <c r="I3599" s="14" t="s">
        <v>2458</v>
      </c>
      <c r="J3599" s="33" t="s">
        <v>7110</v>
      </c>
      <c r="K3599" s="33" t="s">
        <v>9910</v>
      </c>
      <c r="L3599" s="53" t="str">
        <f t="shared" si="50"/>
        <v>هند</v>
      </c>
      <c r="M3599" s="68" t="str">
        <f t="shared" si="49"/>
        <v>بشكه</v>
      </c>
      <c r="N3599" s="53" t="str">
        <f t="shared" si="46"/>
        <v>منطقه ويژه اقتصادي شهيد رجايي</v>
      </c>
      <c r="O3599" s="53">
        <v>50100</v>
      </c>
      <c r="P3599" s="197" t="s">
        <v>7145</v>
      </c>
    </row>
    <row r="3600" spans="1:16" ht="18.75" hidden="1">
      <c r="A3600" s="50" t="str">
        <f>"50100-9471958"</f>
        <v>50100-9471958</v>
      </c>
      <c r="B3600" s="50" t="str">
        <f>"96/08/22"</f>
        <v>96/08/22</v>
      </c>
      <c r="C3600" s="50" t="s">
        <v>9842</v>
      </c>
      <c r="D3600" s="50" t="s">
        <v>6363</v>
      </c>
      <c r="E3600" s="12" t="s">
        <v>4971</v>
      </c>
      <c r="F3600" s="49">
        <v>64400</v>
      </c>
      <c r="G3600" s="77" t="s">
        <v>5611</v>
      </c>
      <c r="H3600" s="14" t="s">
        <v>5601</v>
      </c>
      <c r="I3600" s="14" t="s">
        <v>2458</v>
      </c>
      <c r="J3600" s="33" t="s">
        <v>7110</v>
      </c>
      <c r="K3600" s="33" t="s">
        <v>9910</v>
      </c>
      <c r="L3600" s="53" t="str">
        <f t="shared" si="50"/>
        <v>هند</v>
      </c>
      <c r="M3600" s="68" t="str">
        <f t="shared" si="49"/>
        <v>بشكه</v>
      </c>
      <c r="N3600" s="53" t="str">
        <f t="shared" si="46"/>
        <v>منطقه ويژه اقتصادي شهيد رجايي</v>
      </c>
      <c r="O3600" s="53">
        <v>50100</v>
      </c>
      <c r="P3600" s="198" t="s">
        <v>7231</v>
      </c>
    </row>
    <row r="3601" spans="1:16" ht="18.75" hidden="1">
      <c r="A3601" s="50" t="str">
        <f>"50100-9471958"</f>
        <v>50100-9471958</v>
      </c>
      <c r="B3601" s="50" t="str">
        <f>"96/08/22"</f>
        <v>96/08/22</v>
      </c>
      <c r="C3601" s="50" t="s">
        <v>9875</v>
      </c>
      <c r="D3601" s="50" t="s">
        <v>9847</v>
      </c>
      <c r="E3601" s="12" t="s">
        <v>4971</v>
      </c>
      <c r="F3601" s="49">
        <v>99000</v>
      </c>
      <c r="G3601" s="77" t="s">
        <v>5611</v>
      </c>
      <c r="H3601" s="14" t="s">
        <v>5601</v>
      </c>
      <c r="I3601" s="14" t="s">
        <v>2458</v>
      </c>
      <c r="J3601" s="33" t="s">
        <v>7110</v>
      </c>
      <c r="K3601" s="33" t="s">
        <v>9910</v>
      </c>
      <c r="L3601" s="53" t="str">
        <f t="shared" si="50"/>
        <v>هند</v>
      </c>
      <c r="M3601" s="68" t="str">
        <f t="shared" si="49"/>
        <v>بشكه</v>
      </c>
      <c r="N3601" s="53" t="str">
        <f t="shared" si="46"/>
        <v>منطقه ويژه اقتصادي شهيد رجايي</v>
      </c>
      <c r="O3601" s="53">
        <v>50100</v>
      </c>
      <c r="P3601" s="198" t="s">
        <v>7231</v>
      </c>
    </row>
    <row r="3602" spans="1:16" ht="18.75" hidden="1">
      <c r="A3602" s="50" t="str">
        <f>"50100-9471958"</f>
        <v>50100-9471958</v>
      </c>
      <c r="B3602" s="50" t="str">
        <f>"96/08/22"</f>
        <v>96/08/22</v>
      </c>
      <c r="C3602" s="50" t="s">
        <v>9876</v>
      </c>
      <c r="D3602" s="50" t="s">
        <v>6395</v>
      </c>
      <c r="E3602" s="12" t="s">
        <v>4971</v>
      </c>
      <c r="F3602" s="49">
        <v>46600</v>
      </c>
      <c r="G3602" s="77" t="s">
        <v>5611</v>
      </c>
      <c r="H3602" s="14" t="s">
        <v>5601</v>
      </c>
      <c r="I3602" s="14" t="s">
        <v>2458</v>
      </c>
      <c r="J3602" s="33" t="s">
        <v>7110</v>
      </c>
      <c r="K3602" s="33" t="s">
        <v>9910</v>
      </c>
      <c r="L3602" s="53" t="str">
        <f t="shared" si="50"/>
        <v>هند</v>
      </c>
      <c r="M3602" s="68" t="str">
        <f t="shared" si="49"/>
        <v>بشكه</v>
      </c>
      <c r="N3602" s="53" t="str">
        <f t="shared" si="46"/>
        <v>منطقه ويژه اقتصادي شهيد رجايي</v>
      </c>
      <c r="O3602" s="53">
        <v>50100</v>
      </c>
      <c r="P3602" s="198" t="s">
        <v>7231</v>
      </c>
    </row>
    <row r="3603" spans="1:16" ht="18.75" hidden="1">
      <c r="A3603" s="50" t="str">
        <f>"50100-9446838"</f>
        <v>50100-9446838</v>
      </c>
      <c r="B3603" s="50" t="str">
        <f>"96/08/16"</f>
        <v>96/08/16</v>
      </c>
      <c r="C3603" s="50" t="s">
        <v>9877</v>
      </c>
      <c r="D3603" s="50" t="s">
        <v>9723</v>
      </c>
      <c r="E3603" s="12" t="s">
        <v>4971</v>
      </c>
      <c r="F3603" s="49">
        <v>1001860</v>
      </c>
      <c r="G3603" s="77" t="s">
        <v>5609</v>
      </c>
      <c r="H3603" s="14" t="s">
        <v>5601</v>
      </c>
      <c r="I3603" s="14" t="s">
        <v>2458</v>
      </c>
      <c r="J3603" s="33" t="s">
        <v>7110</v>
      </c>
      <c r="K3603" s="33" t="s">
        <v>9910</v>
      </c>
      <c r="L3603" s="53" t="str">
        <f>"سودان"</f>
        <v>سودان</v>
      </c>
      <c r="M3603" s="68" t="str">
        <f t="shared" si="49"/>
        <v>بشكه</v>
      </c>
      <c r="N3603" s="53" t="str">
        <f t="shared" si="46"/>
        <v>منطقه ويژه اقتصادي شهيد رجايي</v>
      </c>
      <c r="O3603" s="53">
        <v>50100</v>
      </c>
      <c r="P3603" s="198" t="s">
        <v>7118</v>
      </c>
    </row>
    <row r="3604" spans="1:16" ht="18.75" hidden="1">
      <c r="A3604" s="50" t="str">
        <f>"50100-9446838"</f>
        <v>50100-9446838</v>
      </c>
      <c r="B3604" s="50" t="str">
        <f>"96/08/16"</f>
        <v>96/08/16</v>
      </c>
      <c r="C3604" s="50" t="s">
        <v>9878</v>
      </c>
      <c r="D3604" s="50" t="s">
        <v>6328</v>
      </c>
      <c r="E3604" s="12" t="s">
        <v>4971</v>
      </c>
      <c r="F3604" s="49">
        <v>600000</v>
      </c>
      <c r="G3604" s="77" t="s">
        <v>5609</v>
      </c>
      <c r="H3604" s="14" t="s">
        <v>5601</v>
      </c>
      <c r="I3604" s="14" t="s">
        <v>2458</v>
      </c>
      <c r="J3604" s="33" t="s">
        <v>7110</v>
      </c>
      <c r="K3604" s="33" t="s">
        <v>9910</v>
      </c>
      <c r="L3604" s="53" t="str">
        <f>"سودان"</f>
        <v>سودان</v>
      </c>
      <c r="M3604" s="68" t="str">
        <f t="shared" si="49"/>
        <v>بشكه</v>
      </c>
      <c r="N3604" s="53" t="str">
        <f t="shared" si="46"/>
        <v>منطقه ويژه اقتصادي شهيد رجايي</v>
      </c>
      <c r="O3604" s="53">
        <v>50100</v>
      </c>
      <c r="P3604" s="198" t="s">
        <v>5852</v>
      </c>
    </row>
    <row r="3605" spans="1:16" ht="18.75" hidden="1">
      <c r="A3605" s="50" t="str">
        <f>"50100-9446838"</f>
        <v>50100-9446838</v>
      </c>
      <c r="B3605" s="50" t="str">
        <f>"96/08/16"</f>
        <v>96/08/16</v>
      </c>
      <c r="C3605" s="50" t="s">
        <v>9879</v>
      </c>
      <c r="D3605" s="50" t="s">
        <v>8627</v>
      </c>
      <c r="E3605" s="12" t="s">
        <v>4971</v>
      </c>
      <c r="F3605" s="49">
        <v>598260</v>
      </c>
      <c r="G3605" s="77" t="s">
        <v>5609</v>
      </c>
      <c r="H3605" s="14" t="s">
        <v>5601</v>
      </c>
      <c r="I3605" s="14" t="s">
        <v>2458</v>
      </c>
      <c r="J3605" s="33" t="s">
        <v>7110</v>
      </c>
      <c r="K3605" s="33" t="s">
        <v>9910</v>
      </c>
      <c r="L3605" s="53" t="str">
        <f>"سودان"</f>
        <v>سودان</v>
      </c>
      <c r="M3605" s="68" t="str">
        <f t="shared" si="49"/>
        <v>بشكه</v>
      </c>
      <c r="N3605" s="53" t="str">
        <f t="shared" si="46"/>
        <v>منطقه ويژه اقتصادي شهيد رجايي</v>
      </c>
      <c r="O3605" s="53">
        <v>50100</v>
      </c>
      <c r="P3605" s="198" t="s">
        <v>7234</v>
      </c>
    </row>
    <row r="3606" spans="1:16" ht="18.75" hidden="1">
      <c r="A3606" s="50" t="str">
        <f>"50100-9476872"</f>
        <v>50100-9476872</v>
      </c>
      <c r="B3606" s="50" t="str">
        <f>"96/08/23"</f>
        <v>96/08/23</v>
      </c>
      <c r="C3606" s="50" t="s">
        <v>9736</v>
      </c>
      <c r="D3606" s="50" t="s">
        <v>6251</v>
      </c>
      <c r="E3606" s="12" t="s">
        <v>4971</v>
      </c>
      <c r="F3606" s="49">
        <v>121500</v>
      </c>
      <c r="G3606" s="77" t="s">
        <v>5611</v>
      </c>
      <c r="H3606" s="14" t="s">
        <v>5601</v>
      </c>
      <c r="I3606" s="14" t="s">
        <v>2458</v>
      </c>
      <c r="J3606" s="33" t="s">
        <v>7110</v>
      </c>
      <c r="K3606" s="33" t="s">
        <v>9910</v>
      </c>
      <c r="L3606" s="53" t="str">
        <f>"سودان"</f>
        <v>سودان</v>
      </c>
      <c r="M3606" s="68" t="str">
        <f t="shared" si="49"/>
        <v>بشكه</v>
      </c>
      <c r="N3606" s="53" t="str">
        <f t="shared" si="46"/>
        <v>منطقه ويژه اقتصادي شهيد رجايي</v>
      </c>
      <c r="O3606" s="53">
        <v>50100</v>
      </c>
      <c r="P3606" s="198" t="s">
        <v>5831</v>
      </c>
    </row>
    <row r="3607" spans="1:16" ht="18.75" hidden="1">
      <c r="A3607" s="50" t="str">
        <f>"50100-9495978"</f>
        <v>50100-9495978</v>
      </c>
      <c r="B3607" s="50" t="str">
        <f>"96/08/29"</f>
        <v>96/08/29</v>
      </c>
      <c r="C3607" s="50" t="s">
        <v>9880</v>
      </c>
      <c r="D3607" s="50" t="s">
        <v>9881</v>
      </c>
      <c r="E3607" s="12" t="s">
        <v>4971</v>
      </c>
      <c r="F3607" s="49">
        <v>500000</v>
      </c>
      <c r="G3607" s="77" t="s">
        <v>5631</v>
      </c>
      <c r="H3607" s="14" t="s">
        <v>5601</v>
      </c>
      <c r="I3607" s="14" t="s">
        <v>2458</v>
      </c>
      <c r="J3607" s="33" t="s">
        <v>7110</v>
      </c>
      <c r="K3607" s="33" t="s">
        <v>9910</v>
      </c>
      <c r="L3607" s="53" t="str">
        <f>"هند"</f>
        <v>هند</v>
      </c>
      <c r="M3607" s="68" t="str">
        <f t="shared" si="49"/>
        <v>بشكه</v>
      </c>
      <c r="N3607" s="53" t="str">
        <f t="shared" si="46"/>
        <v>منطقه ويژه اقتصادي شهيد رجايي</v>
      </c>
      <c r="O3607" s="53">
        <v>50100</v>
      </c>
      <c r="P3607" s="197" t="s">
        <v>8722</v>
      </c>
    </row>
    <row r="3608" spans="1:16" ht="18.75" hidden="1">
      <c r="A3608" s="50" t="str">
        <f>"50100-9465896"</f>
        <v>50100-9465896</v>
      </c>
      <c r="B3608" s="50" t="str">
        <f>"96/08/21"</f>
        <v>96/08/21</v>
      </c>
      <c r="C3608" s="50" t="s">
        <v>9882</v>
      </c>
      <c r="D3608" s="50" t="s">
        <v>6395</v>
      </c>
      <c r="E3608" s="12" t="s">
        <v>4971</v>
      </c>
      <c r="F3608" s="49">
        <v>500000</v>
      </c>
      <c r="G3608" s="77" t="s">
        <v>5607</v>
      </c>
      <c r="H3608" s="14" t="s">
        <v>5601</v>
      </c>
      <c r="I3608" s="14" t="s">
        <v>2458</v>
      </c>
      <c r="J3608" s="33" t="s">
        <v>7110</v>
      </c>
      <c r="K3608" s="33" t="s">
        <v>9910</v>
      </c>
      <c r="L3608" s="53" t="str">
        <f>" ميانمار"</f>
        <v xml:space="preserve"> ميانمار</v>
      </c>
      <c r="M3608" s="68" t="str">
        <f t="shared" si="49"/>
        <v>بشكه</v>
      </c>
      <c r="N3608" s="53" t="str">
        <f t="shared" si="46"/>
        <v>منطقه ويژه اقتصادي شهيد رجايي</v>
      </c>
      <c r="O3608" s="53">
        <v>50100</v>
      </c>
      <c r="P3608" s="198" t="s">
        <v>7233</v>
      </c>
    </row>
    <row r="3609" spans="1:16" ht="18.75" hidden="1">
      <c r="A3609" s="50" t="str">
        <f>"50100-9450378"</f>
        <v>50100-9450378</v>
      </c>
      <c r="B3609" s="50" t="str">
        <f>"96/08/17"</f>
        <v>96/08/17</v>
      </c>
      <c r="C3609" s="50" t="s">
        <v>9883</v>
      </c>
      <c r="D3609" s="50" t="s">
        <v>9813</v>
      </c>
      <c r="E3609" s="12" t="s">
        <v>4971</v>
      </c>
      <c r="F3609" s="49">
        <v>939588</v>
      </c>
      <c r="G3609" s="77" t="s">
        <v>5779</v>
      </c>
      <c r="H3609" s="14" t="s">
        <v>5601</v>
      </c>
      <c r="I3609" s="14" t="s">
        <v>2458</v>
      </c>
      <c r="J3609" s="33" t="e">
        <f>VLOOKUP(C3609,شرکتها!A:B,2,FALSE)</f>
        <v>#N/A</v>
      </c>
      <c r="K3609" s="33" t="s">
        <v>9910</v>
      </c>
      <c r="L3609" s="53" t="str">
        <f>" امارات متحده عربي"</f>
        <v xml:space="preserve"> امارات متحده عربي</v>
      </c>
      <c r="M3609" s="68" t="str">
        <f>"فله"</f>
        <v>فله</v>
      </c>
      <c r="N3609" s="53" t="str">
        <f t="shared" si="46"/>
        <v>منطقه ويژه اقتصادي شهيد رجايي</v>
      </c>
      <c r="O3609" s="53">
        <v>50100</v>
      </c>
      <c r="P3609" s="198" t="s">
        <v>8706</v>
      </c>
    </row>
    <row r="3610" spans="1:16" ht="18.75" hidden="1">
      <c r="A3610" s="50" t="str">
        <f>"50100-9460416"</f>
        <v>50100-9460416</v>
      </c>
      <c r="B3610" s="50" t="str">
        <f>"96/08/20"</f>
        <v>96/08/20</v>
      </c>
      <c r="C3610" s="50" t="s">
        <v>9884</v>
      </c>
      <c r="D3610" s="50" t="s">
        <v>8824</v>
      </c>
      <c r="E3610" s="12" t="s">
        <v>4971</v>
      </c>
      <c r="F3610" s="49">
        <v>980100</v>
      </c>
      <c r="G3610" s="77" t="s">
        <v>5616</v>
      </c>
      <c r="H3610" s="14" t="s">
        <v>5601</v>
      </c>
      <c r="I3610" s="14" t="s">
        <v>2458</v>
      </c>
      <c r="J3610" s="33" t="s">
        <v>7110</v>
      </c>
      <c r="K3610" s="33" t="s">
        <v>9910</v>
      </c>
      <c r="L3610" s="53" t="str">
        <f t="shared" ref="L3610:L3620" si="51">"هند"</f>
        <v>هند</v>
      </c>
      <c r="M3610" s="68" t="str">
        <f t="shared" ref="M3610:M3623" si="52">"بشكه"</f>
        <v>بشكه</v>
      </c>
      <c r="N3610" s="53" t="str">
        <f t="shared" ref="N3610:N3649" si="53">"منطقه ويژه اقتصادي شهيد رجايي"</f>
        <v>منطقه ويژه اقتصادي شهيد رجايي</v>
      </c>
      <c r="O3610" s="53">
        <v>50100</v>
      </c>
      <c r="P3610" s="198" t="s">
        <v>8717</v>
      </c>
    </row>
    <row r="3611" spans="1:16" ht="18.75" hidden="1">
      <c r="A3611" s="50" t="str">
        <f>"50100-9470963"</f>
        <v>50100-9470963</v>
      </c>
      <c r="B3611" s="50" t="str">
        <f>"96/08/22"</f>
        <v>96/08/22</v>
      </c>
      <c r="C3611" s="50" t="s">
        <v>6039</v>
      </c>
      <c r="D3611" s="50" t="s">
        <v>5850</v>
      </c>
      <c r="E3611" s="12" t="s">
        <v>4971</v>
      </c>
      <c r="F3611" s="49">
        <v>415679</v>
      </c>
      <c r="G3611" s="77" t="s">
        <v>5611</v>
      </c>
      <c r="H3611" s="14" t="s">
        <v>5601</v>
      </c>
      <c r="I3611" s="14" t="s">
        <v>2458</v>
      </c>
      <c r="J3611" s="33" t="s">
        <v>7110</v>
      </c>
      <c r="K3611" s="33" t="s">
        <v>9910</v>
      </c>
      <c r="L3611" s="53" t="str">
        <f t="shared" si="51"/>
        <v>هند</v>
      </c>
      <c r="M3611" s="68" t="str">
        <f t="shared" si="52"/>
        <v>بشكه</v>
      </c>
      <c r="N3611" s="53" t="str">
        <f t="shared" si="53"/>
        <v>منطقه ويژه اقتصادي شهيد رجايي</v>
      </c>
      <c r="O3611" s="53">
        <v>50100</v>
      </c>
      <c r="P3611" s="198" t="s">
        <v>5814</v>
      </c>
    </row>
    <row r="3612" spans="1:16" ht="18.75" hidden="1">
      <c r="A3612" s="50" t="str">
        <f>"50100-9489593"</f>
        <v>50100-9489593</v>
      </c>
      <c r="B3612" s="50" t="str">
        <f>"96/08/27"</f>
        <v>96/08/27</v>
      </c>
      <c r="C3612" s="50" t="s">
        <v>9885</v>
      </c>
      <c r="D3612" s="50" t="s">
        <v>9825</v>
      </c>
      <c r="E3612" s="12" t="s">
        <v>4971</v>
      </c>
      <c r="F3612" s="49">
        <v>493263</v>
      </c>
      <c r="G3612" s="77" t="s">
        <v>5631</v>
      </c>
      <c r="H3612" s="14" t="s">
        <v>5601</v>
      </c>
      <c r="I3612" s="14" t="s">
        <v>2458</v>
      </c>
      <c r="J3612" s="33" t="s">
        <v>7110</v>
      </c>
      <c r="K3612" s="33" t="s">
        <v>9910</v>
      </c>
      <c r="L3612" s="53" t="str">
        <f t="shared" si="51"/>
        <v>هند</v>
      </c>
      <c r="M3612" s="68" t="str">
        <f t="shared" si="52"/>
        <v>بشكه</v>
      </c>
      <c r="N3612" s="53" t="str">
        <f t="shared" si="53"/>
        <v>منطقه ويژه اقتصادي شهيد رجايي</v>
      </c>
      <c r="O3612" s="53">
        <v>50100</v>
      </c>
      <c r="P3612" s="197" t="s">
        <v>8753</v>
      </c>
    </row>
    <row r="3613" spans="1:16" ht="18.75" hidden="1">
      <c r="A3613" s="50" t="str">
        <f>"50100-9499788"</f>
        <v>50100-9499788</v>
      </c>
      <c r="B3613" s="50" t="str">
        <f>"96/08/30"</f>
        <v>96/08/30</v>
      </c>
      <c r="C3613" s="50" t="s">
        <v>9886</v>
      </c>
      <c r="D3613" s="50" t="s">
        <v>6337</v>
      </c>
      <c r="E3613" s="12" t="s">
        <v>4971</v>
      </c>
      <c r="F3613" s="49">
        <v>137072</v>
      </c>
      <c r="G3613" s="77" t="s">
        <v>5607</v>
      </c>
      <c r="H3613" s="14" t="s">
        <v>5601</v>
      </c>
      <c r="I3613" s="14" t="s">
        <v>2458</v>
      </c>
      <c r="J3613" s="33" t="s">
        <v>7110</v>
      </c>
      <c r="K3613" s="33" t="s">
        <v>9910</v>
      </c>
      <c r="L3613" s="53" t="str">
        <f t="shared" si="51"/>
        <v>هند</v>
      </c>
      <c r="M3613" s="68" t="str">
        <f t="shared" si="52"/>
        <v>بشكه</v>
      </c>
      <c r="N3613" s="53" t="str">
        <f t="shared" si="53"/>
        <v>منطقه ويژه اقتصادي شهيد رجايي</v>
      </c>
      <c r="O3613" s="53">
        <v>50100</v>
      </c>
      <c r="P3613" s="198" t="s">
        <v>7233</v>
      </c>
    </row>
    <row r="3614" spans="1:16" ht="18.75" hidden="1">
      <c r="A3614" s="50" t="str">
        <f>"50100-9499788"</f>
        <v>50100-9499788</v>
      </c>
      <c r="B3614" s="50" t="str">
        <f>"96/08/30"</f>
        <v>96/08/30</v>
      </c>
      <c r="C3614" s="50" t="s">
        <v>9887</v>
      </c>
      <c r="D3614" s="50" t="s">
        <v>8770</v>
      </c>
      <c r="E3614" s="12" t="s">
        <v>4971</v>
      </c>
      <c r="F3614" s="49">
        <v>359253</v>
      </c>
      <c r="G3614" s="77" t="s">
        <v>5607</v>
      </c>
      <c r="H3614" s="14" t="s">
        <v>5601</v>
      </c>
      <c r="I3614" s="14" t="s">
        <v>2458</v>
      </c>
      <c r="J3614" s="33" t="s">
        <v>7110</v>
      </c>
      <c r="K3614" s="33" t="s">
        <v>9910</v>
      </c>
      <c r="L3614" s="53" t="str">
        <f t="shared" si="51"/>
        <v>هند</v>
      </c>
      <c r="M3614" s="68" t="str">
        <f t="shared" si="52"/>
        <v>بشكه</v>
      </c>
      <c r="N3614" s="53" t="str">
        <f t="shared" si="53"/>
        <v>منطقه ويژه اقتصادي شهيد رجايي</v>
      </c>
      <c r="O3614" s="53">
        <v>50100</v>
      </c>
      <c r="P3614" s="198" t="s">
        <v>8497</v>
      </c>
    </row>
    <row r="3615" spans="1:16" ht="18.75" hidden="1">
      <c r="A3615" s="50" t="str">
        <f>"50100-9500003"</f>
        <v>50100-9500003</v>
      </c>
      <c r="B3615" s="50" t="str">
        <f>"96/08/30"</f>
        <v>96/08/30</v>
      </c>
      <c r="C3615" s="50" t="s">
        <v>9888</v>
      </c>
      <c r="D3615" s="50" t="s">
        <v>9889</v>
      </c>
      <c r="E3615" s="12" t="s">
        <v>4971</v>
      </c>
      <c r="F3615" s="49">
        <v>491925</v>
      </c>
      <c r="G3615" s="77" t="s">
        <v>5730</v>
      </c>
      <c r="H3615" s="14" t="s">
        <v>5601</v>
      </c>
      <c r="I3615" s="14" t="s">
        <v>2458</v>
      </c>
      <c r="J3615" s="33" t="s">
        <v>7110</v>
      </c>
      <c r="K3615" s="33" t="s">
        <v>9910</v>
      </c>
      <c r="L3615" s="53" t="str">
        <f t="shared" si="51"/>
        <v>هند</v>
      </c>
      <c r="M3615" s="68" t="str">
        <f t="shared" si="52"/>
        <v>بشكه</v>
      </c>
      <c r="N3615" s="53" t="str">
        <f t="shared" si="53"/>
        <v>منطقه ويژه اقتصادي شهيد رجايي</v>
      </c>
      <c r="O3615" s="53">
        <v>50100</v>
      </c>
      <c r="P3615" s="198" t="s">
        <v>9912</v>
      </c>
    </row>
    <row r="3616" spans="1:16" ht="18.75" hidden="1">
      <c r="A3616" s="50" t="str">
        <f>"50100-9447142"</f>
        <v>50100-9447142</v>
      </c>
      <c r="B3616" s="50" t="str">
        <f>"96/08/16"</f>
        <v>96/08/16</v>
      </c>
      <c r="C3616" s="50" t="s">
        <v>9727</v>
      </c>
      <c r="D3616" s="50" t="s">
        <v>8911</v>
      </c>
      <c r="E3616" s="12" t="s">
        <v>4971</v>
      </c>
      <c r="F3616" s="49">
        <v>20825</v>
      </c>
      <c r="G3616" s="77" t="s">
        <v>5754</v>
      </c>
      <c r="H3616" s="14" t="s">
        <v>5601</v>
      </c>
      <c r="I3616" s="14" t="s">
        <v>2458</v>
      </c>
      <c r="J3616" s="33" t="s">
        <v>7110</v>
      </c>
      <c r="K3616" s="33" t="s">
        <v>9910</v>
      </c>
      <c r="L3616" s="53" t="str">
        <f t="shared" si="51"/>
        <v>هند</v>
      </c>
      <c r="M3616" s="68" t="str">
        <f t="shared" si="52"/>
        <v>بشكه</v>
      </c>
      <c r="N3616" s="53" t="str">
        <f t="shared" si="53"/>
        <v>منطقه ويژه اقتصادي شهيد رجايي</v>
      </c>
      <c r="O3616" s="53">
        <v>50100</v>
      </c>
      <c r="P3616" s="198" t="s">
        <v>5858</v>
      </c>
    </row>
    <row r="3617" spans="1:16" ht="18.75" hidden="1">
      <c r="A3617" s="50" t="str">
        <f>"50100-9471240"</f>
        <v>50100-9471240</v>
      </c>
      <c r="B3617" s="50" t="str">
        <f>"96/08/22"</f>
        <v>96/08/22</v>
      </c>
      <c r="C3617" s="50" t="s">
        <v>9890</v>
      </c>
      <c r="D3617" s="50" t="s">
        <v>9830</v>
      </c>
      <c r="E3617" s="12" t="s">
        <v>4971</v>
      </c>
      <c r="F3617" s="49">
        <v>85396</v>
      </c>
      <c r="G3617" s="77" t="s">
        <v>5631</v>
      </c>
      <c r="H3617" s="14" t="s">
        <v>5601</v>
      </c>
      <c r="I3617" s="14" t="s">
        <v>2458</v>
      </c>
      <c r="J3617" s="33" t="s">
        <v>7110</v>
      </c>
      <c r="K3617" s="33" t="s">
        <v>9910</v>
      </c>
      <c r="L3617" s="53" t="str">
        <f t="shared" si="51"/>
        <v>هند</v>
      </c>
      <c r="M3617" s="68" t="str">
        <f t="shared" si="52"/>
        <v>بشكه</v>
      </c>
      <c r="N3617" s="53" t="str">
        <f t="shared" si="53"/>
        <v>منطقه ويژه اقتصادي شهيد رجايي</v>
      </c>
      <c r="O3617" s="53">
        <v>50100</v>
      </c>
      <c r="P3617" s="197" t="s">
        <v>9795</v>
      </c>
    </row>
    <row r="3618" spans="1:16" ht="18.75" hidden="1">
      <c r="A3618" s="50" t="str">
        <f>"50100-9447142"</f>
        <v>50100-9447142</v>
      </c>
      <c r="B3618" s="50" t="str">
        <f>"96/08/16"</f>
        <v>96/08/16</v>
      </c>
      <c r="C3618" s="50" t="s">
        <v>9891</v>
      </c>
      <c r="D3618" s="50" t="s">
        <v>9720</v>
      </c>
      <c r="E3618" s="12" t="s">
        <v>4971</v>
      </c>
      <c r="F3618" s="49">
        <v>470000</v>
      </c>
      <c r="G3618" s="77" t="s">
        <v>5754</v>
      </c>
      <c r="H3618" s="14" t="s">
        <v>5601</v>
      </c>
      <c r="I3618" s="14" t="s">
        <v>2458</v>
      </c>
      <c r="J3618" s="33" t="s">
        <v>7110</v>
      </c>
      <c r="K3618" s="33" t="s">
        <v>9910</v>
      </c>
      <c r="L3618" s="53" t="str">
        <f t="shared" si="51"/>
        <v>هند</v>
      </c>
      <c r="M3618" s="68" t="str">
        <f t="shared" si="52"/>
        <v>بشكه</v>
      </c>
      <c r="N3618" s="53" t="str">
        <f t="shared" si="53"/>
        <v>منطقه ويژه اقتصادي شهيد رجايي</v>
      </c>
      <c r="O3618" s="53">
        <v>50100</v>
      </c>
      <c r="P3618" s="198" t="s">
        <v>5858</v>
      </c>
    </row>
    <row r="3619" spans="1:16" ht="18.75" hidden="1">
      <c r="A3619" s="50" t="str">
        <f>"50100-9471240"</f>
        <v>50100-9471240</v>
      </c>
      <c r="B3619" s="50" t="str">
        <f>"96/08/22"</f>
        <v>96/08/22</v>
      </c>
      <c r="C3619" s="50" t="s">
        <v>9728</v>
      </c>
      <c r="D3619" s="50" t="s">
        <v>8830</v>
      </c>
      <c r="E3619" s="12" t="s">
        <v>4971</v>
      </c>
      <c r="F3619" s="49">
        <v>793315</v>
      </c>
      <c r="G3619" s="77" t="s">
        <v>5631</v>
      </c>
      <c r="H3619" s="14" t="s">
        <v>5601</v>
      </c>
      <c r="I3619" s="14" t="s">
        <v>2458</v>
      </c>
      <c r="J3619" s="33" t="s">
        <v>7110</v>
      </c>
      <c r="K3619" s="33" t="s">
        <v>9910</v>
      </c>
      <c r="L3619" s="53" t="str">
        <f t="shared" si="51"/>
        <v>هند</v>
      </c>
      <c r="M3619" s="68" t="str">
        <f t="shared" si="52"/>
        <v>بشكه</v>
      </c>
      <c r="N3619" s="53" t="str">
        <f t="shared" si="53"/>
        <v>منطقه ويژه اقتصادي شهيد رجايي</v>
      </c>
      <c r="O3619" s="53">
        <v>50100</v>
      </c>
      <c r="P3619" s="197" t="s">
        <v>8080</v>
      </c>
    </row>
    <row r="3620" spans="1:16" ht="18.75" hidden="1">
      <c r="A3620" s="50" t="str">
        <f>"50100-9471240"</f>
        <v>50100-9471240</v>
      </c>
      <c r="B3620" s="50" t="str">
        <f>"96/08/22"</f>
        <v>96/08/22</v>
      </c>
      <c r="C3620" s="50" t="s">
        <v>9892</v>
      </c>
      <c r="D3620" s="50" t="s">
        <v>9830</v>
      </c>
      <c r="E3620" s="12" t="s">
        <v>4971</v>
      </c>
      <c r="F3620" s="49">
        <v>100000</v>
      </c>
      <c r="G3620" s="77" t="s">
        <v>5631</v>
      </c>
      <c r="H3620" s="14" t="s">
        <v>5601</v>
      </c>
      <c r="I3620" s="14" t="s">
        <v>2458</v>
      </c>
      <c r="J3620" s="33" t="s">
        <v>7110</v>
      </c>
      <c r="K3620" s="33" t="s">
        <v>9910</v>
      </c>
      <c r="L3620" s="53" t="str">
        <f t="shared" si="51"/>
        <v>هند</v>
      </c>
      <c r="M3620" s="68" t="str">
        <f t="shared" si="52"/>
        <v>بشكه</v>
      </c>
      <c r="N3620" s="53" t="str">
        <f t="shared" si="53"/>
        <v>منطقه ويژه اقتصادي شهيد رجايي</v>
      </c>
      <c r="O3620" s="53">
        <v>50100</v>
      </c>
      <c r="P3620" s="197" t="s">
        <v>9794</v>
      </c>
    </row>
    <row r="3621" spans="1:16" ht="18.75" hidden="1">
      <c r="A3621" s="50" t="str">
        <f>"50100-9466624"</f>
        <v>50100-9466624</v>
      </c>
      <c r="B3621" s="50" t="str">
        <f>"96/08/21"</f>
        <v>96/08/21</v>
      </c>
      <c r="C3621" s="50" t="s">
        <v>9893</v>
      </c>
      <c r="D3621" s="50" t="s">
        <v>9881</v>
      </c>
      <c r="E3621" s="12" t="s">
        <v>4971</v>
      </c>
      <c r="F3621" s="49">
        <v>450000</v>
      </c>
      <c r="G3621" s="77" t="s">
        <v>5609</v>
      </c>
      <c r="H3621" s="14" t="s">
        <v>5601</v>
      </c>
      <c r="I3621" s="14" t="s">
        <v>2458</v>
      </c>
      <c r="J3621" s="33" t="s">
        <v>7110</v>
      </c>
      <c r="K3621" s="33" t="s">
        <v>9910</v>
      </c>
      <c r="L3621" s="53" t="str">
        <f>"بنگلادش"</f>
        <v>بنگلادش</v>
      </c>
      <c r="M3621" s="68" t="str">
        <f t="shared" si="52"/>
        <v>بشكه</v>
      </c>
      <c r="N3621" s="53" t="str">
        <f t="shared" si="53"/>
        <v>منطقه ويژه اقتصادي شهيد رجايي</v>
      </c>
      <c r="O3621" s="53">
        <v>50100</v>
      </c>
      <c r="P3621" s="198" t="s">
        <v>8726</v>
      </c>
    </row>
    <row r="3622" spans="1:16" ht="18.75" hidden="1">
      <c r="A3622" s="50" t="str">
        <f>"50100-9458862"</f>
        <v>50100-9458862</v>
      </c>
      <c r="B3622" s="50" t="str">
        <f>"96/08/20"</f>
        <v>96/08/20</v>
      </c>
      <c r="C3622" s="50" t="s">
        <v>9891</v>
      </c>
      <c r="D3622" s="50" t="s">
        <v>9720</v>
      </c>
      <c r="E3622" s="12" t="s">
        <v>4971</v>
      </c>
      <c r="F3622" s="49">
        <v>30000</v>
      </c>
      <c r="G3622" s="77" t="s">
        <v>5754</v>
      </c>
      <c r="H3622" s="14" t="s">
        <v>5601</v>
      </c>
      <c r="I3622" s="14" t="s">
        <v>2458</v>
      </c>
      <c r="J3622" s="33" t="s">
        <v>7110</v>
      </c>
      <c r="K3622" s="33" t="s">
        <v>9910</v>
      </c>
      <c r="L3622" s="53" t="str">
        <f>"هند"</f>
        <v>هند</v>
      </c>
      <c r="M3622" s="68" t="str">
        <f t="shared" si="52"/>
        <v>بشكه</v>
      </c>
      <c r="N3622" s="53" t="str">
        <f t="shared" si="53"/>
        <v>منطقه ويژه اقتصادي شهيد رجايي</v>
      </c>
      <c r="O3622" s="53">
        <v>50100</v>
      </c>
      <c r="P3622" s="198" t="s">
        <v>5858</v>
      </c>
    </row>
    <row r="3623" spans="1:16" ht="18.75" hidden="1">
      <c r="A3623" s="50" t="str">
        <f>"50100-9480799"</f>
        <v>50100-9480799</v>
      </c>
      <c r="B3623" s="50" t="str">
        <f>"96/08/24"</f>
        <v>96/08/24</v>
      </c>
      <c r="C3623" s="50" t="s">
        <v>9725</v>
      </c>
      <c r="D3623" s="50" t="s">
        <v>6337</v>
      </c>
      <c r="E3623" s="12" t="s">
        <v>4971</v>
      </c>
      <c r="F3623" s="49">
        <v>500525</v>
      </c>
      <c r="G3623" s="77" t="s">
        <v>5607</v>
      </c>
      <c r="H3623" s="14" t="s">
        <v>5601</v>
      </c>
      <c r="I3623" s="14" t="s">
        <v>2458</v>
      </c>
      <c r="J3623" s="33" t="s">
        <v>7110</v>
      </c>
      <c r="K3623" s="33" t="s">
        <v>9910</v>
      </c>
      <c r="L3623" s="53" t="str">
        <f>"هند"</f>
        <v>هند</v>
      </c>
      <c r="M3623" s="68" t="str">
        <f t="shared" si="52"/>
        <v>بشكه</v>
      </c>
      <c r="N3623" s="53" t="str">
        <f t="shared" si="53"/>
        <v>منطقه ويژه اقتصادي شهيد رجايي</v>
      </c>
      <c r="O3623" s="53">
        <v>50100</v>
      </c>
      <c r="P3623" s="198" t="s">
        <v>7233</v>
      </c>
    </row>
    <row r="3624" spans="1:16" ht="18.75" hidden="1">
      <c r="A3624" s="50" t="str">
        <f>"50100-9446649"</f>
        <v>50100-9446649</v>
      </c>
      <c r="B3624" s="50" t="str">
        <f>"96/08/16"</f>
        <v>96/08/16</v>
      </c>
      <c r="C3624" s="50" t="s">
        <v>9894</v>
      </c>
      <c r="D3624" s="50" t="s">
        <v>9827</v>
      </c>
      <c r="E3624" s="12" t="s">
        <v>4971</v>
      </c>
      <c r="F3624" s="49">
        <v>4775655</v>
      </c>
      <c r="G3624" s="77" t="s">
        <v>5779</v>
      </c>
      <c r="H3624" s="14" t="s">
        <v>5601</v>
      </c>
      <c r="I3624" s="14" t="s">
        <v>2458</v>
      </c>
      <c r="J3624" s="33" t="e">
        <f>VLOOKUP(C3624,شرکتها!A:B,2,FALSE)</f>
        <v>#N/A</v>
      </c>
      <c r="K3624" s="33" t="s">
        <v>9910</v>
      </c>
      <c r="L3624" s="53" t="str">
        <f>" امارات متحده عربي"</f>
        <v xml:space="preserve"> امارات متحده عربي</v>
      </c>
      <c r="M3624" s="68" t="s">
        <v>8913</v>
      </c>
      <c r="N3624" s="53" t="str">
        <f t="shared" si="53"/>
        <v>منطقه ويژه اقتصادي شهيد رجايي</v>
      </c>
      <c r="O3624" s="53">
        <v>50100</v>
      </c>
      <c r="P3624" s="198" t="s">
        <v>9766</v>
      </c>
    </row>
    <row r="3625" spans="1:16" ht="18.75" hidden="1">
      <c r="A3625" s="50" t="str">
        <f>"50100-9473638"</f>
        <v>50100-9473638</v>
      </c>
      <c r="B3625" s="50" t="str">
        <f>"96/08/23"</f>
        <v>96/08/23</v>
      </c>
      <c r="C3625" s="50" t="s">
        <v>9895</v>
      </c>
      <c r="D3625" s="50" t="s">
        <v>9830</v>
      </c>
      <c r="E3625" s="12" t="s">
        <v>4971</v>
      </c>
      <c r="F3625" s="49">
        <v>140000</v>
      </c>
      <c r="G3625" s="77" t="s">
        <v>5631</v>
      </c>
      <c r="H3625" s="14" t="s">
        <v>5601</v>
      </c>
      <c r="I3625" s="14" t="s">
        <v>2458</v>
      </c>
      <c r="J3625" s="33" t="s">
        <v>7110</v>
      </c>
      <c r="K3625" s="33" t="s">
        <v>9910</v>
      </c>
      <c r="L3625" s="53" t="str">
        <f>"هند"</f>
        <v>هند</v>
      </c>
      <c r="M3625" s="68" t="str">
        <f t="shared" ref="M3625:M3646" si="54">"بشكه"</f>
        <v>بشكه</v>
      </c>
      <c r="N3625" s="53" t="str">
        <f t="shared" si="53"/>
        <v>منطقه ويژه اقتصادي شهيد رجايي</v>
      </c>
      <c r="O3625" s="53">
        <v>50100</v>
      </c>
      <c r="P3625" s="197" t="s">
        <v>8753</v>
      </c>
    </row>
    <row r="3626" spans="1:16" ht="18.75" hidden="1">
      <c r="A3626" s="50" t="str">
        <f>"50100-9473638"</f>
        <v>50100-9473638</v>
      </c>
      <c r="B3626" s="50" t="str">
        <f>"96/08/23"</f>
        <v>96/08/23</v>
      </c>
      <c r="C3626" s="50" t="s">
        <v>9896</v>
      </c>
      <c r="D3626" s="50" t="s">
        <v>8770</v>
      </c>
      <c r="E3626" s="12" t="s">
        <v>4971</v>
      </c>
      <c r="F3626" s="49">
        <v>253769</v>
      </c>
      <c r="G3626" s="77" t="s">
        <v>5631</v>
      </c>
      <c r="H3626" s="14" t="s">
        <v>5601</v>
      </c>
      <c r="I3626" s="14" t="s">
        <v>2458</v>
      </c>
      <c r="J3626" s="33" t="s">
        <v>7110</v>
      </c>
      <c r="K3626" s="33" t="s">
        <v>9910</v>
      </c>
      <c r="L3626" s="53" t="str">
        <f>"هند"</f>
        <v>هند</v>
      </c>
      <c r="M3626" s="68" t="str">
        <f t="shared" si="54"/>
        <v>بشكه</v>
      </c>
      <c r="N3626" s="53" t="str">
        <f t="shared" si="53"/>
        <v>منطقه ويژه اقتصادي شهيد رجايي</v>
      </c>
      <c r="O3626" s="53">
        <v>50100</v>
      </c>
      <c r="P3626" s="197" t="s">
        <v>8753</v>
      </c>
    </row>
    <row r="3627" spans="1:16" ht="18.75" hidden="1">
      <c r="A3627" s="50" t="str">
        <f>"50100-9499515"</f>
        <v>50100-9499515</v>
      </c>
      <c r="B3627" s="50" t="str">
        <f>"96/08/30"</f>
        <v>96/08/30</v>
      </c>
      <c r="C3627" s="50" t="s">
        <v>9725</v>
      </c>
      <c r="D3627" s="50" t="s">
        <v>6337</v>
      </c>
      <c r="E3627" s="12" t="s">
        <v>4971</v>
      </c>
      <c r="F3627" s="49">
        <v>126622</v>
      </c>
      <c r="G3627" s="77" t="s">
        <v>5607</v>
      </c>
      <c r="H3627" s="14" t="s">
        <v>5601</v>
      </c>
      <c r="I3627" s="14" t="s">
        <v>2458</v>
      </c>
      <c r="J3627" s="33" t="s">
        <v>7110</v>
      </c>
      <c r="K3627" s="33" t="s">
        <v>9910</v>
      </c>
      <c r="L3627" s="53" t="str">
        <f>"هند"</f>
        <v>هند</v>
      </c>
      <c r="M3627" s="68" t="str">
        <f t="shared" si="54"/>
        <v>بشكه</v>
      </c>
      <c r="N3627" s="53" t="str">
        <f t="shared" si="53"/>
        <v>منطقه ويژه اقتصادي شهيد رجايي</v>
      </c>
      <c r="O3627" s="53">
        <v>50100</v>
      </c>
      <c r="P3627" s="198" t="s">
        <v>7233</v>
      </c>
    </row>
    <row r="3628" spans="1:16" ht="18.75" hidden="1">
      <c r="A3628" s="50" t="str">
        <f>"50100-9499515"</f>
        <v>50100-9499515</v>
      </c>
      <c r="B3628" s="50" t="str">
        <f>"96/08/30"</f>
        <v>96/08/30</v>
      </c>
      <c r="C3628" s="50" t="s">
        <v>9886</v>
      </c>
      <c r="D3628" s="50" t="s">
        <v>6337</v>
      </c>
      <c r="E3628" s="12" t="s">
        <v>4971</v>
      </c>
      <c r="F3628" s="49">
        <v>862928</v>
      </c>
      <c r="G3628" s="77" t="s">
        <v>5607</v>
      </c>
      <c r="H3628" s="14" t="s">
        <v>5601</v>
      </c>
      <c r="I3628" s="14" t="s">
        <v>2458</v>
      </c>
      <c r="J3628" s="33" t="s">
        <v>7110</v>
      </c>
      <c r="K3628" s="33" t="s">
        <v>9910</v>
      </c>
      <c r="L3628" s="53" t="str">
        <f>"هند"</f>
        <v>هند</v>
      </c>
      <c r="M3628" s="68" t="str">
        <f t="shared" si="54"/>
        <v>بشكه</v>
      </c>
      <c r="N3628" s="53" t="str">
        <f t="shared" si="53"/>
        <v>منطقه ويژه اقتصادي شهيد رجايي</v>
      </c>
      <c r="O3628" s="53">
        <v>50100</v>
      </c>
      <c r="P3628" s="198" t="s">
        <v>7233</v>
      </c>
    </row>
    <row r="3629" spans="1:16" ht="18.75" hidden="1">
      <c r="A3629" s="50" t="str">
        <f>"50100-9480490"</f>
        <v>50100-9480490</v>
      </c>
      <c r="B3629" s="50" t="str">
        <f>"96/08/24"</f>
        <v>96/08/24</v>
      </c>
      <c r="C3629" s="50" t="s">
        <v>9725</v>
      </c>
      <c r="D3629" s="50" t="s">
        <v>6337</v>
      </c>
      <c r="E3629" s="12" t="s">
        <v>4971</v>
      </c>
      <c r="F3629" s="49">
        <v>10995</v>
      </c>
      <c r="G3629" s="77" t="s">
        <v>5607</v>
      </c>
      <c r="H3629" s="14" t="s">
        <v>5601</v>
      </c>
      <c r="I3629" s="14" t="s">
        <v>2458</v>
      </c>
      <c r="J3629" s="33" t="s">
        <v>7110</v>
      </c>
      <c r="K3629" s="33" t="s">
        <v>9910</v>
      </c>
      <c r="L3629" s="53" t="str">
        <f>"بنگلادش"</f>
        <v>بنگلادش</v>
      </c>
      <c r="M3629" s="68" t="str">
        <f t="shared" si="54"/>
        <v>بشكه</v>
      </c>
      <c r="N3629" s="53" t="str">
        <f t="shared" si="53"/>
        <v>منطقه ويژه اقتصادي شهيد رجايي</v>
      </c>
      <c r="O3629" s="53">
        <v>50100</v>
      </c>
      <c r="P3629" s="198" t="s">
        <v>7233</v>
      </c>
    </row>
    <row r="3630" spans="1:16" ht="18.75" hidden="1">
      <c r="A3630" s="50" t="str">
        <f>"50100-9458862"</f>
        <v>50100-9458862</v>
      </c>
      <c r="B3630" s="50" t="str">
        <f>"96/08/20"</f>
        <v>96/08/20</v>
      </c>
      <c r="C3630" s="50" t="s">
        <v>4900</v>
      </c>
      <c r="D3630" s="50" t="s">
        <v>4183</v>
      </c>
      <c r="E3630" s="12" t="s">
        <v>3420</v>
      </c>
      <c r="F3630" s="49">
        <v>13549</v>
      </c>
      <c r="G3630" s="67" t="s">
        <v>9897</v>
      </c>
      <c r="H3630" s="14" t="s">
        <v>5601</v>
      </c>
      <c r="I3630" s="14" t="s">
        <v>2458</v>
      </c>
      <c r="J3630" s="33" t="s">
        <v>7110</v>
      </c>
      <c r="K3630" s="33" t="s">
        <v>9910</v>
      </c>
      <c r="L3630" s="53" t="str">
        <f>"هند"</f>
        <v>هند</v>
      </c>
      <c r="M3630" s="68" t="str">
        <f t="shared" si="54"/>
        <v>بشكه</v>
      </c>
      <c r="N3630" s="53" t="str">
        <f t="shared" si="53"/>
        <v>منطقه ويژه اقتصادي شهيد رجايي</v>
      </c>
      <c r="O3630" s="53">
        <v>50100</v>
      </c>
      <c r="P3630" s="198" t="s">
        <v>5719</v>
      </c>
    </row>
    <row r="3631" spans="1:16" ht="18.75" hidden="1">
      <c r="A3631" s="50" t="str">
        <f>"50100-9473638"</f>
        <v>50100-9473638</v>
      </c>
      <c r="B3631" s="50" t="str">
        <f>"96/08/23"</f>
        <v>96/08/23</v>
      </c>
      <c r="C3631" s="50" t="s">
        <v>9898</v>
      </c>
      <c r="D3631" s="50" t="s">
        <v>9813</v>
      </c>
      <c r="E3631" s="12" t="s">
        <v>4971</v>
      </c>
      <c r="F3631" s="49">
        <v>100000</v>
      </c>
      <c r="G3631" s="77" t="s">
        <v>5631</v>
      </c>
      <c r="H3631" s="14" t="s">
        <v>5601</v>
      </c>
      <c r="I3631" s="14" t="s">
        <v>2458</v>
      </c>
      <c r="J3631" s="33" t="s">
        <v>7110</v>
      </c>
      <c r="K3631" s="33" t="s">
        <v>9910</v>
      </c>
      <c r="L3631" s="53" t="str">
        <f>"هند"</f>
        <v>هند</v>
      </c>
      <c r="M3631" s="68" t="str">
        <f t="shared" si="54"/>
        <v>بشكه</v>
      </c>
      <c r="N3631" s="53" t="str">
        <f t="shared" si="53"/>
        <v>منطقه ويژه اقتصادي شهيد رجايي</v>
      </c>
      <c r="O3631" s="53">
        <v>50100</v>
      </c>
      <c r="P3631" s="197" t="s">
        <v>9785</v>
      </c>
    </row>
    <row r="3632" spans="1:16" ht="18.75" hidden="1">
      <c r="A3632" s="50" t="str">
        <f>"50100-9458862"</f>
        <v>50100-9458862</v>
      </c>
      <c r="B3632" s="50" t="str">
        <f>"96/08/20"</f>
        <v>96/08/20</v>
      </c>
      <c r="C3632" s="50" t="s">
        <v>9727</v>
      </c>
      <c r="D3632" s="50" t="s">
        <v>8911</v>
      </c>
      <c r="E3632" s="12" t="s">
        <v>4971</v>
      </c>
      <c r="F3632" s="49">
        <v>450830</v>
      </c>
      <c r="G3632" s="77" t="s">
        <v>5754</v>
      </c>
      <c r="H3632" s="14" t="s">
        <v>5601</v>
      </c>
      <c r="I3632" s="14" t="s">
        <v>2458</v>
      </c>
      <c r="J3632" s="33" t="s">
        <v>7110</v>
      </c>
      <c r="K3632" s="33" t="s">
        <v>9910</v>
      </c>
      <c r="L3632" s="53" t="str">
        <f>"هند"</f>
        <v>هند</v>
      </c>
      <c r="M3632" s="68" t="str">
        <f t="shared" si="54"/>
        <v>بشكه</v>
      </c>
      <c r="N3632" s="53" t="str">
        <f t="shared" si="53"/>
        <v>منطقه ويژه اقتصادي شهيد رجايي</v>
      </c>
      <c r="O3632" s="53">
        <v>50100</v>
      </c>
      <c r="P3632" s="198" t="s">
        <v>5858</v>
      </c>
    </row>
    <row r="3633" spans="1:16" ht="18.75" hidden="1">
      <c r="A3633" s="50" t="str">
        <f>"50100-9501759"</f>
        <v>50100-9501759</v>
      </c>
      <c r="B3633" s="50" t="str">
        <f>"96/08/30"</f>
        <v>96/08/30</v>
      </c>
      <c r="C3633" s="50" t="s">
        <v>9899</v>
      </c>
      <c r="D3633" s="50" t="s">
        <v>6305</v>
      </c>
      <c r="E3633" s="12" t="s">
        <v>4971</v>
      </c>
      <c r="F3633" s="49">
        <v>117000</v>
      </c>
      <c r="G3633" s="77" t="s">
        <v>5611</v>
      </c>
      <c r="H3633" s="14" t="s">
        <v>5601</v>
      </c>
      <c r="I3633" s="14" t="s">
        <v>2458</v>
      </c>
      <c r="J3633" s="33" t="s">
        <v>7110</v>
      </c>
      <c r="K3633" s="33" t="s">
        <v>9910</v>
      </c>
      <c r="L3633" s="53" t="str">
        <f>" امارات متحده عربي"</f>
        <v xml:space="preserve"> امارات متحده عربي</v>
      </c>
      <c r="M3633" s="68" t="str">
        <f t="shared" si="54"/>
        <v>بشكه</v>
      </c>
      <c r="N3633" s="53" t="str">
        <f t="shared" si="53"/>
        <v>منطقه ويژه اقتصادي شهيد رجايي</v>
      </c>
      <c r="O3633" s="53">
        <v>50100</v>
      </c>
      <c r="P3633" s="198" t="s">
        <v>7231</v>
      </c>
    </row>
    <row r="3634" spans="1:16" ht="18.75" hidden="1">
      <c r="A3634" s="50" t="str">
        <f>"50100-9471709"</f>
        <v>50100-9471709</v>
      </c>
      <c r="B3634" s="50" t="str">
        <f>"96/08/22"</f>
        <v>96/08/22</v>
      </c>
      <c r="C3634" s="50" t="s">
        <v>9858</v>
      </c>
      <c r="D3634" s="50" t="s">
        <v>8830</v>
      </c>
      <c r="E3634" s="12" t="s">
        <v>4971</v>
      </c>
      <c r="F3634" s="49">
        <v>1350</v>
      </c>
      <c r="G3634" s="77" t="s">
        <v>5609</v>
      </c>
      <c r="H3634" s="14" t="s">
        <v>5601</v>
      </c>
      <c r="I3634" s="14" t="s">
        <v>2458</v>
      </c>
      <c r="J3634" s="33" t="s">
        <v>7110</v>
      </c>
      <c r="K3634" s="33" t="s">
        <v>9910</v>
      </c>
      <c r="L3634" s="53" t="str">
        <f>"تايوان"</f>
        <v>تايوان</v>
      </c>
      <c r="M3634" s="68" t="str">
        <f t="shared" si="54"/>
        <v>بشكه</v>
      </c>
      <c r="N3634" s="53" t="str">
        <f t="shared" si="53"/>
        <v>منطقه ويژه اقتصادي شهيد رجايي</v>
      </c>
      <c r="O3634" s="53">
        <v>50100</v>
      </c>
      <c r="P3634" s="198" t="s">
        <v>8748</v>
      </c>
    </row>
    <row r="3635" spans="1:16" ht="18.75" hidden="1">
      <c r="A3635" s="50" t="str">
        <f>"50100-9501759"</f>
        <v>50100-9501759</v>
      </c>
      <c r="B3635" s="50" t="str">
        <f>"96/08/30"</f>
        <v>96/08/30</v>
      </c>
      <c r="C3635" s="50" t="s">
        <v>9900</v>
      </c>
      <c r="D3635" s="50" t="s">
        <v>6276</v>
      </c>
      <c r="E3635" s="12" t="s">
        <v>4971</v>
      </c>
      <c r="F3635" s="49">
        <v>90000</v>
      </c>
      <c r="G3635" s="77" t="s">
        <v>5611</v>
      </c>
      <c r="H3635" s="14" t="s">
        <v>5601</v>
      </c>
      <c r="I3635" s="14" t="s">
        <v>2458</v>
      </c>
      <c r="J3635" s="33" t="s">
        <v>7110</v>
      </c>
      <c r="K3635" s="33" t="s">
        <v>9910</v>
      </c>
      <c r="L3635" s="53" t="str">
        <f>" امارات متحده عربي"</f>
        <v xml:space="preserve"> امارات متحده عربي</v>
      </c>
      <c r="M3635" s="68" t="str">
        <f t="shared" si="54"/>
        <v>بشكه</v>
      </c>
      <c r="N3635" s="53" t="str">
        <f t="shared" si="53"/>
        <v>منطقه ويژه اقتصادي شهيد رجايي</v>
      </c>
      <c r="O3635" s="53">
        <v>50100</v>
      </c>
      <c r="P3635" s="198" t="s">
        <v>7231</v>
      </c>
    </row>
    <row r="3636" spans="1:16" ht="18.75" hidden="1">
      <c r="A3636" s="50" t="str">
        <f>"50100-9501759"</f>
        <v>50100-9501759</v>
      </c>
      <c r="B3636" s="50" t="str">
        <f>"96/08/30"</f>
        <v>96/08/30</v>
      </c>
      <c r="C3636" s="50" t="s">
        <v>9901</v>
      </c>
      <c r="D3636" s="50" t="s">
        <v>6312</v>
      </c>
      <c r="E3636" s="12" t="s">
        <v>4971</v>
      </c>
      <c r="F3636" s="49">
        <v>250000</v>
      </c>
      <c r="G3636" s="77" t="s">
        <v>5611</v>
      </c>
      <c r="H3636" s="14" t="s">
        <v>5601</v>
      </c>
      <c r="I3636" s="14" t="s">
        <v>2458</v>
      </c>
      <c r="J3636" s="33" t="s">
        <v>7110</v>
      </c>
      <c r="K3636" s="33" t="s">
        <v>9910</v>
      </c>
      <c r="L3636" s="53" t="str">
        <f>" امارات متحده عربي"</f>
        <v xml:space="preserve"> امارات متحده عربي</v>
      </c>
      <c r="M3636" s="68" t="str">
        <f t="shared" si="54"/>
        <v>بشكه</v>
      </c>
      <c r="N3636" s="53" t="str">
        <f t="shared" si="53"/>
        <v>منطقه ويژه اقتصادي شهيد رجايي</v>
      </c>
      <c r="O3636" s="53">
        <v>50100</v>
      </c>
      <c r="P3636" s="198" t="s">
        <v>7231</v>
      </c>
    </row>
    <row r="3637" spans="1:16" ht="18.75" hidden="1">
      <c r="A3637" s="50" t="str">
        <f>"50100-9501759"</f>
        <v>50100-9501759</v>
      </c>
      <c r="B3637" s="50" t="str">
        <f>"96/08/30"</f>
        <v>96/08/30</v>
      </c>
      <c r="C3637" s="50" t="s">
        <v>9874</v>
      </c>
      <c r="D3637" s="50" t="s">
        <v>6314</v>
      </c>
      <c r="E3637" s="12" t="s">
        <v>4971</v>
      </c>
      <c r="F3637" s="49">
        <v>68500</v>
      </c>
      <c r="G3637" s="77" t="s">
        <v>5611</v>
      </c>
      <c r="H3637" s="14" t="s">
        <v>5601</v>
      </c>
      <c r="I3637" s="14" t="s">
        <v>2458</v>
      </c>
      <c r="J3637" s="33" t="s">
        <v>7110</v>
      </c>
      <c r="K3637" s="33" t="s">
        <v>9910</v>
      </c>
      <c r="L3637" s="53" t="str">
        <f>" امارات متحده عربي"</f>
        <v xml:space="preserve"> امارات متحده عربي</v>
      </c>
      <c r="M3637" s="68" t="str">
        <f t="shared" si="54"/>
        <v>بشكه</v>
      </c>
      <c r="N3637" s="53" t="str">
        <f t="shared" si="53"/>
        <v>منطقه ويژه اقتصادي شهيد رجايي</v>
      </c>
      <c r="O3637" s="53">
        <v>50100</v>
      </c>
      <c r="P3637" s="198" t="s">
        <v>7231</v>
      </c>
    </row>
    <row r="3638" spans="1:16" ht="18.75" hidden="1">
      <c r="A3638" s="50" t="str">
        <f>"50100-9444044"</f>
        <v>50100-9444044</v>
      </c>
      <c r="B3638" s="50" t="str">
        <f>"96/08/16"</f>
        <v>96/08/16</v>
      </c>
      <c r="C3638" s="50" t="s">
        <v>9902</v>
      </c>
      <c r="D3638" s="50" t="s">
        <v>5857</v>
      </c>
      <c r="E3638" s="12" t="s">
        <v>4971</v>
      </c>
      <c r="F3638" s="49">
        <v>110000</v>
      </c>
      <c r="G3638" s="77" t="s">
        <v>5611</v>
      </c>
      <c r="H3638" s="14" t="s">
        <v>5601</v>
      </c>
      <c r="I3638" s="14" t="s">
        <v>2458</v>
      </c>
      <c r="J3638" s="33" t="s">
        <v>7110</v>
      </c>
      <c r="K3638" s="33" t="s">
        <v>9910</v>
      </c>
      <c r="L3638" s="53" t="str">
        <f>"هند"</f>
        <v>هند</v>
      </c>
      <c r="M3638" s="68" t="str">
        <f t="shared" si="54"/>
        <v>بشكه</v>
      </c>
      <c r="N3638" s="53" t="str">
        <f t="shared" si="53"/>
        <v>منطقه ويژه اقتصادي شهيد رجايي</v>
      </c>
      <c r="O3638" s="53">
        <v>50100</v>
      </c>
      <c r="P3638" s="198" t="s">
        <v>5831</v>
      </c>
    </row>
    <row r="3639" spans="1:16" ht="18.75" hidden="1">
      <c r="A3639" s="50" t="str">
        <f>"50100-9501759"</f>
        <v>50100-9501759</v>
      </c>
      <c r="B3639" s="50" t="str">
        <f>"96/08/30"</f>
        <v>96/08/30</v>
      </c>
      <c r="C3639" s="50" t="s">
        <v>9903</v>
      </c>
      <c r="D3639" s="50" t="s">
        <v>6361</v>
      </c>
      <c r="E3639" s="12" t="s">
        <v>4971</v>
      </c>
      <c r="F3639" s="49">
        <v>150000</v>
      </c>
      <c r="G3639" s="77" t="s">
        <v>5611</v>
      </c>
      <c r="H3639" s="14" t="s">
        <v>5601</v>
      </c>
      <c r="I3639" s="14" t="s">
        <v>2458</v>
      </c>
      <c r="J3639" s="33" t="s">
        <v>7110</v>
      </c>
      <c r="K3639" s="33" t="s">
        <v>9910</v>
      </c>
      <c r="L3639" s="53" t="str">
        <f>" امارات متحده عربي"</f>
        <v xml:space="preserve"> امارات متحده عربي</v>
      </c>
      <c r="M3639" s="68" t="str">
        <f t="shared" si="54"/>
        <v>بشكه</v>
      </c>
      <c r="N3639" s="53" t="str">
        <f t="shared" si="53"/>
        <v>منطقه ويژه اقتصادي شهيد رجايي</v>
      </c>
      <c r="O3639" s="53">
        <v>50100</v>
      </c>
      <c r="P3639" s="198" t="s">
        <v>7231</v>
      </c>
    </row>
    <row r="3640" spans="1:16" ht="18.75" hidden="1">
      <c r="A3640" s="50" t="str">
        <f>"50100-9444044"</f>
        <v>50100-9444044</v>
      </c>
      <c r="B3640" s="50" t="str">
        <f>"96/08/16"</f>
        <v>96/08/16</v>
      </c>
      <c r="C3640" s="50" t="s">
        <v>9848</v>
      </c>
      <c r="D3640" s="50" t="s">
        <v>6245</v>
      </c>
      <c r="E3640" s="12" t="s">
        <v>4971</v>
      </c>
      <c r="F3640" s="49">
        <v>176741</v>
      </c>
      <c r="G3640" s="77" t="s">
        <v>5611</v>
      </c>
      <c r="H3640" s="14" t="s">
        <v>5601</v>
      </c>
      <c r="I3640" s="14" t="s">
        <v>2458</v>
      </c>
      <c r="J3640" s="33" t="s">
        <v>7110</v>
      </c>
      <c r="K3640" s="33" t="s">
        <v>9910</v>
      </c>
      <c r="L3640" s="53" t="str">
        <f t="shared" ref="L3640:L3647" si="55">"هند"</f>
        <v>هند</v>
      </c>
      <c r="M3640" s="68" t="str">
        <f t="shared" si="54"/>
        <v>بشكه</v>
      </c>
      <c r="N3640" s="53" t="str">
        <f t="shared" si="53"/>
        <v>منطقه ويژه اقتصادي شهيد رجايي</v>
      </c>
      <c r="O3640" s="53">
        <v>50100</v>
      </c>
      <c r="P3640" s="198" t="s">
        <v>5831</v>
      </c>
    </row>
    <row r="3641" spans="1:16" ht="18.75" hidden="1">
      <c r="A3641" s="50" t="str">
        <f>"50100-9498038"</f>
        <v>50100-9498038</v>
      </c>
      <c r="B3641" s="50" t="str">
        <f>"96/08/29"</f>
        <v>96/08/29</v>
      </c>
      <c r="C3641" s="50" t="s">
        <v>9904</v>
      </c>
      <c r="D3641" s="50" t="s">
        <v>9889</v>
      </c>
      <c r="E3641" s="12" t="s">
        <v>4971</v>
      </c>
      <c r="F3641" s="49">
        <v>493186</v>
      </c>
      <c r="G3641" s="77" t="s">
        <v>5730</v>
      </c>
      <c r="H3641" s="14" t="s">
        <v>5601</v>
      </c>
      <c r="I3641" s="14" t="s">
        <v>2458</v>
      </c>
      <c r="J3641" s="33" t="s">
        <v>7110</v>
      </c>
      <c r="K3641" s="33" t="s">
        <v>9910</v>
      </c>
      <c r="L3641" s="53" t="str">
        <f t="shared" si="55"/>
        <v>هند</v>
      </c>
      <c r="M3641" s="68" t="str">
        <f t="shared" si="54"/>
        <v>بشكه</v>
      </c>
      <c r="N3641" s="53" t="str">
        <f t="shared" si="53"/>
        <v>منطقه ويژه اقتصادي شهيد رجايي</v>
      </c>
      <c r="O3641" s="53">
        <v>50100</v>
      </c>
      <c r="P3641" s="198" t="s">
        <v>9912</v>
      </c>
    </row>
    <row r="3642" spans="1:16" ht="18.75" hidden="1">
      <c r="A3642" s="50" t="str">
        <f>"50100-9475283"</f>
        <v>50100-9475283</v>
      </c>
      <c r="B3642" s="50" t="str">
        <f>"96/08/23"</f>
        <v>96/08/23</v>
      </c>
      <c r="C3642" s="50" t="s">
        <v>9905</v>
      </c>
      <c r="D3642" s="50" t="s">
        <v>9813</v>
      </c>
      <c r="E3642" s="12" t="s">
        <v>4971</v>
      </c>
      <c r="F3642" s="49">
        <v>454122</v>
      </c>
      <c r="G3642" s="77" t="s">
        <v>5754</v>
      </c>
      <c r="H3642" s="14" t="s">
        <v>5601</v>
      </c>
      <c r="I3642" s="14" t="s">
        <v>2458</v>
      </c>
      <c r="J3642" s="33" t="s">
        <v>7110</v>
      </c>
      <c r="K3642" s="33" t="s">
        <v>9910</v>
      </c>
      <c r="L3642" s="53" t="str">
        <f t="shared" si="55"/>
        <v>هند</v>
      </c>
      <c r="M3642" s="68" t="str">
        <f t="shared" si="54"/>
        <v>بشكه</v>
      </c>
      <c r="N3642" s="53" t="str">
        <f t="shared" si="53"/>
        <v>منطقه ويژه اقتصادي شهيد رجايي</v>
      </c>
      <c r="O3642" s="53">
        <v>50100</v>
      </c>
      <c r="P3642" s="198" t="s">
        <v>5858</v>
      </c>
    </row>
    <row r="3643" spans="1:16" ht="18.75" hidden="1">
      <c r="A3643" s="50" t="str">
        <f>"50100-9475283"</f>
        <v>50100-9475283</v>
      </c>
      <c r="B3643" s="50" t="str">
        <f>"96/08/23"</f>
        <v>96/08/23</v>
      </c>
      <c r="C3643" s="50" t="s">
        <v>9871</v>
      </c>
      <c r="D3643" s="50" t="s">
        <v>9830</v>
      </c>
      <c r="E3643" s="12" t="s">
        <v>4971</v>
      </c>
      <c r="F3643" s="49">
        <v>39688</v>
      </c>
      <c r="G3643" s="77" t="s">
        <v>5754</v>
      </c>
      <c r="H3643" s="14" t="s">
        <v>5601</v>
      </c>
      <c r="I3643" s="14" t="s">
        <v>2458</v>
      </c>
      <c r="J3643" s="33" t="s">
        <v>7110</v>
      </c>
      <c r="K3643" s="33" t="s">
        <v>9910</v>
      </c>
      <c r="L3643" s="53" t="str">
        <f t="shared" si="55"/>
        <v>هند</v>
      </c>
      <c r="M3643" s="68" t="str">
        <f t="shared" si="54"/>
        <v>بشكه</v>
      </c>
      <c r="N3643" s="53" t="str">
        <f t="shared" si="53"/>
        <v>منطقه ويژه اقتصادي شهيد رجايي</v>
      </c>
      <c r="O3643" s="53">
        <v>50100</v>
      </c>
      <c r="P3643" s="198" t="s">
        <v>5858</v>
      </c>
    </row>
    <row r="3644" spans="1:16" ht="18.75" hidden="1">
      <c r="A3644" s="50" t="str">
        <f>"50100-9481685"</f>
        <v>50100-9481685</v>
      </c>
      <c r="B3644" s="50" t="str">
        <f>"96/08/25"</f>
        <v>96/08/25</v>
      </c>
      <c r="C3644" s="50" t="s">
        <v>9906</v>
      </c>
      <c r="D3644" s="50" t="s">
        <v>8770</v>
      </c>
      <c r="E3644" s="12" t="s">
        <v>4971</v>
      </c>
      <c r="F3644" s="49">
        <v>244480</v>
      </c>
      <c r="G3644" s="77" t="s">
        <v>5631</v>
      </c>
      <c r="H3644" s="14" t="s">
        <v>5601</v>
      </c>
      <c r="I3644" s="14" t="s">
        <v>2458</v>
      </c>
      <c r="J3644" s="33" t="s">
        <v>7110</v>
      </c>
      <c r="K3644" s="33" t="s">
        <v>9910</v>
      </c>
      <c r="L3644" s="53" t="str">
        <f t="shared" si="55"/>
        <v>هند</v>
      </c>
      <c r="M3644" s="68" t="str">
        <f t="shared" si="54"/>
        <v>بشكه</v>
      </c>
      <c r="N3644" s="53" t="str">
        <f t="shared" si="53"/>
        <v>منطقه ويژه اقتصادي شهيد رجايي</v>
      </c>
      <c r="O3644" s="53">
        <v>50100</v>
      </c>
      <c r="P3644" s="197" t="s">
        <v>8722</v>
      </c>
    </row>
    <row r="3645" spans="1:16" ht="18.75" hidden="1">
      <c r="A3645" s="50" t="str">
        <f>"50100-9481685"</f>
        <v>50100-9481685</v>
      </c>
      <c r="B3645" s="50" t="str">
        <f>"96/08/25"</f>
        <v>96/08/25</v>
      </c>
      <c r="C3645" s="50" t="s">
        <v>8500</v>
      </c>
      <c r="D3645" s="50" t="s">
        <v>8620</v>
      </c>
      <c r="E3645" s="12" t="s">
        <v>4971</v>
      </c>
      <c r="F3645" s="49">
        <v>118080</v>
      </c>
      <c r="G3645" s="77" t="s">
        <v>5631</v>
      </c>
      <c r="H3645" s="14" t="s">
        <v>5601</v>
      </c>
      <c r="I3645" s="14" t="s">
        <v>2458</v>
      </c>
      <c r="J3645" s="33" t="s">
        <v>7110</v>
      </c>
      <c r="K3645" s="33" t="s">
        <v>9910</v>
      </c>
      <c r="L3645" s="53" t="str">
        <f t="shared" si="55"/>
        <v>هند</v>
      </c>
      <c r="M3645" s="68" t="str">
        <f t="shared" si="54"/>
        <v>بشكه</v>
      </c>
      <c r="N3645" s="53" t="str">
        <f t="shared" si="53"/>
        <v>منطقه ويژه اقتصادي شهيد رجايي</v>
      </c>
      <c r="O3645" s="53">
        <v>50100</v>
      </c>
      <c r="P3645" s="197" t="s">
        <v>5836</v>
      </c>
    </row>
    <row r="3646" spans="1:16" ht="18.75" hidden="1">
      <c r="A3646" s="50" t="str">
        <f>"50100-9495978"</f>
        <v>50100-9495978</v>
      </c>
      <c r="B3646" s="50" t="str">
        <f>"96/08/29"</f>
        <v>96/08/29</v>
      </c>
      <c r="C3646" s="50" t="s">
        <v>9906</v>
      </c>
      <c r="D3646" s="50" t="s">
        <v>8770</v>
      </c>
      <c r="E3646" s="12" t="s">
        <v>4971</v>
      </c>
      <c r="F3646" s="49">
        <v>4350</v>
      </c>
      <c r="G3646" s="77" t="s">
        <v>5631</v>
      </c>
      <c r="H3646" s="14" t="s">
        <v>5601</v>
      </c>
      <c r="I3646" s="14" t="s">
        <v>2458</v>
      </c>
      <c r="J3646" s="33" t="s">
        <v>7110</v>
      </c>
      <c r="K3646" s="33" t="s">
        <v>9910</v>
      </c>
      <c r="L3646" s="53" t="str">
        <f t="shared" si="55"/>
        <v>هند</v>
      </c>
      <c r="M3646" s="68" t="str">
        <f t="shared" si="54"/>
        <v>بشكه</v>
      </c>
      <c r="N3646" s="53" t="str">
        <f t="shared" si="53"/>
        <v>منطقه ويژه اقتصادي شهيد رجايي</v>
      </c>
      <c r="O3646" s="53">
        <v>50100</v>
      </c>
      <c r="P3646" s="197" t="s">
        <v>8722</v>
      </c>
    </row>
    <row r="3647" spans="1:16" ht="18.75" hidden="1">
      <c r="A3647" s="50" t="str">
        <f>"50100-9450523"</f>
        <v>50100-9450523</v>
      </c>
      <c r="B3647" s="50" t="str">
        <f>"96/08/17"</f>
        <v>96/08/17</v>
      </c>
      <c r="C3647" s="50" t="s">
        <v>9907</v>
      </c>
      <c r="D3647" s="50" t="s">
        <v>9825</v>
      </c>
      <c r="E3647" s="12" t="s">
        <v>4971</v>
      </c>
      <c r="F3647" s="49">
        <v>2792510</v>
      </c>
      <c r="G3647" s="77" t="s">
        <v>5779</v>
      </c>
      <c r="H3647" s="14" t="s">
        <v>5601</v>
      </c>
      <c r="I3647" s="14" t="s">
        <v>2458</v>
      </c>
      <c r="J3647" s="33" t="e">
        <f>VLOOKUP(C3647,شرکتها!A:B,2,FALSE)</f>
        <v>#N/A</v>
      </c>
      <c r="K3647" s="33" t="s">
        <v>9910</v>
      </c>
      <c r="L3647" s="53" t="str">
        <f t="shared" si="55"/>
        <v>هند</v>
      </c>
      <c r="M3647" s="68" t="str">
        <f>"فله"</f>
        <v>فله</v>
      </c>
      <c r="N3647" s="53" t="str">
        <f t="shared" si="53"/>
        <v>منطقه ويژه اقتصادي شهيد رجايي</v>
      </c>
      <c r="O3647" s="53">
        <v>50100</v>
      </c>
      <c r="P3647" s="198" t="s">
        <v>9786</v>
      </c>
    </row>
    <row r="3648" spans="1:16" ht="18.75" hidden="1">
      <c r="A3648" s="50" t="str">
        <f>"50100-9471709"</f>
        <v>50100-9471709</v>
      </c>
      <c r="B3648" s="50" t="str">
        <f>"96/08/22"</f>
        <v>96/08/22</v>
      </c>
      <c r="C3648" s="50" t="s">
        <v>9908</v>
      </c>
      <c r="D3648" s="50" t="s">
        <v>9720</v>
      </c>
      <c r="E3648" s="12" t="s">
        <v>4971</v>
      </c>
      <c r="F3648" s="49">
        <v>1000000</v>
      </c>
      <c r="G3648" s="77" t="s">
        <v>5609</v>
      </c>
      <c r="H3648" s="14" t="s">
        <v>5601</v>
      </c>
      <c r="I3648" s="14" t="s">
        <v>2458</v>
      </c>
      <c r="J3648" s="33" t="s">
        <v>7110</v>
      </c>
      <c r="K3648" s="33" t="s">
        <v>9910</v>
      </c>
      <c r="L3648" s="53" t="str">
        <f>"تايوان"</f>
        <v>تايوان</v>
      </c>
      <c r="M3648" s="68" t="str">
        <f>"بشكه"</f>
        <v>بشكه</v>
      </c>
      <c r="N3648" s="53" t="str">
        <f t="shared" si="53"/>
        <v>منطقه ويژه اقتصادي شهيد رجايي</v>
      </c>
      <c r="O3648" s="53">
        <v>50100</v>
      </c>
      <c r="P3648" s="198" t="s">
        <v>8748</v>
      </c>
    </row>
    <row r="3649" spans="1:16" ht="18.75" hidden="1">
      <c r="A3649" s="50" t="str">
        <f>"50100-9501759"</f>
        <v>50100-9501759</v>
      </c>
      <c r="B3649" s="50" t="str">
        <f>"96/08/30"</f>
        <v>96/08/30</v>
      </c>
      <c r="C3649" s="50" t="s">
        <v>9909</v>
      </c>
      <c r="D3649" s="50" t="s">
        <v>6330</v>
      </c>
      <c r="E3649" s="12" t="s">
        <v>4971</v>
      </c>
      <c r="F3649" s="49">
        <v>320000</v>
      </c>
      <c r="G3649" s="77" t="s">
        <v>5611</v>
      </c>
      <c r="H3649" s="14" t="s">
        <v>5601</v>
      </c>
      <c r="I3649" s="14" t="s">
        <v>2458</v>
      </c>
      <c r="J3649" s="33" t="s">
        <v>7110</v>
      </c>
      <c r="K3649" s="33" t="s">
        <v>9910</v>
      </c>
      <c r="L3649" s="53" t="str">
        <f>" امارات متحده عربي"</f>
        <v xml:space="preserve"> امارات متحده عربي</v>
      </c>
      <c r="M3649" s="68" t="str">
        <f>"بشكه"</f>
        <v>بشكه</v>
      </c>
      <c r="N3649" s="53" t="str">
        <f t="shared" si="53"/>
        <v>منطقه ويژه اقتصادي شهيد رجايي</v>
      </c>
      <c r="O3649" s="53">
        <v>50100</v>
      </c>
      <c r="P3649" s="198" t="s">
        <v>7231</v>
      </c>
    </row>
    <row r="3650" spans="1:16" ht="18.75" hidden="1">
      <c r="A3650" s="50" t="s">
        <v>9914</v>
      </c>
      <c r="B3650" s="50" t="s">
        <v>8618</v>
      </c>
      <c r="C3650" s="50" t="s">
        <v>5894</v>
      </c>
      <c r="D3650" s="12" t="s">
        <v>5459</v>
      </c>
      <c r="E3650" s="12" t="s">
        <v>4971</v>
      </c>
      <c r="F3650" s="49">
        <v>98120</v>
      </c>
      <c r="G3650" s="77" t="s">
        <v>6454</v>
      </c>
      <c r="H3650" s="14" t="s">
        <v>5601</v>
      </c>
      <c r="I3650" s="14" t="s">
        <v>2458</v>
      </c>
      <c r="J3650" s="33" t="s">
        <v>7110</v>
      </c>
      <c r="K3650" s="33" t="s">
        <v>9934</v>
      </c>
      <c r="L3650" s="53" t="s">
        <v>6054</v>
      </c>
      <c r="M3650" s="68" t="s">
        <v>8913</v>
      </c>
      <c r="N3650" s="53" t="s">
        <v>6076</v>
      </c>
      <c r="O3650" s="53">
        <v>55301</v>
      </c>
      <c r="P3650" s="198" t="s">
        <v>5816</v>
      </c>
    </row>
    <row r="3651" spans="1:16" ht="18.75" hidden="1">
      <c r="A3651" s="50" t="s">
        <v>9914</v>
      </c>
      <c r="B3651" s="50" t="s">
        <v>8618</v>
      </c>
      <c r="C3651" s="50" t="s">
        <v>5901</v>
      </c>
      <c r="D3651" s="12" t="s">
        <v>5561</v>
      </c>
      <c r="E3651" s="12" t="s">
        <v>4971</v>
      </c>
      <c r="F3651" s="49">
        <v>95700</v>
      </c>
      <c r="G3651" s="77" t="s">
        <v>6454</v>
      </c>
      <c r="H3651" s="14" t="s">
        <v>5601</v>
      </c>
      <c r="I3651" s="14" t="s">
        <v>2458</v>
      </c>
      <c r="J3651" s="33" t="s">
        <v>7110</v>
      </c>
      <c r="K3651" s="33" t="s">
        <v>9934</v>
      </c>
      <c r="L3651" s="53" t="s">
        <v>6054</v>
      </c>
      <c r="M3651" s="68" t="s">
        <v>8913</v>
      </c>
      <c r="N3651" s="53" t="s">
        <v>6076</v>
      </c>
      <c r="O3651" s="53">
        <v>55301</v>
      </c>
      <c r="P3651" s="198" t="s">
        <v>5816</v>
      </c>
    </row>
    <row r="3652" spans="1:16" ht="18.75" hidden="1">
      <c r="A3652" s="50" t="s">
        <v>9915</v>
      </c>
      <c r="B3652" s="50" t="s">
        <v>8837</v>
      </c>
      <c r="C3652" s="50" t="s">
        <v>5923</v>
      </c>
      <c r="D3652" s="12" t="s">
        <v>5562</v>
      </c>
      <c r="E3652" s="12" t="s">
        <v>4971</v>
      </c>
      <c r="F3652" s="49">
        <v>100370</v>
      </c>
      <c r="G3652" s="77" t="s">
        <v>6298</v>
      </c>
      <c r="H3652" s="14" t="s">
        <v>5601</v>
      </c>
      <c r="I3652" s="14" t="s">
        <v>2458</v>
      </c>
      <c r="J3652" s="33" t="s">
        <v>7110</v>
      </c>
      <c r="K3652" s="33" t="s">
        <v>9934</v>
      </c>
      <c r="L3652" s="53" t="s">
        <v>6054</v>
      </c>
      <c r="M3652" s="68" t="s">
        <v>8912</v>
      </c>
      <c r="N3652" s="53" t="s">
        <v>6285</v>
      </c>
      <c r="O3652" s="53">
        <v>55200</v>
      </c>
      <c r="P3652" s="198" t="s">
        <v>5813</v>
      </c>
    </row>
    <row r="3653" spans="1:16" ht="18.75" hidden="1">
      <c r="A3653" s="50" t="s">
        <v>9915</v>
      </c>
      <c r="B3653" s="50" t="s">
        <v>8837</v>
      </c>
      <c r="C3653" s="50" t="s">
        <v>5927</v>
      </c>
      <c r="D3653" s="12" t="s">
        <v>5479</v>
      </c>
      <c r="E3653" s="12" t="s">
        <v>4971</v>
      </c>
      <c r="F3653" s="49">
        <v>82610</v>
      </c>
      <c r="G3653" s="77" t="s">
        <v>6298</v>
      </c>
      <c r="H3653" s="14" t="s">
        <v>5601</v>
      </c>
      <c r="I3653" s="14" t="s">
        <v>2458</v>
      </c>
      <c r="J3653" s="33" t="s">
        <v>7110</v>
      </c>
      <c r="K3653" s="33" t="s">
        <v>9934</v>
      </c>
      <c r="L3653" s="53" t="s">
        <v>6054</v>
      </c>
      <c r="M3653" s="68" t="s">
        <v>8912</v>
      </c>
      <c r="N3653" s="53" t="s">
        <v>6285</v>
      </c>
      <c r="O3653" s="53">
        <v>55200</v>
      </c>
      <c r="P3653" s="198" t="s">
        <v>5813</v>
      </c>
    </row>
    <row r="3654" spans="1:16" ht="18.75" hidden="1">
      <c r="A3654" s="50" t="s">
        <v>9915</v>
      </c>
      <c r="B3654" s="50" t="s">
        <v>8837</v>
      </c>
      <c r="C3654" s="50" t="s">
        <v>5926</v>
      </c>
      <c r="D3654" s="12" t="s">
        <v>5479</v>
      </c>
      <c r="E3654" s="12" t="s">
        <v>4971</v>
      </c>
      <c r="F3654" s="49">
        <v>83190</v>
      </c>
      <c r="G3654" s="77" t="s">
        <v>6298</v>
      </c>
      <c r="H3654" s="14" t="s">
        <v>5601</v>
      </c>
      <c r="I3654" s="14" t="s">
        <v>2458</v>
      </c>
      <c r="J3654" s="33" t="s">
        <v>7110</v>
      </c>
      <c r="K3654" s="33" t="s">
        <v>9934</v>
      </c>
      <c r="L3654" s="53" t="s">
        <v>6054</v>
      </c>
      <c r="M3654" s="68" t="s">
        <v>8912</v>
      </c>
      <c r="N3654" s="53" t="s">
        <v>6285</v>
      </c>
      <c r="O3654" s="53">
        <v>55200</v>
      </c>
      <c r="P3654" s="198" t="s">
        <v>5813</v>
      </c>
    </row>
    <row r="3655" spans="1:16" ht="18.75" hidden="1">
      <c r="A3655" s="50" t="s">
        <v>9916</v>
      </c>
      <c r="B3655" s="50" t="s">
        <v>9715</v>
      </c>
      <c r="C3655" s="50" t="s">
        <v>9917</v>
      </c>
      <c r="D3655" s="12" t="s">
        <v>6412</v>
      </c>
      <c r="E3655" s="12" t="s">
        <v>4971</v>
      </c>
      <c r="F3655" s="49">
        <v>73820</v>
      </c>
      <c r="G3655" s="77" t="s">
        <v>6298</v>
      </c>
      <c r="H3655" s="14" t="s">
        <v>5601</v>
      </c>
      <c r="I3655" s="14" t="s">
        <v>2458</v>
      </c>
      <c r="J3655" s="33" t="s">
        <v>7110</v>
      </c>
      <c r="K3655" s="33" t="s">
        <v>9934</v>
      </c>
      <c r="L3655" s="53" t="s">
        <v>6054</v>
      </c>
      <c r="M3655" s="68" t="s">
        <v>8912</v>
      </c>
      <c r="N3655" s="53" t="s">
        <v>6285</v>
      </c>
      <c r="O3655" s="53">
        <v>55200</v>
      </c>
      <c r="P3655" s="198" t="s">
        <v>7231</v>
      </c>
    </row>
    <row r="3656" spans="1:16" ht="18.75" hidden="1">
      <c r="A3656" s="50" t="s">
        <v>9918</v>
      </c>
      <c r="B3656" s="50" t="s">
        <v>8911</v>
      </c>
      <c r="C3656" s="50" t="s">
        <v>6392</v>
      </c>
      <c r="D3656" s="12" t="s">
        <v>6330</v>
      </c>
      <c r="E3656" s="12" t="s">
        <v>4971</v>
      </c>
      <c r="F3656" s="49">
        <v>17690</v>
      </c>
      <c r="G3656" s="77" t="s">
        <v>6298</v>
      </c>
      <c r="H3656" s="14" t="s">
        <v>5601</v>
      </c>
      <c r="I3656" s="14" t="s">
        <v>2458</v>
      </c>
      <c r="J3656" s="33" t="s">
        <v>7110</v>
      </c>
      <c r="K3656" s="33" t="s">
        <v>9934</v>
      </c>
      <c r="L3656" s="53" t="s">
        <v>6054</v>
      </c>
      <c r="M3656" s="68" t="s">
        <v>8912</v>
      </c>
      <c r="N3656" s="53" t="s">
        <v>6076</v>
      </c>
      <c r="O3656" s="53">
        <v>55301</v>
      </c>
      <c r="P3656" s="198" t="s">
        <v>7231</v>
      </c>
    </row>
    <row r="3657" spans="1:16" ht="18.75" hidden="1">
      <c r="A3657" s="50" t="s">
        <v>9918</v>
      </c>
      <c r="B3657" s="50" t="s">
        <v>8911</v>
      </c>
      <c r="C3657" s="50" t="s">
        <v>9752</v>
      </c>
      <c r="D3657" s="12" t="s">
        <v>6332</v>
      </c>
      <c r="E3657" s="12" t="s">
        <v>4971</v>
      </c>
      <c r="F3657" s="49">
        <v>53600</v>
      </c>
      <c r="G3657" s="77" t="s">
        <v>6298</v>
      </c>
      <c r="H3657" s="14" t="s">
        <v>5601</v>
      </c>
      <c r="I3657" s="14" t="s">
        <v>2458</v>
      </c>
      <c r="J3657" s="33" t="s">
        <v>7110</v>
      </c>
      <c r="K3657" s="33" t="s">
        <v>9934</v>
      </c>
      <c r="L3657" s="53" t="s">
        <v>6054</v>
      </c>
      <c r="M3657" s="68" t="s">
        <v>8912</v>
      </c>
      <c r="N3657" s="53" t="s">
        <v>6076</v>
      </c>
      <c r="O3657" s="53">
        <v>55301</v>
      </c>
      <c r="P3657" s="198" t="s">
        <v>7231</v>
      </c>
    </row>
    <row r="3658" spans="1:16" ht="18.75" hidden="1">
      <c r="A3658" s="50" t="s">
        <v>9919</v>
      </c>
      <c r="B3658" s="50" t="s">
        <v>9804</v>
      </c>
      <c r="C3658" s="50" t="s">
        <v>9742</v>
      </c>
      <c r="D3658" s="12" t="s">
        <v>8767</v>
      </c>
      <c r="E3658" s="12" t="s">
        <v>4971</v>
      </c>
      <c r="F3658" s="49">
        <v>70900</v>
      </c>
      <c r="G3658" s="77" t="s">
        <v>6300</v>
      </c>
      <c r="H3658" s="14" t="s">
        <v>5601</v>
      </c>
      <c r="I3658" s="14" t="s">
        <v>2458</v>
      </c>
      <c r="J3658" s="33" t="s">
        <v>7110</v>
      </c>
      <c r="K3658" s="33" t="s">
        <v>9934</v>
      </c>
      <c r="L3658" s="53" t="s">
        <v>6054</v>
      </c>
      <c r="M3658" s="68" t="s">
        <v>8912</v>
      </c>
      <c r="N3658" s="53" t="s">
        <v>6076</v>
      </c>
      <c r="O3658" s="53">
        <v>55301</v>
      </c>
      <c r="P3658" s="197" t="s">
        <v>5842</v>
      </c>
    </row>
    <row r="3659" spans="1:16" ht="18.75" hidden="1">
      <c r="A3659" s="50" t="s">
        <v>9920</v>
      </c>
      <c r="B3659" s="50" t="s">
        <v>9759</v>
      </c>
      <c r="C3659" s="50" t="s">
        <v>8877</v>
      </c>
      <c r="D3659" s="12" t="s">
        <v>8636</v>
      </c>
      <c r="E3659" s="12" t="s">
        <v>4971</v>
      </c>
      <c r="F3659" s="49">
        <v>95920</v>
      </c>
      <c r="G3659" s="77" t="s">
        <v>6454</v>
      </c>
      <c r="H3659" s="14" t="s">
        <v>5601</v>
      </c>
      <c r="I3659" s="14" t="s">
        <v>2458</v>
      </c>
      <c r="J3659" s="33" t="s">
        <v>7110</v>
      </c>
      <c r="K3659" s="33" t="s">
        <v>9934</v>
      </c>
      <c r="L3659" s="53" t="s">
        <v>6054</v>
      </c>
      <c r="M3659" s="68" t="s">
        <v>8913</v>
      </c>
      <c r="N3659" s="53" t="s">
        <v>6076</v>
      </c>
      <c r="O3659" s="53">
        <v>55301</v>
      </c>
      <c r="P3659" s="198" t="s">
        <v>7114</v>
      </c>
    </row>
    <row r="3660" spans="1:16" ht="18.75" hidden="1">
      <c r="A3660" s="50" t="s">
        <v>9921</v>
      </c>
      <c r="B3660" s="50" t="s">
        <v>9759</v>
      </c>
      <c r="C3660" s="50" t="s">
        <v>8877</v>
      </c>
      <c r="D3660" s="12" t="s">
        <v>8636</v>
      </c>
      <c r="E3660" s="12" t="s">
        <v>4971</v>
      </c>
      <c r="F3660" s="49">
        <v>9500</v>
      </c>
      <c r="G3660" s="77" t="s">
        <v>6454</v>
      </c>
      <c r="H3660" s="14" t="s">
        <v>5601</v>
      </c>
      <c r="I3660" s="14" t="s">
        <v>2458</v>
      </c>
      <c r="J3660" s="33" t="s">
        <v>7110</v>
      </c>
      <c r="K3660" s="33" t="s">
        <v>9934</v>
      </c>
      <c r="L3660" s="53" t="s">
        <v>6054</v>
      </c>
      <c r="M3660" s="68" t="s">
        <v>8913</v>
      </c>
      <c r="N3660" s="53" t="s">
        <v>6286</v>
      </c>
      <c r="O3660" s="53">
        <v>55107</v>
      </c>
      <c r="P3660" s="198" t="s">
        <v>7114</v>
      </c>
    </row>
    <row r="3661" spans="1:16" ht="18.75" hidden="1">
      <c r="A3661" s="50" t="s">
        <v>9922</v>
      </c>
      <c r="B3661" s="50" t="s">
        <v>9817</v>
      </c>
      <c r="C3661" s="50" t="s">
        <v>9923</v>
      </c>
      <c r="D3661" s="12" t="s">
        <v>8629</v>
      </c>
      <c r="E3661" s="12" t="s">
        <v>4971</v>
      </c>
      <c r="F3661" s="49">
        <v>146300</v>
      </c>
      <c r="G3661" s="77" t="s">
        <v>6298</v>
      </c>
      <c r="H3661" s="14" t="s">
        <v>5601</v>
      </c>
      <c r="I3661" s="14" t="s">
        <v>2458</v>
      </c>
      <c r="J3661" s="33" t="s">
        <v>7110</v>
      </c>
      <c r="K3661" s="33" t="s">
        <v>9934</v>
      </c>
      <c r="L3661" s="53" t="s">
        <v>6054</v>
      </c>
      <c r="M3661" s="68" t="s">
        <v>8912</v>
      </c>
      <c r="N3661" s="53" t="s">
        <v>9836</v>
      </c>
      <c r="O3661" s="53">
        <v>55112</v>
      </c>
      <c r="P3661" s="198" t="s">
        <v>7111</v>
      </c>
    </row>
    <row r="3662" spans="1:16" ht="18.75" hidden="1">
      <c r="A3662" s="50" t="s">
        <v>9924</v>
      </c>
      <c r="B3662" s="50" t="s">
        <v>9925</v>
      </c>
      <c r="C3662" s="50" t="s">
        <v>9923</v>
      </c>
      <c r="D3662" s="12" t="s">
        <v>8629</v>
      </c>
      <c r="E3662" s="12" t="s">
        <v>4971</v>
      </c>
      <c r="F3662" s="49">
        <v>102019</v>
      </c>
      <c r="G3662" s="77" t="s">
        <v>6298</v>
      </c>
      <c r="H3662" s="14" t="s">
        <v>5601</v>
      </c>
      <c r="I3662" s="14" t="s">
        <v>2458</v>
      </c>
      <c r="J3662" s="33" t="s">
        <v>7110</v>
      </c>
      <c r="K3662" s="33" t="s">
        <v>9934</v>
      </c>
      <c r="L3662" s="53" t="s">
        <v>6054</v>
      </c>
      <c r="M3662" s="68" t="s">
        <v>8913</v>
      </c>
      <c r="N3662" s="53" t="s">
        <v>9836</v>
      </c>
      <c r="O3662" s="53">
        <v>55112</v>
      </c>
      <c r="P3662" s="198" t="s">
        <v>7111</v>
      </c>
    </row>
    <row r="3663" spans="1:16" ht="18.75" hidden="1">
      <c r="A3663" s="50" t="s">
        <v>9924</v>
      </c>
      <c r="B3663" s="50" t="s">
        <v>9925</v>
      </c>
      <c r="C3663" s="50" t="s">
        <v>8909</v>
      </c>
      <c r="D3663" s="12" t="s">
        <v>6328</v>
      </c>
      <c r="E3663" s="12" t="s">
        <v>4971</v>
      </c>
      <c r="F3663" s="49">
        <v>6291</v>
      </c>
      <c r="G3663" s="77" t="s">
        <v>6453</v>
      </c>
      <c r="H3663" s="14" t="s">
        <v>5601</v>
      </c>
      <c r="I3663" s="14" t="s">
        <v>2458</v>
      </c>
      <c r="J3663" s="33" t="s">
        <v>7110</v>
      </c>
      <c r="K3663" s="33" t="s">
        <v>9934</v>
      </c>
      <c r="L3663" s="53" t="s">
        <v>6054</v>
      </c>
      <c r="M3663" s="68" t="s">
        <v>8913</v>
      </c>
      <c r="N3663" s="53" t="s">
        <v>9836</v>
      </c>
      <c r="O3663" s="53">
        <v>55112</v>
      </c>
      <c r="P3663" s="198" t="s">
        <v>7233</v>
      </c>
    </row>
    <row r="3664" spans="1:16" ht="18.75" hidden="1">
      <c r="A3664" s="50" t="s">
        <v>9924</v>
      </c>
      <c r="B3664" s="50" t="s">
        <v>9925</v>
      </c>
      <c r="C3664" s="50" t="s">
        <v>7246</v>
      </c>
      <c r="D3664" s="12" t="s">
        <v>6328</v>
      </c>
      <c r="E3664" s="12" t="s">
        <v>4971</v>
      </c>
      <c r="F3664" s="49">
        <v>13770</v>
      </c>
      <c r="G3664" s="77" t="s">
        <v>6453</v>
      </c>
      <c r="H3664" s="14" t="s">
        <v>5601</v>
      </c>
      <c r="I3664" s="14" t="s">
        <v>2458</v>
      </c>
      <c r="J3664" s="33" t="s">
        <v>7110</v>
      </c>
      <c r="K3664" s="33" t="s">
        <v>9934</v>
      </c>
      <c r="L3664" s="53" t="s">
        <v>6054</v>
      </c>
      <c r="M3664" s="68" t="s">
        <v>8913</v>
      </c>
      <c r="N3664" s="53" t="s">
        <v>9836</v>
      </c>
      <c r="O3664" s="53">
        <v>55112</v>
      </c>
      <c r="P3664" s="198" t="s">
        <v>7233</v>
      </c>
    </row>
    <row r="3665" spans="1:16" ht="18.75" hidden="1">
      <c r="A3665" s="50" t="s">
        <v>9926</v>
      </c>
      <c r="B3665" s="50" t="s">
        <v>9925</v>
      </c>
      <c r="C3665" s="50" t="s">
        <v>8909</v>
      </c>
      <c r="D3665" s="12" t="s">
        <v>6328</v>
      </c>
      <c r="E3665" s="12" t="s">
        <v>4971</v>
      </c>
      <c r="F3665" s="49">
        <v>159799</v>
      </c>
      <c r="G3665" s="77" t="s">
        <v>6453</v>
      </c>
      <c r="H3665" s="14" t="s">
        <v>5601</v>
      </c>
      <c r="I3665" s="14" t="s">
        <v>2458</v>
      </c>
      <c r="J3665" s="33" t="s">
        <v>7110</v>
      </c>
      <c r="K3665" s="33" t="s">
        <v>9934</v>
      </c>
      <c r="L3665" s="53" t="s">
        <v>6054</v>
      </c>
      <c r="M3665" s="68" t="s">
        <v>8913</v>
      </c>
      <c r="N3665" s="53" t="s">
        <v>6076</v>
      </c>
      <c r="O3665" s="53">
        <v>55301</v>
      </c>
      <c r="P3665" s="198" t="s">
        <v>7233</v>
      </c>
    </row>
    <row r="3666" spans="1:16" ht="18.75" hidden="1">
      <c r="A3666" s="50" t="s">
        <v>9927</v>
      </c>
      <c r="B3666" s="50" t="s">
        <v>9832</v>
      </c>
      <c r="C3666" s="50" t="s">
        <v>9833</v>
      </c>
      <c r="D3666" s="12" t="s">
        <v>8767</v>
      </c>
      <c r="E3666" s="12" t="s">
        <v>4971</v>
      </c>
      <c r="F3666" s="49">
        <v>75960</v>
      </c>
      <c r="G3666" s="77" t="s">
        <v>6300</v>
      </c>
      <c r="H3666" s="14" t="s">
        <v>5601</v>
      </c>
      <c r="I3666" s="14" t="s">
        <v>2458</v>
      </c>
      <c r="J3666" s="33" t="s">
        <v>7110</v>
      </c>
      <c r="K3666" s="33" t="s">
        <v>9934</v>
      </c>
      <c r="L3666" s="53" t="s">
        <v>6054</v>
      </c>
      <c r="M3666" s="68" t="s">
        <v>8912</v>
      </c>
      <c r="N3666" s="53" t="s">
        <v>6285</v>
      </c>
      <c r="O3666" s="53">
        <v>55200</v>
      </c>
      <c r="P3666" s="197" t="s">
        <v>5842</v>
      </c>
    </row>
    <row r="3667" spans="1:16" ht="18.75" hidden="1">
      <c r="A3667" s="50" t="s">
        <v>9928</v>
      </c>
      <c r="B3667" s="50" t="s">
        <v>9929</v>
      </c>
      <c r="C3667" s="50" t="s">
        <v>9833</v>
      </c>
      <c r="D3667" s="12" t="s">
        <v>8767</v>
      </c>
      <c r="E3667" s="12" t="s">
        <v>4971</v>
      </c>
      <c r="F3667" s="49">
        <v>25090</v>
      </c>
      <c r="G3667" s="77" t="s">
        <v>6300</v>
      </c>
      <c r="H3667" s="14" t="s">
        <v>5601</v>
      </c>
      <c r="I3667" s="14" t="s">
        <v>2458</v>
      </c>
      <c r="J3667" s="33" t="s">
        <v>7110</v>
      </c>
      <c r="K3667" s="33" t="s">
        <v>9934</v>
      </c>
      <c r="L3667" s="53" t="s">
        <v>6054</v>
      </c>
      <c r="M3667" s="68" t="s">
        <v>8912</v>
      </c>
      <c r="N3667" s="53" t="s">
        <v>6285</v>
      </c>
      <c r="O3667" s="53">
        <v>55200</v>
      </c>
      <c r="P3667" s="197" t="s">
        <v>5842</v>
      </c>
    </row>
    <row r="3668" spans="1:16" ht="18.75" hidden="1">
      <c r="A3668" s="50" t="s">
        <v>9926</v>
      </c>
      <c r="B3668" s="50" t="s">
        <v>9925</v>
      </c>
      <c r="C3668" s="50" t="s">
        <v>6376</v>
      </c>
      <c r="D3668" s="12" t="s">
        <v>6314</v>
      </c>
      <c r="E3668" s="12" t="s">
        <v>4971</v>
      </c>
      <c r="F3668" s="49">
        <v>101721</v>
      </c>
      <c r="G3668" s="77" t="s">
        <v>6453</v>
      </c>
      <c r="H3668" s="14" t="s">
        <v>5601</v>
      </c>
      <c r="I3668" s="14" t="s">
        <v>2458</v>
      </c>
      <c r="J3668" s="33" t="s">
        <v>7110</v>
      </c>
      <c r="K3668" s="33" t="s">
        <v>9934</v>
      </c>
      <c r="L3668" s="53" t="s">
        <v>6054</v>
      </c>
      <c r="M3668" s="68" t="s">
        <v>8913</v>
      </c>
      <c r="N3668" s="53" t="s">
        <v>6076</v>
      </c>
      <c r="O3668" s="53">
        <v>55301</v>
      </c>
      <c r="P3668" s="198" t="s">
        <v>7233</v>
      </c>
    </row>
    <row r="3669" spans="1:16" ht="18.75" hidden="1">
      <c r="A3669" s="50" t="s">
        <v>9921</v>
      </c>
      <c r="B3669" s="50" t="s">
        <v>9759</v>
      </c>
      <c r="C3669" s="50" t="s">
        <v>8891</v>
      </c>
      <c r="D3669" s="12" t="s">
        <v>8618</v>
      </c>
      <c r="E3669" s="12" t="s">
        <v>4971</v>
      </c>
      <c r="F3669" s="49">
        <v>109500</v>
      </c>
      <c r="G3669" s="77" t="s">
        <v>6454</v>
      </c>
      <c r="H3669" s="14" t="s">
        <v>5601</v>
      </c>
      <c r="I3669" s="14" t="s">
        <v>2458</v>
      </c>
      <c r="J3669" s="33" t="s">
        <v>7110</v>
      </c>
      <c r="K3669" s="33" t="s">
        <v>9934</v>
      </c>
      <c r="L3669" s="53" t="s">
        <v>6054</v>
      </c>
      <c r="M3669" s="68" t="s">
        <v>8913</v>
      </c>
      <c r="N3669" s="53" t="s">
        <v>6286</v>
      </c>
      <c r="O3669" s="53">
        <v>55107</v>
      </c>
      <c r="P3669" s="198" t="s">
        <v>7121</v>
      </c>
    </row>
    <row r="3670" spans="1:16" ht="18.75" hidden="1">
      <c r="A3670" s="50" t="s">
        <v>9930</v>
      </c>
      <c r="B3670" s="50" t="s">
        <v>9819</v>
      </c>
      <c r="C3670" s="50" t="s">
        <v>8858</v>
      </c>
      <c r="D3670" s="12" t="s">
        <v>8621</v>
      </c>
      <c r="E3670" s="12" t="s">
        <v>4971</v>
      </c>
      <c r="F3670" s="49">
        <v>125530</v>
      </c>
      <c r="G3670" s="77" t="s">
        <v>8859</v>
      </c>
      <c r="H3670" s="14" t="s">
        <v>5601</v>
      </c>
      <c r="I3670" s="14" t="s">
        <v>2458</v>
      </c>
      <c r="J3670" s="33" t="e">
        <f>VLOOKUP(C3670,شرکتها!A:B,2,FALSE)</f>
        <v>#N/A</v>
      </c>
      <c r="K3670" s="33" t="s">
        <v>9934</v>
      </c>
      <c r="L3670" s="53" t="s">
        <v>6054</v>
      </c>
      <c r="M3670" s="68" t="s">
        <v>8912</v>
      </c>
      <c r="N3670" s="53" t="s">
        <v>6285</v>
      </c>
      <c r="O3670" s="53">
        <v>55200</v>
      </c>
      <c r="P3670" s="198" t="s">
        <v>5854</v>
      </c>
    </row>
    <row r="3671" spans="1:16" ht="18.75" hidden="1">
      <c r="A3671" s="50" t="s">
        <v>9931</v>
      </c>
      <c r="B3671" s="50" t="s">
        <v>9825</v>
      </c>
      <c r="C3671" s="50" t="s">
        <v>9739</v>
      </c>
      <c r="D3671" s="12" t="s">
        <v>8770</v>
      </c>
      <c r="E3671" s="12" t="s">
        <v>4971</v>
      </c>
      <c r="F3671" s="49">
        <v>96580</v>
      </c>
      <c r="G3671" s="77" t="s">
        <v>6454</v>
      </c>
      <c r="H3671" s="14" t="s">
        <v>5601</v>
      </c>
      <c r="I3671" s="14" t="s">
        <v>2458</v>
      </c>
      <c r="J3671" s="33" t="s">
        <v>7110</v>
      </c>
      <c r="K3671" s="33" t="s">
        <v>9934</v>
      </c>
      <c r="L3671" s="53" t="s">
        <v>6054</v>
      </c>
      <c r="M3671" s="68" t="s">
        <v>8913</v>
      </c>
      <c r="N3671" s="53" t="s">
        <v>6076</v>
      </c>
      <c r="O3671" s="53">
        <v>55301</v>
      </c>
      <c r="P3671" s="198" t="s">
        <v>7118</v>
      </c>
    </row>
    <row r="3672" spans="1:16" ht="18.75" hidden="1">
      <c r="A3672" s="50" t="s">
        <v>9931</v>
      </c>
      <c r="B3672" s="50" t="s">
        <v>9825</v>
      </c>
      <c r="C3672" s="50" t="s">
        <v>9814</v>
      </c>
      <c r="D3672" s="12" t="s">
        <v>9815</v>
      </c>
      <c r="E3672" s="12" t="s">
        <v>4971</v>
      </c>
      <c r="F3672" s="49">
        <v>70440</v>
      </c>
      <c r="G3672" s="77" t="s">
        <v>6299</v>
      </c>
      <c r="H3672" s="14" t="s">
        <v>5601</v>
      </c>
      <c r="I3672" s="14" t="s">
        <v>2458</v>
      </c>
      <c r="J3672" s="33" t="s">
        <v>7110</v>
      </c>
      <c r="K3672" s="33" t="s">
        <v>9934</v>
      </c>
      <c r="L3672" s="53" t="s">
        <v>6054</v>
      </c>
      <c r="M3672" s="68" t="s">
        <v>8913</v>
      </c>
      <c r="N3672" s="53" t="s">
        <v>6076</v>
      </c>
      <c r="O3672" s="53">
        <v>55301</v>
      </c>
      <c r="P3672" s="198" t="s">
        <v>9775</v>
      </c>
    </row>
    <row r="3673" spans="1:16" ht="18.75" hidden="1">
      <c r="A3673" s="50" t="s">
        <v>9932</v>
      </c>
      <c r="B3673" s="50" t="s">
        <v>9933</v>
      </c>
      <c r="C3673" s="50" t="s">
        <v>9747</v>
      </c>
      <c r="D3673" s="12" t="s">
        <v>8760</v>
      </c>
      <c r="E3673" s="12" t="s">
        <v>4971</v>
      </c>
      <c r="F3673" s="49">
        <v>27650</v>
      </c>
      <c r="G3673" s="77" t="s">
        <v>6299</v>
      </c>
      <c r="H3673" s="14" t="s">
        <v>5601</v>
      </c>
      <c r="I3673" s="14" t="s">
        <v>2458</v>
      </c>
      <c r="J3673" s="33" t="s">
        <v>7110</v>
      </c>
      <c r="K3673" s="33" t="s">
        <v>9934</v>
      </c>
      <c r="L3673" s="53" t="s">
        <v>6054</v>
      </c>
      <c r="M3673" s="68" t="s">
        <v>8913</v>
      </c>
      <c r="N3673" s="53" t="s">
        <v>6076</v>
      </c>
      <c r="O3673" s="53">
        <v>55301</v>
      </c>
      <c r="P3673" s="198" t="s">
        <v>8723</v>
      </c>
    </row>
    <row r="3674" spans="1:16" ht="18.75" hidden="1">
      <c r="A3674" s="50" t="s">
        <v>9932</v>
      </c>
      <c r="B3674" s="50" t="s">
        <v>9933</v>
      </c>
      <c r="C3674" s="50" t="s">
        <v>8857</v>
      </c>
      <c r="D3674" s="12" t="s">
        <v>8636</v>
      </c>
      <c r="E3674" s="12" t="s">
        <v>4971</v>
      </c>
      <c r="F3674" s="49">
        <v>243740</v>
      </c>
      <c r="G3674" s="77" t="s">
        <v>6453</v>
      </c>
      <c r="H3674" s="14" t="s">
        <v>5601</v>
      </c>
      <c r="I3674" s="14" t="s">
        <v>2458</v>
      </c>
      <c r="J3674" s="33" t="s">
        <v>7110</v>
      </c>
      <c r="K3674" s="33" t="s">
        <v>9934</v>
      </c>
      <c r="L3674" s="53" t="s">
        <v>6054</v>
      </c>
      <c r="M3674" s="68" t="s">
        <v>8913</v>
      </c>
      <c r="N3674" s="53" t="s">
        <v>6076</v>
      </c>
      <c r="O3674" s="53">
        <v>55301</v>
      </c>
      <c r="P3674" s="198" t="s">
        <v>8497</v>
      </c>
    </row>
    <row r="3675" spans="1:16" ht="18.75" hidden="1">
      <c r="A3675" s="50" t="s">
        <v>9932</v>
      </c>
      <c r="B3675" s="50" t="s">
        <v>9933</v>
      </c>
      <c r="C3675" s="50" t="s">
        <v>9814</v>
      </c>
      <c r="D3675" s="12" t="s">
        <v>9815</v>
      </c>
      <c r="E3675" s="12" t="s">
        <v>4971</v>
      </c>
      <c r="F3675" s="49">
        <v>46490</v>
      </c>
      <c r="G3675" s="77" t="s">
        <v>6299</v>
      </c>
      <c r="H3675" s="14" t="s">
        <v>5601</v>
      </c>
      <c r="I3675" s="14" t="s">
        <v>2458</v>
      </c>
      <c r="J3675" s="33" t="s">
        <v>7110</v>
      </c>
      <c r="K3675" s="33" t="s">
        <v>9934</v>
      </c>
      <c r="L3675" s="53" t="s">
        <v>6054</v>
      </c>
      <c r="M3675" s="68" t="s">
        <v>8913</v>
      </c>
      <c r="N3675" s="53" t="s">
        <v>6076</v>
      </c>
      <c r="O3675" s="53">
        <v>55301</v>
      </c>
      <c r="P3675" s="198" t="s">
        <v>9775</v>
      </c>
    </row>
    <row r="3676" spans="1:16" ht="18.75" hidden="1">
      <c r="A3676" s="50" t="str">
        <f>"50100-9505686"</f>
        <v>50100-9505686</v>
      </c>
      <c r="B3676" s="50" t="str">
        <f t="shared" ref="B3676:B3686" si="56">"96/09/01"</f>
        <v>96/09/01</v>
      </c>
      <c r="C3676" s="50" t="s">
        <v>9887</v>
      </c>
      <c r="D3676" s="12" t="s">
        <v>8770</v>
      </c>
      <c r="E3676" s="12" t="s">
        <v>4971</v>
      </c>
      <c r="F3676" s="49">
        <v>789027</v>
      </c>
      <c r="G3676" s="77" t="str">
        <f>"SHINING GREEN STAR FZE"</f>
        <v>SHINING GREEN STAR FZE</v>
      </c>
      <c r="H3676" s="14" t="s">
        <v>5601</v>
      </c>
      <c r="I3676" s="14" t="s">
        <v>2458</v>
      </c>
      <c r="J3676" s="33" t="s">
        <v>7110</v>
      </c>
      <c r="K3676" s="33" t="s">
        <v>9935</v>
      </c>
      <c r="L3676" s="53" t="str">
        <f>" ميانمار"</f>
        <v xml:space="preserve"> ميانمار</v>
      </c>
      <c r="M3676" s="68" t="str">
        <f t="shared" ref="M3676:M3703" si="57">"بشكه"</f>
        <v>بشكه</v>
      </c>
      <c r="N3676" s="53" t="str">
        <f t="shared" ref="N3676:N3739" si="58">"منطقه ويژه اقتصادي شهيد رجايي"</f>
        <v>منطقه ويژه اقتصادي شهيد رجايي</v>
      </c>
      <c r="O3676" s="53">
        <v>50100</v>
      </c>
      <c r="P3676" s="198" t="s">
        <v>8497</v>
      </c>
    </row>
    <row r="3677" spans="1:16" ht="18.75" hidden="1">
      <c r="A3677" s="50" t="str">
        <f>"50100-9505686"</f>
        <v>50100-9505686</v>
      </c>
      <c r="B3677" s="50" t="str">
        <f t="shared" si="56"/>
        <v>96/09/01</v>
      </c>
      <c r="C3677" s="50" t="s">
        <v>9936</v>
      </c>
      <c r="D3677" s="12" t="s">
        <v>9830</v>
      </c>
      <c r="E3677" s="12" t="s">
        <v>4971</v>
      </c>
      <c r="F3677" s="49">
        <v>206623</v>
      </c>
      <c r="G3677" s="77" t="str">
        <f>"SHINING GREEN STAR FZE"</f>
        <v>SHINING GREEN STAR FZE</v>
      </c>
      <c r="H3677" s="14" t="s">
        <v>5601</v>
      </c>
      <c r="I3677" s="14" t="s">
        <v>2458</v>
      </c>
      <c r="J3677" s="33" t="s">
        <v>7110</v>
      </c>
      <c r="K3677" s="33" t="s">
        <v>9935</v>
      </c>
      <c r="L3677" s="53" t="str">
        <f>" ميانمار"</f>
        <v xml:space="preserve"> ميانمار</v>
      </c>
      <c r="M3677" s="68" t="str">
        <f t="shared" si="57"/>
        <v>بشكه</v>
      </c>
      <c r="N3677" s="53" t="str">
        <f t="shared" si="58"/>
        <v>منطقه ويژه اقتصادي شهيد رجايي</v>
      </c>
      <c r="O3677" s="53">
        <v>50100</v>
      </c>
      <c r="P3677" s="198" t="s">
        <v>9767</v>
      </c>
    </row>
    <row r="3678" spans="1:16" ht="18.75" hidden="1">
      <c r="A3678" s="50" t="str">
        <f>"50100-9506463"</f>
        <v>50100-9506463</v>
      </c>
      <c r="B3678" s="50" t="str">
        <f t="shared" si="56"/>
        <v>96/09/01</v>
      </c>
      <c r="C3678" s="50" t="s">
        <v>9937</v>
      </c>
      <c r="D3678" s="12" t="s">
        <v>8788</v>
      </c>
      <c r="E3678" s="12" t="s">
        <v>4971</v>
      </c>
      <c r="F3678" s="49">
        <v>137201</v>
      </c>
      <c r="G3678" s="77" t="str">
        <f>"Black Gold Traders FZE"</f>
        <v>Black Gold Traders FZE</v>
      </c>
      <c r="H3678" s="14" t="s">
        <v>5601</v>
      </c>
      <c r="I3678" s="14" t="s">
        <v>2458</v>
      </c>
      <c r="J3678" s="33" t="s">
        <v>7110</v>
      </c>
      <c r="K3678" s="33" t="s">
        <v>9935</v>
      </c>
      <c r="L3678" s="53" t="str">
        <f t="shared" ref="L3678:L3686" si="59">"هند"</f>
        <v>هند</v>
      </c>
      <c r="M3678" s="68" t="str">
        <f t="shared" si="57"/>
        <v>بشكه</v>
      </c>
      <c r="N3678" s="53" t="str">
        <f t="shared" si="58"/>
        <v>منطقه ويژه اقتصادي شهيد رجايي</v>
      </c>
      <c r="O3678" s="53">
        <v>50100</v>
      </c>
      <c r="P3678" s="198" t="s">
        <v>8722</v>
      </c>
    </row>
    <row r="3679" spans="1:16" ht="18.75" hidden="1">
      <c r="A3679" s="50" t="str">
        <f>"50100-9506463"</f>
        <v>50100-9506463</v>
      </c>
      <c r="B3679" s="50" t="str">
        <f t="shared" si="56"/>
        <v>96/09/01</v>
      </c>
      <c r="C3679" s="50" t="s">
        <v>5981</v>
      </c>
      <c r="D3679" s="12" t="s">
        <v>5835</v>
      </c>
      <c r="E3679" s="12" t="s">
        <v>4971</v>
      </c>
      <c r="F3679" s="49">
        <v>471</v>
      </c>
      <c r="G3679" s="77" t="str">
        <f>"Black Gold Traders FZE"</f>
        <v>Black Gold Traders FZE</v>
      </c>
      <c r="H3679" s="14" t="s">
        <v>5601</v>
      </c>
      <c r="I3679" s="14" t="s">
        <v>2458</v>
      </c>
      <c r="J3679" s="33" t="s">
        <v>7110</v>
      </c>
      <c r="K3679" s="33" t="s">
        <v>9935</v>
      </c>
      <c r="L3679" s="53" t="str">
        <f t="shared" si="59"/>
        <v>هند</v>
      </c>
      <c r="M3679" s="68" t="str">
        <f t="shared" si="57"/>
        <v>بشكه</v>
      </c>
      <c r="N3679" s="53" t="str">
        <f t="shared" si="58"/>
        <v>منطقه ويژه اقتصادي شهيد رجايي</v>
      </c>
      <c r="O3679" s="53">
        <v>50100</v>
      </c>
      <c r="P3679" s="198" t="s">
        <v>5836</v>
      </c>
    </row>
    <row r="3680" spans="1:16" ht="18.75" hidden="1">
      <c r="A3680" s="50" t="str">
        <f>"50100-9506463"</f>
        <v>50100-9506463</v>
      </c>
      <c r="B3680" s="50" t="str">
        <f t="shared" si="56"/>
        <v>96/09/01</v>
      </c>
      <c r="C3680" s="50" t="s">
        <v>6271</v>
      </c>
      <c r="D3680" s="12" t="s">
        <v>6249</v>
      </c>
      <c r="E3680" s="12" t="s">
        <v>4971</v>
      </c>
      <c r="F3680" s="49">
        <v>158</v>
      </c>
      <c r="G3680" s="77" t="str">
        <f>"Black Gold Traders FZE"</f>
        <v>Black Gold Traders FZE</v>
      </c>
      <c r="H3680" s="14" t="s">
        <v>5601</v>
      </c>
      <c r="I3680" s="14" t="s">
        <v>2458</v>
      </c>
      <c r="J3680" s="33" t="s">
        <v>7110</v>
      </c>
      <c r="K3680" s="33" t="s">
        <v>9935</v>
      </c>
      <c r="L3680" s="53" t="str">
        <f t="shared" si="59"/>
        <v>هند</v>
      </c>
      <c r="M3680" s="68" t="str">
        <f t="shared" si="57"/>
        <v>بشكه</v>
      </c>
      <c r="N3680" s="53" t="str">
        <f t="shared" si="58"/>
        <v>منطقه ويژه اقتصادي شهيد رجايي</v>
      </c>
      <c r="O3680" s="53">
        <v>50100</v>
      </c>
      <c r="P3680" s="198" t="s">
        <v>5842</v>
      </c>
    </row>
    <row r="3681" spans="1:16" ht="18.75" hidden="1">
      <c r="A3681" s="50" t="str">
        <f>"50100-9506929"</f>
        <v>50100-9506929</v>
      </c>
      <c r="B3681" s="50" t="str">
        <f t="shared" si="56"/>
        <v>96/09/01</v>
      </c>
      <c r="C3681" s="50" t="s">
        <v>6034</v>
      </c>
      <c r="D3681" s="12" t="s">
        <v>5850</v>
      </c>
      <c r="E3681" s="12" t="s">
        <v>4971</v>
      </c>
      <c r="F3681" s="49">
        <v>30094</v>
      </c>
      <c r="G3681" s="77" t="str">
        <f>"LLC Black Gem Business"</f>
        <v>LLC Black Gem Business</v>
      </c>
      <c r="H3681" s="14" t="s">
        <v>5601</v>
      </c>
      <c r="I3681" s="14" t="s">
        <v>2458</v>
      </c>
      <c r="J3681" s="33" t="e">
        <f>VLOOKUP(C3681,شرکتها!A:B,2,FALSE)</f>
        <v>#N/A</v>
      </c>
      <c r="K3681" s="33" t="s">
        <v>9935</v>
      </c>
      <c r="L3681" s="53" t="str">
        <f t="shared" si="59"/>
        <v>هند</v>
      </c>
      <c r="M3681" s="68" t="str">
        <f t="shared" si="57"/>
        <v>بشكه</v>
      </c>
      <c r="N3681" s="53" t="str">
        <f t="shared" si="58"/>
        <v>منطقه ويژه اقتصادي شهيد رجايي</v>
      </c>
      <c r="O3681" s="53">
        <v>50100</v>
      </c>
      <c r="P3681" s="198" t="s">
        <v>5854</v>
      </c>
    </row>
    <row r="3682" spans="1:16" ht="18.75" hidden="1">
      <c r="A3682" s="50" t="str">
        <f>"50100-9506929"</f>
        <v>50100-9506929</v>
      </c>
      <c r="B3682" s="50" t="str">
        <f t="shared" si="56"/>
        <v>96/09/01</v>
      </c>
      <c r="C3682" s="50" t="s">
        <v>7602</v>
      </c>
      <c r="D3682" s="12" t="s">
        <v>6305</v>
      </c>
      <c r="E3682" s="12" t="s">
        <v>4971</v>
      </c>
      <c r="F3682" s="49">
        <v>9000</v>
      </c>
      <c r="G3682" s="77" t="str">
        <f>"DAXON PETROLEUM"</f>
        <v>DAXON PETROLEUM</v>
      </c>
      <c r="H3682" s="14" t="s">
        <v>5601</v>
      </c>
      <c r="I3682" s="14" t="s">
        <v>2458</v>
      </c>
      <c r="J3682" s="33" t="s">
        <v>7110</v>
      </c>
      <c r="K3682" s="33" t="s">
        <v>9935</v>
      </c>
      <c r="L3682" s="53" t="str">
        <f t="shared" si="59"/>
        <v>هند</v>
      </c>
      <c r="M3682" s="68" t="str">
        <f t="shared" si="57"/>
        <v>بشكه</v>
      </c>
      <c r="N3682" s="53" t="str">
        <f t="shared" si="58"/>
        <v>منطقه ويژه اقتصادي شهيد رجايي</v>
      </c>
      <c r="O3682" s="53">
        <v>50100</v>
      </c>
      <c r="P3682" s="198" t="s">
        <v>7603</v>
      </c>
    </row>
    <row r="3683" spans="1:16" ht="18.75" hidden="1">
      <c r="A3683" s="50" t="str">
        <f>"50100-9509166"</f>
        <v>50100-9509166</v>
      </c>
      <c r="B3683" s="50" t="str">
        <f t="shared" si="56"/>
        <v>96/09/01</v>
      </c>
      <c r="C3683" s="50" t="s">
        <v>9905</v>
      </c>
      <c r="D3683" s="12" t="s">
        <v>9813</v>
      </c>
      <c r="E3683" s="12" t="s">
        <v>4971</v>
      </c>
      <c r="F3683" s="49">
        <v>45878</v>
      </c>
      <c r="G3683" s="77" t="str">
        <f>"Elixir General Trading FZE"</f>
        <v>Elixir General Trading FZE</v>
      </c>
      <c r="H3683" s="14" t="s">
        <v>5601</v>
      </c>
      <c r="I3683" s="14" t="s">
        <v>2458</v>
      </c>
      <c r="J3683" s="33" t="s">
        <v>7110</v>
      </c>
      <c r="K3683" s="33" t="s">
        <v>9935</v>
      </c>
      <c r="L3683" s="53" t="str">
        <f t="shared" si="59"/>
        <v>هند</v>
      </c>
      <c r="M3683" s="68" t="str">
        <f t="shared" si="57"/>
        <v>بشكه</v>
      </c>
      <c r="N3683" s="53" t="str">
        <f t="shared" si="58"/>
        <v>منطقه ويژه اقتصادي شهيد رجايي</v>
      </c>
      <c r="O3683" s="53">
        <v>50100</v>
      </c>
      <c r="P3683" s="198" t="s">
        <v>5858</v>
      </c>
    </row>
    <row r="3684" spans="1:16" ht="18.75" hidden="1">
      <c r="A3684" s="50" t="str">
        <f>"50100-9509166"</f>
        <v>50100-9509166</v>
      </c>
      <c r="B3684" s="50" t="str">
        <f t="shared" si="56"/>
        <v>96/09/01</v>
      </c>
      <c r="C3684" s="50" t="s">
        <v>9938</v>
      </c>
      <c r="D3684" s="12" t="s">
        <v>9819</v>
      </c>
      <c r="E3684" s="12" t="s">
        <v>4971</v>
      </c>
      <c r="F3684" s="49">
        <v>448387</v>
      </c>
      <c r="G3684" s="77" t="str">
        <f>"Elixir General Trading FZE"</f>
        <v>Elixir General Trading FZE</v>
      </c>
      <c r="H3684" s="14" t="s">
        <v>5601</v>
      </c>
      <c r="I3684" s="14" t="s">
        <v>2458</v>
      </c>
      <c r="J3684" s="33" t="s">
        <v>7110</v>
      </c>
      <c r="K3684" s="33" t="s">
        <v>9935</v>
      </c>
      <c r="L3684" s="53" t="str">
        <f t="shared" si="59"/>
        <v>هند</v>
      </c>
      <c r="M3684" s="68" t="str">
        <f t="shared" si="57"/>
        <v>بشكه</v>
      </c>
      <c r="N3684" s="53" t="str">
        <f t="shared" si="58"/>
        <v>منطقه ويژه اقتصادي شهيد رجايي</v>
      </c>
      <c r="O3684" s="53">
        <v>50100</v>
      </c>
      <c r="P3684" s="198" t="s">
        <v>5858</v>
      </c>
    </row>
    <row r="3685" spans="1:16" ht="18.75" hidden="1">
      <c r="A3685" s="50" t="str">
        <f>"50100-9509470"</f>
        <v>50100-9509470</v>
      </c>
      <c r="B3685" s="50" t="str">
        <f t="shared" si="56"/>
        <v>96/09/01</v>
      </c>
      <c r="C3685" s="50" t="s">
        <v>9939</v>
      </c>
      <c r="D3685" s="12" t="s">
        <v>9827</v>
      </c>
      <c r="E3685" s="12" t="s">
        <v>4971</v>
      </c>
      <c r="F3685" s="49">
        <v>445000</v>
      </c>
      <c r="G3685" s="77" t="str">
        <f>"Elixir General Trading FZE"</f>
        <v>Elixir General Trading FZE</v>
      </c>
      <c r="H3685" s="14" t="s">
        <v>5601</v>
      </c>
      <c r="I3685" s="14" t="s">
        <v>2458</v>
      </c>
      <c r="J3685" s="33" t="s">
        <v>7110</v>
      </c>
      <c r="K3685" s="33" t="s">
        <v>9935</v>
      </c>
      <c r="L3685" s="53" t="str">
        <f t="shared" si="59"/>
        <v>هند</v>
      </c>
      <c r="M3685" s="68" t="str">
        <f t="shared" si="57"/>
        <v>بشكه</v>
      </c>
      <c r="N3685" s="53" t="str">
        <f t="shared" si="58"/>
        <v>منطقه ويژه اقتصادي شهيد رجايي</v>
      </c>
      <c r="O3685" s="53">
        <v>50100</v>
      </c>
      <c r="P3685" s="198" t="s">
        <v>5858</v>
      </c>
    </row>
    <row r="3686" spans="1:16" ht="18.75" hidden="1">
      <c r="A3686" s="50" t="str">
        <f>"50100-9509470"</f>
        <v>50100-9509470</v>
      </c>
      <c r="B3686" s="50" t="str">
        <f t="shared" si="56"/>
        <v>96/09/01</v>
      </c>
      <c r="C3686" s="50" t="s">
        <v>9938</v>
      </c>
      <c r="D3686" s="12" t="s">
        <v>9819</v>
      </c>
      <c r="E3686" s="12" t="s">
        <v>4971</v>
      </c>
      <c r="F3686" s="49">
        <v>29616</v>
      </c>
      <c r="G3686" s="77" t="str">
        <f>"Elixir General Trading FZE"</f>
        <v>Elixir General Trading FZE</v>
      </c>
      <c r="H3686" s="14" t="s">
        <v>5601</v>
      </c>
      <c r="I3686" s="14" t="s">
        <v>2458</v>
      </c>
      <c r="J3686" s="33" t="s">
        <v>7110</v>
      </c>
      <c r="K3686" s="33" t="s">
        <v>9935</v>
      </c>
      <c r="L3686" s="53" t="str">
        <f t="shared" si="59"/>
        <v>هند</v>
      </c>
      <c r="M3686" s="68" t="str">
        <f t="shared" si="57"/>
        <v>بشكه</v>
      </c>
      <c r="N3686" s="53" t="str">
        <f t="shared" si="58"/>
        <v>منطقه ويژه اقتصادي شهيد رجايي</v>
      </c>
      <c r="O3686" s="53">
        <v>50100</v>
      </c>
      <c r="P3686" s="198" t="s">
        <v>5858</v>
      </c>
    </row>
    <row r="3687" spans="1:16" ht="18.75" hidden="1">
      <c r="A3687" s="50" t="str">
        <f t="shared" ref="A3687:A3692" si="60">"50100-9510657"</f>
        <v>50100-9510657</v>
      </c>
      <c r="B3687" s="50" t="str">
        <f t="shared" ref="B3687:B3692" si="61">"96/09/02"</f>
        <v>96/09/02</v>
      </c>
      <c r="C3687" s="50" t="s">
        <v>9940</v>
      </c>
      <c r="D3687" s="12" t="s">
        <v>6410</v>
      </c>
      <c r="E3687" s="12" t="s">
        <v>4971</v>
      </c>
      <c r="F3687" s="49">
        <v>100000</v>
      </c>
      <c r="G3687" s="77" t="str">
        <f>"LLC Sebco Bitumen"</f>
        <v>LLC Sebco Bitumen</v>
      </c>
      <c r="H3687" s="14" t="s">
        <v>5601</v>
      </c>
      <c r="I3687" s="14" t="s">
        <v>2458</v>
      </c>
      <c r="J3687" s="33" t="s">
        <v>7110</v>
      </c>
      <c r="K3687" s="33" t="s">
        <v>9935</v>
      </c>
      <c r="L3687" s="53" t="str">
        <f t="shared" ref="L3687:L3692" si="62">"جيبوتي"</f>
        <v>جيبوتي</v>
      </c>
      <c r="M3687" s="68" t="str">
        <f t="shared" si="57"/>
        <v>بشكه</v>
      </c>
      <c r="N3687" s="53" t="str">
        <f t="shared" si="58"/>
        <v>منطقه ويژه اقتصادي شهيد رجايي</v>
      </c>
      <c r="O3687" s="53">
        <v>50100</v>
      </c>
      <c r="P3687" s="198" t="s">
        <v>7231</v>
      </c>
    </row>
    <row r="3688" spans="1:16" ht="18.75" hidden="1">
      <c r="A3688" s="50" t="str">
        <f t="shared" si="60"/>
        <v>50100-9510657</v>
      </c>
      <c r="B3688" s="50" t="str">
        <f t="shared" si="61"/>
        <v>96/09/02</v>
      </c>
      <c r="C3688" s="50" t="s">
        <v>9849</v>
      </c>
      <c r="D3688" s="12" t="s">
        <v>8833</v>
      </c>
      <c r="E3688" s="12" t="s">
        <v>4971</v>
      </c>
      <c r="F3688" s="49">
        <v>329532</v>
      </c>
      <c r="G3688" s="77" t="str">
        <f>"DAXON PETROLEUM"</f>
        <v>DAXON PETROLEUM</v>
      </c>
      <c r="H3688" s="14" t="s">
        <v>5601</v>
      </c>
      <c r="I3688" s="14" t="s">
        <v>2458</v>
      </c>
      <c r="J3688" s="33" t="s">
        <v>7110</v>
      </c>
      <c r="K3688" s="33" t="s">
        <v>9935</v>
      </c>
      <c r="L3688" s="53" t="str">
        <f t="shared" si="62"/>
        <v>جيبوتي</v>
      </c>
      <c r="M3688" s="68" t="str">
        <f t="shared" si="57"/>
        <v>بشكه</v>
      </c>
      <c r="N3688" s="53" t="str">
        <f t="shared" si="58"/>
        <v>منطقه ويژه اقتصادي شهيد رجايي</v>
      </c>
      <c r="O3688" s="53">
        <v>50100</v>
      </c>
      <c r="P3688" s="198" t="s">
        <v>8725</v>
      </c>
    </row>
    <row r="3689" spans="1:16" ht="18.75" hidden="1">
      <c r="A3689" s="50" t="str">
        <f t="shared" si="60"/>
        <v>50100-9510657</v>
      </c>
      <c r="B3689" s="50" t="str">
        <f t="shared" si="61"/>
        <v>96/09/02</v>
      </c>
      <c r="C3689" s="50" t="s">
        <v>9858</v>
      </c>
      <c r="D3689" s="12" t="s">
        <v>8830</v>
      </c>
      <c r="E3689" s="12" t="s">
        <v>4971</v>
      </c>
      <c r="F3689" s="49">
        <v>9148</v>
      </c>
      <c r="G3689" s="77" t="str">
        <f>"DAXON PETROLEUM"</f>
        <v>DAXON PETROLEUM</v>
      </c>
      <c r="H3689" s="14" t="s">
        <v>5601</v>
      </c>
      <c r="I3689" s="14" t="s">
        <v>2458</v>
      </c>
      <c r="J3689" s="33" t="s">
        <v>7110</v>
      </c>
      <c r="K3689" s="33" t="s">
        <v>9935</v>
      </c>
      <c r="L3689" s="53" t="str">
        <f t="shared" si="62"/>
        <v>جيبوتي</v>
      </c>
      <c r="M3689" s="68" t="str">
        <f t="shared" si="57"/>
        <v>بشكه</v>
      </c>
      <c r="N3689" s="53" t="str">
        <f t="shared" si="58"/>
        <v>منطقه ويژه اقتصادي شهيد رجايي</v>
      </c>
      <c r="O3689" s="53">
        <v>50100</v>
      </c>
      <c r="P3689" s="198" t="s">
        <v>8748</v>
      </c>
    </row>
    <row r="3690" spans="1:16" ht="18.75" hidden="1">
      <c r="A3690" s="50" t="str">
        <f t="shared" si="60"/>
        <v>50100-9510657</v>
      </c>
      <c r="B3690" s="50" t="str">
        <f t="shared" si="61"/>
        <v>96/09/02</v>
      </c>
      <c r="C3690" s="50" t="s">
        <v>9941</v>
      </c>
      <c r="D3690" s="12" t="s">
        <v>6395</v>
      </c>
      <c r="E3690" s="12" t="s">
        <v>4971</v>
      </c>
      <c r="F3690" s="49">
        <v>240349</v>
      </c>
      <c r="G3690" s="77" t="str">
        <f>"LLC Sebco Bitumen"</f>
        <v>LLC Sebco Bitumen</v>
      </c>
      <c r="H3690" s="14" t="s">
        <v>5601</v>
      </c>
      <c r="I3690" s="14" t="s">
        <v>2458</v>
      </c>
      <c r="J3690" s="33" t="s">
        <v>7110</v>
      </c>
      <c r="K3690" s="33" t="s">
        <v>9935</v>
      </c>
      <c r="L3690" s="53" t="str">
        <f t="shared" si="62"/>
        <v>جيبوتي</v>
      </c>
      <c r="M3690" s="68" t="str">
        <f t="shared" si="57"/>
        <v>بشكه</v>
      </c>
      <c r="N3690" s="53" t="str">
        <f t="shared" si="58"/>
        <v>منطقه ويژه اقتصادي شهيد رجايي</v>
      </c>
      <c r="O3690" s="53">
        <v>50100</v>
      </c>
      <c r="P3690" s="198" t="s">
        <v>7231</v>
      </c>
    </row>
    <row r="3691" spans="1:16" ht="18.75" hidden="1">
      <c r="A3691" s="50" t="str">
        <f t="shared" si="60"/>
        <v>50100-9510657</v>
      </c>
      <c r="B3691" s="50" t="str">
        <f t="shared" si="61"/>
        <v>96/09/02</v>
      </c>
      <c r="C3691" s="50" t="s">
        <v>9942</v>
      </c>
      <c r="D3691" s="12" t="s">
        <v>6332</v>
      </c>
      <c r="E3691" s="12" t="s">
        <v>4971</v>
      </c>
      <c r="F3691" s="49">
        <v>300000</v>
      </c>
      <c r="G3691" s="77" t="str">
        <f>"LLC Sebco Bitumen"</f>
        <v>LLC Sebco Bitumen</v>
      </c>
      <c r="H3691" s="14" t="s">
        <v>5601</v>
      </c>
      <c r="I3691" s="14" t="s">
        <v>2458</v>
      </c>
      <c r="J3691" s="33" t="s">
        <v>7110</v>
      </c>
      <c r="K3691" s="33" t="s">
        <v>9935</v>
      </c>
      <c r="L3691" s="53" t="str">
        <f t="shared" si="62"/>
        <v>جيبوتي</v>
      </c>
      <c r="M3691" s="68" t="str">
        <f t="shared" si="57"/>
        <v>بشكه</v>
      </c>
      <c r="N3691" s="53" t="str">
        <f t="shared" si="58"/>
        <v>منطقه ويژه اقتصادي شهيد رجايي</v>
      </c>
      <c r="O3691" s="53">
        <v>50100</v>
      </c>
      <c r="P3691" s="198" t="s">
        <v>7231</v>
      </c>
    </row>
    <row r="3692" spans="1:16" ht="18.75" hidden="1">
      <c r="A3692" s="50" t="str">
        <f t="shared" si="60"/>
        <v>50100-9510657</v>
      </c>
      <c r="B3692" s="50" t="str">
        <f t="shared" si="61"/>
        <v>96/09/02</v>
      </c>
      <c r="C3692" s="50" t="s">
        <v>9943</v>
      </c>
      <c r="D3692" s="12" t="s">
        <v>6361</v>
      </c>
      <c r="E3692" s="12" t="s">
        <v>4971</v>
      </c>
      <c r="F3692" s="49">
        <v>120302</v>
      </c>
      <c r="G3692" s="77" t="str">
        <f>"LLC Sebco Bitumen"</f>
        <v>LLC Sebco Bitumen</v>
      </c>
      <c r="H3692" s="14" t="s">
        <v>5601</v>
      </c>
      <c r="I3692" s="14" t="s">
        <v>2458</v>
      </c>
      <c r="J3692" s="33" t="s">
        <v>7110</v>
      </c>
      <c r="K3692" s="33" t="s">
        <v>9935</v>
      </c>
      <c r="L3692" s="53" t="str">
        <f t="shared" si="62"/>
        <v>جيبوتي</v>
      </c>
      <c r="M3692" s="68" t="str">
        <f t="shared" si="57"/>
        <v>بشكه</v>
      </c>
      <c r="N3692" s="53" t="str">
        <f t="shared" si="58"/>
        <v>منطقه ويژه اقتصادي شهيد رجايي</v>
      </c>
      <c r="O3692" s="53">
        <v>50100</v>
      </c>
      <c r="P3692" s="198" t="s">
        <v>7231</v>
      </c>
    </row>
    <row r="3693" spans="1:16" ht="18.75" hidden="1">
      <c r="A3693" s="50" t="str">
        <f>"50100-9517950"</f>
        <v>50100-9517950</v>
      </c>
      <c r="B3693" s="50" t="str">
        <f>"96/09/04"</f>
        <v>96/09/04</v>
      </c>
      <c r="C3693" s="50" t="s">
        <v>9936</v>
      </c>
      <c r="D3693" s="12" t="s">
        <v>9830</v>
      </c>
      <c r="E3693" s="12" t="s">
        <v>4971</v>
      </c>
      <c r="F3693" s="49">
        <v>492225</v>
      </c>
      <c r="G3693" s="77" t="str">
        <f>"SHINING GREEN STAR FZE"</f>
        <v>SHINING GREEN STAR FZE</v>
      </c>
      <c r="H3693" s="14" t="s">
        <v>5601</v>
      </c>
      <c r="I3693" s="14" t="s">
        <v>2458</v>
      </c>
      <c r="J3693" s="33" t="s">
        <v>7110</v>
      </c>
      <c r="K3693" s="33" t="s">
        <v>9935</v>
      </c>
      <c r="L3693" s="53" t="str">
        <f>"بنگلادش"</f>
        <v>بنگلادش</v>
      </c>
      <c r="M3693" s="68" t="str">
        <f t="shared" si="57"/>
        <v>بشكه</v>
      </c>
      <c r="N3693" s="53" t="str">
        <f t="shared" si="58"/>
        <v>منطقه ويژه اقتصادي شهيد رجايي</v>
      </c>
      <c r="O3693" s="53">
        <v>50100</v>
      </c>
      <c r="P3693" s="198" t="s">
        <v>9767</v>
      </c>
    </row>
    <row r="3694" spans="1:16" ht="18.75" hidden="1">
      <c r="A3694" s="50" t="str">
        <f>"50100-9526036"</f>
        <v>50100-9526036</v>
      </c>
      <c r="B3694" s="50" t="str">
        <f t="shared" ref="B3694:B3703" si="63">"96/09/05"</f>
        <v>96/09/05</v>
      </c>
      <c r="C3694" s="50" t="s">
        <v>9944</v>
      </c>
      <c r="D3694" s="12" t="s">
        <v>9827</v>
      </c>
      <c r="E3694" s="12" t="s">
        <v>4971</v>
      </c>
      <c r="F3694" s="49">
        <v>498620</v>
      </c>
      <c r="G3694" s="77" t="str">
        <f>"DAXON PETROLEUM"</f>
        <v>DAXON PETROLEUM</v>
      </c>
      <c r="H3694" s="14" t="s">
        <v>5601</v>
      </c>
      <c r="I3694" s="14" t="s">
        <v>2458</v>
      </c>
      <c r="J3694" s="33" t="s">
        <v>7110</v>
      </c>
      <c r="K3694" s="33" t="s">
        <v>9935</v>
      </c>
      <c r="L3694" s="53" t="str">
        <f>"سودان"</f>
        <v>سودان</v>
      </c>
      <c r="M3694" s="68" t="str">
        <f t="shared" si="57"/>
        <v>بشكه</v>
      </c>
      <c r="N3694" s="53" t="str">
        <f t="shared" si="58"/>
        <v>منطقه ويژه اقتصادي شهيد رجايي</v>
      </c>
      <c r="O3694" s="53">
        <v>50100</v>
      </c>
      <c r="P3694" s="198" t="s">
        <v>9768</v>
      </c>
    </row>
    <row r="3695" spans="1:16" ht="18.75" hidden="1">
      <c r="A3695" s="50" t="str">
        <f>"50100-9526036"</f>
        <v>50100-9526036</v>
      </c>
      <c r="B3695" s="50" t="str">
        <f t="shared" si="63"/>
        <v>96/09/05</v>
      </c>
      <c r="C3695" s="50" t="s">
        <v>9945</v>
      </c>
      <c r="D3695" s="12" t="s">
        <v>9933</v>
      </c>
      <c r="E3695" s="12" t="s">
        <v>4971</v>
      </c>
      <c r="F3695" s="49">
        <v>500000</v>
      </c>
      <c r="G3695" s="77" t="str">
        <f>"DAXON PETROLEUM"</f>
        <v>DAXON PETROLEUM</v>
      </c>
      <c r="H3695" s="14" t="s">
        <v>5601</v>
      </c>
      <c r="I3695" s="14" t="s">
        <v>2458</v>
      </c>
      <c r="J3695" s="33" t="s">
        <v>7110</v>
      </c>
      <c r="K3695" s="33" t="s">
        <v>9935</v>
      </c>
      <c r="L3695" s="53" t="str">
        <f>"سودان"</f>
        <v>سودان</v>
      </c>
      <c r="M3695" s="68" t="str">
        <f t="shared" si="57"/>
        <v>بشكه</v>
      </c>
      <c r="N3695" s="53" t="str">
        <f t="shared" si="58"/>
        <v>منطقه ويژه اقتصادي شهيد رجايي</v>
      </c>
      <c r="O3695" s="53">
        <v>50100</v>
      </c>
      <c r="P3695" s="198" t="s">
        <v>9784</v>
      </c>
    </row>
    <row r="3696" spans="1:16" ht="18.75" hidden="1">
      <c r="A3696" s="50" t="str">
        <f>"50100-9526036"</f>
        <v>50100-9526036</v>
      </c>
      <c r="B3696" s="50" t="str">
        <f t="shared" si="63"/>
        <v>96/09/05</v>
      </c>
      <c r="C3696" s="50" t="s">
        <v>9946</v>
      </c>
      <c r="D3696" s="12" t="s">
        <v>9813</v>
      </c>
      <c r="E3696" s="12" t="s">
        <v>4971</v>
      </c>
      <c r="F3696" s="49">
        <v>500000</v>
      </c>
      <c r="G3696" s="77" t="str">
        <f>"DAXON PETROLEUM"</f>
        <v>DAXON PETROLEUM</v>
      </c>
      <c r="H3696" s="14" t="s">
        <v>5601</v>
      </c>
      <c r="I3696" s="14" t="s">
        <v>2458</v>
      </c>
      <c r="J3696" s="33" t="s">
        <v>7110</v>
      </c>
      <c r="K3696" s="33" t="s">
        <v>9935</v>
      </c>
      <c r="L3696" s="53" t="str">
        <f>"سودان"</f>
        <v>سودان</v>
      </c>
      <c r="M3696" s="68" t="str">
        <f t="shared" si="57"/>
        <v>بشكه</v>
      </c>
      <c r="N3696" s="53" t="str">
        <f t="shared" si="58"/>
        <v>منطقه ويژه اقتصادي شهيد رجايي</v>
      </c>
      <c r="O3696" s="53">
        <v>50100</v>
      </c>
      <c r="P3696" s="198" t="s">
        <v>9768</v>
      </c>
    </row>
    <row r="3697" spans="1:16" ht="18.75" hidden="1">
      <c r="A3697" s="50" t="str">
        <f>"50100-9526036"</f>
        <v>50100-9526036</v>
      </c>
      <c r="B3697" s="50" t="str">
        <f t="shared" si="63"/>
        <v>96/09/05</v>
      </c>
      <c r="C3697" s="50" t="s">
        <v>9877</v>
      </c>
      <c r="D3697" s="12" t="s">
        <v>9723</v>
      </c>
      <c r="E3697" s="12" t="s">
        <v>4971</v>
      </c>
      <c r="F3697" s="49">
        <v>1380</v>
      </c>
      <c r="G3697" s="77" t="str">
        <f>"DAXON PETROLEUM"</f>
        <v>DAXON PETROLEUM</v>
      </c>
      <c r="H3697" s="14" t="s">
        <v>5601</v>
      </c>
      <c r="I3697" s="14" t="s">
        <v>2458</v>
      </c>
      <c r="J3697" s="33" t="s">
        <v>7110</v>
      </c>
      <c r="K3697" s="33" t="s">
        <v>9935</v>
      </c>
      <c r="L3697" s="53" t="str">
        <f>"سودان"</f>
        <v>سودان</v>
      </c>
      <c r="M3697" s="68" t="str">
        <f t="shared" si="57"/>
        <v>بشكه</v>
      </c>
      <c r="N3697" s="53" t="str">
        <f t="shared" si="58"/>
        <v>منطقه ويژه اقتصادي شهيد رجايي</v>
      </c>
      <c r="O3697" s="53">
        <v>50100</v>
      </c>
      <c r="P3697" s="198" t="s">
        <v>7118</v>
      </c>
    </row>
    <row r="3698" spans="1:16" ht="18.75" hidden="1">
      <c r="A3698" s="50" t="str">
        <f t="shared" ref="A3698:A3703" si="64">"50100-9527009"</f>
        <v>50100-9527009</v>
      </c>
      <c r="B3698" s="50" t="str">
        <f t="shared" si="63"/>
        <v>96/09/05</v>
      </c>
      <c r="C3698" s="50" t="s">
        <v>9947</v>
      </c>
      <c r="D3698" s="12" t="s">
        <v>6408</v>
      </c>
      <c r="E3698" s="12" t="s">
        <v>4971</v>
      </c>
      <c r="F3698" s="49">
        <v>150000</v>
      </c>
      <c r="G3698" s="77" t="str">
        <f t="shared" ref="G3698:G3703" si="65">"LLC Sebco Bitumen"</f>
        <v>LLC Sebco Bitumen</v>
      </c>
      <c r="H3698" s="14" t="s">
        <v>5601</v>
      </c>
      <c r="I3698" s="14" t="s">
        <v>2458</v>
      </c>
      <c r="J3698" s="33" t="s">
        <v>7110</v>
      </c>
      <c r="K3698" s="33" t="s">
        <v>9935</v>
      </c>
      <c r="L3698" s="53" t="str">
        <f t="shared" ref="L3698:L3703" si="66">" امارات متحده عربي"</f>
        <v xml:space="preserve"> امارات متحده عربي</v>
      </c>
      <c r="M3698" s="68" t="str">
        <f t="shared" si="57"/>
        <v>بشكه</v>
      </c>
      <c r="N3698" s="53" t="str">
        <f t="shared" si="58"/>
        <v>منطقه ويژه اقتصادي شهيد رجايي</v>
      </c>
      <c r="O3698" s="53">
        <v>50100</v>
      </c>
      <c r="P3698" s="198" t="s">
        <v>7175</v>
      </c>
    </row>
    <row r="3699" spans="1:16" ht="18.75" hidden="1">
      <c r="A3699" s="50" t="str">
        <f t="shared" si="64"/>
        <v>50100-9527009</v>
      </c>
      <c r="B3699" s="50" t="str">
        <f t="shared" si="63"/>
        <v>96/09/05</v>
      </c>
      <c r="C3699" s="50" t="s">
        <v>9948</v>
      </c>
      <c r="D3699" s="12" t="s">
        <v>6314</v>
      </c>
      <c r="E3699" s="12" t="s">
        <v>4971</v>
      </c>
      <c r="F3699" s="49">
        <v>12194</v>
      </c>
      <c r="G3699" s="77" t="str">
        <f t="shared" si="65"/>
        <v>LLC Sebco Bitumen</v>
      </c>
      <c r="H3699" s="14" t="s">
        <v>5601</v>
      </c>
      <c r="I3699" s="14" t="s">
        <v>2458</v>
      </c>
      <c r="J3699" s="33" t="s">
        <v>7110</v>
      </c>
      <c r="K3699" s="33" t="s">
        <v>9935</v>
      </c>
      <c r="L3699" s="53" t="str">
        <f t="shared" si="66"/>
        <v xml:space="preserve"> امارات متحده عربي</v>
      </c>
      <c r="M3699" s="68" t="str">
        <f t="shared" si="57"/>
        <v>بشكه</v>
      </c>
      <c r="N3699" s="53" t="str">
        <f t="shared" si="58"/>
        <v>منطقه ويژه اقتصادي شهيد رجايي</v>
      </c>
      <c r="O3699" s="53">
        <v>50100</v>
      </c>
      <c r="P3699" s="198" t="s">
        <v>7231</v>
      </c>
    </row>
    <row r="3700" spans="1:16" ht="18.75" hidden="1">
      <c r="A3700" s="50" t="str">
        <f t="shared" si="64"/>
        <v>50100-9527009</v>
      </c>
      <c r="B3700" s="50" t="str">
        <f t="shared" si="63"/>
        <v>96/09/05</v>
      </c>
      <c r="C3700" s="50" t="s">
        <v>9863</v>
      </c>
      <c r="D3700" s="12" t="s">
        <v>6412</v>
      </c>
      <c r="E3700" s="12" t="s">
        <v>4971</v>
      </c>
      <c r="F3700" s="49">
        <v>20737</v>
      </c>
      <c r="G3700" s="77" t="str">
        <f t="shared" si="65"/>
        <v>LLC Sebco Bitumen</v>
      </c>
      <c r="H3700" s="14" t="s">
        <v>5601</v>
      </c>
      <c r="I3700" s="14" t="s">
        <v>2458</v>
      </c>
      <c r="J3700" s="33" t="s">
        <v>7110</v>
      </c>
      <c r="K3700" s="33" t="s">
        <v>9935</v>
      </c>
      <c r="L3700" s="53" t="str">
        <f t="shared" si="66"/>
        <v xml:space="preserve"> امارات متحده عربي</v>
      </c>
      <c r="M3700" s="68" t="str">
        <f t="shared" si="57"/>
        <v>بشكه</v>
      </c>
      <c r="N3700" s="53" t="str">
        <f t="shared" si="58"/>
        <v>منطقه ويژه اقتصادي شهيد رجايي</v>
      </c>
      <c r="O3700" s="53">
        <v>50100</v>
      </c>
      <c r="P3700" s="198" t="s">
        <v>7231</v>
      </c>
    </row>
    <row r="3701" spans="1:16" ht="18.75" hidden="1">
      <c r="A3701" s="50" t="str">
        <f t="shared" si="64"/>
        <v>50100-9527009</v>
      </c>
      <c r="B3701" s="50" t="str">
        <f t="shared" si="63"/>
        <v>96/09/05</v>
      </c>
      <c r="C3701" s="50" t="s">
        <v>9949</v>
      </c>
      <c r="D3701" s="12" t="s">
        <v>9847</v>
      </c>
      <c r="E3701" s="12" t="s">
        <v>4971</v>
      </c>
      <c r="F3701" s="49">
        <v>100000</v>
      </c>
      <c r="G3701" s="77" t="str">
        <f t="shared" si="65"/>
        <v>LLC Sebco Bitumen</v>
      </c>
      <c r="H3701" s="14" t="s">
        <v>5601</v>
      </c>
      <c r="I3701" s="14" t="s">
        <v>2458</v>
      </c>
      <c r="J3701" s="33" t="s">
        <v>7110</v>
      </c>
      <c r="K3701" s="33" t="s">
        <v>9935</v>
      </c>
      <c r="L3701" s="53" t="str">
        <f t="shared" si="66"/>
        <v xml:space="preserve"> امارات متحده عربي</v>
      </c>
      <c r="M3701" s="68" t="str">
        <f t="shared" si="57"/>
        <v>بشكه</v>
      </c>
      <c r="N3701" s="53" t="str">
        <f t="shared" si="58"/>
        <v>منطقه ويژه اقتصادي شهيد رجايي</v>
      </c>
      <c r="O3701" s="53">
        <v>50100</v>
      </c>
      <c r="P3701" s="198" t="s">
        <v>7231</v>
      </c>
    </row>
    <row r="3702" spans="1:16" ht="18.75" hidden="1">
      <c r="A3702" s="50" t="str">
        <f t="shared" si="64"/>
        <v>50100-9527009</v>
      </c>
      <c r="B3702" s="50" t="str">
        <f t="shared" si="63"/>
        <v>96/09/05</v>
      </c>
      <c r="C3702" s="50" t="s">
        <v>9950</v>
      </c>
      <c r="D3702" s="12" t="s">
        <v>6361</v>
      </c>
      <c r="E3702" s="12" t="s">
        <v>4971</v>
      </c>
      <c r="F3702" s="49">
        <v>150000</v>
      </c>
      <c r="G3702" s="77" t="str">
        <f t="shared" si="65"/>
        <v>LLC Sebco Bitumen</v>
      </c>
      <c r="H3702" s="14" t="s">
        <v>5601</v>
      </c>
      <c r="I3702" s="14" t="s">
        <v>2458</v>
      </c>
      <c r="J3702" s="33" t="s">
        <v>7110</v>
      </c>
      <c r="K3702" s="33" t="s">
        <v>9935</v>
      </c>
      <c r="L3702" s="53" t="str">
        <f t="shared" si="66"/>
        <v xml:space="preserve"> امارات متحده عربي</v>
      </c>
      <c r="M3702" s="68" t="str">
        <f t="shared" si="57"/>
        <v>بشكه</v>
      </c>
      <c r="N3702" s="53" t="str">
        <f t="shared" si="58"/>
        <v>منطقه ويژه اقتصادي شهيد رجايي</v>
      </c>
      <c r="O3702" s="53">
        <v>50100</v>
      </c>
      <c r="P3702" s="198" t="s">
        <v>7231</v>
      </c>
    </row>
    <row r="3703" spans="1:16" ht="18.75" hidden="1">
      <c r="A3703" s="50" t="str">
        <f t="shared" si="64"/>
        <v>50100-9527009</v>
      </c>
      <c r="B3703" s="50" t="str">
        <f t="shared" si="63"/>
        <v>96/09/05</v>
      </c>
      <c r="C3703" s="50" t="s">
        <v>9943</v>
      </c>
      <c r="D3703" s="12" t="s">
        <v>6361</v>
      </c>
      <c r="E3703" s="12" t="s">
        <v>4971</v>
      </c>
      <c r="F3703" s="49">
        <v>67569</v>
      </c>
      <c r="G3703" s="77" t="str">
        <f t="shared" si="65"/>
        <v>LLC Sebco Bitumen</v>
      </c>
      <c r="H3703" s="14" t="s">
        <v>5601</v>
      </c>
      <c r="I3703" s="14" t="s">
        <v>2458</v>
      </c>
      <c r="J3703" s="33" t="s">
        <v>7110</v>
      </c>
      <c r="K3703" s="33" t="s">
        <v>9935</v>
      </c>
      <c r="L3703" s="53" t="str">
        <f t="shared" si="66"/>
        <v xml:space="preserve"> امارات متحده عربي</v>
      </c>
      <c r="M3703" s="68" t="str">
        <f t="shared" si="57"/>
        <v>بشكه</v>
      </c>
      <c r="N3703" s="53" t="str">
        <f t="shared" si="58"/>
        <v>منطقه ويژه اقتصادي شهيد رجايي</v>
      </c>
      <c r="O3703" s="53">
        <v>50100</v>
      </c>
      <c r="P3703" s="198" t="s">
        <v>7231</v>
      </c>
    </row>
    <row r="3704" spans="1:16" ht="18.75" hidden="1">
      <c r="A3704" s="50" t="str">
        <f>"50100-9533244"</f>
        <v>50100-9533244</v>
      </c>
      <c r="B3704" s="50" t="str">
        <f>"96/09/07"</f>
        <v>96/09/07</v>
      </c>
      <c r="C3704" s="50" t="s">
        <v>9951</v>
      </c>
      <c r="D3704" s="12" t="s">
        <v>9952</v>
      </c>
      <c r="E3704" s="12" t="s">
        <v>4971</v>
      </c>
      <c r="F3704" s="49">
        <v>539720</v>
      </c>
      <c r="G3704" s="77" t="str">
        <f t="shared" ref="G3704:G3716" si="67">"AL MASAR PETROLUME L.L.C"</f>
        <v>AL MASAR PETROLUME L.L.C</v>
      </c>
      <c r="H3704" s="14" t="s">
        <v>5601</v>
      </c>
      <c r="I3704" s="14" t="s">
        <v>2458</v>
      </c>
      <c r="J3704" s="33" t="e">
        <f>VLOOKUP(C3704,شرکتها!A:B,2,FALSE)</f>
        <v>#N/A</v>
      </c>
      <c r="K3704" s="33" t="s">
        <v>9935</v>
      </c>
      <c r="L3704" s="53" t="str">
        <f>"عمان"</f>
        <v>عمان</v>
      </c>
      <c r="M3704" s="68" t="str">
        <f>"فله"</f>
        <v>فله</v>
      </c>
      <c r="N3704" s="53" t="str">
        <f t="shared" si="58"/>
        <v>منطقه ويژه اقتصادي شهيد رجايي</v>
      </c>
      <c r="O3704" s="53">
        <v>50100</v>
      </c>
      <c r="P3704" s="198" t="s">
        <v>9766</v>
      </c>
    </row>
    <row r="3705" spans="1:16" ht="18.75" hidden="1">
      <c r="A3705" s="50" t="str">
        <f>"50100-9533244"</f>
        <v>50100-9533244</v>
      </c>
      <c r="B3705" s="50" t="str">
        <f>"96/09/07"</f>
        <v>96/09/07</v>
      </c>
      <c r="C3705" s="50" t="s">
        <v>9953</v>
      </c>
      <c r="D3705" s="12" t="s">
        <v>9952</v>
      </c>
      <c r="E3705" s="12" t="s">
        <v>4971</v>
      </c>
      <c r="F3705" s="49">
        <v>430000</v>
      </c>
      <c r="G3705" s="77" t="str">
        <f t="shared" si="67"/>
        <v>AL MASAR PETROLUME L.L.C</v>
      </c>
      <c r="H3705" s="14" t="s">
        <v>5601</v>
      </c>
      <c r="I3705" s="14" t="s">
        <v>2458</v>
      </c>
      <c r="J3705" s="33" t="e">
        <f>VLOOKUP(C3705,شرکتها!A:B,2,FALSE)</f>
        <v>#N/A</v>
      </c>
      <c r="K3705" s="33" t="s">
        <v>9935</v>
      </c>
      <c r="L3705" s="53" t="str">
        <f>"عمان"</f>
        <v>عمان</v>
      </c>
      <c r="M3705" s="68" t="str">
        <f>"فله"</f>
        <v>فله</v>
      </c>
      <c r="N3705" s="53" t="str">
        <f t="shared" si="58"/>
        <v>منطقه ويژه اقتصادي شهيد رجايي</v>
      </c>
      <c r="O3705" s="53">
        <v>50100</v>
      </c>
      <c r="P3705" s="198" t="s">
        <v>8706</v>
      </c>
    </row>
    <row r="3706" spans="1:16" ht="18.75" hidden="1">
      <c r="A3706" s="50" t="str">
        <f>"50100-9536840"</f>
        <v>50100-9536840</v>
      </c>
      <c r="B3706" s="50" t="str">
        <f t="shared" ref="B3706:B3721" si="68">"96/09/08"</f>
        <v>96/09/08</v>
      </c>
      <c r="C3706" s="50" t="s">
        <v>9954</v>
      </c>
      <c r="D3706" s="12" t="s">
        <v>9813</v>
      </c>
      <c r="E3706" s="12" t="s">
        <v>4971</v>
      </c>
      <c r="F3706" s="49">
        <v>676893</v>
      </c>
      <c r="G3706" s="77" t="str">
        <f t="shared" si="67"/>
        <v>AL MASAR PETROLUME L.L.C</v>
      </c>
      <c r="H3706" s="14" t="s">
        <v>5601</v>
      </c>
      <c r="I3706" s="14" t="s">
        <v>2458</v>
      </c>
      <c r="J3706" s="33" t="e">
        <f>VLOOKUP(C3706,شرکتها!A:B,2,FALSE)</f>
        <v>#N/A</v>
      </c>
      <c r="K3706" s="33" t="s">
        <v>9935</v>
      </c>
      <c r="L3706" s="53" t="str">
        <f t="shared" ref="L3706:L3716" si="69">"کنيا"</f>
        <v>کنيا</v>
      </c>
      <c r="M3706" s="68" t="str">
        <f t="shared" ref="M3706:M3721" si="70">"بشكه"</f>
        <v>بشكه</v>
      </c>
      <c r="N3706" s="53" t="str">
        <f t="shared" si="58"/>
        <v>منطقه ويژه اقتصادي شهيد رجايي</v>
      </c>
      <c r="O3706" s="53">
        <v>50100</v>
      </c>
      <c r="P3706" s="198" t="s">
        <v>9761</v>
      </c>
    </row>
    <row r="3707" spans="1:16" ht="18.75" hidden="1">
      <c r="A3707" s="50" t="str">
        <f>"50100-9536901"</f>
        <v>50100-9536901</v>
      </c>
      <c r="B3707" s="50" t="str">
        <f t="shared" si="68"/>
        <v>96/09/08</v>
      </c>
      <c r="C3707" s="50" t="s">
        <v>9954</v>
      </c>
      <c r="D3707" s="12" t="s">
        <v>9813</v>
      </c>
      <c r="E3707" s="12" t="s">
        <v>4971</v>
      </c>
      <c r="F3707" s="49">
        <v>517620</v>
      </c>
      <c r="G3707" s="77" t="str">
        <f t="shared" si="67"/>
        <v>AL MASAR PETROLUME L.L.C</v>
      </c>
      <c r="H3707" s="14" t="s">
        <v>5601</v>
      </c>
      <c r="I3707" s="14" t="s">
        <v>2458</v>
      </c>
      <c r="J3707" s="33" t="e">
        <f>VLOOKUP(C3707,شرکتها!A:B,2,FALSE)</f>
        <v>#N/A</v>
      </c>
      <c r="K3707" s="33" t="s">
        <v>9935</v>
      </c>
      <c r="L3707" s="53" t="str">
        <f t="shared" si="69"/>
        <v>کنيا</v>
      </c>
      <c r="M3707" s="68" t="str">
        <f t="shared" si="70"/>
        <v>بشكه</v>
      </c>
      <c r="N3707" s="53" t="str">
        <f t="shared" si="58"/>
        <v>منطقه ويژه اقتصادي شهيد رجايي</v>
      </c>
      <c r="O3707" s="53">
        <v>50100</v>
      </c>
      <c r="P3707" s="198" t="s">
        <v>9761</v>
      </c>
    </row>
    <row r="3708" spans="1:16" ht="18.75" hidden="1">
      <c r="A3708" s="50" t="str">
        <f>"50100-9536975"</f>
        <v>50100-9536975</v>
      </c>
      <c r="B3708" s="50" t="str">
        <f t="shared" si="68"/>
        <v>96/09/08</v>
      </c>
      <c r="C3708" s="50" t="s">
        <v>9954</v>
      </c>
      <c r="D3708" s="12" t="s">
        <v>9813</v>
      </c>
      <c r="E3708" s="12" t="s">
        <v>4971</v>
      </c>
      <c r="F3708" s="49">
        <v>557438</v>
      </c>
      <c r="G3708" s="77" t="str">
        <f t="shared" si="67"/>
        <v>AL MASAR PETROLUME L.L.C</v>
      </c>
      <c r="H3708" s="14" t="s">
        <v>5601</v>
      </c>
      <c r="I3708" s="14" t="s">
        <v>2458</v>
      </c>
      <c r="J3708" s="33" t="e">
        <f>VLOOKUP(C3708,شرکتها!A:B,2,FALSE)</f>
        <v>#N/A</v>
      </c>
      <c r="K3708" s="33" t="s">
        <v>9935</v>
      </c>
      <c r="L3708" s="53" t="str">
        <f t="shared" si="69"/>
        <v>کنيا</v>
      </c>
      <c r="M3708" s="68" t="str">
        <f t="shared" si="70"/>
        <v>بشكه</v>
      </c>
      <c r="N3708" s="53" t="str">
        <f t="shared" si="58"/>
        <v>منطقه ويژه اقتصادي شهيد رجايي</v>
      </c>
      <c r="O3708" s="53">
        <v>50100</v>
      </c>
      <c r="P3708" s="198" t="s">
        <v>9761</v>
      </c>
    </row>
    <row r="3709" spans="1:16" ht="18.75" hidden="1">
      <c r="A3709" s="50" t="str">
        <f>"50100-9537135"</f>
        <v>50100-9537135</v>
      </c>
      <c r="B3709" s="50" t="str">
        <f t="shared" si="68"/>
        <v>96/09/08</v>
      </c>
      <c r="C3709" s="50" t="s">
        <v>9955</v>
      </c>
      <c r="D3709" s="12" t="s">
        <v>9822</v>
      </c>
      <c r="E3709" s="12" t="s">
        <v>4971</v>
      </c>
      <c r="F3709" s="49">
        <v>291200</v>
      </c>
      <c r="G3709" s="77" t="str">
        <f t="shared" si="67"/>
        <v>AL MASAR PETROLUME L.L.C</v>
      </c>
      <c r="H3709" s="14" t="s">
        <v>5601</v>
      </c>
      <c r="I3709" s="14" t="s">
        <v>2458</v>
      </c>
      <c r="J3709" s="33" t="e">
        <f>VLOOKUP(C3709,شرکتها!A:B,2,FALSE)</f>
        <v>#N/A</v>
      </c>
      <c r="K3709" s="33" t="s">
        <v>9935</v>
      </c>
      <c r="L3709" s="53" t="str">
        <f t="shared" si="69"/>
        <v>کنيا</v>
      </c>
      <c r="M3709" s="68" t="str">
        <f t="shared" si="70"/>
        <v>بشكه</v>
      </c>
      <c r="N3709" s="53" t="str">
        <f t="shared" si="58"/>
        <v>منطقه ويژه اقتصادي شهيد رجايي</v>
      </c>
      <c r="O3709" s="53">
        <v>50100</v>
      </c>
      <c r="P3709" s="198" t="s">
        <v>9761</v>
      </c>
    </row>
    <row r="3710" spans="1:16" ht="18.75" hidden="1">
      <c r="A3710" s="50" t="str">
        <f>"50100-9537135"</f>
        <v>50100-9537135</v>
      </c>
      <c r="B3710" s="50" t="str">
        <f t="shared" si="68"/>
        <v>96/09/08</v>
      </c>
      <c r="C3710" s="50" t="s">
        <v>9954</v>
      </c>
      <c r="D3710" s="12" t="s">
        <v>9813</v>
      </c>
      <c r="E3710" s="12" t="s">
        <v>4971</v>
      </c>
      <c r="F3710" s="49">
        <v>246329</v>
      </c>
      <c r="G3710" s="77" t="str">
        <f t="shared" si="67"/>
        <v>AL MASAR PETROLUME L.L.C</v>
      </c>
      <c r="H3710" s="14" t="s">
        <v>5601</v>
      </c>
      <c r="I3710" s="14" t="s">
        <v>2458</v>
      </c>
      <c r="J3710" s="33" t="e">
        <f>VLOOKUP(C3710,شرکتها!A:B,2,FALSE)</f>
        <v>#N/A</v>
      </c>
      <c r="K3710" s="33" t="s">
        <v>9935</v>
      </c>
      <c r="L3710" s="53" t="str">
        <f t="shared" si="69"/>
        <v>کنيا</v>
      </c>
      <c r="M3710" s="68" t="str">
        <f t="shared" si="70"/>
        <v>بشكه</v>
      </c>
      <c r="N3710" s="53" t="str">
        <f t="shared" si="58"/>
        <v>منطقه ويژه اقتصادي شهيد رجايي</v>
      </c>
      <c r="O3710" s="53">
        <v>50100</v>
      </c>
      <c r="P3710" s="198" t="s">
        <v>9761</v>
      </c>
    </row>
    <row r="3711" spans="1:16" ht="18.75" hidden="1">
      <c r="A3711" s="50" t="str">
        <f>"50100-9537235"</f>
        <v>50100-9537235</v>
      </c>
      <c r="B3711" s="50" t="str">
        <f t="shared" si="68"/>
        <v>96/09/08</v>
      </c>
      <c r="C3711" s="50" t="s">
        <v>9955</v>
      </c>
      <c r="D3711" s="12" t="s">
        <v>9822</v>
      </c>
      <c r="E3711" s="12" t="s">
        <v>4971</v>
      </c>
      <c r="F3711" s="49">
        <v>497712</v>
      </c>
      <c r="G3711" s="77" t="str">
        <f t="shared" si="67"/>
        <v>AL MASAR PETROLUME L.L.C</v>
      </c>
      <c r="H3711" s="14" t="s">
        <v>5601</v>
      </c>
      <c r="I3711" s="14" t="s">
        <v>2458</v>
      </c>
      <c r="J3711" s="33" t="e">
        <f>VLOOKUP(C3711,شرکتها!A:B,2,FALSE)</f>
        <v>#N/A</v>
      </c>
      <c r="K3711" s="33" t="s">
        <v>9935</v>
      </c>
      <c r="L3711" s="53" t="str">
        <f t="shared" si="69"/>
        <v>کنيا</v>
      </c>
      <c r="M3711" s="68" t="str">
        <f t="shared" si="70"/>
        <v>بشكه</v>
      </c>
      <c r="N3711" s="53" t="str">
        <f t="shared" si="58"/>
        <v>منطقه ويژه اقتصادي شهيد رجايي</v>
      </c>
      <c r="O3711" s="53">
        <v>50100</v>
      </c>
      <c r="P3711" s="198" t="s">
        <v>9761</v>
      </c>
    </row>
    <row r="3712" spans="1:16" ht="18.75" hidden="1">
      <c r="A3712" s="50" t="str">
        <f>"50100-9537311"</f>
        <v>50100-9537311</v>
      </c>
      <c r="B3712" s="50" t="str">
        <f t="shared" si="68"/>
        <v>96/09/08</v>
      </c>
      <c r="C3712" s="50" t="s">
        <v>9955</v>
      </c>
      <c r="D3712" s="12" t="s">
        <v>9822</v>
      </c>
      <c r="E3712" s="12" t="s">
        <v>4971</v>
      </c>
      <c r="F3712" s="49">
        <v>454894</v>
      </c>
      <c r="G3712" s="77" t="str">
        <f t="shared" si="67"/>
        <v>AL MASAR PETROLUME L.L.C</v>
      </c>
      <c r="H3712" s="14" t="s">
        <v>5601</v>
      </c>
      <c r="I3712" s="14" t="s">
        <v>2458</v>
      </c>
      <c r="J3712" s="33" t="e">
        <f>VLOOKUP(C3712,شرکتها!A:B,2,FALSE)</f>
        <v>#N/A</v>
      </c>
      <c r="K3712" s="33" t="s">
        <v>9935</v>
      </c>
      <c r="L3712" s="53" t="str">
        <f t="shared" si="69"/>
        <v>کنيا</v>
      </c>
      <c r="M3712" s="68" t="str">
        <f t="shared" si="70"/>
        <v>بشكه</v>
      </c>
      <c r="N3712" s="53" t="str">
        <f t="shared" si="58"/>
        <v>منطقه ويژه اقتصادي شهيد رجايي</v>
      </c>
      <c r="O3712" s="53">
        <v>50100</v>
      </c>
      <c r="P3712" s="198" t="s">
        <v>9761</v>
      </c>
    </row>
    <row r="3713" spans="1:16" ht="18.75" hidden="1">
      <c r="A3713" s="50" t="str">
        <f>"50100-9537375"</f>
        <v>50100-9537375</v>
      </c>
      <c r="B3713" s="50" t="str">
        <f t="shared" si="68"/>
        <v>96/09/08</v>
      </c>
      <c r="C3713" s="50" t="s">
        <v>9956</v>
      </c>
      <c r="D3713" s="12" t="s">
        <v>9825</v>
      </c>
      <c r="E3713" s="12" t="s">
        <v>4971</v>
      </c>
      <c r="F3713" s="49">
        <v>187413</v>
      </c>
      <c r="G3713" s="77" t="str">
        <f t="shared" si="67"/>
        <v>AL MASAR PETROLUME L.L.C</v>
      </c>
      <c r="H3713" s="14" t="s">
        <v>5601</v>
      </c>
      <c r="I3713" s="14" t="s">
        <v>2458</v>
      </c>
      <c r="J3713" s="33" t="e">
        <f>VLOOKUP(C3713,شرکتها!A:B,2,FALSE)</f>
        <v>#N/A</v>
      </c>
      <c r="K3713" s="33" t="s">
        <v>9935</v>
      </c>
      <c r="L3713" s="53" t="str">
        <f t="shared" si="69"/>
        <v>کنيا</v>
      </c>
      <c r="M3713" s="68" t="str">
        <f t="shared" si="70"/>
        <v>بشكه</v>
      </c>
      <c r="N3713" s="53" t="str">
        <f t="shared" si="58"/>
        <v>منطقه ويژه اقتصادي شهيد رجايي</v>
      </c>
      <c r="O3713" s="53">
        <v>50100</v>
      </c>
      <c r="P3713" s="198" t="s">
        <v>9761</v>
      </c>
    </row>
    <row r="3714" spans="1:16" ht="18.75" hidden="1">
      <c r="A3714" s="50" t="str">
        <f>"50100-9537375"</f>
        <v>50100-9537375</v>
      </c>
      <c r="B3714" s="50" t="str">
        <f t="shared" si="68"/>
        <v>96/09/08</v>
      </c>
      <c r="C3714" s="50" t="s">
        <v>9955</v>
      </c>
      <c r="D3714" s="12" t="s">
        <v>9822</v>
      </c>
      <c r="E3714" s="12" t="s">
        <v>4971</v>
      </c>
      <c r="F3714" s="49">
        <v>247703</v>
      </c>
      <c r="G3714" s="77" t="str">
        <f t="shared" si="67"/>
        <v>AL MASAR PETROLUME L.L.C</v>
      </c>
      <c r="H3714" s="14" t="s">
        <v>5601</v>
      </c>
      <c r="I3714" s="14" t="s">
        <v>2458</v>
      </c>
      <c r="J3714" s="33" t="e">
        <f>VLOOKUP(C3714,شرکتها!A:B,2,FALSE)</f>
        <v>#N/A</v>
      </c>
      <c r="K3714" s="33" t="s">
        <v>9935</v>
      </c>
      <c r="L3714" s="53" t="str">
        <f t="shared" si="69"/>
        <v>کنيا</v>
      </c>
      <c r="M3714" s="68" t="str">
        <f t="shared" si="70"/>
        <v>بشكه</v>
      </c>
      <c r="N3714" s="53" t="str">
        <f t="shared" si="58"/>
        <v>منطقه ويژه اقتصادي شهيد رجايي</v>
      </c>
      <c r="O3714" s="53">
        <v>50100</v>
      </c>
      <c r="P3714" s="198" t="s">
        <v>9761</v>
      </c>
    </row>
    <row r="3715" spans="1:16" ht="18.75" hidden="1">
      <c r="A3715" s="50" t="str">
        <f>"50100-9537462"</f>
        <v>50100-9537462</v>
      </c>
      <c r="B3715" s="50" t="str">
        <f t="shared" si="68"/>
        <v>96/09/08</v>
      </c>
      <c r="C3715" s="50" t="s">
        <v>9956</v>
      </c>
      <c r="D3715" s="12" t="s">
        <v>9825</v>
      </c>
      <c r="E3715" s="12" t="s">
        <v>4971</v>
      </c>
      <c r="F3715" s="49">
        <v>415338</v>
      </c>
      <c r="G3715" s="77" t="str">
        <f t="shared" si="67"/>
        <v>AL MASAR PETROLUME L.L.C</v>
      </c>
      <c r="H3715" s="14" t="s">
        <v>5601</v>
      </c>
      <c r="I3715" s="14" t="s">
        <v>2458</v>
      </c>
      <c r="J3715" s="33" t="e">
        <f>VLOOKUP(C3715,شرکتها!A:B,2,FALSE)</f>
        <v>#N/A</v>
      </c>
      <c r="K3715" s="33" t="s">
        <v>9935</v>
      </c>
      <c r="L3715" s="53" t="str">
        <f t="shared" si="69"/>
        <v>کنيا</v>
      </c>
      <c r="M3715" s="68" t="str">
        <f t="shared" si="70"/>
        <v>بشكه</v>
      </c>
      <c r="N3715" s="53" t="str">
        <f t="shared" si="58"/>
        <v>منطقه ويژه اقتصادي شهيد رجايي</v>
      </c>
      <c r="O3715" s="53">
        <v>50100</v>
      </c>
      <c r="P3715" s="198" t="s">
        <v>9761</v>
      </c>
    </row>
    <row r="3716" spans="1:16" ht="18.75" hidden="1">
      <c r="A3716" s="50" t="str">
        <f>"50100-9537588"</f>
        <v>50100-9537588</v>
      </c>
      <c r="B3716" s="50" t="str">
        <f t="shared" si="68"/>
        <v>96/09/08</v>
      </c>
      <c r="C3716" s="50" t="s">
        <v>9956</v>
      </c>
      <c r="D3716" s="12" t="s">
        <v>9825</v>
      </c>
      <c r="E3716" s="12" t="s">
        <v>4971</v>
      </c>
      <c r="F3716" s="49">
        <v>395560</v>
      </c>
      <c r="G3716" s="77" t="str">
        <f t="shared" si="67"/>
        <v>AL MASAR PETROLUME L.L.C</v>
      </c>
      <c r="H3716" s="14" t="s">
        <v>5601</v>
      </c>
      <c r="I3716" s="14" t="s">
        <v>2458</v>
      </c>
      <c r="J3716" s="33" t="e">
        <f>VLOOKUP(C3716,شرکتها!A:B,2,FALSE)</f>
        <v>#N/A</v>
      </c>
      <c r="K3716" s="33" t="s">
        <v>9935</v>
      </c>
      <c r="L3716" s="53" t="str">
        <f t="shared" si="69"/>
        <v>کنيا</v>
      </c>
      <c r="M3716" s="68" t="str">
        <f t="shared" si="70"/>
        <v>بشكه</v>
      </c>
      <c r="N3716" s="53" t="str">
        <f t="shared" si="58"/>
        <v>منطقه ويژه اقتصادي شهيد رجايي</v>
      </c>
      <c r="O3716" s="53">
        <v>50100</v>
      </c>
      <c r="P3716" s="198" t="s">
        <v>9761</v>
      </c>
    </row>
    <row r="3717" spans="1:16" ht="18.75" hidden="1">
      <c r="A3717" s="50" t="str">
        <f>"50100-9538162"</f>
        <v>50100-9538162</v>
      </c>
      <c r="B3717" s="50" t="str">
        <f t="shared" si="68"/>
        <v>96/09/08</v>
      </c>
      <c r="C3717" s="50" t="s">
        <v>9957</v>
      </c>
      <c r="D3717" s="12" t="s">
        <v>6410</v>
      </c>
      <c r="E3717" s="12" t="s">
        <v>4971</v>
      </c>
      <c r="F3717" s="49">
        <v>50000</v>
      </c>
      <c r="G3717" s="77" t="str">
        <f>"LLC Sebco Bitumen"</f>
        <v>LLC Sebco Bitumen</v>
      </c>
      <c r="H3717" s="14" t="s">
        <v>5601</v>
      </c>
      <c r="I3717" s="14" t="s">
        <v>2458</v>
      </c>
      <c r="J3717" s="33" t="s">
        <v>7110</v>
      </c>
      <c r="K3717" s="33" t="s">
        <v>9935</v>
      </c>
      <c r="L3717" s="53" t="str">
        <f>"جيبوتي"</f>
        <v>جيبوتي</v>
      </c>
      <c r="M3717" s="68" t="str">
        <f t="shared" si="70"/>
        <v>بشكه</v>
      </c>
      <c r="N3717" s="53" t="str">
        <f t="shared" si="58"/>
        <v>منطقه ويژه اقتصادي شهيد رجايي</v>
      </c>
      <c r="O3717" s="53">
        <v>50100</v>
      </c>
      <c r="P3717" s="198" t="s">
        <v>7175</v>
      </c>
    </row>
    <row r="3718" spans="1:16" ht="18.75" hidden="1">
      <c r="A3718" s="50" t="str">
        <f>"50100-9538162"</f>
        <v>50100-9538162</v>
      </c>
      <c r="B3718" s="50" t="str">
        <f t="shared" si="68"/>
        <v>96/09/08</v>
      </c>
      <c r="C3718" s="50" t="s">
        <v>9958</v>
      </c>
      <c r="D3718" s="12" t="s">
        <v>6337</v>
      </c>
      <c r="E3718" s="12" t="s">
        <v>4971</v>
      </c>
      <c r="F3718" s="49">
        <v>38024</v>
      </c>
      <c r="G3718" s="77" t="str">
        <f>"LLC Sebco Bitumen"</f>
        <v>LLC Sebco Bitumen</v>
      </c>
      <c r="H3718" s="14" t="s">
        <v>5601</v>
      </c>
      <c r="I3718" s="14" t="s">
        <v>2458</v>
      </c>
      <c r="J3718" s="33" t="s">
        <v>7110</v>
      </c>
      <c r="K3718" s="33" t="s">
        <v>9935</v>
      </c>
      <c r="L3718" s="53" t="str">
        <f>"جيبوتي"</f>
        <v>جيبوتي</v>
      </c>
      <c r="M3718" s="68" t="str">
        <f t="shared" si="70"/>
        <v>بشكه</v>
      </c>
      <c r="N3718" s="53" t="str">
        <f t="shared" si="58"/>
        <v>منطقه ويژه اقتصادي شهيد رجايي</v>
      </c>
      <c r="O3718" s="53">
        <v>50100</v>
      </c>
      <c r="P3718" s="198" t="s">
        <v>7175</v>
      </c>
    </row>
    <row r="3719" spans="1:16" ht="18.75" hidden="1">
      <c r="A3719" s="50" t="str">
        <f>"50100-9538162"</f>
        <v>50100-9538162</v>
      </c>
      <c r="B3719" s="50" t="str">
        <f t="shared" si="68"/>
        <v>96/09/08</v>
      </c>
      <c r="C3719" s="50" t="s">
        <v>9959</v>
      </c>
      <c r="D3719" s="12" t="s">
        <v>6312</v>
      </c>
      <c r="E3719" s="12" t="s">
        <v>4971</v>
      </c>
      <c r="F3719" s="49">
        <v>210000</v>
      </c>
      <c r="G3719" s="77" t="str">
        <f>"LLC Sebco Bitumen"</f>
        <v>LLC Sebco Bitumen</v>
      </c>
      <c r="H3719" s="14" t="s">
        <v>5601</v>
      </c>
      <c r="I3719" s="14" t="s">
        <v>2458</v>
      </c>
      <c r="J3719" s="33" t="s">
        <v>7110</v>
      </c>
      <c r="K3719" s="33" t="s">
        <v>9935</v>
      </c>
      <c r="L3719" s="53" t="str">
        <f>"جيبوتي"</f>
        <v>جيبوتي</v>
      </c>
      <c r="M3719" s="68" t="str">
        <f t="shared" si="70"/>
        <v>بشكه</v>
      </c>
      <c r="N3719" s="53" t="str">
        <f t="shared" si="58"/>
        <v>منطقه ويژه اقتصادي شهيد رجايي</v>
      </c>
      <c r="O3719" s="53">
        <v>50100</v>
      </c>
      <c r="P3719" s="198" t="s">
        <v>7231</v>
      </c>
    </row>
    <row r="3720" spans="1:16" ht="18.75" hidden="1">
      <c r="A3720" s="50" t="str">
        <f>"50100-9538162"</f>
        <v>50100-9538162</v>
      </c>
      <c r="B3720" s="50" t="str">
        <f t="shared" si="68"/>
        <v>96/09/08</v>
      </c>
      <c r="C3720" s="50" t="s">
        <v>9960</v>
      </c>
      <c r="D3720" s="12" t="s">
        <v>6308</v>
      </c>
      <c r="E3720" s="12" t="s">
        <v>4971</v>
      </c>
      <c r="F3720" s="49">
        <v>120000</v>
      </c>
      <c r="G3720" s="77" t="str">
        <f>"LLC Sebco Bitumen"</f>
        <v>LLC Sebco Bitumen</v>
      </c>
      <c r="H3720" s="14" t="s">
        <v>5601</v>
      </c>
      <c r="I3720" s="14" t="s">
        <v>2458</v>
      </c>
      <c r="J3720" s="33" t="s">
        <v>7110</v>
      </c>
      <c r="K3720" s="33" t="s">
        <v>9935</v>
      </c>
      <c r="L3720" s="53" t="str">
        <f>"جيبوتي"</f>
        <v>جيبوتي</v>
      </c>
      <c r="M3720" s="68" t="str">
        <f t="shared" si="70"/>
        <v>بشكه</v>
      </c>
      <c r="N3720" s="53" t="str">
        <f t="shared" si="58"/>
        <v>منطقه ويژه اقتصادي شهيد رجايي</v>
      </c>
      <c r="O3720" s="53">
        <v>50100</v>
      </c>
      <c r="P3720" s="198" t="s">
        <v>7175</v>
      </c>
    </row>
    <row r="3721" spans="1:16" ht="18.75" hidden="1">
      <c r="A3721" s="50" t="str">
        <f>"50100-9538162"</f>
        <v>50100-9538162</v>
      </c>
      <c r="B3721" s="50" t="str">
        <f t="shared" si="68"/>
        <v>96/09/08</v>
      </c>
      <c r="C3721" s="50" t="s">
        <v>9948</v>
      </c>
      <c r="D3721" s="12" t="s">
        <v>6314</v>
      </c>
      <c r="E3721" s="12" t="s">
        <v>4971</v>
      </c>
      <c r="F3721" s="49">
        <v>77806</v>
      </c>
      <c r="G3721" s="77" t="str">
        <f>"LLC Sebco Bitumen"</f>
        <v>LLC Sebco Bitumen</v>
      </c>
      <c r="H3721" s="14" t="s">
        <v>5601</v>
      </c>
      <c r="I3721" s="14" t="s">
        <v>2458</v>
      </c>
      <c r="J3721" s="33" t="s">
        <v>7110</v>
      </c>
      <c r="K3721" s="33" t="s">
        <v>9935</v>
      </c>
      <c r="L3721" s="53" t="str">
        <f>"جيبوتي"</f>
        <v>جيبوتي</v>
      </c>
      <c r="M3721" s="68" t="str">
        <f t="shared" si="70"/>
        <v>بشكه</v>
      </c>
      <c r="N3721" s="53" t="str">
        <f t="shared" si="58"/>
        <v>منطقه ويژه اقتصادي شهيد رجايي</v>
      </c>
      <c r="O3721" s="53">
        <v>50100</v>
      </c>
      <c r="P3721" s="198" t="s">
        <v>7231</v>
      </c>
    </row>
    <row r="3722" spans="1:16" ht="18.75" hidden="1">
      <c r="A3722" s="50" t="str">
        <f>"50100-9541044"</f>
        <v>50100-9541044</v>
      </c>
      <c r="B3722" s="50" t="str">
        <f>"96/09/11"</f>
        <v>96/09/11</v>
      </c>
      <c r="C3722" s="50" t="s">
        <v>9961</v>
      </c>
      <c r="D3722" s="12" t="s">
        <v>9962</v>
      </c>
      <c r="E3722" s="12" t="s">
        <v>4971</v>
      </c>
      <c r="F3722" s="49">
        <v>2984578</v>
      </c>
      <c r="G3722" s="77" t="str">
        <f>"AL MASAR PETROLUME L.L.C"</f>
        <v>AL MASAR PETROLUME L.L.C</v>
      </c>
      <c r="H3722" s="14" t="s">
        <v>5601</v>
      </c>
      <c r="I3722" s="14" t="s">
        <v>2458</v>
      </c>
      <c r="J3722" s="33" t="e">
        <f>VLOOKUP(C3722,شرکتها!A:B,2,FALSE)</f>
        <v>#N/A</v>
      </c>
      <c r="K3722" s="33" t="s">
        <v>9935</v>
      </c>
      <c r="L3722" s="53" t="str">
        <f>"قطر"</f>
        <v>قطر</v>
      </c>
      <c r="M3722" s="68" t="str">
        <f>"فله"</f>
        <v>فله</v>
      </c>
      <c r="N3722" s="53" t="str">
        <f t="shared" si="58"/>
        <v>منطقه ويژه اقتصادي شهيد رجايي</v>
      </c>
      <c r="O3722" s="53">
        <v>50100</v>
      </c>
      <c r="P3722" s="198" t="s">
        <v>9911</v>
      </c>
    </row>
    <row r="3723" spans="1:16" ht="18.75" hidden="1">
      <c r="A3723" s="50" t="str">
        <f>"50100-9541064"</f>
        <v>50100-9541064</v>
      </c>
      <c r="B3723" s="50" t="str">
        <f>"96/09/08"</f>
        <v>96/09/08</v>
      </c>
      <c r="C3723" s="50" t="s">
        <v>9963</v>
      </c>
      <c r="D3723" s="12" t="s">
        <v>9934</v>
      </c>
      <c r="E3723" s="12" t="s">
        <v>4971</v>
      </c>
      <c r="F3723" s="49">
        <v>2985557</v>
      </c>
      <c r="G3723" s="77" t="str">
        <f>"AL MASAR PETROLUME L.L.C"</f>
        <v>AL MASAR PETROLUME L.L.C</v>
      </c>
      <c r="H3723" s="14" t="s">
        <v>5601</v>
      </c>
      <c r="I3723" s="14" t="s">
        <v>2458</v>
      </c>
      <c r="J3723" s="33" t="e">
        <f>VLOOKUP(C3723,شرکتها!A:B,2,FALSE)</f>
        <v>#N/A</v>
      </c>
      <c r="K3723" s="33" t="s">
        <v>9935</v>
      </c>
      <c r="L3723" s="53" t="str">
        <f>"قطر"</f>
        <v>قطر</v>
      </c>
      <c r="M3723" s="68" t="str">
        <f>"فله"</f>
        <v>فله</v>
      </c>
      <c r="N3723" s="53" t="str">
        <f t="shared" si="58"/>
        <v>منطقه ويژه اقتصادي شهيد رجايي</v>
      </c>
      <c r="O3723" s="53">
        <v>50100</v>
      </c>
      <c r="P3723" s="198" t="s">
        <v>9911</v>
      </c>
    </row>
    <row r="3724" spans="1:16" ht="18.75" hidden="1">
      <c r="A3724" s="50" t="str">
        <f>"50100-9541400"</f>
        <v>50100-9541400</v>
      </c>
      <c r="B3724" s="50" t="str">
        <f>"96/09/09"</f>
        <v>96/09/09</v>
      </c>
      <c r="C3724" s="50" t="s">
        <v>9964</v>
      </c>
      <c r="D3724" s="12" t="s">
        <v>9815</v>
      </c>
      <c r="E3724" s="12" t="s">
        <v>4971</v>
      </c>
      <c r="F3724" s="49">
        <v>386760</v>
      </c>
      <c r="G3724" s="77" t="str">
        <f>"AL MASAR PETROLUME L.L.C"</f>
        <v>AL MASAR PETROLUME L.L.C</v>
      </c>
      <c r="H3724" s="14" t="s">
        <v>5601</v>
      </c>
      <c r="I3724" s="14" t="s">
        <v>2458</v>
      </c>
      <c r="J3724" s="33" t="e">
        <f>VLOOKUP(C3724,شرکتها!A:B,2,FALSE)</f>
        <v>#N/A</v>
      </c>
      <c r="K3724" s="33" t="s">
        <v>9935</v>
      </c>
      <c r="L3724" s="53" t="str">
        <f>"کنيا"</f>
        <v>کنيا</v>
      </c>
      <c r="M3724" s="68" t="s">
        <v>8913</v>
      </c>
      <c r="N3724" s="53" t="str">
        <f t="shared" si="58"/>
        <v>منطقه ويژه اقتصادي شهيد رجايي</v>
      </c>
      <c r="O3724" s="53">
        <v>50100</v>
      </c>
      <c r="P3724" s="198" t="s">
        <v>9761</v>
      </c>
    </row>
    <row r="3725" spans="1:16" ht="18.75" hidden="1">
      <c r="A3725" s="50" t="str">
        <f>"50100-9541424"</f>
        <v>50100-9541424</v>
      </c>
      <c r="B3725" s="50" t="str">
        <f>"96/09/09"</f>
        <v>96/09/09</v>
      </c>
      <c r="C3725" s="50" t="s">
        <v>9965</v>
      </c>
      <c r="D3725" s="12" t="s">
        <v>9815</v>
      </c>
      <c r="E3725" s="12" t="s">
        <v>4971</v>
      </c>
      <c r="F3725" s="49">
        <v>96520</v>
      </c>
      <c r="G3725" s="77" t="str">
        <f>"AL MASAR PETROLUME L.L.C"</f>
        <v>AL MASAR PETROLUME L.L.C</v>
      </c>
      <c r="H3725" s="14" t="s">
        <v>5601</v>
      </c>
      <c r="I3725" s="14" t="s">
        <v>2458</v>
      </c>
      <c r="J3725" s="33" t="e">
        <f>VLOOKUP(C3725,شرکتها!A:B,2,FALSE)</f>
        <v>#N/A</v>
      </c>
      <c r="K3725" s="33" t="s">
        <v>9935</v>
      </c>
      <c r="L3725" s="53" t="str">
        <f>"عمان"</f>
        <v>عمان</v>
      </c>
      <c r="M3725" s="68" t="s">
        <v>8913</v>
      </c>
      <c r="N3725" s="53" t="str">
        <f t="shared" si="58"/>
        <v>منطقه ويژه اقتصادي شهيد رجايي</v>
      </c>
      <c r="O3725" s="53">
        <v>50100</v>
      </c>
      <c r="P3725" s="198" t="s">
        <v>9761</v>
      </c>
    </row>
    <row r="3726" spans="1:16" ht="18.75" hidden="1">
      <c r="A3726" s="50" t="str">
        <f>"50100-9546044"</f>
        <v>50100-9546044</v>
      </c>
      <c r="B3726" s="50" t="str">
        <f t="shared" ref="B3726:B3732" si="71">"96/09/11"</f>
        <v>96/09/11</v>
      </c>
      <c r="C3726" s="50" t="s">
        <v>9716</v>
      </c>
      <c r="D3726" s="12" t="s">
        <v>8770</v>
      </c>
      <c r="E3726" s="12" t="s">
        <v>4971</v>
      </c>
      <c r="F3726" s="49">
        <v>495525</v>
      </c>
      <c r="G3726" s="77" t="str">
        <f t="shared" ref="G3726:G3732" si="72">"SHINING GREEN STAR FZE"</f>
        <v>SHINING GREEN STAR FZE</v>
      </c>
      <c r="H3726" s="14" t="s">
        <v>5601</v>
      </c>
      <c r="I3726" s="14" t="s">
        <v>2458</v>
      </c>
      <c r="J3726" s="33" t="s">
        <v>7110</v>
      </c>
      <c r="K3726" s="33" t="s">
        <v>9935</v>
      </c>
      <c r="L3726" s="53" t="str">
        <f>"هند"</f>
        <v>هند</v>
      </c>
      <c r="M3726" s="68" t="str">
        <f t="shared" ref="M3726:M3741" si="73">"بشكه"</f>
        <v>بشكه</v>
      </c>
      <c r="N3726" s="53" t="str">
        <f t="shared" si="58"/>
        <v>منطقه ويژه اقتصادي شهيد رجايي</v>
      </c>
      <c r="O3726" s="53">
        <v>50100</v>
      </c>
      <c r="P3726" s="198" t="s">
        <v>8497</v>
      </c>
    </row>
    <row r="3727" spans="1:16" ht="18.75" hidden="1">
      <c r="A3727" s="50" t="str">
        <f>"50100-9546515"</f>
        <v>50100-9546515</v>
      </c>
      <c r="B3727" s="50" t="str">
        <f t="shared" si="71"/>
        <v>96/09/11</v>
      </c>
      <c r="C3727" s="50" t="s">
        <v>9716</v>
      </c>
      <c r="D3727" s="12" t="s">
        <v>8770</v>
      </c>
      <c r="E3727" s="12" t="s">
        <v>4971</v>
      </c>
      <c r="F3727" s="49">
        <v>181916</v>
      </c>
      <c r="G3727" s="77" t="str">
        <f t="shared" si="72"/>
        <v>SHINING GREEN STAR FZE</v>
      </c>
      <c r="H3727" s="14" t="s">
        <v>5601</v>
      </c>
      <c r="I3727" s="14" t="s">
        <v>2458</v>
      </c>
      <c r="J3727" s="33" t="s">
        <v>7110</v>
      </c>
      <c r="K3727" s="33" t="s">
        <v>9935</v>
      </c>
      <c r="L3727" s="53" t="str">
        <f t="shared" ref="L3727:L3732" si="74">" ميانمار"</f>
        <v xml:space="preserve"> ميانمار</v>
      </c>
      <c r="M3727" s="68" t="str">
        <f t="shared" si="73"/>
        <v>بشكه</v>
      </c>
      <c r="N3727" s="53" t="str">
        <f t="shared" si="58"/>
        <v>منطقه ويژه اقتصادي شهيد رجايي</v>
      </c>
      <c r="O3727" s="53">
        <v>50100</v>
      </c>
      <c r="P3727" s="198" t="s">
        <v>8497</v>
      </c>
    </row>
    <row r="3728" spans="1:16" ht="18.75" hidden="1">
      <c r="A3728" s="50" t="str">
        <f>"50100-9546515"</f>
        <v>50100-9546515</v>
      </c>
      <c r="B3728" s="50" t="str">
        <f t="shared" si="71"/>
        <v>96/09/11</v>
      </c>
      <c r="C3728" s="50" t="s">
        <v>9936</v>
      </c>
      <c r="D3728" s="12" t="s">
        <v>9830</v>
      </c>
      <c r="E3728" s="12" t="s">
        <v>4971</v>
      </c>
      <c r="F3728" s="49">
        <v>301152</v>
      </c>
      <c r="G3728" s="77" t="str">
        <f t="shared" si="72"/>
        <v>SHINING GREEN STAR FZE</v>
      </c>
      <c r="H3728" s="14" t="s">
        <v>5601</v>
      </c>
      <c r="I3728" s="14" t="s">
        <v>2458</v>
      </c>
      <c r="J3728" s="33" t="s">
        <v>7110</v>
      </c>
      <c r="K3728" s="33" t="s">
        <v>9935</v>
      </c>
      <c r="L3728" s="53" t="str">
        <f t="shared" si="74"/>
        <v xml:space="preserve"> ميانمار</v>
      </c>
      <c r="M3728" s="68" t="str">
        <f t="shared" si="73"/>
        <v>بشكه</v>
      </c>
      <c r="N3728" s="53" t="str">
        <f t="shared" si="58"/>
        <v>منطقه ويژه اقتصادي شهيد رجايي</v>
      </c>
      <c r="O3728" s="53">
        <v>50100</v>
      </c>
      <c r="P3728" s="198" t="s">
        <v>9767</v>
      </c>
    </row>
    <row r="3729" spans="1:16" ht="18.75" hidden="1">
      <c r="A3729" s="50" t="str">
        <f>"50100-9546515"</f>
        <v>50100-9546515</v>
      </c>
      <c r="B3729" s="50" t="str">
        <f t="shared" si="71"/>
        <v>96/09/11</v>
      </c>
      <c r="C3729" s="50" t="s">
        <v>9966</v>
      </c>
      <c r="D3729" s="12" t="s">
        <v>9830</v>
      </c>
      <c r="E3729" s="12" t="s">
        <v>4971</v>
      </c>
      <c r="F3729" s="49">
        <v>507322</v>
      </c>
      <c r="G3729" s="77" t="str">
        <f t="shared" si="72"/>
        <v>SHINING GREEN STAR FZE</v>
      </c>
      <c r="H3729" s="14" t="s">
        <v>5601</v>
      </c>
      <c r="I3729" s="14" t="s">
        <v>2458</v>
      </c>
      <c r="J3729" s="33" t="s">
        <v>7110</v>
      </c>
      <c r="K3729" s="33" t="s">
        <v>9935</v>
      </c>
      <c r="L3729" s="53" t="str">
        <f t="shared" si="74"/>
        <v xml:space="preserve"> ميانمار</v>
      </c>
      <c r="M3729" s="68" t="str">
        <f t="shared" si="73"/>
        <v>بشكه</v>
      </c>
      <c r="N3729" s="53" t="str">
        <f t="shared" si="58"/>
        <v>منطقه ويژه اقتصادي شهيد رجايي</v>
      </c>
      <c r="O3729" s="53">
        <v>50100</v>
      </c>
      <c r="P3729" s="198" t="s">
        <v>9767</v>
      </c>
    </row>
    <row r="3730" spans="1:16" ht="18.75" hidden="1">
      <c r="A3730" s="50" t="str">
        <f>"50100-9547055"</f>
        <v>50100-9547055</v>
      </c>
      <c r="B3730" s="50" t="str">
        <f t="shared" si="71"/>
        <v>96/09/11</v>
      </c>
      <c r="C3730" s="50" t="s">
        <v>9967</v>
      </c>
      <c r="D3730" s="12" t="s">
        <v>9813</v>
      </c>
      <c r="E3730" s="12" t="s">
        <v>4971</v>
      </c>
      <c r="F3730" s="49">
        <v>279122</v>
      </c>
      <c r="G3730" s="77" t="str">
        <f t="shared" si="72"/>
        <v>SHINING GREEN STAR FZE</v>
      </c>
      <c r="H3730" s="14" t="s">
        <v>5601</v>
      </c>
      <c r="I3730" s="14" t="s">
        <v>2458</v>
      </c>
      <c r="J3730" s="33" t="e">
        <f>VLOOKUP(C3730,شرکتها!A:B,2,FALSE)</f>
        <v>#N/A</v>
      </c>
      <c r="K3730" s="33" t="s">
        <v>9935</v>
      </c>
      <c r="L3730" s="53" t="str">
        <f t="shared" si="74"/>
        <v xml:space="preserve"> ميانمار</v>
      </c>
      <c r="M3730" s="68" t="str">
        <f t="shared" si="73"/>
        <v>بشكه</v>
      </c>
      <c r="N3730" s="53" t="str">
        <f t="shared" si="58"/>
        <v>منطقه ويژه اقتصادي شهيد رجايي</v>
      </c>
      <c r="O3730" s="53">
        <v>50100</v>
      </c>
      <c r="P3730" s="198" t="s">
        <v>9770</v>
      </c>
    </row>
    <row r="3731" spans="1:16" ht="18.75" hidden="1">
      <c r="A3731" s="50" t="str">
        <f>"50100-9547055"</f>
        <v>50100-9547055</v>
      </c>
      <c r="B3731" s="50" t="str">
        <f t="shared" si="71"/>
        <v>96/09/11</v>
      </c>
      <c r="C3731" s="50" t="s">
        <v>9966</v>
      </c>
      <c r="D3731" s="12" t="s">
        <v>9830</v>
      </c>
      <c r="E3731" s="12" t="s">
        <v>4971</v>
      </c>
      <c r="F3731" s="49">
        <v>490678</v>
      </c>
      <c r="G3731" s="77" t="str">
        <f t="shared" si="72"/>
        <v>SHINING GREEN STAR FZE</v>
      </c>
      <c r="H3731" s="14" t="s">
        <v>5601</v>
      </c>
      <c r="I3731" s="14" t="s">
        <v>2458</v>
      </c>
      <c r="J3731" s="33" t="s">
        <v>7110</v>
      </c>
      <c r="K3731" s="33" t="s">
        <v>9935</v>
      </c>
      <c r="L3731" s="53" t="str">
        <f t="shared" si="74"/>
        <v xml:space="preserve"> ميانمار</v>
      </c>
      <c r="M3731" s="68" t="str">
        <f t="shared" si="73"/>
        <v>بشكه</v>
      </c>
      <c r="N3731" s="53" t="str">
        <f t="shared" si="58"/>
        <v>منطقه ويژه اقتصادي شهيد رجايي</v>
      </c>
      <c r="O3731" s="53">
        <v>50100</v>
      </c>
      <c r="P3731" s="198" t="s">
        <v>9767</v>
      </c>
    </row>
    <row r="3732" spans="1:16" ht="18.75" hidden="1">
      <c r="A3732" s="50" t="str">
        <f>"50100-9547055"</f>
        <v>50100-9547055</v>
      </c>
      <c r="B3732" s="50" t="str">
        <f t="shared" si="71"/>
        <v>96/09/11</v>
      </c>
      <c r="C3732" s="50" t="s">
        <v>9968</v>
      </c>
      <c r="D3732" s="12" t="s">
        <v>9830</v>
      </c>
      <c r="E3732" s="12" t="s">
        <v>4971</v>
      </c>
      <c r="F3732" s="49">
        <v>225000</v>
      </c>
      <c r="G3732" s="77" t="str">
        <f t="shared" si="72"/>
        <v>SHINING GREEN STAR FZE</v>
      </c>
      <c r="H3732" s="14" t="s">
        <v>5601</v>
      </c>
      <c r="I3732" s="14" t="s">
        <v>2458</v>
      </c>
      <c r="J3732" s="33" t="s">
        <v>7110</v>
      </c>
      <c r="K3732" s="33" t="s">
        <v>9935</v>
      </c>
      <c r="L3732" s="53" t="str">
        <f t="shared" si="74"/>
        <v xml:space="preserve"> ميانمار</v>
      </c>
      <c r="M3732" s="68" t="str">
        <f t="shared" si="73"/>
        <v>بشكه</v>
      </c>
      <c r="N3732" s="53" t="str">
        <f t="shared" si="58"/>
        <v>منطقه ويژه اقتصادي شهيد رجايي</v>
      </c>
      <c r="O3732" s="53">
        <v>50100</v>
      </c>
      <c r="P3732" s="198" t="s">
        <v>9767</v>
      </c>
    </row>
    <row r="3733" spans="1:16" ht="18.75" hidden="1">
      <c r="A3733" s="50" t="str">
        <f>"50100-9554286"</f>
        <v>50100-9554286</v>
      </c>
      <c r="B3733" s="50" t="str">
        <f t="shared" ref="B3733:B3739" si="75">"96/09/12"</f>
        <v>96/09/12</v>
      </c>
      <c r="C3733" s="50" t="s">
        <v>9956</v>
      </c>
      <c r="D3733" s="12" t="s">
        <v>9825</v>
      </c>
      <c r="E3733" s="12" t="s">
        <v>4971</v>
      </c>
      <c r="F3733" s="49">
        <v>297366</v>
      </c>
      <c r="G3733" s="77" t="str">
        <f>"AL MASAR PETROLUME L.L.C"</f>
        <v>AL MASAR PETROLUME L.L.C</v>
      </c>
      <c r="H3733" s="14" t="s">
        <v>5601</v>
      </c>
      <c r="I3733" s="14" t="s">
        <v>2458</v>
      </c>
      <c r="J3733" s="33" t="e">
        <f>VLOOKUP(C3733,شرکتها!A:B,2,FALSE)</f>
        <v>#N/A</v>
      </c>
      <c r="K3733" s="33" t="s">
        <v>9935</v>
      </c>
      <c r="L3733" s="53" t="str">
        <f>"کنيا"</f>
        <v>کنيا</v>
      </c>
      <c r="M3733" s="68" t="str">
        <f t="shared" si="73"/>
        <v>بشكه</v>
      </c>
      <c r="N3733" s="53" t="str">
        <f t="shared" si="58"/>
        <v>منطقه ويژه اقتصادي شهيد رجايي</v>
      </c>
      <c r="O3733" s="53">
        <v>50100</v>
      </c>
      <c r="P3733" s="198" t="s">
        <v>9761</v>
      </c>
    </row>
    <row r="3734" spans="1:16" ht="18.75" hidden="1">
      <c r="A3734" s="50" t="str">
        <f>"50100-9554286"</f>
        <v>50100-9554286</v>
      </c>
      <c r="B3734" s="50" t="str">
        <f t="shared" si="75"/>
        <v>96/09/12</v>
      </c>
      <c r="C3734" s="50" t="s">
        <v>9724</v>
      </c>
      <c r="D3734" s="12" t="s">
        <v>6457</v>
      </c>
      <c r="E3734" s="12" t="s">
        <v>4971</v>
      </c>
      <c r="F3734" s="49">
        <v>34352</v>
      </c>
      <c r="G3734" s="77" t="str">
        <f>"Black Gold Traders FZE"</f>
        <v>Black Gold Traders FZE</v>
      </c>
      <c r="H3734" s="14" t="s">
        <v>5601</v>
      </c>
      <c r="I3734" s="14" t="s">
        <v>2458</v>
      </c>
      <c r="J3734" s="33" t="s">
        <v>7110</v>
      </c>
      <c r="K3734" s="33" t="s">
        <v>9935</v>
      </c>
      <c r="L3734" s="53" t="str">
        <f>"کنيا"</f>
        <v>کنيا</v>
      </c>
      <c r="M3734" s="68" t="str">
        <f t="shared" si="73"/>
        <v>بشكه</v>
      </c>
      <c r="N3734" s="53" t="str">
        <f t="shared" si="58"/>
        <v>منطقه ويژه اقتصادي شهيد رجايي</v>
      </c>
      <c r="O3734" s="53">
        <v>50100</v>
      </c>
      <c r="P3734" s="198" t="s">
        <v>5842</v>
      </c>
    </row>
    <row r="3735" spans="1:16" ht="18.75" hidden="1">
      <c r="A3735" s="50" t="str">
        <f>"50100-9554286"</f>
        <v>50100-9554286</v>
      </c>
      <c r="B3735" s="50" t="str">
        <f t="shared" si="75"/>
        <v>96/09/12</v>
      </c>
      <c r="C3735" s="50" t="s">
        <v>5027</v>
      </c>
      <c r="D3735" s="12" t="s">
        <v>5009</v>
      </c>
      <c r="E3735" s="12" t="s">
        <v>4971</v>
      </c>
      <c r="F3735" s="49">
        <v>44064</v>
      </c>
      <c r="G3735" s="77" t="str">
        <f>"oasis maritime services l.l.c"</f>
        <v>oasis maritime services l.l.c</v>
      </c>
      <c r="H3735" s="14" t="s">
        <v>5601</v>
      </c>
      <c r="I3735" s="14" t="s">
        <v>2458</v>
      </c>
      <c r="J3735" s="33" t="s">
        <v>7110</v>
      </c>
      <c r="K3735" s="33" t="s">
        <v>9935</v>
      </c>
      <c r="L3735" s="53" t="str">
        <f>"کنيا"</f>
        <v>کنيا</v>
      </c>
      <c r="M3735" s="68" t="str">
        <f t="shared" si="73"/>
        <v>بشكه</v>
      </c>
      <c r="N3735" s="53" t="str">
        <f t="shared" si="58"/>
        <v>منطقه ويژه اقتصادي شهيد رجايي</v>
      </c>
      <c r="O3735" s="53">
        <v>50100</v>
      </c>
      <c r="P3735" s="198" t="s">
        <v>5729</v>
      </c>
    </row>
    <row r="3736" spans="1:16" ht="18.75" hidden="1">
      <c r="A3736" s="50" t="str">
        <f>"50100-9555176"</f>
        <v>50100-9555176</v>
      </c>
      <c r="B3736" s="50" t="str">
        <f t="shared" si="75"/>
        <v>96/09/12</v>
      </c>
      <c r="C3736" s="50" t="s">
        <v>9969</v>
      </c>
      <c r="D3736" s="12" t="s">
        <v>8770</v>
      </c>
      <c r="E3736" s="12" t="s">
        <v>4971</v>
      </c>
      <c r="F3736" s="49">
        <v>246000</v>
      </c>
      <c r="G3736" s="77" t="str">
        <f>"Black Gold Traders FZE"</f>
        <v>Black Gold Traders FZE</v>
      </c>
      <c r="H3736" s="14" t="s">
        <v>5601</v>
      </c>
      <c r="I3736" s="14" t="s">
        <v>2458</v>
      </c>
      <c r="J3736" s="33" t="s">
        <v>7110</v>
      </c>
      <c r="K3736" s="33" t="s">
        <v>9935</v>
      </c>
      <c r="L3736" s="53" t="str">
        <f>"هند"</f>
        <v>هند</v>
      </c>
      <c r="M3736" s="68" t="str">
        <f t="shared" si="73"/>
        <v>بشكه</v>
      </c>
      <c r="N3736" s="53" t="str">
        <f t="shared" si="58"/>
        <v>منطقه ويژه اقتصادي شهيد رجايي</v>
      </c>
      <c r="O3736" s="53">
        <v>50100</v>
      </c>
      <c r="P3736" s="198" t="s">
        <v>8722</v>
      </c>
    </row>
    <row r="3737" spans="1:16" ht="18.75" hidden="1">
      <c r="A3737" s="50" t="str">
        <f>"50100-9555176"</f>
        <v>50100-9555176</v>
      </c>
      <c r="B3737" s="50" t="str">
        <f t="shared" si="75"/>
        <v>96/09/12</v>
      </c>
      <c r="C3737" s="50" t="s">
        <v>9970</v>
      </c>
      <c r="D3737" s="12" t="s">
        <v>9720</v>
      </c>
      <c r="E3737" s="12" t="s">
        <v>4971</v>
      </c>
      <c r="F3737" s="49">
        <v>133130</v>
      </c>
      <c r="G3737" s="77" t="str">
        <f>"Black Gold Traders FZE"</f>
        <v>Black Gold Traders FZE</v>
      </c>
      <c r="H3737" s="14" t="s">
        <v>5601</v>
      </c>
      <c r="I3737" s="14" t="s">
        <v>2458</v>
      </c>
      <c r="J3737" s="33" t="s">
        <v>7110</v>
      </c>
      <c r="K3737" s="33" t="s">
        <v>9935</v>
      </c>
      <c r="L3737" s="53" t="str">
        <f>"هند"</f>
        <v>هند</v>
      </c>
      <c r="M3737" s="68" t="str">
        <f t="shared" si="73"/>
        <v>بشكه</v>
      </c>
      <c r="N3737" s="53" t="str">
        <f t="shared" si="58"/>
        <v>منطقه ويژه اقتصادي شهيد رجايي</v>
      </c>
      <c r="O3737" s="53">
        <v>50100</v>
      </c>
      <c r="P3737" s="198" t="s">
        <v>8722</v>
      </c>
    </row>
    <row r="3738" spans="1:16" ht="18.75" hidden="1">
      <c r="A3738" s="50" t="str">
        <f>"50100-9555176"</f>
        <v>50100-9555176</v>
      </c>
      <c r="B3738" s="50" t="str">
        <f t="shared" si="75"/>
        <v>96/09/12</v>
      </c>
      <c r="C3738" s="50" t="s">
        <v>9971</v>
      </c>
      <c r="D3738" s="12" t="s">
        <v>8770</v>
      </c>
      <c r="E3738" s="12" t="s">
        <v>4971</v>
      </c>
      <c r="F3738" s="49">
        <v>526360</v>
      </c>
      <c r="G3738" s="77" t="str">
        <f>"Black Gold Traders FZE"</f>
        <v>Black Gold Traders FZE</v>
      </c>
      <c r="H3738" s="14" t="s">
        <v>5601</v>
      </c>
      <c r="I3738" s="14" t="s">
        <v>2458</v>
      </c>
      <c r="J3738" s="33" t="s">
        <v>7110</v>
      </c>
      <c r="K3738" s="33" t="s">
        <v>9935</v>
      </c>
      <c r="L3738" s="53" t="str">
        <f>"هند"</f>
        <v>هند</v>
      </c>
      <c r="M3738" s="68" t="str">
        <f t="shared" si="73"/>
        <v>بشكه</v>
      </c>
      <c r="N3738" s="53" t="str">
        <f t="shared" si="58"/>
        <v>منطقه ويژه اقتصادي شهيد رجايي</v>
      </c>
      <c r="O3738" s="53">
        <v>50100</v>
      </c>
      <c r="P3738" s="198" t="s">
        <v>8722</v>
      </c>
    </row>
    <row r="3739" spans="1:16" ht="18.75" hidden="1">
      <c r="A3739" s="50" t="str">
        <f>"50100-9555176"</f>
        <v>50100-9555176</v>
      </c>
      <c r="B3739" s="50" t="str">
        <f t="shared" si="75"/>
        <v>96/09/12</v>
      </c>
      <c r="C3739" s="50" t="s">
        <v>9972</v>
      </c>
      <c r="D3739" s="12" t="s">
        <v>9723</v>
      </c>
      <c r="E3739" s="12" t="s">
        <v>4971</v>
      </c>
      <c r="F3739" s="49">
        <v>100000</v>
      </c>
      <c r="G3739" s="77" t="str">
        <f>"Black Gold Traders FZE"</f>
        <v>Black Gold Traders FZE</v>
      </c>
      <c r="H3739" s="14" t="s">
        <v>5601</v>
      </c>
      <c r="I3739" s="14" t="s">
        <v>2458</v>
      </c>
      <c r="J3739" s="33" t="s">
        <v>7110</v>
      </c>
      <c r="K3739" s="33" t="s">
        <v>9935</v>
      </c>
      <c r="L3739" s="53" t="str">
        <f>"هند"</f>
        <v>هند</v>
      </c>
      <c r="M3739" s="68" t="str">
        <f t="shared" si="73"/>
        <v>بشكه</v>
      </c>
      <c r="N3739" s="53" t="str">
        <f t="shared" si="58"/>
        <v>منطقه ويژه اقتصادي شهيد رجايي</v>
      </c>
      <c r="O3739" s="53">
        <v>50100</v>
      </c>
      <c r="P3739" s="198" t="s">
        <v>8722</v>
      </c>
    </row>
    <row r="3740" spans="1:16" ht="18.75" hidden="1">
      <c r="A3740" s="50" t="str">
        <f>"50100-9562202"</f>
        <v>50100-9562202</v>
      </c>
      <c r="B3740" s="50" t="str">
        <f>"96/09/13"</f>
        <v>96/09/13</v>
      </c>
      <c r="C3740" s="50" t="s">
        <v>9967</v>
      </c>
      <c r="D3740" s="12" t="s">
        <v>9813</v>
      </c>
      <c r="E3740" s="12" t="s">
        <v>4971</v>
      </c>
      <c r="F3740" s="49">
        <v>498125</v>
      </c>
      <c r="G3740" s="77" t="str">
        <f>"SHINING GREEN STAR FZE"</f>
        <v>SHINING GREEN STAR FZE</v>
      </c>
      <c r="H3740" s="14" t="s">
        <v>5601</v>
      </c>
      <c r="I3740" s="14" t="s">
        <v>2458</v>
      </c>
      <c r="J3740" s="33" t="e">
        <f>VLOOKUP(C3740,شرکتها!A:B,2,FALSE)</f>
        <v>#N/A</v>
      </c>
      <c r="K3740" s="33" t="s">
        <v>9935</v>
      </c>
      <c r="L3740" s="53" t="str">
        <f>"هند"</f>
        <v>هند</v>
      </c>
      <c r="M3740" s="68" t="str">
        <f t="shared" si="73"/>
        <v>بشكه</v>
      </c>
      <c r="N3740" s="53" t="str">
        <f t="shared" ref="N3740:N3741" si="76">"منطقه ويژه اقتصادي شهيد رجايي"</f>
        <v>منطقه ويژه اقتصادي شهيد رجايي</v>
      </c>
      <c r="O3740" s="53">
        <v>50100</v>
      </c>
      <c r="P3740" s="198" t="s">
        <v>9770</v>
      </c>
    </row>
    <row r="3741" spans="1:16" ht="18.75" hidden="1">
      <c r="A3741" s="50" t="str">
        <f>"50100-9562527"</f>
        <v>50100-9562527</v>
      </c>
      <c r="B3741" s="50" t="str">
        <f>"96/09/13"</f>
        <v>96/09/13</v>
      </c>
      <c r="C3741" s="50" t="s">
        <v>9973</v>
      </c>
      <c r="D3741" s="12" t="s">
        <v>6348</v>
      </c>
      <c r="E3741" s="12" t="s">
        <v>4971</v>
      </c>
      <c r="F3741" s="49">
        <v>15500</v>
      </c>
      <c r="G3741" s="77" t="s">
        <v>6452</v>
      </c>
      <c r="H3741" s="14" t="s">
        <v>5601</v>
      </c>
      <c r="I3741" s="14" t="s">
        <v>2458</v>
      </c>
      <c r="J3741" s="33" t="e">
        <f>VLOOKUP(C3741,شرکتها!A:B,2,FALSE)</f>
        <v>#N/A</v>
      </c>
      <c r="K3741" s="33" t="s">
        <v>9935</v>
      </c>
      <c r="L3741" s="53" t="str">
        <f>"کنيا"</f>
        <v>کنيا</v>
      </c>
      <c r="M3741" s="68" t="str">
        <f t="shared" si="73"/>
        <v>بشكه</v>
      </c>
      <c r="N3741" s="53" t="str">
        <f t="shared" si="76"/>
        <v>منطقه ويژه اقتصادي شهيد رجايي</v>
      </c>
      <c r="O3741" s="53">
        <v>50100</v>
      </c>
      <c r="P3741" s="198" t="s">
        <v>9761</v>
      </c>
    </row>
    <row r="3742" spans="1:16" ht="18.75" hidden="1">
      <c r="A3742" s="50" t="s">
        <v>9974</v>
      </c>
      <c r="B3742" s="50" t="s">
        <v>9962</v>
      </c>
      <c r="C3742" s="50" t="s">
        <v>9975</v>
      </c>
      <c r="D3742" s="12" t="s">
        <v>8837</v>
      </c>
      <c r="E3742" s="12" t="s">
        <v>4971</v>
      </c>
      <c r="F3742" s="49">
        <v>69420</v>
      </c>
      <c r="G3742" s="77" t="s">
        <v>6298</v>
      </c>
      <c r="H3742" s="14" t="s">
        <v>5601</v>
      </c>
      <c r="I3742" s="14" t="s">
        <v>2458</v>
      </c>
      <c r="J3742" s="33" t="s">
        <v>7110</v>
      </c>
      <c r="K3742" s="33" t="s">
        <v>9935</v>
      </c>
      <c r="L3742" s="53" t="s">
        <v>6053</v>
      </c>
      <c r="M3742" s="68" t="s">
        <v>8913</v>
      </c>
      <c r="N3742" s="53" t="s">
        <v>6058</v>
      </c>
      <c r="O3742" s="53">
        <v>60400</v>
      </c>
      <c r="P3742" s="198" t="s">
        <v>7111</v>
      </c>
    </row>
    <row r="3743" spans="1:16" ht="18.75" hidden="1">
      <c r="A3743" s="50" t="s">
        <v>9976</v>
      </c>
      <c r="B3743" s="50" t="s">
        <v>9962</v>
      </c>
      <c r="C3743" s="50" t="s">
        <v>9977</v>
      </c>
      <c r="D3743" s="12" t="s">
        <v>8627</v>
      </c>
      <c r="E3743" s="12" t="s">
        <v>4971</v>
      </c>
      <c r="F3743" s="49">
        <v>549980</v>
      </c>
      <c r="G3743" s="77" t="s">
        <v>6454</v>
      </c>
      <c r="H3743" s="14" t="s">
        <v>5601</v>
      </c>
      <c r="I3743" s="14" t="s">
        <v>2458</v>
      </c>
      <c r="J3743" s="33" t="s">
        <v>7110</v>
      </c>
      <c r="K3743" s="33" t="s">
        <v>9935</v>
      </c>
      <c r="L3743" s="53" t="s">
        <v>6054</v>
      </c>
      <c r="M3743" s="68" t="s">
        <v>8913</v>
      </c>
      <c r="N3743" s="53" t="s">
        <v>6076</v>
      </c>
      <c r="O3743" s="53">
        <v>55301</v>
      </c>
      <c r="P3743" s="198" t="s">
        <v>7234</v>
      </c>
    </row>
    <row r="3744" spans="1:16" ht="18.75" hidden="1">
      <c r="A3744" s="50" t="s">
        <v>9978</v>
      </c>
      <c r="B3744" s="50" t="s">
        <v>9835</v>
      </c>
      <c r="C3744" s="50" t="s">
        <v>9979</v>
      </c>
      <c r="D3744" s="12" t="s">
        <v>8621</v>
      </c>
      <c r="E3744" s="12" t="s">
        <v>4971</v>
      </c>
      <c r="F3744" s="49">
        <v>176460</v>
      </c>
      <c r="G3744" s="77" t="s">
        <v>8859</v>
      </c>
      <c r="H3744" s="14" t="s">
        <v>5601</v>
      </c>
      <c r="I3744" s="14" t="s">
        <v>2458</v>
      </c>
      <c r="J3744" s="33" t="e">
        <f>VLOOKUP(C3744,شرکتها!A:B,2,FALSE)</f>
        <v>#N/A</v>
      </c>
      <c r="K3744" s="33" t="s">
        <v>9935</v>
      </c>
      <c r="L3744" s="53" t="s">
        <v>6054</v>
      </c>
      <c r="M3744" s="68" t="s">
        <v>8912</v>
      </c>
      <c r="N3744" s="53" t="s">
        <v>6285</v>
      </c>
      <c r="O3744" s="53">
        <v>55200</v>
      </c>
      <c r="P3744" s="198" t="s">
        <v>5854</v>
      </c>
    </row>
    <row r="3745" spans="1:16" ht="18.75" hidden="1">
      <c r="A3745" s="50" t="s">
        <v>9980</v>
      </c>
      <c r="B3745" s="50" t="s">
        <v>9981</v>
      </c>
      <c r="C3745" s="50" t="s">
        <v>9982</v>
      </c>
      <c r="D3745" s="12" t="s">
        <v>8793</v>
      </c>
      <c r="E3745" s="12" t="s">
        <v>4971</v>
      </c>
      <c r="F3745" s="49">
        <v>71780</v>
      </c>
      <c r="G3745" s="77" t="s">
        <v>8859</v>
      </c>
      <c r="H3745" s="14" t="s">
        <v>5601</v>
      </c>
      <c r="I3745" s="14" t="s">
        <v>2458</v>
      </c>
      <c r="J3745" s="33" t="e">
        <f>VLOOKUP(C3745,شرکتها!A:B,2,FALSE)</f>
        <v>#N/A</v>
      </c>
      <c r="K3745" s="33" t="s">
        <v>9935</v>
      </c>
      <c r="L3745" s="53" t="s">
        <v>6054</v>
      </c>
      <c r="M3745" s="68" t="s">
        <v>8912</v>
      </c>
      <c r="N3745" s="53" t="s">
        <v>6076</v>
      </c>
      <c r="O3745" s="53">
        <v>55301</v>
      </c>
      <c r="P3745" s="198" t="s">
        <v>5854</v>
      </c>
    </row>
    <row r="3746" spans="1:16" ht="18.75" hidden="1">
      <c r="A3746" s="50" t="s">
        <v>9983</v>
      </c>
      <c r="B3746" s="50" t="s">
        <v>9889</v>
      </c>
      <c r="C3746" s="50" t="s">
        <v>9923</v>
      </c>
      <c r="D3746" s="12" t="s">
        <v>8629</v>
      </c>
      <c r="E3746" s="12" t="s">
        <v>4971</v>
      </c>
      <c r="F3746" s="49">
        <v>94500</v>
      </c>
      <c r="G3746" s="77" t="s">
        <v>6298</v>
      </c>
      <c r="H3746" s="14" t="s">
        <v>5601</v>
      </c>
      <c r="I3746" s="14" t="s">
        <v>2458</v>
      </c>
      <c r="J3746" s="33" t="s">
        <v>7110</v>
      </c>
      <c r="K3746" s="33" t="s">
        <v>9935</v>
      </c>
      <c r="L3746" s="53" t="s">
        <v>6054</v>
      </c>
      <c r="M3746" s="68" t="s">
        <v>8913</v>
      </c>
      <c r="N3746" s="53" t="s">
        <v>9836</v>
      </c>
      <c r="O3746" s="53">
        <v>55112</v>
      </c>
      <c r="P3746" s="198" t="s">
        <v>7111</v>
      </c>
    </row>
    <row r="3747" spans="1:16" ht="18.75" hidden="1">
      <c r="A3747" s="50" t="s">
        <v>9984</v>
      </c>
      <c r="B3747" s="50" t="s">
        <v>9985</v>
      </c>
      <c r="C3747" s="50" t="s">
        <v>9986</v>
      </c>
      <c r="D3747" s="12" t="s">
        <v>8793</v>
      </c>
      <c r="E3747" s="12" t="s">
        <v>4971</v>
      </c>
      <c r="F3747" s="49">
        <v>50850</v>
      </c>
      <c r="G3747" s="77" t="s">
        <v>8859</v>
      </c>
      <c r="H3747" s="14" t="s">
        <v>5601</v>
      </c>
      <c r="I3747" s="14" t="s">
        <v>2458</v>
      </c>
      <c r="J3747" s="33" t="e">
        <f>VLOOKUP(C3747,شرکتها!A:B,2,FALSE)</f>
        <v>#N/A</v>
      </c>
      <c r="K3747" s="33" t="s">
        <v>9935</v>
      </c>
      <c r="L3747" s="53" t="s">
        <v>6054</v>
      </c>
      <c r="M3747" s="68" t="s">
        <v>8912</v>
      </c>
      <c r="N3747" s="53" t="s">
        <v>6285</v>
      </c>
      <c r="O3747" s="53">
        <v>55200</v>
      </c>
      <c r="P3747" s="198" t="s">
        <v>5854</v>
      </c>
    </row>
    <row r="3748" spans="1:16" ht="18.75" hidden="1">
      <c r="A3748" s="50" t="s">
        <v>9987</v>
      </c>
      <c r="B3748" s="50" t="s">
        <v>9889</v>
      </c>
      <c r="C3748" s="50" t="s">
        <v>9988</v>
      </c>
      <c r="D3748" s="12" t="s">
        <v>8621</v>
      </c>
      <c r="E3748" s="12" t="s">
        <v>4971</v>
      </c>
      <c r="F3748" s="49">
        <v>51870</v>
      </c>
      <c r="G3748" s="77" t="s">
        <v>6453</v>
      </c>
      <c r="H3748" s="14" t="s">
        <v>5601</v>
      </c>
      <c r="I3748" s="14" t="s">
        <v>2458</v>
      </c>
      <c r="J3748" s="33" t="s">
        <v>7110</v>
      </c>
      <c r="K3748" s="33" t="s">
        <v>9935</v>
      </c>
      <c r="L3748" s="53" t="s">
        <v>6054</v>
      </c>
      <c r="M3748" s="68" t="s">
        <v>8912</v>
      </c>
      <c r="N3748" s="53" t="s">
        <v>6285</v>
      </c>
      <c r="O3748" s="53">
        <v>55200</v>
      </c>
      <c r="P3748" s="198" t="s">
        <v>8497</v>
      </c>
    </row>
    <row r="3749" spans="1:16" ht="18.75" hidden="1">
      <c r="A3749" s="50" t="s">
        <v>9989</v>
      </c>
      <c r="B3749" s="50" t="s">
        <v>9952</v>
      </c>
      <c r="C3749" s="50" t="s">
        <v>9979</v>
      </c>
      <c r="D3749" s="12" t="s">
        <v>8621</v>
      </c>
      <c r="E3749" s="12" t="s">
        <v>4971</v>
      </c>
      <c r="F3749" s="49">
        <v>11020</v>
      </c>
      <c r="G3749" s="77" t="s">
        <v>8859</v>
      </c>
      <c r="H3749" s="14" t="s">
        <v>5601</v>
      </c>
      <c r="I3749" s="14" t="s">
        <v>2458</v>
      </c>
      <c r="J3749" s="33" t="e">
        <f>VLOOKUP(C3749,شرکتها!A:B,2,FALSE)</f>
        <v>#N/A</v>
      </c>
      <c r="K3749" s="33" t="s">
        <v>9935</v>
      </c>
      <c r="L3749" s="53" t="s">
        <v>6054</v>
      </c>
      <c r="M3749" s="68" t="s">
        <v>8913</v>
      </c>
      <c r="N3749" s="53" t="s">
        <v>6286</v>
      </c>
      <c r="O3749" s="53">
        <v>55107</v>
      </c>
      <c r="P3749" s="198" t="s">
        <v>5854</v>
      </c>
    </row>
    <row r="3750" spans="1:16" ht="18.75" hidden="1">
      <c r="A3750" s="50" t="s">
        <v>9989</v>
      </c>
      <c r="B3750" s="50" t="s">
        <v>9952</v>
      </c>
      <c r="C3750" s="50" t="s">
        <v>9990</v>
      </c>
      <c r="D3750" s="12" t="s">
        <v>6310</v>
      </c>
      <c r="E3750" s="12" t="s">
        <v>4971</v>
      </c>
      <c r="F3750" s="49">
        <v>63820</v>
      </c>
      <c r="G3750" s="77" t="s">
        <v>6298</v>
      </c>
      <c r="H3750" s="14" t="s">
        <v>5601</v>
      </c>
      <c r="I3750" s="14" t="s">
        <v>2458</v>
      </c>
      <c r="J3750" s="33" t="s">
        <v>7110</v>
      </c>
      <c r="K3750" s="33" t="s">
        <v>9935</v>
      </c>
      <c r="L3750" s="53" t="s">
        <v>6054</v>
      </c>
      <c r="M3750" s="68" t="s">
        <v>8913</v>
      </c>
      <c r="N3750" s="53" t="s">
        <v>6286</v>
      </c>
      <c r="O3750" s="53">
        <v>55107</v>
      </c>
      <c r="P3750" s="198" t="s">
        <v>7175</v>
      </c>
    </row>
    <row r="3751" spans="1:16" ht="18.75" hidden="1">
      <c r="A3751" s="50" t="s">
        <v>9991</v>
      </c>
      <c r="B3751" s="50" t="s">
        <v>9934</v>
      </c>
      <c r="C3751" s="50" t="s">
        <v>8877</v>
      </c>
      <c r="D3751" s="12" t="s">
        <v>8636</v>
      </c>
      <c r="E3751" s="12" t="s">
        <v>4971</v>
      </c>
      <c r="F3751" s="49">
        <v>47920</v>
      </c>
      <c r="G3751" s="77" t="s">
        <v>6454</v>
      </c>
      <c r="H3751" s="14" t="s">
        <v>5601</v>
      </c>
      <c r="I3751" s="14" t="s">
        <v>2458</v>
      </c>
      <c r="J3751" s="33" t="s">
        <v>7110</v>
      </c>
      <c r="K3751" s="33" t="s">
        <v>9935</v>
      </c>
      <c r="L3751" s="53" t="s">
        <v>6054</v>
      </c>
      <c r="M3751" s="68" t="s">
        <v>8913</v>
      </c>
      <c r="N3751" s="53" t="s">
        <v>6076</v>
      </c>
      <c r="O3751" s="53">
        <v>55301</v>
      </c>
      <c r="P3751" s="198" t="s">
        <v>7114</v>
      </c>
    </row>
    <row r="3752" spans="1:16" ht="18.75" hidden="1">
      <c r="A3752" s="50" t="s">
        <v>9992</v>
      </c>
      <c r="B3752" s="50" t="s">
        <v>9952</v>
      </c>
      <c r="C3752" s="50" t="s">
        <v>9979</v>
      </c>
      <c r="D3752" s="12" t="s">
        <v>8621</v>
      </c>
      <c r="E3752" s="12" t="s">
        <v>4971</v>
      </c>
      <c r="F3752" s="49">
        <v>72380</v>
      </c>
      <c r="G3752" s="77" t="s">
        <v>8859</v>
      </c>
      <c r="H3752" s="14" t="s">
        <v>5601</v>
      </c>
      <c r="I3752" s="14" t="s">
        <v>2458</v>
      </c>
      <c r="J3752" s="33" t="s">
        <v>7110</v>
      </c>
      <c r="K3752" s="33" t="s">
        <v>9935</v>
      </c>
      <c r="L3752" s="53" t="s">
        <v>6054</v>
      </c>
      <c r="M3752" s="68" t="s">
        <v>8913</v>
      </c>
      <c r="N3752" s="53" t="s">
        <v>9836</v>
      </c>
      <c r="O3752" s="53">
        <v>55112</v>
      </c>
      <c r="P3752" s="198" t="s">
        <v>5854</v>
      </c>
    </row>
    <row r="3753" spans="1:16" ht="18.75" hidden="1">
      <c r="A3753" s="50" t="s">
        <v>9976</v>
      </c>
      <c r="B3753" s="50" t="s">
        <v>9962</v>
      </c>
      <c r="C3753" s="50" t="s">
        <v>9993</v>
      </c>
      <c r="D3753" s="12" t="s">
        <v>8788</v>
      </c>
      <c r="E3753" s="12" t="s">
        <v>4971</v>
      </c>
      <c r="F3753" s="49">
        <v>142800</v>
      </c>
      <c r="G3753" s="77" t="s">
        <v>6453</v>
      </c>
      <c r="H3753" s="14" t="s">
        <v>5601</v>
      </c>
      <c r="I3753" s="14" t="s">
        <v>2458</v>
      </c>
      <c r="J3753" s="33" t="s">
        <v>7110</v>
      </c>
      <c r="K3753" s="33" t="s">
        <v>9935</v>
      </c>
      <c r="L3753" s="53" t="s">
        <v>6054</v>
      </c>
      <c r="M3753" s="68" t="s">
        <v>8913</v>
      </c>
      <c r="N3753" s="53" t="s">
        <v>6076</v>
      </c>
      <c r="O3753" s="53">
        <v>55301</v>
      </c>
      <c r="P3753" s="198" t="s">
        <v>8497</v>
      </c>
    </row>
    <row r="3754" spans="1:16" ht="18.75" hidden="1">
      <c r="A3754" s="50" t="s">
        <v>9984</v>
      </c>
      <c r="B3754" s="50" t="s">
        <v>9985</v>
      </c>
      <c r="C3754" s="50" t="s">
        <v>9993</v>
      </c>
      <c r="D3754" s="12" t="s">
        <v>8788</v>
      </c>
      <c r="E3754" s="12" t="s">
        <v>4971</v>
      </c>
      <c r="F3754" s="49">
        <v>75050</v>
      </c>
      <c r="G3754" s="77" t="s">
        <v>6453</v>
      </c>
      <c r="H3754" s="14" t="s">
        <v>5601</v>
      </c>
      <c r="I3754" s="14" t="s">
        <v>2458</v>
      </c>
      <c r="J3754" s="33" t="s">
        <v>7110</v>
      </c>
      <c r="K3754" s="33" t="s">
        <v>9935</v>
      </c>
      <c r="L3754" s="53" t="s">
        <v>6054</v>
      </c>
      <c r="M3754" s="68" t="s">
        <v>8912</v>
      </c>
      <c r="N3754" s="53" t="s">
        <v>6285</v>
      </c>
      <c r="O3754" s="53">
        <v>55200</v>
      </c>
      <c r="P3754" s="198" t="s">
        <v>8497</v>
      </c>
    </row>
    <row r="3755" spans="1:16" ht="18.75" hidden="1">
      <c r="A3755" s="50" t="s">
        <v>9994</v>
      </c>
      <c r="B3755" s="50" t="s">
        <v>9995</v>
      </c>
      <c r="C3755" s="50" t="s">
        <v>9996</v>
      </c>
      <c r="D3755" s="12" t="s">
        <v>9997</v>
      </c>
      <c r="E3755" s="12" t="s">
        <v>4971</v>
      </c>
      <c r="F3755" s="49">
        <v>248980</v>
      </c>
      <c r="G3755" s="77" t="s">
        <v>6454</v>
      </c>
      <c r="H3755" s="14" t="s">
        <v>5601</v>
      </c>
      <c r="I3755" s="14" t="s">
        <v>2458</v>
      </c>
      <c r="J3755" s="33" t="s">
        <v>7110</v>
      </c>
      <c r="K3755" s="33" t="s">
        <v>9998</v>
      </c>
      <c r="L3755" s="53" t="s">
        <v>6054</v>
      </c>
      <c r="M3755" s="68" t="s">
        <v>9999</v>
      </c>
      <c r="N3755" s="53" t="s">
        <v>6285</v>
      </c>
      <c r="O3755" s="53">
        <v>55200</v>
      </c>
      <c r="P3755" s="198" t="s">
        <v>9796</v>
      </c>
    </row>
    <row r="3756" spans="1:16" ht="18.75" hidden="1">
      <c r="A3756" s="50" t="s">
        <v>10000</v>
      </c>
      <c r="B3756" s="50" t="s">
        <v>10001</v>
      </c>
      <c r="C3756" s="50" t="s">
        <v>10002</v>
      </c>
      <c r="D3756" s="12" t="s">
        <v>9835</v>
      </c>
      <c r="E3756" s="12" t="s">
        <v>4971</v>
      </c>
      <c r="F3756" s="49">
        <v>334400</v>
      </c>
      <c r="G3756" s="77" t="s">
        <v>6454</v>
      </c>
      <c r="H3756" s="14" t="s">
        <v>5601</v>
      </c>
      <c r="I3756" s="14" t="s">
        <v>2458</v>
      </c>
      <c r="J3756" s="33" t="s">
        <v>7110</v>
      </c>
      <c r="K3756" s="33" t="s">
        <v>9998</v>
      </c>
      <c r="L3756" s="53" t="s">
        <v>6054</v>
      </c>
      <c r="M3756" s="68" t="s">
        <v>8913</v>
      </c>
      <c r="N3756" s="53" t="s">
        <v>6076</v>
      </c>
      <c r="O3756" s="53">
        <v>55301</v>
      </c>
      <c r="P3756" s="198" t="s">
        <v>9768</v>
      </c>
    </row>
    <row r="3757" spans="1:16" ht="18.75" hidden="1">
      <c r="A3757" s="50" t="s">
        <v>9994</v>
      </c>
      <c r="B3757" s="50" t="s">
        <v>9995</v>
      </c>
      <c r="C3757" s="50" t="s">
        <v>10003</v>
      </c>
      <c r="D3757" s="12" t="s">
        <v>9815</v>
      </c>
      <c r="E3757" s="12" t="s">
        <v>4971</v>
      </c>
      <c r="F3757" s="49">
        <v>76640</v>
      </c>
      <c r="G3757" s="77" t="s">
        <v>6298</v>
      </c>
      <c r="H3757" s="14" t="s">
        <v>5601</v>
      </c>
      <c r="I3757" s="14" t="s">
        <v>2458</v>
      </c>
      <c r="J3757" s="33" t="s">
        <v>7110</v>
      </c>
      <c r="K3757" s="33" t="s">
        <v>9998</v>
      </c>
      <c r="L3757" s="53" t="s">
        <v>6054</v>
      </c>
      <c r="M3757" s="68" t="s">
        <v>9999</v>
      </c>
      <c r="N3757" s="53" t="s">
        <v>6285</v>
      </c>
      <c r="O3757" s="53">
        <v>55200</v>
      </c>
      <c r="P3757" s="198" t="s">
        <v>8698</v>
      </c>
    </row>
    <row r="3758" spans="1:16" ht="18.75" hidden="1">
      <c r="A3758" s="50" t="s">
        <v>10000</v>
      </c>
      <c r="B3758" s="50" t="s">
        <v>10001</v>
      </c>
      <c r="C3758" s="50" t="s">
        <v>10004</v>
      </c>
      <c r="D3758" s="12" t="s">
        <v>9952</v>
      </c>
      <c r="E3758" s="12" t="s">
        <v>4971</v>
      </c>
      <c r="F3758" s="49">
        <v>136160</v>
      </c>
      <c r="G3758" s="77" t="s">
        <v>6453</v>
      </c>
      <c r="H3758" s="14" t="s">
        <v>5601</v>
      </c>
      <c r="I3758" s="14" t="s">
        <v>2458</v>
      </c>
      <c r="J3758" s="33" t="e">
        <f>VLOOKUP(C3758,شرکتها!A:B,2,FALSE)</f>
        <v>#N/A</v>
      </c>
      <c r="K3758" s="33" t="s">
        <v>9998</v>
      </c>
      <c r="L3758" s="53" t="s">
        <v>6054</v>
      </c>
      <c r="M3758" s="68" t="s">
        <v>8913</v>
      </c>
      <c r="N3758" s="53" t="s">
        <v>6076</v>
      </c>
      <c r="O3758" s="53">
        <v>55301</v>
      </c>
      <c r="P3758" s="198" t="s">
        <v>9770</v>
      </c>
    </row>
    <row r="3759" spans="1:16" ht="18.75" hidden="1">
      <c r="A3759" s="50" t="s">
        <v>9994</v>
      </c>
      <c r="B3759" s="50" t="s">
        <v>9995</v>
      </c>
      <c r="C3759" s="50" t="s">
        <v>10005</v>
      </c>
      <c r="D3759" s="12" t="s">
        <v>8833</v>
      </c>
      <c r="E3759" s="12" t="s">
        <v>4971</v>
      </c>
      <c r="F3759" s="49">
        <v>75800</v>
      </c>
      <c r="G3759" s="77" t="s">
        <v>6298</v>
      </c>
      <c r="H3759" s="14" t="s">
        <v>5601</v>
      </c>
      <c r="I3759" s="14" t="s">
        <v>2458</v>
      </c>
      <c r="J3759" s="33" t="s">
        <v>7110</v>
      </c>
      <c r="K3759" s="33" t="s">
        <v>9998</v>
      </c>
      <c r="L3759" s="53" t="s">
        <v>6054</v>
      </c>
      <c r="M3759" s="68" t="s">
        <v>9999</v>
      </c>
      <c r="N3759" s="53" t="s">
        <v>6285</v>
      </c>
      <c r="O3759" s="53">
        <v>55200</v>
      </c>
      <c r="P3759" s="198" t="s">
        <v>8698</v>
      </c>
    </row>
    <row r="3760" spans="1:16" ht="18.75" hidden="1">
      <c r="A3760" s="50" t="s">
        <v>10006</v>
      </c>
      <c r="B3760" s="50" t="s">
        <v>10001</v>
      </c>
      <c r="C3760" s="50" t="s">
        <v>4346</v>
      </c>
      <c r="D3760" s="12" t="s">
        <v>4183</v>
      </c>
      <c r="E3760" s="12">
        <v>95</v>
      </c>
      <c r="F3760" s="49">
        <v>13115</v>
      </c>
      <c r="G3760" s="77" t="s">
        <v>5683</v>
      </c>
      <c r="H3760" s="14" t="s">
        <v>5601</v>
      </c>
      <c r="I3760" s="14" t="s">
        <v>2458</v>
      </c>
      <c r="J3760" s="33" t="s">
        <v>7110</v>
      </c>
      <c r="K3760" s="33" t="s">
        <v>9998</v>
      </c>
      <c r="L3760" s="53" t="s">
        <v>6054</v>
      </c>
      <c r="M3760" s="68" t="s">
        <v>8913</v>
      </c>
      <c r="N3760" s="53" t="s">
        <v>6286</v>
      </c>
      <c r="O3760" s="53">
        <v>55107</v>
      </c>
      <c r="P3760" s="198" t="s">
        <v>5725</v>
      </c>
    </row>
    <row r="3761" spans="1:16" ht="18.75" hidden="1">
      <c r="A3761" s="50" t="s">
        <v>10007</v>
      </c>
      <c r="B3761" s="50" t="s">
        <v>10008</v>
      </c>
      <c r="C3761" s="50" t="s">
        <v>10009</v>
      </c>
      <c r="D3761" s="12" t="s">
        <v>9962</v>
      </c>
      <c r="E3761" s="12" t="s">
        <v>4971</v>
      </c>
      <c r="F3761" s="49">
        <v>46320</v>
      </c>
      <c r="G3761" s="77" t="s">
        <v>6454</v>
      </c>
      <c r="H3761" s="14" t="s">
        <v>5601</v>
      </c>
      <c r="I3761" s="14" t="s">
        <v>2458</v>
      </c>
      <c r="J3761" s="33" t="s">
        <v>7110</v>
      </c>
      <c r="K3761" s="33" t="s">
        <v>9998</v>
      </c>
      <c r="L3761" s="53" t="s">
        <v>6054</v>
      </c>
      <c r="M3761" s="68" t="s">
        <v>9999</v>
      </c>
      <c r="N3761" s="53" t="s">
        <v>6076</v>
      </c>
      <c r="O3761" s="53">
        <v>55301</v>
      </c>
      <c r="P3761" s="198" t="s">
        <v>9768</v>
      </c>
    </row>
    <row r="3762" spans="1:16" ht="18.75" hidden="1">
      <c r="A3762" s="50" t="s">
        <v>10010</v>
      </c>
      <c r="B3762" s="50" t="s">
        <v>10001</v>
      </c>
      <c r="C3762" s="50" t="s">
        <v>10004</v>
      </c>
      <c r="D3762" s="12" t="s">
        <v>9952</v>
      </c>
      <c r="E3762" s="12" t="s">
        <v>4971</v>
      </c>
      <c r="F3762" s="49">
        <v>200870</v>
      </c>
      <c r="G3762" s="77" t="s">
        <v>6453</v>
      </c>
      <c r="H3762" s="14" t="s">
        <v>5601</v>
      </c>
      <c r="I3762" s="14" t="s">
        <v>2458</v>
      </c>
      <c r="J3762" s="33" t="e">
        <f>VLOOKUP(C3762,شرکتها!A:B,2,FALSE)</f>
        <v>#N/A</v>
      </c>
      <c r="K3762" s="33" t="s">
        <v>9998</v>
      </c>
      <c r="L3762" s="53" t="s">
        <v>6054</v>
      </c>
      <c r="M3762" s="68" t="s">
        <v>9999</v>
      </c>
      <c r="N3762" s="53" t="s">
        <v>6285</v>
      </c>
      <c r="O3762" s="53">
        <v>55200</v>
      </c>
      <c r="P3762" s="198" t="s">
        <v>9770</v>
      </c>
    </row>
    <row r="3763" spans="1:16" ht="18.75" hidden="1">
      <c r="A3763" s="50" t="s">
        <v>10010</v>
      </c>
      <c r="B3763" s="50" t="s">
        <v>10001</v>
      </c>
      <c r="C3763" s="50" t="s">
        <v>10002</v>
      </c>
      <c r="D3763" s="12" t="s">
        <v>9835</v>
      </c>
      <c r="E3763" s="12" t="s">
        <v>4971</v>
      </c>
      <c r="F3763" s="49">
        <v>222950</v>
      </c>
      <c r="G3763" s="77" t="s">
        <v>6454</v>
      </c>
      <c r="H3763" s="14" t="s">
        <v>5601</v>
      </c>
      <c r="I3763" s="14" t="s">
        <v>2458</v>
      </c>
      <c r="J3763" s="33" t="s">
        <v>7110</v>
      </c>
      <c r="K3763" s="33" t="s">
        <v>9998</v>
      </c>
      <c r="L3763" s="53" t="s">
        <v>6054</v>
      </c>
      <c r="M3763" s="68" t="s">
        <v>9999</v>
      </c>
      <c r="N3763" s="53" t="s">
        <v>6285</v>
      </c>
      <c r="O3763" s="53">
        <v>55200</v>
      </c>
      <c r="P3763" s="198" t="s">
        <v>9768</v>
      </c>
    </row>
    <row r="3764" spans="1:16" ht="18.75" hidden="1">
      <c r="A3764" s="50" t="s">
        <v>10011</v>
      </c>
      <c r="B3764" s="50" t="s">
        <v>10012</v>
      </c>
      <c r="C3764" s="50" t="s">
        <v>10013</v>
      </c>
      <c r="D3764" s="12" t="s">
        <v>9835</v>
      </c>
      <c r="E3764" s="12" t="s">
        <v>4971</v>
      </c>
      <c r="F3764" s="49">
        <v>203260</v>
      </c>
      <c r="G3764" s="77" t="s">
        <v>6453</v>
      </c>
      <c r="H3764" s="14" t="s">
        <v>5601</v>
      </c>
      <c r="I3764" s="14" t="s">
        <v>2458</v>
      </c>
      <c r="J3764" s="33" t="e">
        <f>VLOOKUP(C3764,شرکتها!A:B,2,FALSE)</f>
        <v>#N/A</v>
      </c>
      <c r="K3764" s="33" t="s">
        <v>9998</v>
      </c>
      <c r="L3764" s="53" t="s">
        <v>6054</v>
      </c>
      <c r="M3764" s="68" t="s">
        <v>9999</v>
      </c>
      <c r="N3764" s="53" t="s">
        <v>6285</v>
      </c>
      <c r="O3764" s="53">
        <v>55200</v>
      </c>
      <c r="P3764" s="198" t="s">
        <v>9770</v>
      </c>
    </row>
    <row r="3765" spans="1:16" ht="18.75" hidden="1">
      <c r="A3765" s="50" t="s">
        <v>10014</v>
      </c>
      <c r="B3765" s="50" t="s">
        <v>10015</v>
      </c>
      <c r="C3765" s="50" t="s">
        <v>10009</v>
      </c>
      <c r="D3765" s="12" t="s">
        <v>9962</v>
      </c>
      <c r="E3765" s="12" t="s">
        <v>4971</v>
      </c>
      <c r="F3765" s="49">
        <v>74200</v>
      </c>
      <c r="G3765" s="77" t="s">
        <v>6454</v>
      </c>
      <c r="H3765" s="14" t="s">
        <v>5601</v>
      </c>
      <c r="I3765" s="14" t="s">
        <v>2458</v>
      </c>
      <c r="J3765" s="33" t="s">
        <v>7110</v>
      </c>
      <c r="K3765" s="33" t="s">
        <v>9998</v>
      </c>
      <c r="L3765" s="53" t="s">
        <v>6054</v>
      </c>
      <c r="M3765" s="68" t="s">
        <v>9999</v>
      </c>
      <c r="N3765" s="53" t="s">
        <v>6286</v>
      </c>
      <c r="O3765" s="53">
        <v>55107</v>
      </c>
      <c r="P3765" s="198" t="s">
        <v>9768</v>
      </c>
    </row>
    <row r="3766" spans="1:16" ht="18.75" hidden="1">
      <c r="A3766" s="50" t="s">
        <v>10016</v>
      </c>
      <c r="B3766" s="50" t="s">
        <v>10015</v>
      </c>
      <c r="C3766" s="50" t="s">
        <v>10017</v>
      </c>
      <c r="D3766" s="12" t="s">
        <v>8770</v>
      </c>
      <c r="E3766" s="12" t="s">
        <v>4971</v>
      </c>
      <c r="F3766" s="49">
        <v>148770</v>
      </c>
      <c r="G3766" s="77" t="s">
        <v>8859</v>
      </c>
      <c r="H3766" s="14" t="s">
        <v>5601</v>
      </c>
      <c r="I3766" s="14" t="s">
        <v>2458</v>
      </c>
      <c r="J3766" s="33" t="s">
        <v>7110</v>
      </c>
      <c r="K3766" s="33" t="s">
        <v>9998</v>
      </c>
      <c r="L3766" s="53" t="s">
        <v>6054</v>
      </c>
      <c r="M3766" s="68" t="s">
        <v>9999</v>
      </c>
      <c r="N3766" s="53" t="s">
        <v>6285</v>
      </c>
      <c r="O3766" s="53">
        <v>55200</v>
      </c>
      <c r="P3766" s="198" t="s">
        <v>5854</v>
      </c>
    </row>
    <row r="3767" spans="1:16" ht="18.75" hidden="1">
      <c r="A3767" s="50" t="s">
        <v>10016</v>
      </c>
      <c r="B3767" s="50" t="s">
        <v>10015</v>
      </c>
      <c r="C3767" s="50" t="s">
        <v>10009</v>
      </c>
      <c r="D3767" s="12" t="s">
        <v>9962</v>
      </c>
      <c r="E3767" s="12" t="s">
        <v>4971</v>
      </c>
      <c r="F3767" s="49">
        <v>75030</v>
      </c>
      <c r="G3767" s="77" t="s">
        <v>6454</v>
      </c>
      <c r="H3767" s="14" t="s">
        <v>5601</v>
      </c>
      <c r="I3767" s="14" t="s">
        <v>2458</v>
      </c>
      <c r="J3767" s="33" t="s">
        <v>7110</v>
      </c>
      <c r="K3767" s="33" t="s">
        <v>9998</v>
      </c>
      <c r="L3767" s="53" t="s">
        <v>6054</v>
      </c>
      <c r="M3767" s="68" t="s">
        <v>9999</v>
      </c>
      <c r="N3767" s="53" t="s">
        <v>6285</v>
      </c>
      <c r="O3767" s="53">
        <v>55200</v>
      </c>
      <c r="P3767" s="198" t="s">
        <v>9768</v>
      </c>
    </row>
    <row r="3768" spans="1:16" ht="18.75" hidden="1">
      <c r="A3768" s="50" t="s">
        <v>10018</v>
      </c>
      <c r="B3768" s="50" t="s">
        <v>9935</v>
      </c>
      <c r="C3768" s="50" t="s">
        <v>9996</v>
      </c>
      <c r="D3768" s="12" t="s">
        <v>9997</v>
      </c>
      <c r="E3768" s="12" t="s">
        <v>4971</v>
      </c>
      <c r="F3768" s="49">
        <v>139920</v>
      </c>
      <c r="G3768" s="77" t="s">
        <v>6454</v>
      </c>
      <c r="H3768" s="14" t="s">
        <v>5601</v>
      </c>
      <c r="I3768" s="14" t="s">
        <v>2458</v>
      </c>
      <c r="J3768" s="33" t="s">
        <v>7110</v>
      </c>
      <c r="K3768" s="33" t="s">
        <v>9998</v>
      </c>
      <c r="L3768" s="53" t="s">
        <v>6054</v>
      </c>
      <c r="M3768" s="68" t="s">
        <v>8913</v>
      </c>
      <c r="N3768" s="53" t="s">
        <v>6076</v>
      </c>
      <c r="O3768" s="53">
        <v>55301</v>
      </c>
      <c r="P3768" s="198" t="s">
        <v>9796</v>
      </c>
    </row>
    <row r="3769" spans="1:16" ht="18.75" hidden="1">
      <c r="A3769" s="50" t="s">
        <v>10019</v>
      </c>
      <c r="B3769" s="50" t="s">
        <v>9935</v>
      </c>
      <c r="C3769" s="50" t="s">
        <v>10005</v>
      </c>
      <c r="D3769" s="12" t="s">
        <v>8833</v>
      </c>
      <c r="E3769" s="12" t="s">
        <v>4971</v>
      </c>
      <c r="F3769" s="49">
        <v>48270</v>
      </c>
      <c r="G3769" s="77" t="s">
        <v>6298</v>
      </c>
      <c r="H3769" s="14" t="s">
        <v>5601</v>
      </c>
      <c r="I3769" s="14" t="s">
        <v>2458</v>
      </c>
      <c r="J3769" s="33" t="s">
        <v>7110</v>
      </c>
      <c r="K3769" s="33" t="s">
        <v>9998</v>
      </c>
      <c r="L3769" s="53" t="s">
        <v>6054</v>
      </c>
      <c r="M3769" s="68" t="s">
        <v>9999</v>
      </c>
      <c r="N3769" s="53" t="s">
        <v>6285</v>
      </c>
      <c r="O3769" s="53">
        <v>55200</v>
      </c>
      <c r="P3769" s="198" t="s">
        <v>8698</v>
      </c>
    </row>
    <row r="3770" spans="1:16" ht="18.75" hidden="1">
      <c r="A3770" s="50" t="s">
        <v>10020</v>
      </c>
      <c r="B3770" s="50" t="s">
        <v>9995</v>
      </c>
      <c r="C3770" s="50" t="s">
        <v>10021</v>
      </c>
      <c r="D3770" s="12" t="s">
        <v>9835</v>
      </c>
      <c r="E3770" s="12" t="s">
        <v>4971</v>
      </c>
      <c r="F3770" s="49">
        <v>50980</v>
      </c>
      <c r="G3770" s="77" t="s">
        <v>6454</v>
      </c>
      <c r="H3770" s="14" t="s">
        <v>5601</v>
      </c>
      <c r="I3770" s="14" t="s">
        <v>2458</v>
      </c>
      <c r="J3770" s="33" t="s">
        <v>7110</v>
      </c>
      <c r="K3770" s="33" t="s">
        <v>9998</v>
      </c>
      <c r="L3770" s="53" t="s">
        <v>6054</v>
      </c>
      <c r="M3770" s="68" t="s">
        <v>8913</v>
      </c>
      <c r="N3770" s="53" t="s">
        <v>6076</v>
      </c>
      <c r="O3770" s="53">
        <v>55301</v>
      </c>
      <c r="P3770" s="198" t="s">
        <v>9768</v>
      </c>
    </row>
    <row r="3771" spans="1:16" ht="18.75" hidden="1">
      <c r="A3771" s="50" t="s">
        <v>10016</v>
      </c>
      <c r="B3771" s="50" t="s">
        <v>10015</v>
      </c>
      <c r="C3771" s="50" t="s">
        <v>10013</v>
      </c>
      <c r="D3771" s="12" t="s">
        <v>9835</v>
      </c>
      <c r="E3771" s="12" t="s">
        <v>4971</v>
      </c>
      <c r="F3771" s="49">
        <v>125780</v>
      </c>
      <c r="G3771" s="77" t="s">
        <v>6453</v>
      </c>
      <c r="H3771" s="14" t="s">
        <v>5601</v>
      </c>
      <c r="I3771" s="14" t="s">
        <v>2458</v>
      </c>
      <c r="J3771" s="33" t="e">
        <f>VLOOKUP(C3771,شرکتها!A:B,2,FALSE)</f>
        <v>#N/A</v>
      </c>
      <c r="K3771" s="33" t="s">
        <v>9998</v>
      </c>
      <c r="L3771" s="53" t="s">
        <v>6054</v>
      </c>
      <c r="M3771" s="68" t="s">
        <v>9999</v>
      </c>
      <c r="N3771" s="53" t="s">
        <v>6285</v>
      </c>
      <c r="O3771" s="53">
        <v>55200</v>
      </c>
      <c r="P3771" s="198" t="s">
        <v>9770</v>
      </c>
    </row>
    <row r="3772" spans="1:16" ht="18.75" hidden="1">
      <c r="A3772" s="50" t="s">
        <v>10022</v>
      </c>
      <c r="B3772" s="50" t="s">
        <v>10008</v>
      </c>
      <c r="C3772" s="50" t="s">
        <v>10002</v>
      </c>
      <c r="D3772" s="12" t="s">
        <v>9835</v>
      </c>
      <c r="E3772" s="12" t="s">
        <v>4971</v>
      </c>
      <c r="F3772" s="49">
        <v>104760</v>
      </c>
      <c r="G3772" s="77" t="s">
        <v>6454</v>
      </c>
      <c r="H3772" s="14" t="s">
        <v>5601</v>
      </c>
      <c r="I3772" s="14" t="s">
        <v>2458</v>
      </c>
      <c r="J3772" s="33" t="s">
        <v>7110</v>
      </c>
      <c r="K3772" s="33" t="s">
        <v>9998</v>
      </c>
      <c r="L3772" s="53" t="s">
        <v>6054</v>
      </c>
      <c r="M3772" s="68" t="s">
        <v>8913</v>
      </c>
      <c r="N3772" s="53" t="s">
        <v>6076</v>
      </c>
      <c r="O3772" s="53">
        <v>55301</v>
      </c>
      <c r="P3772" s="198" t="s">
        <v>9768</v>
      </c>
    </row>
    <row r="3773" spans="1:16" ht="18.75" hidden="1">
      <c r="A3773" s="50" t="s">
        <v>10020</v>
      </c>
      <c r="B3773" s="50" t="s">
        <v>9995</v>
      </c>
      <c r="C3773" s="50" t="s">
        <v>10023</v>
      </c>
      <c r="D3773" s="12" t="s">
        <v>10024</v>
      </c>
      <c r="E3773" s="12" t="s">
        <v>4971</v>
      </c>
      <c r="F3773" s="49">
        <v>13060</v>
      </c>
      <c r="G3773" s="77" t="s">
        <v>6454</v>
      </c>
      <c r="H3773" s="14" t="s">
        <v>5601</v>
      </c>
      <c r="I3773" s="14" t="s">
        <v>2458</v>
      </c>
      <c r="J3773" s="33" t="s">
        <v>7110</v>
      </c>
      <c r="K3773" s="33" t="s">
        <v>9998</v>
      </c>
      <c r="L3773" s="53" t="s">
        <v>6054</v>
      </c>
      <c r="M3773" s="68" t="s">
        <v>8913</v>
      </c>
      <c r="N3773" s="53" t="s">
        <v>6076</v>
      </c>
      <c r="O3773" s="53">
        <v>55301</v>
      </c>
      <c r="P3773" s="198" t="s">
        <v>9789</v>
      </c>
    </row>
    <row r="3774" spans="1:16" ht="18.75" hidden="1">
      <c r="A3774" s="50" t="s">
        <v>10022</v>
      </c>
      <c r="B3774" s="50" t="s">
        <v>10008</v>
      </c>
      <c r="C3774" s="50" t="s">
        <v>10013</v>
      </c>
      <c r="D3774" s="12" t="s">
        <v>9835</v>
      </c>
      <c r="E3774" s="12" t="s">
        <v>4971</v>
      </c>
      <c r="F3774" s="49">
        <v>20650</v>
      </c>
      <c r="G3774" s="77" t="s">
        <v>6453</v>
      </c>
      <c r="H3774" s="14" t="s">
        <v>5601</v>
      </c>
      <c r="I3774" s="14" t="s">
        <v>2458</v>
      </c>
      <c r="J3774" s="33" t="e">
        <f>VLOOKUP(C3774,شرکتها!A:B,2,FALSE)</f>
        <v>#N/A</v>
      </c>
      <c r="K3774" s="33" t="s">
        <v>9998</v>
      </c>
      <c r="L3774" s="53" t="s">
        <v>6054</v>
      </c>
      <c r="M3774" s="68" t="s">
        <v>8913</v>
      </c>
      <c r="N3774" s="53" t="s">
        <v>6076</v>
      </c>
      <c r="O3774" s="53">
        <v>55301</v>
      </c>
      <c r="P3774" s="198" t="s">
        <v>9770</v>
      </c>
    </row>
    <row r="3775" spans="1:16" ht="18.75" hidden="1">
      <c r="A3775" s="50" t="s">
        <v>10020</v>
      </c>
      <c r="B3775" s="50" t="s">
        <v>9995</v>
      </c>
      <c r="C3775" s="50" t="s">
        <v>9996</v>
      </c>
      <c r="D3775" s="12" t="s">
        <v>9997</v>
      </c>
      <c r="E3775" s="12" t="s">
        <v>4971</v>
      </c>
      <c r="F3775" s="49">
        <v>111100</v>
      </c>
      <c r="G3775" s="77" t="s">
        <v>6454</v>
      </c>
      <c r="H3775" s="14" t="s">
        <v>5601</v>
      </c>
      <c r="I3775" s="14" t="s">
        <v>2458</v>
      </c>
      <c r="J3775" s="33" t="s">
        <v>7110</v>
      </c>
      <c r="K3775" s="33" t="s">
        <v>9998</v>
      </c>
      <c r="L3775" s="53" t="s">
        <v>6054</v>
      </c>
      <c r="M3775" s="68" t="s">
        <v>8913</v>
      </c>
      <c r="N3775" s="53" t="s">
        <v>6076</v>
      </c>
      <c r="O3775" s="53">
        <v>55301</v>
      </c>
      <c r="P3775" s="198" t="s">
        <v>9796</v>
      </c>
    </row>
    <row r="3776" spans="1:16" ht="18.75" hidden="1">
      <c r="A3776" s="50" t="s">
        <v>10010</v>
      </c>
      <c r="B3776" s="50" t="s">
        <v>10001</v>
      </c>
      <c r="C3776" s="50" t="s">
        <v>10003</v>
      </c>
      <c r="D3776" s="12" t="s">
        <v>9815</v>
      </c>
      <c r="E3776" s="12" t="s">
        <v>4971</v>
      </c>
      <c r="F3776" s="49">
        <v>49160</v>
      </c>
      <c r="G3776" s="77" t="s">
        <v>6298</v>
      </c>
      <c r="H3776" s="14" t="s">
        <v>5601</v>
      </c>
      <c r="I3776" s="14" t="s">
        <v>2458</v>
      </c>
      <c r="J3776" s="33" t="s">
        <v>7110</v>
      </c>
      <c r="K3776" s="33" t="s">
        <v>9998</v>
      </c>
      <c r="L3776" s="53" t="s">
        <v>6054</v>
      </c>
      <c r="M3776" s="68" t="s">
        <v>9999</v>
      </c>
      <c r="N3776" s="53" t="s">
        <v>6285</v>
      </c>
      <c r="O3776" s="53">
        <v>55200</v>
      </c>
      <c r="P3776" s="198" t="s">
        <v>8698</v>
      </c>
    </row>
    <row r="3777" spans="1:16" ht="18.75" hidden="1">
      <c r="A3777" s="50" t="s">
        <v>10006</v>
      </c>
      <c r="B3777" s="50" t="s">
        <v>10001</v>
      </c>
      <c r="C3777" s="50" t="s">
        <v>9982</v>
      </c>
      <c r="D3777" s="12" t="s">
        <v>8793</v>
      </c>
      <c r="E3777" s="12" t="s">
        <v>4971</v>
      </c>
      <c r="F3777" s="49">
        <v>59745</v>
      </c>
      <c r="G3777" s="77" t="s">
        <v>8859</v>
      </c>
      <c r="H3777" s="14" t="s">
        <v>5601</v>
      </c>
      <c r="I3777" s="14" t="s">
        <v>2458</v>
      </c>
      <c r="J3777" s="33" t="s">
        <v>7110</v>
      </c>
      <c r="K3777" s="33" t="s">
        <v>9998</v>
      </c>
      <c r="L3777" s="53" t="s">
        <v>6054</v>
      </c>
      <c r="M3777" s="68" t="s">
        <v>8913</v>
      </c>
      <c r="N3777" s="53" t="s">
        <v>6286</v>
      </c>
      <c r="O3777" s="53">
        <v>55107</v>
      </c>
      <c r="P3777" s="198" t="s">
        <v>5854</v>
      </c>
    </row>
    <row r="3778" spans="1:16" ht="18.75" hidden="1">
      <c r="A3778" s="50" t="s">
        <v>10018</v>
      </c>
      <c r="B3778" s="50" t="s">
        <v>9935</v>
      </c>
      <c r="C3778" s="50" t="s">
        <v>10025</v>
      </c>
      <c r="D3778" s="12" t="s">
        <v>9997</v>
      </c>
      <c r="E3778" s="12" t="s">
        <v>4971</v>
      </c>
      <c r="F3778" s="49">
        <v>292280</v>
      </c>
      <c r="G3778" s="77" t="s">
        <v>6454</v>
      </c>
      <c r="H3778" s="14" t="s">
        <v>5601</v>
      </c>
      <c r="I3778" s="14" t="s">
        <v>2458</v>
      </c>
      <c r="J3778" s="33" t="s">
        <v>7110</v>
      </c>
      <c r="K3778" s="33" t="s">
        <v>9998</v>
      </c>
      <c r="L3778" s="53" t="s">
        <v>6054</v>
      </c>
      <c r="M3778" s="68" t="s">
        <v>8913</v>
      </c>
      <c r="N3778" s="53" t="s">
        <v>6076</v>
      </c>
      <c r="O3778" s="53">
        <v>55301</v>
      </c>
      <c r="P3778" s="198" t="s">
        <v>9796</v>
      </c>
    </row>
    <row r="3779" spans="1:16" ht="18.75" hidden="1">
      <c r="A3779" s="50" t="s">
        <v>10022</v>
      </c>
      <c r="B3779" s="50" t="s">
        <v>10008</v>
      </c>
      <c r="C3779" s="50" t="s">
        <v>10004</v>
      </c>
      <c r="D3779" s="12" t="s">
        <v>9952</v>
      </c>
      <c r="E3779" s="12" t="s">
        <v>4971</v>
      </c>
      <c r="F3779" s="49">
        <v>508350</v>
      </c>
      <c r="G3779" s="77" t="s">
        <v>6453</v>
      </c>
      <c r="H3779" s="14" t="s">
        <v>5601</v>
      </c>
      <c r="I3779" s="14" t="s">
        <v>2458</v>
      </c>
      <c r="J3779" s="33" t="e">
        <f>VLOOKUP(C3779,شرکتها!A:B,2,FALSE)</f>
        <v>#N/A</v>
      </c>
      <c r="K3779" s="33" t="s">
        <v>9998</v>
      </c>
      <c r="L3779" s="53" t="s">
        <v>6054</v>
      </c>
      <c r="M3779" s="68" t="s">
        <v>8913</v>
      </c>
      <c r="N3779" s="53" t="s">
        <v>6076</v>
      </c>
      <c r="O3779" s="53">
        <v>55301</v>
      </c>
      <c r="P3779" s="198" t="s">
        <v>9770</v>
      </c>
    </row>
    <row r="3780" spans="1:16" ht="18.75" hidden="1">
      <c r="A3780" s="50" t="s">
        <v>10022</v>
      </c>
      <c r="B3780" s="50" t="s">
        <v>10008</v>
      </c>
      <c r="C3780" s="50" t="s">
        <v>10009</v>
      </c>
      <c r="D3780" s="12" t="s">
        <v>9962</v>
      </c>
      <c r="E3780" s="12" t="s">
        <v>4971</v>
      </c>
      <c r="F3780" s="49">
        <v>533080</v>
      </c>
      <c r="G3780" s="77" t="s">
        <v>6454</v>
      </c>
      <c r="H3780" s="14" t="s">
        <v>5601</v>
      </c>
      <c r="I3780" s="14" t="s">
        <v>2458</v>
      </c>
      <c r="J3780" s="33" t="s">
        <v>7110</v>
      </c>
      <c r="K3780" s="33" t="s">
        <v>9998</v>
      </c>
      <c r="L3780" s="53" t="s">
        <v>6054</v>
      </c>
      <c r="M3780" s="68" t="s">
        <v>8913</v>
      </c>
      <c r="N3780" s="53" t="s">
        <v>6076</v>
      </c>
      <c r="O3780" s="53">
        <v>55301</v>
      </c>
      <c r="P3780" s="198" t="s">
        <v>9768</v>
      </c>
    </row>
    <row r="3781" spans="1:16" ht="18.75" hidden="1">
      <c r="A3781" s="50" t="s">
        <v>10020</v>
      </c>
      <c r="B3781" s="50" t="s">
        <v>9995</v>
      </c>
      <c r="C3781" s="50" t="s">
        <v>10026</v>
      </c>
      <c r="D3781" s="12" t="s">
        <v>9835</v>
      </c>
      <c r="E3781" s="12" t="s">
        <v>4971</v>
      </c>
      <c r="F3781" s="49">
        <v>110260</v>
      </c>
      <c r="G3781" s="77" t="s">
        <v>6454</v>
      </c>
      <c r="H3781" s="14" t="s">
        <v>5601</v>
      </c>
      <c r="I3781" s="14" t="s">
        <v>2458</v>
      </c>
      <c r="J3781" s="33" t="s">
        <v>7110</v>
      </c>
      <c r="K3781" s="33" t="s">
        <v>9998</v>
      </c>
      <c r="L3781" s="53" t="s">
        <v>6054</v>
      </c>
      <c r="M3781" s="68" t="s">
        <v>8913</v>
      </c>
      <c r="N3781" s="53" t="s">
        <v>6076</v>
      </c>
      <c r="O3781" s="53">
        <v>55301</v>
      </c>
      <c r="P3781" s="198" t="s">
        <v>9768</v>
      </c>
    </row>
    <row r="3782" spans="1:16" ht="18.75" hidden="1">
      <c r="A3782" s="50" t="s">
        <v>10027</v>
      </c>
      <c r="B3782" s="50" t="s">
        <v>10028</v>
      </c>
      <c r="C3782" s="50" t="s">
        <v>9923</v>
      </c>
      <c r="D3782" s="12" t="s">
        <v>8629</v>
      </c>
      <c r="E3782" s="12" t="s">
        <v>4971</v>
      </c>
      <c r="F3782" s="49">
        <v>1</v>
      </c>
      <c r="G3782" s="77" t="s">
        <v>6298</v>
      </c>
      <c r="H3782" s="14" t="s">
        <v>5601</v>
      </c>
      <c r="I3782" s="14" t="s">
        <v>2458</v>
      </c>
      <c r="J3782" s="33" t="s">
        <v>7110</v>
      </c>
      <c r="K3782" s="33" t="s">
        <v>9998</v>
      </c>
      <c r="L3782" s="53" t="s">
        <v>6054</v>
      </c>
      <c r="M3782" s="68" t="s">
        <v>8913</v>
      </c>
      <c r="N3782" s="53" t="s">
        <v>6076</v>
      </c>
      <c r="O3782" s="53">
        <v>55301</v>
      </c>
      <c r="P3782" s="198" t="s">
        <v>7111</v>
      </c>
    </row>
    <row r="3783" spans="1:16" ht="18.75" hidden="1">
      <c r="A3783" s="50" t="s">
        <v>10027</v>
      </c>
      <c r="B3783" s="50" t="s">
        <v>10028</v>
      </c>
      <c r="C3783" s="50" t="s">
        <v>10029</v>
      </c>
      <c r="D3783" s="12" t="s">
        <v>8621</v>
      </c>
      <c r="E3783" s="12" t="s">
        <v>4971</v>
      </c>
      <c r="F3783" s="49">
        <v>226189</v>
      </c>
      <c r="G3783" s="77" t="s">
        <v>6453</v>
      </c>
      <c r="H3783" s="14" t="s">
        <v>5601</v>
      </c>
      <c r="I3783" s="14" t="s">
        <v>2458</v>
      </c>
      <c r="J3783" s="33" t="s">
        <v>7110</v>
      </c>
      <c r="K3783" s="33" t="s">
        <v>9998</v>
      </c>
      <c r="L3783" s="53" t="s">
        <v>6054</v>
      </c>
      <c r="M3783" s="68" t="s">
        <v>8913</v>
      </c>
      <c r="N3783" s="53" t="s">
        <v>6076</v>
      </c>
      <c r="O3783" s="53">
        <v>55301</v>
      </c>
      <c r="P3783" s="198" t="s">
        <v>8497</v>
      </c>
    </row>
    <row r="3784" spans="1:16" ht="18.75" hidden="1">
      <c r="A3784" s="50" t="s">
        <v>10030</v>
      </c>
      <c r="B3784" s="50" t="s">
        <v>10028</v>
      </c>
      <c r="C3784" s="50" t="s">
        <v>10031</v>
      </c>
      <c r="D3784" s="12" t="s">
        <v>8846</v>
      </c>
      <c r="E3784" s="12" t="s">
        <v>4971</v>
      </c>
      <c r="F3784" s="49">
        <v>126150</v>
      </c>
      <c r="G3784" s="77" t="s">
        <v>6298</v>
      </c>
      <c r="H3784" s="14" t="s">
        <v>5601</v>
      </c>
      <c r="I3784" s="14" t="s">
        <v>2458</v>
      </c>
      <c r="J3784" s="33" t="s">
        <v>7110</v>
      </c>
      <c r="K3784" s="33" t="s">
        <v>9998</v>
      </c>
      <c r="L3784" s="53" t="s">
        <v>6054</v>
      </c>
      <c r="M3784" s="68" t="s">
        <v>9999</v>
      </c>
      <c r="N3784" s="53" t="s">
        <v>6285</v>
      </c>
      <c r="O3784" s="53">
        <v>55200</v>
      </c>
      <c r="P3784" s="198" t="s">
        <v>8698</v>
      </c>
    </row>
    <row r="3785" spans="1:16" ht="18.75" hidden="1">
      <c r="A3785" s="50" t="s">
        <v>10032</v>
      </c>
      <c r="B3785" s="50" t="s">
        <v>10033</v>
      </c>
      <c r="C3785" s="50" t="s">
        <v>10034</v>
      </c>
      <c r="D3785" s="12" t="s">
        <v>9830</v>
      </c>
      <c r="E3785" s="12" t="s">
        <v>4971</v>
      </c>
      <c r="F3785" s="49">
        <v>25750</v>
      </c>
      <c r="G3785" s="77" t="s">
        <v>6454</v>
      </c>
      <c r="H3785" s="14" t="s">
        <v>5601</v>
      </c>
      <c r="I3785" s="14" t="s">
        <v>2458</v>
      </c>
      <c r="J3785" s="33" t="s">
        <v>7110</v>
      </c>
      <c r="K3785" s="33" t="s">
        <v>9998</v>
      </c>
      <c r="L3785" s="53" t="s">
        <v>6054</v>
      </c>
      <c r="M3785" s="68" t="s">
        <v>9999</v>
      </c>
      <c r="N3785" s="53" t="s">
        <v>6285</v>
      </c>
      <c r="O3785" s="53">
        <v>55200</v>
      </c>
      <c r="P3785" s="198" t="s">
        <v>9768</v>
      </c>
    </row>
    <row r="3786" spans="1:16" ht="18.75" hidden="1">
      <c r="A3786" s="50" t="s">
        <v>10035</v>
      </c>
      <c r="B3786" s="50" t="s">
        <v>10036</v>
      </c>
      <c r="C3786" s="50" t="s">
        <v>10034</v>
      </c>
      <c r="D3786" s="12" t="s">
        <v>9830</v>
      </c>
      <c r="E3786" s="12" t="s">
        <v>4971</v>
      </c>
      <c r="F3786" s="49">
        <v>38410</v>
      </c>
      <c r="G3786" s="77" t="s">
        <v>6454</v>
      </c>
      <c r="H3786" s="14" t="s">
        <v>5601</v>
      </c>
      <c r="I3786" s="14" t="s">
        <v>2458</v>
      </c>
      <c r="J3786" s="33" t="s">
        <v>7110</v>
      </c>
      <c r="K3786" s="33" t="s">
        <v>9998</v>
      </c>
      <c r="L3786" s="53" t="s">
        <v>6054</v>
      </c>
      <c r="M3786" s="68" t="s">
        <v>9999</v>
      </c>
      <c r="N3786" s="53" t="s">
        <v>6285</v>
      </c>
      <c r="O3786" s="53">
        <v>55200</v>
      </c>
      <c r="P3786" s="198" t="s">
        <v>9768</v>
      </c>
    </row>
    <row r="3787" spans="1:16" ht="18.75" hidden="1">
      <c r="A3787" s="50" t="s">
        <v>10035</v>
      </c>
      <c r="B3787" s="50" t="s">
        <v>10036</v>
      </c>
      <c r="C3787" s="50" t="s">
        <v>10004</v>
      </c>
      <c r="D3787" s="12" t="s">
        <v>9952</v>
      </c>
      <c r="E3787" s="12" t="s">
        <v>4971</v>
      </c>
      <c r="F3787" s="49">
        <v>154620</v>
      </c>
      <c r="G3787" s="77" t="s">
        <v>6453</v>
      </c>
      <c r="H3787" s="14" t="s">
        <v>5601</v>
      </c>
      <c r="I3787" s="14" t="s">
        <v>2458</v>
      </c>
      <c r="J3787" s="33" t="e">
        <f>VLOOKUP(C3787,شرکتها!A:B,2,FALSE)</f>
        <v>#N/A</v>
      </c>
      <c r="K3787" s="33" t="s">
        <v>9998</v>
      </c>
      <c r="L3787" s="53" t="s">
        <v>6054</v>
      </c>
      <c r="M3787" s="68" t="s">
        <v>9999</v>
      </c>
      <c r="N3787" s="53" t="s">
        <v>6285</v>
      </c>
      <c r="O3787" s="53">
        <v>55200</v>
      </c>
      <c r="P3787" s="198" t="s">
        <v>9770</v>
      </c>
    </row>
    <row r="3788" spans="1:16" ht="18.75" hidden="1">
      <c r="A3788" s="50" t="s">
        <v>10037</v>
      </c>
      <c r="B3788" s="50" t="s">
        <v>10024</v>
      </c>
      <c r="C3788" s="50" t="s">
        <v>10038</v>
      </c>
      <c r="D3788" s="12" t="s">
        <v>8774</v>
      </c>
      <c r="E3788" s="12" t="s">
        <v>4971</v>
      </c>
      <c r="F3788" s="49">
        <v>20520</v>
      </c>
      <c r="G3788" s="77" t="s">
        <v>6454</v>
      </c>
      <c r="H3788" s="14" t="s">
        <v>5601</v>
      </c>
      <c r="I3788" s="14" t="s">
        <v>2458</v>
      </c>
      <c r="J3788" s="33" t="s">
        <v>7110</v>
      </c>
      <c r="K3788" s="33" t="s">
        <v>9998</v>
      </c>
      <c r="L3788" s="53" t="s">
        <v>6054</v>
      </c>
      <c r="M3788" s="68" t="s">
        <v>8913</v>
      </c>
      <c r="N3788" s="53" t="s">
        <v>9836</v>
      </c>
      <c r="O3788" s="53">
        <v>55112</v>
      </c>
      <c r="P3788" s="198" t="s">
        <v>7118</v>
      </c>
    </row>
    <row r="3789" spans="1:16" ht="18.75" hidden="1">
      <c r="A3789" s="50" t="s">
        <v>10035</v>
      </c>
      <c r="B3789" s="50" t="s">
        <v>10036</v>
      </c>
      <c r="C3789" s="50" t="s">
        <v>10021</v>
      </c>
      <c r="D3789" s="12" t="s">
        <v>9835</v>
      </c>
      <c r="E3789" s="12" t="s">
        <v>4971</v>
      </c>
      <c r="F3789" s="49">
        <v>79560</v>
      </c>
      <c r="G3789" s="77" t="s">
        <v>6454</v>
      </c>
      <c r="H3789" s="14" t="s">
        <v>5601</v>
      </c>
      <c r="I3789" s="14" t="s">
        <v>2458</v>
      </c>
      <c r="J3789" s="33" t="s">
        <v>7110</v>
      </c>
      <c r="K3789" s="33" t="s">
        <v>9998</v>
      </c>
      <c r="L3789" s="53" t="s">
        <v>6054</v>
      </c>
      <c r="M3789" s="68" t="s">
        <v>9999</v>
      </c>
      <c r="N3789" s="53" t="s">
        <v>6285</v>
      </c>
      <c r="O3789" s="53">
        <v>55200</v>
      </c>
      <c r="P3789" s="198" t="s">
        <v>9768</v>
      </c>
    </row>
    <row r="3790" spans="1:16" ht="18.75" hidden="1">
      <c r="A3790" s="50" t="s">
        <v>10032</v>
      </c>
      <c r="B3790" s="50" t="s">
        <v>10033</v>
      </c>
      <c r="C3790" s="50" t="s">
        <v>10039</v>
      </c>
      <c r="D3790" s="12" t="s">
        <v>8824</v>
      </c>
      <c r="E3790" s="12" t="s">
        <v>4971</v>
      </c>
      <c r="F3790" s="49">
        <v>73580</v>
      </c>
      <c r="G3790" s="77" t="s">
        <v>6298</v>
      </c>
      <c r="H3790" s="14" t="s">
        <v>5601</v>
      </c>
      <c r="I3790" s="14" t="s">
        <v>2458</v>
      </c>
      <c r="J3790" s="33" t="s">
        <v>7110</v>
      </c>
      <c r="K3790" s="33" t="s">
        <v>9998</v>
      </c>
      <c r="L3790" s="53" t="s">
        <v>6054</v>
      </c>
      <c r="M3790" s="68" t="s">
        <v>9999</v>
      </c>
      <c r="N3790" s="53" t="s">
        <v>6285</v>
      </c>
      <c r="O3790" s="53">
        <v>55200</v>
      </c>
      <c r="P3790" s="198" t="s">
        <v>8698</v>
      </c>
    </row>
    <row r="3791" spans="1:16" ht="18.75" hidden="1">
      <c r="A3791" s="50" t="s">
        <v>10032</v>
      </c>
      <c r="B3791" s="50" t="s">
        <v>10033</v>
      </c>
      <c r="C3791" s="50" t="s">
        <v>10040</v>
      </c>
      <c r="D3791" s="12" t="s">
        <v>9830</v>
      </c>
      <c r="E3791" s="12" t="s">
        <v>4971</v>
      </c>
      <c r="F3791" s="49">
        <v>49120</v>
      </c>
      <c r="G3791" s="77" t="s">
        <v>6454</v>
      </c>
      <c r="H3791" s="14" t="s">
        <v>5601</v>
      </c>
      <c r="I3791" s="14" t="s">
        <v>2458</v>
      </c>
      <c r="J3791" s="33" t="s">
        <v>7110</v>
      </c>
      <c r="K3791" s="33" t="s">
        <v>9998</v>
      </c>
      <c r="L3791" s="53" t="s">
        <v>6054</v>
      </c>
      <c r="M3791" s="68" t="s">
        <v>9999</v>
      </c>
      <c r="N3791" s="53" t="s">
        <v>6285</v>
      </c>
      <c r="O3791" s="53">
        <v>55200</v>
      </c>
      <c r="P3791" s="198" t="s">
        <v>9768</v>
      </c>
    </row>
    <row r="3792" spans="1:16" ht="18.75" hidden="1">
      <c r="A3792" s="50" t="s">
        <v>10032</v>
      </c>
      <c r="B3792" s="50" t="s">
        <v>10033</v>
      </c>
      <c r="C3792" s="50" t="s">
        <v>10041</v>
      </c>
      <c r="D3792" s="12" t="s">
        <v>8911</v>
      </c>
      <c r="E3792" s="12" t="s">
        <v>4971</v>
      </c>
      <c r="F3792" s="49">
        <v>227270</v>
      </c>
      <c r="G3792" s="77" t="s">
        <v>6453</v>
      </c>
      <c r="H3792" s="14" t="s">
        <v>5601</v>
      </c>
      <c r="I3792" s="14" t="s">
        <v>2458</v>
      </c>
      <c r="J3792" s="33" t="s">
        <v>7110</v>
      </c>
      <c r="K3792" s="33" t="s">
        <v>9998</v>
      </c>
      <c r="L3792" s="53" t="s">
        <v>6054</v>
      </c>
      <c r="M3792" s="68" t="s">
        <v>9999</v>
      </c>
      <c r="N3792" s="53" t="s">
        <v>6285</v>
      </c>
      <c r="O3792" s="53">
        <v>55200</v>
      </c>
      <c r="P3792" s="198" t="s">
        <v>9767</v>
      </c>
    </row>
    <row r="3793" spans="1:16" ht="18.75" hidden="1">
      <c r="A3793" s="50" t="s">
        <v>10035</v>
      </c>
      <c r="B3793" s="50" t="s">
        <v>10036</v>
      </c>
      <c r="C3793" s="50" t="s">
        <v>10041</v>
      </c>
      <c r="D3793" s="12" t="s">
        <v>8911</v>
      </c>
      <c r="E3793" s="12" t="s">
        <v>4971</v>
      </c>
      <c r="F3793" s="49">
        <v>98250</v>
      </c>
      <c r="G3793" s="77" t="s">
        <v>6453</v>
      </c>
      <c r="H3793" s="14" t="s">
        <v>5601</v>
      </c>
      <c r="I3793" s="14" t="s">
        <v>2458</v>
      </c>
      <c r="J3793" s="33" t="s">
        <v>7110</v>
      </c>
      <c r="K3793" s="33" t="s">
        <v>9998</v>
      </c>
      <c r="L3793" s="53" t="s">
        <v>6054</v>
      </c>
      <c r="M3793" s="68" t="s">
        <v>9999</v>
      </c>
      <c r="N3793" s="53" t="s">
        <v>6285</v>
      </c>
      <c r="O3793" s="53">
        <v>55200</v>
      </c>
      <c r="P3793" s="198" t="s">
        <v>9767</v>
      </c>
    </row>
    <row r="3794" spans="1:16" ht="18.75" hidden="1">
      <c r="A3794" s="50" t="s">
        <v>10027</v>
      </c>
      <c r="B3794" s="50" t="s">
        <v>10028</v>
      </c>
      <c r="C3794" s="50" t="s">
        <v>10040</v>
      </c>
      <c r="D3794" s="12" t="s">
        <v>9830</v>
      </c>
      <c r="E3794" s="12" t="s">
        <v>4971</v>
      </c>
      <c r="F3794" s="49">
        <v>267170</v>
      </c>
      <c r="G3794" s="77" t="s">
        <v>6454</v>
      </c>
      <c r="H3794" s="14" t="s">
        <v>5601</v>
      </c>
      <c r="I3794" s="14" t="s">
        <v>2458</v>
      </c>
      <c r="J3794" s="33" t="s">
        <v>7110</v>
      </c>
      <c r="K3794" s="33" t="s">
        <v>9998</v>
      </c>
      <c r="L3794" s="53" t="s">
        <v>6054</v>
      </c>
      <c r="M3794" s="68" t="s">
        <v>8913</v>
      </c>
      <c r="N3794" s="53" t="s">
        <v>6076</v>
      </c>
      <c r="O3794" s="53">
        <v>55301</v>
      </c>
      <c r="P3794" s="198" t="s">
        <v>9768</v>
      </c>
    </row>
    <row r="3795" spans="1:16" ht="18.75" hidden="1">
      <c r="A3795" s="50" t="s">
        <v>10030</v>
      </c>
      <c r="B3795" s="50" t="s">
        <v>10028</v>
      </c>
      <c r="C3795" s="50" t="s">
        <v>10041</v>
      </c>
      <c r="D3795" s="12" t="s">
        <v>8911</v>
      </c>
      <c r="E3795" s="12" t="s">
        <v>4971</v>
      </c>
      <c r="F3795" s="49">
        <v>149600</v>
      </c>
      <c r="G3795" s="77" t="s">
        <v>6453</v>
      </c>
      <c r="H3795" s="14" t="s">
        <v>5601</v>
      </c>
      <c r="I3795" s="14" t="s">
        <v>2458</v>
      </c>
      <c r="J3795" s="33" t="s">
        <v>7110</v>
      </c>
      <c r="K3795" s="33" t="s">
        <v>9998</v>
      </c>
      <c r="L3795" s="53" t="s">
        <v>6054</v>
      </c>
      <c r="M3795" s="68" t="s">
        <v>9999</v>
      </c>
      <c r="N3795" s="53" t="s">
        <v>6285</v>
      </c>
      <c r="O3795" s="53">
        <v>55200</v>
      </c>
      <c r="P3795" s="198" t="s">
        <v>9767</v>
      </c>
    </row>
    <row r="3796" spans="1:16" ht="18.75" hidden="1">
      <c r="A3796" s="50" t="s">
        <v>10042</v>
      </c>
      <c r="B3796" s="50" t="s">
        <v>10033</v>
      </c>
      <c r="C3796" s="50" t="s">
        <v>10034</v>
      </c>
      <c r="D3796" s="12" t="s">
        <v>9830</v>
      </c>
      <c r="E3796" s="12" t="s">
        <v>4971</v>
      </c>
      <c r="F3796" s="49">
        <v>74920</v>
      </c>
      <c r="G3796" s="77" t="s">
        <v>6454</v>
      </c>
      <c r="H3796" s="14" t="s">
        <v>5601</v>
      </c>
      <c r="I3796" s="14" t="s">
        <v>2458</v>
      </c>
      <c r="J3796" s="33" t="s">
        <v>7110</v>
      </c>
      <c r="K3796" s="33" t="s">
        <v>9998</v>
      </c>
      <c r="L3796" s="53" t="s">
        <v>6054</v>
      </c>
      <c r="M3796" s="68" t="s">
        <v>8913</v>
      </c>
      <c r="N3796" s="53" t="s">
        <v>6286</v>
      </c>
      <c r="O3796" s="53">
        <v>55107</v>
      </c>
      <c r="P3796" s="198" t="s">
        <v>9768</v>
      </c>
    </row>
    <row r="3797" spans="1:16" ht="18.75" hidden="1">
      <c r="A3797" s="50" t="s">
        <v>10043</v>
      </c>
      <c r="B3797" s="50" t="s">
        <v>10044</v>
      </c>
      <c r="C3797" s="50" t="s">
        <v>10045</v>
      </c>
      <c r="D3797" s="12" t="s">
        <v>8764</v>
      </c>
      <c r="E3797" s="12" t="s">
        <v>4971</v>
      </c>
      <c r="F3797" s="49">
        <v>51100</v>
      </c>
      <c r="G3797" s="77" t="s">
        <v>6298</v>
      </c>
      <c r="H3797" s="14" t="s">
        <v>5601</v>
      </c>
      <c r="I3797" s="14" t="s">
        <v>2458</v>
      </c>
      <c r="J3797" s="33" t="s">
        <v>7110</v>
      </c>
      <c r="K3797" s="33" t="s">
        <v>9998</v>
      </c>
      <c r="L3797" s="53" t="s">
        <v>6054</v>
      </c>
      <c r="M3797" s="68" t="s">
        <v>8913</v>
      </c>
      <c r="N3797" s="53" t="s">
        <v>6286</v>
      </c>
      <c r="O3797" s="53">
        <v>55107</v>
      </c>
      <c r="P3797" s="198" t="s">
        <v>7273</v>
      </c>
    </row>
    <row r="3798" spans="1:16" ht="18.75" hidden="1">
      <c r="A3798" s="50" t="s">
        <v>10030</v>
      </c>
      <c r="B3798" s="50" t="s">
        <v>10028</v>
      </c>
      <c r="C3798" s="50" t="s">
        <v>10046</v>
      </c>
      <c r="D3798" s="12" t="s">
        <v>8770</v>
      </c>
      <c r="E3798" s="12" t="s">
        <v>4971</v>
      </c>
      <c r="F3798" s="49">
        <v>120000</v>
      </c>
      <c r="G3798" s="77" t="s">
        <v>6298</v>
      </c>
      <c r="H3798" s="14" t="s">
        <v>5601</v>
      </c>
      <c r="I3798" s="14" t="s">
        <v>2458</v>
      </c>
      <c r="J3798" s="33" t="s">
        <v>7110</v>
      </c>
      <c r="K3798" s="33" t="s">
        <v>9998</v>
      </c>
      <c r="L3798" s="53" t="s">
        <v>6054</v>
      </c>
      <c r="M3798" s="68" t="s">
        <v>9999</v>
      </c>
      <c r="N3798" s="53" t="s">
        <v>6285</v>
      </c>
      <c r="O3798" s="53">
        <v>55200</v>
      </c>
      <c r="P3798" s="198" t="s">
        <v>8698</v>
      </c>
    </row>
    <row r="3799" spans="1:16" ht="18.75" hidden="1">
      <c r="A3799" s="50" t="s">
        <v>10047</v>
      </c>
      <c r="B3799" s="50" t="s">
        <v>10024</v>
      </c>
      <c r="C3799" s="50" t="s">
        <v>10048</v>
      </c>
      <c r="D3799" s="12" t="s">
        <v>10049</v>
      </c>
      <c r="E3799" s="12" t="s">
        <v>4971</v>
      </c>
      <c r="F3799" s="49">
        <v>200000</v>
      </c>
      <c r="G3799" s="77" t="s">
        <v>6300</v>
      </c>
      <c r="H3799" s="14" t="s">
        <v>5601</v>
      </c>
      <c r="I3799" s="14" t="s">
        <v>2458</v>
      </c>
      <c r="J3799" s="33" t="s">
        <v>7110</v>
      </c>
      <c r="K3799" s="33" t="s">
        <v>9998</v>
      </c>
      <c r="L3799" s="53" t="s">
        <v>6054</v>
      </c>
      <c r="M3799" s="68" t="s">
        <v>9999</v>
      </c>
      <c r="N3799" s="53" t="s">
        <v>6285</v>
      </c>
      <c r="O3799" s="53">
        <v>55200</v>
      </c>
      <c r="P3799" s="198" t="s">
        <v>9771</v>
      </c>
    </row>
    <row r="3800" spans="1:16" ht="18.75" hidden="1">
      <c r="A3800" s="50" t="s">
        <v>10047</v>
      </c>
      <c r="B3800" s="50" t="s">
        <v>10024</v>
      </c>
      <c r="C3800" s="50" t="s">
        <v>10050</v>
      </c>
      <c r="D3800" s="12" t="s">
        <v>8760</v>
      </c>
      <c r="E3800" s="12" t="s">
        <v>4971</v>
      </c>
      <c r="F3800" s="49">
        <v>144330</v>
      </c>
      <c r="G3800" s="77" t="s">
        <v>6300</v>
      </c>
      <c r="H3800" s="14" t="s">
        <v>5601</v>
      </c>
      <c r="I3800" s="14" t="s">
        <v>2458</v>
      </c>
      <c r="J3800" s="33" t="s">
        <v>7110</v>
      </c>
      <c r="K3800" s="33" t="s">
        <v>9998</v>
      </c>
      <c r="L3800" s="53" t="s">
        <v>6054</v>
      </c>
      <c r="M3800" s="68" t="s">
        <v>9999</v>
      </c>
      <c r="N3800" s="53" t="s">
        <v>6285</v>
      </c>
      <c r="O3800" s="53">
        <v>55200</v>
      </c>
      <c r="P3800" s="198" t="s">
        <v>9771</v>
      </c>
    </row>
    <row r="3801" spans="1:16" ht="18.75" hidden="1">
      <c r="A3801" s="50" t="s">
        <v>10051</v>
      </c>
      <c r="B3801" s="50" t="s">
        <v>10052</v>
      </c>
      <c r="C3801" s="50" t="s">
        <v>10053</v>
      </c>
      <c r="D3801" s="12" t="s">
        <v>8793</v>
      </c>
      <c r="E3801" s="12" t="s">
        <v>4971</v>
      </c>
      <c r="F3801" s="49">
        <v>13839</v>
      </c>
      <c r="G3801" s="77" t="s">
        <v>8859</v>
      </c>
      <c r="H3801" s="14" t="s">
        <v>5601</v>
      </c>
      <c r="I3801" s="14" t="s">
        <v>2458</v>
      </c>
      <c r="J3801" s="33" t="s">
        <v>7110</v>
      </c>
      <c r="K3801" s="33" t="s">
        <v>9998</v>
      </c>
      <c r="L3801" s="53" t="s">
        <v>6054</v>
      </c>
      <c r="M3801" s="68" t="s">
        <v>9999</v>
      </c>
      <c r="N3801" s="53" t="s">
        <v>6076</v>
      </c>
      <c r="O3801" s="53">
        <v>55301</v>
      </c>
      <c r="P3801" s="198" t="s">
        <v>5854</v>
      </c>
    </row>
    <row r="3802" spans="1:16" ht="18.75" hidden="1">
      <c r="A3802" s="50" t="s">
        <v>10030</v>
      </c>
      <c r="B3802" s="50" t="s">
        <v>10028</v>
      </c>
      <c r="C3802" s="50" t="s">
        <v>9988</v>
      </c>
      <c r="D3802" s="12" t="s">
        <v>8621</v>
      </c>
      <c r="E3802" s="12" t="s">
        <v>4971</v>
      </c>
      <c r="F3802" s="49">
        <v>50380</v>
      </c>
      <c r="G3802" s="77" t="s">
        <v>6453</v>
      </c>
      <c r="H3802" s="14" t="s">
        <v>5601</v>
      </c>
      <c r="I3802" s="14" t="s">
        <v>2458</v>
      </c>
      <c r="J3802" s="33" t="s">
        <v>7110</v>
      </c>
      <c r="K3802" s="33" t="s">
        <v>9998</v>
      </c>
      <c r="L3802" s="53" t="s">
        <v>6054</v>
      </c>
      <c r="M3802" s="68" t="s">
        <v>9999</v>
      </c>
      <c r="N3802" s="53" t="s">
        <v>6285</v>
      </c>
      <c r="O3802" s="53">
        <v>55200</v>
      </c>
      <c r="P3802" s="198" t="s">
        <v>8497</v>
      </c>
    </row>
    <row r="3803" spans="1:16" ht="18.75" hidden="1">
      <c r="A3803" s="50" t="s">
        <v>10051</v>
      </c>
      <c r="B3803" s="50" t="s">
        <v>10052</v>
      </c>
      <c r="C3803" s="50" t="s">
        <v>10040</v>
      </c>
      <c r="D3803" s="12" t="s">
        <v>9830</v>
      </c>
      <c r="E3803" s="12" t="s">
        <v>4971</v>
      </c>
      <c r="F3803" s="49">
        <v>57340</v>
      </c>
      <c r="G3803" s="77" t="s">
        <v>6454</v>
      </c>
      <c r="H3803" s="14" t="s">
        <v>5601</v>
      </c>
      <c r="I3803" s="14" t="s">
        <v>2458</v>
      </c>
      <c r="J3803" s="33" t="s">
        <v>7110</v>
      </c>
      <c r="K3803" s="33" t="s">
        <v>9998</v>
      </c>
      <c r="L3803" s="53" t="s">
        <v>6054</v>
      </c>
      <c r="M3803" s="68" t="s">
        <v>9999</v>
      </c>
      <c r="N3803" s="53" t="s">
        <v>6076</v>
      </c>
      <c r="O3803" s="53">
        <v>55301</v>
      </c>
      <c r="P3803" s="198" t="s">
        <v>9768</v>
      </c>
    </row>
    <row r="3804" spans="1:16" ht="18.75" hidden="1">
      <c r="A3804" s="50" t="s">
        <v>10047</v>
      </c>
      <c r="B3804" s="50" t="s">
        <v>10024</v>
      </c>
      <c r="C3804" s="50" t="s">
        <v>10054</v>
      </c>
      <c r="D3804" s="12" t="s">
        <v>9715</v>
      </c>
      <c r="E3804" s="12" t="s">
        <v>4971</v>
      </c>
      <c r="F3804" s="49">
        <v>100000</v>
      </c>
      <c r="G3804" s="77" t="s">
        <v>6300</v>
      </c>
      <c r="H3804" s="14" t="s">
        <v>5601</v>
      </c>
      <c r="I3804" s="14" t="s">
        <v>2458</v>
      </c>
      <c r="J3804" s="33" t="s">
        <v>7110</v>
      </c>
      <c r="K3804" s="33" t="s">
        <v>9998</v>
      </c>
      <c r="L3804" s="53" t="s">
        <v>6054</v>
      </c>
      <c r="M3804" s="68" t="s">
        <v>9999</v>
      </c>
      <c r="N3804" s="53" t="s">
        <v>6285</v>
      </c>
      <c r="O3804" s="53">
        <v>55200</v>
      </c>
      <c r="P3804" s="198" t="s">
        <v>9771</v>
      </c>
    </row>
    <row r="3805" spans="1:16" ht="18.75" hidden="1">
      <c r="A3805" s="50" t="s">
        <v>10055</v>
      </c>
      <c r="B3805" s="50" t="s">
        <v>10033</v>
      </c>
      <c r="C3805" s="50" t="s">
        <v>10034</v>
      </c>
      <c r="D3805" s="12" t="s">
        <v>9830</v>
      </c>
      <c r="E3805" s="12" t="s">
        <v>4971</v>
      </c>
      <c r="F3805" s="49">
        <v>48480</v>
      </c>
      <c r="G3805" s="77" t="s">
        <v>6454</v>
      </c>
      <c r="H3805" s="14" t="s">
        <v>5601</v>
      </c>
      <c r="I3805" s="14" t="s">
        <v>2458</v>
      </c>
      <c r="J3805" s="33" t="s">
        <v>7110</v>
      </c>
      <c r="K3805" s="33" t="s">
        <v>9998</v>
      </c>
      <c r="L3805" s="53" t="s">
        <v>6054</v>
      </c>
      <c r="M3805" s="68" t="s">
        <v>9999</v>
      </c>
      <c r="N3805" s="53" t="s">
        <v>6076</v>
      </c>
      <c r="O3805" s="53">
        <v>55301</v>
      </c>
      <c r="P3805" s="198" t="s">
        <v>9768</v>
      </c>
    </row>
    <row r="3806" spans="1:16" ht="18.75" hidden="1">
      <c r="A3806" s="50" t="s">
        <v>10056</v>
      </c>
      <c r="B3806" s="50" t="s">
        <v>10033</v>
      </c>
      <c r="C3806" s="50" t="s">
        <v>10034</v>
      </c>
      <c r="D3806" s="12" t="s">
        <v>9830</v>
      </c>
      <c r="E3806" s="12" t="s">
        <v>4971</v>
      </c>
      <c r="F3806" s="49">
        <v>75240</v>
      </c>
      <c r="G3806" s="77" t="s">
        <v>6454</v>
      </c>
      <c r="H3806" s="14" t="s">
        <v>5601</v>
      </c>
      <c r="I3806" s="14" t="s">
        <v>2458</v>
      </c>
      <c r="J3806" s="33" t="s">
        <v>7110</v>
      </c>
      <c r="K3806" s="33" t="s">
        <v>9998</v>
      </c>
      <c r="L3806" s="53" t="s">
        <v>6054</v>
      </c>
      <c r="M3806" s="68" t="s">
        <v>8913</v>
      </c>
      <c r="N3806" s="53" t="s">
        <v>9836</v>
      </c>
      <c r="O3806" s="53">
        <v>55112</v>
      </c>
      <c r="P3806" s="198" t="s">
        <v>9768</v>
      </c>
    </row>
    <row r="3807" spans="1:16" ht="18.75" hidden="1">
      <c r="A3807" s="50" t="s">
        <v>10057</v>
      </c>
      <c r="B3807" s="50" t="s">
        <v>10044</v>
      </c>
      <c r="C3807" s="50" t="s">
        <v>9975</v>
      </c>
      <c r="D3807" s="12" t="s">
        <v>8837</v>
      </c>
      <c r="E3807" s="12" t="s">
        <v>4971</v>
      </c>
      <c r="F3807" s="49">
        <v>30580</v>
      </c>
      <c r="G3807" s="77" t="s">
        <v>6298</v>
      </c>
      <c r="H3807" s="14" t="s">
        <v>5601</v>
      </c>
      <c r="I3807" s="14" t="s">
        <v>2458</v>
      </c>
      <c r="J3807" s="33" t="s">
        <v>7110</v>
      </c>
      <c r="K3807" s="33" t="s">
        <v>9998</v>
      </c>
      <c r="L3807" s="53" t="s">
        <v>6054</v>
      </c>
      <c r="M3807" s="68" t="s">
        <v>9999</v>
      </c>
      <c r="N3807" s="53" t="s">
        <v>6285</v>
      </c>
      <c r="O3807" s="53">
        <v>55200</v>
      </c>
      <c r="P3807" s="198" t="s">
        <v>7111</v>
      </c>
    </row>
    <row r="3808" spans="1:16" ht="18.75" hidden="1">
      <c r="A3808" s="50" t="s">
        <v>10058</v>
      </c>
      <c r="B3808" s="50" t="s">
        <v>10024</v>
      </c>
      <c r="C3808" s="50" t="s">
        <v>10059</v>
      </c>
      <c r="D3808" s="12" t="s">
        <v>8793</v>
      </c>
      <c r="E3808" s="12" t="s">
        <v>4971</v>
      </c>
      <c r="F3808" s="49">
        <v>50000</v>
      </c>
      <c r="G3808" s="77" t="s">
        <v>6454</v>
      </c>
      <c r="H3808" s="14" t="s">
        <v>5601</v>
      </c>
      <c r="I3808" s="14" t="s">
        <v>2458</v>
      </c>
      <c r="J3808" s="33" t="s">
        <v>7110</v>
      </c>
      <c r="K3808" s="33" t="s">
        <v>9998</v>
      </c>
      <c r="L3808" s="53" t="s">
        <v>6054</v>
      </c>
      <c r="M3808" s="68" t="s">
        <v>8913</v>
      </c>
      <c r="N3808" s="53" t="s">
        <v>6076</v>
      </c>
      <c r="O3808" s="53">
        <v>55301</v>
      </c>
      <c r="P3808" s="198" t="s">
        <v>8724</v>
      </c>
    </row>
    <row r="3809" spans="1:16" ht="18.75" hidden="1">
      <c r="A3809" s="50" t="s">
        <v>10058</v>
      </c>
      <c r="B3809" s="50" t="s">
        <v>10024</v>
      </c>
      <c r="C3809" s="50" t="s">
        <v>9923</v>
      </c>
      <c r="D3809" s="12" t="s">
        <v>8629</v>
      </c>
      <c r="E3809" s="12" t="s">
        <v>4971</v>
      </c>
      <c r="F3809" s="49">
        <v>2379</v>
      </c>
      <c r="G3809" s="77" t="s">
        <v>6298</v>
      </c>
      <c r="H3809" s="14" t="s">
        <v>5601</v>
      </c>
      <c r="I3809" s="14" t="s">
        <v>2458</v>
      </c>
      <c r="J3809" s="33" t="s">
        <v>7110</v>
      </c>
      <c r="K3809" s="33" t="s">
        <v>9998</v>
      </c>
      <c r="L3809" s="53" t="s">
        <v>6054</v>
      </c>
      <c r="M3809" s="68" t="s">
        <v>8913</v>
      </c>
      <c r="N3809" s="53" t="s">
        <v>6076</v>
      </c>
      <c r="O3809" s="53">
        <v>55301</v>
      </c>
      <c r="P3809" s="198" t="s">
        <v>7111</v>
      </c>
    </row>
    <row r="3810" spans="1:16" ht="18.75" hidden="1">
      <c r="A3810" s="50" t="s">
        <v>10058</v>
      </c>
      <c r="B3810" s="50" t="s">
        <v>10024</v>
      </c>
      <c r="C3810" s="50" t="s">
        <v>10029</v>
      </c>
      <c r="D3810" s="12" t="s">
        <v>8621</v>
      </c>
      <c r="E3810" s="12" t="s">
        <v>4971</v>
      </c>
      <c r="F3810" s="49">
        <v>43651</v>
      </c>
      <c r="G3810" s="77" t="s">
        <v>6453</v>
      </c>
      <c r="H3810" s="14" t="s">
        <v>5601</v>
      </c>
      <c r="I3810" s="14" t="s">
        <v>2458</v>
      </c>
      <c r="J3810" s="33" t="s">
        <v>7110</v>
      </c>
      <c r="K3810" s="33" t="s">
        <v>9998</v>
      </c>
      <c r="L3810" s="53" t="s">
        <v>6054</v>
      </c>
      <c r="M3810" s="68" t="s">
        <v>8913</v>
      </c>
      <c r="N3810" s="53" t="s">
        <v>6076</v>
      </c>
      <c r="O3810" s="53">
        <v>55301</v>
      </c>
      <c r="P3810" s="198" t="s">
        <v>8497</v>
      </c>
    </row>
    <row r="3811" spans="1:16" ht="18.75" hidden="1">
      <c r="A3811" s="50" t="s">
        <v>10057</v>
      </c>
      <c r="B3811" s="50" t="s">
        <v>10044</v>
      </c>
      <c r="C3811" s="50" t="s">
        <v>10060</v>
      </c>
      <c r="D3811" s="12" t="s">
        <v>8793</v>
      </c>
      <c r="E3811" s="12" t="s">
        <v>4971</v>
      </c>
      <c r="F3811" s="49">
        <v>161640</v>
      </c>
      <c r="G3811" s="77" t="s">
        <v>6298</v>
      </c>
      <c r="H3811" s="14" t="s">
        <v>5601</v>
      </c>
      <c r="I3811" s="14" t="s">
        <v>2458</v>
      </c>
      <c r="J3811" s="33" t="s">
        <v>7110</v>
      </c>
      <c r="K3811" s="33" t="s">
        <v>9998</v>
      </c>
      <c r="L3811" s="53" t="s">
        <v>6054</v>
      </c>
      <c r="M3811" s="68" t="s">
        <v>9999</v>
      </c>
      <c r="N3811" s="53" t="s">
        <v>6285</v>
      </c>
      <c r="O3811" s="53">
        <v>55200</v>
      </c>
      <c r="P3811" s="198" t="s">
        <v>7273</v>
      </c>
    </row>
    <row r="3812" spans="1:16" ht="18.75" hidden="1">
      <c r="A3812" s="50" t="s">
        <v>10057</v>
      </c>
      <c r="B3812" s="50" t="s">
        <v>10044</v>
      </c>
      <c r="C3812" s="50" t="s">
        <v>10029</v>
      </c>
      <c r="D3812" s="12" t="s">
        <v>8621</v>
      </c>
      <c r="E3812" s="12" t="s">
        <v>4971</v>
      </c>
      <c r="F3812" s="49">
        <v>300390</v>
      </c>
      <c r="G3812" s="77" t="s">
        <v>6453</v>
      </c>
      <c r="H3812" s="14" t="s">
        <v>5601</v>
      </c>
      <c r="I3812" s="14" t="s">
        <v>2458</v>
      </c>
      <c r="J3812" s="33" t="s">
        <v>7110</v>
      </c>
      <c r="K3812" s="33" t="s">
        <v>9998</v>
      </c>
      <c r="L3812" s="53" t="s">
        <v>6054</v>
      </c>
      <c r="M3812" s="68" t="s">
        <v>9999</v>
      </c>
      <c r="N3812" s="53" t="s">
        <v>6285</v>
      </c>
      <c r="O3812" s="53">
        <v>55200</v>
      </c>
      <c r="P3812" s="198" t="s">
        <v>8497</v>
      </c>
    </row>
    <row r="3813" spans="1:16" ht="18.75" hidden="1">
      <c r="A3813" s="50" t="s">
        <v>10061</v>
      </c>
      <c r="B3813" s="50" t="s">
        <v>10033</v>
      </c>
      <c r="C3813" s="50" t="s">
        <v>10031</v>
      </c>
      <c r="D3813" s="12" t="s">
        <v>8846</v>
      </c>
      <c r="E3813" s="12" t="s">
        <v>4971</v>
      </c>
      <c r="F3813" s="49">
        <v>3580</v>
      </c>
      <c r="G3813" s="77" t="s">
        <v>6298</v>
      </c>
      <c r="H3813" s="14" t="s">
        <v>5601</v>
      </c>
      <c r="I3813" s="14" t="s">
        <v>2458</v>
      </c>
      <c r="J3813" s="33" t="s">
        <v>7110</v>
      </c>
      <c r="K3813" s="33" t="s">
        <v>9998</v>
      </c>
      <c r="L3813" s="53" t="s">
        <v>6054</v>
      </c>
      <c r="M3813" s="68" t="s">
        <v>9999</v>
      </c>
      <c r="N3813" s="53" t="s">
        <v>9836</v>
      </c>
      <c r="O3813" s="53">
        <v>55112</v>
      </c>
      <c r="P3813" s="198" t="s">
        <v>8698</v>
      </c>
    </row>
    <row r="3814" spans="1:16" ht="18.75" hidden="1">
      <c r="A3814" s="50" t="s">
        <v>10062</v>
      </c>
      <c r="B3814" s="50" t="s">
        <v>10024</v>
      </c>
      <c r="C3814" s="50" t="s">
        <v>10063</v>
      </c>
      <c r="D3814" s="12" t="s">
        <v>8830</v>
      </c>
      <c r="E3814" s="12" t="s">
        <v>4971</v>
      </c>
      <c r="F3814" s="49">
        <v>200000</v>
      </c>
      <c r="G3814" s="77" t="s">
        <v>6453</v>
      </c>
      <c r="H3814" s="14" t="s">
        <v>5601</v>
      </c>
      <c r="I3814" s="14" t="s">
        <v>2458</v>
      </c>
      <c r="J3814" s="33" t="s">
        <v>7110</v>
      </c>
      <c r="K3814" s="33" t="s">
        <v>9998</v>
      </c>
      <c r="L3814" s="53" t="s">
        <v>6054</v>
      </c>
      <c r="M3814" s="68" t="s">
        <v>8913</v>
      </c>
      <c r="N3814" s="53" t="s">
        <v>6076</v>
      </c>
      <c r="O3814" s="53">
        <v>55301</v>
      </c>
      <c r="P3814" s="198" t="s">
        <v>8497</v>
      </c>
    </row>
    <row r="3815" spans="1:16" ht="18.75" hidden="1">
      <c r="A3815" s="50" t="s">
        <v>10064</v>
      </c>
      <c r="B3815" s="50" t="s">
        <v>10036</v>
      </c>
      <c r="C3815" s="50" t="s">
        <v>10034</v>
      </c>
      <c r="D3815" s="12" t="s">
        <v>9830</v>
      </c>
      <c r="E3815" s="12" t="s">
        <v>4971</v>
      </c>
      <c r="F3815" s="49">
        <v>164020</v>
      </c>
      <c r="G3815" s="77" t="s">
        <v>6454</v>
      </c>
      <c r="H3815" s="14" t="s">
        <v>5601</v>
      </c>
      <c r="I3815" s="14" t="s">
        <v>2458</v>
      </c>
      <c r="J3815" s="33" t="s">
        <v>7110</v>
      </c>
      <c r="K3815" s="33" t="s">
        <v>9998</v>
      </c>
      <c r="L3815" s="53" t="s">
        <v>6054</v>
      </c>
      <c r="M3815" s="68" t="s">
        <v>8913</v>
      </c>
      <c r="N3815" s="53" t="s">
        <v>6076</v>
      </c>
      <c r="O3815" s="53">
        <v>55301</v>
      </c>
      <c r="P3815" s="198" t="s">
        <v>9768</v>
      </c>
    </row>
    <row r="3816" spans="1:16" ht="18.75" hidden="1">
      <c r="A3816" s="50" t="s">
        <v>10062</v>
      </c>
      <c r="B3816" s="50" t="s">
        <v>10024</v>
      </c>
      <c r="C3816" s="50" t="s">
        <v>10038</v>
      </c>
      <c r="D3816" s="12" t="s">
        <v>8774</v>
      </c>
      <c r="E3816" s="12" t="s">
        <v>4971</v>
      </c>
      <c r="F3816" s="49">
        <v>79480</v>
      </c>
      <c r="G3816" s="77" t="s">
        <v>6454</v>
      </c>
      <c r="H3816" s="14" t="s">
        <v>5601</v>
      </c>
      <c r="I3816" s="14" t="s">
        <v>2458</v>
      </c>
      <c r="J3816" s="33" t="s">
        <v>7110</v>
      </c>
      <c r="K3816" s="33" t="s">
        <v>9998</v>
      </c>
      <c r="L3816" s="53" t="s">
        <v>6054</v>
      </c>
      <c r="M3816" s="68" t="s">
        <v>8913</v>
      </c>
      <c r="N3816" s="53" t="s">
        <v>6076</v>
      </c>
      <c r="O3816" s="53">
        <v>55301</v>
      </c>
      <c r="P3816" s="198" t="s">
        <v>7118</v>
      </c>
    </row>
    <row r="3817" spans="1:16" ht="18.75" hidden="1">
      <c r="A3817" s="50" t="s">
        <v>10064</v>
      </c>
      <c r="B3817" s="50" t="s">
        <v>10036</v>
      </c>
      <c r="C3817" s="50" t="s">
        <v>10041</v>
      </c>
      <c r="D3817" s="12" t="s">
        <v>8911</v>
      </c>
      <c r="E3817" s="12" t="s">
        <v>4971</v>
      </c>
      <c r="F3817" s="49">
        <v>109080</v>
      </c>
      <c r="G3817" s="77" t="s">
        <v>6453</v>
      </c>
      <c r="H3817" s="14" t="s">
        <v>5601</v>
      </c>
      <c r="I3817" s="14" t="s">
        <v>2458</v>
      </c>
      <c r="J3817" s="33" t="s">
        <v>7110</v>
      </c>
      <c r="K3817" s="33" t="s">
        <v>9998</v>
      </c>
      <c r="L3817" s="53" t="s">
        <v>6054</v>
      </c>
      <c r="M3817" s="68" t="s">
        <v>8913</v>
      </c>
      <c r="N3817" s="53" t="s">
        <v>6076</v>
      </c>
      <c r="O3817" s="53">
        <v>55301</v>
      </c>
      <c r="P3817" s="198" t="s">
        <v>9767</v>
      </c>
    </row>
    <row r="3818" spans="1:16" ht="18.75" hidden="1">
      <c r="A3818" s="50" t="s">
        <v>10062</v>
      </c>
      <c r="B3818" s="50" t="s">
        <v>10024</v>
      </c>
      <c r="C3818" s="50" t="s">
        <v>10065</v>
      </c>
      <c r="D3818" s="12" t="s">
        <v>9822</v>
      </c>
      <c r="E3818" s="12" t="s">
        <v>4971</v>
      </c>
      <c r="F3818" s="49">
        <v>414000</v>
      </c>
      <c r="G3818" s="77" t="s">
        <v>6453</v>
      </c>
      <c r="H3818" s="14" t="s">
        <v>5601</v>
      </c>
      <c r="I3818" s="14" t="s">
        <v>2458</v>
      </c>
      <c r="J3818" s="33" t="e">
        <f>VLOOKUP(C3818,شرکتها!A:B,2,FALSE)</f>
        <v>#N/A</v>
      </c>
      <c r="K3818" s="33" t="s">
        <v>9998</v>
      </c>
      <c r="L3818" s="53" t="s">
        <v>6054</v>
      </c>
      <c r="M3818" s="68" t="s">
        <v>8913</v>
      </c>
      <c r="N3818" s="53" t="s">
        <v>6076</v>
      </c>
      <c r="O3818" s="53">
        <v>55301</v>
      </c>
      <c r="P3818" s="198" t="s">
        <v>9770</v>
      </c>
    </row>
    <row r="3819" spans="1:16" ht="18.75" hidden="1">
      <c r="A3819" s="50" t="s">
        <v>10062</v>
      </c>
      <c r="B3819" s="50" t="s">
        <v>10024</v>
      </c>
      <c r="C3819" s="50" t="s">
        <v>8877</v>
      </c>
      <c r="D3819" s="12" t="s">
        <v>8636</v>
      </c>
      <c r="E3819" s="12" t="s">
        <v>4971</v>
      </c>
      <c r="F3819" s="49">
        <v>431840</v>
      </c>
      <c r="G3819" s="77" t="s">
        <v>6454</v>
      </c>
      <c r="H3819" s="14" t="s">
        <v>5601</v>
      </c>
      <c r="I3819" s="14" t="s">
        <v>2458</v>
      </c>
      <c r="J3819" s="33" t="s">
        <v>7110</v>
      </c>
      <c r="K3819" s="33" t="s">
        <v>9998</v>
      </c>
      <c r="L3819" s="53" t="s">
        <v>6054</v>
      </c>
      <c r="M3819" s="68" t="s">
        <v>8913</v>
      </c>
      <c r="N3819" s="53" t="s">
        <v>6076</v>
      </c>
      <c r="O3819" s="53">
        <v>55301</v>
      </c>
      <c r="P3819" s="198" t="s">
        <v>7114</v>
      </c>
    </row>
    <row r="3820" spans="1:16" ht="18.75" hidden="1">
      <c r="A3820" s="50" t="s">
        <v>10066</v>
      </c>
      <c r="B3820" s="50" t="s">
        <v>10001</v>
      </c>
      <c r="C3820" s="50" t="s">
        <v>10002</v>
      </c>
      <c r="D3820" s="12" t="s">
        <v>9835</v>
      </c>
      <c r="E3820" s="12" t="s">
        <v>4971</v>
      </c>
      <c r="F3820" s="49">
        <v>165350</v>
      </c>
      <c r="G3820" s="77" t="s">
        <v>6454</v>
      </c>
      <c r="H3820" s="14" t="s">
        <v>5601</v>
      </c>
      <c r="I3820" s="14" t="s">
        <v>2458</v>
      </c>
      <c r="J3820" s="33" t="s">
        <v>7110</v>
      </c>
      <c r="K3820" s="33" t="s">
        <v>9998</v>
      </c>
      <c r="L3820" s="53" t="s">
        <v>6054</v>
      </c>
      <c r="M3820" s="68" t="s">
        <v>9999</v>
      </c>
      <c r="N3820" s="53" t="s">
        <v>6076</v>
      </c>
      <c r="O3820" s="53">
        <v>55301</v>
      </c>
      <c r="P3820" s="198" t="s">
        <v>9768</v>
      </c>
    </row>
    <row r="3821" spans="1:16" ht="18.75" hidden="1">
      <c r="A3821" s="50" t="s">
        <v>10057</v>
      </c>
      <c r="B3821" s="50" t="s">
        <v>10044</v>
      </c>
      <c r="C3821" s="50" t="s">
        <v>9986</v>
      </c>
      <c r="D3821" s="12" t="s">
        <v>8793</v>
      </c>
      <c r="E3821" s="12" t="s">
        <v>4971</v>
      </c>
      <c r="F3821" s="49">
        <v>236120</v>
      </c>
      <c r="G3821" s="77" t="s">
        <v>8859</v>
      </c>
      <c r="H3821" s="14" t="s">
        <v>5601</v>
      </c>
      <c r="I3821" s="14" t="s">
        <v>2458</v>
      </c>
      <c r="J3821" s="33" t="s">
        <v>7110</v>
      </c>
      <c r="K3821" s="33" t="s">
        <v>9998</v>
      </c>
      <c r="L3821" s="53" t="s">
        <v>6054</v>
      </c>
      <c r="M3821" s="68" t="s">
        <v>9999</v>
      </c>
      <c r="N3821" s="53" t="s">
        <v>6285</v>
      </c>
      <c r="O3821" s="53">
        <v>55200</v>
      </c>
      <c r="P3821" s="198" t="s">
        <v>5854</v>
      </c>
    </row>
    <row r="3822" spans="1:16" ht="18.75" hidden="1">
      <c r="A3822" s="50" t="s">
        <v>10067</v>
      </c>
      <c r="B3822" s="50" t="s">
        <v>10024</v>
      </c>
      <c r="C3822" s="50" t="s">
        <v>9877</v>
      </c>
      <c r="D3822" s="12" t="s">
        <v>9723</v>
      </c>
      <c r="E3822" s="12" t="s">
        <v>4971</v>
      </c>
      <c r="F3822" s="49">
        <v>47390</v>
      </c>
      <c r="G3822" s="77" t="s">
        <v>6454</v>
      </c>
      <c r="H3822" s="14" t="s">
        <v>5601</v>
      </c>
      <c r="I3822" s="14" t="s">
        <v>2458</v>
      </c>
      <c r="J3822" s="33" t="s">
        <v>7110</v>
      </c>
      <c r="K3822" s="33" t="s">
        <v>9998</v>
      </c>
      <c r="L3822" s="53" t="s">
        <v>6054</v>
      </c>
      <c r="M3822" s="68" t="s">
        <v>9999</v>
      </c>
      <c r="N3822" s="53" t="s">
        <v>6076</v>
      </c>
      <c r="O3822" s="53">
        <v>55301</v>
      </c>
      <c r="P3822" s="198" t="s">
        <v>7118</v>
      </c>
    </row>
    <row r="3823" spans="1:16" ht="18.75" hidden="1">
      <c r="A3823" s="50" t="s">
        <v>10068</v>
      </c>
      <c r="B3823" s="50" t="s">
        <v>10044</v>
      </c>
      <c r="C3823" s="50" t="s">
        <v>10069</v>
      </c>
      <c r="D3823" s="12" t="s">
        <v>8774</v>
      </c>
      <c r="E3823" s="12" t="s">
        <v>4971</v>
      </c>
      <c r="F3823" s="49">
        <v>195840</v>
      </c>
      <c r="G3823" s="77" t="s">
        <v>6454</v>
      </c>
      <c r="H3823" s="14" t="s">
        <v>5601</v>
      </c>
      <c r="I3823" s="14" t="s">
        <v>2458</v>
      </c>
      <c r="J3823" s="33" t="s">
        <v>7110</v>
      </c>
      <c r="K3823" s="33" t="s">
        <v>9998</v>
      </c>
      <c r="L3823" s="53" t="s">
        <v>6054</v>
      </c>
      <c r="M3823" s="68" t="s">
        <v>8913</v>
      </c>
      <c r="N3823" s="53" t="s">
        <v>6076</v>
      </c>
      <c r="O3823" s="53">
        <v>55301</v>
      </c>
      <c r="P3823" s="198" t="s">
        <v>7118</v>
      </c>
    </row>
    <row r="3824" spans="1:16" ht="18.75" hidden="1">
      <c r="A3824" s="50" t="s">
        <v>10068</v>
      </c>
      <c r="B3824" s="50" t="s">
        <v>10044</v>
      </c>
      <c r="C3824" s="50" t="s">
        <v>10045</v>
      </c>
      <c r="D3824" s="12" t="s">
        <v>8764</v>
      </c>
      <c r="E3824" s="12" t="s">
        <v>4971</v>
      </c>
      <c r="F3824" s="49">
        <v>40220</v>
      </c>
      <c r="G3824" s="77" t="s">
        <v>6298</v>
      </c>
      <c r="H3824" s="14" t="s">
        <v>5601</v>
      </c>
      <c r="I3824" s="14" t="s">
        <v>2458</v>
      </c>
      <c r="J3824" s="33" t="s">
        <v>7110</v>
      </c>
      <c r="K3824" s="33" t="s">
        <v>9998</v>
      </c>
      <c r="L3824" s="53" t="s">
        <v>6054</v>
      </c>
      <c r="M3824" s="68" t="s">
        <v>8913</v>
      </c>
      <c r="N3824" s="53" t="s">
        <v>6076</v>
      </c>
      <c r="O3824" s="53">
        <v>55301</v>
      </c>
      <c r="P3824" s="198" t="s">
        <v>7273</v>
      </c>
    </row>
    <row r="3825" spans="1:16" ht="18.75" hidden="1">
      <c r="A3825" s="50" t="s">
        <v>10070</v>
      </c>
      <c r="B3825" s="50" t="s">
        <v>10052</v>
      </c>
      <c r="C3825" s="50" t="s">
        <v>10050</v>
      </c>
      <c r="D3825" s="12" t="s">
        <v>8760</v>
      </c>
      <c r="E3825" s="12" t="s">
        <v>4971</v>
      </c>
      <c r="F3825" s="49">
        <v>8280</v>
      </c>
      <c r="G3825" s="77" t="s">
        <v>6300</v>
      </c>
      <c r="H3825" s="14" t="s">
        <v>5601</v>
      </c>
      <c r="I3825" s="14" t="s">
        <v>2458</v>
      </c>
      <c r="J3825" s="33" t="s">
        <v>7110</v>
      </c>
      <c r="K3825" s="33" t="s">
        <v>9998</v>
      </c>
      <c r="L3825" s="53" t="s">
        <v>6054</v>
      </c>
      <c r="M3825" s="68" t="s">
        <v>9999</v>
      </c>
      <c r="N3825" s="53" t="s">
        <v>6285</v>
      </c>
      <c r="O3825" s="53">
        <v>55200</v>
      </c>
      <c r="P3825" s="198" t="s">
        <v>9771</v>
      </c>
    </row>
    <row r="3826" spans="1:16" ht="18.75" hidden="1">
      <c r="A3826" s="50" t="s">
        <v>10070</v>
      </c>
      <c r="B3826" s="50" t="s">
        <v>10052</v>
      </c>
      <c r="C3826" s="50" t="s">
        <v>10065</v>
      </c>
      <c r="D3826" s="12" t="s">
        <v>9822</v>
      </c>
      <c r="E3826" s="12" t="s">
        <v>4971</v>
      </c>
      <c r="F3826" s="49">
        <v>86000</v>
      </c>
      <c r="G3826" s="77" t="s">
        <v>6453</v>
      </c>
      <c r="H3826" s="14" t="s">
        <v>5601</v>
      </c>
      <c r="I3826" s="14" t="s">
        <v>2458</v>
      </c>
      <c r="J3826" s="33" t="e">
        <f>VLOOKUP(C3826,شرکتها!A:B,2,FALSE)</f>
        <v>#N/A</v>
      </c>
      <c r="K3826" s="33" t="s">
        <v>9998</v>
      </c>
      <c r="L3826" s="53" t="s">
        <v>6054</v>
      </c>
      <c r="M3826" s="68" t="s">
        <v>9999</v>
      </c>
      <c r="N3826" s="53" t="s">
        <v>6285</v>
      </c>
      <c r="O3826" s="53">
        <v>55200</v>
      </c>
      <c r="P3826" s="198" t="s">
        <v>9770</v>
      </c>
    </row>
    <row r="3827" spans="1:16" ht="18.75" hidden="1">
      <c r="A3827" s="50" t="s">
        <v>10070</v>
      </c>
      <c r="B3827" s="50" t="s">
        <v>10052</v>
      </c>
      <c r="C3827" s="50" t="s">
        <v>10053</v>
      </c>
      <c r="D3827" s="12" t="s">
        <v>8793</v>
      </c>
      <c r="E3827" s="12" t="s">
        <v>4971</v>
      </c>
      <c r="F3827" s="49">
        <v>57781</v>
      </c>
      <c r="G3827" s="77" t="s">
        <v>8859</v>
      </c>
      <c r="H3827" s="14" t="s">
        <v>5601</v>
      </c>
      <c r="I3827" s="14" t="s">
        <v>2458</v>
      </c>
      <c r="J3827" s="33" t="s">
        <v>7110</v>
      </c>
      <c r="K3827" s="33" t="s">
        <v>9998</v>
      </c>
      <c r="L3827" s="53" t="s">
        <v>6054</v>
      </c>
      <c r="M3827" s="68" t="s">
        <v>9999</v>
      </c>
      <c r="N3827" s="53" t="s">
        <v>6285</v>
      </c>
      <c r="O3827" s="53">
        <v>55200</v>
      </c>
      <c r="P3827" s="198" t="s">
        <v>5854</v>
      </c>
    </row>
    <row r="3828" spans="1:16" ht="18.75" hidden="1">
      <c r="A3828" s="50" t="s">
        <v>10070</v>
      </c>
      <c r="B3828" s="50" t="s">
        <v>10052</v>
      </c>
      <c r="C3828" s="50" t="s">
        <v>10071</v>
      </c>
      <c r="D3828" s="12" t="s">
        <v>8770</v>
      </c>
      <c r="E3828" s="12" t="s">
        <v>4971</v>
      </c>
      <c r="F3828" s="49">
        <v>100000</v>
      </c>
      <c r="G3828" s="77" t="s">
        <v>6298</v>
      </c>
      <c r="H3828" s="14" t="s">
        <v>5601</v>
      </c>
      <c r="I3828" s="14" t="s">
        <v>2458</v>
      </c>
      <c r="J3828" s="33" t="s">
        <v>7110</v>
      </c>
      <c r="K3828" s="33" t="s">
        <v>9998</v>
      </c>
      <c r="L3828" s="53" t="s">
        <v>6054</v>
      </c>
      <c r="M3828" s="68" t="s">
        <v>9999</v>
      </c>
      <c r="N3828" s="53" t="s">
        <v>6285</v>
      </c>
      <c r="O3828" s="53">
        <v>55200</v>
      </c>
      <c r="P3828" s="198" t="s">
        <v>8698</v>
      </c>
    </row>
    <row r="3829" spans="1:16" ht="18.75" hidden="1">
      <c r="A3829" s="50" t="s">
        <v>10068</v>
      </c>
      <c r="B3829" s="50" t="s">
        <v>10044</v>
      </c>
      <c r="C3829" s="50" t="s">
        <v>10029</v>
      </c>
      <c r="D3829" s="12" t="s">
        <v>8621</v>
      </c>
      <c r="E3829" s="12" t="s">
        <v>4971</v>
      </c>
      <c r="F3829" s="49">
        <v>148120</v>
      </c>
      <c r="G3829" s="77" t="s">
        <v>6453</v>
      </c>
      <c r="H3829" s="14" t="s">
        <v>5601</v>
      </c>
      <c r="I3829" s="14" t="s">
        <v>2458</v>
      </c>
      <c r="J3829" s="33" t="s">
        <v>7110</v>
      </c>
      <c r="K3829" s="33" t="s">
        <v>9998</v>
      </c>
      <c r="L3829" s="53" t="s">
        <v>6054</v>
      </c>
      <c r="M3829" s="68" t="s">
        <v>8913</v>
      </c>
      <c r="N3829" s="53" t="s">
        <v>6076</v>
      </c>
      <c r="O3829" s="53">
        <v>55301</v>
      </c>
      <c r="P3829" s="198" t="s">
        <v>8497</v>
      </c>
    </row>
    <row r="3830" spans="1:16" ht="18.75" hidden="1">
      <c r="A3830" s="50" t="s">
        <v>10070</v>
      </c>
      <c r="B3830" s="50" t="s">
        <v>10052</v>
      </c>
      <c r="C3830" s="50" t="s">
        <v>10072</v>
      </c>
      <c r="D3830" s="12" t="s">
        <v>8824</v>
      </c>
      <c r="E3830" s="12" t="s">
        <v>4971</v>
      </c>
      <c r="F3830" s="49">
        <v>200000</v>
      </c>
      <c r="G3830" s="77" t="s">
        <v>6298</v>
      </c>
      <c r="H3830" s="14" t="s">
        <v>5601</v>
      </c>
      <c r="I3830" s="14" t="s">
        <v>2458</v>
      </c>
      <c r="J3830" s="33" t="s">
        <v>7110</v>
      </c>
      <c r="K3830" s="33" t="s">
        <v>9998</v>
      </c>
      <c r="L3830" s="53" t="s">
        <v>6054</v>
      </c>
      <c r="M3830" s="68" t="s">
        <v>9999</v>
      </c>
      <c r="N3830" s="53" t="s">
        <v>6285</v>
      </c>
      <c r="O3830" s="53">
        <v>55200</v>
      </c>
      <c r="P3830" s="198" t="s">
        <v>8698</v>
      </c>
    </row>
    <row r="3831" spans="1:16" ht="18.75" hidden="1">
      <c r="A3831" s="50" t="s">
        <v>10070</v>
      </c>
      <c r="B3831" s="50" t="s">
        <v>10052</v>
      </c>
      <c r="C3831" s="50" t="s">
        <v>10060</v>
      </c>
      <c r="D3831" s="12" t="s">
        <v>8793</v>
      </c>
      <c r="E3831" s="12" t="s">
        <v>4971</v>
      </c>
      <c r="F3831" s="49">
        <v>17799</v>
      </c>
      <c r="G3831" s="77" t="s">
        <v>6298</v>
      </c>
      <c r="H3831" s="14" t="s">
        <v>5601</v>
      </c>
      <c r="I3831" s="14" t="s">
        <v>2458</v>
      </c>
      <c r="J3831" s="33" t="s">
        <v>7110</v>
      </c>
      <c r="K3831" s="33" t="s">
        <v>9998</v>
      </c>
      <c r="L3831" s="53" t="s">
        <v>6054</v>
      </c>
      <c r="M3831" s="68" t="s">
        <v>9999</v>
      </c>
      <c r="N3831" s="53" t="s">
        <v>6285</v>
      </c>
      <c r="O3831" s="53">
        <v>55200</v>
      </c>
      <c r="P3831" s="198" t="s">
        <v>7273</v>
      </c>
    </row>
    <row r="3832" spans="1:16" ht="18.75" hidden="1">
      <c r="A3832" s="50" t="s">
        <v>10070</v>
      </c>
      <c r="B3832" s="50" t="s">
        <v>10052</v>
      </c>
      <c r="C3832" s="50" t="s">
        <v>9988</v>
      </c>
      <c r="D3832" s="12" t="s">
        <v>8621</v>
      </c>
      <c r="E3832" s="12" t="s">
        <v>4971</v>
      </c>
      <c r="F3832" s="49">
        <v>197750</v>
      </c>
      <c r="G3832" s="77" t="s">
        <v>6453</v>
      </c>
      <c r="H3832" s="14" t="s">
        <v>5601</v>
      </c>
      <c r="I3832" s="14" t="s">
        <v>2458</v>
      </c>
      <c r="J3832" s="33" t="s">
        <v>7110</v>
      </c>
      <c r="K3832" s="33" t="s">
        <v>9998</v>
      </c>
      <c r="L3832" s="53" t="s">
        <v>6054</v>
      </c>
      <c r="M3832" s="68" t="s">
        <v>9999</v>
      </c>
      <c r="N3832" s="53" t="s">
        <v>6285</v>
      </c>
      <c r="O3832" s="53">
        <v>55200</v>
      </c>
      <c r="P3832" s="198" t="s">
        <v>8497</v>
      </c>
    </row>
    <row r="3833" spans="1:16" ht="18.75" hidden="1">
      <c r="A3833" s="50" t="s">
        <v>10037</v>
      </c>
      <c r="B3833" s="50" t="s">
        <v>10024</v>
      </c>
      <c r="C3833" s="50" t="s">
        <v>10073</v>
      </c>
      <c r="D3833" s="12" t="s">
        <v>8824</v>
      </c>
      <c r="E3833" s="12" t="s">
        <v>4971</v>
      </c>
      <c r="F3833" s="49">
        <v>24900</v>
      </c>
      <c r="G3833" s="77" t="s">
        <v>6454</v>
      </c>
      <c r="H3833" s="14" t="s">
        <v>5601</v>
      </c>
      <c r="I3833" s="14" t="s">
        <v>2458</v>
      </c>
      <c r="J3833" s="33" t="s">
        <v>7110</v>
      </c>
      <c r="K3833" s="33" t="s">
        <v>9998</v>
      </c>
      <c r="L3833" s="53" t="s">
        <v>6054</v>
      </c>
      <c r="M3833" s="68" t="s">
        <v>8913</v>
      </c>
      <c r="N3833" s="53" t="s">
        <v>9836</v>
      </c>
      <c r="O3833" s="53">
        <v>55112</v>
      </c>
      <c r="P3833" s="198" t="s">
        <v>7118</v>
      </c>
    </row>
    <row r="3834" spans="1:16" ht="18.75" hidden="1">
      <c r="A3834" s="50" t="s">
        <v>10074</v>
      </c>
      <c r="B3834" s="50" t="s">
        <v>10052</v>
      </c>
      <c r="C3834" s="50" t="s">
        <v>9982</v>
      </c>
      <c r="D3834" s="12" t="s">
        <v>8793</v>
      </c>
      <c r="E3834" s="12" t="s">
        <v>4971</v>
      </c>
      <c r="F3834" s="49">
        <v>71940</v>
      </c>
      <c r="G3834" s="77" t="s">
        <v>8859</v>
      </c>
      <c r="H3834" s="14" t="s">
        <v>5601</v>
      </c>
      <c r="I3834" s="14" t="s">
        <v>2458</v>
      </c>
      <c r="J3834" s="33" t="s">
        <v>7110</v>
      </c>
      <c r="K3834" s="33" t="s">
        <v>9998</v>
      </c>
      <c r="L3834" s="53" t="s">
        <v>6054</v>
      </c>
      <c r="M3834" s="68" t="s">
        <v>8913</v>
      </c>
      <c r="N3834" s="53" t="s">
        <v>6286</v>
      </c>
      <c r="O3834" s="53">
        <v>55107</v>
      </c>
      <c r="P3834" s="198" t="s">
        <v>5854</v>
      </c>
    </row>
    <row r="3835" spans="1:16" ht="18.75" hidden="1">
      <c r="A3835" s="50" t="s">
        <v>10075</v>
      </c>
      <c r="B3835" s="50" t="s">
        <v>10044</v>
      </c>
      <c r="C3835" s="50" t="s">
        <v>10076</v>
      </c>
      <c r="D3835" s="12" t="s">
        <v>9715</v>
      </c>
      <c r="E3835" s="12" t="s">
        <v>4971</v>
      </c>
      <c r="F3835" s="49">
        <v>46220</v>
      </c>
      <c r="G3835" s="77" t="s">
        <v>6300</v>
      </c>
      <c r="H3835" s="14" t="s">
        <v>5601</v>
      </c>
      <c r="I3835" s="14" t="s">
        <v>2458</v>
      </c>
      <c r="J3835" s="33" t="s">
        <v>7110</v>
      </c>
      <c r="K3835" s="33" t="s">
        <v>9998</v>
      </c>
      <c r="L3835" s="53" t="s">
        <v>6054</v>
      </c>
      <c r="M3835" s="68" t="s">
        <v>9999</v>
      </c>
      <c r="N3835" s="53" t="s">
        <v>6076</v>
      </c>
      <c r="O3835" s="53">
        <v>55301</v>
      </c>
      <c r="P3835" s="198" t="s">
        <v>9771</v>
      </c>
    </row>
    <row r="3836" spans="1:16" ht="18.75" hidden="1">
      <c r="A3836" s="50" t="s">
        <v>10035</v>
      </c>
      <c r="B3836" s="50" t="s">
        <v>10036</v>
      </c>
      <c r="C3836" s="50" t="s">
        <v>10003</v>
      </c>
      <c r="D3836" s="12" t="s">
        <v>9815</v>
      </c>
      <c r="E3836" s="12" t="s">
        <v>4971</v>
      </c>
      <c r="F3836" s="49">
        <v>155840</v>
      </c>
      <c r="G3836" s="77" t="s">
        <v>6298</v>
      </c>
      <c r="H3836" s="14" t="s">
        <v>5601</v>
      </c>
      <c r="I3836" s="14" t="s">
        <v>2458</v>
      </c>
      <c r="J3836" s="33" t="s">
        <v>7110</v>
      </c>
      <c r="K3836" s="33" t="s">
        <v>9998</v>
      </c>
      <c r="L3836" s="53" t="s">
        <v>6054</v>
      </c>
      <c r="M3836" s="68" t="s">
        <v>9999</v>
      </c>
      <c r="N3836" s="53" t="s">
        <v>6285</v>
      </c>
      <c r="O3836" s="53">
        <v>55200</v>
      </c>
      <c r="P3836" s="198" t="s">
        <v>8698</v>
      </c>
    </row>
    <row r="3837" spans="1:16" ht="18.75" hidden="1">
      <c r="A3837" s="50" t="s">
        <v>10077</v>
      </c>
      <c r="B3837" s="50" t="s">
        <v>10044</v>
      </c>
      <c r="C3837" s="50" t="s">
        <v>10076</v>
      </c>
      <c r="D3837" s="12" t="s">
        <v>9715</v>
      </c>
      <c r="E3837" s="12" t="s">
        <v>4971</v>
      </c>
      <c r="F3837" s="49">
        <v>50450</v>
      </c>
      <c r="G3837" s="77" t="s">
        <v>6300</v>
      </c>
      <c r="H3837" s="14" t="s">
        <v>5601</v>
      </c>
      <c r="I3837" s="14" t="s">
        <v>2458</v>
      </c>
      <c r="J3837" s="33" t="s">
        <v>7110</v>
      </c>
      <c r="K3837" s="33" t="s">
        <v>9998</v>
      </c>
      <c r="L3837" s="53" t="s">
        <v>6054</v>
      </c>
      <c r="M3837" s="68" t="s">
        <v>9999</v>
      </c>
      <c r="N3837" s="53" t="s">
        <v>6286</v>
      </c>
      <c r="O3837" s="53">
        <v>55107</v>
      </c>
      <c r="P3837" s="198" t="s">
        <v>9771</v>
      </c>
    </row>
    <row r="3838" spans="1:16" ht="18.75" hidden="1">
      <c r="A3838" s="50" t="s">
        <v>10058</v>
      </c>
      <c r="B3838" s="50" t="s">
        <v>10024</v>
      </c>
      <c r="C3838" s="50" t="s">
        <v>10078</v>
      </c>
      <c r="D3838" s="12" t="s">
        <v>8618</v>
      </c>
      <c r="E3838" s="12" t="s">
        <v>4971</v>
      </c>
      <c r="F3838" s="49">
        <v>144340</v>
      </c>
      <c r="G3838" s="77" t="s">
        <v>6454</v>
      </c>
      <c r="H3838" s="14" t="s">
        <v>5601</v>
      </c>
      <c r="I3838" s="14" t="s">
        <v>2458</v>
      </c>
      <c r="J3838" s="33" t="s">
        <v>7110</v>
      </c>
      <c r="K3838" s="33" t="s">
        <v>9998</v>
      </c>
      <c r="L3838" s="53" t="s">
        <v>6054</v>
      </c>
      <c r="M3838" s="68" t="s">
        <v>8913</v>
      </c>
      <c r="N3838" s="53" t="s">
        <v>6076</v>
      </c>
      <c r="O3838" s="53">
        <v>55301</v>
      </c>
      <c r="P3838" s="198" t="s">
        <v>7121</v>
      </c>
    </row>
    <row r="3839" spans="1:16" ht="18.75" hidden="1">
      <c r="A3839" s="50" t="s">
        <v>10079</v>
      </c>
      <c r="B3839" s="50" t="s">
        <v>10028</v>
      </c>
      <c r="C3839" s="50" t="s">
        <v>9982</v>
      </c>
      <c r="D3839" s="12" t="s">
        <v>8793</v>
      </c>
      <c r="E3839" s="12" t="s">
        <v>4971</v>
      </c>
      <c r="F3839" s="49">
        <v>46960</v>
      </c>
      <c r="G3839" s="77" t="s">
        <v>8859</v>
      </c>
      <c r="H3839" s="14" t="s">
        <v>5601</v>
      </c>
      <c r="I3839" s="14" t="s">
        <v>2458</v>
      </c>
      <c r="J3839" s="33" t="s">
        <v>7110</v>
      </c>
      <c r="K3839" s="33" t="s">
        <v>9998</v>
      </c>
      <c r="L3839" s="53" t="s">
        <v>6054</v>
      </c>
      <c r="M3839" s="68" t="s">
        <v>8913</v>
      </c>
      <c r="N3839" s="53" t="s">
        <v>6286</v>
      </c>
      <c r="O3839" s="53">
        <v>55107</v>
      </c>
      <c r="P3839" s="198" t="s">
        <v>5854</v>
      </c>
    </row>
    <row r="3840" spans="1:16" ht="18.75" hidden="1">
      <c r="A3840" s="50" t="s">
        <v>10061</v>
      </c>
      <c r="B3840" s="50" t="s">
        <v>10033</v>
      </c>
      <c r="C3840" s="50" t="s">
        <v>10003</v>
      </c>
      <c r="D3840" s="12" t="s">
        <v>9815</v>
      </c>
      <c r="E3840" s="12" t="s">
        <v>4971</v>
      </c>
      <c r="F3840" s="49">
        <v>44160</v>
      </c>
      <c r="G3840" s="77" t="s">
        <v>6298</v>
      </c>
      <c r="H3840" s="14" t="s">
        <v>5601</v>
      </c>
      <c r="I3840" s="14" t="s">
        <v>2458</v>
      </c>
      <c r="J3840" s="33" t="s">
        <v>7110</v>
      </c>
      <c r="K3840" s="33" t="s">
        <v>9998</v>
      </c>
      <c r="L3840" s="53" t="s">
        <v>6054</v>
      </c>
      <c r="M3840" s="68" t="s">
        <v>9999</v>
      </c>
      <c r="N3840" s="53" t="s">
        <v>9836</v>
      </c>
      <c r="O3840" s="53">
        <v>55112</v>
      </c>
      <c r="P3840" s="198" t="s">
        <v>8698</v>
      </c>
    </row>
    <row r="3841" spans="1:16" ht="18.75" hidden="1">
      <c r="A3841" s="50" t="s">
        <v>10080</v>
      </c>
      <c r="B3841" s="50" t="s">
        <v>10008</v>
      </c>
      <c r="C3841" s="50" t="s">
        <v>9982</v>
      </c>
      <c r="D3841" s="12" t="s">
        <v>8793</v>
      </c>
      <c r="E3841" s="12" t="s">
        <v>4971</v>
      </c>
      <c r="F3841" s="49">
        <v>249575</v>
      </c>
      <c r="G3841" s="77" t="s">
        <v>8859</v>
      </c>
      <c r="H3841" s="14" t="s">
        <v>5601</v>
      </c>
      <c r="I3841" s="14" t="s">
        <v>2458</v>
      </c>
      <c r="J3841" s="33" t="s">
        <v>7110</v>
      </c>
      <c r="K3841" s="33" t="s">
        <v>9998</v>
      </c>
      <c r="L3841" s="53" t="s">
        <v>6054</v>
      </c>
      <c r="M3841" s="68" t="s">
        <v>9999</v>
      </c>
      <c r="N3841" s="53" t="s">
        <v>6285</v>
      </c>
      <c r="O3841" s="53">
        <v>55200</v>
      </c>
      <c r="P3841" s="198" t="s">
        <v>5854</v>
      </c>
    </row>
    <row r="3842" spans="1:16" ht="18.75" hidden="1">
      <c r="A3842" s="50" t="s">
        <v>10080</v>
      </c>
      <c r="B3842" s="50" t="s">
        <v>10008</v>
      </c>
      <c r="C3842" s="50" t="s">
        <v>10003</v>
      </c>
      <c r="D3842" s="12" t="s">
        <v>9815</v>
      </c>
      <c r="E3842" s="12" t="s">
        <v>4971</v>
      </c>
      <c r="F3842" s="49">
        <v>24200</v>
      </c>
      <c r="G3842" s="77" t="s">
        <v>6298</v>
      </c>
      <c r="H3842" s="14" t="s">
        <v>5601</v>
      </c>
      <c r="I3842" s="14" t="s">
        <v>2458</v>
      </c>
      <c r="J3842" s="33" t="s">
        <v>7110</v>
      </c>
      <c r="K3842" s="33" t="s">
        <v>9998</v>
      </c>
      <c r="L3842" s="53" t="s">
        <v>6054</v>
      </c>
      <c r="M3842" s="68" t="s">
        <v>9999</v>
      </c>
      <c r="N3842" s="53" t="s">
        <v>6285</v>
      </c>
      <c r="O3842" s="53">
        <v>55200</v>
      </c>
      <c r="P3842" s="198" t="s">
        <v>8698</v>
      </c>
    </row>
    <row r="3843" spans="1:16" ht="18.75" hidden="1">
      <c r="A3843" s="50" t="s">
        <v>10080</v>
      </c>
      <c r="B3843" s="50" t="s">
        <v>10008</v>
      </c>
      <c r="C3843" s="50" t="s">
        <v>10013</v>
      </c>
      <c r="D3843" s="12" t="s">
        <v>9835</v>
      </c>
      <c r="E3843" s="12" t="s">
        <v>4971</v>
      </c>
      <c r="F3843" s="49">
        <v>98860</v>
      </c>
      <c r="G3843" s="77" t="s">
        <v>6453</v>
      </c>
      <c r="H3843" s="14" t="s">
        <v>5601</v>
      </c>
      <c r="I3843" s="14" t="s">
        <v>2458</v>
      </c>
      <c r="J3843" s="33" t="e">
        <f>VLOOKUP(C3843,شرکتها!A:B,2,FALSE)</f>
        <v>#N/A</v>
      </c>
      <c r="K3843" s="33" t="s">
        <v>9998</v>
      </c>
      <c r="L3843" s="53" t="s">
        <v>6054</v>
      </c>
      <c r="M3843" s="68" t="s">
        <v>9999</v>
      </c>
      <c r="N3843" s="53" t="s">
        <v>6285</v>
      </c>
      <c r="O3843" s="53">
        <v>55200</v>
      </c>
      <c r="P3843" s="198" t="s">
        <v>9770</v>
      </c>
    </row>
    <row r="3844" spans="1:16" ht="18.75" hidden="1">
      <c r="A3844" s="50" t="s">
        <v>10080</v>
      </c>
      <c r="B3844" s="50" t="s">
        <v>10008</v>
      </c>
      <c r="C3844" s="50" t="s">
        <v>10017</v>
      </c>
      <c r="D3844" s="12" t="s">
        <v>8770</v>
      </c>
      <c r="E3844" s="12" t="s">
        <v>4971</v>
      </c>
      <c r="F3844" s="49">
        <v>51735</v>
      </c>
      <c r="G3844" s="77" t="s">
        <v>8859</v>
      </c>
      <c r="H3844" s="14" t="s">
        <v>5601</v>
      </c>
      <c r="I3844" s="14" t="s">
        <v>2458</v>
      </c>
      <c r="J3844" s="33" t="s">
        <v>7110</v>
      </c>
      <c r="K3844" s="33" t="s">
        <v>9998</v>
      </c>
      <c r="L3844" s="53" t="s">
        <v>6054</v>
      </c>
      <c r="M3844" s="68" t="s">
        <v>9999</v>
      </c>
      <c r="N3844" s="53" t="s">
        <v>6285</v>
      </c>
      <c r="O3844" s="53">
        <v>55200</v>
      </c>
      <c r="P3844" s="198" t="s">
        <v>5854</v>
      </c>
    </row>
    <row r="3845" spans="1:16" ht="18.75" hidden="1">
      <c r="A3845" s="50" t="s">
        <v>10081</v>
      </c>
      <c r="B3845" s="50" t="s">
        <v>9822</v>
      </c>
      <c r="C3845" s="50" t="s">
        <v>10082</v>
      </c>
      <c r="D3845" s="12" t="s">
        <v>8793</v>
      </c>
      <c r="E3845" s="12" t="s">
        <v>4971</v>
      </c>
      <c r="F3845" s="49">
        <v>25000</v>
      </c>
      <c r="G3845" s="77" t="s">
        <v>6454</v>
      </c>
      <c r="H3845" s="14" t="s">
        <v>5601</v>
      </c>
      <c r="I3845" s="14" t="s">
        <v>2458</v>
      </c>
      <c r="J3845" s="33" t="s">
        <v>7110</v>
      </c>
      <c r="K3845" s="33" t="s">
        <v>9998</v>
      </c>
      <c r="L3845" s="53" t="s">
        <v>6054</v>
      </c>
      <c r="M3845" s="68" t="s">
        <v>8913</v>
      </c>
      <c r="N3845" s="53" t="s">
        <v>6286</v>
      </c>
      <c r="O3845" s="53">
        <v>55107</v>
      </c>
      <c r="P3845" s="198" t="s">
        <v>8725</v>
      </c>
    </row>
    <row r="3846" spans="1:16" ht="18.75" hidden="1">
      <c r="A3846" s="50" t="s">
        <v>10081</v>
      </c>
      <c r="B3846" s="50" t="s">
        <v>9822</v>
      </c>
      <c r="C3846" s="50" t="s">
        <v>10083</v>
      </c>
      <c r="D3846" s="12" t="s">
        <v>8793</v>
      </c>
      <c r="E3846" s="12" t="s">
        <v>4971</v>
      </c>
      <c r="F3846" s="49">
        <v>44180</v>
      </c>
      <c r="G3846" s="77" t="s">
        <v>6454</v>
      </c>
      <c r="H3846" s="14" t="s">
        <v>5601</v>
      </c>
      <c r="I3846" s="14" t="s">
        <v>2458</v>
      </c>
      <c r="J3846" s="33" t="s">
        <v>7110</v>
      </c>
      <c r="K3846" s="33" t="s">
        <v>9998</v>
      </c>
      <c r="L3846" s="53" t="s">
        <v>6054</v>
      </c>
      <c r="M3846" s="68" t="s">
        <v>8913</v>
      </c>
      <c r="N3846" s="53" t="s">
        <v>6286</v>
      </c>
      <c r="O3846" s="53">
        <v>55107</v>
      </c>
      <c r="P3846" s="198" t="s">
        <v>8726</v>
      </c>
    </row>
    <row r="3847" spans="1:16" ht="18.75" hidden="1">
      <c r="A3847" s="50" t="s">
        <v>10081</v>
      </c>
      <c r="B3847" s="50" t="s">
        <v>9822</v>
      </c>
      <c r="C3847" s="50" t="s">
        <v>9740</v>
      </c>
      <c r="D3847" s="12" t="s">
        <v>8617</v>
      </c>
      <c r="E3847" s="12" t="s">
        <v>4971</v>
      </c>
      <c r="F3847" s="49">
        <v>50860</v>
      </c>
      <c r="G3847" s="77" t="s">
        <v>6454</v>
      </c>
      <c r="H3847" s="14" t="s">
        <v>5601</v>
      </c>
      <c r="I3847" s="14" t="s">
        <v>2458</v>
      </c>
      <c r="J3847" s="33" t="s">
        <v>7110</v>
      </c>
      <c r="K3847" s="33" t="s">
        <v>9998</v>
      </c>
      <c r="L3847" s="53" t="s">
        <v>6054</v>
      </c>
      <c r="M3847" s="68" t="s">
        <v>8913</v>
      </c>
      <c r="N3847" s="53" t="s">
        <v>6286</v>
      </c>
      <c r="O3847" s="53">
        <v>55107</v>
      </c>
      <c r="P3847" s="198" t="s">
        <v>7114</v>
      </c>
    </row>
    <row r="3848" spans="1:16" ht="18.75" hidden="1">
      <c r="A3848" s="50" t="s">
        <v>10084</v>
      </c>
      <c r="B3848" s="50" t="s">
        <v>9997</v>
      </c>
      <c r="C3848" s="50" t="s">
        <v>10029</v>
      </c>
      <c r="D3848" s="12" t="s">
        <v>8621</v>
      </c>
      <c r="E3848" s="12" t="s">
        <v>4971</v>
      </c>
      <c r="F3848" s="49">
        <v>31650</v>
      </c>
      <c r="G3848" s="77" t="s">
        <v>6453</v>
      </c>
      <c r="H3848" s="14" t="s">
        <v>5601</v>
      </c>
      <c r="I3848" s="14" t="s">
        <v>2458</v>
      </c>
      <c r="J3848" s="33" t="s">
        <v>7110</v>
      </c>
      <c r="K3848" s="33" t="s">
        <v>9998</v>
      </c>
      <c r="L3848" s="53" t="s">
        <v>6054</v>
      </c>
      <c r="M3848" s="68" t="s">
        <v>8913</v>
      </c>
      <c r="N3848" s="53" t="s">
        <v>6076</v>
      </c>
      <c r="O3848" s="53">
        <v>55301</v>
      </c>
      <c r="P3848" s="198" t="s">
        <v>8497</v>
      </c>
    </row>
    <row r="3849" spans="1:16" ht="18.75" hidden="1">
      <c r="A3849" s="50" t="s">
        <v>10085</v>
      </c>
      <c r="B3849" s="50" t="s">
        <v>9835</v>
      </c>
      <c r="C3849" s="50" t="s">
        <v>6042</v>
      </c>
      <c r="D3849" s="12" t="s">
        <v>5857</v>
      </c>
      <c r="E3849" s="12" t="s">
        <v>4971</v>
      </c>
      <c r="F3849" s="49">
        <v>130000</v>
      </c>
      <c r="G3849" s="77" t="s">
        <v>6454</v>
      </c>
      <c r="H3849" s="14" t="s">
        <v>5601</v>
      </c>
      <c r="I3849" s="14" t="s">
        <v>2458</v>
      </c>
      <c r="J3849" s="33" t="s">
        <v>7110</v>
      </c>
      <c r="K3849" s="33" t="s">
        <v>9998</v>
      </c>
      <c r="L3849" s="53" t="s">
        <v>6054</v>
      </c>
      <c r="M3849" s="68" t="s">
        <v>8913</v>
      </c>
      <c r="N3849" s="53" t="s">
        <v>6076</v>
      </c>
      <c r="O3849" s="53">
        <v>55301</v>
      </c>
      <c r="P3849" s="198" t="s">
        <v>5822</v>
      </c>
    </row>
    <row r="3850" spans="1:16" ht="18.75" hidden="1">
      <c r="A3850" s="50" t="s">
        <v>10084</v>
      </c>
      <c r="B3850" s="50" t="s">
        <v>9997</v>
      </c>
      <c r="C3850" s="50" t="s">
        <v>9986</v>
      </c>
      <c r="D3850" s="12" t="s">
        <v>8793</v>
      </c>
      <c r="E3850" s="12" t="s">
        <v>4971</v>
      </c>
      <c r="F3850" s="49">
        <v>166700</v>
      </c>
      <c r="G3850" s="77" t="s">
        <v>8859</v>
      </c>
      <c r="H3850" s="14" t="s">
        <v>5601</v>
      </c>
      <c r="I3850" s="14" t="s">
        <v>2458</v>
      </c>
      <c r="J3850" s="33" t="s">
        <v>7110</v>
      </c>
      <c r="K3850" s="33" t="s">
        <v>9998</v>
      </c>
      <c r="L3850" s="53" t="s">
        <v>6054</v>
      </c>
      <c r="M3850" s="68" t="s">
        <v>8913</v>
      </c>
      <c r="N3850" s="53" t="s">
        <v>6076</v>
      </c>
      <c r="O3850" s="53">
        <v>55301</v>
      </c>
      <c r="P3850" s="198" t="s">
        <v>5854</v>
      </c>
    </row>
    <row r="3851" spans="1:16" ht="18.75" hidden="1">
      <c r="A3851" s="50" t="s">
        <v>10086</v>
      </c>
      <c r="B3851" s="50" t="s">
        <v>9997</v>
      </c>
      <c r="C3851" s="50" t="s">
        <v>9986</v>
      </c>
      <c r="D3851" s="12" t="s">
        <v>8793</v>
      </c>
      <c r="E3851" s="12" t="s">
        <v>4971</v>
      </c>
      <c r="F3851" s="49">
        <v>46330</v>
      </c>
      <c r="G3851" s="77" t="s">
        <v>8859</v>
      </c>
      <c r="H3851" s="14" t="s">
        <v>5601</v>
      </c>
      <c r="I3851" s="14" t="s">
        <v>2458</v>
      </c>
      <c r="J3851" s="33" t="s">
        <v>7110</v>
      </c>
      <c r="K3851" s="33" t="s">
        <v>9998</v>
      </c>
      <c r="L3851" s="53" t="s">
        <v>6054</v>
      </c>
      <c r="M3851" s="68" t="s">
        <v>9999</v>
      </c>
      <c r="N3851" s="53" t="s">
        <v>6076</v>
      </c>
      <c r="O3851" s="53">
        <v>55301</v>
      </c>
      <c r="P3851" s="198" t="s">
        <v>5854</v>
      </c>
    </row>
    <row r="3852" spans="1:16" ht="18.75" hidden="1">
      <c r="A3852" s="50" t="s">
        <v>10085</v>
      </c>
      <c r="B3852" s="50" t="s">
        <v>9835</v>
      </c>
      <c r="C3852" s="50" t="s">
        <v>8890</v>
      </c>
      <c r="D3852" s="12" t="s">
        <v>8621</v>
      </c>
      <c r="E3852" s="12" t="s">
        <v>4971</v>
      </c>
      <c r="F3852" s="49">
        <v>329060</v>
      </c>
      <c r="G3852" s="77" t="s">
        <v>6453</v>
      </c>
      <c r="H3852" s="14" t="s">
        <v>5601</v>
      </c>
      <c r="I3852" s="14" t="s">
        <v>2458</v>
      </c>
      <c r="J3852" s="33" t="s">
        <v>7110</v>
      </c>
      <c r="K3852" s="33" t="s">
        <v>9998</v>
      </c>
      <c r="L3852" s="53" t="s">
        <v>6054</v>
      </c>
      <c r="M3852" s="68" t="s">
        <v>8913</v>
      </c>
      <c r="N3852" s="53" t="s">
        <v>6076</v>
      </c>
      <c r="O3852" s="53">
        <v>55301</v>
      </c>
      <c r="P3852" s="198" t="s">
        <v>8497</v>
      </c>
    </row>
    <row r="3853" spans="1:16" ht="18.75" hidden="1">
      <c r="A3853" s="50" t="s">
        <v>10085</v>
      </c>
      <c r="B3853" s="50" t="s">
        <v>9835</v>
      </c>
      <c r="C3853" s="50" t="s">
        <v>10045</v>
      </c>
      <c r="D3853" s="12" t="s">
        <v>8764</v>
      </c>
      <c r="E3853" s="12" t="s">
        <v>4971</v>
      </c>
      <c r="F3853" s="49">
        <v>37792</v>
      </c>
      <c r="G3853" s="77" t="s">
        <v>6298</v>
      </c>
      <c r="H3853" s="14" t="s">
        <v>5601</v>
      </c>
      <c r="I3853" s="14" t="s">
        <v>2458</v>
      </c>
      <c r="J3853" s="33" t="s">
        <v>7110</v>
      </c>
      <c r="K3853" s="33" t="s">
        <v>9998</v>
      </c>
      <c r="L3853" s="53" t="s">
        <v>6054</v>
      </c>
      <c r="M3853" s="68" t="s">
        <v>8913</v>
      </c>
      <c r="N3853" s="53" t="s">
        <v>6076</v>
      </c>
      <c r="O3853" s="53">
        <v>55301</v>
      </c>
      <c r="P3853" s="198" t="s">
        <v>7273</v>
      </c>
    </row>
    <row r="3854" spans="1:16" ht="18.75" hidden="1">
      <c r="A3854" s="50" t="s">
        <v>10085</v>
      </c>
      <c r="B3854" s="50" t="s">
        <v>9835</v>
      </c>
      <c r="C3854" s="50" t="s">
        <v>7602</v>
      </c>
      <c r="D3854" s="12" t="s">
        <v>6305</v>
      </c>
      <c r="E3854" s="12" t="s">
        <v>4971</v>
      </c>
      <c r="F3854" s="49">
        <v>31648</v>
      </c>
      <c r="G3854" s="77" t="s">
        <v>6454</v>
      </c>
      <c r="H3854" s="14" t="s">
        <v>5601</v>
      </c>
      <c r="I3854" s="14" t="s">
        <v>2458</v>
      </c>
      <c r="J3854" s="33" t="s">
        <v>7110</v>
      </c>
      <c r="K3854" s="33" t="s">
        <v>9998</v>
      </c>
      <c r="L3854" s="53" t="s">
        <v>6054</v>
      </c>
      <c r="M3854" s="68" t="s">
        <v>8913</v>
      </c>
      <c r="N3854" s="53" t="s">
        <v>6076</v>
      </c>
      <c r="O3854" s="53">
        <v>55301</v>
      </c>
      <c r="P3854" s="198" t="s">
        <v>7603</v>
      </c>
    </row>
    <row r="3855" spans="1:16" ht="18.75" hidden="1">
      <c r="A3855" s="50" t="s">
        <v>10087</v>
      </c>
      <c r="B3855" s="50" t="s">
        <v>9952</v>
      </c>
      <c r="C3855" s="50" t="s">
        <v>9979</v>
      </c>
      <c r="D3855" s="12" t="s">
        <v>8621</v>
      </c>
      <c r="E3855" s="12" t="s">
        <v>4971</v>
      </c>
      <c r="F3855" s="49">
        <v>216600</v>
      </c>
      <c r="G3855" s="77" t="s">
        <v>8859</v>
      </c>
      <c r="H3855" s="14" t="s">
        <v>5601</v>
      </c>
      <c r="I3855" s="14" t="s">
        <v>2458</v>
      </c>
      <c r="J3855" s="33" t="s">
        <v>7110</v>
      </c>
      <c r="K3855" s="33" t="s">
        <v>9998</v>
      </c>
      <c r="L3855" s="53" t="s">
        <v>6054</v>
      </c>
      <c r="M3855" s="68" t="s">
        <v>8913</v>
      </c>
      <c r="N3855" s="53" t="s">
        <v>6076</v>
      </c>
      <c r="O3855" s="53">
        <v>55301</v>
      </c>
      <c r="P3855" s="198" t="s">
        <v>5854</v>
      </c>
    </row>
    <row r="3856" spans="1:16" ht="18.75" hidden="1">
      <c r="A3856" s="50" t="s">
        <v>10087</v>
      </c>
      <c r="B3856" s="50" t="s">
        <v>9952</v>
      </c>
      <c r="C3856" s="50" t="s">
        <v>10045</v>
      </c>
      <c r="D3856" s="12" t="s">
        <v>8764</v>
      </c>
      <c r="E3856" s="12" t="s">
        <v>4971</v>
      </c>
      <c r="F3856" s="49">
        <v>332920</v>
      </c>
      <c r="G3856" s="77" t="s">
        <v>6298</v>
      </c>
      <c r="H3856" s="14" t="s">
        <v>5601</v>
      </c>
      <c r="I3856" s="14" t="s">
        <v>2458</v>
      </c>
      <c r="J3856" s="33" t="s">
        <v>7110</v>
      </c>
      <c r="K3856" s="33" t="s">
        <v>9998</v>
      </c>
      <c r="L3856" s="53" t="s">
        <v>6054</v>
      </c>
      <c r="M3856" s="68" t="s">
        <v>8913</v>
      </c>
      <c r="N3856" s="53" t="s">
        <v>6076</v>
      </c>
      <c r="O3856" s="53">
        <v>55301</v>
      </c>
      <c r="P3856" s="198" t="s">
        <v>7273</v>
      </c>
    </row>
    <row r="3857" spans="1:16" ht="18.75" hidden="1">
      <c r="A3857" s="50" t="s">
        <v>10088</v>
      </c>
      <c r="B3857" s="50" t="s">
        <v>9910</v>
      </c>
      <c r="C3857" s="50" t="s">
        <v>10053</v>
      </c>
      <c r="D3857" s="12" t="s">
        <v>8793</v>
      </c>
      <c r="E3857" s="12" t="s">
        <v>4971</v>
      </c>
      <c r="F3857" s="49">
        <v>194180</v>
      </c>
      <c r="G3857" s="77" t="s">
        <v>8859</v>
      </c>
      <c r="H3857" s="14" t="s">
        <v>5601</v>
      </c>
      <c r="I3857" s="14" t="s">
        <v>2458</v>
      </c>
      <c r="J3857" s="33" t="s">
        <v>7110</v>
      </c>
      <c r="K3857" s="33" t="s">
        <v>9998</v>
      </c>
      <c r="L3857" s="53" t="s">
        <v>6054</v>
      </c>
      <c r="M3857" s="68" t="s">
        <v>8913</v>
      </c>
      <c r="N3857" s="53" t="s">
        <v>9836</v>
      </c>
      <c r="O3857" s="53">
        <v>55112</v>
      </c>
      <c r="P3857" s="198" t="s">
        <v>5854</v>
      </c>
    </row>
    <row r="3858" spans="1:16" ht="18.75" hidden="1">
      <c r="A3858" s="50" t="s">
        <v>10089</v>
      </c>
      <c r="B3858" s="50" t="s">
        <v>9910</v>
      </c>
      <c r="C3858" s="50" t="s">
        <v>9979</v>
      </c>
      <c r="D3858" s="12" t="s">
        <v>8621</v>
      </c>
      <c r="E3858" s="12" t="s">
        <v>4971</v>
      </c>
      <c r="F3858" s="49">
        <v>23540</v>
      </c>
      <c r="G3858" s="77" t="s">
        <v>8859</v>
      </c>
      <c r="H3858" s="14" t="s">
        <v>5601</v>
      </c>
      <c r="I3858" s="14" t="s">
        <v>2458</v>
      </c>
      <c r="J3858" s="33" t="s">
        <v>7110</v>
      </c>
      <c r="K3858" s="33" t="s">
        <v>9998</v>
      </c>
      <c r="L3858" s="53" t="s">
        <v>6054</v>
      </c>
      <c r="M3858" s="68" t="s">
        <v>8913</v>
      </c>
      <c r="N3858" s="53" t="s">
        <v>6286</v>
      </c>
      <c r="O3858" s="53">
        <v>55107</v>
      </c>
      <c r="P3858" s="198" t="s">
        <v>5854</v>
      </c>
    </row>
    <row r="3859" spans="1:16" ht="18.75" hidden="1">
      <c r="A3859" s="50" t="s">
        <v>10089</v>
      </c>
      <c r="B3859" s="50" t="s">
        <v>9910</v>
      </c>
      <c r="C3859" s="50" t="s">
        <v>10053</v>
      </c>
      <c r="D3859" s="12" t="s">
        <v>8793</v>
      </c>
      <c r="E3859" s="12" t="s">
        <v>4971</v>
      </c>
      <c r="F3859" s="49">
        <v>22780</v>
      </c>
      <c r="G3859" s="77" t="s">
        <v>8859</v>
      </c>
      <c r="H3859" s="14" t="s">
        <v>5601</v>
      </c>
      <c r="I3859" s="14" t="s">
        <v>2458</v>
      </c>
      <c r="J3859" s="33" t="s">
        <v>7110</v>
      </c>
      <c r="K3859" s="33" t="s">
        <v>9998</v>
      </c>
      <c r="L3859" s="53" t="s">
        <v>6054</v>
      </c>
      <c r="M3859" s="68" t="s">
        <v>8913</v>
      </c>
      <c r="N3859" s="53" t="s">
        <v>6286</v>
      </c>
      <c r="O3859" s="53">
        <v>55107</v>
      </c>
      <c r="P3859" s="198" t="s">
        <v>5854</v>
      </c>
    </row>
    <row r="3860" spans="1:16" ht="18.75" hidden="1">
      <c r="A3860" s="50" t="s">
        <v>10090</v>
      </c>
      <c r="B3860" s="50" t="s">
        <v>9997</v>
      </c>
      <c r="C3860" s="50" t="s">
        <v>10091</v>
      </c>
      <c r="D3860" s="12" t="s">
        <v>9715</v>
      </c>
      <c r="E3860" s="12" t="s">
        <v>4971</v>
      </c>
      <c r="F3860" s="49">
        <v>400000</v>
      </c>
      <c r="G3860" s="77" t="s">
        <v>6300</v>
      </c>
      <c r="H3860" s="14" t="s">
        <v>5601</v>
      </c>
      <c r="I3860" s="14" t="s">
        <v>2458</v>
      </c>
      <c r="J3860" s="33" t="s">
        <v>7110</v>
      </c>
      <c r="K3860" s="33" t="s">
        <v>9998</v>
      </c>
      <c r="L3860" s="53" t="s">
        <v>6054</v>
      </c>
      <c r="M3860" s="68" t="s">
        <v>9999</v>
      </c>
      <c r="N3860" s="53" t="s">
        <v>6285</v>
      </c>
      <c r="O3860" s="53">
        <v>55200</v>
      </c>
      <c r="P3860" s="198" t="s">
        <v>9771</v>
      </c>
    </row>
    <row r="3861" spans="1:16" ht="18.75" hidden="1">
      <c r="A3861" s="50" t="s">
        <v>10090</v>
      </c>
      <c r="B3861" s="50" t="s">
        <v>9997</v>
      </c>
      <c r="C3861" s="50" t="s">
        <v>10076</v>
      </c>
      <c r="D3861" s="12" t="s">
        <v>9715</v>
      </c>
      <c r="E3861" s="12" t="s">
        <v>4971</v>
      </c>
      <c r="F3861" s="49">
        <v>23330</v>
      </c>
      <c r="G3861" s="77" t="s">
        <v>6300</v>
      </c>
      <c r="H3861" s="14" t="s">
        <v>5601</v>
      </c>
      <c r="I3861" s="14" t="s">
        <v>2458</v>
      </c>
      <c r="J3861" s="33" t="s">
        <v>7110</v>
      </c>
      <c r="K3861" s="33" t="s">
        <v>9998</v>
      </c>
      <c r="L3861" s="53" t="s">
        <v>6054</v>
      </c>
      <c r="M3861" s="68" t="s">
        <v>9999</v>
      </c>
      <c r="N3861" s="53" t="s">
        <v>6285</v>
      </c>
      <c r="O3861" s="53">
        <v>55200</v>
      </c>
      <c r="P3861" s="198" t="s">
        <v>9771</v>
      </c>
    </row>
    <row r="3862" spans="1:16" ht="18.75" hidden="1">
      <c r="A3862" s="50" t="s">
        <v>10092</v>
      </c>
      <c r="B3862" s="50" t="s">
        <v>9962</v>
      </c>
      <c r="C3862" s="50" t="s">
        <v>10053</v>
      </c>
      <c r="D3862" s="12" t="s">
        <v>8793</v>
      </c>
      <c r="E3862" s="12" t="s">
        <v>4971</v>
      </c>
      <c r="F3862" s="49">
        <v>31980</v>
      </c>
      <c r="G3862" s="77" t="s">
        <v>8859</v>
      </c>
      <c r="H3862" s="14" t="s">
        <v>5601</v>
      </c>
      <c r="I3862" s="14" t="s">
        <v>2458</v>
      </c>
      <c r="J3862" s="33" t="s">
        <v>7110</v>
      </c>
      <c r="K3862" s="33" t="s">
        <v>9998</v>
      </c>
      <c r="L3862" s="53" t="s">
        <v>6054</v>
      </c>
      <c r="M3862" s="68" t="s">
        <v>8913</v>
      </c>
      <c r="N3862" s="53" t="s">
        <v>6286</v>
      </c>
      <c r="O3862" s="53">
        <v>55107</v>
      </c>
      <c r="P3862" s="198" t="s">
        <v>5854</v>
      </c>
    </row>
    <row r="3863" spans="1:16" ht="18.75" hidden="1">
      <c r="A3863" s="50" t="s">
        <v>10092</v>
      </c>
      <c r="B3863" s="50" t="s">
        <v>9962</v>
      </c>
      <c r="C3863" s="50" t="s">
        <v>9977</v>
      </c>
      <c r="D3863" s="12" t="s">
        <v>8627</v>
      </c>
      <c r="E3863" s="12" t="s">
        <v>4971</v>
      </c>
      <c r="F3863" s="49">
        <v>38940</v>
      </c>
      <c r="G3863" s="77" t="s">
        <v>6454</v>
      </c>
      <c r="H3863" s="14" t="s">
        <v>5601</v>
      </c>
      <c r="I3863" s="14" t="s">
        <v>2458</v>
      </c>
      <c r="J3863" s="33" t="s">
        <v>7110</v>
      </c>
      <c r="K3863" s="33" t="s">
        <v>9998</v>
      </c>
      <c r="L3863" s="53" t="s">
        <v>6054</v>
      </c>
      <c r="M3863" s="68" t="s">
        <v>8913</v>
      </c>
      <c r="N3863" s="53" t="s">
        <v>6286</v>
      </c>
      <c r="O3863" s="53">
        <v>55107</v>
      </c>
      <c r="P3863" s="198" t="s">
        <v>7234</v>
      </c>
    </row>
    <row r="3864" spans="1:16" ht="18.75" hidden="1">
      <c r="A3864" s="50" t="s">
        <v>10084</v>
      </c>
      <c r="B3864" s="50" t="s">
        <v>9997</v>
      </c>
      <c r="C3864" s="50" t="s">
        <v>9993</v>
      </c>
      <c r="D3864" s="12" t="s">
        <v>8788</v>
      </c>
      <c r="E3864" s="12" t="s">
        <v>4971</v>
      </c>
      <c r="F3864" s="49">
        <v>37550</v>
      </c>
      <c r="G3864" s="77" t="s">
        <v>6453</v>
      </c>
      <c r="H3864" s="14" t="s">
        <v>5601</v>
      </c>
      <c r="I3864" s="14" t="s">
        <v>2458</v>
      </c>
      <c r="J3864" s="33" t="s">
        <v>7110</v>
      </c>
      <c r="K3864" s="33" t="s">
        <v>9998</v>
      </c>
      <c r="L3864" s="53" t="s">
        <v>6054</v>
      </c>
      <c r="M3864" s="68" t="s">
        <v>8913</v>
      </c>
      <c r="N3864" s="53" t="s">
        <v>6076</v>
      </c>
      <c r="O3864" s="53">
        <v>55301</v>
      </c>
      <c r="P3864" s="198" t="s">
        <v>8497</v>
      </c>
    </row>
    <row r="3865" spans="1:16" ht="18.75" hidden="1">
      <c r="A3865" s="50" t="s">
        <v>10085</v>
      </c>
      <c r="B3865" s="50" t="s">
        <v>9835</v>
      </c>
      <c r="C3865" s="50" t="s">
        <v>10093</v>
      </c>
      <c r="D3865" s="12" t="s">
        <v>8764</v>
      </c>
      <c r="E3865" s="12" t="s">
        <v>4971</v>
      </c>
      <c r="F3865" s="49">
        <v>300000</v>
      </c>
      <c r="G3865" s="77" t="s">
        <v>6298</v>
      </c>
      <c r="H3865" s="14" t="s">
        <v>5601</v>
      </c>
      <c r="I3865" s="14" t="s">
        <v>2458</v>
      </c>
      <c r="J3865" s="33" t="s">
        <v>7110</v>
      </c>
      <c r="K3865" s="33" t="s">
        <v>9998</v>
      </c>
      <c r="L3865" s="53" t="s">
        <v>6054</v>
      </c>
      <c r="M3865" s="68" t="s">
        <v>8913</v>
      </c>
      <c r="N3865" s="53" t="s">
        <v>6076</v>
      </c>
      <c r="O3865" s="53">
        <v>55301</v>
      </c>
      <c r="P3865" s="198" t="s">
        <v>7273</v>
      </c>
    </row>
    <row r="3866" spans="1:16" ht="18.75" hidden="1">
      <c r="A3866" s="50" t="s">
        <v>10094</v>
      </c>
      <c r="B3866" s="50" t="s">
        <v>9962</v>
      </c>
      <c r="C3866" s="50" t="s">
        <v>9993</v>
      </c>
      <c r="D3866" s="12" t="s">
        <v>8788</v>
      </c>
      <c r="E3866" s="12" t="s">
        <v>4971</v>
      </c>
      <c r="F3866" s="49">
        <v>48640</v>
      </c>
      <c r="G3866" s="77" t="s">
        <v>6453</v>
      </c>
      <c r="H3866" s="14" t="s">
        <v>5601</v>
      </c>
      <c r="I3866" s="14" t="s">
        <v>2458</v>
      </c>
      <c r="J3866" s="33" t="s">
        <v>7110</v>
      </c>
      <c r="K3866" s="33" t="s">
        <v>9998</v>
      </c>
      <c r="L3866" s="53" t="s">
        <v>6054</v>
      </c>
      <c r="M3866" s="68" t="s">
        <v>8913</v>
      </c>
      <c r="N3866" s="53" t="s">
        <v>9836</v>
      </c>
      <c r="O3866" s="53">
        <v>55112</v>
      </c>
      <c r="P3866" s="198" t="s">
        <v>8497</v>
      </c>
    </row>
    <row r="3867" spans="1:16" ht="18.75" hidden="1">
      <c r="A3867" s="50" t="str">
        <f>"50100-9608229"</f>
        <v>50100-9608229</v>
      </c>
      <c r="B3867" s="50" t="str">
        <f>"96/09/25"</f>
        <v>96/09/25</v>
      </c>
      <c r="C3867" s="50" t="s">
        <v>10095</v>
      </c>
      <c r="D3867" s="12" t="s">
        <v>8911</v>
      </c>
      <c r="E3867" s="12" t="s">
        <v>4971</v>
      </c>
      <c r="F3867" s="49">
        <v>196650</v>
      </c>
      <c r="G3867" s="77" t="str">
        <f>"Black Gold Traders FZE"</f>
        <v>Black Gold Traders FZE</v>
      </c>
      <c r="H3867" s="14" t="s">
        <v>5601</v>
      </c>
      <c r="I3867" s="14" t="s">
        <v>2458</v>
      </c>
      <c r="J3867" s="33" t="s">
        <v>7110</v>
      </c>
      <c r="K3867" s="33" t="s">
        <v>10145</v>
      </c>
      <c r="L3867" s="53" t="str">
        <f>"تانزانيا"</f>
        <v>تانزانيا</v>
      </c>
      <c r="M3867" s="68" t="str">
        <f>"بشكه"</f>
        <v>بشكه</v>
      </c>
      <c r="N3867" s="53" t="s">
        <v>10096</v>
      </c>
      <c r="O3867" s="53">
        <v>50100</v>
      </c>
      <c r="P3867" s="198" t="s">
        <v>9771</v>
      </c>
    </row>
    <row r="3868" spans="1:16" ht="18.75" hidden="1">
      <c r="A3868" s="50" t="str">
        <f>"50100-9632604"</f>
        <v>50100-9632604</v>
      </c>
      <c r="B3868" s="50" t="str">
        <f>"96/09/29"</f>
        <v>96/09/29</v>
      </c>
      <c r="C3868" s="50" t="s">
        <v>10097</v>
      </c>
      <c r="D3868" s="12" t="s">
        <v>8620</v>
      </c>
      <c r="E3868" s="12" t="s">
        <v>4971</v>
      </c>
      <c r="F3868" s="49">
        <v>232756</v>
      </c>
      <c r="G3868" s="77" t="str">
        <f>"LLC Sebco Bitumen"</f>
        <v>LLC Sebco Bitumen</v>
      </c>
      <c r="H3868" s="14" t="s">
        <v>5601</v>
      </c>
      <c r="I3868" s="14" t="s">
        <v>2458</v>
      </c>
      <c r="J3868" s="33" t="s">
        <v>7110</v>
      </c>
      <c r="K3868" s="33" t="s">
        <v>10145</v>
      </c>
      <c r="L3868" s="53" t="str">
        <f>"اندونزي"</f>
        <v>اندونزي</v>
      </c>
      <c r="M3868" s="68" t="str">
        <f>"بشكه"</f>
        <v>بشكه</v>
      </c>
      <c r="N3868" s="53" t="s">
        <v>10096</v>
      </c>
      <c r="O3868" s="53">
        <v>50100</v>
      </c>
      <c r="P3868" s="198" t="s">
        <v>7175</v>
      </c>
    </row>
    <row r="3869" spans="1:16" ht="18.75" hidden="1">
      <c r="A3869" s="50" t="str">
        <f>"50100-9632604"</f>
        <v>50100-9632604</v>
      </c>
      <c r="B3869" s="50" t="str">
        <f>"96/09/29"</f>
        <v>96/09/29</v>
      </c>
      <c r="C3869" s="50" t="s">
        <v>9857</v>
      </c>
      <c r="D3869" s="12" t="s">
        <v>6323</v>
      </c>
      <c r="E3869" s="12" t="s">
        <v>4971</v>
      </c>
      <c r="F3869" s="49">
        <v>11200</v>
      </c>
      <c r="G3869" s="77" t="str">
        <f>"Canadian White Star Energy Ltd."</f>
        <v>Canadian White Star Energy Ltd.</v>
      </c>
      <c r="H3869" s="14" t="s">
        <v>5601</v>
      </c>
      <c r="I3869" s="14" t="s">
        <v>2458</v>
      </c>
      <c r="J3869" s="33" t="s">
        <v>7110</v>
      </c>
      <c r="K3869" s="33" t="s">
        <v>10145</v>
      </c>
      <c r="L3869" s="53" t="str">
        <f>"اندونزي"</f>
        <v>اندونزي</v>
      </c>
      <c r="M3869" s="68" t="str">
        <f>"بشكه"</f>
        <v>بشكه</v>
      </c>
      <c r="N3869" s="53" t="s">
        <v>10096</v>
      </c>
      <c r="O3869" s="53">
        <v>50100</v>
      </c>
      <c r="P3869" s="198" t="s">
        <v>7271</v>
      </c>
    </row>
    <row r="3870" spans="1:16" ht="18.75" hidden="1">
      <c r="A3870" s="50" t="str">
        <f>"50100-9632604"</f>
        <v>50100-9632604</v>
      </c>
      <c r="B3870" s="50" t="str">
        <f>"96/09/29"</f>
        <v>96/09/29</v>
      </c>
      <c r="C3870" s="50" t="s">
        <v>9958</v>
      </c>
      <c r="D3870" s="12" t="s">
        <v>6337</v>
      </c>
      <c r="E3870" s="12" t="s">
        <v>4971</v>
      </c>
      <c r="F3870" s="49">
        <v>151976</v>
      </c>
      <c r="G3870" s="77" t="str">
        <f>"LLC Sebco Bitumen"</f>
        <v>LLC Sebco Bitumen</v>
      </c>
      <c r="H3870" s="14" t="s">
        <v>5601</v>
      </c>
      <c r="I3870" s="14" t="s">
        <v>2458</v>
      </c>
      <c r="J3870" s="33" t="s">
        <v>7110</v>
      </c>
      <c r="K3870" s="33" t="s">
        <v>10145</v>
      </c>
      <c r="L3870" s="53" t="str">
        <f>"اندونزي"</f>
        <v>اندونزي</v>
      </c>
      <c r="M3870" s="68" t="str">
        <f>"بشكه"</f>
        <v>بشكه</v>
      </c>
      <c r="N3870" s="53" t="s">
        <v>10096</v>
      </c>
      <c r="O3870" s="53">
        <v>50100</v>
      </c>
      <c r="P3870" s="198" t="s">
        <v>7175</v>
      </c>
    </row>
    <row r="3871" spans="1:16" ht="18.75" hidden="1">
      <c r="A3871" s="50" t="str">
        <f>"50100-9632604"</f>
        <v>50100-9632604</v>
      </c>
      <c r="B3871" s="50" t="str">
        <f>"96/09/29"</f>
        <v>96/09/29</v>
      </c>
      <c r="C3871" s="50" t="s">
        <v>9849</v>
      </c>
      <c r="D3871" s="12" t="s">
        <v>8833</v>
      </c>
      <c r="E3871" s="12" t="s">
        <v>4971</v>
      </c>
      <c r="F3871" s="49">
        <v>107068</v>
      </c>
      <c r="G3871" s="77" t="str">
        <f>"DAXON PETROLEUM"</f>
        <v>DAXON PETROLEUM</v>
      </c>
      <c r="H3871" s="14" t="s">
        <v>5601</v>
      </c>
      <c r="I3871" s="14" t="s">
        <v>2458</v>
      </c>
      <c r="J3871" s="33" t="s">
        <v>7110</v>
      </c>
      <c r="K3871" s="33" t="s">
        <v>10145</v>
      </c>
      <c r="L3871" s="53" t="str">
        <f>"اندونزي"</f>
        <v>اندونزي</v>
      </c>
      <c r="M3871" s="68" t="str">
        <f>"بشكه"</f>
        <v>بشكه</v>
      </c>
      <c r="N3871" s="53" t="s">
        <v>10096</v>
      </c>
      <c r="O3871" s="53">
        <v>50100</v>
      </c>
      <c r="P3871" s="198" t="s">
        <v>8725</v>
      </c>
    </row>
    <row r="3872" spans="1:16" ht="18.75" hidden="1">
      <c r="A3872" s="50" t="str">
        <f>"50100-9583999"</f>
        <v>50100-9583999</v>
      </c>
      <c r="B3872" s="50" t="str">
        <f>"96/09/19"</f>
        <v>96/09/19</v>
      </c>
      <c r="C3872" s="50" t="s">
        <v>10098</v>
      </c>
      <c r="D3872" s="12" t="s">
        <v>10012</v>
      </c>
      <c r="E3872" s="12" t="s">
        <v>4971</v>
      </c>
      <c r="F3872" s="49">
        <v>1742233</v>
      </c>
      <c r="G3872" s="77" t="str">
        <f>"AL MASAR PETROLUME L.L.C"</f>
        <v>AL MASAR PETROLUME L.L.C</v>
      </c>
      <c r="H3872" s="14" t="s">
        <v>5601</v>
      </c>
      <c r="I3872" s="14" t="s">
        <v>2458</v>
      </c>
      <c r="J3872" s="33" t="e">
        <f>VLOOKUP(C3872,شرکتها!A:B,2,FALSE)</f>
        <v>#N/A</v>
      </c>
      <c r="K3872" s="33" t="s">
        <v>10145</v>
      </c>
      <c r="L3872" s="53" t="str">
        <f>"قطر"</f>
        <v>قطر</v>
      </c>
      <c r="M3872" s="68" t="str">
        <f>"فله"</f>
        <v>فله</v>
      </c>
      <c r="N3872" s="53" t="s">
        <v>10096</v>
      </c>
      <c r="O3872" s="53">
        <v>50100</v>
      </c>
      <c r="P3872" s="198" t="s">
        <v>9911</v>
      </c>
    </row>
    <row r="3873" spans="1:16" ht="18.75" hidden="1">
      <c r="A3873" s="50" t="str">
        <f>"50100-9583866"</f>
        <v>50100-9583866</v>
      </c>
      <c r="B3873" s="50" t="str">
        <f>"96/09/19"</f>
        <v>96/09/19</v>
      </c>
      <c r="C3873" s="50" t="s">
        <v>10099</v>
      </c>
      <c r="D3873" s="12" t="s">
        <v>10008</v>
      </c>
      <c r="E3873" s="12" t="s">
        <v>4971</v>
      </c>
      <c r="F3873" s="49">
        <v>2999740</v>
      </c>
      <c r="G3873" s="77" t="str">
        <f>"AL MASAR PETROLUME L.L.C"</f>
        <v>AL MASAR PETROLUME L.L.C</v>
      </c>
      <c r="H3873" s="14" t="s">
        <v>5601</v>
      </c>
      <c r="I3873" s="14" t="s">
        <v>2458</v>
      </c>
      <c r="J3873" s="33" t="e">
        <f>VLOOKUP(C3873,شرکتها!A:B,2,FALSE)</f>
        <v>#N/A</v>
      </c>
      <c r="K3873" s="33" t="s">
        <v>10145</v>
      </c>
      <c r="L3873" s="53" t="str">
        <f>"قطر"</f>
        <v>قطر</v>
      </c>
      <c r="M3873" s="68" t="str">
        <f>"فله"</f>
        <v>فله</v>
      </c>
      <c r="N3873" s="53" t="s">
        <v>10096</v>
      </c>
      <c r="O3873" s="53">
        <v>50100</v>
      </c>
      <c r="P3873" s="198" t="s">
        <v>9911</v>
      </c>
    </row>
    <row r="3874" spans="1:16" ht="18.75" hidden="1">
      <c r="A3874" s="50" t="str">
        <f>"50100-9570500"</f>
        <v>50100-9570500</v>
      </c>
      <c r="B3874" s="50" t="str">
        <f>"96/09/16"</f>
        <v>96/09/16</v>
      </c>
      <c r="C3874" s="50" t="s">
        <v>10100</v>
      </c>
      <c r="D3874" s="12" t="s">
        <v>10052</v>
      </c>
      <c r="E3874" s="12" t="s">
        <v>4971</v>
      </c>
      <c r="F3874" s="49">
        <v>994068</v>
      </c>
      <c r="G3874" s="77" t="str">
        <f>"AL MASAR PETROLUME L.L.C"</f>
        <v>AL MASAR PETROLUME L.L.C</v>
      </c>
      <c r="H3874" s="14" t="s">
        <v>5601</v>
      </c>
      <c r="I3874" s="14" t="s">
        <v>2458</v>
      </c>
      <c r="J3874" s="33" t="e">
        <f>VLOOKUP(C3874,شرکتها!A:B,2,FALSE)</f>
        <v>#N/A</v>
      </c>
      <c r="K3874" s="33" t="s">
        <v>10145</v>
      </c>
      <c r="L3874" s="53" t="str">
        <f>"قطر"</f>
        <v>قطر</v>
      </c>
      <c r="M3874" s="68" t="str">
        <f>"فله"</f>
        <v>فله</v>
      </c>
      <c r="N3874" s="53" t="s">
        <v>10096</v>
      </c>
      <c r="O3874" s="53">
        <v>50100</v>
      </c>
      <c r="P3874" s="198" t="s">
        <v>9911</v>
      </c>
    </row>
    <row r="3875" spans="1:16" ht="18.75" hidden="1">
      <c r="A3875" s="50" t="str">
        <f>"50100-9624870"</f>
        <v>50100-9624870</v>
      </c>
      <c r="B3875" s="50" t="str">
        <f>"96/09/28"</f>
        <v>96/09/28</v>
      </c>
      <c r="C3875" s="50" t="s">
        <v>10101</v>
      </c>
      <c r="D3875" s="12" t="s">
        <v>9952</v>
      </c>
      <c r="E3875" s="12" t="s">
        <v>4971</v>
      </c>
      <c r="F3875" s="49">
        <v>999850</v>
      </c>
      <c r="G3875" s="77" t="str">
        <f>"SHINING GREEN STAR FZE"</f>
        <v>SHINING GREEN STAR FZE</v>
      </c>
      <c r="H3875" s="14" t="s">
        <v>5601</v>
      </c>
      <c r="I3875" s="14" t="s">
        <v>2458</v>
      </c>
      <c r="J3875" s="33" t="e">
        <f>VLOOKUP(C3875,شرکتها!A:B,2,FALSE)</f>
        <v>#N/A</v>
      </c>
      <c r="K3875" s="33" t="s">
        <v>10145</v>
      </c>
      <c r="L3875" s="53" t="str">
        <f>" ميانمار"</f>
        <v xml:space="preserve"> ميانمار</v>
      </c>
      <c r="M3875" s="68" t="str">
        <f>"بشكه"</f>
        <v>بشكه</v>
      </c>
      <c r="N3875" s="53" t="s">
        <v>10096</v>
      </c>
      <c r="O3875" s="53">
        <v>50100</v>
      </c>
      <c r="P3875" s="198" t="s">
        <v>9770</v>
      </c>
    </row>
    <row r="3876" spans="1:16" ht="18.75" hidden="1">
      <c r="A3876" s="50" t="str">
        <f>"50100-9584080"</f>
        <v>50100-9584080</v>
      </c>
      <c r="B3876" s="50" t="str">
        <f>"96/09/19"</f>
        <v>96/09/19</v>
      </c>
      <c r="C3876" s="50" t="s">
        <v>10102</v>
      </c>
      <c r="D3876" s="12" t="s">
        <v>10033</v>
      </c>
      <c r="E3876" s="12" t="s">
        <v>4971</v>
      </c>
      <c r="F3876" s="49">
        <v>949937</v>
      </c>
      <c r="G3876" s="77" t="str">
        <f>"AL MASAR PETROLUME L.L.C"</f>
        <v>AL MASAR PETROLUME L.L.C</v>
      </c>
      <c r="H3876" s="14" t="s">
        <v>5601</v>
      </c>
      <c r="I3876" s="14" t="s">
        <v>2458</v>
      </c>
      <c r="J3876" s="33" t="e">
        <f>VLOOKUP(C3876,شرکتها!A:B,2,FALSE)</f>
        <v>#N/A</v>
      </c>
      <c r="K3876" s="33" t="s">
        <v>10145</v>
      </c>
      <c r="L3876" s="53" t="str">
        <f>"قطر"</f>
        <v>قطر</v>
      </c>
      <c r="M3876" s="68" t="str">
        <f>"فله"</f>
        <v>فله</v>
      </c>
      <c r="N3876" s="53" t="s">
        <v>10096</v>
      </c>
      <c r="O3876" s="53">
        <v>50100</v>
      </c>
      <c r="P3876" s="198" t="s">
        <v>9911</v>
      </c>
    </row>
    <row r="3877" spans="1:16" ht="18.75" hidden="1">
      <c r="A3877" s="50" t="str">
        <f>"50100-9612133"</f>
        <v>50100-9612133</v>
      </c>
      <c r="B3877" s="50" t="str">
        <f>"96/09/26"</f>
        <v>96/09/26</v>
      </c>
      <c r="C3877" s="50" t="s">
        <v>10103</v>
      </c>
      <c r="D3877" s="12" t="s">
        <v>10052</v>
      </c>
      <c r="E3877" s="12" t="s">
        <v>4971</v>
      </c>
      <c r="F3877" s="49">
        <v>497435</v>
      </c>
      <c r="G3877" s="77" t="str">
        <f>"GLOBUS INTERNATIONAL FZE"</f>
        <v>GLOBUS INTERNATIONAL FZE</v>
      </c>
      <c r="H3877" s="14" t="s">
        <v>5601</v>
      </c>
      <c r="I3877" s="14" t="s">
        <v>2458</v>
      </c>
      <c r="J3877" s="33" t="s">
        <v>7110</v>
      </c>
      <c r="K3877" s="33" t="s">
        <v>10145</v>
      </c>
      <c r="L3877" s="53" t="str">
        <f>" امارات متحده عربي"</f>
        <v xml:space="preserve"> امارات متحده عربي</v>
      </c>
      <c r="M3877" s="68" t="str">
        <f>"بشكه"</f>
        <v>بشكه</v>
      </c>
      <c r="N3877" s="53" t="s">
        <v>10096</v>
      </c>
      <c r="O3877" s="53">
        <v>50100</v>
      </c>
      <c r="P3877" s="198" t="s">
        <v>12119</v>
      </c>
    </row>
    <row r="3878" spans="1:16" ht="18.75" hidden="1">
      <c r="A3878" s="50" t="str">
        <f>"50100-9615123"</f>
        <v>50100-9615123</v>
      </c>
      <c r="B3878" s="50" t="str">
        <f>"96/09/26"</f>
        <v>96/09/26</v>
      </c>
      <c r="C3878" s="50" t="s">
        <v>10104</v>
      </c>
      <c r="D3878" s="12" t="s">
        <v>9935</v>
      </c>
      <c r="E3878" s="12" t="s">
        <v>4971</v>
      </c>
      <c r="F3878" s="49">
        <v>968348</v>
      </c>
      <c r="G3878" s="77" t="str">
        <f>"AL MASAR PETROLUME L.L.C"</f>
        <v>AL MASAR PETROLUME L.L.C</v>
      </c>
      <c r="H3878" s="14" t="s">
        <v>5601</v>
      </c>
      <c r="I3878" s="14" t="s">
        <v>2458</v>
      </c>
      <c r="J3878" s="33" t="e">
        <f>VLOOKUP(C3878,شرکتها!A:B,2,FALSE)</f>
        <v>#N/A</v>
      </c>
      <c r="K3878" s="33" t="s">
        <v>10145</v>
      </c>
      <c r="L3878" s="53" t="s">
        <v>6284</v>
      </c>
      <c r="M3878" s="68" t="str">
        <f>"فله"</f>
        <v>فله</v>
      </c>
      <c r="N3878" s="53" t="s">
        <v>10096</v>
      </c>
      <c r="O3878" s="53">
        <v>50100</v>
      </c>
      <c r="P3878" s="198" t="s">
        <v>9911</v>
      </c>
    </row>
    <row r="3879" spans="1:16" ht="18.75" hidden="1">
      <c r="A3879" s="50" t="str">
        <f>"50100-9612072"</f>
        <v>50100-9612072</v>
      </c>
      <c r="B3879" s="50" t="str">
        <f>"96/09/26"</f>
        <v>96/09/26</v>
      </c>
      <c r="C3879" s="50" t="s">
        <v>10103</v>
      </c>
      <c r="D3879" s="12" t="s">
        <v>10052</v>
      </c>
      <c r="E3879" s="12" t="s">
        <v>4971</v>
      </c>
      <c r="F3879" s="49">
        <v>498575</v>
      </c>
      <c r="G3879" s="77" t="str">
        <f>"GLOBUS INTERNATIONAL FZE"</f>
        <v>GLOBUS INTERNATIONAL FZE</v>
      </c>
      <c r="H3879" s="14" t="s">
        <v>5601</v>
      </c>
      <c r="I3879" s="14" t="s">
        <v>2458</v>
      </c>
      <c r="J3879" s="33" t="s">
        <v>7110</v>
      </c>
      <c r="K3879" s="33" t="s">
        <v>10145</v>
      </c>
      <c r="L3879" s="53" t="str">
        <f>" امارات متحده عربي"</f>
        <v xml:space="preserve"> امارات متحده عربي</v>
      </c>
      <c r="M3879" s="68" t="str">
        <f t="shared" ref="M3879:M3889" si="77">"بشكه"</f>
        <v>بشكه</v>
      </c>
      <c r="N3879" s="53" t="s">
        <v>10096</v>
      </c>
      <c r="O3879" s="53">
        <v>50100</v>
      </c>
      <c r="P3879" s="198" t="s">
        <v>12119</v>
      </c>
    </row>
    <row r="3880" spans="1:16" ht="18.75" hidden="1">
      <c r="A3880" s="50" t="str">
        <f>"50100-9629683"</f>
        <v>50100-9629683</v>
      </c>
      <c r="B3880" s="50" t="str">
        <f>"96/09/29"</f>
        <v>96/09/29</v>
      </c>
      <c r="C3880" s="50" t="s">
        <v>10103</v>
      </c>
      <c r="D3880" s="12" t="s">
        <v>10052</v>
      </c>
      <c r="E3880" s="12" t="s">
        <v>4971</v>
      </c>
      <c r="F3880" s="49">
        <v>3990</v>
      </c>
      <c r="G3880" s="77" t="str">
        <f>"GLOBUS INTERNATIONAL FZE"</f>
        <v>GLOBUS INTERNATIONAL FZE</v>
      </c>
      <c r="H3880" s="14" t="s">
        <v>5601</v>
      </c>
      <c r="I3880" s="14" t="s">
        <v>2458</v>
      </c>
      <c r="J3880" s="33" t="s">
        <v>7110</v>
      </c>
      <c r="K3880" s="33" t="s">
        <v>10145</v>
      </c>
      <c r="L3880" s="53" t="str">
        <f>" امارات متحده عربي"</f>
        <v xml:space="preserve"> امارات متحده عربي</v>
      </c>
      <c r="M3880" s="68" t="str">
        <f t="shared" si="77"/>
        <v>بشكه</v>
      </c>
      <c r="N3880" s="53" t="s">
        <v>10096</v>
      </c>
      <c r="O3880" s="53">
        <v>50100</v>
      </c>
      <c r="P3880" s="198" t="s">
        <v>12119</v>
      </c>
    </row>
    <row r="3881" spans="1:16" ht="18.75" hidden="1">
      <c r="A3881" s="50" t="str">
        <f>"50100-9621301"</f>
        <v>50100-9621301</v>
      </c>
      <c r="B3881" s="50" t="str">
        <f>"96/09/27"</f>
        <v>96/09/27</v>
      </c>
      <c r="C3881" s="50" t="s">
        <v>10105</v>
      </c>
      <c r="D3881" s="12" t="s">
        <v>9830</v>
      </c>
      <c r="E3881" s="12" t="s">
        <v>4971</v>
      </c>
      <c r="F3881" s="49">
        <v>145000</v>
      </c>
      <c r="G3881" s="77" t="str">
        <f t="shared" ref="G3881:G3886" si="78">"Black Gold Traders FZE"</f>
        <v>Black Gold Traders FZE</v>
      </c>
      <c r="H3881" s="14" t="s">
        <v>5601</v>
      </c>
      <c r="I3881" s="14" t="s">
        <v>2458</v>
      </c>
      <c r="J3881" s="33" t="s">
        <v>7110</v>
      </c>
      <c r="K3881" s="33" t="s">
        <v>10145</v>
      </c>
      <c r="L3881" s="53" t="str">
        <f t="shared" ref="L3881:L3889" si="79">"هند"</f>
        <v>هند</v>
      </c>
      <c r="M3881" s="68" t="str">
        <f t="shared" si="77"/>
        <v>بشكه</v>
      </c>
      <c r="N3881" s="53" t="s">
        <v>10096</v>
      </c>
      <c r="O3881" s="53">
        <v>50100</v>
      </c>
      <c r="P3881" s="198" t="s">
        <v>9771</v>
      </c>
    </row>
    <row r="3882" spans="1:16" ht="18.75" hidden="1">
      <c r="A3882" s="50" t="str">
        <f>"50100-9635028"</f>
        <v>50100-9635028</v>
      </c>
      <c r="B3882" s="50" t="str">
        <f>"96/09/30"</f>
        <v>96/09/30</v>
      </c>
      <c r="C3882" s="50" t="s">
        <v>10106</v>
      </c>
      <c r="D3882" s="12" t="s">
        <v>9825</v>
      </c>
      <c r="E3882" s="12" t="s">
        <v>4971</v>
      </c>
      <c r="F3882" s="49">
        <v>496480</v>
      </c>
      <c r="G3882" s="77" t="str">
        <f t="shared" si="78"/>
        <v>Black Gold Traders FZE</v>
      </c>
      <c r="H3882" s="14" t="s">
        <v>5601</v>
      </c>
      <c r="I3882" s="14" t="s">
        <v>2458</v>
      </c>
      <c r="J3882" s="33" t="s">
        <v>7110</v>
      </c>
      <c r="K3882" s="33" t="s">
        <v>10145</v>
      </c>
      <c r="L3882" s="53" t="str">
        <f t="shared" si="79"/>
        <v>هند</v>
      </c>
      <c r="M3882" s="68" t="str">
        <f t="shared" si="77"/>
        <v>بشكه</v>
      </c>
      <c r="N3882" s="53" t="s">
        <v>10096</v>
      </c>
      <c r="O3882" s="53">
        <v>50100</v>
      </c>
      <c r="P3882" s="198" t="s">
        <v>9771</v>
      </c>
    </row>
    <row r="3883" spans="1:16" ht="18.75" hidden="1">
      <c r="A3883" s="50" t="str">
        <f>"50100-9621301"</f>
        <v>50100-9621301</v>
      </c>
      <c r="B3883" s="50" t="str">
        <f>"96/09/27"</f>
        <v>96/09/27</v>
      </c>
      <c r="C3883" s="50" t="s">
        <v>10107</v>
      </c>
      <c r="D3883" s="12" t="s">
        <v>8911</v>
      </c>
      <c r="E3883" s="12" t="s">
        <v>4971</v>
      </c>
      <c r="F3883" s="49">
        <v>228000</v>
      </c>
      <c r="G3883" s="77" t="str">
        <f t="shared" si="78"/>
        <v>Black Gold Traders FZE</v>
      </c>
      <c r="H3883" s="14" t="s">
        <v>5601</v>
      </c>
      <c r="I3883" s="14" t="s">
        <v>2458</v>
      </c>
      <c r="J3883" s="33" t="s">
        <v>7110</v>
      </c>
      <c r="K3883" s="33" t="s">
        <v>10145</v>
      </c>
      <c r="L3883" s="53" t="str">
        <f t="shared" si="79"/>
        <v>هند</v>
      </c>
      <c r="M3883" s="68" t="str">
        <f t="shared" si="77"/>
        <v>بشكه</v>
      </c>
      <c r="N3883" s="53" t="s">
        <v>10096</v>
      </c>
      <c r="O3883" s="53">
        <v>50100</v>
      </c>
      <c r="P3883" s="198" t="s">
        <v>9771</v>
      </c>
    </row>
    <row r="3884" spans="1:16" ht="18.75" hidden="1">
      <c r="A3884" s="50" t="str">
        <f>"50100-9621301"</f>
        <v>50100-9621301</v>
      </c>
      <c r="B3884" s="50" t="str">
        <f>"96/09/27"</f>
        <v>96/09/27</v>
      </c>
      <c r="C3884" s="50" t="s">
        <v>10095</v>
      </c>
      <c r="D3884" s="12" t="s">
        <v>8911</v>
      </c>
      <c r="E3884" s="12" t="s">
        <v>4971</v>
      </c>
      <c r="F3884" s="49">
        <v>2350</v>
      </c>
      <c r="G3884" s="77" t="str">
        <f t="shared" si="78"/>
        <v>Black Gold Traders FZE</v>
      </c>
      <c r="H3884" s="14" t="s">
        <v>5601</v>
      </c>
      <c r="I3884" s="14" t="s">
        <v>2458</v>
      </c>
      <c r="J3884" s="33" t="s">
        <v>7110</v>
      </c>
      <c r="K3884" s="33" t="s">
        <v>10145</v>
      </c>
      <c r="L3884" s="53" t="str">
        <f t="shared" si="79"/>
        <v>هند</v>
      </c>
      <c r="M3884" s="68" t="str">
        <f t="shared" si="77"/>
        <v>بشكه</v>
      </c>
      <c r="N3884" s="53" t="s">
        <v>10096</v>
      </c>
      <c r="O3884" s="53">
        <v>50100</v>
      </c>
      <c r="P3884" s="198" t="s">
        <v>9771</v>
      </c>
    </row>
    <row r="3885" spans="1:16" ht="18.75" hidden="1">
      <c r="A3885" s="50" t="str">
        <f>"50100-9621301"</f>
        <v>50100-9621301</v>
      </c>
      <c r="B3885" s="50" t="str">
        <f>"96/09/27"</f>
        <v>96/09/27</v>
      </c>
      <c r="C3885" s="50" t="s">
        <v>10108</v>
      </c>
      <c r="D3885" s="12" t="s">
        <v>9830</v>
      </c>
      <c r="E3885" s="12" t="s">
        <v>4971</v>
      </c>
      <c r="F3885" s="49">
        <v>61374</v>
      </c>
      <c r="G3885" s="77" t="str">
        <f t="shared" si="78"/>
        <v>Black Gold Traders FZE</v>
      </c>
      <c r="H3885" s="14" t="s">
        <v>5601</v>
      </c>
      <c r="I3885" s="14" t="s">
        <v>2458</v>
      </c>
      <c r="J3885" s="33" t="s">
        <v>7110</v>
      </c>
      <c r="K3885" s="33" t="s">
        <v>10145</v>
      </c>
      <c r="L3885" s="53" t="str">
        <f t="shared" si="79"/>
        <v>هند</v>
      </c>
      <c r="M3885" s="68" t="str">
        <f t="shared" si="77"/>
        <v>بشكه</v>
      </c>
      <c r="N3885" s="53" t="s">
        <v>10096</v>
      </c>
      <c r="O3885" s="53">
        <v>50100</v>
      </c>
      <c r="P3885" s="198" t="s">
        <v>9771</v>
      </c>
    </row>
    <row r="3886" spans="1:16" ht="18.75" hidden="1">
      <c r="A3886" s="50" t="str">
        <f>"50100-9578648"</f>
        <v>50100-9578648</v>
      </c>
      <c r="B3886" s="50" t="str">
        <f>"96/09/18"</f>
        <v>96/09/18</v>
      </c>
      <c r="C3886" s="50" t="s">
        <v>9937</v>
      </c>
      <c r="D3886" s="12" t="s">
        <v>8788</v>
      </c>
      <c r="E3886" s="12" t="s">
        <v>4971</v>
      </c>
      <c r="F3886" s="49">
        <v>12799</v>
      </c>
      <c r="G3886" s="77" t="str">
        <f t="shared" si="78"/>
        <v>Black Gold Traders FZE</v>
      </c>
      <c r="H3886" s="14" t="s">
        <v>5601</v>
      </c>
      <c r="I3886" s="14" t="s">
        <v>2458</v>
      </c>
      <c r="J3886" s="33" t="s">
        <v>7110</v>
      </c>
      <c r="K3886" s="33" t="s">
        <v>10145</v>
      </c>
      <c r="L3886" s="53" t="str">
        <f t="shared" si="79"/>
        <v>هند</v>
      </c>
      <c r="M3886" s="68" t="str">
        <f t="shared" si="77"/>
        <v>بشكه</v>
      </c>
      <c r="N3886" s="53" t="s">
        <v>10096</v>
      </c>
      <c r="O3886" s="53">
        <v>50100</v>
      </c>
      <c r="P3886" s="198" t="s">
        <v>8722</v>
      </c>
    </row>
    <row r="3887" spans="1:16" ht="18.75" hidden="1">
      <c r="A3887" s="50" t="str">
        <f>"50100-9606921"</f>
        <v>50100-9606921</v>
      </c>
      <c r="B3887" s="50" t="str">
        <f>"96/09/25"</f>
        <v>96/09/25</v>
      </c>
      <c r="C3887" s="50" t="s">
        <v>10109</v>
      </c>
      <c r="D3887" s="12" t="s">
        <v>9830</v>
      </c>
      <c r="E3887" s="12" t="s">
        <v>4971</v>
      </c>
      <c r="F3887" s="49">
        <v>500965</v>
      </c>
      <c r="G3887" s="77" t="str">
        <f>"DAXON PETROLEUM"</f>
        <v>DAXON PETROLEUM</v>
      </c>
      <c r="H3887" s="14" t="s">
        <v>5601</v>
      </c>
      <c r="I3887" s="14" t="s">
        <v>2458</v>
      </c>
      <c r="J3887" s="33" t="s">
        <v>7110</v>
      </c>
      <c r="K3887" s="33" t="s">
        <v>10145</v>
      </c>
      <c r="L3887" s="53" t="str">
        <f t="shared" si="79"/>
        <v>هند</v>
      </c>
      <c r="M3887" s="68" t="str">
        <f t="shared" si="77"/>
        <v>بشكه</v>
      </c>
      <c r="N3887" s="53" t="s">
        <v>10096</v>
      </c>
      <c r="O3887" s="53">
        <v>50100</v>
      </c>
      <c r="P3887" s="198" t="s">
        <v>9768</v>
      </c>
    </row>
    <row r="3888" spans="1:16" ht="18.75" hidden="1">
      <c r="A3888" s="50" t="str">
        <f>"50100-9633781"</f>
        <v>50100-9633781</v>
      </c>
      <c r="B3888" s="50" t="str">
        <f>"96/09/29"</f>
        <v>96/09/29</v>
      </c>
      <c r="C3888" s="50" t="s">
        <v>10106</v>
      </c>
      <c r="D3888" s="12" t="s">
        <v>9825</v>
      </c>
      <c r="E3888" s="12" t="s">
        <v>4971</v>
      </c>
      <c r="F3888" s="49">
        <v>809600</v>
      </c>
      <c r="G3888" s="77" t="str">
        <f>"Black Gold Traders FZE"</f>
        <v>Black Gold Traders FZE</v>
      </c>
      <c r="H3888" s="14" t="s">
        <v>5601</v>
      </c>
      <c r="I3888" s="14" t="s">
        <v>2458</v>
      </c>
      <c r="J3888" s="33" t="s">
        <v>7110</v>
      </c>
      <c r="K3888" s="33" t="s">
        <v>10145</v>
      </c>
      <c r="L3888" s="53" t="str">
        <f t="shared" si="79"/>
        <v>هند</v>
      </c>
      <c r="M3888" s="68" t="str">
        <f t="shared" si="77"/>
        <v>بشكه</v>
      </c>
      <c r="N3888" s="53" t="s">
        <v>10096</v>
      </c>
      <c r="O3888" s="53">
        <v>50100</v>
      </c>
      <c r="P3888" s="198" t="s">
        <v>9771</v>
      </c>
    </row>
    <row r="3889" spans="1:16" ht="18.75" hidden="1">
      <c r="A3889" s="50" t="str">
        <f>"50100-9578648"</f>
        <v>50100-9578648</v>
      </c>
      <c r="B3889" s="50" t="str">
        <f>"96/09/18"</f>
        <v>96/09/18</v>
      </c>
      <c r="C3889" s="50" t="s">
        <v>9906</v>
      </c>
      <c r="D3889" s="12" t="s">
        <v>8770</v>
      </c>
      <c r="E3889" s="12" t="s">
        <v>4971</v>
      </c>
      <c r="F3889" s="49">
        <v>46530</v>
      </c>
      <c r="G3889" s="77" t="str">
        <f>"Black Gold Traders FZE"</f>
        <v>Black Gold Traders FZE</v>
      </c>
      <c r="H3889" s="14" t="s">
        <v>5601</v>
      </c>
      <c r="I3889" s="14" t="s">
        <v>2458</v>
      </c>
      <c r="J3889" s="33" t="s">
        <v>7110</v>
      </c>
      <c r="K3889" s="33" t="s">
        <v>10145</v>
      </c>
      <c r="L3889" s="53" t="str">
        <f t="shared" si="79"/>
        <v>هند</v>
      </c>
      <c r="M3889" s="68" t="str">
        <f t="shared" si="77"/>
        <v>بشكه</v>
      </c>
      <c r="N3889" s="53" t="s">
        <v>10096</v>
      </c>
      <c r="O3889" s="53">
        <v>50100</v>
      </c>
      <c r="P3889" s="198" t="s">
        <v>8722</v>
      </c>
    </row>
    <row r="3890" spans="1:16" ht="18.75" hidden="1">
      <c r="A3890" s="50" t="str">
        <f>"50100-9597223"</f>
        <v>50100-9597223</v>
      </c>
      <c r="B3890" s="50" t="str">
        <f>"96/09/22"</f>
        <v>96/09/22</v>
      </c>
      <c r="C3890" s="50" t="s">
        <v>10110</v>
      </c>
      <c r="D3890" s="12" t="s">
        <v>9995</v>
      </c>
      <c r="E3890" s="12" t="s">
        <v>4971</v>
      </c>
      <c r="F3890" s="49">
        <v>2699950</v>
      </c>
      <c r="G3890" s="77" t="str">
        <f>"GLOBUS INTERNATIONAL FZE"</f>
        <v>GLOBUS INTERNATIONAL FZE</v>
      </c>
      <c r="H3890" s="14" t="s">
        <v>5601</v>
      </c>
      <c r="I3890" s="14" t="s">
        <v>2458</v>
      </c>
      <c r="J3890" s="33" t="e">
        <f>VLOOKUP(C3890,شرکتها!A:B,2,FALSE)</f>
        <v>#N/A</v>
      </c>
      <c r="K3890" s="33" t="s">
        <v>10145</v>
      </c>
      <c r="L3890" s="53" t="str">
        <f>"عمان"</f>
        <v>عمان</v>
      </c>
      <c r="M3890" s="68" t="s">
        <v>8913</v>
      </c>
      <c r="N3890" s="53" t="s">
        <v>10096</v>
      </c>
      <c r="O3890" s="53">
        <v>50100</v>
      </c>
      <c r="P3890" s="198" t="s">
        <v>9779</v>
      </c>
    </row>
    <row r="3891" spans="1:16" ht="18.75" hidden="1">
      <c r="A3891" s="50" t="str">
        <f>"50100-9635997"</f>
        <v>50100-9635997</v>
      </c>
      <c r="B3891" s="50" t="str">
        <f>"96/09/30"</f>
        <v>96/09/30</v>
      </c>
      <c r="C3891" s="50" t="s">
        <v>10111</v>
      </c>
      <c r="D3891" s="12" t="s">
        <v>10028</v>
      </c>
      <c r="E3891" s="12" t="s">
        <v>4971</v>
      </c>
      <c r="F3891" s="49">
        <v>9490</v>
      </c>
      <c r="G3891" s="77" t="str">
        <f>"GLOBUS INTERNATIONAL FZE"</f>
        <v>GLOBUS INTERNATIONAL FZE</v>
      </c>
      <c r="H3891" s="14" t="s">
        <v>5601</v>
      </c>
      <c r="I3891" s="14" t="s">
        <v>2458</v>
      </c>
      <c r="J3891" s="33" t="s">
        <v>7110</v>
      </c>
      <c r="K3891" s="33" t="s">
        <v>10145</v>
      </c>
      <c r="L3891" s="53" t="str">
        <f>" امارات متحده عربي"</f>
        <v xml:space="preserve"> امارات متحده عربي</v>
      </c>
      <c r="M3891" s="68" t="str">
        <f t="shared" ref="M3891:M3920" si="80">"بشكه"</f>
        <v>بشكه</v>
      </c>
      <c r="N3891" s="53" t="s">
        <v>10096</v>
      </c>
      <c r="O3891" s="53">
        <v>50100</v>
      </c>
      <c r="P3891" s="198" t="s">
        <v>12119</v>
      </c>
    </row>
    <row r="3892" spans="1:16" ht="18.75" hidden="1">
      <c r="A3892" s="50" t="str">
        <f>"50100-9635997"</f>
        <v>50100-9635997</v>
      </c>
      <c r="B3892" s="50" t="str">
        <f>"96/09/30"</f>
        <v>96/09/30</v>
      </c>
      <c r="C3892" s="50" t="s">
        <v>10112</v>
      </c>
      <c r="D3892" s="12" t="s">
        <v>10033</v>
      </c>
      <c r="E3892" s="12" t="s">
        <v>4971</v>
      </c>
      <c r="F3892" s="49">
        <v>984910</v>
      </c>
      <c r="G3892" s="77" t="str">
        <f>"GLOBUS INTERNATIONAL FZE"</f>
        <v>GLOBUS INTERNATIONAL FZE</v>
      </c>
      <c r="H3892" s="14" t="s">
        <v>5601</v>
      </c>
      <c r="I3892" s="14" t="s">
        <v>2458</v>
      </c>
      <c r="J3892" s="33" t="s">
        <v>7110</v>
      </c>
      <c r="K3892" s="33" t="s">
        <v>10145</v>
      </c>
      <c r="L3892" s="53" t="str">
        <f>" امارات متحده عربي"</f>
        <v xml:space="preserve"> امارات متحده عربي</v>
      </c>
      <c r="M3892" s="68" t="str">
        <f t="shared" si="80"/>
        <v>بشكه</v>
      </c>
      <c r="N3892" s="53" t="s">
        <v>10096</v>
      </c>
      <c r="O3892" s="53">
        <v>50100</v>
      </c>
      <c r="P3892" s="198" t="s">
        <v>12119</v>
      </c>
    </row>
    <row r="3893" spans="1:16" ht="18.75" hidden="1">
      <c r="A3893" s="50" t="str">
        <f>"50100-9633275"</f>
        <v>50100-9633275</v>
      </c>
      <c r="B3893" s="50" t="str">
        <f>"96/09/29"</f>
        <v>96/09/29</v>
      </c>
      <c r="C3893" s="50" t="s">
        <v>10113</v>
      </c>
      <c r="D3893" s="12" t="s">
        <v>9827</v>
      </c>
      <c r="E3893" s="12" t="s">
        <v>4971</v>
      </c>
      <c r="F3893" s="49">
        <v>281990</v>
      </c>
      <c r="G3893" s="77" t="str">
        <f>"DAXON PETROLEUM"</f>
        <v>DAXON PETROLEUM</v>
      </c>
      <c r="H3893" s="14" t="s">
        <v>5601</v>
      </c>
      <c r="I3893" s="14" t="s">
        <v>2458</v>
      </c>
      <c r="J3893" s="33" t="s">
        <v>7110</v>
      </c>
      <c r="K3893" s="33" t="s">
        <v>10145</v>
      </c>
      <c r="L3893" s="53" t="str">
        <f t="shared" ref="L3893:L3909" si="81">"هند"</f>
        <v>هند</v>
      </c>
      <c r="M3893" s="68" t="str">
        <f t="shared" si="80"/>
        <v>بشكه</v>
      </c>
      <c r="N3893" s="53" t="s">
        <v>10096</v>
      </c>
      <c r="O3893" s="53">
        <v>50100</v>
      </c>
      <c r="P3893" s="198" t="s">
        <v>9784</v>
      </c>
    </row>
    <row r="3894" spans="1:16" ht="18.75" hidden="1">
      <c r="A3894" s="50" t="str">
        <f>"50100-9578648"</f>
        <v>50100-9578648</v>
      </c>
      <c r="B3894" s="50" t="str">
        <f>"96/09/18"</f>
        <v>96/09/18</v>
      </c>
      <c r="C3894" s="50" t="s">
        <v>9970</v>
      </c>
      <c r="D3894" s="12" t="s">
        <v>9720</v>
      </c>
      <c r="E3894" s="12" t="s">
        <v>4971</v>
      </c>
      <c r="F3894" s="49">
        <v>232694</v>
      </c>
      <c r="G3894" s="77" t="str">
        <f>"Black Gold Traders FZE"</f>
        <v>Black Gold Traders FZE</v>
      </c>
      <c r="H3894" s="14" t="s">
        <v>5601</v>
      </c>
      <c r="I3894" s="14" t="s">
        <v>2458</v>
      </c>
      <c r="J3894" s="33" t="s">
        <v>7110</v>
      </c>
      <c r="K3894" s="33" t="s">
        <v>10145</v>
      </c>
      <c r="L3894" s="53" t="str">
        <f t="shared" si="81"/>
        <v>هند</v>
      </c>
      <c r="M3894" s="68" t="str">
        <f t="shared" si="80"/>
        <v>بشكه</v>
      </c>
      <c r="N3894" s="53" t="s">
        <v>10096</v>
      </c>
      <c r="O3894" s="53">
        <v>50100</v>
      </c>
      <c r="P3894" s="198" t="s">
        <v>8722</v>
      </c>
    </row>
    <row r="3895" spans="1:16" ht="18.75" hidden="1">
      <c r="A3895" s="50" t="str">
        <f>"50100-9578648"</f>
        <v>50100-9578648</v>
      </c>
      <c r="B3895" s="50" t="str">
        <f>"96/09/18"</f>
        <v>96/09/18</v>
      </c>
      <c r="C3895" s="50" t="s">
        <v>10114</v>
      </c>
      <c r="D3895" s="12" t="s">
        <v>9881</v>
      </c>
      <c r="E3895" s="12" t="s">
        <v>4971</v>
      </c>
      <c r="F3895" s="49">
        <v>100000</v>
      </c>
      <c r="G3895" s="77" t="str">
        <f>"Black Gold Traders FZE"</f>
        <v>Black Gold Traders FZE</v>
      </c>
      <c r="H3895" s="14" t="s">
        <v>5601</v>
      </c>
      <c r="I3895" s="14" t="s">
        <v>2458</v>
      </c>
      <c r="J3895" s="33" t="s">
        <v>7110</v>
      </c>
      <c r="K3895" s="33" t="s">
        <v>10145</v>
      </c>
      <c r="L3895" s="53" t="str">
        <f t="shared" si="81"/>
        <v>هند</v>
      </c>
      <c r="M3895" s="68" t="str">
        <f t="shared" si="80"/>
        <v>بشكه</v>
      </c>
      <c r="N3895" s="53" t="s">
        <v>10096</v>
      </c>
      <c r="O3895" s="53">
        <v>50100</v>
      </c>
      <c r="P3895" s="198" t="s">
        <v>8722</v>
      </c>
    </row>
    <row r="3896" spans="1:16" ht="18.75" hidden="1">
      <c r="A3896" s="50" t="str">
        <f>"50100-9573917"</f>
        <v>50100-9573917</v>
      </c>
      <c r="B3896" s="50" t="str">
        <f>"96/09/18"</f>
        <v>96/09/18</v>
      </c>
      <c r="C3896" s="50" t="s">
        <v>9967</v>
      </c>
      <c r="D3896" s="12" t="s">
        <v>9813</v>
      </c>
      <c r="E3896" s="12" t="s">
        <v>4971</v>
      </c>
      <c r="F3896" s="49">
        <v>222213</v>
      </c>
      <c r="G3896" s="77" t="str">
        <f>"SHINING GREEN STAR FZE"</f>
        <v>SHINING GREEN STAR FZE</v>
      </c>
      <c r="H3896" s="14" t="s">
        <v>5601</v>
      </c>
      <c r="I3896" s="14" t="s">
        <v>2458</v>
      </c>
      <c r="J3896" s="33" t="e">
        <f>VLOOKUP(C3896,شرکتها!A:B,2,FALSE)</f>
        <v>#N/A</v>
      </c>
      <c r="K3896" s="33" t="s">
        <v>10145</v>
      </c>
      <c r="L3896" s="53" t="str">
        <f t="shared" si="81"/>
        <v>هند</v>
      </c>
      <c r="M3896" s="68" t="str">
        <f t="shared" si="80"/>
        <v>بشكه</v>
      </c>
      <c r="N3896" s="53" t="s">
        <v>10096</v>
      </c>
      <c r="O3896" s="53">
        <v>50100</v>
      </c>
      <c r="P3896" s="198" t="s">
        <v>9770</v>
      </c>
    </row>
    <row r="3897" spans="1:16" ht="18.75" hidden="1">
      <c r="A3897" s="50" t="str">
        <f>"50100-9633275"</f>
        <v>50100-9633275</v>
      </c>
      <c r="B3897" s="50" t="str">
        <f>"96/09/29"</f>
        <v>96/09/29</v>
      </c>
      <c r="C3897" s="50" t="s">
        <v>10115</v>
      </c>
      <c r="D3897" s="12" t="s">
        <v>10052</v>
      </c>
      <c r="E3897" s="12" t="s">
        <v>4971</v>
      </c>
      <c r="F3897" s="49">
        <v>500000</v>
      </c>
      <c r="G3897" s="77" t="str">
        <f>"DAXON PETROLEUM"</f>
        <v>DAXON PETROLEUM</v>
      </c>
      <c r="H3897" s="14" t="s">
        <v>5601</v>
      </c>
      <c r="I3897" s="14" t="s">
        <v>2458</v>
      </c>
      <c r="J3897" s="33" t="s">
        <v>7110</v>
      </c>
      <c r="K3897" s="33" t="s">
        <v>10145</v>
      </c>
      <c r="L3897" s="53" t="str">
        <f t="shared" si="81"/>
        <v>هند</v>
      </c>
      <c r="M3897" s="68" t="str">
        <f t="shared" si="80"/>
        <v>بشكه</v>
      </c>
      <c r="N3897" s="53" t="s">
        <v>10096</v>
      </c>
      <c r="O3897" s="53">
        <v>50100</v>
      </c>
      <c r="P3897" s="198" t="s">
        <v>9789</v>
      </c>
    </row>
    <row r="3898" spans="1:16" ht="18.75" hidden="1">
      <c r="A3898" s="50" t="str">
        <f>"50100-9578648"</f>
        <v>50100-9578648</v>
      </c>
      <c r="B3898" s="50" t="str">
        <f>"96/09/18"</f>
        <v>96/09/18</v>
      </c>
      <c r="C3898" s="50" t="s">
        <v>10116</v>
      </c>
      <c r="D3898" s="12" t="s">
        <v>9881</v>
      </c>
      <c r="E3898" s="12" t="s">
        <v>4971</v>
      </c>
      <c r="F3898" s="49">
        <v>100000</v>
      </c>
      <c r="G3898" s="77" t="str">
        <f>"Black Gold Traders FZE"</f>
        <v>Black Gold Traders FZE</v>
      </c>
      <c r="H3898" s="14" t="s">
        <v>5601</v>
      </c>
      <c r="I3898" s="14" t="s">
        <v>2458</v>
      </c>
      <c r="J3898" s="33" t="s">
        <v>7110</v>
      </c>
      <c r="K3898" s="33" t="s">
        <v>10145</v>
      </c>
      <c r="L3898" s="53" t="str">
        <f t="shared" si="81"/>
        <v>هند</v>
      </c>
      <c r="M3898" s="68" t="str">
        <f t="shared" si="80"/>
        <v>بشكه</v>
      </c>
      <c r="N3898" s="53" t="s">
        <v>10096</v>
      </c>
      <c r="O3898" s="53">
        <v>50100</v>
      </c>
      <c r="P3898" s="198" t="s">
        <v>8722</v>
      </c>
    </row>
    <row r="3899" spans="1:16" ht="18.75" hidden="1">
      <c r="A3899" s="50" t="str">
        <f>"50100-9573917"</f>
        <v>50100-9573917</v>
      </c>
      <c r="B3899" s="50" t="str">
        <f>"96/09/18"</f>
        <v>96/09/18</v>
      </c>
      <c r="C3899" s="50" t="s">
        <v>10117</v>
      </c>
      <c r="D3899" s="12" t="s">
        <v>9813</v>
      </c>
      <c r="E3899" s="12" t="s">
        <v>4971</v>
      </c>
      <c r="F3899" s="49">
        <v>273269</v>
      </c>
      <c r="G3899" s="77" t="str">
        <f>"SHINING GREEN STAR FZE"</f>
        <v>SHINING GREEN STAR FZE</v>
      </c>
      <c r="H3899" s="14" t="s">
        <v>5601</v>
      </c>
      <c r="I3899" s="14" t="s">
        <v>2458</v>
      </c>
      <c r="J3899" s="33" t="e">
        <f>VLOOKUP(C3899,شرکتها!A:B,2,FALSE)</f>
        <v>#N/A</v>
      </c>
      <c r="K3899" s="33" t="s">
        <v>10145</v>
      </c>
      <c r="L3899" s="53" t="str">
        <f t="shared" si="81"/>
        <v>هند</v>
      </c>
      <c r="M3899" s="68" t="str">
        <f t="shared" si="80"/>
        <v>بشكه</v>
      </c>
      <c r="N3899" s="53" t="s">
        <v>10096</v>
      </c>
      <c r="O3899" s="53">
        <v>50100</v>
      </c>
      <c r="P3899" s="198" t="s">
        <v>9770</v>
      </c>
    </row>
    <row r="3900" spans="1:16" ht="18.75" hidden="1">
      <c r="A3900" s="50" t="str">
        <f>"50100-9591304"</f>
        <v>50100-9591304</v>
      </c>
      <c r="B3900" s="50" t="str">
        <f>"96/09/21"</f>
        <v>96/09/21</v>
      </c>
      <c r="C3900" s="50" t="s">
        <v>10117</v>
      </c>
      <c r="D3900" s="12" t="s">
        <v>9813</v>
      </c>
      <c r="E3900" s="12" t="s">
        <v>4971</v>
      </c>
      <c r="F3900" s="49">
        <v>495925</v>
      </c>
      <c r="G3900" s="77" t="str">
        <f>"SHINING GREEN STAR FZE"</f>
        <v>SHINING GREEN STAR FZE</v>
      </c>
      <c r="H3900" s="14" t="s">
        <v>5601</v>
      </c>
      <c r="I3900" s="14" t="s">
        <v>2458</v>
      </c>
      <c r="J3900" s="33" t="e">
        <f>VLOOKUP(C3900,شرکتها!A:B,2,FALSE)</f>
        <v>#N/A</v>
      </c>
      <c r="K3900" s="33" t="s">
        <v>10145</v>
      </c>
      <c r="L3900" s="53" t="str">
        <f t="shared" si="81"/>
        <v>هند</v>
      </c>
      <c r="M3900" s="68" t="str">
        <f t="shared" si="80"/>
        <v>بشكه</v>
      </c>
      <c r="N3900" s="53" t="s">
        <v>10096</v>
      </c>
      <c r="O3900" s="53">
        <v>50100</v>
      </c>
      <c r="P3900" s="198" t="s">
        <v>9770</v>
      </c>
    </row>
    <row r="3901" spans="1:16" ht="18.75" hidden="1">
      <c r="A3901" s="50" t="str">
        <f>"50100-9633275"</f>
        <v>50100-9633275</v>
      </c>
      <c r="B3901" s="50" t="str">
        <f>"96/09/29"</f>
        <v>96/09/29</v>
      </c>
      <c r="C3901" s="50" t="s">
        <v>10118</v>
      </c>
      <c r="D3901" s="12" t="s">
        <v>9825</v>
      </c>
      <c r="E3901" s="12" t="s">
        <v>4971</v>
      </c>
      <c r="F3901" s="49">
        <v>200000</v>
      </c>
      <c r="G3901" s="77" t="str">
        <f>"DAXON PETROLEUM"</f>
        <v>DAXON PETROLEUM</v>
      </c>
      <c r="H3901" s="14" t="s">
        <v>5601</v>
      </c>
      <c r="I3901" s="14" t="s">
        <v>2458</v>
      </c>
      <c r="J3901" s="33" t="s">
        <v>7110</v>
      </c>
      <c r="K3901" s="33" t="s">
        <v>10145</v>
      </c>
      <c r="L3901" s="53" t="str">
        <f t="shared" si="81"/>
        <v>هند</v>
      </c>
      <c r="M3901" s="68" t="str">
        <f t="shared" si="80"/>
        <v>بشكه</v>
      </c>
      <c r="N3901" s="53" t="s">
        <v>10096</v>
      </c>
      <c r="O3901" s="53">
        <v>50100</v>
      </c>
      <c r="P3901" s="198" t="s">
        <v>9784</v>
      </c>
    </row>
    <row r="3902" spans="1:16" ht="18.75" hidden="1">
      <c r="A3902" s="50" t="str">
        <f>"50100-9589733"</f>
        <v>50100-9589733</v>
      </c>
      <c r="B3902" s="50" t="str">
        <f>"96/09/20"</f>
        <v>96/09/20</v>
      </c>
      <c r="C3902" s="50" t="s">
        <v>10119</v>
      </c>
      <c r="D3902" s="12" t="s">
        <v>8911</v>
      </c>
      <c r="E3902" s="12" t="s">
        <v>4971</v>
      </c>
      <c r="F3902" s="49">
        <v>145951</v>
      </c>
      <c r="G3902" s="77" t="str">
        <f>"Black Gold Traders FZE"</f>
        <v>Black Gold Traders FZE</v>
      </c>
      <c r="H3902" s="14" t="s">
        <v>5601</v>
      </c>
      <c r="I3902" s="14" t="s">
        <v>2458</v>
      </c>
      <c r="J3902" s="33" t="s">
        <v>7110</v>
      </c>
      <c r="K3902" s="33" t="s">
        <v>10145</v>
      </c>
      <c r="L3902" s="53" t="str">
        <f t="shared" si="81"/>
        <v>هند</v>
      </c>
      <c r="M3902" s="68" t="str">
        <f t="shared" si="80"/>
        <v>بشكه</v>
      </c>
      <c r="N3902" s="53" t="s">
        <v>10096</v>
      </c>
      <c r="O3902" s="53">
        <v>50100</v>
      </c>
      <c r="P3902" s="198" t="s">
        <v>8722</v>
      </c>
    </row>
    <row r="3903" spans="1:16" ht="18.75" hidden="1">
      <c r="A3903" s="50" t="str">
        <f>"50100-9589733"</f>
        <v>50100-9589733</v>
      </c>
      <c r="B3903" s="50" t="str">
        <f>"96/09/20"</f>
        <v>96/09/20</v>
      </c>
      <c r="C3903" s="50" t="s">
        <v>10120</v>
      </c>
      <c r="D3903" s="12" t="s">
        <v>8911</v>
      </c>
      <c r="E3903" s="12" t="s">
        <v>4971</v>
      </c>
      <c r="F3903" s="49">
        <v>105479</v>
      </c>
      <c r="G3903" s="77" t="str">
        <f>"Black Gold Traders FZE"</f>
        <v>Black Gold Traders FZE</v>
      </c>
      <c r="H3903" s="14" t="s">
        <v>5601</v>
      </c>
      <c r="I3903" s="14" t="s">
        <v>2458</v>
      </c>
      <c r="J3903" s="33" t="s">
        <v>7110</v>
      </c>
      <c r="K3903" s="33" t="s">
        <v>10145</v>
      </c>
      <c r="L3903" s="53" t="str">
        <f t="shared" si="81"/>
        <v>هند</v>
      </c>
      <c r="M3903" s="68" t="str">
        <f t="shared" si="80"/>
        <v>بشكه</v>
      </c>
      <c r="N3903" s="53" t="s">
        <v>10096</v>
      </c>
      <c r="O3903" s="53">
        <v>50100</v>
      </c>
      <c r="P3903" s="198" t="s">
        <v>8722</v>
      </c>
    </row>
    <row r="3904" spans="1:16" ht="18.75" hidden="1">
      <c r="A3904" s="50" t="str">
        <f>"50100-9591358"</f>
        <v>50100-9591358</v>
      </c>
      <c r="B3904" s="50" t="str">
        <f>"96/09/21"</f>
        <v>96/09/21</v>
      </c>
      <c r="C3904" s="50" t="s">
        <v>10121</v>
      </c>
      <c r="D3904" s="12" t="s">
        <v>6310</v>
      </c>
      <c r="E3904" s="12" t="s">
        <v>4971</v>
      </c>
      <c r="F3904" s="49">
        <v>400000</v>
      </c>
      <c r="G3904" s="77" t="str">
        <f>"LLC Sebco Bitumen"</f>
        <v>LLC Sebco Bitumen</v>
      </c>
      <c r="H3904" s="14" t="s">
        <v>5601</v>
      </c>
      <c r="I3904" s="14" t="s">
        <v>2458</v>
      </c>
      <c r="J3904" s="33" t="s">
        <v>7110</v>
      </c>
      <c r="K3904" s="33" t="s">
        <v>10145</v>
      </c>
      <c r="L3904" s="53" t="str">
        <f t="shared" si="81"/>
        <v>هند</v>
      </c>
      <c r="M3904" s="68" t="str">
        <f t="shared" si="80"/>
        <v>بشكه</v>
      </c>
      <c r="N3904" s="53" t="s">
        <v>10096</v>
      </c>
      <c r="O3904" s="53">
        <v>50100</v>
      </c>
      <c r="P3904" s="198" t="s">
        <v>7175</v>
      </c>
    </row>
    <row r="3905" spans="1:16" ht="18.75" hidden="1">
      <c r="A3905" s="50" t="str">
        <f>"50100-9622493"</f>
        <v>50100-9622493</v>
      </c>
      <c r="B3905" s="50" t="str">
        <f>"96/09/27"</f>
        <v>96/09/27</v>
      </c>
      <c r="C3905" s="50" t="s">
        <v>10108</v>
      </c>
      <c r="D3905" s="12" t="s">
        <v>9830</v>
      </c>
      <c r="E3905" s="12" t="s">
        <v>4971</v>
      </c>
      <c r="F3905" s="49">
        <v>41626</v>
      </c>
      <c r="G3905" s="77" t="str">
        <f>"Black Gold Traders FZE"</f>
        <v>Black Gold Traders FZE</v>
      </c>
      <c r="H3905" s="14" t="s">
        <v>5601</v>
      </c>
      <c r="I3905" s="14" t="s">
        <v>2458</v>
      </c>
      <c r="J3905" s="33" t="s">
        <v>7110</v>
      </c>
      <c r="K3905" s="33" t="s">
        <v>10145</v>
      </c>
      <c r="L3905" s="53" t="str">
        <f t="shared" si="81"/>
        <v>هند</v>
      </c>
      <c r="M3905" s="68" t="str">
        <f t="shared" si="80"/>
        <v>بشكه</v>
      </c>
      <c r="N3905" s="53" t="s">
        <v>10096</v>
      </c>
      <c r="O3905" s="53">
        <v>50100</v>
      </c>
      <c r="P3905" s="198" t="s">
        <v>9771</v>
      </c>
    </row>
    <row r="3906" spans="1:16" ht="18.75" hidden="1">
      <c r="A3906" s="50" t="str">
        <f>"50100-9591358"</f>
        <v>50100-9591358</v>
      </c>
      <c r="B3906" s="50" t="str">
        <f>"96/09/21"</f>
        <v>96/09/21</v>
      </c>
      <c r="C3906" s="50" t="s">
        <v>10122</v>
      </c>
      <c r="D3906" s="12" t="s">
        <v>6310</v>
      </c>
      <c r="E3906" s="12" t="s">
        <v>4971</v>
      </c>
      <c r="F3906" s="49">
        <v>105000</v>
      </c>
      <c r="G3906" s="77" t="str">
        <f>"LLC Sebco Bitumen"</f>
        <v>LLC Sebco Bitumen</v>
      </c>
      <c r="H3906" s="14" t="s">
        <v>5601</v>
      </c>
      <c r="I3906" s="14" t="s">
        <v>2458</v>
      </c>
      <c r="J3906" s="33" t="s">
        <v>7110</v>
      </c>
      <c r="K3906" s="33" t="s">
        <v>10145</v>
      </c>
      <c r="L3906" s="53" t="str">
        <f t="shared" si="81"/>
        <v>هند</v>
      </c>
      <c r="M3906" s="68" t="str">
        <f t="shared" si="80"/>
        <v>بشكه</v>
      </c>
      <c r="N3906" s="53" t="s">
        <v>10096</v>
      </c>
      <c r="O3906" s="53">
        <v>50100</v>
      </c>
      <c r="P3906" s="198" t="s">
        <v>7175</v>
      </c>
    </row>
    <row r="3907" spans="1:16" ht="18.75" hidden="1">
      <c r="A3907" s="50" t="str">
        <f>"50100-9622493"</f>
        <v>50100-9622493</v>
      </c>
      <c r="B3907" s="50" t="str">
        <f>"96/09/27"</f>
        <v>96/09/27</v>
      </c>
      <c r="C3907" s="50" t="s">
        <v>10106</v>
      </c>
      <c r="D3907" s="12" t="s">
        <v>9825</v>
      </c>
      <c r="E3907" s="12" t="s">
        <v>4971</v>
      </c>
      <c r="F3907" s="49">
        <v>458764</v>
      </c>
      <c r="G3907" s="77" t="str">
        <f>"Black Gold Traders FZE"</f>
        <v>Black Gold Traders FZE</v>
      </c>
      <c r="H3907" s="14" t="s">
        <v>5601</v>
      </c>
      <c r="I3907" s="14" t="s">
        <v>2458</v>
      </c>
      <c r="J3907" s="33" t="s">
        <v>7110</v>
      </c>
      <c r="K3907" s="33" t="s">
        <v>10145</v>
      </c>
      <c r="L3907" s="53" t="str">
        <f t="shared" si="81"/>
        <v>هند</v>
      </c>
      <c r="M3907" s="68" t="str">
        <f t="shared" si="80"/>
        <v>بشكه</v>
      </c>
      <c r="N3907" s="53" t="s">
        <v>10096</v>
      </c>
      <c r="O3907" s="53">
        <v>50100</v>
      </c>
      <c r="P3907" s="198" t="s">
        <v>9771</v>
      </c>
    </row>
    <row r="3908" spans="1:16" ht="18.75" hidden="1">
      <c r="A3908" s="50" t="str">
        <f>"50100-9591358"</f>
        <v>50100-9591358</v>
      </c>
      <c r="B3908" s="50" t="str">
        <f>"96/09/21"</f>
        <v>96/09/21</v>
      </c>
      <c r="C3908" s="50" t="s">
        <v>10123</v>
      </c>
      <c r="D3908" s="12" t="s">
        <v>6310</v>
      </c>
      <c r="E3908" s="12" t="s">
        <v>4971</v>
      </c>
      <c r="F3908" s="49">
        <v>350000</v>
      </c>
      <c r="G3908" s="77" t="str">
        <f>"LLC Sebco Bitumen"</f>
        <v>LLC Sebco Bitumen</v>
      </c>
      <c r="H3908" s="14" t="s">
        <v>5601</v>
      </c>
      <c r="I3908" s="14" t="s">
        <v>2458</v>
      </c>
      <c r="J3908" s="33" t="s">
        <v>7110</v>
      </c>
      <c r="K3908" s="33" t="s">
        <v>10145</v>
      </c>
      <c r="L3908" s="53" t="str">
        <f t="shared" si="81"/>
        <v>هند</v>
      </c>
      <c r="M3908" s="68" t="str">
        <f t="shared" si="80"/>
        <v>بشكه</v>
      </c>
      <c r="N3908" s="53" t="s">
        <v>10096</v>
      </c>
      <c r="O3908" s="53">
        <v>50100</v>
      </c>
      <c r="P3908" s="198" t="s">
        <v>7175</v>
      </c>
    </row>
    <row r="3909" spans="1:16" ht="18.75" hidden="1">
      <c r="A3909" s="50" t="str">
        <f>"50100-9591358"</f>
        <v>50100-9591358</v>
      </c>
      <c r="B3909" s="50" t="str">
        <f>"96/09/21"</f>
        <v>96/09/21</v>
      </c>
      <c r="C3909" s="50" t="s">
        <v>10124</v>
      </c>
      <c r="D3909" s="12" t="s">
        <v>6310</v>
      </c>
      <c r="E3909" s="12" t="s">
        <v>4971</v>
      </c>
      <c r="F3909" s="49">
        <v>136838</v>
      </c>
      <c r="G3909" s="77" t="str">
        <f>"LLC Sebco Bitumen"</f>
        <v>LLC Sebco Bitumen</v>
      </c>
      <c r="H3909" s="14" t="s">
        <v>5601</v>
      </c>
      <c r="I3909" s="14" t="s">
        <v>2458</v>
      </c>
      <c r="J3909" s="33" t="s">
        <v>7110</v>
      </c>
      <c r="K3909" s="33" t="s">
        <v>10145</v>
      </c>
      <c r="L3909" s="53" t="str">
        <f t="shared" si="81"/>
        <v>هند</v>
      </c>
      <c r="M3909" s="68" t="str">
        <f t="shared" si="80"/>
        <v>بشكه</v>
      </c>
      <c r="N3909" s="53" t="s">
        <v>10096</v>
      </c>
      <c r="O3909" s="53">
        <v>50100</v>
      </c>
      <c r="P3909" s="198" t="s">
        <v>7175</v>
      </c>
    </row>
    <row r="3910" spans="1:16" ht="18.75" hidden="1">
      <c r="A3910" s="50" t="str">
        <f>"50100-9607950"</f>
        <v>50100-9607950</v>
      </c>
      <c r="B3910" s="50" t="str">
        <f>"96/09/25"</f>
        <v>96/09/25</v>
      </c>
      <c r="C3910" s="50" t="s">
        <v>10125</v>
      </c>
      <c r="D3910" s="12" t="s">
        <v>9813</v>
      </c>
      <c r="E3910" s="12" t="s">
        <v>4971</v>
      </c>
      <c r="F3910" s="49">
        <v>200000</v>
      </c>
      <c r="G3910" s="77" t="str">
        <f>"Black Gold Traders FZE"</f>
        <v>Black Gold Traders FZE</v>
      </c>
      <c r="H3910" s="14" t="s">
        <v>5601</v>
      </c>
      <c r="I3910" s="14" t="s">
        <v>2458</v>
      </c>
      <c r="J3910" s="33" t="s">
        <v>7110</v>
      </c>
      <c r="K3910" s="33" t="s">
        <v>10145</v>
      </c>
      <c r="L3910" s="53" t="str">
        <f>"کنيا"</f>
        <v>کنيا</v>
      </c>
      <c r="M3910" s="68" t="str">
        <f t="shared" si="80"/>
        <v>بشكه</v>
      </c>
      <c r="N3910" s="53" t="s">
        <v>10096</v>
      </c>
      <c r="O3910" s="53">
        <v>50100</v>
      </c>
      <c r="P3910" s="198" t="s">
        <v>9771</v>
      </c>
    </row>
    <row r="3911" spans="1:16" ht="18.75" hidden="1">
      <c r="A3911" s="50" t="str">
        <f>"50100-9602660"</f>
        <v>50100-9602660</v>
      </c>
      <c r="B3911" s="50" t="str">
        <f>"96/09/23"</f>
        <v>96/09/23</v>
      </c>
      <c r="C3911" s="50" t="s">
        <v>10126</v>
      </c>
      <c r="D3911" s="12" t="s">
        <v>8629</v>
      </c>
      <c r="E3911" s="12" t="s">
        <v>4971</v>
      </c>
      <c r="F3911" s="49">
        <v>240000</v>
      </c>
      <c r="G3911" s="77" t="str">
        <f>"LLC Sebco Bitumen"</f>
        <v>LLC Sebco Bitumen</v>
      </c>
      <c r="H3911" s="14" t="s">
        <v>5601</v>
      </c>
      <c r="I3911" s="14" t="s">
        <v>2458</v>
      </c>
      <c r="J3911" s="33" t="s">
        <v>7110</v>
      </c>
      <c r="K3911" s="33" t="s">
        <v>10145</v>
      </c>
      <c r="L3911" s="53" t="str">
        <f>"هند"</f>
        <v>هند</v>
      </c>
      <c r="M3911" s="68" t="str">
        <f t="shared" si="80"/>
        <v>بشكه</v>
      </c>
      <c r="N3911" s="53" t="s">
        <v>10096</v>
      </c>
      <c r="O3911" s="53">
        <v>50100</v>
      </c>
      <c r="P3911" s="198" t="s">
        <v>7111</v>
      </c>
    </row>
    <row r="3912" spans="1:16" ht="18.75" hidden="1">
      <c r="A3912" s="50" t="str">
        <f>"50100-9602660"</f>
        <v>50100-9602660</v>
      </c>
      <c r="B3912" s="50" t="str">
        <f>"96/09/23"</f>
        <v>96/09/23</v>
      </c>
      <c r="C3912" s="50" t="s">
        <v>10127</v>
      </c>
      <c r="D3912" s="12" t="s">
        <v>8629</v>
      </c>
      <c r="E3912" s="12" t="s">
        <v>4971</v>
      </c>
      <c r="F3912" s="49">
        <v>138345</v>
      </c>
      <c r="G3912" s="77" t="str">
        <f>"LLC Sebco Bitumen"</f>
        <v>LLC Sebco Bitumen</v>
      </c>
      <c r="H3912" s="14" t="s">
        <v>5601</v>
      </c>
      <c r="I3912" s="14" t="s">
        <v>2458</v>
      </c>
      <c r="J3912" s="33" t="s">
        <v>7110</v>
      </c>
      <c r="K3912" s="33" t="s">
        <v>10145</v>
      </c>
      <c r="L3912" s="53" t="str">
        <f>"هند"</f>
        <v>هند</v>
      </c>
      <c r="M3912" s="68" t="str">
        <f t="shared" si="80"/>
        <v>بشكه</v>
      </c>
      <c r="N3912" s="53" t="s">
        <v>10096</v>
      </c>
      <c r="O3912" s="53">
        <v>50100</v>
      </c>
      <c r="P3912" s="198" t="s">
        <v>7111</v>
      </c>
    </row>
    <row r="3913" spans="1:16" ht="18.75" hidden="1">
      <c r="A3913" s="50" t="str">
        <f>"50100-9607950"</f>
        <v>50100-9607950</v>
      </c>
      <c r="B3913" s="50" t="str">
        <f>"96/09/25"</f>
        <v>96/09/25</v>
      </c>
      <c r="C3913" s="50" t="s">
        <v>10095</v>
      </c>
      <c r="D3913" s="12" t="s">
        <v>8911</v>
      </c>
      <c r="E3913" s="12" t="s">
        <v>4971</v>
      </c>
      <c r="F3913" s="49">
        <v>1000</v>
      </c>
      <c r="G3913" s="77" t="str">
        <f>"Black Gold Traders FZE"</f>
        <v>Black Gold Traders FZE</v>
      </c>
      <c r="H3913" s="14" t="s">
        <v>5601</v>
      </c>
      <c r="I3913" s="14" t="s">
        <v>2458</v>
      </c>
      <c r="J3913" s="33" t="s">
        <v>7110</v>
      </c>
      <c r="K3913" s="33" t="s">
        <v>10145</v>
      </c>
      <c r="L3913" s="53" t="str">
        <f>"کنيا"</f>
        <v>کنيا</v>
      </c>
      <c r="M3913" s="68" t="str">
        <f t="shared" si="80"/>
        <v>بشكه</v>
      </c>
      <c r="N3913" s="53" t="s">
        <v>10096</v>
      </c>
      <c r="O3913" s="53">
        <v>50100</v>
      </c>
      <c r="P3913" s="198" t="s">
        <v>9771</v>
      </c>
    </row>
    <row r="3914" spans="1:16" ht="18.75" hidden="1">
      <c r="A3914" s="50" t="str">
        <f>"50100-9607950"</f>
        <v>50100-9607950</v>
      </c>
      <c r="B3914" s="50" t="str">
        <f>"96/09/25"</f>
        <v>96/09/25</v>
      </c>
      <c r="C3914" s="50" t="s">
        <v>10128</v>
      </c>
      <c r="D3914" s="12" t="s">
        <v>9830</v>
      </c>
      <c r="E3914" s="12" t="s">
        <v>4971</v>
      </c>
      <c r="F3914" s="49">
        <v>300000</v>
      </c>
      <c r="G3914" s="77" t="str">
        <f>"Black Gold Traders FZE"</f>
        <v>Black Gold Traders FZE</v>
      </c>
      <c r="H3914" s="14" t="s">
        <v>5601</v>
      </c>
      <c r="I3914" s="14" t="s">
        <v>2458</v>
      </c>
      <c r="J3914" s="33" t="s">
        <v>7110</v>
      </c>
      <c r="K3914" s="33" t="s">
        <v>10145</v>
      </c>
      <c r="L3914" s="53" t="str">
        <f>"کنيا"</f>
        <v>کنيا</v>
      </c>
      <c r="M3914" s="68" t="str">
        <f t="shared" si="80"/>
        <v>بشكه</v>
      </c>
      <c r="N3914" s="53" t="s">
        <v>10096</v>
      </c>
      <c r="O3914" s="53">
        <v>50100</v>
      </c>
      <c r="P3914" s="198" t="s">
        <v>9771</v>
      </c>
    </row>
    <row r="3915" spans="1:16" ht="18.75" hidden="1">
      <c r="A3915" s="50" t="str">
        <f>"50100-9607950"</f>
        <v>50100-9607950</v>
      </c>
      <c r="B3915" s="50" t="str">
        <f>"96/09/25"</f>
        <v>96/09/25</v>
      </c>
      <c r="C3915" s="50" t="s">
        <v>10129</v>
      </c>
      <c r="D3915" s="12" t="s">
        <v>9813</v>
      </c>
      <c r="E3915" s="12" t="s">
        <v>4971</v>
      </c>
      <c r="F3915" s="49">
        <v>200000</v>
      </c>
      <c r="G3915" s="77" t="str">
        <f>"Black Gold Traders FZE"</f>
        <v>Black Gold Traders FZE</v>
      </c>
      <c r="H3915" s="14" t="s">
        <v>5601</v>
      </c>
      <c r="I3915" s="14" t="s">
        <v>2458</v>
      </c>
      <c r="J3915" s="33" t="s">
        <v>7110</v>
      </c>
      <c r="K3915" s="33" t="s">
        <v>10145</v>
      </c>
      <c r="L3915" s="53" t="str">
        <f>"کنيا"</f>
        <v>کنيا</v>
      </c>
      <c r="M3915" s="68" t="str">
        <f t="shared" si="80"/>
        <v>بشكه</v>
      </c>
      <c r="N3915" s="53" t="s">
        <v>10096</v>
      </c>
      <c r="O3915" s="53">
        <v>50100</v>
      </c>
      <c r="P3915" s="198" t="s">
        <v>9771</v>
      </c>
    </row>
    <row r="3916" spans="1:16" ht="18.75" hidden="1">
      <c r="A3916" s="50" t="str">
        <f>"50100-9602660"</f>
        <v>50100-9602660</v>
      </c>
      <c r="B3916" s="50" t="str">
        <f>"96/09/23"</f>
        <v>96/09/23</v>
      </c>
      <c r="C3916" s="50" t="s">
        <v>10130</v>
      </c>
      <c r="D3916" s="12" t="s">
        <v>8619</v>
      </c>
      <c r="E3916" s="12" t="s">
        <v>4971</v>
      </c>
      <c r="F3916" s="49">
        <v>125000</v>
      </c>
      <c r="G3916" s="77" t="str">
        <f>"LLC Sebco Bitumen"</f>
        <v>LLC Sebco Bitumen</v>
      </c>
      <c r="H3916" s="14" t="s">
        <v>5601</v>
      </c>
      <c r="I3916" s="14" t="s">
        <v>2458</v>
      </c>
      <c r="J3916" s="33" t="s">
        <v>7110</v>
      </c>
      <c r="K3916" s="33" t="s">
        <v>10145</v>
      </c>
      <c r="L3916" s="53" t="str">
        <f>"هند"</f>
        <v>هند</v>
      </c>
      <c r="M3916" s="68" t="str">
        <f t="shared" si="80"/>
        <v>بشكه</v>
      </c>
      <c r="N3916" s="53" t="s">
        <v>10096</v>
      </c>
      <c r="O3916" s="53">
        <v>50100</v>
      </c>
      <c r="P3916" s="198" t="s">
        <v>7111</v>
      </c>
    </row>
    <row r="3917" spans="1:16" ht="18.75" hidden="1">
      <c r="A3917" s="50" t="str">
        <f>"50100-9578829"</f>
        <v>50100-9578829</v>
      </c>
      <c r="B3917" s="50" t="str">
        <f>"96/09/18"</f>
        <v>96/09/18</v>
      </c>
      <c r="C3917" s="50" t="s">
        <v>10131</v>
      </c>
      <c r="D3917" s="12" t="s">
        <v>8833</v>
      </c>
      <c r="E3917" s="12" t="s">
        <v>4971</v>
      </c>
      <c r="F3917" s="49">
        <v>200000</v>
      </c>
      <c r="G3917" s="77" t="str">
        <f>"Black Gold Traders FZE"</f>
        <v>Black Gold Traders FZE</v>
      </c>
      <c r="H3917" s="14" t="s">
        <v>5601</v>
      </c>
      <c r="I3917" s="14" t="s">
        <v>2458</v>
      </c>
      <c r="J3917" s="33" t="s">
        <v>7110</v>
      </c>
      <c r="K3917" s="33" t="s">
        <v>10145</v>
      </c>
      <c r="L3917" s="53" t="str">
        <f>"هند"</f>
        <v>هند</v>
      </c>
      <c r="M3917" s="68" t="str">
        <f t="shared" si="80"/>
        <v>بشكه</v>
      </c>
      <c r="N3917" s="53" t="s">
        <v>10096</v>
      </c>
      <c r="O3917" s="53">
        <v>50100</v>
      </c>
      <c r="P3917" s="198" t="s">
        <v>8722</v>
      </c>
    </row>
    <row r="3918" spans="1:16" ht="18.75" hidden="1">
      <c r="A3918" s="50" t="str">
        <f>"50100-9628348"</f>
        <v>50100-9628348</v>
      </c>
      <c r="B3918" s="50" t="str">
        <f>"96/09/28"</f>
        <v>96/09/28</v>
      </c>
      <c r="C3918" s="50" t="s">
        <v>10132</v>
      </c>
      <c r="D3918" s="12" t="s">
        <v>8627</v>
      </c>
      <c r="E3918" s="12" t="s">
        <v>4971</v>
      </c>
      <c r="F3918" s="49">
        <v>320000</v>
      </c>
      <c r="G3918" s="77" t="str">
        <f>"LLC Sebco Bitumen"</f>
        <v>LLC Sebco Bitumen</v>
      </c>
      <c r="H3918" s="14" t="s">
        <v>5601</v>
      </c>
      <c r="I3918" s="14" t="s">
        <v>2458</v>
      </c>
      <c r="J3918" s="33" t="s">
        <v>7110</v>
      </c>
      <c r="K3918" s="33" t="s">
        <v>10145</v>
      </c>
      <c r="L3918" s="53" t="str">
        <f>"هند"</f>
        <v>هند</v>
      </c>
      <c r="M3918" s="68" t="str">
        <f t="shared" si="80"/>
        <v>بشكه</v>
      </c>
      <c r="N3918" s="53" t="s">
        <v>10096</v>
      </c>
      <c r="O3918" s="53">
        <v>50100</v>
      </c>
      <c r="P3918" s="198" t="s">
        <v>7111</v>
      </c>
    </row>
    <row r="3919" spans="1:16" ht="18.75" hidden="1">
      <c r="A3919" s="50" t="str">
        <f>"50100-9578829"</f>
        <v>50100-9578829</v>
      </c>
      <c r="B3919" s="50" t="str">
        <f>"96/09/18"</f>
        <v>96/09/18</v>
      </c>
      <c r="C3919" s="50" t="s">
        <v>9970</v>
      </c>
      <c r="D3919" s="12" t="s">
        <v>9720</v>
      </c>
      <c r="E3919" s="12" t="s">
        <v>4971</v>
      </c>
      <c r="F3919" s="49">
        <v>134176</v>
      </c>
      <c r="G3919" s="77" t="str">
        <f>"Black Gold Traders FZE"</f>
        <v>Black Gold Traders FZE</v>
      </c>
      <c r="H3919" s="14" t="s">
        <v>5601</v>
      </c>
      <c r="I3919" s="14" t="s">
        <v>2458</v>
      </c>
      <c r="J3919" s="33" t="s">
        <v>7110</v>
      </c>
      <c r="K3919" s="33" t="s">
        <v>10145</v>
      </c>
      <c r="L3919" s="53" t="str">
        <f>"هند"</f>
        <v>هند</v>
      </c>
      <c r="M3919" s="68" t="str">
        <f t="shared" si="80"/>
        <v>بشكه</v>
      </c>
      <c r="N3919" s="53" t="s">
        <v>10096</v>
      </c>
      <c r="O3919" s="53">
        <v>50100</v>
      </c>
      <c r="P3919" s="198" t="s">
        <v>8722</v>
      </c>
    </row>
    <row r="3920" spans="1:16" ht="18.75" hidden="1">
      <c r="A3920" s="50" t="str">
        <f>"50100-9589519"</f>
        <v>50100-9589519</v>
      </c>
      <c r="B3920" s="50" t="str">
        <f>"96/09/20"</f>
        <v>96/09/20</v>
      </c>
      <c r="C3920" s="50" t="s">
        <v>10119</v>
      </c>
      <c r="D3920" s="12" t="s">
        <v>8911</v>
      </c>
      <c r="E3920" s="12" t="s">
        <v>4971</v>
      </c>
      <c r="F3920" s="49">
        <v>109049</v>
      </c>
      <c r="G3920" s="77" t="str">
        <f>"Black Gold Traders FZE"</f>
        <v>Black Gold Traders FZE</v>
      </c>
      <c r="H3920" s="14" t="s">
        <v>5601</v>
      </c>
      <c r="I3920" s="14" t="s">
        <v>2458</v>
      </c>
      <c r="J3920" s="33" t="s">
        <v>7110</v>
      </c>
      <c r="K3920" s="33" t="s">
        <v>10145</v>
      </c>
      <c r="L3920" s="53" t="str">
        <f>"هند"</f>
        <v>هند</v>
      </c>
      <c r="M3920" s="68" t="str">
        <f t="shared" si="80"/>
        <v>بشكه</v>
      </c>
      <c r="N3920" s="53" t="s">
        <v>10096</v>
      </c>
      <c r="O3920" s="53">
        <v>50100</v>
      </c>
      <c r="P3920" s="198" t="s">
        <v>8722</v>
      </c>
    </row>
    <row r="3921" spans="1:16" ht="18.75" hidden="1">
      <c r="A3921" s="50" t="str">
        <f>"50100-9614022"</f>
        <v>50100-9614022</v>
      </c>
      <c r="B3921" s="50" t="str">
        <f>"96/09/26"</f>
        <v>96/09/26</v>
      </c>
      <c r="C3921" s="50" t="s">
        <v>10133</v>
      </c>
      <c r="D3921" s="12" t="s">
        <v>10024</v>
      </c>
      <c r="E3921" s="12" t="s">
        <v>4971</v>
      </c>
      <c r="F3921" s="49">
        <v>1023848</v>
      </c>
      <c r="G3921" s="77" t="str">
        <f>"Black Gold Traders FZE"</f>
        <v>Black Gold Traders FZE</v>
      </c>
      <c r="H3921" s="14" t="s">
        <v>5601</v>
      </c>
      <c r="I3921" s="14" t="s">
        <v>2458</v>
      </c>
      <c r="J3921" s="33" t="s">
        <v>7110</v>
      </c>
      <c r="K3921" s="33" t="s">
        <v>10145</v>
      </c>
      <c r="L3921" s="53" t="str">
        <f>"عمان"</f>
        <v>عمان</v>
      </c>
      <c r="M3921" s="68" t="str">
        <f>"فله"</f>
        <v>فله</v>
      </c>
      <c r="N3921" s="53" t="s">
        <v>10096</v>
      </c>
      <c r="O3921" s="53">
        <v>50100</v>
      </c>
      <c r="P3921" s="198" t="s">
        <v>9795</v>
      </c>
    </row>
    <row r="3922" spans="1:16" ht="18.75" hidden="1">
      <c r="A3922" s="50" t="str">
        <f>"50100-9578829"</f>
        <v>50100-9578829</v>
      </c>
      <c r="B3922" s="50" t="str">
        <f>"96/09/18"</f>
        <v>96/09/18</v>
      </c>
      <c r="C3922" s="50" t="s">
        <v>10134</v>
      </c>
      <c r="D3922" s="12" t="s">
        <v>8846</v>
      </c>
      <c r="E3922" s="12" t="s">
        <v>4971</v>
      </c>
      <c r="F3922" s="49">
        <v>157969</v>
      </c>
      <c r="G3922" s="77" t="str">
        <f>"Black Gold Traders FZE"</f>
        <v>Black Gold Traders FZE</v>
      </c>
      <c r="H3922" s="14" t="s">
        <v>5601</v>
      </c>
      <c r="I3922" s="14" t="s">
        <v>2458</v>
      </c>
      <c r="J3922" s="33" t="s">
        <v>7110</v>
      </c>
      <c r="K3922" s="33" t="s">
        <v>10145</v>
      </c>
      <c r="L3922" s="53" t="str">
        <f t="shared" ref="L3922:L3929" si="82">"هند"</f>
        <v>هند</v>
      </c>
      <c r="M3922" s="68" t="str">
        <f t="shared" ref="M3922:M3940" si="83">"بشكه"</f>
        <v>بشكه</v>
      </c>
      <c r="N3922" s="53" t="s">
        <v>10096</v>
      </c>
      <c r="O3922" s="53">
        <v>50100</v>
      </c>
      <c r="P3922" s="198" t="s">
        <v>8722</v>
      </c>
    </row>
    <row r="3923" spans="1:16" ht="18.75" hidden="1">
      <c r="A3923" s="50" t="str">
        <f>"50100-9589519"</f>
        <v>50100-9589519</v>
      </c>
      <c r="B3923" s="50" t="str">
        <f>"96/09/20"</f>
        <v>96/09/20</v>
      </c>
      <c r="C3923" s="50" t="s">
        <v>10134</v>
      </c>
      <c r="D3923" s="12" t="s">
        <v>8846</v>
      </c>
      <c r="E3923" s="12" t="s">
        <v>4971</v>
      </c>
      <c r="F3923" s="49">
        <v>42031</v>
      </c>
      <c r="G3923" s="77" t="str">
        <f>"Black Gold Traders FZE"</f>
        <v>Black Gold Traders FZE</v>
      </c>
      <c r="H3923" s="14" t="s">
        <v>5601</v>
      </c>
      <c r="I3923" s="14" t="s">
        <v>2458</v>
      </c>
      <c r="J3923" s="33" t="s">
        <v>7110</v>
      </c>
      <c r="K3923" s="33" t="s">
        <v>10145</v>
      </c>
      <c r="L3923" s="53" t="str">
        <f t="shared" si="82"/>
        <v>هند</v>
      </c>
      <c r="M3923" s="68" t="str">
        <f t="shared" si="83"/>
        <v>بشكه</v>
      </c>
      <c r="N3923" s="53" t="s">
        <v>10096</v>
      </c>
      <c r="O3923" s="53">
        <v>50100</v>
      </c>
      <c r="P3923" s="198" t="s">
        <v>8722</v>
      </c>
    </row>
    <row r="3924" spans="1:16" ht="18.75" hidden="1">
      <c r="A3924" s="50" t="str">
        <f>"50100-9628348"</f>
        <v>50100-9628348</v>
      </c>
      <c r="B3924" s="50" t="str">
        <f>"96/09/28"</f>
        <v>96/09/28</v>
      </c>
      <c r="C3924" s="50" t="s">
        <v>10127</v>
      </c>
      <c r="D3924" s="12" t="s">
        <v>8629</v>
      </c>
      <c r="E3924" s="12" t="s">
        <v>4971</v>
      </c>
      <c r="F3924" s="49">
        <v>101655</v>
      </c>
      <c r="G3924" s="77" t="str">
        <f>"LLC Sebco Bitumen"</f>
        <v>LLC Sebco Bitumen</v>
      </c>
      <c r="H3924" s="14" t="s">
        <v>5601</v>
      </c>
      <c r="I3924" s="14" t="s">
        <v>2458</v>
      </c>
      <c r="J3924" s="33" t="s">
        <v>7110</v>
      </c>
      <c r="K3924" s="33" t="s">
        <v>10145</v>
      </c>
      <c r="L3924" s="53" t="str">
        <f t="shared" si="82"/>
        <v>هند</v>
      </c>
      <c r="M3924" s="68" t="str">
        <f t="shared" si="83"/>
        <v>بشكه</v>
      </c>
      <c r="N3924" s="53" t="s">
        <v>10096</v>
      </c>
      <c r="O3924" s="53">
        <v>50100</v>
      </c>
      <c r="P3924" s="198" t="s">
        <v>7111</v>
      </c>
    </row>
    <row r="3925" spans="1:16" ht="18.75" hidden="1">
      <c r="A3925" s="50" t="str">
        <f>"50100-9628348"</f>
        <v>50100-9628348</v>
      </c>
      <c r="B3925" s="50" t="str">
        <f>"96/09/28"</f>
        <v>96/09/28</v>
      </c>
      <c r="C3925" s="50" t="s">
        <v>10135</v>
      </c>
      <c r="D3925" s="12" t="s">
        <v>8618</v>
      </c>
      <c r="E3925" s="12" t="s">
        <v>4971</v>
      </c>
      <c r="F3925" s="49">
        <v>74555</v>
      </c>
      <c r="G3925" s="77" t="str">
        <f>"LLC Sebco Bitumen"</f>
        <v>LLC Sebco Bitumen</v>
      </c>
      <c r="H3925" s="14" t="s">
        <v>5601</v>
      </c>
      <c r="I3925" s="14" t="s">
        <v>2458</v>
      </c>
      <c r="J3925" s="33" t="s">
        <v>7110</v>
      </c>
      <c r="K3925" s="33" t="s">
        <v>10145</v>
      </c>
      <c r="L3925" s="53" t="str">
        <f t="shared" si="82"/>
        <v>هند</v>
      </c>
      <c r="M3925" s="68" t="str">
        <f t="shared" si="83"/>
        <v>بشكه</v>
      </c>
      <c r="N3925" s="53" t="s">
        <v>10096</v>
      </c>
      <c r="O3925" s="53">
        <v>50100</v>
      </c>
      <c r="P3925" s="198" t="s">
        <v>7111</v>
      </c>
    </row>
    <row r="3926" spans="1:16" ht="18.75" hidden="1">
      <c r="A3926" s="50" t="str">
        <f>"50100-9591466"</f>
        <v>50100-9591466</v>
      </c>
      <c r="B3926" s="50" t="str">
        <f>"96/09/21"</f>
        <v>96/09/21</v>
      </c>
      <c r="C3926" s="50" t="s">
        <v>10136</v>
      </c>
      <c r="D3926" s="12" t="s">
        <v>8620</v>
      </c>
      <c r="E3926" s="12" t="s">
        <v>4971</v>
      </c>
      <c r="F3926" s="49">
        <v>94200</v>
      </c>
      <c r="G3926" s="77" t="str">
        <f>"LLC Sebco Bitumen"</f>
        <v>LLC Sebco Bitumen</v>
      </c>
      <c r="H3926" s="14" t="s">
        <v>5601</v>
      </c>
      <c r="I3926" s="14" t="s">
        <v>2458</v>
      </c>
      <c r="J3926" s="33" t="s">
        <v>7110</v>
      </c>
      <c r="K3926" s="33" t="s">
        <v>10145</v>
      </c>
      <c r="L3926" s="53" t="str">
        <f t="shared" si="82"/>
        <v>هند</v>
      </c>
      <c r="M3926" s="68" t="str">
        <f t="shared" si="83"/>
        <v>بشكه</v>
      </c>
      <c r="N3926" s="53" t="s">
        <v>10096</v>
      </c>
      <c r="O3926" s="53">
        <v>50100</v>
      </c>
      <c r="P3926" s="198" t="s">
        <v>7175</v>
      </c>
    </row>
    <row r="3927" spans="1:16" ht="18.75" hidden="1">
      <c r="A3927" s="50" t="str">
        <f>"50100-9633501"</f>
        <v>50100-9633501</v>
      </c>
      <c r="B3927" s="50" t="str">
        <f>"96/09/29"</f>
        <v>96/09/29</v>
      </c>
      <c r="C3927" s="50" t="s">
        <v>10137</v>
      </c>
      <c r="D3927" s="12" t="s">
        <v>10028</v>
      </c>
      <c r="E3927" s="12" t="s">
        <v>4971</v>
      </c>
      <c r="F3927" s="49">
        <v>492030</v>
      </c>
      <c r="G3927" s="77" t="str">
        <f>"DAXON PETROLEUM"</f>
        <v>DAXON PETROLEUM</v>
      </c>
      <c r="H3927" s="14" t="s">
        <v>5601</v>
      </c>
      <c r="I3927" s="14" t="s">
        <v>2458</v>
      </c>
      <c r="J3927" s="33" t="s">
        <v>7110</v>
      </c>
      <c r="K3927" s="33" t="s">
        <v>10145</v>
      </c>
      <c r="L3927" s="53" t="str">
        <f t="shared" si="82"/>
        <v>هند</v>
      </c>
      <c r="M3927" s="68" t="str">
        <f t="shared" si="83"/>
        <v>بشكه</v>
      </c>
      <c r="N3927" s="53" t="s">
        <v>10096</v>
      </c>
      <c r="O3927" s="53">
        <v>50100</v>
      </c>
      <c r="P3927" s="198" t="s">
        <v>9784</v>
      </c>
    </row>
    <row r="3928" spans="1:16" ht="18.75" hidden="1">
      <c r="A3928" s="50" t="str">
        <f>"50100-9591466"</f>
        <v>50100-9591466</v>
      </c>
      <c r="B3928" s="50" t="str">
        <f>"96/09/21"</f>
        <v>96/09/21</v>
      </c>
      <c r="C3928" s="50" t="s">
        <v>10097</v>
      </c>
      <c r="D3928" s="12" t="s">
        <v>8620</v>
      </c>
      <c r="E3928" s="12" t="s">
        <v>4971</v>
      </c>
      <c r="F3928" s="49">
        <v>203410</v>
      </c>
      <c r="G3928" s="77" t="str">
        <f>"LLC Sebco Bitumen"</f>
        <v>LLC Sebco Bitumen</v>
      </c>
      <c r="H3928" s="14" t="s">
        <v>5601</v>
      </c>
      <c r="I3928" s="14" t="s">
        <v>2458</v>
      </c>
      <c r="J3928" s="33" t="s">
        <v>7110</v>
      </c>
      <c r="K3928" s="33" t="s">
        <v>10145</v>
      </c>
      <c r="L3928" s="53" t="str">
        <f t="shared" si="82"/>
        <v>هند</v>
      </c>
      <c r="M3928" s="68" t="str">
        <f t="shared" si="83"/>
        <v>بشكه</v>
      </c>
      <c r="N3928" s="53" t="s">
        <v>10096</v>
      </c>
      <c r="O3928" s="53">
        <v>50100</v>
      </c>
      <c r="P3928" s="198" t="s">
        <v>7175</v>
      </c>
    </row>
    <row r="3929" spans="1:16" ht="18.75" hidden="1">
      <c r="A3929" s="50" t="str">
        <f>"50100-9591466"</f>
        <v>50100-9591466</v>
      </c>
      <c r="B3929" s="50" t="str">
        <f>"96/09/21"</f>
        <v>96/09/21</v>
      </c>
      <c r="C3929" s="50" t="s">
        <v>10124</v>
      </c>
      <c r="D3929" s="12" t="s">
        <v>6310</v>
      </c>
      <c r="E3929" s="12" t="s">
        <v>4971</v>
      </c>
      <c r="F3929" s="49">
        <v>200620</v>
      </c>
      <c r="G3929" s="77" t="str">
        <f>"LLC Sebco Bitumen"</f>
        <v>LLC Sebco Bitumen</v>
      </c>
      <c r="H3929" s="14" t="s">
        <v>5601</v>
      </c>
      <c r="I3929" s="14" t="s">
        <v>2458</v>
      </c>
      <c r="J3929" s="33" t="s">
        <v>7110</v>
      </c>
      <c r="K3929" s="33" t="s">
        <v>10145</v>
      </c>
      <c r="L3929" s="53" t="str">
        <f t="shared" si="82"/>
        <v>هند</v>
      </c>
      <c r="M3929" s="68" t="str">
        <f t="shared" si="83"/>
        <v>بشكه</v>
      </c>
      <c r="N3929" s="53" t="s">
        <v>10096</v>
      </c>
      <c r="O3929" s="53">
        <v>50100</v>
      </c>
      <c r="P3929" s="198" t="s">
        <v>7175</v>
      </c>
    </row>
    <row r="3930" spans="1:16" ht="18.75" hidden="1">
      <c r="A3930" s="50" t="str">
        <f>"50100-9582967"</f>
        <v>50100-9582967</v>
      </c>
      <c r="B3930" s="50" t="str">
        <f>"96/09/19"</f>
        <v>96/09/19</v>
      </c>
      <c r="C3930" s="50" t="s">
        <v>10138</v>
      </c>
      <c r="D3930" s="12" t="s">
        <v>9952</v>
      </c>
      <c r="E3930" s="12" t="s">
        <v>4971</v>
      </c>
      <c r="F3930" s="49">
        <v>1000000</v>
      </c>
      <c r="G3930" s="77" t="str">
        <f>"SHINING GREEN STAR FZE"</f>
        <v>SHINING GREEN STAR FZE</v>
      </c>
      <c r="H3930" s="14" t="s">
        <v>5601</v>
      </c>
      <c r="I3930" s="14" t="s">
        <v>2458</v>
      </c>
      <c r="J3930" s="33" t="e">
        <f>VLOOKUP(C3930,شرکتها!A:B,2,FALSE)</f>
        <v>#N/A</v>
      </c>
      <c r="K3930" s="33" t="s">
        <v>10145</v>
      </c>
      <c r="L3930" s="53" t="str">
        <f>"ليبريا"</f>
        <v>ليبريا</v>
      </c>
      <c r="M3930" s="68" t="str">
        <f t="shared" si="83"/>
        <v>بشكه</v>
      </c>
      <c r="N3930" s="53" t="s">
        <v>10096</v>
      </c>
      <c r="O3930" s="53">
        <v>50100</v>
      </c>
      <c r="P3930" s="198" t="s">
        <v>9770</v>
      </c>
    </row>
    <row r="3931" spans="1:16" ht="18.75" hidden="1">
      <c r="A3931" s="50" t="str">
        <f>"50100-9629683"</f>
        <v>50100-9629683</v>
      </c>
      <c r="B3931" s="50" t="str">
        <f>"96/09/29"</f>
        <v>96/09/29</v>
      </c>
      <c r="C3931" s="50" t="s">
        <v>10111</v>
      </c>
      <c r="D3931" s="12" t="s">
        <v>10028</v>
      </c>
      <c r="E3931" s="12" t="s">
        <v>4971</v>
      </c>
      <c r="F3931" s="49">
        <v>990510</v>
      </c>
      <c r="G3931" s="77" t="str">
        <f>"GLOBUS INTERNATIONAL FZE"</f>
        <v>GLOBUS INTERNATIONAL FZE</v>
      </c>
      <c r="H3931" s="14" t="s">
        <v>5601</v>
      </c>
      <c r="I3931" s="14" t="s">
        <v>2458</v>
      </c>
      <c r="J3931" s="33" t="s">
        <v>7110</v>
      </c>
      <c r="K3931" s="33" t="s">
        <v>10145</v>
      </c>
      <c r="L3931" s="53" t="str">
        <f>" امارات متحده عربي"</f>
        <v xml:space="preserve"> امارات متحده عربي</v>
      </c>
      <c r="M3931" s="68" t="str">
        <f t="shared" si="83"/>
        <v>بشكه</v>
      </c>
      <c r="N3931" s="53" t="s">
        <v>10096</v>
      </c>
      <c r="O3931" s="53">
        <v>50100</v>
      </c>
      <c r="P3931" s="198" t="s">
        <v>12119</v>
      </c>
    </row>
    <row r="3932" spans="1:16" ht="18.75" hidden="1">
      <c r="A3932" s="50" t="str">
        <f>"50100-9589733"</f>
        <v>50100-9589733</v>
      </c>
      <c r="B3932" s="50" t="str">
        <f>"96/09/20"</f>
        <v>96/09/20</v>
      </c>
      <c r="C3932" s="50" t="s">
        <v>10139</v>
      </c>
      <c r="D3932" s="12" t="s">
        <v>9720</v>
      </c>
      <c r="E3932" s="12" t="s">
        <v>4971</v>
      </c>
      <c r="F3932" s="49">
        <v>250000</v>
      </c>
      <c r="G3932" s="77" t="str">
        <f>"Black Gold Traders FZE"</f>
        <v>Black Gold Traders FZE</v>
      </c>
      <c r="H3932" s="14" t="s">
        <v>5601</v>
      </c>
      <c r="I3932" s="14" t="s">
        <v>2458</v>
      </c>
      <c r="J3932" s="33" t="s">
        <v>7110</v>
      </c>
      <c r="K3932" s="33" t="s">
        <v>10145</v>
      </c>
      <c r="L3932" s="53" t="str">
        <f t="shared" ref="L3932:L3937" si="84">"هند"</f>
        <v>هند</v>
      </c>
      <c r="M3932" s="68" t="str">
        <f t="shared" si="83"/>
        <v>بشكه</v>
      </c>
      <c r="N3932" s="53" t="s">
        <v>10096</v>
      </c>
      <c r="O3932" s="53">
        <v>50100</v>
      </c>
      <c r="P3932" s="198" t="s">
        <v>8722</v>
      </c>
    </row>
    <row r="3933" spans="1:16" ht="18.75" hidden="1">
      <c r="A3933" s="50" t="str">
        <f>"50100-9633275"</f>
        <v>50100-9633275</v>
      </c>
      <c r="B3933" s="50" t="str">
        <f>"96/09/29"</f>
        <v>96/09/29</v>
      </c>
      <c r="C3933" s="50" t="s">
        <v>10140</v>
      </c>
      <c r="D3933" s="12" t="s">
        <v>9813</v>
      </c>
      <c r="E3933" s="12" t="s">
        <v>4971</v>
      </c>
      <c r="F3933" s="49">
        <v>14700</v>
      </c>
      <c r="G3933" s="77" t="str">
        <f>"DAXON PETROLEUM"</f>
        <v>DAXON PETROLEUM</v>
      </c>
      <c r="H3933" s="14" t="s">
        <v>5601</v>
      </c>
      <c r="I3933" s="14" t="s">
        <v>2458</v>
      </c>
      <c r="J3933" s="33" t="s">
        <v>7110</v>
      </c>
      <c r="K3933" s="33" t="s">
        <v>10145</v>
      </c>
      <c r="L3933" s="53" t="str">
        <f t="shared" si="84"/>
        <v>هند</v>
      </c>
      <c r="M3933" s="68" t="str">
        <f t="shared" si="83"/>
        <v>بشكه</v>
      </c>
      <c r="N3933" s="53" t="s">
        <v>10096</v>
      </c>
      <c r="O3933" s="53">
        <v>50100</v>
      </c>
      <c r="P3933" s="198" t="s">
        <v>9784</v>
      </c>
    </row>
    <row r="3934" spans="1:16" ht="18.75" hidden="1">
      <c r="A3934" s="50" t="str">
        <f>"50100-9635244"</f>
        <v>50100-9635244</v>
      </c>
      <c r="B3934" s="50" t="str">
        <f>"96/09/30"</f>
        <v>96/09/30</v>
      </c>
      <c r="C3934" s="50" t="s">
        <v>10106</v>
      </c>
      <c r="D3934" s="12" t="s">
        <v>9825</v>
      </c>
      <c r="E3934" s="12" t="s">
        <v>4971</v>
      </c>
      <c r="F3934" s="49">
        <v>159156</v>
      </c>
      <c r="G3934" s="77" t="str">
        <f>"Black Gold Traders FZE"</f>
        <v>Black Gold Traders FZE</v>
      </c>
      <c r="H3934" s="14" t="s">
        <v>5601</v>
      </c>
      <c r="I3934" s="14" t="s">
        <v>2458</v>
      </c>
      <c r="J3934" s="33" t="s">
        <v>7110</v>
      </c>
      <c r="K3934" s="33" t="s">
        <v>10145</v>
      </c>
      <c r="L3934" s="53" t="str">
        <f t="shared" si="84"/>
        <v>هند</v>
      </c>
      <c r="M3934" s="68" t="str">
        <f t="shared" si="83"/>
        <v>بشكه</v>
      </c>
      <c r="N3934" s="53" t="s">
        <v>10096</v>
      </c>
      <c r="O3934" s="53">
        <v>50100</v>
      </c>
      <c r="P3934" s="198" t="s">
        <v>9771</v>
      </c>
    </row>
    <row r="3935" spans="1:16" ht="18.75" hidden="1">
      <c r="A3935" s="50" t="str">
        <f>"50100-9635244"</f>
        <v>50100-9635244</v>
      </c>
      <c r="B3935" s="50" t="str">
        <f>"96/09/30"</f>
        <v>96/09/30</v>
      </c>
      <c r="C3935" s="50" t="s">
        <v>10141</v>
      </c>
      <c r="D3935" s="12" t="s">
        <v>9825</v>
      </c>
      <c r="E3935" s="12" t="s">
        <v>4971</v>
      </c>
      <c r="F3935" s="49">
        <v>335398</v>
      </c>
      <c r="G3935" s="77" t="str">
        <f>"Black Gold Traders FZE"</f>
        <v>Black Gold Traders FZE</v>
      </c>
      <c r="H3935" s="14" t="s">
        <v>5601</v>
      </c>
      <c r="I3935" s="14" t="s">
        <v>2458</v>
      </c>
      <c r="J3935" s="33" t="s">
        <v>7110</v>
      </c>
      <c r="K3935" s="33" t="s">
        <v>10145</v>
      </c>
      <c r="L3935" s="53" t="str">
        <f t="shared" si="84"/>
        <v>هند</v>
      </c>
      <c r="M3935" s="68" t="str">
        <f t="shared" si="83"/>
        <v>بشكه</v>
      </c>
      <c r="N3935" s="53" t="s">
        <v>10096</v>
      </c>
      <c r="O3935" s="53">
        <v>50100</v>
      </c>
      <c r="P3935" s="198" t="s">
        <v>9771</v>
      </c>
    </row>
    <row r="3936" spans="1:16" ht="18.75" hidden="1">
      <c r="A3936" s="50" t="str">
        <f>"50100-9621301"</f>
        <v>50100-9621301</v>
      </c>
      <c r="B3936" s="50" t="str">
        <f>"96/09/27"</f>
        <v>96/09/27</v>
      </c>
      <c r="C3936" s="50" t="s">
        <v>10142</v>
      </c>
      <c r="D3936" s="12" t="s">
        <v>8911</v>
      </c>
      <c r="E3936" s="12" t="s">
        <v>4971</v>
      </c>
      <c r="F3936" s="49">
        <v>64576</v>
      </c>
      <c r="G3936" s="77" t="str">
        <f>"Black Gold Traders FZE"</f>
        <v>Black Gold Traders FZE</v>
      </c>
      <c r="H3936" s="14" t="s">
        <v>5601</v>
      </c>
      <c r="I3936" s="14" t="s">
        <v>2458</v>
      </c>
      <c r="J3936" s="33" t="s">
        <v>7110</v>
      </c>
      <c r="K3936" s="33" t="s">
        <v>10145</v>
      </c>
      <c r="L3936" s="53" t="str">
        <f t="shared" si="84"/>
        <v>هند</v>
      </c>
      <c r="M3936" s="68" t="str">
        <f t="shared" si="83"/>
        <v>بشكه</v>
      </c>
      <c r="N3936" s="53" t="s">
        <v>10096</v>
      </c>
      <c r="O3936" s="53">
        <v>50100</v>
      </c>
      <c r="P3936" s="198" t="s">
        <v>9771</v>
      </c>
    </row>
    <row r="3937" spans="1:16" ht="18.75" hidden="1">
      <c r="A3937" s="50" t="str">
        <f>"50100-9633219"</f>
        <v>50100-9633219</v>
      </c>
      <c r="B3937" s="50" t="str">
        <f>"96/09/29"</f>
        <v>96/09/29</v>
      </c>
      <c r="C3937" s="50" t="s">
        <v>10140</v>
      </c>
      <c r="D3937" s="12" t="s">
        <v>9813</v>
      </c>
      <c r="E3937" s="12" t="s">
        <v>4971</v>
      </c>
      <c r="F3937" s="49">
        <v>185300</v>
      </c>
      <c r="G3937" s="77" t="str">
        <f>"DAXON PETROLEUM"</f>
        <v>DAXON PETROLEUM</v>
      </c>
      <c r="H3937" s="14" t="s">
        <v>5601</v>
      </c>
      <c r="I3937" s="14" t="s">
        <v>2458</v>
      </c>
      <c r="J3937" s="33" t="s">
        <v>7110</v>
      </c>
      <c r="K3937" s="33" t="s">
        <v>10145</v>
      </c>
      <c r="L3937" s="53" t="str">
        <f t="shared" si="84"/>
        <v>هند</v>
      </c>
      <c r="M3937" s="68" t="str">
        <f t="shared" si="83"/>
        <v>بشكه</v>
      </c>
      <c r="N3937" s="53" t="s">
        <v>10096</v>
      </c>
      <c r="O3937" s="53">
        <v>50100</v>
      </c>
      <c r="P3937" s="198" t="s">
        <v>9784</v>
      </c>
    </row>
    <row r="3938" spans="1:16" ht="18.75" hidden="1">
      <c r="A3938" s="50" t="str">
        <f>"50100-9607950"</f>
        <v>50100-9607950</v>
      </c>
      <c r="B3938" s="50" t="str">
        <f>"96/09/25"</f>
        <v>96/09/25</v>
      </c>
      <c r="C3938" s="50" t="s">
        <v>10143</v>
      </c>
      <c r="D3938" s="12" t="s">
        <v>9830</v>
      </c>
      <c r="E3938" s="12" t="s">
        <v>4971</v>
      </c>
      <c r="F3938" s="49">
        <v>300000</v>
      </c>
      <c r="G3938" s="77" t="str">
        <f>"Black Gold Traders FZE"</f>
        <v>Black Gold Traders FZE</v>
      </c>
      <c r="H3938" s="14" t="s">
        <v>5601</v>
      </c>
      <c r="I3938" s="14" t="s">
        <v>2458</v>
      </c>
      <c r="J3938" s="33" t="s">
        <v>7110</v>
      </c>
      <c r="K3938" s="33" t="s">
        <v>10145</v>
      </c>
      <c r="L3938" s="53" t="str">
        <f>"کنيا"</f>
        <v>کنيا</v>
      </c>
      <c r="M3938" s="68" t="str">
        <f t="shared" si="83"/>
        <v>بشكه</v>
      </c>
      <c r="N3938" s="53" t="s">
        <v>10096</v>
      </c>
      <c r="O3938" s="53">
        <v>50100</v>
      </c>
      <c r="P3938" s="198" t="s">
        <v>9771</v>
      </c>
    </row>
    <row r="3939" spans="1:16" ht="18.75" hidden="1">
      <c r="A3939" s="50" t="str">
        <f>"50100-9589519"</f>
        <v>50100-9589519</v>
      </c>
      <c r="B3939" s="50" t="str">
        <f>"96/09/20"</f>
        <v>96/09/20</v>
      </c>
      <c r="C3939" s="50" t="s">
        <v>10144</v>
      </c>
      <c r="D3939" s="12" t="s">
        <v>8911</v>
      </c>
      <c r="E3939" s="12" t="s">
        <v>4971</v>
      </c>
      <c r="F3939" s="49">
        <v>350000</v>
      </c>
      <c r="G3939" s="77" t="str">
        <f>"Black Gold Traders FZE"</f>
        <v>Black Gold Traders FZE</v>
      </c>
      <c r="H3939" s="14" t="s">
        <v>5601</v>
      </c>
      <c r="I3939" s="14" t="s">
        <v>2458</v>
      </c>
      <c r="J3939" s="33" t="s">
        <v>7110</v>
      </c>
      <c r="K3939" s="33" t="s">
        <v>10145</v>
      </c>
      <c r="L3939" s="53" t="str">
        <f>"هند"</f>
        <v>هند</v>
      </c>
      <c r="M3939" s="68" t="str">
        <f t="shared" si="83"/>
        <v>بشكه</v>
      </c>
      <c r="N3939" s="53" t="s">
        <v>10096</v>
      </c>
      <c r="O3939" s="53">
        <v>50100</v>
      </c>
      <c r="P3939" s="198" t="s">
        <v>8722</v>
      </c>
    </row>
    <row r="3940" spans="1:16" ht="18.75" hidden="1">
      <c r="A3940" s="50" t="str">
        <f>"50100-9594622"</f>
        <v>50100-9594622</v>
      </c>
      <c r="B3940" s="50" t="str">
        <f>"96/09/21"</f>
        <v>96/09/21</v>
      </c>
      <c r="C3940" s="50" t="s">
        <v>10142</v>
      </c>
      <c r="D3940" s="12" t="s">
        <v>8911</v>
      </c>
      <c r="E3940" s="12" t="s">
        <v>4971</v>
      </c>
      <c r="F3940" s="49">
        <v>315424</v>
      </c>
      <c r="G3940" s="77" t="str">
        <f>"Black Gold Traders FZE"</f>
        <v>Black Gold Traders FZE</v>
      </c>
      <c r="H3940" s="14" t="s">
        <v>5601</v>
      </c>
      <c r="I3940" s="14" t="s">
        <v>2458</v>
      </c>
      <c r="J3940" s="33" t="s">
        <v>7110</v>
      </c>
      <c r="K3940" s="33" t="s">
        <v>10145</v>
      </c>
      <c r="L3940" s="53" t="str">
        <f>"هند"</f>
        <v>هند</v>
      </c>
      <c r="M3940" s="68" t="str">
        <f t="shared" si="83"/>
        <v>بشكه</v>
      </c>
      <c r="N3940" s="53" t="s">
        <v>10096</v>
      </c>
      <c r="O3940" s="53">
        <v>50100</v>
      </c>
      <c r="P3940" s="198" t="s">
        <v>9771</v>
      </c>
    </row>
    <row r="3941" spans="1:16" ht="18.75" hidden="1">
      <c r="A3941" s="50" t="s">
        <v>10147</v>
      </c>
      <c r="B3941" s="50" t="s">
        <v>9910</v>
      </c>
      <c r="C3941" s="50" t="s">
        <v>9923</v>
      </c>
      <c r="D3941" s="12" t="s">
        <v>8629</v>
      </c>
      <c r="E3941" s="12" t="s">
        <v>4971</v>
      </c>
      <c r="F3941" s="49">
        <v>94801</v>
      </c>
      <c r="G3941" s="77" t="s">
        <v>6298</v>
      </c>
      <c r="H3941" s="14" t="s">
        <v>5601</v>
      </c>
      <c r="I3941" s="14" t="s">
        <v>2458</v>
      </c>
      <c r="J3941" s="33" t="s">
        <v>7110</v>
      </c>
      <c r="K3941" s="33" t="s">
        <v>12404</v>
      </c>
      <c r="L3941" s="53" t="s">
        <v>6054</v>
      </c>
      <c r="M3941" s="68" t="s">
        <v>8913</v>
      </c>
      <c r="N3941" s="53" t="s">
        <v>6076</v>
      </c>
      <c r="O3941" s="53">
        <v>55301</v>
      </c>
      <c r="P3941" s="198" t="s">
        <v>7111</v>
      </c>
    </row>
    <row r="3942" spans="1:16" ht="18.75" hidden="1">
      <c r="A3942" s="50" t="s">
        <v>10147</v>
      </c>
      <c r="B3942" s="50" t="s">
        <v>9910</v>
      </c>
      <c r="C3942" s="50" t="s">
        <v>10073</v>
      </c>
      <c r="D3942" s="12" t="s">
        <v>8824</v>
      </c>
      <c r="E3942" s="12" t="s">
        <v>4971</v>
      </c>
      <c r="F3942" s="49">
        <v>294700</v>
      </c>
      <c r="G3942" s="77" t="s">
        <v>6454</v>
      </c>
      <c r="H3942" s="14" t="s">
        <v>5601</v>
      </c>
      <c r="I3942" s="14" t="s">
        <v>2458</v>
      </c>
      <c r="J3942" s="33" t="s">
        <v>7110</v>
      </c>
      <c r="K3942" s="33" t="s">
        <v>12404</v>
      </c>
      <c r="L3942" s="53" t="s">
        <v>6054</v>
      </c>
      <c r="M3942" s="68" t="s">
        <v>8913</v>
      </c>
      <c r="N3942" s="53" t="s">
        <v>6076</v>
      </c>
      <c r="O3942" s="53">
        <v>55301</v>
      </c>
      <c r="P3942" s="198" t="s">
        <v>7118</v>
      </c>
    </row>
    <row r="3943" spans="1:16" ht="18.75" hidden="1">
      <c r="A3943" s="50" t="s">
        <v>10147</v>
      </c>
      <c r="B3943" s="50" t="s">
        <v>9910</v>
      </c>
      <c r="C3943" s="50" t="s">
        <v>9748</v>
      </c>
      <c r="D3943" s="12" t="s">
        <v>6323</v>
      </c>
      <c r="E3943" s="12" t="s">
        <v>4971</v>
      </c>
      <c r="F3943" s="49">
        <v>44910</v>
      </c>
      <c r="G3943" s="77" t="s">
        <v>6298</v>
      </c>
      <c r="H3943" s="14" t="s">
        <v>5601</v>
      </c>
      <c r="I3943" s="14" t="s">
        <v>2458</v>
      </c>
      <c r="J3943" s="33" t="s">
        <v>7110</v>
      </c>
      <c r="K3943" s="33" t="s">
        <v>12404</v>
      </c>
      <c r="L3943" s="53" t="s">
        <v>6054</v>
      </c>
      <c r="M3943" s="68" t="s">
        <v>8913</v>
      </c>
      <c r="N3943" s="53" t="s">
        <v>6076</v>
      </c>
      <c r="O3943" s="53">
        <v>55301</v>
      </c>
      <c r="P3943" s="198" t="s">
        <v>7175</v>
      </c>
    </row>
    <row r="3944" spans="1:16" ht="18.75" hidden="1">
      <c r="A3944" s="50" t="s">
        <v>10147</v>
      </c>
      <c r="B3944" s="50" t="s">
        <v>9910</v>
      </c>
      <c r="C3944" s="50" t="s">
        <v>9977</v>
      </c>
      <c r="D3944" s="12" t="s">
        <v>8627</v>
      </c>
      <c r="E3944" s="12" t="s">
        <v>4971</v>
      </c>
      <c r="F3944" s="49">
        <v>291080</v>
      </c>
      <c r="G3944" s="77" t="s">
        <v>6454</v>
      </c>
      <c r="H3944" s="14" t="s">
        <v>5601</v>
      </c>
      <c r="I3944" s="14" t="s">
        <v>2458</v>
      </c>
      <c r="J3944" s="33" t="s">
        <v>7110</v>
      </c>
      <c r="K3944" s="33" t="s">
        <v>12404</v>
      </c>
      <c r="L3944" s="53" t="s">
        <v>6054</v>
      </c>
      <c r="M3944" s="68" t="s">
        <v>8913</v>
      </c>
      <c r="N3944" s="53" t="s">
        <v>6076</v>
      </c>
      <c r="O3944" s="53">
        <v>55301</v>
      </c>
      <c r="P3944" s="198" t="s">
        <v>7234</v>
      </c>
    </row>
    <row r="3945" spans="1:16" ht="18.75" hidden="1">
      <c r="A3945" s="50" t="s">
        <v>10147</v>
      </c>
      <c r="B3945" s="50" t="s">
        <v>9910</v>
      </c>
      <c r="C3945" s="50" t="s">
        <v>8890</v>
      </c>
      <c r="D3945" s="12" t="s">
        <v>8621</v>
      </c>
      <c r="E3945" s="12" t="s">
        <v>4971</v>
      </c>
      <c r="F3945" s="49">
        <v>324880</v>
      </c>
      <c r="G3945" s="77" t="s">
        <v>6453</v>
      </c>
      <c r="H3945" s="14" t="s">
        <v>5601</v>
      </c>
      <c r="I3945" s="14" t="s">
        <v>2458</v>
      </c>
      <c r="J3945" s="33" t="s">
        <v>7110</v>
      </c>
      <c r="K3945" s="33" t="s">
        <v>12404</v>
      </c>
      <c r="L3945" s="53" t="s">
        <v>6054</v>
      </c>
      <c r="M3945" s="68" t="s">
        <v>8913</v>
      </c>
      <c r="N3945" s="53" t="s">
        <v>6076</v>
      </c>
      <c r="O3945" s="53">
        <v>55301</v>
      </c>
      <c r="P3945" s="198" t="s">
        <v>8497</v>
      </c>
    </row>
    <row r="3946" spans="1:16" ht="18.75" hidden="1">
      <c r="A3946" s="50" t="s">
        <v>10147</v>
      </c>
      <c r="B3946" s="50" t="s">
        <v>9910</v>
      </c>
      <c r="C3946" s="50" t="s">
        <v>10045</v>
      </c>
      <c r="D3946" s="12" t="s">
        <v>8764</v>
      </c>
      <c r="E3946" s="12" t="s">
        <v>4971</v>
      </c>
      <c r="F3946" s="49">
        <v>68609</v>
      </c>
      <c r="G3946" s="77" t="s">
        <v>6298</v>
      </c>
      <c r="H3946" s="14" t="s">
        <v>5601</v>
      </c>
      <c r="I3946" s="14" t="s">
        <v>2458</v>
      </c>
      <c r="J3946" s="33" t="s">
        <v>7110</v>
      </c>
      <c r="K3946" s="33" t="s">
        <v>12404</v>
      </c>
      <c r="L3946" s="53" t="s">
        <v>6054</v>
      </c>
      <c r="M3946" s="68" t="s">
        <v>8913</v>
      </c>
      <c r="N3946" s="53" t="s">
        <v>6076</v>
      </c>
      <c r="O3946" s="53">
        <v>55301</v>
      </c>
      <c r="P3946" s="198" t="s">
        <v>7273</v>
      </c>
    </row>
    <row r="3947" spans="1:16" ht="18.75" hidden="1">
      <c r="A3947" s="50" t="s">
        <v>10148</v>
      </c>
      <c r="B3947" s="50" t="s">
        <v>9835</v>
      </c>
      <c r="C3947" s="50" t="s">
        <v>12178</v>
      </c>
      <c r="D3947" s="12" t="s">
        <v>8830</v>
      </c>
      <c r="E3947" s="12" t="s">
        <v>4971</v>
      </c>
      <c r="F3947" s="49">
        <v>200000</v>
      </c>
      <c r="G3947" s="77" t="s">
        <v>8859</v>
      </c>
      <c r="H3947" s="14" t="s">
        <v>5601</v>
      </c>
      <c r="I3947" s="14" t="s">
        <v>2458</v>
      </c>
      <c r="J3947" s="33" t="s">
        <v>7110</v>
      </c>
      <c r="K3947" s="33" t="s">
        <v>12404</v>
      </c>
      <c r="L3947" s="53" t="s">
        <v>6054</v>
      </c>
      <c r="M3947" s="68" t="s">
        <v>8913</v>
      </c>
      <c r="N3947" s="53" t="s">
        <v>6286</v>
      </c>
      <c r="O3947" s="53">
        <v>55107</v>
      </c>
      <c r="P3947" s="198" t="s">
        <v>5854</v>
      </c>
    </row>
    <row r="3948" spans="1:16" ht="18.75" hidden="1">
      <c r="A3948" s="50" t="s">
        <v>10148</v>
      </c>
      <c r="B3948" s="50" t="s">
        <v>9835</v>
      </c>
      <c r="C3948" s="50" t="s">
        <v>10053</v>
      </c>
      <c r="D3948" s="12" t="s">
        <v>8793</v>
      </c>
      <c r="E3948" s="12" t="s">
        <v>4971</v>
      </c>
      <c r="F3948" s="49">
        <v>77660</v>
      </c>
      <c r="G3948" s="77" t="s">
        <v>8859</v>
      </c>
      <c r="H3948" s="14" t="s">
        <v>5601</v>
      </c>
      <c r="I3948" s="14" t="s">
        <v>2458</v>
      </c>
      <c r="J3948" s="33" t="s">
        <v>7110</v>
      </c>
      <c r="K3948" s="33" t="s">
        <v>12404</v>
      </c>
      <c r="L3948" s="53" t="s">
        <v>6054</v>
      </c>
      <c r="M3948" s="68" t="s">
        <v>8913</v>
      </c>
      <c r="N3948" s="53" t="s">
        <v>6286</v>
      </c>
      <c r="O3948" s="53">
        <v>55107</v>
      </c>
      <c r="P3948" s="198" t="s">
        <v>5854</v>
      </c>
    </row>
    <row r="3949" spans="1:16" ht="18.75" hidden="1">
      <c r="A3949" s="50" t="s">
        <v>10147</v>
      </c>
      <c r="B3949" s="50" t="s">
        <v>9910</v>
      </c>
      <c r="C3949" s="50" t="s">
        <v>9993</v>
      </c>
      <c r="D3949" s="12" t="s">
        <v>8788</v>
      </c>
      <c r="E3949" s="12" t="s">
        <v>4971</v>
      </c>
      <c r="F3949" s="49">
        <v>195960</v>
      </c>
      <c r="G3949" s="77" t="s">
        <v>6453</v>
      </c>
      <c r="H3949" s="14" t="s">
        <v>5601</v>
      </c>
      <c r="I3949" s="14" t="s">
        <v>2458</v>
      </c>
      <c r="J3949" s="33" t="s">
        <v>7110</v>
      </c>
      <c r="K3949" s="33" t="s">
        <v>12404</v>
      </c>
      <c r="L3949" s="53" t="s">
        <v>6054</v>
      </c>
      <c r="M3949" s="68" t="s">
        <v>8913</v>
      </c>
      <c r="N3949" s="53" t="s">
        <v>6076</v>
      </c>
      <c r="O3949" s="53">
        <v>55301</v>
      </c>
      <c r="P3949" s="198" t="s">
        <v>8497</v>
      </c>
    </row>
    <row r="3950" spans="1:16" ht="18.75" hidden="1">
      <c r="A3950" s="50" t="s">
        <v>10150</v>
      </c>
      <c r="B3950" s="50" t="s">
        <v>10015</v>
      </c>
      <c r="C3950" s="50" t="s">
        <v>10009</v>
      </c>
      <c r="D3950" s="12" t="s">
        <v>9962</v>
      </c>
      <c r="E3950" s="12" t="s">
        <v>4971</v>
      </c>
      <c r="F3950" s="49">
        <v>101490</v>
      </c>
      <c r="G3950" s="77" t="s">
        <v>6454</v>
      </c>
      <c r="H3950" s="14" t="s">
        <v>5601</v>
      </c>
      <c r="I3950" s="14" t="s">
        <v>2458</v>
      </c>
      <c r="J3950" s="33" t="s">
        <v>7110</v>
      </c>
      <c r="K3950" s="33" t="s">
        <v>12404</v>
      </c>
      <c r="L3950" s="53" t="s">
        <v>6054</v>
      </c>
      <c r="M3950" s="68" t="s">
        <v>8912</v>
      </c>
      <c r="N3950" s="53" t="s">
        <v>6076</v>
      </c>
      <c r="O3950" s="53">
        <v>55301</v>
      </c>
      <c r="P3950" s="198" t="s">
        <v>9768</v>
      </c>
    </row>
    <row r="3951" spans="1:16" ht="18.75" hidden="1">
      <c r="A3951" s="50" t="s">
        <v>10150</v>
      </c>
      <c r="B3951" s="50" t="s">
        <v>10015</v>
      </c>
      <c r="C3951" s="50" t="s">
        <v>10026</v>
      </c>
      <c r="D3951" s="12" t="s">
        <v>9835</v>
      </c>
      <c r="E3951" s="12" t="s">
        <v>4971</v>
      </c>
      <c r="F3951" s="49">
        <v>89740</v>
      </c>
      <c r="G3951" s="77" t="s">
        <v>6454</v>
      </c>
      <c r="H3951" s="14" t="s">
        <v>5601</v>
      </c>
      <c r="I3951" s="14" t="s">
        <v>2458</v>
      </c>
      <c r="J3951" s="33" t="s">
        <v>7110</v>
      </c>
      <c r="K3951" s="33" t="s">
        <v>12404</v>
      </c>
      <c r="L3951" s="53" t="s">
        <v>6054</v>
      </c>
      <c r="M3951" s="68" t="s">
        <v>8912</v>
      </c>
      <c r="N3951" s="53" t="s">
        <v>6076</v>
      </c>
      <c r="O3951" s="53">
        <v>55301</v>
      </c>
      <c r="P3951" s="198" t="s">
        <v>9768</v>
      </c>
    </row>
    <row r="3952" spans="1:16" ht="18.75" hidden="1">
      <c r="A3952" s="50" t="s">
        <v>10151</v>
      </c>
      <c r="B3952" s="50" t="s">
        <v>12043</v>
      </c>
      <c r="C3952" s="50" t="s">
        <v>12179</v>
      </c>
      <c r="D3952" s="12" t="s">
        <v>10024</v>
      </c>
      <c r="E3952" s="12" t="s">
        <v>4971</v>
      </c>
      <c r="F3952" s="49">
        <v>300000</v>
      </c>
      <c r="G3952" s="77" t="s">
        <v>6454</v>
      </c>
      <c r="H3952" s="14" t="s">
        <v>5601</v>
      </c>
      <c r="I3952" s="14" t="s">
        <v>2458</v>
      </c>
      <c r="J3952" s="33" t="s">
        <v>7110</v>
      </c>
      <c r="K3952" s="33" t="s">
        <v>12404</v>
      </c>
      <c r="L3952" s="53" t="s">
        <v>6054</v>
      </c>
      <c r="M3952" s="68" t="s">
        <v>8913</v>
      </c>
      <c r="N3952" s="53" t="s">
        <v>6076</v>
      </c>
      <c r="O3952" s="53">
        <v>55301</v>
      </c>
      <c r="P3952" s="198" t="s">
        <v>9789</v>
      </c>
    </row>
    <row r="3953" spans="1:16" ht="18.75" hidden="1">
      <c r="A3953" s="50" t="s">
        <v>10152</v>
      </c>
      <c r="B3953" s="50" t="s">
        <v>10015</v>
      </c>
      <c r="C3953" s="50" t="s">
        <v>10023</v>
      </c>
      <c r="D3953" s="12" t="s">
        <v>10024</v>
      </c>
      <c r="E3953" s="12" t="s">
        <v>4971</v>
      </c>
      <c r="F3953" s="49">
        <v>214280</v>
      </c>
      <c r="G3953" s="77" t="s">
        <v>6454</v>
      </c>
      <c r="H3953" s="14" t="s">
        <v>5601</v>
      </c>
      <c r="I3953" s="14" t="s">
        <v>2458</v>
      </c>
      <c r="J3953" s="33" t="s">
        <v>7110</v>
      </c>
      <c r="K3953" s="33" t="s">
        <v>12404</v>
      </c>
      <c r="L3953" s="53" t="s">
        <v>6054</v>
      </c>
      <c r="M3953" s="68" t="s">
        <v>8913</v>
      </c>
      <c r="N3953" s="53" t="s">
        <v>6076</v>
      </c>
      <c r="O3953" s="53">
        <v>55301</v>
      </c>
      <c r="P3953" s="198" t="s">
        <v>9789</v>
      </c>
    </row>
    <row r="3954" spans="1:16" ht="18.75" hidden="1">
      <c r="A3954" s="50" t="s">
        <v>10153</v>
      </c>
      <c r="B3954" s="50" t="s">
        <v>9935</v>
      </c>
      <c r="C3954" s="50" t="s">
        <v>12180</v>
      </c>
      <c r="D3954" s="12" t="s">
        <v>10052</v>
      </c>
      <c r="E3954" s="12" t="s">
        <v>4971</v>
      </c>
      <c r="F3954" s="49">
        <v>23020</v>
      </c>
      <c r="G3954" s="77" t="s">
        <v>6300</v>
      </c>
      <c r="H3954" s="14" t="s">
        <v>5601</v>
      </c>
      <c r="I3954" s="14" t="s">
        <v>2458</v>
      </c>
      <c r="J3954" s="33" t="s">
        <v>7110</v>
      </c>
      <c r="K3954" s="33" t="s">
        <v>12404</v>
      </c>
      <c r="L3954" s="53" t="s">
        <v>6051</v>
      </c>
      <c r="M3954" s="68" t="s">
        <v>8912</v>
      </c>
      <c r="N3954" s="53" t="s">
        <v>12405</v>
      </c>
      <c r="O3954" s="53">
        <v>55105</v>
      </c>
      <c r="P3954" s="198" t="s">
        <v>9794</v>
      </c>
    </row>
    <row r="3955" spans="1:16" ht="18.75" hidden="1">
      <c r="A3955" s="50" t="s">
        <v>10152</v>
      </c>
      <c r="B3955" s="50" t="s">
        <v>10015</v>
      </c>
      <c r="C3955" s="50" t="s">
        <v>10009</v>
      </c>
      <c r="D3955" s="12" t="s">
        <v>9962</v>
      </c>
      <c r="E3955" s="12" t="s">
        <v>4971</v>
      </c>
      <c r="F3955" s="49">
        <v>325120</v>
      </c>
      <c r="G3955" s="77" t="s">
        <v>6454</v>
      </c>
      <c r="H3955" s="14" t="s">
        <v>5601</v>
      </c>
      <c r="I3955" s="14" t="s">
        <v>2458</v>
      </c>
      <c r="J3955" s="33" t="s">
        <v>7110</v>
      </c>
      <c r="K3955" s="33" t="s">
        <v>12404</v>
      </c>
      <c r="L3955" s="53" t="s">
        <v>6054</v>
      </c>
      <c r="M3955" s="68" t="s">
        <v>8913</v>
      </c>
      <c r="N3955" s="53" t="s">
        <v>6076</v>
      </c>
      <c r="O3955" s="53">
        <v>55301</v>
      </c>
      <c r="P3955" s="198" t="s">
        <v>9768</v>
      </c>
    </row>
    <row r="3956" spans="1:16" ht="18.75" hidden="1">
      <c r="A3956" s="50" t="s">
        <v>10151</v>
      </c>
      <c r="B3956" s="50" t="s">
        <v>12043</v>
      </c>
      <c r="C3956" s="50" t="s">
        <v>12181</v>
      </c>
      <c r="D3956" s="12" t="s">
        <v>10024</v>
      </c>
      <c r="E3956" s="12" t="s">
        <v>4971</v>
      </c>
      <c r="F3956" s="49">
        <v>42480</v>
      </c>
      <c r="G3956" s="77" t="s">
        <v>6454</v>
      </c>
      <c r="H3956" s="14" t="s">
        <v>5601</v>
      </c>
      <c r="I3956" s="14" t="s">
        <v>2458</v>
      </c>
      <c r="J3956" s="33" t="s">
        <v>7110</v>
      </c>
      <c r="K3956" s="33" t="s">
        <v>12404</v>
      </c>
      <c r="L3956" s="53" t="s">
        <v>6054</v>
      </c>
      <c r="M3956" s="68" t="s">
        <v>8913</v>
      </c>
      <c r="N3956" s="53" t="s">
        <v>6076</v>
      </c>
      <c r="O3956" s="53">
        <v>55301</v>
      </c>
      <c r="P3956" s="198" t="s">
        <v>9789</v>
      </c>
    </row>
    <row r="3957" spans="1:16" ht="18.75" hidden="1">
      <c r="A3957" s="50" t="s">
        <v>10154</v>
      </c>
      <c r="B3957" s="50" t="s">
        <v>10012</v>
      </c>
      <c r="C3957" s="50" t="s">
        <v>12180</v>
      </c>
      <c r="D3957" s="12" t="s">
        <v>10052</v>
      </c>
      <c r="E3957" s="12" t="s">
        <v>4971</v>
      </c>
      <c r="F3957" s="49">
        <v>23440</v>
      </c>
      <c r="G3957" s="77" t="s">
        <v>6300</v>
      </c>
      <c r="H3957" s="14" t="s">
        <v>5601</v>
      </c>
      <c r="I3957" s="14" t="s">
        <v>2458</v>
      </c>
      <c r="J3957" s="33" t="s">
        <v>7110</v>
      </c>
      <c r="K3957" s="33" t="s">
        <v>12404</v>
      </c>
      <c r="L3957" s="53" t="s">
        <v>6051</v>
      </c>
      <c r="M3957" s="68" t="s">
        <v>8912</v>
      </c>
      <c r="N3957" s="53" t="s">
        <v>12405</v>
      </c>
      <c r="O3957" s="53">
        <v>55105</v>
      </c>
      <c r="P3957" s="198" t="s">
        <v>9794</v>
      </c>
    </row>
    <row r="3958" spans="1:16" ht="18.75" hidden="1">
      <c r="A3958" s="50" t="s">
        <v>10155</v>
      </c>
      <c r="B3958" s="50" t="s">
        <v>12043</v>
      </c>
      <c r="C3958" s="50" t="s">
        <v>12180</v>
      </c>
      <c r="D3958" s="12" t="s">
        <v>10052</v>
      </c>
      <c r="E3958" s="12" t="s">
        <v>4971</v>
      </c>
      <c r="F3958" s="49">
        <v>48320</v>
      </c>
      <c r="G3958" s="77" t="s">
        <v>6300</v>
      </c>
      <c r="H3958" s="14" t="s">
        <v>5601</v>
      </c>
      <c r="I3958" s="14" t="s">
        <v>2458</v>
      </c>
      <c r="J3958" s="33" t="s">
        <v>7110</v>
      </c>
      <c r="K3958" s="33" t="s">
        <v>12404</v>
      </c>
      <c r="L3958" s="53" t="s">
        <v>6051</v>
      </c>
      <c r="M3958" s="68" t="s">
        <v>8912</v>
      </c>
      <c r="N3958" s="53" t="s">
        <v>12405</v>
      </c>
      <c r="O3958" s="53">
        <v>55105</v>
      </c>
      <c r="P3958" s="198" t="s">
        <v>9794</v>
      </c>
    </row>
    <row r="3959" spans="1:16" ht="18.75" hidden="1">
      <c r="A3959" s="50" t="s">
        <v>10156</v>
      </c>
      <c r="B3959" s="50" t="s">
        <v>12043</v>
      </c>
      <c r="C3959" s="50" t="s">
        <v>12182</v>
      </c>
      <c r="D3959" s="12" t="s">
        <v>8911</v>
      </c>
      <c r="E3959" s="12" t="s">
        <v>4971</v>
      </c>
      <c r="F3959" s="49">
        <v>298330</v>
      </c>
      <c r="G3959" s="77" t="s">
        <v>6298</v>
      </c>
      <c r="H3959" s="14" t="s">
        <v>5601</v>
      </c>
      <c r="I3959" s="14" t="s">
        <v>2458</v>
      </c>
      <c r="J3959" s="33" t="s">
        <v>7110</v>
      </c>
      <c r="K3959" s="33" t="s">
        <v>12404</v>
      </c>
      <c r="L3959" s="53" t="s">
        <v>6054</v>
      </c>
      <c r="M3959" s="68" t="s">
        <v>8912</v>
      </c>
      <c r="N3959" s="53" t="s">
        <v>6285</v>
      </c>
      <c r="O3959" s="53">
        <v>55200</v>
      </c>
      <c r="P3959" s="198" t="s">
        <v>8698</v>
      </c>
    </row>
    <row r="3960" spans="1:16" ht="18.75" hidden="1">
      <c r="A3960" s="50" t="s">
        <v>10157</v>
      </c>
      <c r="B3960" s="50" t="s">
        <v>10012</v>
      </c>
      <c r="C3960" s="50" t="s">
        <v>10005</v>
      </c>
      <c r="D3960" s="12" t="s">
        <v>8833</v>
      </c>
      <c r="E3960" s="12" t="s">
        <v>4971</v>
      </c>
      <c r="F3960" s="49">
        <v>46420</v>
      </c>
      <c r="G3960" s="77" t="s">
        <v>6298</v>
      </c>
      <c r="H3960" s="14" t="s">
        <v>5601</v>
      </c>
      <c r="I3960" s="14" t="s">
        <v>2458</v>
      </c>
      <c r="J3960" s="33" t="s">
        <v>7110</v>
      </c>
      <c r="K3960" s="33" t="s">
        <v>12404</v>
      </c>
      <c r="L3960" s="53" t="s">
        <v>6054</v>
      </c>
      <c r="M3960" s="68" t="s">
        <v>8912</v>
      </c>
      <c r="N3960" s="53" t="s">
        <v>6076</v>
      </c>
      <c r="O3960" s="53">
        <v>55301</v>
      </c>
      <c r="P3960" s="198" t="s">
        <v>8698</v>
      </c>
    </row>
    <row r="3961" spans="1:16" ht="18.75" hidden="1">
      <c r="A3961" s="50" t="s">
        <v>10158</v>
      </c>
      <c r="B3961" s="50" t="s">
        <v>12043</v>
      </c>
      <c r="C3961" s="50" t="s">
        <v>10031</v>
      </c>
      <c r="D3961" s="12" t="s">
        <v>8846</v>
      </c>
      <c r="E3961" s="12" t="s">
        <v>4971</v>
      </c>
      <c r="F3961" s="49">
        <v>270</v>
      </c>
      <c r="G3961" s="77" t="s">
        <v>6298</v>
      </c>
      <c r="H3961" s="14" t="s">
        <v>5601</v>
      </c>
      <c r="I3961" s="14" t="s">
        <v>2458</v>
      </c>
      <c r="J3961" s="33" t="s">
        <v>7110</v>
      </c>
      <c r="K3961" s="33" t="s">
        <v>12404</v>
      </c>
      <c r="L3961" s="53" t="s">
        <v>6054</v>
      </c>
      <c r="M3961" s="68" t="s">
        <v>8912</v>
      </c>
      <c r="N3961" s="53" t="s">
        <v>6076</v>
      </c>
      <c r="O3961" s="53">
        <v>55301</v>
      </c>
      <c r="P3961" s="198" t="s">
        <v>8698</v>
      </c>
    </row>
    <row r="3962" spans="1:16" ht="18.75" hidden="1">
      <c r="A3962" s="50" t="s">
        <v>10159</v>
      </c>
      <c r="B3962" s="50" t="s">
        <v>9935</v>
      </c>
      <c r="C3962" s="50" t="s">
        <v>10005</v>
      </c>
      <c r="D3962" s="12" t="s">
        <v>8833</v>
      </c>
      <c r="E3962" s="12" t="s">
        <v>4971</v>
      </c>
      <c r="F3962" s="49">
        <v>99930</v>
      </c>
      <c r="G3962" s="77" t="s">
        <v>6298</v>
      </c>
      <c r="H3962" s="14" t="s">
        <v>5601</v>
      </c>
      <c r="I3962" s="14" t="s">
        <v>2458</v>
      </c>
      <c r="J3962" s="33" t="s">
        <v>7110</v>
      </c>
      <c r="K3962" s="33" t="s">
        <v>12404</v>
      </c>
      <c r="L3962" s="53" t="s">
        <v>6054</v>
      </c>
      <c r="M3962" s="68" t="s">
        <v>8912</v>
      </c>
      <c r="N3962" s="53" t="s">
        <v>9836</v>
      </c>
      <c r="O3962" s="53">
        <v>55112</v>
      </c>
      <c r="P3962" s="198" t="s">
        <v>8698</v>
      </c>
    </row>
    <row r="3963" spans="1:16" ht="18.75" hidden="1">
      <c r="A3963" s="50" t="s">
        <v>10160</v>
      </c>
      <c r="B3963" s="50" t="s">
        <v>10015</v>
      </c>
      <c r="C3963" s="50" t="s">
        <v>10009</v>
      </c>
      <c r="D3963" s="12" t="s">
        <v>9962</v>
      </c>
      <c r="E3963" s="12" t="s">
        <v>4971</v>
      </c>
      <c r="F3963" s="49">
        <v>72600</v>
      </c>
      <c r="G3963" s="77" t="s">
        <v>6454</v>
      </c>
      <c r="H3963" s="14" t="s">
        <v>5601</v>
      </c>
      <c r="I3963" s="14" t="s">
        <v>2458</v>
      </c>
      <c r="J3963" s="33" t="s">
        <v>7110</v>
      </c>
      <c r="K3963" s="33" t="s">
        <v>12404</v>
      </c>
      <c r="L3963" s="53" t="s">
        <v>6054</v>
      </c>
      <c r="M3963" s="68" t="s">
        <v>8913</v>
      </c>
      <c r="N3963" s="53" t="s">
        <v>9836</v>
      </c>
      <c r="O3963" s="53">
        <v>55112</v>
      </c>
      <c r="P3963" s="198" t="s">
        <v>9768</v>
      </c>
    </row>
    <row r="3964" spans="1:16" ht="18.75" hidden="1">
      <c r="A3964" s="50" t="s">
        <v>10161</v>
      </c>
      <c r="B3964" s="50" t="s">
        <v>10008</v>
      </c>
      <c r="C3964" s="50" t="s">
        <v>10002</v>
      </c>
      <c r="D3964" s="12" t="s">
        <v>9835</v>
      </c>
      <c r="E3964" s="12" t="s">
        <v>4971</v>
      </c>
      <c r="F3964" s="49">
        <v>73220</v>
      </c>
      <c r="G3964" s="77" t="s">
        <v>6454</v>
      </c>
      <c r="H3964" s="14" t="s">
        <v>5601</v>
      </c>
      <c r="I3964" s="14" t="s">
        <v>2458</v>
      </c>
      <c r="J3964" s="33" t="s">
        <v>7110</v>
      </c>
      <c r="K3964" s="33" t="s">
        <v>12404</v>
      </c>
      <c r="L3964" s="53" t="s">
        <v>6054</v>
      </c>
      <c r="M3964" s="68" t="s">
        <v>8913</v>
      </c>
      <c r="N3964" s="53" t="s">
        <v>9836</v>
      </c>
      <c r="O3964" s="53">
        <v>55112</v>
      </c>
      <c r="P3964" s="198" t="s">
        <v>9768</v>
      </c>
    </row>
    <row r="3965" spans="1:16" ht="18.75" hidden="1">
      <c r="A3965" s="50" t="s">
        <v>10162</v>
      </c>
      <c r="B3965" s="50" t="s">
        <v>12043</v>
      </c>
      <c r="C3965" s="50" t="s">
        <v>12183</v>
      </c>
      <c r="D3965" s="12" t="s">
        <v>10024</v>
      </c>
      <c r="E3965" s="12" t="s">
        <v>4971</v>
      </c>
      <c r="F3965" s="49">
        <v>117140</v>
      </c>
      <c r="G3965" s="77" t="s">
        <v>6454</v>
      </c>
      <c r="H3965" s="14" t="s">
        <v>5601</v>
      </c>
      <c r="I3965" s="14" t="s">
        <v>2458</v>
      </c>
      <c r="J3965" s="33" t="s">
        <v>7110</v>
      </c>
      <c r="K3965" s="33" t="s">
        <v>12404</v>
      </c>
      <c r="L3965" s="53" t="s">
        <v>6054</v>
      </c>
      <c r="M3965" s="68" t="s">
        <v>8913</v>
      </c>
      <c r="N3965" s="53" t="s">
        <v>9836</v>
      </c>
      <c r="O3965" s="53">
        <v>55112</v>
      </c>
      <c r="P3965" s="198" t="s">
        <v>9796</v>
      </c>
    </row>
    <row r="3966" spans="1:16" ht="18.75" hidden="1">
      <c r="A3966" s="50" t="s">
        <v>10163</v>
      </c>
      <c r="B3966" s="50" t="s">
        <v>12043</v>
      </c>
      <c r="C3966" s="50" t="s">
        <v>12183</v>
      </c>
      <c r="D3966" s="12" t="s">
        <v>10024</v>
      </c>
      <c r="E3966" s="12" t="s">
        <v>4971</v>
      </c>
      <c r="F3966" s="49">
        <v>72360</v>
      </c>
      <c r="G3966" s="77" t="s">
        <v>6454</v>
      </c>
      <c r="H3966" s="14" t="s">
        <v>5601</v>
      </c>
      <c r="I3966" s="14" t="s">
        <v>2458</v>
      </c>
      <c r="J3966" s="33" t="s">
        <v>7110</v>
      </c>
      <c r="K3966" s="33" t="s">
        <v>12404</v>
      </c>
      <c r="L3966" s="53" t="s">
        <v>6054</v>
      </c>
      <c r="M3966" s="68" t="s">
        <v>8913</v>
      </c>
      <c r="N3966" s="53" t="s">
        <v>6286</v>
      </c>
      <c r="O3966" s="53">
        <v>55107</v>
      </c>
      <c r="P3966" s="198" t="s">
        <v>9796</v>
      </c>
    </row>
    <row r="3967" spans="1:16" ht="18.75" hidden="1">
      <c r="A3967" s="50" t="s">
        <v>10164</v>
      </c>
      <c r="B3967" s="50" t="s">
        <v>10008</v>
      </c>
      <c r="C3967" s="50" t="s">
        <v>10009</v>
      </c>
      <c r="D3967" s="12" t="s">
        <v>9962</v>
      </c>
      <c r="E3967" s="12" t="s">
        <v>4971</v>
      </c>
      <c r="F3967" s="49">
        <v>24400</v>
      </c>
      <c r="G3967" s="77" t="s">
        <v>6454</v>
      </c>
      <c r="H3967" s="14" t="s">
        <v>5601</v>
      </c>
      <c r="I3967" s="14" t="s">
        <v>2458</v>
      </c>
      <c r="J3967" s="33" t="s">
        <v>7110</v>
      </c>
      <c r="K3967" s="33" t="s">
        <v>12404</v>
      </c>
      <c r="L3967" s="53" t="s">
        <v>6054</v>
      </c>
      <c r="M3967" s="68" t="s">
        <v>8912</v>
      </c>
      <c r="N3967" s="53" t="s">
        <v>6286</v>
      </c>
      <c r="O3967" s="53">
        <v>55107</v>
      </c>
      <c r="P3967" s="198" t="s">
        <v>9768</v>
      </c>
    </row>
    <row r="3968" spans="1:16" ht="18.75" hidden="1">
      <c r="A3968" s="50" t="s">
        <v>10158</v>
      </c>
      <c r="B3968" s="50" t="s">
        <v>12043</v>
      </c>
      <c r="C3968" s="50" t="s">
        <v>12182</v>
      </c>
      <c r="D3968" s="12" t="s">
        <v>8911</v>
      </c>
      <c r="E3968" s="12" t="s">
        <v>4971</v>
      </c>
      <c r="F3968" s="49">
        <v>69650</v>
      </c>
      <c r="G3968" s="77" t="s">
        <v>6298</v>
      </c>
      <c r="H3968" s="14" t="s">
        <v>5601</v>
      </c>
      <c r="I3968" s="14" t="s">
        <v>2458</v>
      </c>
      <c r="J3968" s="33" t="s">
        <v>7110</v>
      </c>
      <c r="K3968" s="33" t="s">
        <v>12404</v>
      </c>
      <c r="L3968" s="53" t="s">
        <v>6054</v>
      </c>
      <c r="M3968" s="68" t="s">
        <v>8912</v>
      </c>
      <c r="N3968" s="53" t="s">
        <v>6076</v>
      </c>
      <c r="O3968" s="53">
        <v>55301</v>
      </c>
      <c r="P3968" s="198" t="s">
        <v>8698</v>
      </c>
    </row>
    <row r="3969" spans="1:16" ht="18.75" hidden="1">
      <c r="A3969" s="50" t="s">
        <v>10165</v>
      </c>
      <c r="B3969" s="50" t="s">
        <v>10008</v>
      </c>
      <c r="C3969" s="50" t="s">
        <v>10002</v>
      </c>
      <c r="D3969" s="12" t="s">
        <v>9835</v>
      </c>
      <c r="E3969" s="12" t="s">
        <v>4971</v>
      </c>
      <c r="F3969" s="49">
        <v>99320</v>
      </c>
      <c r="G3969" s="77" t="s">
        <v>6454</v>
      </c>
      <c r="H3969" s="14" t="s">
        <v>5601</v>
      </c>
      <c r="I3969" s="14" t="s">
        <v>2458</v>
      </c>
      <c r="J3969" s="33" t="s">
        <v>7110</v>
      </c>
      <c r="K3969" s="33" t="s">
        <v>12404</v>
      </c>
      <c r="L3969" s="53" t="s">
        <v>6054</v>
      </c>
      <c r="M3969" s="68" t="s">
        <v>8913</v>
      </c>
      <c r="N3969" s="53" t="s">
        <v>6286</v>
      </c>
      <c r="O3969" s="53">
        <v>55107</v>
      </c>
      <c r="P3969" s="198" t="s">
        <v>9768</v>
      </c>
    </row>
    <row r="3970" spans="1:16" ht="18.75" hidden="1">
      <c r="A3970" s="50" t="s">
        <v>10166</v>
      </c>
      <c r="B3970" s="50" t="s">
        <v>10012</v>
      </c>
      <c r="C3970" s="50" t="s">
        <v>10025</v>
      </c>
      <c r="D3970" s="12" t="s">
        <v>9997</v>
      </c>
      <c r="E3970" s="12" t="s">
        <v>4971</v>
      </c>
      <c r="F3970" s="49">
        <v>239200</v>
      </c>
      <c r="G3970" s="77" t="s">
        <v>6454</v>
      </c>
      <c r="H3970" s="14" t="s">
        <v>5601</v>
      </c>
      <c r="I3970" s="14" t="s">
        <v>2458</v>
      </c>
      <c r="J3970" s="33" t="s">
        <v>7110</v>
      </c>
      <c r="K3970" s="33" t="s">
        <v>12404</v>
      </c>
      <c r="L3970" s="53" t="s">
        <v>6054</v>
      </c>
      <c r="M3970" s="68" t="s">
        <v>8913</v>
      </c>
      <c r="N3970" s="53" t="s">
        <v>6076</v>
      </c>
      <c r="O3970" s="53">
        <v>55301</v>
      </c>
      <c r="P3970" s="198" t="s">
        <v>9796</v>
      </c>
    </row>
    <row r="3971" spans="1:16" ht="18.75" hidden="1">
      <c r="A3971" s="50" t="s">
        <v>10151</v>
      </c>
      <c r="B3971" s="50" t="s">
        <v>12043</v>
      </c>
      <c r="C3971" s="50" t="s">
        <v>10025</v>
      </c>
      <c r="D3971" s="12" t="s">
        <v>9997</v>
      </c>
      <c r="E3971" s="12" t="s">
        <v>4971</v>
      </c>
      <c r="F3971" s="49">
        <v>86260</v>
      </c>
      <c r="G3971" s="77" t="s">
        <v>6454</v>
      </c>
      <c r="H3971" s="14" t="s">
        <v>5601</v>
      </c>
      <c r="I3971" s="14" t="s">
        <v>2458</v>
      </c>
      <c r="J3971" s="33" t="s">
        <v>7110</v>
      </c>
      <c r="K3971" s="33" t="s">
        <v>12404</v>
      </c>
      <c r="L3971" s="53" t="s">
        <v>6054</v>
      </c>
      <c r="M3971" s="68" t="s">
        <v>8913</v>
      </c>
      <c r="N3971" s="53" t="s">
        <v>6076</v>
      </c>
      <c r="O3971" s="53">
        <v>55301</v>
      </c>
      <c r="P3971" s="198" t="s">
        <v>9796</v>
      </c>
    </row>
    <row r="3972" spans="1:16" ht="18.75" hidden="1">
      <c r="A3972" s="50" t="s">
        <v>10167</v>
      </c>
      <c r="B3972" s="50" t="s">
        <v>9935</v>
      </c>
      <c r="C3972" s="50" t="s">
        <v>10025</v>
      </c>
      <c r="D3972" s="12" t="s">
        <v>9997</v>
      </c>
      <c r="E3972" s="12" t="s">
        <v>4971</v>
      </c>
      <c r="F3972" s="49">
        <v>336500</v>
      </c>
      <c r="G3972" s="77" t="s">
        <v>6454</v>
      </c>
      <c r="H3972" s="14" t="s">
        <v>5601</v>
      </c>
      <c r="I3972" s="14" t="s">
        <v>2458</v>
      </c>
      <c r="J3972" s="33" t="s">
        <v>7110</v>
      </c>
      <c r="K3972" s="33" t="s">
        <v>12404</v>
      </c>
      <c r="L3972" s="53" t="s">
        <v>6054</v>
      </c>
      <c r="M3972" s="68" t="s">
        <v>8912</v>
      </c>
      <c r="N3972" s="53" t="s">
        <v>6076</v>
      </c>
      <c r="O3972" s="53">
        <v>55301</v>
      </c>
      <c r="P3972" s="198" t="s">
        <v>9796</v>
      </c>
    </row>
    <row r="3973" spans="1:16" ht="18.75" hidden="1">
      <c r="A3973" s="50" t="s">
        <v>10168</v>
      </c>
      <c r="B3973" s="50" t="s">
        <v>9995</v>
      </c>
      <c r="C3973" s="50" t="s">
        <v>10017</v>
      </c>
      <c r="D3973" s="12" t="s">
        <v>8770</v>
      </c>
      <c r="E3973" s="12" t="s">
        <v>4971</v>
      </c>
      <c r="F3973" s="49">
        <v>112875</v>
      </c>
      <c r="G3973" s="77" t="s">
        <v>8859</v>
      </c>
      <c r="H3973" s="14" t="s">
        <v>5601</v>
      </c>
      <c r="I3973" s="14" t="s">
        <v>2458</v>
      </c>
      <c r="J3973" s="33" t="s">
        <v>7110</v>
      </c>
      <c r="K3973" s="33" t="s">
        <v>12404</v>
      </c>
      <c r="L3973" s="53" t="s">
        <v>6051</v>
      </c>
      <c r="M3973" s="68" t="s">
        <v>8912</v>
      </c>
      <c r="N3973" s="53" t="s">
        <v>12405</v>
      </c>
      <c r="O3973" s="53">
        <v>55105</v>
      </c>
      <c r="P3973" s="198" t="s">
        <v>5854</v>
      </c>
    </row>
    <row r="3974" spans="1:16" ht="18.75" hidden="1">
      <c r="A3974" s="50" t="s">
        <v>10168</v>
      </c>
      <c r="B3974" s="50" t="s">
        <v>9995</v>
      </c>
      <c r="C3974" s="50" t="s">
        <v>12180</v>
      </c>
      <c r="D3974" s="12" t="s">
        <v>10052</v>
      </c>
      <c r="E3974" s="12" t="s">
        <v>4971</v>
      </c>
      <c r="F3974" s="49">
        <v>3195</v>
      </c>
      <c r="G3974" s="77" t="s">
        <v>6300</v>
      </c>
      <c r="H3974" s="14" t="s">
        <v>5601</v>
      </c>
      <c r="I3974" s="14" t="s">
        <v>2458</v>
      </c>
      <c r="J3974" s="33" t="s">
        <v>7110</v>
      </c>
      <c r="K3974" s="33" t="s">
        <v>12404</v>
      </c>
      <c r="L3974" s="53" t="s">
        <v>6051</v>
      </c>
      <c r="M3974" s="68" t="s">
        <v>8912</v>
      </c>
      <c r="N3974" s="53" t="s">
        <v>12405</v>
      </c>
      <c r="O3974" s="53">
        <v>55105</v>
      </c>
      <c r="P3974" s="198" t="s">
        <v>9794</v>
      </c>
    </row>
    <row r="3975" spans="1:16" ht="18.75" hidden="1">
      <c r="A3975" s="50" t="s">
        <v>10169</v>
      </c>
      <c r="B3975" s="50" t="s">
        <v>9935</v>
      </c>
      <c r="C3975" s="50" t="s">
        <v>10025</v>
      </c>
      <c r="D3975" s="12" t="s">
        <v>9997</v>
      </c>
      <c r="E3975" s="12" t="s">
        <v>4971</v>
      </c>
      <c r="F3975" s="49">
        <v>45760</v>
      </c>
      <c r="G3975" s="77" t="s">
        <v>6454</v>
      </c>
      <c r="H3975" s="14" t="s">
        <v>5601</v>
      </c>
      <c r="I3975" s="14" t="s">
        <v>2458</v>
      </c>
      <c r="J3975" s="33" t="s">
        <v>7110</v>
      </c>
      <c r="K3975" s="33" t="s">
        <v>12404</v>
      </c>
      <c r="L3975" s="53" t="s">
        <v>6054</v>
      </c>
      <c r="M3975" s="68" t="s">
        <v>8913</v>
      </c>
      <c r="N3975" s="53" t="s">
        <v>6286</v>
      </c>
      <c r="O3975" s="53">
        <v>55107</v>
      </c>
      <c r="P3975" s="198" t="s">
        <v>9796</v>
      </c>
    </row>
    <row r="3976" spans="1:16" ht="18.75" hidden="1">
      <c r="A3976" s="50" t="s">
        <v>10170</v>
      </c>
      <c r="B3976" s="50" t="s">
        <v>10028</v>
      </c>
      <c r="C3976" s="50" t="s">
        <v>10040</v>
      </c>
      <c r="D3976" s="12" t="s">
        <v>9830</v>
      </c>
      <c r="E3976" s="12" t="s">
        <v>4971</v>
      </c>
      <c r="F3976" s="49">
        <v>125370</v>
      </c>
      <c r="G3976" s="77" t="s">
        <v>6454</v>
      </c>
      <c r="H3976" s="14" t="s">
        <v>5601</v>
      </c>
      <c r="I3976" s="14" t="s">
        <v>2458</v>
      </c>
      <c r="J3976" s="33" t="s">
        <v>7110</v>
      </c>
      <c r="K3976" s="33" t="s">
        <v>12404</v>
      </c>
      <c r="L3976" s="53" t="s">
        <v>6054</v>
      </c>
      <c r="M3976" s="68" t="s">
        <v>8912</v>
      </c>
      <c r="N3976" s="53" t="s">
        <v>6285</v>
      </c>
      <c r="O3976" s="53">
        <v>55200</v>
      </c>
      <c r="P3976" s="198" t="s">
        <v>9768</v>
      </c>
    </row>
    <row r="3977" spans="1:16" ht="18.75" hidden="1">
      <c r="A3977" s="50" t="s">
        <v>10172</v>
      </c>
      <c r="B3977" s="50" t="s">
        <v>10024</v>
      </c>
      <c r="C3977" s="50" t="s">
        <v>10045</v>
      </c>
      <c r="D3977" s="12" t="s">
        <v>8764</v>
      </c>
      <c r="E3977" s="12" t="s">
        <v>4971</v>
      </c>
      <c r="F3977" s="49">
        <v>67979</v>
      </c>
      <c r="G3977" s="77" t="s">
        <v>6298</v>
      </c>
      <c r="H3977" s="14" t="s">
        <v>5601</v>
      </c>
      <c r="I3977" s="14" t="s">
        <v>2458</v>
      </c>
      <c r="J3977" s="33" t="s">
        <v>7110</v>
      </c>
      <c r="K3977" s="33" t="s">
        <v>12404</v>
      </c>
      <c r="L3977" s="53" t="s">
        <v>6054</v>
      </c>
      <c r="M3977" s="68" t="s">
        <v>8912</v>
      </c>
      <c r="N3977" s="53" t="s">
        <v>9836</v>
      </c>
      <c r="O3977" s="53">
        <v>55112</v>
      </c>
      <c r="P3977" s="198" t="s">
        <v>7273</v>
      </c>
    </row>
    <row r="3978" spans="1:16" ht="18.75" hidden="1">
      <c r="A3978" s="50" t="s">
        <v>10172</v>
      </c>
      <c r="B3978" s="50" t="s">
        <v>10024</v>
      </c>
      <c r="C3978" s="50" t="s">
        <v>10060</v>
      </c>
      <c r="D3978" s="12" t="s">
        <v>8793</v>
      </c>
      <c r="E3978" s="12" t="s">
        <v>4971</v>
      </c>
      <c r="F3978" s="49">
        <v>50561</v>
      </c>
      <c r="G3978" s="77" t="s">
        <v>6298</v>
      </c>
      <c r="H3978" s="14" t="s">
        <v>5601</v>
      </c>
      <c r="I3978" s="14" t="s">
        <v>2458</v>
      </c>
      <c r="J3978" s="33" t="s">
        <v>7110</v>
      </c>
      <c r="K3978" s="33" t="s">
        <v>12404</v>
      </c>
      <c r="L3978" s="53" t="s">
        <v>6054</v>
      </c>
      <c r="M3978" s="68" t="s">
        <v>8912</v>
      </c>
      <c r="N3978" s="53" t="s">
        <v>9836</v>
      </c>
      <c r="O3978" s="53">
        <v>55112</v>
      </c>
      <c r="P3978" s="198" t="s">
        <v>7273</v>
      </c>
    </row>
    <row r="3979" spans="1:16" ht="18.75" hidden="1">
      <c r="A3979" s="50" t="s">
        <v>10172</v>
      </c>
      <c r="B3979" s="50" t="s">
        <v>10024</v>
      </c>
      <c r="C3979" s="50" t="s">
        <v>10040</v>
      </c>
      <c r="D3979" s="12" t="s">
        <v>9830</v>
      </c>
      <c r="E3979" s="12" t="s">
        <v>4971</v>
      </c>
      <c r="F3979" s="49">
        <v>1000</v>
      </c>
      <c r="G3979" s="77" t="s">
        <v>6454</v>
      </c>
      <c r="H3979" s="14" t="s">
        <v>5601</v>
      </c>
      <c r="I3979" s="14" t="s">
        <v>2458</v>
      </c>
      <c r="J3979" s="33" t="s">
        <v>7110</v>
      </c>
      <c r="K3979" s="33" t="s">
        <v>12404</v>
      </c>
      <c r="L3979" s="53" t="s">
        <v>6054</v>
      </c>
      <c r="M3979" s="68" t="s">
        <v>8912</v>
      </c>
      <c r="N3979" s="53" t="s">
        <v>9836</v>
      </c>
      <c r="O3979" s="53">
        <v>55112</v>
      </c>
      <c r="P3979" s="198" t="s">
        <v>9768</v>
      </c>
    </row>
    <row r="3980" spans="1:16" ht="18.75" hidden="1">
      <c r="A3980" s="50" t="s">
        <v>10173</v>
      </c>
      <c r="B3980" s="50" t="s">
        <v>10052</v>
      </c>
      <c r="C3980" s="50" t="s">
        <v>10053</v>
      </c>
      <c r="D3980" s="12" t="s">
        <v>8793</v>
      </c>
      <c r="E3980" s="12" t="s">
        <v>4971</v>
      </c>
      <c r="F3980" s="49">
        <v>101780</v>
      </c>
      <c r="G3980" s="77" t="s">
        <v>8859</v>
      </c>
      <c r="H3980" s="14" t="s">
        <v>5601</v>
      </c>
      <c r="I3980" s="14" t="s">
        <v>2458</v>
      </c>
      <c r="J3980" s="33" t="s">
        <v>7110</v>
      </c>
      <c r="K3980" s="33" t="s">
        <v>12404</v>
      </c>
      <c r="L3980" s="53" t="s">
        <v>6054</v>
      </c>
      <c r="M3980" s="68" t="s">
        <v>8912</v>
      </c>
      <c r="N3980" s="53" t="s">
        <v>6285</v>
      </c>
      <c r="O3980" s="53">
        <v>55200</v>
      </c>
      <c r="P3980" s="198" t="s">
        <v>5854</v>
      </c>
    </row>
    <row r="3981" spans="1:16" ht="18.75" hidden="1">
      <c r="A3981" s="50" t="str">
        <f>"50100-9645053"</f>
        <v>50100-9645053</v>
      </c>
      <c r="B3981" s="50" t="str">
        <f>"96/10/03"</f>
        <v>96/10/03</v>
      </c>
      <c r="C3981" s="50" t="s">
        <v>12319</v>
      </c>
      <c r="D3981" s="12" t="str">
        <f>"96/09/26"</f>
        <v>96/09/26</v>
      </c>
      <c r="E3981" s="12" t="s">
        <v>4971</v>
      </c>
      <c r="F3981" s="49">
        <v>484228</v>
      </c>
      <c r="G3981" s="77" t="str">
        <f>"AL MASAR PETROLUME L.L.C"</f>
        <v>AL MASAR PETROLUME L.L.C</v>
      </c>
      <c r="H3981" s="14" t="s">
        <v>5601</v>
      </c>
      <c r="I3981" s="14" t="s">
        <v>2458</v>
      </c>
      <c r="J3981" s="33" t="e">
        <f>VLOOKUP(C3981,شرکتها!A:B,2,FALSE)</f>
        <v>#N/A</v>
      </c>
      <c r="K3981" s="33" t="s">
        <v>12404</v>
      </c>
      <c r="L3981" s="53" t="str">
        <f>"بنگلادش"</f>
        <v>بنگلادش</v>
      </c>
      <c r="M3981" s="68" t="str">
        <f t="shared" ref="M3981:M4001" si="85">"بشكه"</f>
        <v>بشكه</v>
      </c>
      <c r="N3981" s="53" t="str">
        <f t="shared" ref="N3981:N4036" si="86">"منطقه ويژه اقتصادي شهيد رجايي"</f>
        <v>منطقه ويژه اقتصادي شهيد رجايي</v>
      </c>
      <c r="O3981" s="53">
        <v>50100</v>
      </c>
      <c r="P3981" s="198" t="s">
        <v>7211</v>
      </c>
    </row>
    <row r="3982" spans="1:16" ht="18.75" hidden="1">
      <c r="A3982" s="50" t="str">
        <f>"50100-9663182"</f>
        <v>50100-9663182</v>
      </c>
      <c r="B3982" s="50" t="str">
        <f>"96/10/07"</f>
        <v>96/10/07</v>
      </c>
      <c r="C3982" s="50" t="s">
        <v>12320</v>
      </c>
      <c r="D3982" s="12" t="str">
        <f>"96/09/14"</f>
        <v>96/09/14</v>
      </c>
      <c r="E3982" s="12" t="s">
        <v>4971</v>
      </c>
      <c r="F3982" s="49">
        <v>163332</v>
      </c>
      <c r="G3982" s="77" t="str">
        <f>"Black Gold Traders FZE"</f>
        <v>Black Gold Traders FZE</v>
      </c>
      <c r="H3982" s="14" t="s">
        <v>5601</v>
      </c>
      <c r="I3982" s="14" t="s">
        <v>2458</v>
      </c>
      <c r="J3982" s="33" t="s">
        <v>7110</v>
      </c>
      <c r="K3982" s="33" t="s">
        <v>12404</v>
      </c>
      <c r="L3982" s="53" t="str">
        <f>"بنگلادش"</f>
        <v>بنگلادش</v>
      </c>
      <c r="M3982" s="68" t="str">
        <f t="shared" si="85"/>
        <v>بشكه</v>
      </c>
      <c r="N3982" s="53" t="str">
        <f t="shared" si="86"/>
        <v>منطقه ويژه اقتصادي شهيد رجايي</v>
      </c>
      <c r="O3982" s="53">
        <v>50100</v>
      </c>
      <c r="P3982" s="198" t="s">
        <v>9771</v>
      </c>
    </row>
    <row r="3983" spans="1:16" ht="18.75" hidden="1">
      <c r="A3983" s="50" t="str">
        <f>"50100-9663182"</f>
        <v>50100-9663182</v>
      </c>
      <c r="B3983" s="50" t="str">
        <f>"96/10/07"</f>
        <v>96/10/07</v>
      </c>
      <c r="C3983" s="50" t="s">
        <v>8816</v>
      </c>
      <c r="D3983" s="12" t="str">
        <f>"96/07/19"</f>
        <v>96/07/19</v>
      </c>
      <c r="E3983" s="12" t="s">
        <v>4971</v>
      </c>
      <c r="F3983" s="49">
        <v>90283</v>
      </c>
      <c r="G3983" s="77" t="str">
        <f>"Black Gold Traders FZE"</f>
        <v>Black Gold Traders FZE</v>
      </c>
      <c r="H3983" s="14" t="s">
        <v>5601</v>
      </c>
      <c r="I3983" s="14" t="s">
        <v>2458</v>
      </c>
      <c r="J3983" s="33" t="s">
        <v>7110</v>
      </c>
      <c r="K3983" s="33" t="s">
        <v>12404</v>
      </c>
      <c r="L3983" s="53" t="str">
        <f>"بنگلادش"</f>
        <v>بنگلادش</v>
      </c>
      <c r="M3983" s="68" t="str">
        <f t="shared" si="85"/>
        <v>بشكه</v>
      </c>
      <c r="N3983" s="53" t="str">
        <f t="shared" si="86"/>
        <v>منطقه ويژه اقتصادي شهيد رجايي</v>
      </c>
      <c r="O3983" s="53">
        <v>50100</v>
      </c>
      <c r="P3983" s="198" t="s">
        <v>8080</v>
      </c>
    </row>
    <row r="3984" spans="1:16" ht="18.75" hidden="1">
      <c r="A3984" s="50" t="str">
        <f>"50100-9645053"</f>
        <v>50100-9645053</v>
      </c>
      <c r="B3984" s="50" t="str">
        <f>"96/10/03"</f>
        <v>96/10/03</v>
      </c>
      <c r="C3984" s="50" t="s">
        <v>8778</v>
      </c>
      <c r="D3984" s="12" t="str">
        <f>"96/07/11"</f>
        <v>96/07/11</v>
      </c>
      <c r="E3984" s="12" t="s">
        <v>4971</v>
      </c>
      <c r="F3984" s="49">
        <v>13100</v>
      </c>
      <c r="G3984" s="77" t="str">
        <f>"AL MASAR PETROLUME L.L.C"</f>
        <v>AL MASAR PETROLUME L.L.C</v>
      </c>
      <c r="H3984" s="14" t="s">
        <v>5601</v>
      </c>
      <c r="I3984" s="14" t="s">
        <v>2458</v>
      </c>
      <c r="J3984" s="33" t="e">
        <f>VLOOKUP(C3984,شرکتها!A:B,2,FALSE)</f>
        <v>#N/A</v>
      </c>
      <c r="K3984" s="33" t="s">
        <v>12404</v>
      </c>
      <c r="L3984" s="53" t="str">
        <f>"بنگلادش"</f>
        <v>بنگلادش</v>
      </c>
      <c r="M3984" s="68" t="str">
        <f t="shared" si="85"/>
        <v>بشكه</v>
      </c>
      <c r="N3984" s="53" t="str">
        <f t="shared" si="86"/>
        <v>منطقه ويژه اقتصادي شهيد رجايي</v>
      </c>
      <c r="O3984" s="53">
        <v>50100</v>
      </c>
      <c r="P3984" s="198" t="s">
        <v>7211</v>
      </c>
    </row>
    <row r="3985" spans="1:16" ht="18.75" hidden="1">
      <c r="A3985" s="50" t="str">
        <f>"50100-9666520"</f>
        <v>50100-9666520</v>
      </c>
      <c r="B3985" s="50" t="str">
        <f>"96/10/09"</f>
        <v>96/10/09</v>
      </c>
      <c r="C3985" s="50" t="s">
        <v>12321</v>
      </c>
      <c r="D3985" s="12" t="str">
        <f>"96/07/16"</f>
        <v>96/07/16</v>
      </c>
      <c r="E3985" s="12" t="s">
        <v>4971</v>
      </c>
      <c r="F3985" s="49">
        <v>103486</v>
      </c>
      <c r="G3985" s="77" t="str">
        <f>"LLC Sebco Bitumen"</f>
        <v>LLC Sebco Bitumen</v>
      </c>
      <c r="H3985" s="14" t="s">
        <v>5601</v>
      </c>
      <c r="I3985" s="14" t="s">
        <v>2458</v>
      </c>
      <c r="J3985" s="33" t="s">
        <v>7110</v>
      </c>
      <c r="K3985" s="33" t="s">
        <v>12404</v>
      </c>
      <c r="L3985" s="53" t="str">
        <f>"اندونزي"</f>
        <v>اندونزي</v>
      </c>
      <c r="M3985" s="68" t="str">
        <f t="shared" si="85"/>
        <v>بشكه</v>
      </c>
      <c r="N3985" s="53" t="str">
        <f t="shared" si="86"/>
        <v>منطقه ويژه اقتصادي شهيد رجايي</v>
      </c>
      <c r="O3985" s="53">
        <v>50100</v>
      </c>
      <c r="P3985" s="198" t="s">
        <v>7175</v>
      </c>
    </row>
    <row r="3986" spans="1:16" ht="18.75" hidden="1">
      <c r="A3986" s="50" t="str">
        <f>"50100-9663182"</f>
        <v>50100-9663182</v>
      </c>
      <c r="B3986" s="50" t="str">
        <f>"96/10/07"</f>
        <v>96/10/07</v>
      </c>
      <c r="C3986" s="50" t="s">
        <v>12322</v>
      </c>
      <c r="D3986" s="12" t="str">
        <f>"96/07/18"</f>
        <v>96/07/18</v>
      </c>
      <c r="E3986" s="12" t="s">
        <v>4971</v>
      </c>
      <c r="F3986" s="49">
        <v>193827</v>
      </c>
      <c r="G3986" s="77" t="str">
        <f>"Black Gold Traders FZE"</f>
        <v>Black Gold Traders FZE</v>
      </c>
      <c r="H3986" s="14" t="s">
        <v>5601</v>
      </c>
      <c r="I3986" s="14" t="s">
        <v>2458</v>
      </c>
      <c r="J3986" s="33" t="s">
        <v>7110</v>
      </c>
      <c r="K3986" s="33" t="s">
        <v>12404</v>
      </c>
      <c r="L3986" s="53" t="str">
        <f>"بنگلادش"</f>
        <v>بنگلادش</v>
      </c>
      <c r="M3986" s="68" t="str">
        <f t="shared" si="85"/>
        <v>بشكه</v>
      </c>
      <c r="N3986" s="53" t="str">
        <f t="shared" si="86"/>
        <v>منطقه ويژه اقتصادي شهيد رجايي</v>
      </c>
      <c r="O3986" s="53">
        <v>50100</v>
      </c>
      <c r="P3986" s="198" t="s">
        <v>5842</v>
      </c>
    </row>
    <row r="3987" spans="1:16" ht="18.75" hidden="1">
      <c r="A3987" s="50" t="str">
        <f>"50100-9648110"</f>
        <v>50100-9648110</v>
      </c>
      <c r="B3987" s="50" t="str">
        <f>"96/10/03"</f>
        <v>96/10/03</v>
      </c>
      <c r="C3987" s="50" t="s">
        <v>12323</v>
      </c>
      <c r="D3987" s="12" t="str">
        <f>"96/09/08"</f>
        <v>96/09/08</v>
      </c>
      <c r="E3987" s="12" t="s">
        <v>4971</v>
      </c>
      <c r="F3987" s="49">
        <v>9780</v>
      </c>
      <c r="G3987" s="77" t="str">
        <f>"SHINING GREEN STAR FZE"</f>
        <v>SHINING GREEN STAR FZE</v>
      </c>
      <c r="H3987" s="14" t="s">
        <v>5601</v>
      </c>
      <c r="I3987" s="14" t="s">
        <v>2458</v>
      </c>
      <c r="J3987" s="33" t="e">
        <f>VLOOKUP(C3987,شرکتها!A:B,2,FALSE)</f>
        <v>#N/A</v>
      </c>
      <c r="K3987" s="33" t="s">
        <v>12404</v>
      </c>
      <c r="L3987" s="53" t="str">
        <f>" ميانمار"</f>
        <v xml:space="preserve"> ميانمار</v>
      </c>
      <c r="M3987" s="68" t="str">
        <f t="shared" si="85"/>
        <v>بشكه</v>
      </c>
      <c r="N3987" s="53" t="str">
        <f t="shared" si="86"/>
        <v>منطقه ويژه اقتصادي شهيد رجايي</v>
      </c>
      <c r="O3987" s="53">
        <v>50100</v>
      </c>
      <c r="P3987" s="198" t="s">
        <v>9770</v>
      </c>
    </row>
    <row r="3988" spans="1:16" ht="18.75" hidden="1">
      <c r="A3988" s="50" t="str">
        <f>"50100-9666520"</f>
        <v>50100-9666520</v>
      </c>
      <c r="B3988" s="50" t="str">
        <f>"96/10/09"</f>
        <v>96/10/09</v>
      </c>
      <c r="C3988" s="50" t="s">
        <v>12324</v>
      </c>
      <c r="D3988" s="12" t="str">
        <f>"96/07/12"</f>
        <v>96/07/12</v>
      </c>
      <c r="E3988" s="12" t="s">
        <v>4971</v>
      </c>
      <c r="F3988" s="49">
        <v>396514</v>
      </c>
      <c r="G3988" s="77" t="str">
        <f>"LLC Sebco Bitumen"</f>
        <v>LLC Sebco Bitumen</v>
      </c>
      <c r="H3988" s="14" t="s">
        <v>5601</v>
      </c>
      <c r="I3988" s="14" t="s">
        <v>2458</v>
      </c>
      <c r="J3988" s="33" t="s">
        <v>7110</v>
      </c>
      <c r="K3988" s="33" t="s">
        <v>12404</v>
      </c>
      <c r="L3988" s="53" t="str">
        <f>"اندونزي"</f>
        <v>اندونزي</v>
      </c>
      <c r="M3988" s="68" t="str">
        <f t="shared" si="85"/>
        <v>بشكه</v>
      </c>
      <c r="N3988" s="53" t="str">
        <f t="shared" si="86"/>
        <v>منطقه ويژه اقتصادي شهيد رجايي</v>
      </c>
      <c r="O3988" s="53">
        <v>50100</v>
      </c>
      <c r="P3988" s="198" t="s">
        <v>7175</v>
      </c>
    </row>
    <row r="3989" spans="1:16" ht="18.75" hidden="1">
      <c r="A3989" s="50" t="str">
        <f>"50100-9641632"</f>
        <v>50100-9641632</v>
      </c>
      <c r="B3989" s="50" t="str">
        <f>"96/10/02"</f>
        <v>96/10/02</v>
      </c>
      <c r="C3989" s="50" t="s">
        <v>12325</v>
      </c>
      <c r="D3989" s="12" t="str">
        <f>"96/08/17"</f>
        <v>96/08/17</v>
      </c>
      <c r="E3989" s="12" t="s">
        <v>4971</v>
      </c>
      <c r="F3989" s="49">
        <v>504680</v>
      </c>
      <c r="G3989" s="77" t="str">
        <f>"DAXON PETROLEUM"</f>
        <v>DAXON PETROLEUM</v>
      </c>
      <c r="H3989" s="14" t="s">
        <v>5601</v>
      </c>
      <c r="I3989" s="14" t="s">
        <v>2458</v>
      </c>
      <c r="J3989" s="33" t="s">
        <v>7110</v>
      </c>
      <c r="K3989" s="33" t="s">
        <v>12404</v>
      </c>
      <c r="L3989" s="53" t="str">
        <f>"بنگلادش"</f>
        <v>بنگلادش</v>
      </c>
      <c r="M3989" s="68" t="str">
        <f t="shared" si="85"/>
        <v>بشكه</v>
      </c>
      <c r="N3989" s="53" t="str">
        <f t="shared" si="86"/>
        <v>منطقه ويژه اقتصادي شهيد رجايي</v>
      </c>
      <c r="O3989" s="53">
        <v>50100</v>
      </c>
      <c r="P3989" s="198" t="s">
        <v>9768</v>
      </c>
    </row>
    <row r="3990" spans="1:16" ht="18.75" hidden="1">
      <c r="A3990" s="50" t="str">
        <f>"50100-9656929"</f>
        <v>50100-9656929</v>
      </c>
      <c r="B3990" s="50" t="str">
        <f>"96/10/05"</f>
        <v>96/10/05</v>
      </c>
      <c r="C3990" s="50" t="s">
        <v>12325</v>
      </c>
      <c r="D3990" s="12" t="str">
        <f>"96/08/17"</f>
        <v>96/08/17</v>
      </c>
      <c r="E3990" s="12" t="s">
        <v>4971</v>
      </c>
      <c r="F3990" s="49">
        <v>165320</v>
      </c>
      <c r="G3990" s="77" t="str">
        <f>"DAXON PETROLEUM"</f>
        <v>DAXON PETROLEUM</v>
      </c>
      <c r="H3990" s="14" t="s">
        <v>5601</v>
      </c>
      <c r="I3990" s="14" t="s">
        <v>2458</v>
      </c>
      <c r="J3990" s="33" t="s">
        <v>7110</v>
      </c>
      <c r="K3990" s="33" t="s">
        <v>12404</v>
      </c>
      <c r="L3990" s="53" t="str">
        <f>"بنگلادش"</f>
        <v>بنگلادش</v>
      </c>
      <c r="M3990" s="68" t="str">
        <f t="shared" si="85"/>
        <v>بشكه</v>
      </c>
      <c r="N3990" s="53" t="str">
        <f t="shared" si="86"/>
        <v>منطقه ويژه اقتصادي شهيد رجايي</v>
      </c>
      <c r="O3990" s="53">
        <v>50100</v>
      </c>
      <c r="P3990" s="198" t="s">
        <v>9768</v>
      </c>
    </row>
    <row r="3991" spans="1:16" ht="18.75" hidden="1">
      <c r="A3991" s="50" t="str">
        <f>"50100-9648047"</f>
        <v>50100-9648047</v>
      </c>
      <c r="B3991" s="50" t="str">
        <f>"96/10/03"</f>
        <v>96/10/03</v>
      </c>
      <c r="C3991" s="50" t="s">
        <v>12323</v>
      </c>
      <c r="D3991" s="12" t="str">
        <f>"96/09/08"</f>
        <v>96/09/08</v>
      </c>
      <c r="E3991" s="12" t="s">
        <v>4971</v>
      </c>
      <c r="F3991" s="49">
        <v>990220</v>
      </c>
      <c r="G3991" s="77" t="str">
        <f>"SHINING GREEN STAR FZE"</f>
        <v>SHINING GREEN STAR FZE</v>
      </c>
      <c r="H3991" s="14" t="s">
        <v>5601</v>
      </c>
      <c r="I3991" s="14" t="s">
        <v>2458</v>
      </c>
      <c r="J3991" s="33" t="e">
        <f>VLOOKUP(C3991,شرکتها!A:B,2,FALSE)</f>
        <v>#N/A</v>
      </c>
      <c r="K3991" s="33" t="s">
        <v>12404</v>
      </c>
      <c r="L3991" s="53" t="str">
        <f>" ميانمار"</f>
        <v xml:space="preserve"> ميانمار</v>
      </c>
      <c r="M3991" s="68" t="str">
        <f t="shared" si="85"/>
        <v>بشكه</v>
      </c>
      <c r="N3991" s="53" t="str">
        <f t="shared" si="86"/>
        <v>منطقه ويژه اقتصادي شهيد رجايي</v>
      </c>
      <c r="O3991" s="53">
        <v>50100</v>
      </c>
      <c r="P3991" s="198" t="s">
        <v>9770</v>
      </c>
    </row>
    <row r="3992" spans="1:16" ht="18.75" hidden="1">
      <c r="A3992" s="50" t="str">
        <f>"50100-9656929"</f>
        <v>50100-9656929</v>
      </c>
      <c r="B3992" s="50" t="str">
        <f>"96/10/05"</f>
        <v>96/10/05</v>
      </c>
      <c r="C3992" s="50" t="s">
        <v>12326</v>
      </c>
      <c r="D3992" s="12" t="str">
        <f>"96/08/21"</f>
        <v>96/08/21</v>
      </c>
      <c r="E3992" s="12" t="s">
        <v>4971</v>
      </c>
      <c r="F3992" s="49">
        <v>193140</v>
      </c>
      <c r="G3992" s="77" t="str">
        <f>"DAXON PETROLEUM"</f>
        <v>DAXON PETROLEUM</v>
      </c>
      <c r="H3992" s="14" t="s">
        <v>5601</v>
      </c>
      <c r="I3992" s="14" t="s">
        <v>2458</v>
      </c>
      <c r="J3992" s="33" t="s">
        <v>7110</v>
      </c>
      <c r="K3992" s="33" t="s">
        <v>12404</v>
      </c>
      <c r="L3992" s="53" t="str">
        <f>"بنگلادش"</f>
        <v>بنگلادش</v>
      </c>
      <c r="M3992" s="68" t="str">
        <f t="shared" si="85"/>
        <v>بشكه</v>
      </c>
      <c r="N3992" s="53" t="str">
        <f t="shared" si="86"/>
        <v>منطقه ويژه اقتصادي شهيد رجايي</v>
      </c>
      <c r="O3992" s="53">
        <v>50100</v>
      </c>
      <c r="P3992" s="198" t="s">
        <v>9768</v>
      </c>
    </row>
    <row r="3993" spans="1:16" ht="18.75" hidden="1">
      <c r="A3993" s="50" t="str">
        <f>"50100-9656929"</f>
        <v>50100-9656929</v>
      </c>
      <c r="B3993" s="50" t="str">
        <f>"96/10/05"</f>
        <v>96/10/05</v>
      </c>
      <c r="C3993" s="50" t="s">
        <v>10109</v>
      </c>
      <c r="D3993" s="12" t="str">
        <f>"96/08/16"</f>
        <v>96/08/16</v>
      </c>
      <c r="E3993" s="12" t="s">
        <v>4971</v>
      </c>
      <c r="F3993" s="49">
        <v>146220</v>
      </c>
      <c r="G3993" s="77" t="str">
        <f>"DAXON PETROLEUM"</f>
        <v>DAXON PETROLEUM</v>
      </c>
      <c r="H3993" s="14" t="s">
        <v>5601</v>
      </c>
      <c r="I3993" s="14" t="s">
        <v>2458</v>
      </c>
      <c r="J3993" s="33" t="s">
        <v>7110</v>
      </c>
      <c r="K3993" s="33" t="s">
        <v>12404</v>
      </c>
      <c r="L3993" s="53" t="str">
        <f>"بنگلادش"</f>
        <v>بنگلادش</v>
      </c>
      <c r="M3993" s="68" t="str">
        <f t="shared" si="85"/>
        <v>بشكه</v>
      </c>
      <c r="N3993" s="53" t="str">
        <f t="shared" si="86"/>
        <v>منطقه ويژه اقتصادي شهيد رجايي</v>
      </c>
      <c r="O3993" s="53">
        <v>50100</v>
      </c>
      <c r="P3993" s="198" t="s">
        <v>9768</v>
      </c>
    </row>
    <row r="3994" spans="1:16" ht="18.75" hidden="1">
      <c r="A3994" s="50" t="str">
        <f>"50100-9670347"</f>
        <v>50100-9670347</v>
      </c>
      <c r="B3994" s="50" t="str">
        <f>"96/10/09"</f>
        <v>96/10/09</v>
      </c>
      <c r="C3994" s="50" t="s">
        <v>10117</v>
      </c>
      <c r="D3994" s="12" t="str">
        <f>"96/08/17"</f>
        <v>96/08/17</v>
      </c>
      <c r="E3994" s="12" t="s">
        <v>4971</v>
      </c>
      <c r="F3994" s="49">
        <v>5806</v>
      </c>
      <c r="G3994" s="77" t="str">
        <f>"SHINING GREEN STAR FZE"</f>
        <v>SHINING GREEN STAR FZE</v>
      </c>
      <c r="H3994" s="14" t="s">
        <v>5601</v>
      </c>
      <c r="I3994" s="14" t="s">
        <v>2458</v>
      </c>
      <c r="J3994" s="33" t="e">
        <f>VLOOKUP(C3994,شرکتها!A:B,2,FALSE)</f>
        <v>#N/A</v>
      </c>
      <c r="K3994" s="33" t="s">
        <v>12404</v>
      </c>
      <c r="L3994" s="53" t="str">
        <f>" ميانمار"</f>
        <v xml:space="preserve"> ميانمار</v>
      </c>
      <c r="M3994" s="68" t="str">
        <f t="shared" si="85"/>
        <v>بشكه</v>
      </c>
      <c r="N3994" s="53" t="str">
        <f t="shared" si="86"/>
        <v>منطقه ويژه اقتصادي شهيد رجايي</v>
      </c>
      <c r="O3994" s="53">
        <v>50100</v>
      </c>
      <c r="P3994" s="198" t="s">
        <v>9770</v>
      </c>
    </row>
    <row r="3995" spans="1:16" ht="18.75" hidden="1">
      <c r="A3995" s="50" t="str">
        <f>"50100-9663140"</f>
        <v>50100-9663140</v>
      </c>
      <c r="B3995" s="50" t="str">
        <f>"96/10/07"</f>
        <v>96/10/07</v>
      </c>
      <c r="C3995" s="50" t="s">
        <v>12327</v>
      </c>
      <c r="D3995" s="12" t="str">
        <f>"96/08/27"</f>
        <v>96/08/27</v>
      </c>
      <c r="E3995" s="12" t="s">
        <v>4971</v>
      </c>
      <c r="F3995" s="49">
        <v>287420</v>
      </c>
      <c r="G3995" s="77" t="str">
        <f>"Black Gold Traders FZE"</f>
        <v>Black Gold Traders FZE</v>
      </c>
      <c r="H3995" s="14" t="s">
        <v>5601</v>
      </c>
      <c r="I3995" s="14" t="s">
        <v>2458</v>
      </c>
      <c r="J3995" s="33" t="s">
        <v>7110</v>
      </c>
      <c r="K3995" s="33" t="s">
        <v>12404</v>
      </c>
      <c r="L3995" s="53" t="str">
        <f>"آفريقاي جنوبي"</f>
        <v>آفريقاي جنوبي</v>
      </c>
      <c r="M3995" s="68" t="str">
        <f t="shared" si="85"/>
        <v>بشكه</v>
      </c>
      <c r="N3995" s="53" t="str">
        <f t="shared" si="86"/>
        <v>منطقه ويژه اقتصادي شهيد رجايي</v>
      </c>
      <c r="O3995" s="53">
        <v>50100</v>
      </c>
      <c r="P3995" s="198" t="s">
        <v>9771</v>
      </c>
    </row>
    <row r="3996" spans="1:16" ht="18.75" hidden="1">
      <c r="A3996" s="50" t="str">
        <f>"50100-9670347"</f>
        <v>50100-9670347</v>
      </c>
      <c r="B3996" s="50" t="str">
        <f>"96/10/09"</f>
        <v>96/10/09</v>
      </c>
      <c r="C3996" s="50" t="s">
        <v>12328</v>
      </c>
      <c r="D3996" s="12" t="str">
        <f>"96/08/17"</f>
        <v>96/08/17</v>
      </c>
      <c r="E3996" s="12" t="s">
        <v>4971</v>
      </c>
      <c r="F3996" s="49">
        <v>980444</v>
      </c>
      <c r="G3996" s="77" t="str">
        <f>"SHINING GREEN STAR FZE"</f>
        <v>SHINING GREEN STAR FZE</v>
      </c>
      <c r="H3996" s="14" t="s">
        <v>5601</v>
      </c>
      <c r="I3996" s="14" t="s">
        <v>2458</v>
      </c>
      <c r="J3996" s="33" t="e">
        <f>VLOOKUP(C3996,شرکتها!A:B,2,FALSE)</f>
        <v>#N/A</v>
      </c>
      <c r="K3996" s="33" t="s">
        <v>12404</v>
      </c>
      <c r="L3996" s="53" t="str">
        <f>" ميانمار"</f>
        <v xml:space="preserve"> ميانمار</v>
      </c>
      <c r="M3996" s="68" t="str">
        <f t="shared" si="85"/>
        <v>بشكه</v>
      </c>
      <c r="N3996" s="53" t="str">
        <f t="shared" si="86"/>
        <v>منطقه ويژه اقتصادي شهيد رجايي</v>
      </c>
      <c r="O3996" s="53">
        <v>50100</v>
      </c>
      <c r="P3996" s="198" t="s">
        <v>9770</v>
      </c>
    </row>
    <row r="3997" spans="1:16" ht="18.75" hidden="1">
      <c r="A3997" s="50" t="str">
        <f>"50100-9648047"</f>
        <v>50100-9648047</v>
      </c>
      <c r="B3997" s="50" t="str">
        <f>"96/10/03"</f>
        <v>96/10/03</v>
      </c>
      <c r="C3997" s="50" t="s">
        <v>10101</v>
      </c>
      <c r="D3997" s="12" t="str">
        <f>"96/09/07"</f>
        <v>96/09/07</v>
      </c>
      <c r="E3997" s="12" t="s">
        <v>4971</v>
      </c>
      <c r="F3997" s="49">
        <v>150</v>
      </c>
      <c r="G3997" s="77" t="str">
        <f>"SHINING GREEN STAR FZE"</f>
        <v>SHINING GREEN STAR FZE</v>
      </c>
      <c r="H3997" s="14" t="s">
        <v>5601</v>
      </c>
      <c r="I3997" s="14" t="s">
        <v>2458</v>
      </c>
      <c r="J3997" s="33" t="e">
        <f>VLOOKUP(C3997,شرکتها!A:B,2,FALSE)</f>
        <v>#N/A</v>
      </c>
      <c r="K3997" s="33" t="s">
        <v>12404</v>
      </c>
      <c r="L3997" s="53" t="str">
        <f>" ميانمار"</f>
        <v xml:space="preserve"> ميانمار</v>
      </c>
      <c r="M3997" s="68" t="str">
        <f t="shared" si="85"/>
        <v>بشكه</v>
      </c>
      <c r="N3997" s="53" t="str">
        <f t="shared" si="86"/>
        <v>منطقه ويژه اقتصادي شهيد رجايي</v>
      </c>
      <c r="O3997" s="53">
        <v>50100</v>
      </c>
      <c r="P3997" s="198" t="s">
        <v>9770</v>
      </c>
    </row>
    <row r="3998" spans="1:16" ht="18.75" hidden="1">
      <c r="A3998" s="50" t="str">
        <f>"50100-9689117"</f>
        <v>50100-9689117</v>
      </c>
      <c r="B3998" s="50" t="str">
        <f>"96/10/13"</f>
        <v>96/10/13</v>
      </c>
      <c r="C3998" s="50" t="s">
        <v>12329</v>
      </c>
      <c r="D3998" s="12" t="str">
        <f>"96/07/23"</f>
        <v>96/07/23</v>
      </c>
      <c r="E3998" s="12" t="s">
        <v>4971</v>
      </c>
      <c r="F3998" s="49">
        <v>62530</v>
      </c>
      <c r="G3998" s="77" t="str">
        <f>"LLC Sebco Bitumen"</f>
        <v>LLC Sebco Bitumen</v>
      </c>
      <c r="H3998" s="14" t="s">
        <v>5601</v>
      </c>
      <c r="I3998" s="14" t="s">
        <v>2458</v>
      </c>
      <c r="J3998" s="33" t="s">
        <v>7110</v>
      </c>
      <c r="K3998" s="33" t="s">
        <v>12404</v>
      </c>
      <c r="L3998" s="53" t="str">
        <f>"جيبوتي"</f>
        <v>جيبوتي</v>
      </c>
      <c r="M3998" s="68" t="str">
        <f t="shared" si="85"/>
        <v>بشكه</v>
      </c>
      <c r="N3998" s="53" t="str">
        <f t="shared" si="86"/>
        <v>منطقه ويژه اقتصادي شهيد رجايي</v>
      </c>
      <c r="O3998" s="53">
        <v>50100</v>
      </c>
      <c r="P3998" s="198" t="s">
        <v>7273</v>
      </c>
    </row>
    <row r="3999" spans="1:16" ht="18.75" hidden="1">
      <c r="A3999" s="50" t="str">
        <f>"50100-9663140"</f>
        <v>50100-9663140</v>
      </c>
      <c r="B3999" s="50" t="str">
        <f>"96/10/07"</f>
        <v>96/10/07</v>
      </c>
      <c r="C3999" s="50" t="s">
        <v>10141</v>
      </c>
      <c r="D3999" s="12" t="str">
        <f>"96/08/20"</f>
        <v>96/08/20</v>
      </c>
      <c r="E3999" s="12" t="s">
        <v>4971</v>
      </c>
      <c r="F3999" s="49">
        <v>178232</v>
      </c>
      <c r="G3999" s="77" t="str">
        <f>"Black Gold Traders FZE"</f>
        <v>Black Gold Traders FZE</v>
      </c>
      <c r="H3999" s="14" t="s">
        <v>5601</v>
      </c>
      <c r="I3999" s="14" t="s">
        <v>2458</v>
      </c>
      <c r="J3999" s="33" t="s">
        <v>7110</v>
      </c>
      <c r="K3999" s="33" t="s">
        <v>12404</v>
      </c>
      <c r="L3999" s="53" t="str">
        <f>"آفريقاي جنوبي"</f>
        <v>آفريقاي جنوبي</v>
      </c>
      <c r="M3999" s="68" t="str">
        <f t="shared" si="85"/>
        <v>بشكه</v>
      </c>
      <c r="N3999" s="53" t="str">
        <f t="shared" si="86"/>
        <v>منطقه ويژه اقتصادي شهيد رجايي</v>
      </c>
      <c r="O3999" s="53">
        <v>50100</v>
      </c>
      <c r="P3999" s="198" t="s">
        <v>9771</v>
      </c>
    </row>
    <row r="4000" spans="1:16" ht="18.75" hidden="1">
      <c r="A4000" s="50" t="str">
        <f>"50100-9663140"</f>
        <v>50100-9663140</v>
      </c>
      <c r="B4000" s="50" t="str">
        <f>"96/10/07"</f>
        <v>96/10/07</v>
      </c>
      <c r="C4000" s="50" t="s">
        <v>12320</v>
      </c>
      <c r="D4000" s="12" t="str">
        <f>"96/09/14"</f>
        <v>96/09/14</v>
      </c>
      <c r="E4000" s="12" t="s">
        <v>4971</v>
      </c>
      <c r="F4000" s="49">
        <v>534248</v>
      </c>
      <c r="G4000" s="77" t="str">
        <f>"Black Gold Traders FZE"</f>
        <v>Black Gold Traders FZE</v>
      </c>
      <c r="H4000" s="14" t="s">
        <v>5601</v>
      </c>
      <c r="I4000" s="14" t="s">
        <v>2458</v>
      </c>
      <c r="J4000" s="33" t="s">
        <v>7110</v>
      </c>
      <c r="K4000" s="33" t="s">
        <v>12404</v>
      </c>
      <c r="L4000" s="53" t="str">
        <f>"آفريقاي جنوبي"</f>
        <v>آفريقاي جنوبي</v>
      </c>
      <c r="M4000" s="68" t="str">
        <f t="shared" si="85"/>
        <v>بشكه</v>
      </c>
      <c r="N4000" s="53" t="str">
        <f t="shared" si="86"/>
        <v>منطقه ويژه اقتصادي شهيد رجايي</v>
      </c>
      <c r="O4000" s="53">
        <v>50100</v>
      </c>
      <c r="P4000" s="198" t="s">
        <v>9771</v>
      </c>
    </row>
    <row r="4001" spans="1:16" ht="18.75" hidden="1">
      <c r="A4001" s="50" t="str">
        <f>"50100-9689117"</f>
        <v>50100-9689117</v>
      </c>
      <c r="B4001" s="50" t="str">
        <f>"96/10/13"</f>
        <v>96/10/13</v>
      </c>
      <c r="C4001" s="50" t="s">
        <v>12330</v>
      </c>
      <c r="D4001" s="12" t="str">
        <f>"96/07/06"</f>
        <v>96/07/06</v>
      </c>
      <c r="E4001" s="12" t="s">
        <v>4971</v>
      </c>
      <c r="F4001" s="49">
        <v>70000</v>
      </c>
      <c r="G4001" s="77" t="str">
        <f>"LLC Sebco Bitumen"</f>
        <v>LLC Sebco Bitumen</v>
      </c>
      <c r="H4001" s="14" t="s">
        <v>5601</v>
      </c>
      <c r="I4001" s="14" t="s">
        <v>2458</v>
      </c>
      <c r="J4001" s="33" t="s">
        <v>7110</v>
      </c>
      <c r="K4001" s="33" t="s">
        <v>12404</v>
      </c>
      <c r="L4001" s="53" t="str">
        <f>"جيبوتي"</f>
        <v>جيبوتي</v>
      </c>
      <c r="M4001" s="68" t="str">
        <f t="shared" si="85"/>
        <v>بشكه</v>
      </c>
      <c r="N4001" s="53" t="str">
        <f t="shared" si="86"/>
        <v>منطقه ويژه اقتصادي شهيد رجايي</v>
      </c>
      <c r="O4001" s="53">
        <v>50100</v>
      </c>
      <c r="P4001" s="198" t="s">
        <v>7273</v>
      </c>
    </row>
    <row r="4002" spans="1:16" ht="18.75" hidden="1">
      <c r="A4002" s="50" t="str">
        <f>"50100-9647613"</f>
        <v>50100-9647613</v>
      </c>
      <c r="B4002" s="50" t="str">
        <f>"96/10/03"</f>
        <v>96/10/03</v>
      </c>
      <c r="C4002" s="50" t="s">
        <v>10133</v>
      </c>
      <c r="D4002" s="12" t="str">
        <f>"96/09/18"</f>
        <v>96/09/18</v>
      </c>
      <c r="E4002" s="12" t="s">
        <v>4971</v>
      </c>
      <c r="F4002" s="49">
        <v>626152</v>
      </c>
      <c r="G4002" s="77" t="str">
        <f>"Black Gold Traders FZE"</f>
        <v>Black Gold Traders FZE</v>
      </c>
      <c r="H4002" s="14" t="s">
        <v>5601</v>
      </c>
      <c r="I4002" s="14" t="s">
        <v>2458</v>
      </c>
      <c r="J4002" s="33" t="s">
        <v>7110</v>
      </c>
      <c r="K4002" s="33" t="s">
        <v>12404</v>
      </c>
      <c r="L4002" s="53" t="str">
        <f>" امارات متحده عربي"</f>
        <v xml:space="preserve"> امارات متحده عربي</v>
      </c>
      <c r="M4002" s="68" t="s">
        <v>8913</v>
      </c>
      <c r="N4002" s="53" t="str">
        <f t="shared" si="86"/>
        <v>منطقه ويژه اقتصادي شهيد رجايي</v>
      </c>
      <c r="O4002" s="53">
        <v>50100</v>
      </c>
      <c r="P4002" s="198" t="s">
        <v>9795</v>
      </c>
    </row>
    <row r="4003" spans="1:16" ht="18.75" hidden="1">
      <c r="A4003" s="50" t="str">
        <f>"50100-9647613"</f>
        <v>50100-9647613</v>
      </c>
      <c r="B4003" s="50" t="str">
        <f>"96/10/03"</f>
        <v>96/10/03</v>
      </c>
      <c r="C4003" s="50" t="s">
        <v>12331</v>
      </c>
      <c r="D4003" s="12" t="str">
        <f>"96/09/22"</f>
        <v>96/09/22</v>
      </c>
      <c r="E4003" s="12" t="s">
        <v>4971</v>
      </c>
      <c r="F4003" s="49">
        <v>374186</v>
      </c>
      <c r="G4003" s="77" t="str">
        <f>"Black Gold Traders FZE"</f>
        <v>Black Gold Traders FZE</v>
      </c>
      <c r="H4003" s="14" t="s">
        <v>5601</v>
      </c>
      <c r="I4003" s="14" t="s">
        <v>2458</v>
      </c>
      <c r="J4003" s="33" t="s">
        <v>7110</v>
      </c>
      <c r="K4003" s="33" t="s">
        <v>12404</v>
      </c>
      <c r="L4003" s="53" t="str">
        <f>" امارات متحده عربي"</f>
        <v xml:space="preserve"> امارات متحده عربي</v>
      </c>
      <c r="M4003" s="68" t="s">
        <v>8913</v>
      </c>
      <c r="N4003" s="53" t="str">
        <f t="shared" si="86"/>
        <v>منطقه ويژه اقتصادي شهيد رجايي</v>
      </c>
      <c r="O4003" s="53">
        <v>50100</v>
      </c>
      <c r="P4003" s="198" t="s">
        <v>9794</v>
      </c>
    </row>
    <row r="4004" spans="1:16" ht="18.75" hidden="1">
      <c r="A4004" s="50" t="str">
        <f>"50100-9688707"</f>
        <v>50100-9688707</v>
      </c>
      <c r="B4004" s="50" t="str">
        <f>"96/10/13"</f>
        <v>96/10/13</v>
      </c>
      <c r="C4004" s="50" t="s">
        <v>12332</v>
      </c>
      <c r="D4004" s="12" t="str">
        <f>"96/10/13"</f>
        <v>96/10/13</v>
      </c>
      <c r="E4004" s="12" t="s">
        <v>4971</v>
      </c>
      <c r="F4004" s="49">
        <v>2997421</v>
      </c>
      <c r="G4004" s="77" t="str">
        <f>"AL MASAR PETROLUME L.L.C"</f>
        <v>AL MASAR PETROLUME L.L.C</v>
      </c>
      <c r="H4004" s="14" t="s">
        <v>5601</v>
      </c>
      <c r="I4004" s="14" t="s">
        <v>2458</v>
      </c>
      <c r="J4004" s="33" t="e">
        <f>VLOOKUP(C4004,شرکتها!A:B,2,FALSE)</f>
        <v>#N/A</v>
      </c>
      <c r="K4004" s="33" t="s">
        <v>12404</v>
      </c>
      <c r="L4004" s="53" t="str">
        <f>"قطر"</f>
        <v>قطر</v>
      </c>
      <c r="M4004" s="68" t="str">
        <f>"فله"</f>
        <v>فله</v>
      </c>
      <c r="N4004" s="53" t="str">
        <f t="shared" si="86"/>
        <v>منطقه ويژه اقتصادي شهيد رجايي</v>
      </c>
      <c r="O4004" s="53">
        <v>50100</v>
      </c>
      <c r="P4004" s="198" t="s">
        <v>9911</v>
      </c>
    </row>
    <row r="4005" spans="1:16" ht="18.75" hidden="1">
      <c r="A4005" s="50" t="str">
        <f>"50100-9688802"</f>
        <v>50100-9688802</v>
      </c>
      <c r="B4005" s="50" t="str">
        <f>"96/10/13"</f>
        <v>96/10/13</v>
      </c>
      <c r="C4005" s="50" t="s">
        <v>12333</v>
      </c>
      <c r="D4005" s="12" t="str">
        <f>"96/10/14"</f>
        <v>96/10/14</v>
      </c>
      <c r="E4005" s="12" t="s">
        <v>4971</v>
      </c>
      <c r="F4005" s="49">
        <v>980440</v>
      </c>
      <c r="G4005" s="77" t="str">
        <f>"AL MASAR PETROLUME L.L.C"</f>
        <v>AL MASAR PETROLUME L.L.C</v>
      </c>
      <c r="H4005" s="14" t="s">
        <v>5601</v>
      </c>
      <c r="I4005" s="14" t="s">
        <v>2458</v>
      </c>
      <c r="J4005" s="33" t="e">
        <f>VLOOKUP(C4005,شرکتها!A:B,2,FALSE)</f>
        <v>#N/A</v>
      </c>
      <c r="K4005" s="33" t="s">
        <v>12404</v>
      </c>
      <c r="L4005" s="53" t="str">
        <f>"قطر"</f>
        <v>قطر</v>
      </c>
      <c r="M4005" s="68" t="str">
        <f>"فله"</f>
        <v>فله</v>
      </c>
      <c r="N4005" s="53" t="str">
        <f t="shared" si="86"/>
        <v>منطقه ويژه اقتصادي شهيد رجايي</v>
      </c>
      <c r="O4005" s="53">
        <v>50100</v>
      </c>
      <c r="P4005" s="198" t="s">
        <v>9911</v>
      </c>
    </row>
    <row r="4006" spans="1:16" ht="18.75" hidden="1">
      <c r="A4006" s="50" t="str">
        <f>"50100-9653136"</f>
        <v>50100-9653136</v>
      </c>
      <c r="B4006" s="50" t="str">
        <f>"96/10/05"</f>
        <v>96/10/05</v>
      </c>
      <c r="C4006" s="50" t="s">
        <v>12334</v>
      </c>
      <c r="D4006" s="12" t="str">
        <f>"96/10/07"</f>
        <v>96/10/07</v>
      </c>
      <c r="E4006" s="12" t="s">
        <v>4971</v>
      </c>
      <c r="F4006" s="49">
        <v>923657</v>
      </c>
      <c r="G4006" s="77" t="str">
        <f>"AL MASAR PETROLUME L.L.C"</f>
        <v>AL MASAR PETROLUME L.L.C</v>
      </c>
      <c r="H4006" s="14" t="s">
        <v>5601</v>
      </c>
      <c r="I4006" s="14" t="s">
        <v>2458</v>
      </c>
      <c r="J4006" s="33" t="e">
        <f>VLOOKUP(C4006,شرکتها!A:B,2,FALSE)</f>
        <v>#N/A</v>
      </c>
      <c r="K4006" s="33" t="s">
        <v>12404</v>
      </c>
      <c r="L4006" s="53" t="str">
        <f>"قطر"</f>
        <v>قطر</v>
      </c>
      <c r="M4006" s="68" t="str">
        <f>"فله"</f>
        <v>فله</v>
      </c>
      <c r="N4006" s="53" t="str">
        <f t="shared" si="86"/>
        <v>منطقه ويژه اقتصادي شهيد رجايي</v>
      </c>
      <c r="O4006" s="53">
        <v>50100</v>
      </c>
      <c r="P4006" s="198" t="s">
        <v>9911</v>
      </c>
    </row>
    <row r="4007" spans="1:16" ht="18.75" hidden="1">
      <c r="A4007" s="50" t="str">
        <f>"50100-9689117"</f>
        <v>50100-9689117</v>
      </c>
      <c r="B4007" s="50" t="str">
        <f>"96/10/13"</f>
        <v>96/10/13</v>
      </c>
      <c r="C4007" s="50" t="s">
        <v>12335</v>
      </c>
      <c r="D4007" s="12" t="str">
        <f>"96/07/17"</f>
        <v>96/07/17</v>
      </c>
      <c r="E4007" s="12" t="s">
        <v>4971</v>
      </c>
      <c r="F4007" s="49">
        <v>376514</v>
      </c>
      <c r="G4007" s="77" t="str">
        <f>"LLC Sebco Bitumen"</f>
        <v>LLC Sebco Bitumen</v>
      </c>
      <c r="H4007" s="14" t="s">
        <v>5601</v>
      </c>
      <c r="I4007" s="14" t="s">
        <v>2458</v>
      </c>
      <c r="J4007" s="33" t="s">
        <v>7110</v>
      </c>
      <c r="K4007" s="33" t="s">
        <v>12404</v>
      </c>
      <c r="L4007" s="53" t="str">
        <f>"جيبوتي"</f>
        <v>جيبوتي</v>
      </c>
      <c r="M4007" s="68" t="str">
        <f t="shared" ref="M4007:M4036" si="87">"بشكه"</f>
        <v>بشكه</v>
      </c>
      <c r="N4007" s="53" t="str">
        <f t="shared" si="86"/>
        <v>منطقه ويژه اقتصادي شهيد رجايي</v>
      </c>
      <c r="O4007" s="53">
        <v>50100</v>
      </c>
      <c r="P4007" s="198" t="s">
        <v>7175</v>
      </c>
    </row>
    <row r="4008" spans="1:16" ht="18.75" hidden="1">
      <c r="A4008" s="50" t="str">
        <f>"50100-9679229"</f>
        <v>50100-9679229</v>
      </c>
      <c r="B4008" s="50" t="str">
        <f>"96/10/11"</f>
        <v>96/10/11</v>
      </c>
      <c r="C4008" s="50" t="s">
        <v>9896</v>
      </c>
      <c r="D4008" s="12" t="str">
        <f>"96/07/26"</f>
        <v>96/07/26</v>
      </c>
      <c r="E4008" s="12" t="s">
        <v>4971</v>
      </c>
      <c r="F4008" s="49">
        <v>17825</v>
      </c>
      <c r="G4008" s="77" t="str">
        <f>"Black Gold Traders FZE"</f>
        <v>Black Gold Traders FZE</v>
      </c>
      <c r="H4008" s="14" t="s">
        <v>5601</v>
      </c>
      <c r="I4008" s="14" t="s">
        <v>2458</v>
      </c>
      <c r="J4008" s="33" t="s">
        <v>7110</v>
      </c>
      <c r="K4008" s="33" t="s">
        <v>12404</v>
      </c>
      <c r="L4008" s="53" t="str">
        <f>" امارات متحده عربي"</f>
        <v xml:space="preserve"> امارات متحده عربي</v>
      </c>
      <c r="M4008" s="68" t="str">
        <f t="shared" si="87"/>
        <v>بشكه</v>
      </c>
      <c r="N4008" s="53" t="str">
        <f t="shared" si="86"/>
        <v>منطقه ويژه اقتصادي شهيد رجايي</v>
      </c>
      <c r="O4008" s="53">
        <v>50100</v>
      </c>
      <c r="P4008" s="198" t="s">
        <v>8753</v>
      </c>
    </row>
    <row r="4009" spans="1:16" ht="18.75" hidden="1">
      <c r="A4009" s="50" t="str">
        <f>"50100-9661221"</f>
        <v>50100-9661221</v>
      </c>
      <c r="B4009" s="50" t="str">
        <f>"96/10/06"</f>
        <v>96/10/06</v>
      </c>
      <c r="C4009" s="50" t="s">
        <v>10112</v>
      </c>
      <c r="D4009" s="12" t="str">
        <f>"96/09/21"</f>
        <v>96/09/21</v>
      </c>
      <c r="E4009" s="12" t="s">
        <v>4971</v>
      </c>
      <c r="F4009" s="49">
        <v>514988</v>
      </c>
      <c r="G4009" s="77" t="str">
        <f>"GLOBUS INTERNATIONAL FZE"</f>
        <v>GLOBUS INTERNATIONAL FZE</v>
      </c>
      <c r="H4009" s="14" t="s">
        <v>5601</v>
      </c>
      <c r="I4009" s="14" t="s">
        <v>2458</v>
      </c>
      <c r="J4009" s="33" t="s">
        <v>7110</v>
      </c>
      <c r="K4009" s="33" t="s">
        <v>12404</v>
      </c>
      <c r="L4009" s="53" t="str">
        <f>" امارات متحده عربي"</f>
        <v xml:space="preserve"> امارات متحده عربي</v>
      </c>
      <c r="M4009" s="68" t="str">
        <f t="shared" si="87"/>
        <v>بشكه</v>
      </c>
      <c r="N4009" s="53" t="str">
        <f t="shared" si="86"/>
        <v>منطقه ويژه اقتصادي شهيد رجايي</v>
      </c>
      <c r="O4009" s="53">
        <v>50100</v>
      </c>
      <c r="P4009" s="198" t="s">
        <v>12119</v>
      </c>
    </row>
    <row r="4010" spans="1:16" ht="18.75" hidden="1">
      <c r="A4010" s="50" t="str">
        <f>"50100-9679229"</f>
        <v>50100-9679229</v>
      </c>
      <c r="B4010" s="50" t="str">
        <f>"96/10/11"</f>
        <v>96/10/11</v>
      </c>
      <c r="C4010" s="50" t="s">
        <v>12336</v>
      </c>
      <c r="D4010" s="12" t="str">
        <f>"96/09/28"</f>
        <v>96/09/28</v>
      </c>
      <c r="E4010" s="12" t="s">
        <v>4971</v>
      </c>
      <c r="F4010" s="49">
        <v>20038</v>
      </c>
      <c r="G4010" s="77" t="str">
        <f>"GLOBUS INTERNATIONAL FZE"</f>
        <v>GLOBUS INTERNATIONAL FZE</v>
      </c>
      <c r="H4010" s="14" t="s">
        <v>5601</v>
      </c>
      <c r="I4010" s="14" t="s">
        <v>2458</v>
      </c>
      <c r="J4010" s="33" t="s">
        <v>7110</v>
      </c>
      <c r="K4010" s="33" t="s">
        <v>12404</v>
      </c>
      <c r="L4010" s="53" t="str">
        <f>" امارات متحده عربي"</f>
        <v xml:space="preserve"> امارات متحده عربي</v>
      </c>
      <c r="M4010" s="68" t="str">
        <f t="shared" si="87"/>
        <v>بشكه</v>
      </c>
      <c r="N4010" s="53" t="str">
        <f t="shared" si="86"/>
        <v>منطقه ويژه اقتصادي شهيد رجايي</v>
      </c>
      <c r="O4010" s="53">
        <v>50100</v>
      </c>
      <c r="P4010" s="198" t="s">
        <v>12119</v>
      </c>
    </row>
    <row r="4011" spans="1:16" ht="18.75" hidden="1">
      <c r="A4011" s="50" t="str">
        <f>"50100-9686804"</f>
        <v>50100-9686804</v>
      </c>
      <c r="B4011" s="50" t="str">
        <f>"96/10/12"</f>
        <v>96/10/12</v>
      </c>
      <c r="C4011" s="50" t="s">
        <v>9896</v>
      </c>
      <c r="D4011" s="12" t="str">
        <f>"96/07/26"</f>
        <v>96/07/26</v>
      </c>
      <c r="E4011" s="12" t="s">
        <v>4971</v>
      </c>
      <c r="F4011" s="49">
        <v>17888</v>
      </c>
      <c r="G4011" s="77" t="str">
        <f>"Black Gold Traders FZE"</f>
        <v>Black Gold Traders FZE</v>
      </c>
      <c r="H4011" s="14" t="s">
        <v>5601</v>
      </c>
      <c r="I4011" s="14" t="s">
        <v>2458</v>
      </c>
      <c r="J4011" s="33" t="s">
        <v>7110</v>
      </c>
      <c r="K4011" s="33" t="s">
        <v>12404</v>
      </c>
      <c r="L4011" s="53" t="str">
        <f>"کنيا"</f>
        <v>کنيا</v>
      </c>
      <c r="M4011" s="68" t="str">
        <f t="shared" si="87"/>
        <v>بشكه</v>
      </c>
      <c r="N4011" s="53" t="str">
        <f t="shared" si="86"/>
        <v>منطقه ويژه اقتصادي شهيد رجايي</v>
      </c>
      <c r="O4011" s="53">
        <v>50100</v>
      </c>
      <c r="P4011" s="198" t="s">
        <v>8753</v>
      </c>
    </row>
    <row r="4012" spans="1:16" ht="18.75" hidden="1">
      <c r="A4012" s="50" t="str">
        <f>"50100-9663182"</f>
        <v>50100-9663182</v>
      </c>
      <c r="B4012" s="50" t="str">
        <f>"96/10/07"</f>
        <v>96/10/07</v>
      </c>
      <c r="C4012" s="50" t="s">
        <v>12337</v>
      </c>
      <c r="D4012" s="12" t="str">
        <f>"96/09/25"</f>
        <v>96/09/25</v>
      </c>
      <c r="E4012" s="12" t="s">
        <v>4971</v>
      </c>
      <c r="F4012" s="49">
        <v>550335</v>
      </c>
      <c r="G4012" s="77" t="str">
        <f>"Black Gold Traders FZE"</f>
        <v>Black Gold Traders FZE</v>
      </c>
      <c r="H4012" s="14" t="s">
        <v>5601</v>
      </c>
      <c r="I4012" s="14" t="s">
        <v>2458</v>
      </c>
      <c r="J4012" s="33" t="s">
        <v>7110</v>
      </c>
      <c r="K4012" s="33" t="s">
        <v>12404</v>
      </c>
      <c r="L4012" s="53" t="str">
        <f>"بنگلادش"</f>
        <v>بنگلادش</v>
      </c>
      <c r="M4012" s="68" t="str">
        <f t="shared" si="87"/>
        <v>بشكه</v>
      </c>
      <c r="N4012" s="53" t="str">
        <f t="shared" si="86"/>
        <v>منطقه ويژه اقتصادي شهيد رجايي</v>
      </c>
      <c r="O4012" s="53">
        <v>50100</v>
      </c>
      <c r="P4012" s="198" t="s">
        <v>9794</v>
      </c>
    </row>
    <row r="4013" spans="1:16" ht="18.75" hidden="1">
      <c r="A4013" s="50" t="str">
        <f>"50100-9650140"</f>
        <v>50100-9650140</v>
      </c>
      <c r="B4013" s="50" t="str">
        <f>"96/10/04"</f>
        <v>96/10/04</v>
      </c>
      <c r="C4013" s="50" t="s">
        <v>10137</v>
      </c>
      <c r="D4013" s="12" t="str">
        <f>"96/09/20"</f>
        <v>96/09/20</v>
      </c>
      <c r="E4013" s="12" t="s">
        <v>4971</v>
      </c>
      <c r="F4013" s="49">
        <v>496860</v>
      </c>
      <c r="G4013" s="77" t="str">
        <f>"DAXON PETROLEUM"</f>
        <v>DAXON PETROLEUM</v>
      </c>
      <c r="H4013" s="14" t="s">
        <v>5601</v>
      </c>
      <c r="I4013" s="14" t="s">
        <v>2458</v>
      </c>
      <c r="J4013" s="33" t="s">
        <v>7110</v>
      </c>
      <c r="K4013" s="33" t="s">
        <v>12404</v>
      </c>
      <c r="L4013" s="53" t="str">
        <f>"مالزي"</f>
        <v>مالزي</v>
      </c>
      <c r="M4013" s="68" t="str">
        <f t="shared" si="87"/>
        <v>بشكه</v>
      </c>
      <c r="N4013" s="53" t="str">
        <f t="shared" si="86"/>
        <v>منطقه ويژه اقتصادي شهيد رجايي</v>
      </c>
      <c r="O4013" s="53">
        <v>50100</v>
      </c>
      <c r="P4013" s="198" t="s">
        <v>9784</v>
      </c>
    </row>
    <row r="4014" spans="1:16" ht="18.75" hidden="1">
      <c r="A4014" s="50" t="str">
        <f>"50100-9648110"</f>
        <v>50100-9648110</v>
      </c>
      <c r="B4014" s="50" t="str">
        <f>"96/10/03"</f>
        <v>96/10/03</v>
      </c>
      <c r="C4014" s="50" t="s">
        <v>12338</v>
      </c>
      <c r="D4014" s="12" t="str">
        <f>"96/09/11"</f>
        <v>96/09/11</v>
      </c>
      <c r="E4014" s="12" t="s">
        <v>4971</v>
      </c>
      <c r="F4014" s="49">
        <v>485945</v>
      </c>
      <c r="G4014" s="77" t="str">
        <f>"SHINING GREEN STAR FZE"</f>
        <v>SHINING GREEN STAR FZE</v>
      </c>
      <c r="H4014" s="14" t="s">
        <v>5601</v>
      </c>
      <c r="I4014" s="14" t="s">
        <v>2458</v>
      </c>
      <c r="J4014" s="33" t="e">
        <f>VLOOKUP(C4014,شرکتها!A:B,2,FALSE)</f>
        <v>#N/A</v>
      </c>
      <c r="K4014" s="33" t="s">
        <v>12404</v>
      </c>
      <c r="L4014" s="53" t="str">
        <f>" ميانمار"</f>
        <v xml:space="preserve"> ميانمار</v>
      </c>
      <c r="M4014" s="68" t="str">
        <f t="shared" si="87"/>
        <v>بشكه</v>
      </c>
      <c r="N4014" s="53" t="str">
        <f t="shared" si="86"/>
        <v>منطقه ويژه اقتصادي شهيد رجايي</v>
      </c>
      <c r="O4014" s="53">
        <v>50100</v>
      </c>
      <c r="P4014" s="198" t="s">
        <v>9770</v>
      </c>
    </row>
    <row r="4015" spans="1:16" ht="18.75" hidden="1">
      <c r="A4015" s="50" t="str">
        <f>"50100-9661221"</f>
        <v>50100-9661221</v>
      </c>
      <c r="B4015" s="50" t="str">
        <f>"96/10/06"</f>
        <v>96/10/06</v>
      </c>
      <c r="C4015" s="50" t="s">
        <v>12336</v>
      </c>
      <c r="D4015" s="12" t="str">
        <f>"96/09/28"</f>
        <v>96/09/28</v>
      </c>
      <c r="E4015" s="12" t="s">
        <v>4971</v>
      </c>
      <c r="F4015" s="49">
        <v>479962</v>
      </c>
      <c r="G4015" s="77" t="str">
        <f>"GLOBUS INTERNATIONAL FZE"</f>
        <v>GLOBUS INTERNATIONAL FZE</v>
      </c>
      <c r="H4015" s="14" t="s">
        <v>5601</v>
      </c>
      <c r="I4015" s="14" t="s">
        <v>2458</v>
      </c>
      <c r="J4015" s="33" t="s">
        <v>7110</v>
      </c>
      <c r="K4015" s="33" t="s">
        <v>12404</v>
      </c>
      <c r="L4015" s="53" t="str">
        <f>" امارات متحده عربي"</f>
        <v xml:space="preserve"> امارات متحده عربي</v>
      </c>
      <c r="M4015" s="68" t="str">
        <f t="shared" si="87"/>
        <v>بشكه</v>
      </c>
      <c r="N4015" s="53" t="str">
        <f t="shared" si="86"/>
        <v>منطقه ويژه اقتصادي شهيد رجايي</v>
      </c>
      <c r="O4015" s="53">
        <v>50100</v>
      </c>
      <c r="P4015" s="198" t="s">
        <v>12119</v>
      </c>
    </row>
    <row r="4016" spans="1:16" ht="18.75" hidden="1">
      <c r="A4016" s="50" t="str">
        <f>"50100-9642044"</f>
        <v>50100-9642044</v>
      </c>
      <c r="B4016" s="50" t="str">
        <f>"96/10/02"</f>
        <v>96/10/02</v>
      </c>
      <c r="C4016" s="50" t="s">
        <v>12339</v>
      </c>
      <c r="D4016" s="12" t="str">
        <f>"96/09/21"</f>
        <v>96/09/21</v>
      </c>
      <c r="E4016" s="12" t="s">
        <v>4971</v>
      </c>
      <c r="F4016" s="49">
        <v>600000</v>
      </c>
      <c r="G4016" s="77" t="str">
        <f>"BITUBIZ FZE"</f>
        <v>BITUBIZ FZE</v>
      </c>
      <c r="H4016" s="14" t="s">
        <v>5601</v>
      </c>
      <c r="I4016" s="14" t="s">
        <v>2458</v>
      </c>
      <c r="J4016" s="33" t="s">
        <v>7110</v>
      </c>
      <c r="K4016" s="33" t="s">
        <v>12404</v>
      </c>
      <c r="L4016" s="53" t="str">
        <f>" امارات متحده عربي"</f>
        <v xml:space="preserve"> امارات متحده عربي</v>
      </c>
      <c r="M4016" s="68" t="str">
        <f t="shared" si="87"/>
        <v>بشكه</v>
      </c>
      <c r="N4016" s="53" t="str">
        <f t="shared" si="86"/>
        <v>منطقه ويژه اقتصادي شهيد رجايي</v>
      </c>
      <c r="O4016" s="53">
        <v>50100</v>
      </c>
      <c r="P4016" s="198" t="s">
        <v>12261</v>
      </c>
    </row>
    <row r="4017" spans="1:16" ht="18.75" hidden="1">
      <c r="A4017" s="50" t="str">
        <f>"50100-9639271"</f>
        <v>50100-9639271</v>
      </c>
      <c r="B4017" s="50" t="str">
        <f>"96/10/02"</f>
        <v>96/10/02</v>
      </c>
      <c r="C4017" s="50" t="s">
        <v>10097</v>
      </c>
      <c r="D4017" s="12" t="str">
        <f>"96/06/29"</f>
        <v>96/06/29</v>
      </c>
      <c r="E4017" s="12" t="s">
        <v>4971</v>
      </c>
      <c r="F4017" s="49">
        <v>212574</v>
      </c>
      <c r="G4017" s="77" t="str">
        <f>"LLC Sebco Bitumen"</f>
        <v>LLC Sebco Bitumen</v>
      </c>
      <c r="H4017" s="14" t="s">
        <v>5601</v>
      </c>
      <c r="I4017" s="14" t="s">
        <v>2458</v>
      </c>
      <c r="J4017" s="33" t="s">
        <v>7110</v>
      </c>
      <c r="K4017" s="33" t="s">
        <v>12404</v>
      </c>
      <c r="L4017" s="53" t="str">
        <f t="shared" ref="L4017:L4024" si="88">"هند"</f>
        <v>هند</v>
      </c>
      <c r="M4017" s="68" t="str">
        <f t="shared" si="87"/>
        <v>بشكه</v>
      </c>
      <c r="N4017" s="53" t="str">
        <f t="shared" si="86"/>
        <v>منطقه ويژه اقتصادي شهيد رجايي</v>
      </c>
      <c r="O4017" s="53">
        <v>50100</v>
      </c>
      <c r="P4017" s="198" t="s">
        <v>7175</v>
      </c>
    </row>
    <row r="4018" spans="1:16" ht="18.75" hidden="1">
      <c r="A4018" s="50" t="str">
        <f>"50100-9639271"</f>
        <v>50100-9639271</v>
      </c>
      <c r="B4018" s="50" t="str">
        <f>"96/10/02"</f>
        <v>96/10/02</v>
      </c>
      <c r="C4018" s="50" t="s">
        <v>12324</v>
      </c>
      <c r="D4018" s="12" t="str">
        <f>"96/07/12"</f>
        <v>96/07/12</v>
      </c>
      <c r="E4018" s="12" t="s">
        <v>4971</v>
      </c>
      <c r="F4018" s="49">
        <v>33486</v>
      </c>
      <c r="G4018" s="77" t="str">
        <f>"LLC Sebco Bitumen"</f>
        <v>LLC Sebco Bitumen</v>
      </c>
      <c r="H4018" s="14" t="s">
        <v>5601</v>
      </c>
      <c r="I4018" s="14" t="s">
        <v>2458</v>
      </c>
      <c r="J4018" s="33" t="s">
        <v>7110</v>
      </c>
      <c r="K4018" s="33" t="s">
        <v>12404</v>
      </c>
      <c r="L4018" s="53" t="str">
        <f t="shared" si="88"/>
        <v>هند</v>
      </c>
      <c r="M4018" s="68" t="str">
        <f t="shared" si="87"/>
        <v>بشكه</v>
      </c>
      <c r="N4018" s="53" t="str">
        <f t="shared" si="86"/>
        <v>منطقه ويژه اقتصادي شهيد رجايي</v>
      </c>
      <c r="O4018" s="53">
        <v>50100</v>
      </c>
      <c r="P4018" s="198" t="s">
        <v>7175</v>
      </c>
    </row>
    <row r="4019" spans="1:16" ht="18.75" hidden="1">
      <c r="A4019" s="50" t="str">
        <f>"50100-9639271"</f>
        <v>50100-9639271</v>
      </c>
      <c r="B4019" s="50" t="str">
        <f>"96/10/02"</f>
        <v>96/10/02</v>
      </c>
      <c r="C4019" s="50" t="s">
        <v>12340</v>
      </c>
      <c r="D4019" s="12" t="str">
        <f>"96/07/16"</f>
        <v>96/07/16</v>
      </c>
      <c r="E4019" s="12" t="s">
        <v>4971</v>
      </c>
      <c r="F4019" s="49">
        <v>249765</v>
      </c>
      <c r="G4019" s="77" t="str">
        <f>"LLC Sebco Bitumen"</f>
        <v>LLC Sebco Bitumen</v>
      </c>
      <c r="H4019" s="14" t="s">
        <v>5601</v>
      </c>
      <c r="I4019" s="14" t="s">
        <v>2458</v>
      </c>
      <c r="J4019" s="33" t="s">
        <v>7110</v>
      </c>
      <c r="K4019" s="33" t="s">
        <v>12404</v>
      </c>
      <c r="L4019" s="53" t="str">
        <f t="shared" si="88"/>
        <v>هند</v>
      </c>
      <c r="M4019" s="68" t="str">
        <f t="shared" si="87"/>
        <v>بشكه</v>
      </c>
      <c r="N4019" s="53" t="str">
        <f t="shared" si="86"/>
        <v>منطقه ويژه اقتصادي شهيد رجايي</v>
      </c>
      <c r="O4019" s="53">
        <v>50100</v>
      </c>
      <c r="P4019" s="198" t="s">
        <v>7175</v>
      </c>
    </row>
    <row r="4020" spans="1:16" ht="18.75" hidden="1">
      <c r="A4020" s="50" t="str">
        <f>"50100-9662483"</f>
        <v>50100-9662483</v>
      </c>
      <c r="B4020" s="50" t="str">
        <f>"96/10/07"</f>
        <v>96/10/07</v>
      </c>
      <c r="C4020" s="50" t="s">
        <v>12341</v>
      </c>
      <c r="D4020" s="12" t="str">
        <f>"96/07/12"</f>
        <v>96/07/12</v>
      </c>
      <c r="E4020" s="12" t="s">
        <v>4971</v>
      </c>
      <c r="F4020" s="49">
        <v>15705</v>
      </c>
      <c r="G4020" s="77" t="str">
        <f>"LLC Sebco Bitumen"</f>
        <v>LLC Sebco Bitumen</v>
      </c>
      <c r="H4020" s="14" t="s">
        <v>5601</v>
      </c>
      <c r="I4020" s="14" t="s">
        <v>2458</v>
      </c>
      <c r="J4020" s="33" t="s">
        <v>7110</v>
      </c>
      <c r="K4020" s="33" t="s">
        <v>12404</v>
      </c>
      <c r="L4020" s="53" t="str">
        <f t="shared" si="88"/>
        <v>هند</v>
      </c>
      <c r="M4020" s="68" t="str">
        <f t="shared" si="87"/>
        <v>بشكه</v>
      </c>
      <c r="N4020" s="53" t="str">
        <f t="shared" si="86"/>
        <v>منطقه ويژه اقتصادي شهيد رجايي</v>
      </c>
      <c r="O4020" s="53">
        <v>50100</v>
      </c>
      <c r="P4020" s="198" t="s">
        <v>7111</v>
      </c>
    </row>
    <row r="4021" spans="1:16" ht="18.75" hidden="1">
      <c r="A4021" s="50" t="str">
        <f>"50100-9662483"</f>
        <v>50100-9662483</v>
      </c>
      <c r="B4021" s="50" t="str">
        <f>"96/10/07"</f>
        <v>96/10/07</v>
      </c>
      <c r="C4021" s="50" t="s">
        <v>12342</v>
      </c>
      <c r="D4021" s="12" t="str">
        <f>"96/07/12"</f>
        <v>96/07/12</v>
      </c>
      <c r="E4021" s="12" t="s">
        <v>4971</v>
      </c>
      <c r="F4021" s="49">
        <v>150000</v>
      </c>
      <c r="G4021" s="77" t="str">
        <f>"LLC Sebco Bitumen"</f>
        <v>LLC Sebco Bitumen</v>
      </c>
      <c r="H4021" s="14" t="s">
        <v>5601</v>
      </c>
      <c r="I4021" s="14" t="s">
        <v>2458</v>
      </c>
      <c r="J4021" s="33" t="s">
        <v>7110</v>
      </c>
      <c r="K4021" s="33" t="s">
        <v>12404</v>
      </c>
      <c r="L4021" s="53" t="str">
        <f t="shared" si="88"/>
        <v>هند</v>
      </c>
      <c r="M4021" s="68" t="str">
        <f t="shared" si="87"/>
        <v>بشكه</v>
      </c>
      <c r="N4021" s="53" t="str">
        <f t="shared" si="86"/>
        <v>منطقه ويژه اقتصادي شهيد رجايي</v>
      </c>
      <c r="O4021" s="53">
        <v>50100</v>
      </c>
      <c r="P4021" s="198" t="s">
        <v>7111</v>
      </c>
    </row>
    <row r="4022" spans="1:16" ht="18.75" hidden="1">
      <c r="A4022" s="50" t="str">
        <f>"50100-9650385"</f>
        <v>50100-9650385</v>
      </c>
      <c r="B4022" s="50" t="str">
        <f>"96/10/04"</f>
        <v>96/10/04</v>
      </c>
      <c r="C4022" s="50" t="s">
        <v>10113</v>
      </c>
      <c r="D4022" s="12" t="str">
        <f>"96/08/21"</f>
        <v>96/08/21</v>
      </c>
      <c r="E4022" s="12" t="s">
        <v>4971</v>
      </c>
      <c r="F4022" s="49">
        <v>15108</v>
      </c>
      <c r="G4022" s="77" t="str">
        <f>"DAXON PETROLEUM"</f>
        <v>DAXON PETROLEUM</v>
      </c>
      <c r="H4022" s="14" t="s">
        <v>5601</v>
      </c>
      <c r="I4022" s="14" t="s">
        <v>2458</v>
      </c>
      <c r="J4022" s="33" t="s">
        <v>7110</v>
      </c>
      <c r="K4022" s="33" t="s">
        <v>12404</v>
      </c>
      <c r="L4022" s="53" t="str">
        <f t="shared" si="88"/>
        <v>هند</v>
      </c>
      <c r="M4022" s="68" t="str">
        <f t="shared" si="87"/>
        <v>بشكه</v>
      </c>
      <c r="N4022" s="53" t="str">
        <f t="shared" si="86"/>
        <v>منطقه ويژه اقتصادي شهيد رجايي</v>
      </c>
      <c r="O4022" s="53">
        <v>50100</v>
      </c>
      <c r="P4022" s="198" t="s">
        <v>9784</v>
      </c>
    </row>
    <row r="4023" spans="1:16" ht="18.75" hidden="1">
      <c r="A4023" s="50" t="str">
        <f>"50100-9650385"</f>
        <v>50100-9650385</v>
      </c>
      <c r="B4023" s="50" t="str">
        <f>"96/10/04"</f>
        <v>96/10/04</v>
      </c>
      <c r="C4023" s="50" t="s">
        <v>12343</v>
      </c>
      <c r="D4023" s="12" t="str">
        <f>"96/09/25"</f>
        <v>96/09/25</v>
      </c>
      <c r="E4023" s="12" t="s">
        <v>4971</v>
      </c>
      <c r="F4023" s="49">
        <v>468282</v>
      </c>
      <c r="G4023" s="77" t="str">
        <f>"DAXON PETROLEUM"</f>
        <v>DAXON PETROLEUM</v>
      </c>
      <c r="H4023" s="14" t="s">
        <v>5601</v>
      </c>
      <c r="I4023" s="14" t="s">
        <v>2458</v>
      </c>
      <c r="J4023" s="33" t="s">
        <v>7110</v>
      </c>
      <c r="K4023" s="33" t="s">
        <v>12404</v>
      </c>
      <c r="L4023" s="53" t="str">
        <f t="shared" si="88"/>
        <v>هند</v>
      </c>
      <c r="M4023" s="68" t="str">
        <f t="shared" si="87"/>
        <v>بشكه</v>
      </c>
      <c r="N4023" s="53" t="str">
        <f t="shared" si="86"/>
        <v>منطقه ويژه اقتصادي شهيد رجايي</v>
      </c>
      <c r="O4023" s="53">
        <v>50100</v>
      </c>
      <c r="P4023" s="198" t="s">
        <v>9797</v>
      </c>
    </row>
    <row r="4024" spans="1:16" ht="18.75" hidden="1">
      <c r="A4024" s="50" t="str">
        <f>"50100-9650385"</f>
        <v>50100-9650385</v>
      </c>
      <c r="B4024" s="50" t="str">
        <f>"96/10/04"</f>
        <v>96/10/04</v>
      </c>
      <c r="C4024" s="50" t="s">
        <v>10137</v>
      </c>
      <c r="D4024" s="12" t="str">
        <f>"96/09/20"</f>
        <v>96/09/20</v>
      </c>
      <c r="E4024" s="12" t="s">
        <v>4971</v>
      </c>
      <c r="F4024" s="49">
        <v>11110</v>
      </c>
      <c r="G4024" s="77" t="str">
        <f>"DAXON PETROLEUM"</f>
        <v>DAXON PETROLEUM</v>
      </c>
      <c r="H4024" s="14" t="s">
        <v>5601</v>
      </c>
      <c r="I4024" s="14" t="s">
        <v>2458</v>
      </c>
      <c r="J4024" s="33" t="s">
        <v>7110</v>
      </c>
      <c r="K4024" s="33" t="s">
        <v>12404</v>
      </c>
      <c r="L4024" s="53" t="str">
        <f t="shared" si="88"/>
        <v>هند</v>
      </c>
      <c r="M4024" s="68" t="str">
        <f t="shared" si="87"/>
        <v>بشكه</v>
      </c>
      <c r="N4024" s="53" t="str">
        <f t="shared" si="86"/>
        <v>منطقه ويژه اقتصادي شهيد رجايي</v>
      </c>
      <c r="O4024" s="53">
        <v>50100</v>
      </c>
      <c r="P4024" s="198" t="s">
        <v>9784</v>
      </c>
    </row>
    <row r="4025" spans="1:16" ht="18.75" hidden="1">
      <c r="A4025" s="50" t="str">
        <f>"50100-9689117"</f>
        <v>50100-9689117</v>
      </c>
      <c r="B4025" s="50" t="str">
        <f>"96/10/13"</f>
        <v>96/10/13</v>
      </c>
      <c r="C4025" s="50" t="s">
        <v>12344</v>
      </c>
      <c r="D4025" s="12" t="str">
        <f>"96/07/22"</f>
        <v>96/07/22</v>
      </c>
      <c r="E4025" s="12" t="s">
        <v>4971</v>
      </c>
      <c r="F4025" s="49">
        <v>491611</v>
      </c>
      <c r="G4025" s="77" t="str">
        <f>"LLC Sebco Bitumen"</f>
        <v>LLC Sebco Bitumen</v>
      </c>
      <c r="H4025" s="14" t="s">
        <v>5601</v>
      </c>
      <c r="I4025" s="14" t="s">
        <v>2458</v>
      </c>
      <c r="J4025" s="33" t="s">
        <v>7110</v>
      </c>
      <c r="K4025" s="33" t="s">
        <v>12404</v>
      </c>
      <c r="L4025" s="53" t="str">
        <f>"جيبوتي"</f>
        <v>جيبوتي</v>
      </c>
      <c r="M4025" s="68" t="str">
        <f t="shared" si="87"/>
        <v>بشكه</v>
      </c>
      <c r="N4025" s="53" t="str">
        <f t="shared" si="86"/>
        <v>منطقه ويژه اقتصادي شهيد رجايي</v>
      </c>
      <c r="O4025" s="53">
        <v>50100</v>
      </c>
      <c r="P4025" s="198" t="s">
        <v>7175</v>
      </c>
    </row>
    <row r="4026" spans="1:16" ht="18.75" hidden="1">
      <c r="A4026" s="50" t="str">
        <f>"50100-9686804"</f>
        <v>50100-9686804</v>
      </c>
      <c r="B4026" s="50" t="str">
        <f>"96/10/12"</f>
        <v>96/10/12</v>
      </c>
      <c r="C4026" s="50" t="s">
        <v>12337</v>
      </c>
      <c r="D4026" s="12" t="str">
        <f>"96/09/25"</f>
        <v>96/09/25</v>
      </c>
      <c r="E4026" s="12" t="s">
        <v>4971</v>
      </c>
      <c r="F4026" s="49">
        <v>442112</v>
      </c>
      <c r="G4026" s="77" t="str">
        <f>"Black Gold Traders FZE"</f>
        <v>Black Gold Traders FZE</v>
      </c>
      <c r="H4026" s="14" t="s">
        <v>5601</v>
      </c>
      <c r="I4026" s="14" t="s">
        <v>2458</v>
      </c>
      <c r="J4026" s="33" t="s">
        <v>7110</v>
      </c>
      <c r="K4026" s="33" t="s">
        <v>12404</v>
      </c>
      <c r="L4026" s="53" t="str">
        <f>"کنيا"</f>
        <v>کنيا</v>
      </c>
      <c r="M4026" s="68" t="str">
        <f t="shared" si="87"/>
        <v>بشكه</v>
      </c>
      <c r="N4026" s="53" t="str">
        <f t="shared" si="86"/>
        <v>منطقه ويژه اقتصادي شهيد رجايي</v>
      </c>
      <c r="O4026" s="53">
        <v>50100</v>
      </c>
      <c r="P4026" s="198" t="s">
        <v>9794</v>
      </c>
    </row>
    <row r="4027" spans="1:16" ht="18.75" hidden="1">
      <c r="A4027" s="50" t="str">
        <f>"50100-9642044"</f>
        <v>50100-9642044</v>
      </c>
      <c r="B4027" s="50" t="str">
        <f>"96/10/02"</f>
        <v>96/10/02</v>
      </c>
      <c r="C4027" s="50" t="s">
        <v>12345</v>
      </c>
      <c r="D4027" s="12" t="str">
        <f>"96/09/18"</f>
        <v>96/09/18</v>
      </c>
      <c r="E4027" s="12" t="s">
        <v>4971</v>
      </c>
      <c r="F4027" s="49">
        <v>200000</v>
      </c>
      <c r="G4027" s="77" t="str">
        <f>"BITUBIZ FZE"</f>
        <v>BITUBIZ FZE</v>
      </c>
      <c r="H4027" s="14" t="s">
        <v>5601</v>
      </c>
      <c r="I4027" s="14" t="s">
        <v>2458</v>
      </c>
      <c r="J4027" s="33" t="s">
        <v>7110</v>
      </c>
      <c r="K4027" s="33" t="s">
        <v>12404</v>
      </c>
      <c r="L4027" s="53" t="str">
        <f>" امارات متحده عربي"</f>
        <v xml:space="preserve"> امارات متحده عربي</v>
      </c>
      <c r="M4027" s="68" t="str">
        <f t="shared" si="87"/>
        <v>بشكه</v>
      </c>
      <c r="N4027" s="53" t="str">
        <f t="shared" si="86"/>
        <v>منطقه ويژه اقتصادي شهيد رجايي</v>
      </c>
      <c r="O4027" s="53">
        <v>50100</v>
      </c>
      <c r="P4027" s="198" t="s">
        <v>12261</v>
      </c>
    </row>
    <row r="4028" spans="1:16" ht="18.75" hidden="1">
      <c r="A4028" s="50" t="str">
        <f>"50100-9642044"</f>
        <v>50100-9642044</v>
      </c>
      <c r="B4028" s="50" t="str">
        <f>"96/10/02"</f>
        <v>96/10/02</v>
      </c>
      <c r="C4028" s="50" t="s">
        <v>12346</v>
      </c>
      <c r="D4028" s="12" t="str">
        <f>"96/09/25"</f>
        <v>96/09/25</v>
      </c>
      <c r="E4028" s="12" t="s">
        <v>4971</v>
      </c>
      <c r="F4028" s="49">
        <v>198540</v>
      </c>
      <c r="G4028" s="77" t="str">
        <f>"BITUBIZ FZE"</f>
        <v>BITUBIZ FZE</v>
      </c>
      <c r="H4028" s="14" t="s">
        <v>5601</v>
      </c>
      <c r="I4028" s="14" t="s">
        <v>2458</v>
      </c>
      <c r="J4028" s="33" t="s">
        <v>7110</v>
      </c>
      <c r="K4028" s="33" t="s">
        <v>12404</v>
      </c>
      <c r="L4028" s="53" t="str">
        <f>" امارات متحده عربي"</f>
        <v xml:space="preserve"> امارات متحده عربي</v>
      </c>
      <c r="M4028" s="68" t="str">
        <f t="shared" si="87"/>
        <v>بشكه</v>
      </c>
      <c r="N4028" s="53" t="str">
        <f t="shared" si="86"/>
        <v>منطقه ويژه اقتصادي شهيد رجايي</v>
      </c>
      <c r="O4028" s="53">
        <v>50100</v>
      </c>
      <c r="P4028" s="198" t="s">
        <v>12261</v>
      </c>
    </row>
    <row r="4029" spans="1:16" ht="18.75" hidden="1">
      <c r="A4029" s="50" t="str">
        <f>"50100-9672393"</f>
        <v>50100-9672393</v>
      </c>
      <c r="B4029" s="50" t="str">
        <f>"96/10/10"</f>
        <v>96/10/10</v>
      </c>
      <c r="C4029" s="50" t="s">
        <v>12335</v>
      </c>
      <c r="D4029" s="12" t="str">
        <f>"96/07/17"</f>
        <v>96/07/17</v>
      </c>
      <c r="E4029" s="12" t="s">
        <v>4971</v>
      </c>
      <c r="F4029" s="49">
        <v>123486</v>
      </c>
      <c r="G4029" s="77" t="str">
        <f>"LLC Sebco Bitumen"</f>
        <v>LLC Sebco Bitumen</v>
      </c>
      <c r="H4029" s="14" t="s">
        <v>5601</v>
      </c>
      <c r="I4029" s="14" t="s">
        <v>2458</v>
      </c>
      <c r="J4029" s="33" t="s">
        <v>7110</v>
      </c>
      <c r="K4029" s="33" t="s">
        <v>12404</v>
      </c>
      <c r="L4029" s="53" t="str">
        <f>"کنيا"</f>
        <v>کنيا</v>
      </c>
      <c r="M4029" s="68" t="str">
        <f t="shared" si="87"/>
        <v>بشكه</v>
      </c>
      <c r="N4029" s="53" t="str">
        <f t="shared" si="86"/>
        <v>منطقه ويژه اقتصادي شهيد رجايي</v>
      </c>
      <c r="O4029" s="53">
        <v>50100</v>
      </c>
      <c r="P4029" s="198" t="s">
        <v>7175</v>
      </c>
    </row>
    <row r="4030" spans="1:16" ht="18.75" hidden="1">
      <c r="A4030" s="50" t="str">
        <f>"50100-9646235"</f>
        <v>50100-9646235</v>
      </c>
      <c r="B4030" s="50" t="str">
        <f>"96/10/03"</f>
        <v>96/10/03</v>
      </c>
      <c r="C4030" s="50" t="s">
        <v>10141</v>
      </c>
      <c r="D4030" s="12" t="str">
        <f>"96/08/20"</f>
        <v>96/08/20</v>
      </c>
      <c r="E4030" s="12" t="s">
        <v>4971</v>
      </c>
      <c r="F4030" s="49">
        <v>500690</v>
      </c>
      <c r="G4030" s="77" t="str">
        <f>"Black Gold Traders FZE"</f>
        <v>Black Gold Traders FZE</v>
      </c>
      <c r="H4030" s="14" t="s">
        <v>5601</v>
      </c>
      <c r="I4030" s="14" t="s">
        <v>2458</v>
      </c>
      <c r="J4030" s="33" t="s">
        <v>7110</v>
      </c>
      <c r="K4030" s="33" t="s">
        <v>12404</v>
      </c>
      <c r="L4030" s="53" t="str">
        <f>"هند"</f>
        <v>هند</v>
      </c>
      <c r="M4030" s="68" t="str">
        <f t="shared" si="87"/>
        <v>بشكه</v>
      </c>
      <c r="N4030" s="53" t="str">
        <f t="shared" si="86"/>
        <v>منطقه ويژه اقتصادي شهيد رجايي</v>
      </c>
      <c r="O4030" s="53">
        <v>50100</v>
      </c>
      <c r="P4030" s="198" t="s">
        <v>9771</v>
      </c>
    </row>
    <row r="4031" spans="1:16" ht="18.75" hidden="1">
      <c r="A4031" s="50" t="str">
        <f>"50100-9658332"</f>
        <v>50100-9658332</v>
      </c>
      <c r="B4031" s="50" t="str">
        <f>"96/10/06"</f>
        <v>96/10/06</v>
      </c>
      <c r="C4031" s="50" t="s">
        <v>9724</v>
      </c>
      <c r="D4031" s="12" t="str">
        <f>"96/07/17"</f>
        <v>96/07/17</v>
      </c>
      <c r="E4031" s="12" t="s">
        <v>4971</v>
      </c>
      <c r="F4031" s="49">
        <v>31047</v>
      </c>
      <c r="G4031" s="77" t="str">
        <f>"Black Gold Traders FZE"</f>
        <v>Black Gold Traders FZE</v>
      </c>
      <c r="H4031" s="14" t="s">
        <v>5601</v>
      </c>
      <c r="I4031" s="14" t="s">
        <v>2458</v>
      </c>
      <c r="J4031" s="33" t="s">
        <v>7110</v>
      </c>
      <c r="K4031" s="33" t="s">
        <v>12404</v>
      </c>
      <c r="L4031" s="53" t="str">
        <f>"اتيوپي"</f>
        <v>اتيوپي</v>
      </c>
      <c r="M4031" s="68" t="str">
        <f t="shared" si="87"/>
        <v>بشكه</v>
      </c>
      <c r="N4031" s="53" t="str">
        <f t="shared" si="86"/>
        <v>منطقه ويژه اقتصادي شهيد رجايي</v>
      </c>
      <c r="O4031" s="53">
        <v>50100</v>
      </c>
      <c r="P4031" s="198" t="s">
        <v>5842</v>
      </c>
    </row>
    <row r="4032" spans="1:16" ht="18.75" hidden="1">
      <c r="A4032" s="50" t="str">
        <f>"50100-9658332"</f>
        <v>50100-9658332</v>
      </c>
      <c r="B4032" s="50" t="str">
        <f>"96/10/06"</f>
        <v>96/10/06</v>
      </c>
      <c r="C4032" s="50" t="s">
        <v>12322</v>
      </c>
      <c r="D4032" s="12" t="str">
        <f>"96/07/18"</f>
        <v>96/07/18</v>
      </c>
      <c r="E4032" s="12" t="s">
        <v>4971</v>
      </c>
      <c r="F4032" s="49">
        <v>60173</v>
      </c>
      <c r="G4032" s="77" t="str">
        <f>"Black Gold Traders FZE"</f>
        <v>Black Gold Traders FZE</v>
      </c>
      <c r="H4032" s="14" t="s">
        <v>5601</v>
      </c>
      <c r="I4032" s="14" t="s">
        <v>2458</v>
      </c>
      <c r="J4032" s="33" t="s">
        <v>7110</v>
      </c>
      <c r="K4032" s="33" t="s">
        <v>12404</v>
      </c>
      <c r="L4032" s="53" t="str">
        <f>"اتيوپي"</f>
        <v>اتيوپي</v>
      </c>
      <c r="M4032" s="68" t="str">
        <f t="shared" si="87"/>
        <v>بشكه</v>
      </c>
      <c r="N4032" s="53" t="str">
        <f t="shared" si="86"/>
        <v>منطقه ويژه اقتصادي شهيد رجايي</v>
      </c>
      <c r="O4032" s="53">
        <v>50100</v>
      </c>
      <c r="P4032" s="198" t="s">
        <v>5842</v>
      </c>
    </row>
    <row r="4033" spans="1:16" ht="18.75" hidden="1">
      <c r="A4033" s="50" t="str">
        <f>"50100-9652005"</f>
        <v>50100-9652005</v>
      </c>
      <c r="B4033" s="50" t="str">
        <f>"96/10/04"</f>
        <v>96/10/04</v>
      </c>
      <c r="C4033" s="50" t="s">
        <v>9896</v>
      </c>
      <c r="D4033" s="12" t="str">
        <f>"96/07/26"</f>
        <v>96/07/26</v>
      </c>
      <c r="E4033" s="12" t="s">
        <v>4971</v>
      </c>
      <c r="F4033" s="49">
        <v>200170</v>
      </c>
      <c r="G4033" s="77" t="str">
        <f>"Black Gold Traders FZE"</f>
        <v>Black Gold Traders FZE</v>
      </c>
      <c r="H4033" s="14" t="s">
        <v>5601</v>
      </c>
      <c r="I4033" s="14" t="s">
        <v>2458</v>
      </c>
      <c r="J4033" s="33" t="s">
        <v>7110</v>
      </c>
      <c r="K4033" s="33" t="s">
        <v>12404</v>
      </c>
      <c r="L4033" s="53" t="str">
        <f>"هند"</f>
        <v>هند</v>
      </c>
      <c r="M4033" s="68" t="str">
        <f t="shared" si="87"/>
        <v>بشكه</v>
      </c>
      <c r="N4033" s="53" t="str">
        <f t="shared" si="86"/>
        <v>منطقه ويژه اقتصادي شهيد رجايي</v>
      </c>
      <c r="O4033" s="53">
        <v>50100</v>
      </c>
      <c r="P4033" s="198" t="s">
        <v>8753</v>
      </c>
    </row>
    <row r="4034" spans="1:16" ht="18.75" hidden="1">
      <c r="A4034" s="50" t="str">
        <f>"50100-9658332"</f>
        <v>50100-9658332</v>
      </c>
      <c r="B4034" s="50" t="str">
        <f>"96/10/06"</f>
        <v>96/10/06</v>
      </c>
      <c r="C4034" s="50" t="s">
        <v>12347</v>
      </c>
      <c r="D4034" s="12" t="str">
        <f>"96/07/18"</f>
        <v>96/07/18</v>
      </c>
      <c r="E4034" s="12" t="s">
        <v>4971</v>
      </c>
      <c r="F4034" s="49">
        <v>900000</v>
      </c>
      <c r="G4034" s="77" t="str">
        <f>"Black Gold Traders FZE"</f>
        <v>Black Gold Traders FZE</v>
      </c>
      <c r="H4034" s="14" t="s">
        <v>5601</v>
      </c>
      <c r="I4034" s="14" t="s">
        <v>2458</v>
      </c>
      <c r="J4034" s="33" t="s">
        <v>7110</v>
      </c>
      <c r="K4034" s="33" t="s">
        <v>12404</v>
      </c>
      <c r="L4034" s="53" t="str">
        <f>"اتيوپي"</f>
        <v>اتيوپي</v>
      </c>
      <c r="M4034" s="68" t="str">
        <f t="shared" si="87"/>
        <v>بشكه</v>
      </c>
      <c r="N4034" s="53" t="str">
        <f t="shared" si="86"/>
        <v>منطقه ويژه اقتصادي شهيد رجايي</v>
      </c>
      <c r="O4034" s="53">
        <v>50100</v>
      </c>
      <c r="P4034" s="198" t="s">
        <v>5842</v>
      </c>
    </row>
    <row r="4035" spans="1:16" ht="18.75" hidden="1">
      <c r="A4035" s="50" t="str">
        <f>"50100-9662483"</f>
        <v>50100-9662483</v>
      </c>
      <c r="B4035" s="50" t="str">
        <f>"96/10/07"</f>
        <v>96/10/07</v>
      </c>
      <c r="C4035" s="50" t="s">
        <v>10135</v>
      </c>
      <c r="D4035" s="12" t="str">
        <f>"96/07/11"</f>
        <v>96/07/11</v>
      </c>
      <c r="E4035" s="12" t="s">
        <v>4971</v>
      </c>
      <c r="F4035" s="49">
        <v>325445</v>
      </c>
      <c r="G4035" s="77" t="str">
        <f>"LLC Sebco Bitumen"</f>
        <v>LLC Sebco Bitumen</v>
      </c>
      <c r="H4035" s="14" t="s">
        <v>5601</v>
      </c>
      <c r="I4035" s="14" t="s">
        <v>2458</v>
      </c>
      <c r="J4035" s="33" t="s">
        <v>7110</v>
      </c>
      <c r="K4035" s="33" t="s">
        <v>12404</v>
      </c>
      <c r="L4035" s="53" t="str">
        <f>"هند"</f>
        <v>هند</v>
      </c>
      <c r="M4035" s="68" t="str">
        <f t="shared" si="87"/>
        <v>بشكه</v>
      </c>
      <c r="N4035" s="53" t="str">
        <f t="shared" si="86"/>
        <v>منطقه ويژه اقتصادي شهيد رجايي</v>
      </c>
      <c r="O4035" s="53">
        <v>50100</v>
      </c>
      <c r="P4035" s="198" t="s">
        <v>7111</v>
      </c>
    </row>
    <row r="4036" spans="1:16" ht="18.75" hidden="1">
      <c r="A4036" s="50" t="str">
        <f>"50100-9672393"</f>
        <v>50100-9672393</v>
      </c>
      <c r="B4036" s="50" t="str">
        <f>"96/10/10"</f>
        <v>96/10/10</v>
      </c>
      <c r="C4036" s="50" t="s">
        <v>12321</v>
      </c>
      <c r="D4036" s="12" t="str">
        <f>"96/07/16"</f>
        <v>96/07/16</v>
      </c>
      <c r="E4036" s="12" t="s">
        <v>4971</v>
      </c>
      <c r="F4036" s="49">
        <v>396514</v>
      </c>
      <c r="G4036" s="77" t="str">
        <f>"LLC Sebco Bitumen"</f>
        <v>LLC Sebco Bitumen</v>
      </c>
      <c r="H4036" s="14" t="s">
        <v>5601</v>
      </c>
      <c r="I4036" s="14" t="s">
        <v>2458</v>
      </c>
      <c r="J4036" s="33" t="s">
        <v>7110</v>
      </c>
      <c r="K4036" s="33" t="s">
        <v>12404</v>
      </c>
      <c r="L4036" s="53" t="str">
        <f>"کنيا"</f>
        <v>کنيا</v>
      </c>
      <c r="M4036" s="68" t="str">
        <f t="shared" si="87"/>
        <v>بشكه</v>
      </c>
      <c r="N4036" s="53" t="str">
        <f t="shared" si="86"/>
        <v>منطقه ويژه اقتصادي شهيد رجايي</v>
      </c>
      <c r="O4036" s="53">
        <v>50100</v>
      </c>
      <c r="P4036" s="198" t="s">
        <v>7175</v>
      </c>
    </row>
    <row r="4037" spans="1:16" ht="18.75" hidden="1">
      <c r="A4037" s="50" t="s">
        <v>12348</v>
      </c>
      <c r="B4037" s="50" t="s">
        <v>12349</v>
      </c>
      <c r="C4037" s="50" t="s">
        <v>12350</v>
      </c>
      <c r="D4037" s="12" t="s">
        <v>9813</v>
      </c>
      <c r="E4037" s="12" t="s">
        <v>4971</v>
      </c>
      <c r="F4037" s="49">
        <v>75390</v>
      </c>
      <c r="G4037" s="77" t="s">
        <v>6298</v>
      </c>
      <c r="H4037" s="14" t="s">
        <v>5601</v>
      </c>
      <c r="I4037" s="14" t="s">
        <v>2458</v>
      </c>
      <c r="J4037" s="33" t="s">
        <v>7110</v>
      </c>
      <c r="K4037" s="33" t="s">
        <v>12404</v>
      </c>
      <c r="L4037" s="53" t="s">
        <v>6054</v>
      </c>
      <c r="M4037" s="68" t="s">
        <v>8912</v>
      </c>
      <c r="N4037" s="53" t="s">
        <v>6286</v>
      </c>
      <c r="O4037" s="53">
        <v>55107</v>
      </c>
      <c r="P4037" s="198" t="s">
        <v>8698</v>
      </c>
    </row>
    <row r="4038" spans="1:16" ht="18.75" hidden="1">
      <c r="A4038" s="50" t="s">
        <v>12351</v>
      </c>
      <c r="B4038" s="50" t="s">
        <v>12352</v>
      </c>
      <c r="C4038" s="50" t="s">
        <v>12180</v>
      </c>
      <c r="D4038" s="12" t="s">
        <v>10052</v>
      </c>
      <c r="E4038" s="12" t="s">
        <v>4971</v>
      </c>
      <c r="F4038" s="49">
        <v>71350</v>
      </c>
      <c r="G4038" s="77" t="s">
        <v>6300</v>
      </c>
      <c r="H4038" s="14" t="s">
        <v>5601</v>
      </c>
      <c r="I4038" s="14" t="s">
        <v>2458</v>
      </c>
      <c r="J4038" s="33" t="s">
        <v>7110</v>
      </c>
      <c r="K4038" s="33" t="s">
        <v>12404</v>
      </c>
      <c r="L4038" s="53" t="s">
        <v>6051</v>
      </c>
      <c r="M4038" s="68" t="s">
        <v>8912</v>
      </c>
      <c r="N4038" s="53" t="s">
        <v>12405</v>
      </c>
      <c r="O4038" s="53">
        <v>55105</v>
      </c>
      <c r="P4038" s="198" t="s">
        <v>9794</v>
      </c>
    </row>
    <row r="4039" spans="1:16" ht="18.75" hidden="1">
      <c r="A4039" s="50" t="s">
        <v>12353</v>
      </c>
      <c r="B4039" s="50" t="s">
        <v>12354</v>
      </c>
      <c r="C4039" s="50" t="s">
        <v>12355</v>
      </c>
      <c r="D4039" s="12" t="s">
        <v>10033</v>
      </c>
      <c r="E4039" s="12" t="s">
        <v>4971</v>
      </c>
      <c r="F4039" s="49">
        <v>140000</v>
      </c>
      <c r="G4039" s="77" t="s">
        <v>6298</v>
      </c>
      <c r="H4039" s="14" t="s">
        <v>5601</v>
      </c>
      <c r="I4039" s="14" t="s">
        <v>2458</v>
      </c>
      <c r="J4039" s="33" t="s">
        <v>7110</v>
      </c>
      <c r="K4039" s="33" t="s">
        <v>12404</v>
      </c>
      <c r="L4039" s="53" t="s">
        <v>6054</v>
      </c>
      <c r="M4039" s="68" t="s">
        <v>8913</v>
      </c>
      <c r="N4039" s="53" t="s">
        <v>6076</v>
      </c>
      <c r="O4039" s="53">
        <v>55301</v>
      </c>
      <c r="P4039" s="198" t="s">
        <v>9769</v>
      </c>
    </row>
    <row r="4040" spans="1:16" ht="18.75" hidden="1">
      <c r="A4040" s="50" t="s">
        <v>12356</v>
      </c>
      <c r="B4040" s="50" t="s">
        <v>10145</v>
      </c>
      <c r="C4040" s="50" t="s">
        <v>12357</v>
      </c>
      <c r="D4040" s="12" t="s">
        <v>9720</v>
      </c>
      <c r="E4040" s="12" t="s">
        <v>4971</v>
      </c>
      <c r="F4040" s="49">
        <v>73220</v>
      </c>
      <c r="G4040" s="77" t="s">
        <v>6298</v>
      </c>
      <c r="H4040" s="14" t="s">
        <v>5601</v>
      </c>
      <c r="I4040" s="14" t="s">
        <v>2458</v>
      </c>
      <c r="J4040" s="33" t="s">
        <v>7110</v>
      </c>
      <c r="K4040" s="33" t="s">
        <v>12404</v>
      </c>
      <c r="L4040" s="53" t="s">
        <v>6054</v>
      </c>
      <c r="M4040" s="68" t="s">
        <v>8912</v>
      </c>
      <c r="N4040" s="53" t="s">
        <v>6076</v>
      </c>
      <c r="O4040" s="53">
        <v>55301</v>
      </c>
      <c r="P4040" s="198" t="s">
        <v>8698</v>
      </c>
    </row>
    <row r="4041" spans="1:16" ht="18.75" hidden="1">
      <c r="A4041" s="50" t="s">
        <v>12358</v>
      </c>
      <c r="B4041" s="50" t="s">
        <v>12359</v>
      </c>
      <c r="C4041" s="50" t="s">
        <v>12357</v>
      </c>
      <c r="D4041" s="12" t="s">
        <v>9720</v>
      </c>
      <c r="E4041" s="12" t="s">
        <v>4971</v>
      </c>
      <c r="F4041" s="49">
        <v>12050</v>
      </c>
      <c r="G4041" s="77" t="s">
        <v>6298</v>
      </c>
      <c r="H4041" s="14" t="s">
        <v>5601</v>
      </c>
      <c r="I4041" s="14" t="s">
        <v>2458</v>
      </c>
      <c r="J4041" s="33" t="s">
        <v>7110</v>
      </c>
      <c r="K4041" s="33" t="s">
        <v>12404</v>
      </c>
      <c r="L4041" s="53" t="s">
        <v>6054</v>
      </c>
      <c r="M4041" s="68" t="s">
        <v>8912</v>
      </c>
      <c r="N4041" s="53" t="s">
        <v>6285</v>
      </c>
      <c r="O4041" s="53">
        <v>55200</v>
      </c>
      <c r="P4041" s="198" t="s">
        <v>8698</v>
      </c>
    </row>
    <row r="4042" spans="1:16" ht="18.75" hidden="1">
      <c r="A4042" s="50" t="s">
        <v>12358</v>
      </c>
      <c r="B4042" s="50" t="s">
        <v>12359</v>
      </c>
      <c r="C4042" s="50" t="s">
        <v>12360</v>
      </c>
      <c r="D4042" s="12" t="s">
        <v>9830</v>
      </c>
      <c r="E4042" s="12" t="s">
        <v>4971</v>
      </c>
      <c r="F4042" s="49">
        <v>113295</v>
      </c>
      <c r="G4042" s="77" t="s">
        <v>6298</v>
      </c>
      <c r="H4042" s="14" t="s">
        <v>5601</v>
      </c>
      <c r="I4042" s="14" t="s">
        <v>2458</v>
      </c>
      <c r="J4042" s="33" t="s">
        <v>7110</v>
      </c>
      <c r="K4042" s="33" t="s">
        <v>12404</v>
      </c>
      <c r="L4042" s="53" t="s">
        <v>6054</v>
      </c>
      <c r="M4042" s="68" t="s">
        <v>8912</v>
      </c>
      <c r="N4042" s="53" t="s">
        <v>6285</v>
      </c>
      <c r="O4042" s="53">
        <v>55200</v>
      </c>
      <c r="P4042" s="198" t="s">
        <v>8698</v>
      </c>
    </row>
    <row r="4043" spans="1:16" ht="18.75" hidden="1">
      <c r="A4043" s="50" t="s">
        <v>12361</v>
      </c>
      <c r="B4043" s="50" t="s">
        <v>10145</v>
      </c>
      <c r="C4043" s="50" t="s">
        <v>12362</v>
      </c>
      <c r="D4043" s="12" t="s">
        <v>10008</v>
      </c>
      <c r="E4043" s="12" t="s">
        <v>4971</v>
      </c>
      <c r="F4043" s="49">
        <v>117650</v>
      </c>
      <c r="G4043" s="77" t="s">
        <v>6454</v>
      </c>
      <c r="H4043" s="14" t="s">
        <v>5601</v>
      </c>
      <c r="I4043" s="14" t="s">
        <v>2458</v>
      </c>
      <c r="J4043" s="33" t="s">
        <v>7110</v>
      </c>
      <c r="K4043" s="33" t="s">
        <v>12404</v>
      </c>
      <c r="L4043" s="53" t="s">
        <v>6054</v>
      </c>
      <c r="M4043" s="68" t="s">
        <v>8913</v>
      </c>
      <c r="N4043" s="53" t="s">
        <v>6076</v>
      </c>
      <c r="O4043" s="53">
        <v>55301</v>
      </c>
      <c r="P4043" s="198" t="s">
        <v>9797</v>
      </c>
    </row>
    <row r="4044" spans="1:16" ht="18.75" hidden="1">
      <c r="A4044" s="50" t="s">
        <v>12363</v>
      </c>
      <c r="B4044" s="50" t="s">
        <v>12364</v>
      </c>
      <c r="C4044" s="50" t="s">
        <v>12180</v>
      </c>
      <c r="D4044" s="12" t="s">
        <v>10052</v>
      </c>
      <c r="E4044" s="12" t="s">
        <v>4971</v>
      </c>
      <c r="F4044" s="49">
        <v>46300</v>
      </c>
      <c r="G4044" s="77" t="s">
        <v>6300</v>
      </c>
      <c r="H4044" s="14" t="s">
        <v>5601</v>
      </c>
      <c r="I4044" s="14" t="s">
        <v>2458</v>
      </c>
      <c r="J4044" s="33" t="s">
        <v>7110</v>
      </c>
      <c r="K4044" s="33" t="s">
        <v>12404</v>
      </c>
      <c r="L4044" s="53" t="s">
        <v>6051</v>
      </c>
      <c r="M4044" s="68" t="s">
        <v>8912</v>
      </c>
      <c r="N4044" s="53" t="s">
        <v>12405</v>
      </c>
      <c r="O4044" s="53">
        <v>55105</v>
      </c>
      <c r="P4044" s="198" t="s">
        <v>9794</v>
      </c>
    </row>
    <row r="4045" spans="1:16" ht="18.75" hidden="1">
      <c r="A4045" s="50" t="s">
        <v>12361</v>
      </c>
      <c r="B4045" s="50" t="s">
        <v>10145</v>
      </c>
      <c r="C4045" s="50" t="s">
        <v>12365</v>
      </c>
      <c r="D4045" s="12" t="s">
        <v>10033</v>
      </c>
      <c r="E4045" s="12" t="s">
        <v>4971</v>
      </c>
      <c r="F4045" s="49">
        <v>45940</v>
      </c>
      <c r="G4045" s="77" t="s">
        <v>6300</v>
      </c>
      <c r="H4045" s="14" t="s">
        <v>5601</v>
      </c>
      <c r="I4045" s="14" t="s">
        <v>2458</v>
      </c>
      <c r="J4045" s="33" t="s">
        <v>7110</v>
      </c>
      <c r="K4045" s="33" t="s">
        <v>12404</v>
      </c>
      <c r="L4045" s="53" t="s">
        <v>6054</v>
      </c>
      <c r="M4045" s="68" t="s">
        <v>8913</v>
      </c>
      <c r="N4045" s="53" t="s">
        <v>6076</v>
      </c>
      <c r="O4045" s="53">
        <v>55301</v>
      </c>
      <c r="P4045" s="198" t="s">
        <v>12219</v>
      </c>
    </row>
    <row r="4046" spans="1:16" ht="18.75" hidden="1">
      <c r="A4046" s="50" t="s">
        <v>12366</v>
      </c>
      <c r="B4046" s="50" t="s">
        <v>12367</v>
      </c>
      <c r="C4046" s="50" t="s">
        <v>10013</v>
      </c>
      <c r="D4046" s="12" t="s">
        <v>9835</v>
      </c>
      <c r="E4046" s="12" t="s">
        <v>4971</v>
      </c>
      <c r="F4046" s="49">
        <v>74930</v>
      </c>
      <c r="G4046" s="77" t="s">
        <v>6453</v>
      </c>
      <c r="H4046" s="14" t="s">
        <v>5601</v>
      </c>
      <c r="I4046" s="14" t="s">
        <v>2458</v>
      </c>
      <c r="J4046" s="33" t="e">
        <f>VLOOKUP(C4046,شرکتها!A:B,2,FALSE)</f>
        <v>#N/A</v>
      </c>
      <c r="K4046" s="33" t="s">
        <v>12404</v>
      </c>
      <c r="L4046" s="53" t="s">
        <v>6054</v>
      </c>
      <c r="M4046" s="68" t="s">
        <v>8912</v>
      </c>
      <c r="N4046" s="53" t="s">
        <v>6285</v>
      </c>
      <c r="O4046" s="53">
        <v>55200</v>
      </c>
      <c r="P4046" s="198" t="s">
        <v>9770</v>
      </c>
    </row>
    <row r="4047" spans="1:16" ht="18.75" hidden="1">
      <c r="A4047" s="50" t="s">
        <v>12368</v>
      </c>
      <c r="B4047" s="50" t="s">
        <v>12349</v>
      </c>
      <c r="C4047" s="50" t="s">
        <v>12350</v>
      </c>
      <c r="D4047" s="12" t="s">
        <v>9813</v>
      </c>
      <c r="E4047" s="12" t="s">
        <v>4971</v>
      </c>
      <c r="F4047" s="49">
        <v>150110</v>
      </c>
      <c r="G4047" s="77" t="s">
        <v>6298</v>
      </c>
      <c r="H4047" s="14" t="s">
        <v>5601</v>
      </c>
      <c r="I4047" s="14" t="s">
        <v>2458</v>
      </c>
      <c r="J4047" s="33" t="s">
        <v>7110</v>
      </c>
      <c r="K4047" s="33" t="s">
        <v>12404</v>
      </c>
      <c r="L4047" s="53" t="s">
        <v>6054</v>
      </c>
      <c r="M4047" s="68" t="s">
        <v>8912</v>
      </c>
      <c r="N4047" s="53" t="s">
        <v>6285</v>
      </c>
      <c r="O4047" s="53">
        <v>55200</v>
      </c>
      <c r="P4047" s="198" t="s">
        <v>8698</v>
      </c>
    </row>
    <row r="4048" spans="1:16" ht="18.75" hidden="1">
      <c r="A4048" s="50" t="s">
        <v>12353</v>
      </c>
      <c r="B4048" s="50" t="s">
        <v>12354</v>
      </c>
      <c r="C4048" s="50" t="s">
        <v>12369</v>
      </c>
      <c r="D4048" s="12" t="s">
        <v>9827</v>
      </c>
      <c r="E4048" s="12" t="s">
        <v>4971</v>
      </c>
      <c r="F4048" s="49">
        <v>130000</v>
      </c>
      <c r="G4048" s="77" t="s">
        <v>6298</v>
      </c>
      <c r="H4048" s="14" t="s">
        <v>5601</v>
      </c>
      <c r="I4048" s="14" t="s">
        <v>2458</v>
      </c>
      <c r="J4048" s="33" t="s">
        <v>7110</v>
      </c>
      <c r="K4048" s="33" t="s">
        <v>12404</v>
      </c>
      <c r="L4048" s="53" t="s">
        <v>6054</v>
      </c>
      <c r="M4048" s="68" t="s">
        <v>8913</v>
      </c>
      <c r="N4048" s="53" t="s">
        <v>6076</v>
      </c>
      <c r="O4048" s="53">
        <v>55301</v>
      </c>
      <c r="P4048" s="198" t="s">
        <v>9769</v>
      </c>
    </row>
    <row r="4049" spans="1:16" ht="18.75" hidden="1">
      <c r="A4049" s="50" t="s">
        <v>12353</v>
      </c>
      <c r="B4049" s="50" t="s">
        <v>12354</v>
      </c>
      <c r="C4049" s="50" t="s">
        <v>12370</v>
      </c>
      <c r="D4049" s="12" t="s">
        <v>9813</v>
      </c>
      <c r="E4049" s="12" t="s">
        <v>4971</v>
      </c>
      <c r="F4049" s="49">
        <v>60380</v>
      </c>
      <c r="G4049" s="77" t="s">
        <v>6298</v>
      </c>
      <c r="H4049" s="14" t="s">
        <v>5601</v>
      </c>
      <c r="I4049" s="14" t="s">
        <v>2458</v>
      </c>
      <c r="J4049" s="33" t="s">
        <v>7110</v>
      </c>
      <c r="K4049" s="33" t="s">
        <v>12404</v>
      </c>
      <c r="L4049" s="53" t="s">
        <v>6054</v>
      </c>
      <c r="M4049" s="68" t="s">
        <v>8913</v>
      </c>
      <c r="N4049" s="53" t="s">
        <v>6076</v>
      </c>
      <c r="O4049" s="53">
        <v>55301</v>
      </c>
      <c r="P4049" s="198" t="s">
        <v>9769</v>
      </c>
    </row>
    <row r="4050" spans="1:16" ht="18.75" hidden="1">
      <c r="A4050" s="50" t="s">
        <v>12353</v>
      </c>
      <c r="B4050" s="50" t="s">
        <v>12354</v>
      </c>
      <c r="C4050" s="50" t="s">
        <v>12371</v>
      </c>
      <c r="D4050" s="12" t="s">
        <v>10052</v>
      </c>
      <c r="E4050" s="12" t="s">
        <v>4971</v>
      </c>
      <c r="F4050" s="49">
        <v>130000</v>
      </c>
      <c r="G4050" s="77" t="s">
        <v>6298</v>
      </c>
      <c r="H4050" s="14" t="s">
        <v>5601</v>
      </c>
      <c r="I4050" s="14" t="s">
        <v>2458</v>
      </c>
      <c r="J4050" s="33" t="s">
        <v>7110</v>
      </c>
      <c r="K4050" s="33" t="s">
        <v>12404</v>
      </c>
      <c r="L4050" s="53" t="s">
        <v>6054</v>
      </c>
      <c r="M4050" s="68" t="s">
        <v>8913</v>
      </c>
      <c r="N4050" s="53" t="s">
        <v>6076</v>
      </c>
      <c r="O4050" s="53">
        <v>55301</v>
      </c>
      <c r="P4050" s="198" t="s">
        <v>9769</v>
      </c>
    </row>
    <row r="4051" spans="1:16" ht="18.75" hidden="1">
      <c r="A4051" s="50" t="s">
        <v>12372</v>
      </c>
      <c r="B4051" s="50" t="s">
        <v>12359</v>
      </c>
      <c r="C4051" s="50" t="s">
        <v>12362</v>
      </c>
      <c r="D4051" s="12" t="s">
        <v>10008</v>
      </c>
      <c r="E4051" s="12" t="s">
        <v>4971</v>
      </c>
      <c r="F4051" s="49">
        <v>71970</v>
      </c>
      <c r="G4051" s="77" t="s">
        <v>6454</v>
      </c>
      <c r="H4051" s="14" t="s">
        <v>5601</v>
      </c>
      <c r="I4051" s="14" t="s">
        <v>2458</v>
      </c>
      <c r="J4051" s="33" t="s">
        <v>7110</v>
      </c>
      <c r="K4051" s="33" t="s">
        <v>12404</v>
      </c>
      <c r="L4051" s="53" t="s">
        <v>6054</v>
      </c>
      <c r="M4051" s="68" t="s">
        <v>8913</v>
      </c>
      <c r="N4051" s="53" t="s">
        <v>6286</v>
      </c>
      <c r="O4051" s="53">
        <v>55107</v>
      </c>
      <c r="P4051" s="198" t="s">
        <v>9797</v>
      </c>
    </row>
    <row r="4052" spans="1:16" ht="18.75" hidden="1">
      <c r="A4052" s="50" t="s">
        <v>12353</v>
      </c>
      <c r="B4052" s="50" t="s">
        <v>12354</v>
      </c>
      <c r="C4052" s="50" t="s">
        <v>10013</v>
      </c>
      <c r="D4052" s="12" t="s">
        <v>9835</v>
      </c>
      <c r="E4052" s="12" t="s">
        <v>4971</v>
      </c>
      <c r="F4052" s="49">
        <v>181340</v>
      </c>
      <c r="G4052" s="77" t="s">
        <v>6453</v>
      </c>
      <c r="H4052" s="14" t="s">
        <v>5601</v>
      </c>
      <c r="I4052" s="14" t="s">
        <v>2458</v>
      </c>
      <c r="J4052" s="33" t="e">
        <f>VLOOKUP(C4052,شرکتها!A:B,2,FALSE)</f>
        <v>#N/A</v>
      </c>
      <c r="K4052" s="33" t="s">
        <v>12404</v>
      </c>
      <c r="L4052" s="53" t="s">
        <v>6054</v>
      </c>
      <c r="M4052" s="68" t="s">
        <v>8913</v>
      </c>
      <c r="N4052" s="53" t="s">
        <v>6076</v>
      </c>
      <c r="O4052" s="53">
        <v>55301</v>
      </c>
      <c r="P4052" s="198" t="s">
        <v>9770</v>
      </c>
    </row>
    <row r="4053" spans="1:16" ht="18.75" hidden="1">
      <c r="A4053" s="50" t="s">
        <v>12373</v>
      </c>
      <c r="B4053" s="50" t="s">
        <v>12374</v>
      </c>
      <c r="C4053" s="50" t="s">
        <v>12180</v>
      </c>
      <c r="D4053" s="12" t="s">
        <v>10052</v>
      </c>
      <c r="E4053" s="12" t="s">
        <v>4971</v>
      </c>
      <c r="F4053" s="49">
        <v>22410</v>
      </c>
      <c r="G4053" s="77" t="s">
        <v>6300</v>
      </c>
      <c r="H4053" s="14" t="s">
        <v>5601</v>
      </c>
      <c r="I4053" s="14" t="s">
        <v>2458</v>
      </c>
      <c r="J4053" s="33" t="s">
        <v>7110</v>
      </c>
      <c r="K4053" s="33" t="s">
        <v>12404</v>
      </c>
      <c r="L4053" s="53" t="s">
        <v>6051</v>
      </c>
      <c r="M4053" s="68" t="s">
        <v>8912</v>
      </c>
      <c r="N4053" s="53" t="s">
        <v>12405</v>
      </c>
      <c r="O4053" s="53">
        <v>55105</v>
      </c>
      <c r="P4053" s="198" t="s">
        <v>9794</v>
      </c>
    </row>
    <row r="4054" spans="1:16" ht="18.75" hidden="1">
      <c r="A4054" s="50" t="s">
        <v>12375</v>
      </c>
      <c r="B4054" s="50" t="s">
        <v>9998</v>
      </c>
      <c r="C4054" s="50" t="s">
        <v>12180</v>
      </c>
      <c r="D4054" s="12" t="s">
        <v>10052</v>
      </c>
      <c r="E4054" s="12" t="s">
        <v>4971</v>
      </c>
      <c r="F4054" s="49">
        <v>92470</v>
      </c>
      <c r="G4054" s="77" t="s">
        <v>6300</v>
      </c>
      <c r="H4054" s="14" t="s">
        <v>5601</v>
      </c>
      <c r="I4054" s="14" t="s">
        <v>2458</v>
      </c>
      <c r="J4054" s="33" t="s">
        <v>7110</v>
      </c>
      <c r="K4054" s="33" t="s">
        <v>12404</v>
      </c>
      <c r="L4054" s="53" t="s">
        <v>6051</v>
      </c>
      <c r="M4054" s="68" t="s">
        <v>8912</v>
      </c>
      <c r="N4054" s="53" t="s">
        <v>12405</v>
      </c>
      <c r="O4054" s="53">
        <v>55105</v>
      </c>
      <c r="P4054" s="198" t="s">
        <v>9794</v>
      </c>
    </row>
    <row r="4055" spans="1:16" ht="18.75" hidden="1">
      <c r="A4055" s="50" t="s">
        <v>12376</v>
      </c>
      <c r="B4055" s="50" t="s">
        <v>10145</v>
      </c>
      <c r="C4055" s="50" t="s">
        <v>12183</v>
      </c>
      <c r="D4055" s="12" t="s">
        <v>10024</v>
      </c>
      <c r="E4055" s="12" t="s">
        <v>4971</v>
      </c>
      <c r="F4055" s="49">
        <v>56460</v>
      </c>
      <c r="G4055" s="77" t="s">
        <v>6454</v>
      </c>
      <c r="H4055" s="14" t="s">
        <v>5601</v>
      </c>
      <c r="I4055" s="14" t="s">
        <v>2458</v>
      </c>
      <c r="J4055" s="33" t="s">
        <v>7110</v>
      </c>
      <c r="K4055" s="33" t="s">
        <v>12404</v>
      </c>
      <c r="L4055" s="53" t="s">
        <v>6054</v>
      </c>
      <c r="M4055" s="68" t="s">
        <v>8913</v>
      </c>
      <c r="N4055" s="53" t="s">
        <v>6286</v>
      </c>
      <c r="O4055" s="53">
        <v>55107</v>
      </c>
      <c r="P4055" s="198" t="s">
        <v>9796</v>
      </c>
    </row>
    <row r="4056" spans="1:16" ht="18.75" hidden="1">
      <c r="A4056" s="50" t="s">
        <v>12376</v>
      </c>
      <c r="B4056" s="50" t="s">
        <v>10145</v>
      </c>
      <c r="C4056" s="50" t="s">
        <v>12362</v>
      </c>
      <c r="D4056" s="12" t="s">
        <v>10008</v>
      </c>
      <c r="E4056" s="12" t="s">
        <v>4971</v>
      </c>
      <c r="F4056" s="49">
        <v>9720</v>
      </c>
      <c r="G4056" s="77" t="s">
        <v>6454</v>
      </c>
      <c r="H4056" s="14" t="s">
        <v>5601</v>
      </c>
      <c r="I4056" s="14" t="s">
        <v>2458</v>
      </c>
      <c r="J4056" s="33" t="s">
        <v>7110</v>
      </c>
      <c r="K4056" s="33" t="s">
        <v>12404</v>
      </c>
      <c r="L4056" s="53" t="s">
        <v>6054</v>
      </c>
      <c r="M4056" s="68" t="s">
        <v>8913</v>
      </c>
      <c r="N4056" s="53" t="s">
        <v>6286</v>
      </c>
      <c r="O4056" s="53">
        <v>55107</v>
      </c>
      <c r="P4056" s="198" t="s">
        <v>9797</v>
      </c>
    </row>
    <row r="4057" spans="1:16" ht="18.75" hidden="1">
      <c r="A4057" s="50" t="s">
        <v>12372</v>
      </c>
      <c r="B4057" s="50" t="s">
        <v>12359</v>
      </c>
      <c r="C4057" s="50" t="s">
        <v>12377</v>
      </c>
      <c r="D4057" s="12" t="s">
        <v>9995</v>
      </c>
      <c r="E4057" s="12" t="s">
        <v>4971</v>
      </c>
      <c r="F4057" s="49">
        <v>49530</v>
      </c>
      <c r="G4057" s="77" t="s">
        <v>6454</v>
      </c>
      <c r="H4057" s="14" t="s">
        <v>5601</v>
      </c>
      <c r="I4057" s="14" t="s">
        <v>2458</v>
      </c>
      <c r="J4057" s="33" t="s">
        <v>7110</v>
      </c>
      <c r="K4057" s="33" t="s">
        <v>12404</v>
      </c>
      <c r="L4057" s="53" t="s">
        <v>6054</v>
      </c>
      <c r="M4057" s="68" t="s">
        <v>8913</v>
      </c>
      <c r="N4057" s="53" t="s">
        <v>6286</v>
      </c>
      <c r="O4057" s="53">
        <v>55107</v>
      </c>
      <c r="P4057" s="198" t="s">
        <v>9790</v>
      </c>
    </row>
    <row r="4058" spans="1:16" ht="18.75" hidden="1">
      <c r="A4058" s="50" t="s">
        <v>12376</v>
      </c>
      <c r="B4058" s="50" t="s">
        <v>10145</v>
      </c>
      <c r="C4058" s="50" t="s">
        <v>12378</v>
      </c>
      <c r="D4058" s="12" t="s">
        <v>10028</v>
      </c>
      <c r="E4058" s="12" t="s">
        <v>4971</v>
      </c>
      <c r="F4058" s="49">
        <v>9680</v>
      </c>
      <c r="G4058" s="77" t="s">
        <v>6454</v>
      </c>
      <c r="H4058" s="14" t="s">
        <v>5601</v>
      </c>
      <c r="I4058" s="14" t="s">
        <v>2458</v>
      </c>
      <c r="J4058" s="33" t="s">
        <v>7110</v>
      </c>
      <c r="K4058" s="33" t="s">
        <v>12404</v>
      </c>
      <c r="L4058" s="53" t="s">
        <v>6054</v>
      </c>
      <c r="M4058" s="68" t="s">
        <v>8913</v>
      </c>
      <c r="N4058" s="53" t="s">
        <v>6286</v>
      </c>
      <c r="O4058" s="53">
        <v>55107</v>
      </c>
      <c r="P4058" s="198" t="s">
        <v>9789</v>
      </c>
    </row>
    <row r="4059" spans="1:16" ht="18.75" hidden="1">
      <c r="A4059" s="50" t="s">
        <v>12379</v>
      </c>
      <c r="B4059" s="50" t="s">
        <v>12380</v>
      </c>
      <c r="C4059" s="50" t="s">
        <v>12365</v>
      </c>
      <c r="D4059" s="12" t="s">
        <v>10033</v>
      </c>
      <c r="E4059" s="12" t="s">
        <v>4971</v>
      </c>
      <c r="F4059" s="49">
        <v>151670</v>
      </c>
      <c r="G4059" s="77" t="s">
        <v>6300</v>
      </c>
      <c r="H4059" s="14" t="s">
        <v>5601</v>
      </c>
      <c r="I4059" s="14" t="s">
        <v>2458</v>
      </c>
      <c r="J4059" s="33" t="s">
        <v>7110</v>
      </c>
      <c r="K4059" s="33" t="s">
        <v>12404</v>
      </c>
      <c r="L4059" s="53" t="s">
        <v>6054</v>
      </c>
      <c r="M4059" s="68" t="s">
        <v>8912</v>
      </c>
      <c r="N4059" s="53" t="s">
        <v>6285</v>
      </c>
      <c r="O4059" s="53">
        <v>55200</v>
      </c>
      <c r="P4059" s="198" t="s">
        <v>12219</v>
      </c>
    </row>
    <row r="4060" spans="1:16" ht="18.75" hidden="1">
      <c r="A4060" s="50" t="s">
        <v>12381</v>
      </c>
      <c r="B4060" s="50" t="s">
        <v>12374</v>
      </c>
      <c r="C4060" s="50" t="s">
        <v>12382</v>
      </c>
      <c r="D4060" s="12" t="s">
        <v>10036</v>
      </c>
      <c r="E4060" s="12" t="s">
        <v>4971</v>
      </c>
      <c r="F4060" s="49">
        <v>236180</v>
      </c>
      <c r="G4060" s="77" t="s">
        <v>6454</v>
      </c>
      <c r="H4060" s="14" t="s">
        <v>5601</v>
      </c>
      <c r="I4060" s="14" t="s">
        <v>2458</v>
      </c>
      <c r="J4060" s="33" t="s">
        <v>7110</v>
      </c>
      <c r="K4060" s="33" t="s">
        <v>12404</v>
      </c>
      <c r="L4060" s="53" t="s">
        <v>6054</v>
      </c>
      <c r="M4060" s="68" t="s">
        <v>8913</v>
      </c>
      <c r="N4060" s="53" t="s">
        <v>6076</v>
      </c>
      <c r="O4060" s="53">
        <v>55301</v>
      </c>
      <c r="P4060" s="198" t="s">
        <v>9797</v>
      </c>
    </row>
    <row r="4061" spans="1:16" ht="18.75" hidden="1">
      <c r="A4061" s="50" t="s">
        <v>12383</v>
      </c>
      <c r="B4061" s="50" t="s">
        <v>12364</v>
      </c>
      <c r="C4061" s="50" t="s">
        <v>12182</v>
      </c>
      <c r="D4061" s="12" t="s">
        <v>8911</v>
      </c>
      <c r="E4061" s="12" t="s">
        <v>4971</v>
      </c>
      <c r="F4061" s="49">
        <v>373050</v>
      </c>
      <c r="G4061" s="77" t="s">
        <v>6298</v>
      </c>
      <c r="H4061" s="14" t="s">
        <v>5601</v>
      </c>
      <c r="I4061" s="14" t="s">
        <v>2458</v>
      </c>
      <c r="J4061" s="33" t="s">
        <v>7110</v>
      </c>
      <c r="K4061" s="33" t="s">
        <v>12404</v>
      </c>
      <c r="L4061" s="53" t="s">
        <v>6054</v>
      </c>
      <c r="M4061" s="68" t="s">
        <v>8912</v>
      </c>
      <c r="N4061" s="53" t="s">
        <v>6285</v>
      </c>
      <c r="O4061" s="53">
        <v>55200</v>
      </c>
      <c r="P4061" s="198" t="s">
        <v>8698</v>
      </c>
    </row>
    <row r="4062" spans="1:16" ht="18.75" hidden="1">
      <c r="A4062" s="50" t="s">
        <v>12384</v>
      </c>
      <c r="B4062" s="50" t="s">
        <v>12352</v>
      </c>
      <c r="C4062" s="50" t="s">
        <v>12182</v>
      </c>
      <c r="D4062" s="12" t="s">
        <v>8911</v>
      </c>
      <c r="E4062" s="12" t="s">
        <v>4971</v>
      </c>
      <c r="F4062" s="49">
        <v>149350</v>
      </c>
      <c r="G4062" s="77" t="s">
        <v>6298</v>
      </c>
      <c r="H4062" s="14" t="s">
        <v>5601</v>
      </c>
      <c r="I4062" s="14" t="s">
        <v>2458</v>
      </c>
      <c r="J4062" s="33" t="s">
        <v>7110</v>
      </c>
      <c r="K4062" s="33" t="s">
        <v>12404</v>
      </c>
      <c r="L4062" s="53" t="s">
        <v>6054</v>
      </c>
      <c r="M4062" s="68" t="s">
        <v>8912</v>
      </c>
      <c r="N4062" s="53" t="s">
        <v>6285</v>
      </c>
      <c r="O4062" s="53">
        <v>55200</v>
      </c>
      <c r="P4062" s="198" t="s">
        <v>8698</v>
      </c>
    </row>
    <row r="4063" spans="1:16" ht="18.75" hidden="1">
      <c r="A4063" s="50" t="s">
        <v>12385</v>
      </c>
      <c r="B4063" s="50" t="s">
        <v>12374</v>
      </c>
      <c r="C4063" s="50" t="s">
        <v>12386</v>
      </c>
      <c r="D4063" s="12" t="s">
        <v>10015</v>
      </c>
      <c r="E4063" s="12" t="s">
        <v>4971</v>
      </c>
      <c r="F4063" s="49">
        <v>26640</v>
      </c>
      <c r="G4063" s="77" t="s">
        <v>6298</v>
      </c>
      <c r="H4063" s="14" t="s">
        <v>5601</v>
      </c>
      <c r="I4063" s="14" t="s">
        <v>2458</v>
      </c>
      <c r="J4063" s="33" t="s">
        <v>7110</v>
      </c>
      <c r="K4063" s="33" t="s">
        <v>12404</v>
      </c>
      <c r="L4063" s="53" t="s">
        <v>6054</v>
      </c>
      <c r="M4063" s="68" t="s">
        <v>8912</v>
      </c>
      <c r="N4063" s="53" t="s">
        <v>6286</v>
      </c>
      <c r="O4063" s="53">
        <v>55107</v>
      </c>
      <c r="P4063" s="198" t="s">
        <v>9763</v>
      </c>
    </row>
    <row r="4064" spans="1:16" ht="18.75" hidden="1">
      <c r="A4064" s="50" t="s">
        <v>12387</v>
      </c>
      <c r="B4064" s="50" t="s">
        <v>12388</v>
      </c>
      <c r="C4064" s="50" t="s">
        <v>12382</v>
      </c>
      <c r="D4064" s="12" t="s">
        <v>10036</v>
      </c>
      <c r="E4064" s="12" t="s">
        <v>4971</v>
      </c>
      <c r="F4064" s="49">
        <v>48200</v>
      </c>
      <c r="G4064" s="77" t="s">
        <v>6454</v>
      </c>
      <c r="H4064" s="14" t="s">
        <v>5601</v>
      </c>
      <c r="I4064" s="14" t="s">
        <v>2458</v>
      </c>
      <c r="J4064" s="33" t="s">
        <v>7110</v>
      </c>
      <c r="K4064" s="33" t="s">
        <v>12404</v>
      </c>
      <c r="L4064" s="53" t="s">
        <v>6054</v>
      </c>
      <c r="M4064" s="68" t="s">
        <v>8913</v>
      </c>
      <c r="N4064" s="53" t="s">
        <v>6286</v>
      </c>
      <c r="O4064" s="53">
        <v>55107</v>
      </c>
      <c r="P4064" s="198" t="s">
        <v>9797</v>
      </c>
    </row>
    <row r="4065" spans="1:16" ht="18.75" hidden="1">
      <c r="A4065" s="50" t="s">
        <v>12387</v>
      </c>
      <c r="B4065" s="50" t="s">
        <v>12388</v>
      </c>
      <c r="C4065" s="50" t="s">
        <v>12180</v>
      </c>
      <c r="D4065" s="12" t="s">
        <v>10052</v>
      </c>
      <c r="E4065" s="12" t="s">
        <v>4971</v>
      </c>
      <c r="F4065" s="49">
        <v>72120</v>
      </c>
      <c r="G4065" s="77" t="s">
        <v>6300</v>
      </c>
      <c r="H4065" s="14" t="s">
        <v>5601</v>
      </c>
      <c r="I4065" s="14" t="s">
        <v>2458</v>
      </c>
      <c r="J4065" s="33" t="s">
        <v>7110</v>
      </c>
      <c r="K4065" s="33" t="s">
        <v>12404</v>
      </c>
      <c r="L4065" s="53" t="s">
        <v>6054</v>
      </c>
      <c r="M4065" s="68" t="s">
        <v>8913</v>
      </c>
      <c r="N4065" s="53" t="s">
        <v>6286</v>
      </c>
      <c r="O4065" s="53">
        <v>55107</v>
      </c>
      <c r="P4065" s="198" t="s">
        <v>9794</v>
      </c>
    </row>
    <row r="4066" spans="1:16" ht="18.75" hidden="1">
      <c r="A4066" s="50" t="s">
        <v>12389</v>
      </c>
      <c r="B4066" s="50" t="s">
        <v>12354</v>
      </c>
      <c r="C4066" s="50" t="s">
        <v>12365</v>
      </c>
      <c r="D4066" s="12" t="s">
        <v>10033</v>
      </c>
      <c r="E4066" s="12" t="s">
        <v>4971</v>
      </c>
      <c r="F4066" s="49">
        <v>66885</v>
      </c>
      <c r="G4066" s="77" t="s">
        <v>6300</v>
      </c>
      <c r="H4066" s="14" t="s">
        <v>5601</v>
      </c>
      <c r="I4066" s="14" t="s">
        <v>2458</v>
      </c>
      <c r="J4066" s="33" t="s">
        <v>7110</v>
      </c>
      <c r="K4066" s="33" t="s">
        <v>12404</v>
      </c>
      <c r="L4066" s="53" t="s">
        <v>6054</v>
      </c>
      <c r="M4066" s="68" t="s">
        <v>8912</v>
      </c>
      <c r="N4066" s="53" t="s">
        <v>6285</v>
      </c>
      <c r="O4066" s="53">
        <v>55200</v>
      </c>
      <c r="P4066" s="198" t="s">
        <v>12219</v>
      </c>
    </row>
    <row r="4067" spans="1:16" ht="18.75" hidden="1">
      <c r="A4067" s="50" t="s">
        <v>12390</v>
      </c>
      <c r="B4067" s="50" t="s">
        <v>12364</v>
      </c>
      <c r="C4067" s="50" t="s">
        <v>12182</v>
      </c>
      <c r="D4067" s="12" t="s">
        <v>8911</v>
      </c>
      <c r="E4067" s="12" t="s">
        <v>4971</v>
      </c>
      <c r="F4067" s="49">
        <v>95080</v>
      </c>
      <c r="G4067" s="77" t="s">
        <v>6298</v>
      </c>
      <c r="H4067" s="14" t="s">
        <v>5601</v>
      </c>
      <c r="I4067" s="14" t="s">
        <v>2458</v>
      </c>
      <c r="J4067" s="33" t="s">
        <v>7110</v>
      </c>
      <c r="K4067" s="33" t="s">
        <v>12404</v>
      </c>
      <c r="L4067" s="53" t="s">
        <v>6054</v>
      </c>
      <c r="M4067" s="68" t="s">
        <v>8912</v>
      </c>
      <c r="N4067" s="53" t="s">
        <v>6076</v>
      </c>
      <c r="O4067" s="53">
        <v>55301</v>
      </c>
      <c r="P4067" s="198" t="s">
        <v>8698</v>
      </c>
    </row>
    <row r="4068" spans="1:16" ht="18.75" hidden="1">
      <c r="A4068" s="50" t="s">
        <v>12385</v>
      </c>
      <c r="B4068" s="50" t="s">
        <v>12374</v>
      </c>
      <c r="C4068" s="50" t="s">
        <v>12391</v>
      </c>
      <c r="D4068" s="12" t="s">
        <v>10015</v>
      </c>
      <c r="E4068" s="12" t="s">
        <v>4971</v>
      </c>
      <c r="F4068" s="49">
        <v>100000</v>
      </c>
      <c r="G4068" s="77" t="s">
        <v>6298</v>
      </c>
      <c r="H4068" s="14" t="s">
        <v>5601</v>
      </c>
      <c r="I4068" s="14" t="s">
        <v>2458</v>
      </c>
      <c r="J4068" s="33" t="s">
        <v>7110</v>
      </c>
      <c r="K4068" s="33" t="s">
        <v>12404</v>
      </c>
      <c r="L4068" s="53" t="s">
        <v>6054</v>
      </c>
      <c r="M4068" s="68" t="s">
        <v>8912</v>
      </c>
      <c r="N4068" s="53" t="s">
        <v>6286</v>
      </c>
      <c r="O4068" s="53">
        <v>55107</v>
      </c>
      <c r="P4068" s="198" t="s">
        <v>9763</v>
      </c>
    </row>
    <row r="4069" spans="1:16" ht="18.75" hidden="1">
      <c r="A4069" s="50" t="s">
        <v>12389</v>
      </c>
      <c r="B4069" s="50" t="s">
        <v>12354</v>
      </c>
      <c r="C4069" s="50" t="s">
        <v>12180</v>
      </c>
      <c r="D4069" s="12" t="s">
        <v>10052</v>
      </c>
      <c r="E4069" s="12" t="s">
        <v>4971</v>
      </c>
      <c r="F4069" s="49">
        <v>151145</v>
      </c>
      <c r="G4069" s="77" t="s">
        <v>6300</v>
      </c>
      <c r="H4069" s="14" t="s">
        <v>5601</v>
      </c>
      <c r="I4069" s="14" t="s">
        <v>2458</v>
      </c>
      <c r="J4069" s="33" t="s">
        <v>7110</v>
      </c>
      <c r="K4069" s="33" t="s">
        <v>12404</v>
      </c>
      <c r="L4069" s="53" t="s">
        <v>6054</v>
      </c>
      <c r="M4069" s="68" t="s">
        <v>8912</v>
      </c>
      <c r="N4069" s="53" t="s">
        <v>6285</v>
      </c>
      <c r="O4069" s="53">
        <v>55200</v>
      </c>
      <c r="P4069" s="198" t="s">
        <v>9794</v>
      </c>
    </row>
    <row r="4070" spans="1:16" ht="18.75" hidden="1">
      <c r="A4070" s="50" t="s">
        <v>12392</v>
      </c>
      <c r="B4070" s="50" t="s">
        <v>12374</v>
      </c>
      <c r="C4070" s="50" t="s">
        <v>12386</v>
      </c>
      <c r="D4070" s="12" t="s">
        <v>10015</v>
      </c>
      <c r="E4070" s="12" t="s">
        <v>4971</v>
      </c>
      <c r="F4070" s="49">
        <v>122040</v>
      </c>
      <c r="G4070" s="77" t="s">
        <v>6298</v>
      </c>
      <c r="H4070" s="14" t="s">
        <v>5601</v>
      </c>
      <c r="I4070" s="14" t="s">
        <v>2458</v>
      </c>
      <c r="J4070" s="33" t="s">
        <v>7110</v>
      </c>
      <c r="K4070" s="33" t="s">
        <v>12404</v>
      </c>
      <c r="L4070" s="53" t="s">
        <v>6054</v>
      </c>
      <c r="M4070" s="68" t="s">
        <v>8913</v>
      </c>
      <c r="N4070" s="53" t="s">
        <v>6286</v>
      </c>
      <c r="O4070" s="53">
        <v>55107</v>
      </c>
      <c r="P4070" s="198" t="s">
        <v>9763</v>
      </c>
    </row>
    <row r="4071" spans="1:16" ht="18.75" hidden="1">
      <c r="A4071" s="50" t="s">
        <v>12393</v>
      </c>
      <c r="B4071" s="50" t="s">
        <v>9998</v>
      </c>
      <c r="C4071" s="50" t="s">
        <v>10013</v>
      </c>
      <c r="D4071" s="12" t="s">
        <v>9835</v>
      </c>
      <c r="E4071" s="12" t="s">
        <v>4971</v>
      </c>
      <c r="F4071" s="49">
        <v>37340</v>
      </c>
      <c r="G4071" s="77" t="s">
        <v>6453</v>
      </c>
      <c r="H4071" s="14" t="s">
        <v>5601</v>
      </c>
      <c r="I4071" s="14" t="s">
        <v>2458</v>
      </c>
      <c r="J4071" s="33" t="e">
        <f>VLOOKUP(C4071,شرکتها!A:B,2,FALSE)</f>
        <v>#N/A</v>
      </c>
      <c r="K4071" s="33" t="s">
        <v>12404</v>
      </c>
      <c r="L4071" s="53" t="s">
        <v>6054</v>
      </c>
      <c r="M4071" s="68" t="s">
        <v>8913</v>
      </c>
      <c r="N4071" s="53" t="s">
        <v>6076</v>
      </c>
      <c r="O4071" s="53">
        <v>55301</v>
      </c>
      <c r="P4071" s="198" t="s">
        <v>9770</v>
      </c>
    </row>
    <row r="4072" spans="1:16" ht="18.75" hidden="1">
      <c r="A4072" s="50" t="s">
        <v>12394</v>
      </c>
      <c r="B4072" s="50" t="s">
        <v>12388</v>
      </c>
      <c r="C4072" s="50" t="s">
        <v>12382</v>
      </c>
      <c r="D4072" s="12" t="s">
        <v>10036</v>
      </c>
      <c r="E4072" s="12" t="s">
        <v>4971</v>
      </c>
      <c r="F4072" s="49">
        <v>392380</v>
      </c>
      <c r="G4072" s="77" t="s">
        <v>6454</v>
      </c>
      <c r="H4072" s="14" t="s">
        <v>5601</v>
      </c>
      <c r="I4072" s="14" t="s">
        <v>2458</v>
      </c>
      <c r="J4072" s="33" t="s">
        <v>7110</v>
      </c>
      <c r="K4072" s="33" t="s">
        <v>12404</v>
      </c>
      <c r="L4072" s="53" t="s">
        <v>6054</v>
      </c>
      <c r="M4072" s="68" t="s">
        <v>8913</v>
      </c>
      <c r="N4072" s="53" t="s">
        <v>6076</v>
      </c>
      <c r="O4072" s="53">
        <v>55301</v>
      </c>
      <c r="P4072" s="198" t="s">
        <v>9797</v>
      </c>
    </row>
    <row r="4073" spans="1:16" ht="18.75" hidden="1">
      <c r="A4073" s="50" t="s">
        <v>12393</v>
      </c>
      <c r="B4073" s="50" t="s">
        <v>9998</v>
      </c>
      <c r="C4073" s="50" t="s">
        <v>12395</v>
      </c>
      <c r="D4073" s="12" t="s">
        <v>10024</v>
      </c>
      <c r="E4073" s="12" t="s">
        <v>4971</v>
      </c>
      <c r="F4073" s="49">
        <v>150000</v>
      </c>
      <c r="G4073" s="77" t="s">
        <v>6298</v>
      </c>
      <c r="H4073" s="14" t="s">
        <v>5601</v>
      </c>
      <c r="I4073" s="14" t="s">
        <v>2458</v>
      </c>
      <c r="J4073" s="33" t="s">
        <v>7110</v>
      </c>
      <c r="K4073" s="33" t="s">
        <v>12404</v>
      </c>
      <c r="L4073" s="53" t="s">
        <v>6054</v>
      </c>
      <c r="M4073" s="68" t="s">
        <v>8913</v>
      </c>
      <c r="N4073" s="53" t="s">
        <v>6076</v>
      </c>
      <c r="O4073" s="53">
        <v>55301</v>
      </c>
      <c r="P4073" s="198" t="s">
        <v>9769</v>
      </c>
    </row>
    <row r="4074" spans="1:16" ht="18.75" hidden="1">
      <c r="A4074" s="50" t="s">
        <v>12396</v>
      </c>
      <c r="B4074" s="50" t="s">
        <v>12352</v>
      </c>
      <c r="C4074" s="50" t="s">
        <v>12183</v>
      </c>
      <c r="D4074" s="12" t="s">
        <v>10024</v>
      </c>
      <c r="E4074" s="12" t="s">
        <v>4971</v>
      </c>
      <c r="F4074" s="49">
        <v>354140</v>
      </c>
      <c r="G4074" s="77" t="s">
        <v>6454</v>
      </c>
      <c r="H4074" s="14" t="s">
        <v>5601</v>
      </c>
      <c r="I4074" s="14" t="s">
        <v>2458</v>
      </c>
      <c r="J4074" s="33" t="s">
        <v>7110</v>
      </c>
      <c r="K4074" s="33" t="s">
        <v>12404</v>
      </c>
      <c r="L4074" s="53" t="s">
        <v>6054</v>
      </c>
      <c r="M4074" s="68" t="s">
        <v>8913</v>
      </c>
      <c r="N4074" s="53" t="s">
        <v>6076</v>
      </c>
      <c r="O4074" s="53">
        <v>55301</v>
      </c>
      <c r="P4074" s="198" t="s">
        <v>9796</v>
      </c>
    </row>
    <row r="4075" spans="1:16" ht="18.75" hidden="1">
      <c r="A4075" s="50" t="s">
        <v>12397</v>
      </c>
      <c r="B4075" s="50" t="s">
        <v>12352</v>
      </c>
      <c r="C4075" s="50" t="s">
        <v>12183</v>
      </c>
      <c r="D4075" s="12" t="s">
        <v>10024</v>
      </c>
      <c r="E4075" s="12" t="s">
        <v>4971</v>
      </c>
      <c r="F4075" s="49">
        <v>99900</v>
      </c>
      <c r="G4075" s="77" t="s">
        <v>6454</v>
      </c>
      <c r="H4075" s="14" t="s">
        <v>5601</v>
      </c>
      <c r="I4075" s="14" t="s">
        <v>2458</v>
      </c>
      <c r="J4075" s="33" t="s">
        <v>7110</v>
      </c>
      <c r="K4075" s="33" t="s">
        <v>12404</v>
      </c>
      <c r="L4075" s="53" t="s">
        <v>6054</v>
      </c>
      <c r="M4075" s="68" t="s">
        <v>8913</v>
      </c>
      <c r="N4075" s="53" t="s">
        <v>6286</v>
      </c>
      <c r="O4075" s="53">
        <v>55107</v>
      </c>
      <c r="P4075" s="198" t="s">
        <v>9796</v>
      </c>
    </row>
    <row r="4076" spans="1:16" ht="18.75" hidden="1">
      <c r="A4076" s="50" t="s">
        <v>12398</v>
      </c>
      <c r="B4076" s="50" t="s">
        <v>12388</v>
      </c>
      <c r="C4076" s="50" t="s">
        <v>10005</v>
      </c>
      <c r="D4076" s="12" t="s">
        <v>8833</v>
      </c>
      <c r="E4076" s="12" t="s">
        <v>4971</v>
      </c>
      <c r="F4076" s="49">
        <v>84750</v>
      </c>
      <c r="G4076" s="77" t="s">
        <v>6298</v>
      </c>
      <c r="H4076" s="14" t="s">
        <v>5601</v>
      </c>
      <c r="I4076" s="14" t="s">
        <v>2458</v>
      </c>
      <c r="J4076" s="33" t="s">
        <v>7110</v>
      </c>
      <c r="K4076" s="33" t="s">
        <v>12404</v>
      </c>
      <c r="L4076" s="53" t="s">
        <v>6054</v>
      </c>
      <c r="M4076" s="68" t="s">
        <v>8912</v>
      </c>
      <c r="N4076" s="53" t="s">
        <v>6285</v>
      </c>
      <c r="O4076" s="53">
        <v>55200</v>
      </c>
      <c r="P4076" s="198" t="s">
        <v>8698</v>
      </c>
    </row>
    <row r="4077" spans="1:16" ht="18.75" hidden="1">
      <c r="A4077" s="50" t="s">
        <v>12399</v>
      </c>
      <c r="B4077" s="50" t="s">
        <v>9998</v>
      </c>
      <c r="C4077" s="50" t="s">
        <v>12180</v>
      </c>
      <c r="D4077" s="12" t="s">
        <v>10052</v>
      </c>
      <c r="E4077" s="12" t="s">
        <v>4971</v>
      </c>
      <c r="F4077" s="49">
        <v>246230</v>
      </c>
      <c r="G4077" s="77" t="s">
        <v>6300</v>
      </c>
      <c r="H4077" s="14" t="s">
        <v>5601</v>
      </c>
      <c r="I4077" s="14" t="s">
        <v>2458</v>
      </c>
      <c r="J4077" s="33" t="s">
        <v>7110</v>
      </c>
      <c r="K4077" s="33" t="s">
        <v>12404</v>
      </c>
      <c r="L4077" s="53" t="s">
        <v>6054</v>
      </c>
      <c r="M4077" s="68" t="s">
        <v>8912</v>
      </c>
      <c r="N4077" s="53" t="s">
        <v>6285</v>
      </c>
      <c r="O4077" s="53">
        <v>55200</v>
      </c>
      <c r="P4077" s="198" t="s">
        <v>9794</v>
      </c>
    </row>
    <row r="4078" spans="1:16" ht="18.75" hidden="1">
      <c r="A4078" s="50" t="s">
        <v>12398</v>
      </c>
      <c r="B4078" s="50" t="s">
        <v>12388</v>
      </c>
      <c r="C4078" s="50" t="s">
        <v>12182</v>
      </c>
      <c r="D4078" s="12" t="s">
        <v>8911</v>
      </c>
      <c r="E4078" s="12" t="s">
        <v>4971</v>
      </c>
      <c r="F4078" s="49">
        <v>64540</v>
      </c>
      <c r="G4078" s="77" t="s">
        <v>6298</v>
      </c>
      <c r="H4078" s="14" t="s">
        <v>5601</v>
      </c>
      <c r="I4078" s="14" t="s">
        <v>2458</v>
      </c>
      <c r="J4078" s="33" t="s">
        <v>7110</v>
      </c>
      <c r="K4078" s="33" t="s">
        <v>12404</v>
      </c>
      <c r="L4078" s="53" t="s">
        <v>6054</v>
      </c>
      <c r="M4078" s="68" t="s">
        <v>8912</v>
      </c>
      <c r="N4078" s="53" t="s">
        <v>6285</v>
      </c>
      <c r="O4078" s="53">
        <v>55200</v>
      </c>
      <c r="P4078" s="198" t="s">
        <v>8698</v>
      </c>
    </row>
    <row r="4079" spans="1:16" ht="18.75" hidden="1">
      <c r="A4079" s="50" t="str">
        <f>"45100-742755"</f>
        <v>45100-742755</v>
      </c>
      <c r="B4079" s="50" t="str">
        <f>"96/09/30"</f>
        <v>96/09/30</v>
      </c>
      <c r="C4079" s="50" t="s">
        <v>12400</v>
      </c>
      <c r="D4079" s="12" t="str">
        <f>"96/09/14"</f>
        <v>96/09/14</v>
      </c>
      <c r="E4079" s="12" t="s">
        <v>4971</v>
      </c>
      <c r="F4079" s="49">
        <v>2000000</v>
      </c>
      <c r="G4079" s="77" t="str">
        <f>"Black Gold Traders FZE"</f>
        <v>Black Gold Traders FZE</v>
      </c>
      <c r="H4079" s="14" t="s">
        <v>5601</v>
      </c>
      <c r="I4079" s="14" t="s">
        <v>2458</v>
      </c>
      <c r="J4079" s="33" t="s">
        <v>7110</v>
      </c>
      <c r="K4079" s="33" t="s">
        <v>12406</v>
      </c>
      <c r="L4079" s="53" t="str">
        <f>" امارات متحده عربي"</f>
        <v xml:space="preserve"> امارات متحده عربي</v>
      </c>
      <c r="M4079" s="68" t="str">
        <f t="shared" ref="M4079:M4086" si="89">"فله"</f>
        <v>فله</v>
      </c>
      <c r="N4079" s="53" t="str">
        <f>"منطقه ويژه اقتصادي بوشهر 1"</f>
        <v>منطقه ويژه اقتصادي بوشهر 1</v>
      </c>
      <c r="O4079" s="53">
        <v>45100</v>
      </c>
      <c r="P4079" s="198" t="s">
        <v>9795</v>
      </c>
    </row>
    <row r="4080" spans="1:16" ht="18.75" hidden="1">
      <c r="A4080" s="50" t="str">
        <f>"45100-735518"</f>
        <v>45100-735518</v>
      </c>
      <c r="B4080" s="50" t="str">
        <f>"96/09/14"</f>
        <v>96/09/14</v>
      </c>
      <c r="C4080" s="50" t="s">
        <v>12401</v>
      </c>
      <c r="D4080" s="12" t="str">
        <f>"96/09/12"</f>
        <v>96/09/12</v>
      </c>
      <c r="E4080" s="12" t="s">
        <v>4971</v>
      </c>
      <c r="F4080" s="49">
        <v>1000000</v>
      </c>
      <c r="G4080" s="77" t="str">
        <f>"Black Gold Traders FZE"</f>
        <v>Black Gold Traders FZE</v>
      </c>
      <c r="H4080" s="14" t="s">
        <v>5601</v>
      </c>
      <c r="I4080" s="14" t="s">
        <v>2458</v>
      </c>
      <c r="J4080" s="33" t="s">
        <v>7110</v>
      </c>
      <c r="K4080" s="33" t="s">
        <v>12406</v>
      </c>
      <c r="L4080" s="53" t="str">
        <f>" امارات متحده عربي"</f>
        <v xml:space="preserve"> امارات متحده عربي</v>
      </c>
      <c r="M4080" s="68" t="str">
        <f t="shared" si="89"/>
        <v>فله</v>
      </c>
      <c r="N4080" s="53" t="str">
        <f>"منطقه ويژه اقتصادي بوشهر 1"</f>
        <v>منطقه ويژه اقتصادي بوشهر 1</v>
      </c>
      <c r="O4080" s="53">
        <v>45100</v>
      </c>
      <c r="P4080" s="198" t="s">
        <v>9762</v>
      </c>
    </row>
    <row r="4081" spans="1:16" ht="18.75" hidden="1">
      <c r="A4081" s="50" t="str">
        <f>"15100-511791"</f>
        <v>15100-511791</v>
      </c>
      <c r="B4081" s="50" t="str">
        <f>"96/09/21"</f>
        <v>96/09/21</v>
      </c>
      <c r="C4081" s="50" t="s">
        <v>10041</v>
      </c>
      <c r="D4081" s="12" t="str">
        <f>"96/08/10"</f>
        <v>96/08/10</v>
      </c>
      <c r="E4081" s="12" t="s">
        <v>4971</v>
      </c>
      <c r="F4081" s="49">
        <v>165800</v>
      </c>
      <c r="G4081" s="77" t="str">
        <f>"SHINING GREEN STAR FZE"</f>
        <v>SHINING GREEN STAR FZE</v>
      </c>
      <c r="H4081" s="14" t="s">
        <v>5601</v>
      </c>
      <c r="I4081" s="14" t="s">
        <v>2458</v>
      </c>
      <c r="J4081" s="33" t="s">
        <v>7110</v>
      </c>
      <c r="K4081" s="33" t="s">
        <v>12406</v>
      </c>
      <c r="L4081" s="53" t="str">
        <f>"پاکستان"</f>
        <v>پاکستان</v>
      </c>
      <c r="M4081" s="68" t="str">
        <f t="shared" si="89"/>
        <v>فله</v>
      </c>
      <c r="N4081" s="53" t="str">
        <f>"پيشين"</f>
        <v>پيشين</v>
      </c>
      <c r="O4081" s="53">
        <v>55301</v>
      </c>
      <c r="P4081" s="198" t="s">
        <v>9767</v>
      </c>
    </row>
    <row r="4082" spans="1:16" ht="18.75" hidden="1">
      <c r="A4082" s="50" t="str">
        <f>"15100-511791"</f>
        <v>15100-511791</v>
      </c>
      <c r="B4082" s="50" t="str">
        <f>"96/09/21"</f>
        <v>96/09/21</v>
      </c>
      <c r="C4082" s="50" t="s">
        <v>10034</v>
      </c>
      <c r="D4082" s="12" t="str">
        <f>"96/08/16"</f>
        <v>96/08/16</v>
      </c>
      <c r="E4082" s="12" t="s">
        <v>4971</v>
      </c>
      <c r="F4082" s="49">
        <v>73180</v>
      </c>
      <c r="G4082" s="77" t="str">
        <f>"DAXON PETROLEUM"</f>
        <v>DAXON PETROLEUM</v>
      </c>
      <c r="H4082" s="14" t="s">
        <v>5601</v>
      </c>
      <c r="I4082" s="14" t="s">
        <v>2458</v>
      </c>
      <c r="J4082" s="33" t="s">
        <v>7110</v>
      </c>
      <c r="K4082" s="33" t="s">
        <v>12406</v>
      </c>
      <c r="L4082" s="53" t="str">
        <f>"پاکستان"</f>
        <v>پاکستان</v>
      </c>
      <c r="M4082" s="68" t="str">
        <f t="shared" si="89"/>
        <v>فله</v>
      </c>
      <c r="N4082" s="53" t="str">
        <f>"پيشين"</f>
        <v>پيشين</v>
      </c>
      <c r="O4082" s="53">
        <v>55301</v>
      </c>
      <c r="P4082" s="198" t="s">
        <v>9768</v>
      </c>
    </row>
    <row r="4083" spans="1:16" ht="18.75" hidden="1">
      <c r="A4083" s="50" t="str">
        <f>"45100-742755"</f>
        <v>45100-742755</v>
      </c>
      <c r="B4083" s="50" t="str">
        <f>"96/09/30"</f>
        <v>96/09/30</v>
      </c>
      <c r="C4083" s="50" t="s">
        <v>12401</v>
      </c>
      <c r="D4083" s="12" t="str">
        <f>"96/09/12"</f>
        <v>96/09/12</v>
      </c>
      <c r="E4083" s="12" t="s">
        <v>4971</v>
      </c>
      <c r="F4083" s="49">
        <v>46074</v>
      </c>
      <c r="G4083" s="77" t="str">
        <f>"Black Gold Traders FZE"</f>
        <v>Black Gold Traders FZE</v>
      </c>
      <c r="H4083" s="14" t="s">
        <v>5601</v>
      </c>
      <c r="I4083" s="14" t="s">
        <v>2458</v>
      </c>
      <c r="J4083" s="33" t="s">
        <v>7110</v>
      </c>
      <c r="K4083" s="33" t="s">
        <v>12406</v>
      </c>
      <c r="L4083" s="53" t="str">
        <f>" امارات متحده عربي"</f>
        <v xml:space="preserve"> امارات متحده عربي</v>
      </c>
      <c r="M4083" s="68" t="str">
        <f t="shared" si="89"/>
        <v>فله</v>
      </c>
      <c r="N4083" s="53" t="str">
        <f>"منطقه ويژه اقتصادي بوشهر 1"</f>
        <v>منطقه ويژه اقتصادي بوشهر 1</v>
      </c>
      <c r="O4083" s="53">
        <v>45100</v>
      </c>
      <c r="P4083" s="198" t="s">
        <v>9762</v>
      </c>
    </row>
    <row r="4084" spans="1:16" ht="18.75" hidden="1">
      <c r="A4084" s="50" t="str">
        <f>"45100-736373"</f>
        <v>45100-736373</v>
      </c>
      <c r="B4084" s="50" t="str">
        <f>"96/09/27"</f>
        <v>96/09/27</v>
      </c>
      <c r="C4084" s="50" t="s">
        <v>12401</v>
      </c>
      <c r="D4084" s="12" t="str">
        <f>"96/09/12"</f>
        <v>96/09/12</v>
      </c>
      <c r="E4084" s="12" t="s">
        <v>4971</v>
      </c>
      <c r="F4084" s="49">
        <v>500000</v>
      </c>
      <c r="G4084" s="77" t="str">
        <f>"Black Gold Traders FZE"</f>
        <v>Black Gold Traders FZE</v>
      </c>
      <c r="H4084" s="14" t="s">
        <v>5601</v>
      </c>
      <c r="I4084" s="14" t="s">
        <v>2458</v>
      </c>
      <c r="J4084" s="33" t="s">
        <v>7110</v>
      </c>
      <c r="K4084" s="33" t="s">
        <v>12406</v>
      </c>
      <c r="L4084" s="53" t="str">
        <f>" امارات متحده عربي"</f>
        <v xml:space="preserve"> امارات متحده عربي</v>
      </c>
      <c r="M4084" s="68" t="str">
        <f t="shared" si="89"/>
        <v>فله</v>
      </c>
      <c r="N4084" s="53" t="str">
        <f>"منطقه ويژه اقتصادي بوشهر 1"</f>
        <v>منطقه ويژه اقتصادي بوشهر 1</v>
      </c>
      <c r="O4084" s="53">
        <v>45100</v>
      </c>
      <c r="P4084" s="198" t="s">
        <v>9762</v>
      </c>
    </row>
    <row r="4085" spans="1:16" ht="18.75" hidden="1">
      <c r="A4085" s="50" t="str">
        <f>"15100-514052"</f>
        <v>15100-514052</v>
      </c>
      <c r="B4085" s="50" t="str">
        <f>"96/09/26"</f>
        <v>96/09/26</v>
      </c>
      <c r="C4085" s="50" t="s">
        <v>10017</v>
      </c>
      <c r="D4085" s="12" t="str">
        <f>"96/07/26"</f>
        <v>96/07/26</v>
      </c>
      <c r="E4085" s="12" t="s">
        <v>4971</v>
      </c>
      <c r="F4085" s="49">
        <v>70700</v>
      </c>
      <c r="G4085" s="77" t="str">
        <f>"LLC Black Gem Business"</f>
        <v>LLC Black Gem Business</v>
      </c>
      <c r="H4085" s="14" t="s">
        <v>5601</v>
      </c>
      <c r="I4085" s="14" t="s">
        <v>2458</v>
      </c>
      <c r="J4085" s="33" t="s">
        <v>7110</v>
      </c>
      <c r="K4085" s="33" t="s">
        <v>12406</v>
      </c>
      <c r="L4085" s="53" t="str">
        <f>"پاکستان"</f>
        <v>پاکستان</v>
      </c>
      <c r="M4085" s="68" t="str">
        <f t="shared" si="89"/>
        <v>فله</v>
      </c>
      <c r="N4085" s="53" t="str">
        <f>"بازارچه کوهک سراوان"</f>
        <v>بازارچه کوهک سراوان</v>
      </c>
      <c r="O4085" s="53">
        <v>55107</v>
      </c>
      <c r="P4085" s="198" t="s">
        <v>5854</v>
      </c>
    </row>
    <row r="4086" spans="1:16" ht="18.75" hidden="1">
      <c r="A4086" s="50" t="str">
        <f>"15100-514052"</f>
        <v>15100-514052</v>
      </c>
      <c r="B4086" s="50" t="str">
        <f>"96/09/26"</f>
        <v>96/09/26</v>
      </c>
      <c r="C4086" s="50" t="s">
        <v>10009</v>
      </c>
      <c r="D4086" s="12" t="str">
        <f>"96/09/11"</f>
        <v>96/09/11</v>
      </c>
      <c r="E4086" s="12" t="s">
        <v>4971</v>
      </c>
      <c r="F4086" s="49">
        <v>71760</v>
      </c>
      <c r="G4086" s="77" t="str">
        <f>"DAXON PETROLEUM"</f>
        <v>DAXON PETROLEUM</v>
      </c>
      <c r="H4086" s="14" t="s">
        <v>5601</v>
      </c>
      <c r="I4086" s="14" t="s">
        <v>2458</v>
      </c>
      <c r="J4086" s="33" t="s">
        <v>7110</v>
      </c>
      <c r="K4086" s="33" t="s">
        <v>12406</v>
      </c>
      <c r="L4086" s="53" t="str">
        <f>"پاکستان"</f>
        <v>پاکستان</v>
      </c>
      <c r="M4086" s="68" t="str">
        <f t="shared" si="89"/>
        <v>فله</v>
      </c>
      <c r="N4086" s="53" t="str">
        <f>"بازارچه کوهک سراوان"</f>
        <v>بازارچه کوهک سراوان</v>
      </c>
      <c r="O4086" s="53">
        <v>55107</v>
      </c>
      <c r="P4086" s="198" t="s">
        <v>9768</v>
      </c>
    </row>
    <row r="4087" spans="1:16" ht="18.75" hidden="1">
      <c r="A4087" s="50" t="s">
        <v>12402</v>
      </c>
      <c r="B4087" s="50" t="s">
        <v>12367</v>
      </c>
      <c r="C4087" s="50" t="s">
        <v>12331</v>
      </c>
      <c r="D4087" s="12" t="s">
        <v>10036</v>
      </c>
      <c r="E4087" s="12" t="s">
        <v>4971</v>
      </c>
      <c r="F4087" s="49">
        <v>325814</v>
      </c>
      <c r="G4087" s="77" t="s">
        <v>6300</v>
      </c>
      <c r="H4087" s="14" t="s">
        <v>5601</v>
      </c>
      <c r="I4087" s="14" t="s">
        <v>2458</v>
      </c>
      <c r="J4087" s="33" t="s">
        <v>7110</v>
      </c>
      <c r="K4087" s="33" t="s">
        <v>12406</v>
      </c>
      <c r="L4087" s="53" t="s">
        <v>6283</v>
      </c>
      <c r="M4087" s="68" t="s">
        <v>8912</v>
      </c>
      <c r="N4087" s="53" t="s">
        <v>12407</v>
      </c>
      <c r="O4087" s="53">
        <v>50100</v>
      </c>
      <c r="P4087" s="198" t="s">
        <v>9794</v>
      </c>
    </row>
    <row r="4088" spans="1:16" ht="18.75" hidden="1">
      <c r="A4088" s="50" t="s">
        <v>12402</v>
      </c>
      <c r="B4088" s="50" t="s">
        <v>12367</v>
      </c>
      <c r="C4088" s="50" t="s">
        <v>12403</v>
      </c>
      <c r="D4088" s="12" t="s">
        <v>10052</v>
      </c>
      <c r="E4088" s="12" t="s">
        <v>4971</v>
      </c>
      <c r="F4088" s="49">
        <v>174086</v>
      </c>
      <c r="G4088" s="77" t="s">
        <v>6300</v>
      </c>
      <c r="H4088" s="14" t="s">
        <v>5601</v>
      </c>
      <c r="I4088" s="14" t="s">
        <v>2458</v>
      </c>
      <c r="J4088" s="33" t="s">
        <v>7110</v>
      </c>
      <c r="K4088" s="33" t="s">
        <v>12406</v>
      </c>
      <c r="L4088" s="53" t="s">
        <v>6283</v>
      </c>
      <c r="M4088" s="68" t="s">
        <v>8912</v>
      </c>
      <c r="N4088" s="53" t="s">
        <v>12407</v>
      </c>
      <c r="O4088" s="53">
        <v>50100</v>
      </c>
      <c r="P4088" s="198" t="s">
        <v>9794</v>
      </c>
    </row>
    <row r="4089" spans="1:16" ht="18.75" hidden="1">
      <c r="A4089" s="50" t="str">
        <f>"50100-9719919"</f>
        <v>50100-9719919</v>
      </c>
      <c r="B4089" s="50" t="str">
        <f>"96/10/19"</f>
        <v>96/10/19</v>
      </c>
      <c r="C4089" s="50" t="s">
        <v>12459</v>
      </c>
      <c r="D4089" s="12" t="s">
        <v>9998</v>
      </c>
      <c r="E4089" s="12" t="s">
        <v>4971</v>
      </c>
      <c r="F4089" s="49">
        <v>94048</v>
      </c>
      <c r="G4089" s="77" t="str">
        <f>"AL MASAR PETROLUME L.L.C"</f>
        <v>AL MASAR PETROLUME L.L.C</v>
      </c>
      <c r="H4089" s="14" t="s">
        <v>5601</v>
      </c>
      <c r="I4089" s="14" t="s">
        <v>2458</v>
      </c>
      <c r="J4089" s="33" t="e">
        <f>VLOOKUP(C4089,شرکتها!A:B,2,FALSE)</f>
        <v>#N/A</v>
      </c>
      <c r="K4089" s="33" t="s">
        <v>12513</v>
      </c>
      <c r="L4089" s="53" t="str">
        <f>"تانزانيا"</f>
        <v>تانزانيا</v>
      </c>
      <c r="M4089" s="68" t="str">
        <f t="shared" ref="M4089:M4095" si="90">"بشكه"</f>
        <v>بشكه</v>
      </c>
      <c r="N4089" s="53" t="str">
        <f t="shared" ref="N4089:N4118" si="91">"منطقه ويژه اقتصادي شهيد رجايي"</f>
        <v>منطقه ويژه اقتصادي شهيد رجايي</v>
      </c>
      <c r="O4089" s="53">
        <v>50100</v>
      </c>
      <c r="P4089" s="198" t="s">
        <v>12195</v>
      </c>
    </row>
    <row r="4090" spans="1:16" ht="18.75" hidden="1">
      <c r="A4090" s="50" t="str">
        <f>"50100-9749725"</f>
        <v>50100-9749725</v>
      </c>
      <c r="B4090" s="50" t="str">
        <f>"96/10/26"</f>
        <v>96/10/26</v>
      </c>
      <c r="C4090" s="50" t="s">
        <v>12338</v>
      </c>
      <c r="D4090" s="12" t="s">
        <v>9962</v>
      </c>
      <c r="E4090" s="12" t="s">
        <v>4971</v>
      </c>
      <c r="F4090" s="49">
        <v>500000</v>
      </c>
      <c r="G4090" s="77" t="str">
        <f>"SHINING GREEN STAR FZE"</f>
        <v>SHINING GREEN STAR FZE</v>
      </c>
      <c r="H4090" s="14" t="s">
        <v>5601</v>
      </c>
      <c r="I4090" s="14" t="s">
        <v>2458</v>
      </c>
      <c r="J4090" s="33" t="e">
        <f>VLOOKUP(C4090,شرکتها!A:B,2,FALSE)</f>
        <v>#N/A</v>
      </c>
      <c r="K4090" s="33" t="s">
        <v>12513</v>
      </c>
      <c r="L4090" s="53" t="str">
        <f>"شيلي"</f>
        <v>شيلي</v>
      </c>
      <c r="M4090" s="68" t="str">
        <f t="shared" si="90"/>
        <v>بشكه</v>
      </c>
      <c r="N4090" s="53" t="str">
        <f t="shared" si="91"/>
        <v>منطقه ويژه اقتصادي شهيد رجايي</v>
      </c>
      <c r="O4090" s="53">
        <v>50100</v>
      </c>
      <c r="P4090" s="198" t="s">
        <v>9770</v>
      </c>
    </row>
    <row r="4091" spans="1:16" ht="18.75" hidden="1">
      <c r="A4091" s="50" t="str">
        <f>"50100-9719919"</f>
        <v>50100-9719919</v>
      </c>
      <c r="B4091" s="50" t="str">
        <f>"96/10/19"</f>
        <v>96/10/19</v>
      </c>
      <c r="C4091" s="50" t="s">
        <v>12460</v>
      </c>
      <c r="D4091" s="12" t="s">
        <v>9998</v>
      </c>
      <c r="E4091" s="12" t="s">
        <v>4971</v>
      </c>
      <c r="F4091" s="49">
        <v>304428</v>
      </c>
      <c r="G4091" s="77" t="str">
        <f>"AL MASAR PETROLUME L.L.C"</f>
        <v>AL MASAR PETROLUME L.L.C</v>
      </c>
      <c r="H4091" s="14" t="s">
        <v>5601</v>
      </c>
      <c r="I4091" s="14" t="s">
        <v>2458</v>
      </c>
      <c r="J4091" s="33" t="e">
        <f>VLOOKUP(C4091,شرکتها!A:B,2,FALSE)</f>
        <v>#N/A</v>
      </c>
      <c r="K4091" s="33" t="s">
        <v>12513</v>
      </c>
      <c r="L4091" s="53" t="str">
        <f>"تانزانيا"</f>
        <v>تانزانيا</v>
      </c>
      <c r="M4091" s="68" t="str">
        <f t="shared" si="90"/>
        <v>بشكه</v>
      </c>
      <c r="N4091" s="53" t="str">
        <f t="shared" si="91"/>
        <v>منطقه ويژه اقتصادي شهيد رجايي</v>
      </c>
      <c r="O4091" s="53">
        <v>50100</v>
      </c>
      <c r="P4091" s="198" t="s">
        <v>12195</v>
      </c>
    </row>
    <row r="4092" spans="1:16" ht="18.75" hidden="1">
      <c r="A4092" s="50" t="str">
        <f>"50100-9755401"</f>
        <v>50100-9755401</v>
      </c>
      <c r="B4092" s="50" t="str">
        <f>"96/10/27"</f>
        <v>96/10/27</v>
      </c>
      <c r="C4092" s="50" t="s">
        <v>12461</v>
      </c>
      <c r="D4092" s="12" t="s">
        <v>8631</v>
      </c>
      <c r="E4092" s="12" t="s">
        <v>4971</v>
      </c>
      <c r="F4092" s="49">
        <v>525000</v>
      </c>
      <c r="G4092" s="77" t="str">
        <f>"LLC Sebco Bitumen"</f>
        <v>LLC Sebco Bitumen</v>
      </c>
      <c r="H4092" s="14" t="s">
        <v>5601</v>
      </c>
      <c r="I4092" s="14" t="s">
        <v>2458</v>
      </c>
      <c r="J4092" s="33" t="s">
        <v>7110</v>
      </c>
      <c r="K4092" s="33" t="s">
        <v>12513</v>
      </c>
      <c r="L4092" s="53" t="str">
        <f>"سنگال"</f>
        <v>سنگال</v>
      </c>
      <c r="M4092" s="68" t="str">
        <f t="shared" si="90"/>
        <v>بشكه</v>
      </c>
      <c r="N4092" s="53" t="str">
        <f t="shared" si="91"/>
        <v>منطقه ويژه اقتصادي شهيد رجايي</v>
      </c>
      <c r="O4092" s="53">
        <v>50100</v>
      </c>
      <c r="P4092" s="198" t="s">
        <v>7175</v>
      </c>
    </row>
    <row r="4093" spans="1:16" ht="18.75" hidden="1">
      <c r="A4093" s="50" t="str">
        <f>"50100-9755401"</f>
        <v>50100-9755401</v>
      </c>
      <c r="B4093" s="50" t="str">
        <f>"96/10/27"</f>
        <v>96/10/27</v>
      </c>
      <c r="C4093" s="50" t="s">
        <v>12462</v>
      </c>
      <c r="D4093" s="12" t="s">
        <v>8619</v>
      </c>
      <c r="E4093" s="12" t="s">
        <v>4971</v>
      </c>
      <c r="F4093" s="49">
        <v>250000</v>
      </c>
      <c r="G4093" s="77" t="str">
        <f>"LLC Sebco Bitumen"</f>
        <v>LLC Sebco Bitumen</v>
      </c>
      <c r="H4093" s="14" t="s">
        <v>5601</v>
      </c>
      <c r="I4093" s="14" t="s">
        <v>2458</v>
      </c>
      <c r="J4093" s="33" t="s">
        <v>7110</v>
      </c>
      <c r="K4093" s="33" t="s">
        <v>12513</v>
      </c>
      <c r="L4093" s="53" t="str">
        <f>"سنگال"</f>
        <v>سنگال</v>
      </c>
      <c r="M4093" s="68" t="str">
        <f t="shared" si="90"/>
        <v>بشكه</v>
      </c>
      <c r="N4093" s="53" t="str">
        <f t="shared" si="91"/>
        <v>منطقه ويژه اقتصادي شهيد رجايي</v>
      </c>
      <c r="O4093" s="53">
        <v>50100</v>
      </c>
      <c r="P4093" s="198" t="s">
        <v>7175</v>
      </c>
    </row>
    <row r="4094" spans="1:16" ht="18.75" hidden="1">
      <c r="A4094" s="50" t="str">
        <f>"50100-9755401"</f>
        <v>50100-9755401</v>
      </c>
      <c r="B4094" s="50" t="str">
        <f>"96/10/27"</f>
        <v>96/10/27</v>
      </c>
      <c r="C4094" s="50" t="s">
        <v>12463</v>
      </c>
      <c r="D4094" s="12" t="s">
        <v>8631</v>
      </c>
      <c r="E4094" s="12" t="s">
        <v>4971</v>
      </c>
      <c r="F4094" s="49">
        <v>140000</v>
      </c>
      <c r="G4094" s="77" t="str">
        <f>"LLC Sebco Bitumen"</f>
        <v>LLC Sebco Bitumen</v>
      </c>
      <c r="H4094" s="14" t="s">
        <v>5601</v>
      </c>
      <c r="I4094" s="14" t="s">
        <v>2458</v>
      </c>
      <c r="J4094" s="33" t="s">
        <v>7110</v>
      </c>
      <c r="K4094" s="33" t="s">
        <v>12513</v>
      </c>
      <c r="L4094" s="53" t="str">
        <f>"سنگال"</f>
        <v>سنگال</v>
      </c>
      <c r="M4094" s="68" t="str">
        <f t="shared" si="90"/>
        <v>بشكه</v>
      </c>
      <c r="N4094" s="53" t="str">
        <f t="shared" si="91"/>
        <v>منطقه ويژه اقتصادي شهيد رجايي</v>
      </c>
      <c r="O4094" s="53">
        <v>50100</v>
      </c>
      <c r="P4094" s="198" t="s">
        <v>7175</v>
      </c>
    </row>
    <row r="4095" spans="1:16" ht="18.75" hidden="1">
      <c r="A4095" s="50" t="str">
        <f>"50100-9755401"</f>
        <v>50100-9755401</v>
      </c>
      <c r="B4095" s="50" t="str">
        <f>"96/10/27"</f>
        <v>96/10/27</v>
      </c>
      <c r="C4095" s="50" t="s">
        <v>12464</v>
      </c>
      <c r="D4095" s="12" t="s">
        <v>8650</v>
      </c>
      <c r="E4095" s="12" t="s">
        <v>4971</v>
      </c>
      <c r="F4095" s="49">
        <v>92600</v>
      </c>
      <c r="G4095" s="77" t="str">
        <f>"LLC Sebco Bitumen"</f>
        <v>LLC Sebco Bitumen</v>
      </c>
      <c r="H4095" s="14" t="s">
        <v>5601</v>
      </c>
      <c r="I4095" s="14" t="s">
        <v>2458</v>
      </c>
      <c r="J4095" s="33" t="s">
        <v>7110</v>
      </c>
      <c r="K4095" s="33" t="s">
        <v>12513</v>
      </c>
      <c r="L4095" s="53" t="str">
        <f>"سنگال"</f>
        <v>سنگال</v>
      </c>
      <c r="M4095" s="68" t="str">
        <f t="shared" si="90"/>
        <v>بشكه</v>
      </c>
      <c r="N4095" s="53" t="str">
        <f t="shared" si="91"/>
        <v>منطقه ويژه اقتصادي شهيد رجايي</v>
      </c>
      <c r="O4095" s="53">
        <v>50100</v>
      </c>
      <c r="P4095" s="198" t="s">
        <v>7175</v>
      </c>
    </row>
    <row r="4096" spans="1:16" ht="18.75" hidden="1">
      <c r="A4096" s="50" t="str">
        <f>"50100-9718763"</f>
        <v>50100-9718763</v>
      </c>
      <c r="B4096" s="50" t="str">
        <f>"96/10/19"</f>
        <v>96/10/19</v>
      </c>
      <c r="C4096" s="50" t="s">
        <v>12465</v>
      </c>
      <c r="D4096" s="12" t="s">
        <v>12466</v>
      </c>
      <c r="E4096" s="12" t="s">
        <v>4971</v>
      </c>
      <c r="F4096" s="49">
        <v>994535</v>
      </c>
      <c r="G4096" s="77" t="str">
        <f t="shared" ref="G4096:G4111" si="92">"AL MASAR PETROLUME L.L.C"</f>
        <v>AL MASAR PETROLUME L.L.C</v>
      </c>
      <c r="H4096" s="14" t="s">
        <v>5601</v>
      </c>
      <c r="I4096" s="14" t="s">
        <v>2458</v>
      </c>
      <c r="J4096" s="33" t="e">
        <f>VLOOKUP(C4096,شرکتها!A:B,2,FALSE)</f>
        <v>#N/A</v>
      </c>
      <c r="K4096" s="33" t="s">
        <v>12513</v>
      </c>
      <c r="L4096" s="53" t="str">
        <f>"قطر"</f>
        <v>قطر</v>
      </c>
      <c r="M4096" s="68" t="str">
        <f>"فله"</f>
        <v>فله</v>
      </c>
      <c r="N4096" s="53" t="str">
        <f t="shared" si="91"/>
        <v>منطقه ويژه اقتصادي شهيد رجايي</v>
      </c>
      <c r="O4096" s="53">
        <v>50100</v>
      </c>
      <c r="P4096" s="198" t="s">
        <v>9911</v>
      </c>
    </row>
    <row r="4097" spans="1:16" ht="18.75" hidden="1">
      <c r="A4097" s="50" t="str">
        <f>"50100-9714637"</f>
        <v>50100-9714637</v>
      </c>
      <c r="B4097" s="50" t="str">
        <f>"96/10/18"</f>
        <v>96/10/18</v>
      </c>
      <c r="C4097" s="50" t="s">
        <v>12467</v>
      </c>
      <c r="D4097" s="12" t="s">
        <v>9998</v>
      </c>
      <c r="E4097" s="12" t="s">
        <v>4971</v>
      </c>
      <c r="F4097" s="49">
        <v>700000</v>
      </c>
      <c r="G4097" s="77" t="str">
        <f t="shared" si="92"/>
        <v>AL MASAR PETROLUME L.L.C</v>
      </c>
      <c r="H4097" s="14" t="s">
        <v>5601</v>
      </c>
      <c r="I4097" s="14" t="s">
        <v>2458</v>
      </c>
      <c r="J4097" s="33" t="e">
        <f>VLOOKUP(C4097,شرکتها!A:B,2,FALSE)</f>
        <v>#N/A</v>
      </c>
      <c r="K4097" s="33" t="s">
        <v>12513</v>
      </c>
      <c r="L4097" s="53" t="str">
        <f>"بنگلادش"</f>
        <v>بنگلادش</v>
      </c>
      <c r="M4097" s="68" t="str">
        <f>"بشكه"</f>
        <v>بشكه</v>
      </c>
      <c r="N4097" s="53" t="str">
        <f t="shared" si="91"/>
        <v>منطقه ويژه اقتصادي شهيد رجايي</v>
      </c>
      <c r="O4097" s="53">
        <v>50100</v>
      </c>
      <c r="P4097" s="198" t="s">
        <v>7211</v>
      </c>
    </row>
    <row r="4098" spans="1:16" ht="18.75" hidden="1">
      <c r="A4098" s="50" t="str">
        <f>"50100-9721397"</f>
        <v>50100-9721397</v>
      </c>
      <c r="B4098" s="50" t="str">
        <f>"96/10/20"</f>
        <v>96/10/20</v>
      </c>
      <c r="C4098" s="50" t="s">
        <v>12468</v>
      </c>
      <c r="D4098" s="12" t="s">
        <v>12349</v>
      </c>
      <c r="E4098" s="12" t="s">
        <v>4971</v>
      </c>
      <c r="F4098" s="49">
        <v>179428</v>
      </c>
      <c r="G4098" s="77" t="str">
        <f t="shared" si="92"/>
        <v>AL MASAR PETROLUME L.L.C</v>
      </c>
      <c r="H4098" s="14" t="s">
        <v>5601</v>
      </c>
      <c r="I4098" s="14" t="s">
        <v>2458</v>
      </c>
      <c r="J4098" s="33" t="e">
        <f>VLOOKUP(C4098,شرکتها!A:B,2,FALSE)</f>
        <v>#N/A</v>
      </c>
      <c r="K4098" s="33" t="s">
        <v>12513</v>
      </c>
      <c r="L4098" s="53" t="str">
        <f>"بنگلادش"</f>
        <v>بنگلادش</v>
      </c>
      <c r="M4098" s="68" t="str">
        <f>"بشكه"</f>
        <v>بشكه</v>
      </c>
      <c r="N4098" s="53" t="str">
        <f t="shared" si="91"/>
        <v>منطقه ويژه اقتصادي شهيد رجايي</v>
      </c>
      <c r="O4098" s="53">
        <v>50100</v>
      </c>
      <c r="P4098" s="198" t="s">
        <v>12195</v>
      </c>
    </row>
    <row r="4099" spans="1:16" ht="18.75" hidden="1">
      <c r="A4099" s="50" t="str">
        <f>"50100-9718670"</f>
        <v>50100-9718670</v>
      </c>
      <c r="B4099" s="50" t="str">
        <f>"96/10/19"</f>
        <v>96/10/19</v>
      </c>
      <c r="C4099" s="50" t="s">
        <v>12469</v>
      </c>
      <c r="D4099" s="12" t="s">
        <v>12466</v>
      </c>
      <c r="E4099" s="12" t="s">
        <v>4971</v>
      </c>
      <c r="F4099" s="49">
        <v>1383773</v>
      </c>
      <c r="G4099" s="77" t="str">
        <f t="shared" si="92"/>
        <v>AL MASAR PETROLUME L.L.C</v>
      </c>
      <c r="H4099" s="14" t="s">
        <v>5601</v>
      </c>
      <c r="I4099" s="14" t="s">
        <v>2458</v>
      </c>
      <c r="J4099" s="33" t="e">
        <f>VLOOKUP(C4099,شرکتها!A:B,2,FALSE)</f>
        <v>#N/A</v>
      </c>
      <c r="K4099" s="33" t="s">
        <v>12513</v>
      </c>
      <c r="L4099" s="53" t="str">
        <f>" امارات متحده عربي"</f>
        <v xml:space="preserve"> امارات متحده عربي</v>
      </c>
      <c r="M4099" s="68" t="str">
        <f>"فله"</f>
        <v>فله</v>
      </c>
      <c r="N4099" s="53" t="str">
        <f t="shared" si="91"/>
        <v>منطقه ويژه اقتصادي شهيد رجايي</v>
      </c>
      <c r="O4099" s="53">
        <v>50100</v>
      </c>
      <c r="P4099" s="198" t="s">
        <v>9911</v>
      </c>
    </row>
    <row r="4100" spans="1:16" ht="18.75" hidden="1">
      <c r="A4100" s="50" t="str">
        <f>"50100-9714637"</f>
        <v>50100-9714637</v>
      </c>
      <c r="B4100" s="50" t="str">
        <f>"96/10/18"</f>
        <v>96/10/18</v>
      </c>
      <c r="C4100" s="50" t="s">
        <v>12470</v>
      </c>
      <c r="D4100" s="12" t="s">
        <v>9998</v>
      </c>
      <c r="E4100" s="12" t="s">
        <v>4971</v>
      </c>
      <c r="F4100" s="49">
        <v>295788</v>
      </c>
      <c r="G4100" s="77" t="str">
        <f t="shared" si="92"/>
        <v>AL MASAR PETROLUME L.L.C</v>
      </c>
      <c r="H4100" s="14" t="s">
        <v>5601</v>
      </c>
      <c r="I4100" s="14" t="s">
        <v>2458</v>
      </c>
      <c r="J4100" s="33" t="e">
        <f>VLOOKUP(C4100,شرکتها!A:B,2,FALSE)</f>
        <v>#N/A</v>
      </c>
      <c r="K4100" s="33" t="s">
        <v>12513</v>
      </c>
      <c r="L4100" s="53" t="str">
        <f>"بنگلادش"</f>
        <v>بنگلادش</v>
      </c>
      <c r="M4100" s="68" t="str">
        <f t="shared" ref="M4100:M4117" si="93">"بشكه"</f>
        <v>بشكه</v>
      </c>
      <c r="N4100" s="53" t="str">
        <f t="shared" si="91"/>
        <v>منطقه ويژه اقتصادي شهيد رجايي</v>
      </c>
      <c r="O4100" s="53">
        <v>50100</v>
      </c>
      <c r="P4100" s="198" t="s">
        <v>9761</v>
      </c>
    </row>
    <row r="4101" spans="1:16" ht="18.75" hidden="1">
      <c r="A4101" s="50" t="str">
        <f>"50100-9719534"</f>
        <v>50100-9719534</v>
      </c>
      <c r="B4101" s="50" t="str">
        <f>"96/10/19"</f>
        <v>96/10/19</v>
      </c>
      <c r="C4101" s="50" t="s">
        <v>12471</v>
      </c>
      <c r="D4101" s="12" t="s">
        <v>9998</v>
      </c>
      <c r="E4101" s="12" t="s">
        <v>4971</v>
      </c>
      <c r="F4101" s="49">
        <v>497845</v>
      </c>
      <c r="G4101" s="77" t="str">
        <f t="shared" si="92"/>
        <v>AL MASAR PETROLUME L.L.C</v>
      </c>
      <c r="H4101" s="14" t="s">
        <v>5601</v>
      </c>
      <c r="I4101" s="14" t="s">
        <v>2458</v>
      </c>
      <c r="J4101" s="33" t="e">
        <f>VLOOKUP(C4101,شرکتها!A:B,2,FALSE)</f>
        <v>#N/A</v>
      </c>
      <c r="K4101" s="33" t="s">
        <v>12513</v>
      </c>
      <c r="L4101" s="53" t="s">
        <v>6277</v>
      </c>
      <c r="M4101" s="68" t="str">
        <f t="shared" si="93"/>
        <v>بشكه</v>
      </c>
      <c r="N4101" s="53" t="str">
        <f t="shared" si="91"/>
        <v>منطقه ويژه اقتصادي شهيد رجايي</v>
      </c>
      <c r="O4101" s="53">
        <v>50100</v>
      </c>
      <c r="P4101" s="198" t="s">
        <v>12195</v>
      </c>
    </row>
    <row r="4102" spans="1:16" ht="18.75" hidden="1">
      <c r="A4102" s="50" t="str">
        <f>"50100-9719664"</f>
        <v>50100-9719664</v>
      </c>
      <c r="B4102" s="50" t="str">
        <f>"96/10/19"</f>
        <v>96/10/19</v>
      </c>
      <c r="C4102" s="50" t="s">
        <v>12471</v>
      </c>
      <c r="D4102" s="12" t="s">
        <v>9998</v>
      </c>
      <c r="E4102" s="12" t="s">
        <v>4971</v>
      </c>
      <c r="F4102" s="49">
        <v>207796</v>
      </c>
      <c r="G4102" s="77" t="str">
        <f t="shared" si="92"/>
        <v>AL MASAR PETROLUME L.L.C</v>
      </c>
      <c r="H4102" s="14" t="s">
        <v>5601</v>
      </c>
      <c r="I4102" s="14" t="s">
        <v>2458</v>
      </c>
      <c r="J4102" s="33" t="e">
        <f>VLOOKUP(C4102,شرکتها!A:B,2,FALSE)</f>
        <v>#N/A</v>
      </c>
      <c r="K4102" s="33" t="s">
        <v>12513</v>
      </c>
      <c r="L4102" s="53" t="str">
        <f>"کنيا"</f>
        <v>کنيا</v>
      </c>
      <c r="M4102" s="68" t="str">
        <f t="shared" si="93"/>
        <v>بشكه</v>
      </c>
      <c r="N4102" s="53" t="str">
        <f t="shared" si="91"/>
        <v>منطقه ويژه اقتصادي شهيد رجايي</v>
      </c>
      <c r="O4102" s="53">
        <v>50100</v>
      </c>
      <c r="P4102" s="198" t="s">
        <v>12195</v>
      </c>
    </row>
    <row r="4103" spans="1:16" ht="18.75" hidden="1">
      <c r="A4103" s="50" t="str">
        <f>"50100-9719461"</f>
        <v>50100-9719461</v>
      </c>
      <c r="B4103" s="50" t="str">
        <f>"96/10/19"</f>
        <v>96/10/19</v>
      </c>
      <c r="C4103" s="50" t="s">
        <v>12471</v>
      </c>
      <c r="D4103" s="12" t="s">
        <v>9998</v>
      </c>
      <c r="E4103" s="12" t="s">
        <v>4971</v>
      </c>
      <c r="F4103" s="49">
        <v>597516</v>
      </c>
      <c r="G4103" s="77" t="str">
        <f t="shared" si="92"/>
        <v>AL MASAR PETROLUME L.L.C</v>
      </c>
      <c r="H4103" s="14" t="s">
        <v>5601</v>
      </c>
      <c r="I4103" s="14" t="s">
        <v>2458</v>
      </c>
      <c r="J4103" s="33" t="e">
        <f>VLOOKUP(C4103,شرکتها!A:B,2,FALSE)</f>
        <v>#N/A</v>
      </c>
      <c r="K4103" s="33" t="s">
        <v>12513</v>
      </c>
      <c r="L4103" s="53" t="str">
        <f>"کنيا"</f>
        <v>کنيا</v>
      </c>
      <c r="M4103" s="68" t="str">
        <f t="shared" si="93"/>
        <v>بشكه</v>
      </c>
      <c r="N4103" s="53" t="str">
        <f t="shared" si="91"/>
        <v>منطقه ويژه اقتصادي شهيد رجايي</v>
      </c>
      <c r="O4103" s="53">
        <v>50100</v>
      </c>
      <c r="P4103" s="198" t="s">
        <v>12195</v>
      </c>
    </row>
    <row r="4104" spans="1:16" ht="18.75" hidden="1">
      <c r="A4104" s="50" t="str">
        <f>"50100-9719591"</f>
        <v>50100-9719591</v>
      </c>
      <c r="B4104" s="50" t="str">
        <f>"96/10/19"</f>
        <v>96/10/19</v>
      </c>
      <c r="C4104" s="50" t="s">
        <v>12471</v>
      </c>
      <c r="D4104" s="12" t="s">
        <v>9998</v>
      </c>
      <c r="E4104" s="12" t="s">
        <v>4971</v>
      </c>
      <c r="F4104" s="49">
        <v>496843</v>
      </c>
      <c r="G4104" s="77" t="str">
        <f t="shared" si="92"/>
        <v>AL MASAR PETROLUME L.L.C</v>
      </c>
      <c r="H4104" s="14" t="s">
        <v>5601</v>
      </c>
      <c r="I4104" s="14" t="s">
        <v>2458</v>
      </c>
      <c r="J4104" s="33" t="e">
        <f>VLOOKUP(C4104,شرکتها!A:B,2,FALSE)</f>
        <v>#N/A</v>
      </c>
      <c r="K4104" s="33" t="s">
        <v>12513</v>
      </c>
      <c r="L4104" s="53" t="str">
        <f>"کنيا"</f>
        <v>کنيا</v>
      </c>
      <c r="M4104" s="68" t="str">
        <f t="shared" si="93"/>
        <v>بشكه</v>
      </c>
      <c r="N4104" s="53" t="str">
        <f t="shared" si="91"/>
        <v>منطقه ويژه اقتصادي شهيد رجايي</v>
      </c>
      <c r="O4104" s="53">
        <v>50100</v>
      </c>
      <c r="P4104" s="198" t="s">
        <v>12195</v>
      </c>
    </row>
    <row r="4105" spans="1:16" ht="18.75" hidden="1">
      <c r="A4105" s="50" t="str">
        <f>"50100-9738588"</f>
        <v>50100-9738588</v>
      </c>
      <c r="B4105" s="50" t="str">
        <f>"96/10/24"</f>
        <v>96/10/24</v>
      </c>
      <c r="C4105" s="50" t="s">
        <v>12472</v>
      </c>
      <c r="D4105" s="12" t="s">
        <v>12380</v>
      </c>
      <c r="E4105" s="12" t="s">
        <v>4971</v>
      </c>
      <c r="F4105" s="49">
        <v>497845</v>
      </c>
      <c r="G4105" s="77" t="str">
        <f t="shared" si="92"/>
        <v>AL MASAR PETROLUME L.L.C</v>
      </c>
      <c r="H4105" s="14" t="s">
        <v>5601</v>
      </c>
      <c r="I4105" s="14" t="s">
        <v>2458</v>
      </c>
      <c r="J4105" s="33" t="e">
        <f>VLOOKUP(C4105,شرکتها!A:B,2,FALSE)</f>
        <v>#N/A</v>
      </c>
      <c r="K4105" s="33" t="s">
        <v>12513</v>
      </c>
      <c r="L4105" s="53" t="str">
        <f>"بنگلادش"</f>
        <v>بنگلادش</v>
      </c>
      <c r="M4105" s="68" t="str">
        <f t="shared" si="93"/>
        <v>بشكه</v>
      </c>
      <c r="N4105" s="53" t="str">
        <f t="shared" si="91"/>
        <v>منطقه ويژه اقتصادي شهيد رجايي</v>
      </c>
      <c r="O4105" s="53">
        <v>50100</v>
      </c>
      <c r="P4105" s="198" t="s">
        <v>12195</v>
      </c>
    </row>
    <row r="4106" spans="1:16" ht="18.75" hidden="1">
      <c r="A4106" s="50" t="str">
        <f>"50100-9738098"</f>
        <v>50100-9738098</v>
      </c>
      <c r="B4106" s="50" t="str">
        <f>"96/10/24"</f>
        <v>96/10/24</v>
      </c>
      <c r="C4106" s="50" t="s">
        <v>12470</v>
      </c>
      <c r="D4106" s="12" t="s">
        <v>9998</v>
      </c>
      <c r="E4106" s="12" t="s">
        <v>4971</v>
      </c>
      <c r="F4106" s="49">
        <v>386212</v>
      </c>
      <c r="G4106" s="77" t="str">
        <f t="shared" si="92"/>
        <v>AL MASAR PETROLUME L.L.C</v>
      </c>
      <c r="H4106" s="14" t="s">
        <v>5601</v>
      </c>
      <c r="I4106" s="14" t="s">
        <v>2458</v>
      </c>
      <c r="J4106" s="33" t="e">
        <f>VLOOKUP(C4106,شرکتها!A:B,2,FALSE)</f>
        <v>#N/A</v>
      </c>
      <c r="K4106" s="33" t="s">
        <v>12513</v>
      </c>
      <c r="L4106" s="53" t="str">
        <f>"بنگلادش"</f>
        <v>بنگلادش</v>
      </c>
      <c r="M4106" s="68" t="str">
        <f t="shared" si="93"/>
        <v>بشكه</v>
      </c>
      <c r="N4106" s="53" t="str">
        <f t="shared" si="91"/>
        <v>منطقه ويژه اقتصادي شهيد رجايي</v>
      </c>
      <c r="O4106" s="53">
        <v>50100</v>
      </c>
      <c r="P4106" s="198" t="s">
        <v>9761</v>
      </c>
    </row>
    <row r="4107" spans="1:16" ht="18.75" hidden="1">
      <c r="A4107" s="50" t="str">
        <f>"50100-9719664"</f>
        <v>50100-9719664</v>
      </c>
      <c r="B4107" s="50" t="str">
        <f>"96/10/19"</f>
        <v>96/10/19</v>
      </c>
      <c r="C4107" s="50" t="s">
        <v>12459</v>
      </c>
      <c r="D4107" s="12" t="s">
        <v>9998</v>
      </c>
      <c r="E4107" s="12" t="s">
        <v>4971</v>
      </c>
      <c r="F4107" s="49">
        <v>229427</v>
      </c>
      <c r="G4107" s="77" t="str">
        <f t="shared" si="92"/>
        <v>AL MASAR PETROLUME L.L.C</v>
      </c>
      <c r="H4107" s="14" t="s">
        <v>5601</v>
      </c>
      <c r="I4107" s="14" t="s">
        <v>2458</v>
      </c>
      <c r="J4107" s="33" t="e">
        <f>VLOOKUP(C4107,شرکتها!A:B,2,FALSE)</f>
        <v>#N/A</v>
      </c>
      <c r="K4107" s="33" t="s">
        <v>12513</v>
      </c>
      <c r="L4107" s="53" t="str">
        <f>"کنيا"</f>
        <v>کنيا</v>
      </c>
      <c r="M4107" s="68" t="str">
        <f t="shared" si="93"/>
        <v>بشكه</v>
      </c>
      <c r="N4107" s="53" t="str">
        <f t="shared" si="91"/>
        <v>منطقه ويژه اقتصادي شهيد رجايي</v>
      </c>
      <c r="O4107" s="53">
        <v>50100</v>
      </c>
      <c r="P4107" s="198" t="s">
        <v>12195</v>
      </c>
    </row>
    <row r="4108" spans="1:16" ht="18.75" hidden="1">
      <c r="A4108" s="50" t="str">
        <f>"50100-9738098"</f>
        <v>50100-9738098</v>
      </c>
      <c r="B4108" s="50" t="str">
        <f>"96/10/24"</f>
        <v>96/10/24</v>
      </c>
      <c r="C4108" s="50" t="s">
        <v>12468</v>
      </c>
      <c r="D4108" s="12" t="s">
        <v>12349</v>
      </c>
      <c r="E4108" s="12" t="s">
        <v>4971</v>
      </c>
      <c r="F4108" s="49">
        <v>111538</v>
      </c>
      <c r="G4108" s="77" t="str">
        <f t="shared" si="92"/>
        <v>AL MASAR PETROLUME L.L.C</v>
      </c>
      <c r="H4108" s="14" t="s">
        <v>5601</v>
      </c>
      <c r="I4108" s="14" t="s">
        <v>2458</v>
      </c>
      <c r="J4108" s="33" t="e">
        <f>VLOOKUP(C4108,شرکتها!A:B,2,FALSE)</f>
        <v>#N/A</v>
      </c>
      <c r="K4108" s="33" t="s">
        <v>12513</v>
      </c>
      <c r="L4108" s="53" t="str">
        <f>"بنگلادش"</f>
        <v>بنگلادش</v>
      </c>
      <c r="M4108" s="68" t="str">
        <f t="shared" si="93"/>
        <v>بشكه</v>
      </c>
      <c r="N4108" s="53" t="str">
        <f t="shared" si="91"/>
        <v>منطقه ويژه اقتصادي شهيد رجايي</v>
      </c>
      <c r="O4108" s="53">
        <v>50100</v>
      </c>
      <c r="P4108" s="198" t="s">
        <v>12195</v>
      </c>
    </row>
    <row r="4109" spans="1:16" ht="18.75" hidden="1">
      <c r="A4109" s="50" t="str">
        <f>"50100-9719817"</f>
        <v>50100-9719817</v>
      </c>
      <c r="B4109" s="50" t="str">
        <f>"96/10/19"</f>
        <v>96/10/19</v>
      </c>
      <c r="C4109" s="50" t="s">
        <v>12459</v>
      </c>
      <c r="D4109" s="12" t="s">
        <v>9998</v>
      </c>
      <c r="E4109" s="12" t="s">
        <v>4971</v>
      </c>
      <c r="F4109" s="49">
        <v>418350</v>
      </c>
      <c r="G4109" s="77" t="str">
        <f t="shared" si="92"/>
        <v>AL MASAR PETROLUME L.L.C</v>
      </c>
      <c r="H4109" s="14" t="s">
        <v>5601</v>
      </c>
      <c r="I4109" s="14" t="s">
        <v>2458</v>
      </c>
      <c r="J4109" s="33" t="e">
        <f>VLOOKUP(C4109,شرکتها!A:B,2,FALSE)</f>
        <v>#N/A</v>
      </c>
      <c r="K4109" s="33" t="s">
        <v>12513</v>
      </c>
      <c r="L4109" s="53" t="str">
        <f>"کنيا"</f>
        <v>کنيا</v>
      </c>
      <c r="M4109" s="68" t="str">
        <f t="shared" si="93"/>
        <v>بشكه</v>
      </c>
      <c r="N4109" s="53" t="str">
        <f t="shared" si="91"/>
        <v>منطقه ويژه اقتصادي شهيد رجايي</v>
      </c>
      <c r="O4109" s="53">
        <v>50100</v>
      </c>
      <c r="P4109" s="198" t="s">
        <v>12195</v>
      </c>
    </row>
    <row r="4110" spans="1:16" ht="18.75" hidden="1">
      <c r="A4110" s="50" t="str">
        <f>"50100-9738478"</f>
        <v>50100-9738478</v>
      </c>
      <c r="B4110" s="50" t="str">
        <f>"96/10/24"</f>
        <v>96/10/24</v>
      </c>
      <c r="C4110" s="50" t="s">
        <v>12472</v>
      </c>
      <c r="D4110" s="12" t="s">
        <v>12380</v>
      </c>
      <c r="E4110" s="12" t="s">
        <v>4971</v>
      </c>
      <c r="F4110" s="49">
        <v>501356</v>
      </c>
      <c r="G4110" s="77" t="str">
        <f t="shared" si="92"/>
        <v>AL MASAR PETROLUME L.L.C</v>
      </c>
      <c r="H4110" s="14" t="s">
        <v>5601</v>
      </c>
      <c r="I4110" s="14" t="s">
        <v>2458</v>
      </c>
      <c r="J4110" s="33" t="e">
        <f>VLOOKUP(C4110,شرکتها!A:B,2,FALSE)</f>
        <v>#N/A</v>
      </c>
      <c r="K4110" s="33" t="s">
        <v>12513</v>
      </c>
      <c r="L4110" s="53" t="str">
        <f>"کنيا"</f>
        <v>کنيا</v>
      </c>
      <c r="M4110" s="68" t="str">
        <f t="shared" si="93"/>
        <v>بشكه</v>
      </c>
      <c r="N4110" s="53" t="str">
        <f t="shared" si="91"/>
        <v>منطقه ويژه اقتصادي شهيد رجايي</v>
      </c>
      <c r="O4110" s="53">
        <v>50100</v>
      </c>
      <c r="P4110" s="198" t="s">
        <v>12195</v>
      </c>
    </row>
    <row r="4111" spans="1:16" ht="18.75" hidden="1">
      <c r="A4111" s="50" t="str">
        <f>"50100-9738478"</f>
        <v>50100-9738478</v>
      </c>
      <c r="B4111" s="50" t="str">
        <f>"96/10/24"</f>
        <v>96/10/24</v>
      </c>
      <c r="C4111" s="50" t="s">
        <v>12468</v>
      </c>
      <c r="D4111" s="12" t="s">
        <v>12349</v>
      </c>
      <c r="E4111" s="12" t="s">
        <v>4971</v>
      </c>
      <c r="F4111" s="49">
        <v>109034</v>
      </c>
      <c r="G4111" s="77" t="str">
        <f t="shared" si="92"/>
        <v>AL MASAR PETROLUME L.L.C</v>
      </c>
      <c r="H4111" s="14" t="s">
        <v>5601</v>
      </c>
      <c r="I4111" s="14" t="s">
        <v>2458</v>
      </c>
      <c r="J4111" s="33" t="e">
        <f>VLOOKUP(C4111,شرکتها!A:B,2,FALSE)</f>
        <v>#N/A</v>
      </c>
      <c r="K4111" s="33" t="s">
        <v>12513</v>
      </c>
      <c r="L4111" s="53" t="str">
        <f>"کنيا"</f>
        <v>کنيا</v>
      </c>
      <c r="M4111" s="68" t="str">
        <f t="shared" si="93"/>
        <v>بشكه</v>
      </c>
      <c r="N4111" s="53" t="str">
        <f t="shared" si="91"/>
        <v>منطقه ويژه اقتصادي شهيد رجايي</v>
      </c>
      <c r="O4111" s="53">
        <v>50100</v>
      </c>
      <c r="P4111" s="198" t="s">
        <v>12195</v>
      </c>
    </row>
    <row r="4112" spans="1:16" ht="18.75" hidden="1">
      <c r="A4112" s="50" t="str">
        <f>"50100-9716593"</f>
        <v>50100-9716593</v>
      </c>
      <c r="B4112" s="50" t="str">
        <f>"96/10/19"</f>
        <v>96/10/19</v>
      </c>
      <c r="C4112" s="50" t="s">
        <v>12473</v>
      </c>
      <c r="D4112" s="12" t="s">
        <v>8770</v>
      </c>
      <c r="E4112" s="12" t="s">
        <v>4971</v>
      </c>
      <c r="F4112" s="49">
        <v>72530</v>
      </c>
      <c r="G4112" s="77" t="str">
        <f>"LLC Sebco Bitumen"</f>
        <v>LLC Sebco Bitumen</v>
      </c>
      <c r="H4112" s="14" t="s">
        <v>5601</v>
      </c>
      <c r="I4112" s="14" t="s">
        <v>2458</v>
      </c>
      <c r="J4112" s="33" t="s">
        <v>7110</v>
      </c>
      <c r="K4112" s="33" t="s">
        <v>12513</v>
      </c>
      <c r="L4112" s="53" t="str">
        <f>"کنيا"</f>
        <v>کنيا</v>
      </c>
      <c r="M4112" s="68" t="str">
        <f t="shared" si="93"/>
        <v>بشكه</v>
      </c>
      <c r="N4112" s="53" t="str">
        <f t="shared" si="91"/>
        <v>منطقه ويژه اقتصادي شهيد رجايي</v>
      </c>
      <c r="O4112" s="53">
        <v>50100</v>
      </c>
      <c r="P4112" s="198" t="s">
        <v>7273</v>
      </c>
    </row>
    <row r="4113" spans="1:16" ht="18.75" hidden="1">
      <c r="A4113" s="50" t="str">
        <f>"50100-9716593"</f>
        <v>50100-9716593</v>
      </c>
      <c r="B4113" s="50" t="str">
        <f>"96/10/19"</f>
        <v>96/10/19</v>
      </c>
      <c r="C4113" s="50" t="s">
        <v>12329</v>
      </c>
      <c r="D4113" s="12" t="s">
        <v>8621</v>
      </c>
      <c r="E4113" s="12" t="s">
        <v>4971</v>
      </c>
      <c r="F4113" s="49">
        <v>87470</v>
      </c>
      <c r="G4113" s="77" t="str">
        <f>"LLC Sebco Bitumen"</f>
        <v>LLC Sebco Bitumen</v>
      </c>
      <c r="H4113" s="14" t="s">
        <v>5601</v>
      </c>
      <c r="I4113" s="14" t="s">
        <v>2458</v>
      </c>
      <c r="J4113" s="33" t="s">
        <v>7110</v>
      </c>
      <c r="K4113" s="33" t="s">
        <v>12513</v>
      </c>
      <c r="L4113" s="53" t="str">
        <f>"کنيا"</f>
        <v>کنيا</v>
      </c>
      <c r="M4113" s="68" t="str">
        <f t="shared" si="93"/>
        <v>بشكه</v>
      </c>
      <c r="N4113" s="53" t="str">
        <f t="shared" si="91"/>
        <v>منطقه ويژه اقتصادي شهيد رجايي</v>
      </c>
      <c r="O4113" s="53">
        <v>50100</v>
      </c>
      <c r="P4113" s="198" t="s">
        <v>7273</v>
      </c>
    </row>
    <row r="4114" spans="1:16" ht="18.75" hidden="1">
      <c r="A4114" s="50" t="str">
        <f>"50100-9738966"</f>
        <v>50100-9738966</v>
      </c>
      <c r="B4114" s="50" t="str">
        <f>"96/10/24"</f>
        <v>96/10/24</v>
      </c>
      <c r="C4114" s="50" t="s">
        <v>12474</v>
      </c>
      <c r="D4114" s="12" t="s">
        <v>9952</v>
      </c>
      <c r="E4114" s="12" t="s">
        <v>4971</v>
      </c>
      <c r="F4114" s="49">
        <v>499040</v>
      </c>
      <c r="G4114" s="77" t="str">
        <f>"Black Gold Traders FZE"</f>
        <v>Black Gold Traders FZE</v>
      </c>
      <c r="H4114" s="14" t="s">
        <v>5601</v>
      </c>
      <c r="I4114" s="14" t="s">
        <v>2458</v>
      </c>
      <c r="J4114" s="33" t="s">
        <v>7110</v>
      </c>
      <c r="K4114" s="33" t="s">
        <v>12513</v>
      </c>
      <c r="L4114" s="53" t="str">
        <f>"هند"</f>
        <v>هند</v>
      </c>
      <c r="M4114" s="68" t="str">
        <f t="shared" si="93"/>
        <v>بشكه</v>
      </c>
      <c r="N4114" s="53" t="str">
        <f t="shared" si="91"/>
        <v>منطقه ويژه اقتصادي شهيد رجايي</v>
      </c>
      <c r="O4114" s="53">
        <v>50100</v>
      </c>
      <c r="P4114" s="198" t="s">
        <v>9762</v>
      </c>
    </row>
    <row r="4115" spans="1:16" ht="18.75" hidden="1">
      <c r="A4115" s="50" t="str">
        <f>"50100-9721397"</f>
        <v>50100-9721397</v>
      </c>
      <c r="B4115" s="50" t="str">
        <f>"96/10/20"</f>
        <v>96/10/20</v>
      </c>
      <c r="C4115" s="50" t="s">
        <v>12460</v>
      </c>
      <c r="D4115" s="12" t="s">
        <v>9998</v>
      </c>
      <c r="E4115" s="12" t="s">
        <v>4971</v>
      </c>
      <c r="F4115" s="49">
        <v>315572</v>
      </c>
      <c r="G4115" s="77" t="str">
        <f>"AL MASAR PETROLUME L.L.C"</f>
        <v>AL MASAR PETROLUME L.L.C</v>
      </c>
      <c r="H4115" s="14" t="s">
        <v>5601</v>
      </c>
      <c r="I4115" s="14" t="s">
        <v>2458</v>
      </c>
      <c r="J4115" s="33" t="e">
        <f>VLOOKUP(C4115,شرکتها!A:B,2,FALSE)</f>
        <v>#N/A</v>
      </c>
      <c r="K4115" s="33" t="s">
        <v>12513</v>
      </c>
      <c r="L4115" s="53" t="str">
        <f>"بنگلادش"</f>
        <v>بنگلادش</v>
      </c>
      <c r="M4115" s="68" t="str">
        <f t="shared" si="93"/>
        <v>بشكه</v>
      </c>
      <c r="N4115" s="53" t="str">
        <f t="shared" si="91"/>
        <v>منطقه ويژه اقتصادي شهيد رجايي</v>
      </c>
      <c r="O4115" s="53">
        <v>50100</v>
      </c>
      <c r="P4115" s="198" t="s">
        <v>12195</v>
      </c>
    </row>
    <row r="4116" spans="1:16" ht="18.75" hidden="1">
      <c r="A4116" s="50" t="str">
        <f>"50100-9717798"</f>
        <v>50100-9717798</v>
      </c>
      <c r="B4116" s="50" t="str">
        <f>"96/10/19"</f>
        <v>96/10/19</v>
      </c>
      <c r="C4116" s="50" t="s">
        <v>12475</v>
      </c>
      <c r="D4116" s="12" t="s">
        <v>8911</v>
      </c>
      <c r="E4116" s="12" t="s">
        <v>4971</v>
      </c>
      <c r="F4116" s="49">
        <v>498525</v>
      </c>
      <c r="G4116" s="77" t="str">
        <f>"SHINING GREEN STAR FZE"</f>
        <v>SHINING GREEN STAR FZE</v>
      </c>
      <c r="H4116" s="14" t="s">
        <v>5601</v>
      </c>
      <c r="I4116" s="14" t="s">
        <v>2458</v>
      </c>
      <c r="J4116" s="33" t="s">
        <v>7110</v>
      </c>
      <c r="K4116" s="33" t="s">
        <v>12513</v>
      </c>
      <c r="L4116" s="53" t="str">
        <f>"هند"</f>
        <v>هند</v>
      </c>
      <c r="M4116" s="68" t="str">
        <f t="shared" si="93"/>
        <v>بشكه</v>
      </c>
      <c r="N4116" s="53" t="str">
        <f t="shared" si="91"/>
        <v>منطقه ويژه اقتصادي شهيد رجايي</v>
      </c>
      <c r="O4116" s="53">
        <v>50100</v>
      </c>
      <c r="P4116" s="198" t="s">
        <v>9767</v>
      </c>
    </row>
    <row r="4117" spans="1:16" ht="18.75" hidden="1">
      <c r="A4117" s="50" t="str">
        <f>"50100-9719700"</f>
        <v>50100-9719700</v>
      </c>
      <c r="B4117" s="50" t="str">
        <f>"96/10/19"</f>
        <v>96/10/19</v>
      </c>
      <c r="C4117" s="50" t="s">
        <v>12459</v>
      </c>
      <c r="D4117" s="12" t="s">
        <v>9998</v>
      </c>
      <c r="E4117" s="12" t="s">
        <v>4971</v>
      </c>
      <c r="F4117" s="49">
        <v>458096</v>
      </c>
      <c r="G4117" s="77" t="str">
        <f>"AL MASAR PETROLUME L.L.C"</f>
        <v>AL MASAR PETROLUME L.L.C</v>
      </c>
      <c r="H4117" s="14" t="s">
        <v>5601</v>
      </c>
      <c r="I4117" s="14" t="s">
        <v>2458</v>
      </c>
      <c r="J4117" s="33" t="e">
        <f>VLOOKUP(C4117,شرکتها!A:B,2,FALSE)</f>
        <v>#N/A</v>
      </c>
      <c r="K4117" s="33" t="s">
        <v>12513</v>
      </c>
      <c r="L4117" s="53" t="str">
        <f>"کنيا"</f>
        <v>کنيا</v>
      </c>
      <c r="M4117" s="68" t="str">
        <f t="shared" si="93"/>
        <v>بشكه</v>
      </c>
      <c r="N4117" s="53" t="str">
        <f t="shared" si="91"/>
        <v>منطقه ويژه اقتصادي شهيد رجايي</v>
      </c>
      <c r="O4117" s="53">
        <v>50100</v>
      </c>
      <c r="P4117" s="198" t="s">
        <v>12195</v>
      </c>
    </row>
    <row r="4118" spans="1:16" ht="18.75" hidden="1">
      <c r="A4118" s="50" t="str">
        <f>"50100-9746559"</f>
        <v>50100-9746559</v>
      </c>
      <c r="B4118" s="50" t="str">
        <f>"96/10/25"</f>
        <v>96/10/25</v>
      </c>
      <c r="C4118" s="50" t="s">
        <v>12476</v>
      </c>
      <c r="D4118" s="12" t="s">
        <v>12477</v>
      </c>
      <c r="E4118" s="12" t="s">
        <v>4971</v>
      </c>
      <c r="F4118" s="49">
        <v>880777</v>
      </c>
      <c r="G4118" s="77" t="str">
        <f>"AL MASAR PETROLUME L.L.C"</f>
        <v>AL MASAR PETROLUME L.L.C</v>
      </c>
      <c r="H4118" s="14" t="s">
        <v>5601</v>
      </c>
      <c r="I4118" s="14" t="s">
        <v>2458</v>
      </c>
      <c r="J4118" s="33" t="e">
        <f>VLOOKUP(C4118,شرکتها!A:B,2,FALSE)</f>
        <v>#N/A</v>
      </c>
      <c r="K4118" s="33" t="s">
        <v>12513</v>
      </c>
      <c r="L4118" s="53" t="str">
        <f>" امارات متحده عربي"</f>
        <v xml:space="preserve"> امارات متحده عربي</v>
      </c>
      <c r="M4118" s="68" t="str">
        <f>"فله"</f>
        <v>فله</v>
      </c>
      <c r="N4118" s="53" t="str">
        <f t="shared" si="91"/>
        <v>منطقه ويژه اقتصادي شهيد رجايي</v>
      </c>
      <c r="O4118" s="53">
        <v>50100</v>
      </c>
      <c r="P4118" s="198" t="s">
        <v>12442</v>
      </c>
    </row>
    <row r="4119" spans="1:16" ht="18.75" hidden="1">
      <c r="A4119" s="50" t="s">
        <v>12478</v>
      </c>
      <c r="B4119" s="50" t="s">
        <v>12479</v>
      </c>
      <c r="C4119" s="50" t="s">
        <v>12480</v>
      </c>
      <c r="D4119" s="12" t="s">
        <v>12481</v>
      </c>
      <c r="E4119" s="12" t="s">
        <v>4971</v>
      </c>
      <c r="F4119" s="49">
        <v>994989</v>
      </c>
      <c r="G4119" s="77" t="s">
        <v>6452</v>
      </c>
      <c r="H4119" s="14" t="s">
        <v>5601</v>
      </c>
      <c r="I4119" s="14" t="s">
        <v>2458</v>
      </c>
      <c r="J4119" s="33" t="e">
        <f>VLOOKUP(C4119,شرکتها!A:B,2,FALSE)</f>
        <v>#N/A</v>
      </c>
      <c r="K4119" s="33" t="s">
        <v>12513</v>
      </c>
      <c r="L4119" s="53" t="s">
        <v>8681</v>
      </c>
      <c r="M4119" s="68" t="s">
        <v>8912</v>
      </c>
      <c r="N4119" s="53" t="s">
        <v>12407</v>
      </c>
      <c r="O4119" s="53">
        <v>50100</v>
      </c>
      <c r="P4119" s="198" t="s">
        <v>12195</v>
      </c>
    </row>
    <row r="4120" spans="1:16" ht="18.75" hidden="1">
      <c r="A4120" s="50" t="s">
        <v>12478</v>
      </c>
      <c r="B4120" s="50" t="s">
        <v>12479</v>
      </c>
      <c r="C4120" s="50" t="s">
        <v>12472</v>
      </c>
      <c r="D4120" s="12" t="s">
        <v>12380</v>
      </c>
      <c r="E4120" s="12" t="s">
        <v>4971</v>
      </c>
      <c r="F4120" s="49">
        <v>799</v>
      </c>
      <c r="G4120" s="77" t="s">
        <v>6452</v>
      </c>
      <c r="H4120" s="14" t="s">
        <v>5601</v>
      </c>
      <c r="I4120" s="14" t="s">
        <v>2458</v>
      </c>
      <c r="J4120" s="33" t="e">
        <f>VLOOKUP(C4120,شرکتها!A:B,2,FALSE)</f>
        <v>#N/A</v>
      </c>
      <c r="K4120" s="33" t="s">
        <v>12513</v>
      </c>
      <c r="L4120" s="53" t="s">
        <v>8681</v>
      </c>
      <c r="M4120" s="68" t="s">
        <v>8912</v>
      </c>
      <c r="N4120" s="53" t="s">
        <v>12407</v>
      </c>
      <c r="O4120" s="53">
        <v>50100</v>
      </c>
      <c r="P4120" s="198" t="s">
        <v>12195</v>
      </c>
    </row>
    <row r="4121" spans="1:16" ht="18.75" hidden="1">
      <c r="A4121" s="50" t="str">
        <f>"15100-528084"</f>
        <v>15100-528084</v>
      </c>
      <c r="B4121" s="50" t="str">
        <f>"96/10/27"</f>
        <v>96/10/27</v>
      </c>
      <c r="C4121" s="50" t="s">
        <v>12482</v>
      </c>
      <c r="D4121" s="12" t="s">
        <v>12367</v>
      </c>
      <c r="E4121" s="12" t="s">
        <v>4971</v>
      </c>
      <c r="F4121" s="49">
        <v>9090</v>
      </c>
      <c r="G4121" s="77" t="str">
        <f>"DAXON PETROLEUM"</f>
        <v>DAXON PETROLEUM</v>
      </c>
      <c r="H4121" s="14" t="s">
        <v>5601</v>
      </c>
      <c r="I4121" s="14" t="s">
        <v>2458</v>
      </c>
      <c r="J4121" s="33" t="s">
        <v>7110</v>
      </c>
      <c r="K4121" s="33" t="s">
        <v>12513</v>
      </c>
      <c r="L4121" s="53" t="str">
        <f t="shared" ref="L4121:L4184" si="94">"پاکستان"</f>
        <v>پاکستان</v>
      </c>
      <c r="M4121" s="68" t="str">
        <f t="shared" ref="M4121:M4129" si="95">"بشكه"</f>
        <v>بشكه</v>
      </c>
      <c r="N4121" s="53" t="str">
        <f>"پيشين"</f>
        <v>پيشين</v>
      </c>
      <c r="O4121" s="53">
        <v>55301</v>
      </c>
      <c r="P4121" s="198" t="s">
        <v>12218</v>
      </c>
    </row>
    <row r="4122" spans="1:16" ht="18.75" hidden="1">
      <c r="A4122" s="50" t="str">
        <f>"15100-526939"</f>
        <v>15100-526939</v>
      </c>
      <c r="B4122" s="50" t="str">
        <f>"96/10/25"</f>
        <v>96/10/25</v>
      </c>
      <c r="C4122" s="50" t="s">
        <v>12482</v>
      </c>
      <c r="D4122" s="12" t="s">
        <v>12367</v>
      </c>
      <c r="E4122" s="12" t="s">
        <v>4971</v>
      </c>
      <c r="F4122" s="49">
        <v>94160</v>
      </c>
      <c r="G4122" s="77" t="str">
        <f>"DAXON PETROLEUM"</f>
        <v>DAXON PETROLEUM</v>
      </c>
      <c r="H4122" s="14" t="s">
        <v>5601</v>
      </c>
      <c r="I4122" s="14" t="s">
        <v>2458</v>
      </c>
      <c r="J4122" s="33" t="s">
        <v>7110</v>
      </c>
      <c r="K4122" s="33" t="s">
        <v>12513</v>
      </c>
      <c r="L4122" s="53" t="str">
        <f t="shared" si="94"/>
        <v>پاکستان</v>
      </c>
      <c r="M4122" s="68" t="str">
        <f t="shared" si="95"/>
        <v>بشكه</v>
      </c>
      <c r="N4122" s="53" t="str">
        <f>"پيشين"</f>
        <v>پيشين</v>
      </c>
      <c r="O4122" s="53">
        <v>55301</v>
      </c>
      <c r="P4122" s="198" t="s">
        <v>12218</v>
      </c>
    </row>
    <row r="4123" spans="1:16" ht="18.75" hidden="1">
      <c r="A4123" s="50" t="str">
        <f>"15100-524155"</f>
        <v>15100-524155</v>
      </c>
      <c r="B4123" s="50" t="str">
        <f>"96/10/19"</f>
        <v>96/10/19</v>
      </c>
      <c r="C4123" s="50" t="s">
        <v>12483</v>
      </c>
      <c r="D4123" s="12" t="s">
        <v>10008</v>
      </c>
      <c r="E4123" s="12" t="s">
        <v>4971</v>
      </c>
      <c r="F4123" s="49">
        <v>5070</v>
      </c>
      <c r="G4123" s="77" t="str">
        <f>"Black Gold Traders FZE"</f>
        <v>Black Gold Traders FZE</v>
      </c>
      <c r="H4123" s="14" t="s">
        <v>5601</v>
      </c>
      <c r="I4123" s="14" t="s">
        <v>2458</v>
      </c>
      <c r="J4123" s="33" t="s">
        <v>7110</v>
      </c>
      <c r="K4123" s="33" t="s">
        <v>12513</v>
      </c>
      <c r="L4123" s="53" t="str">
        <f t="shared" si="94"/>
        <v>پاکستان</v>
      </c>
      <c r="M4123" s="68" t="str">
        <f t="shared" si="95"/>
        <v>بشكه</v>
      </c>
      <c r="N4123" s="53" t="str">
        <f>"تفتان (ميرجاوه)"</f>
        <v>تفتان (ميرجاوه)</v>
      </c>
      <c r="O4123" s="53">
        <v>55200</v>
      </c>
      <c r="P4123" s="198" t="s">
        <v>12217</v>
      </c>
    </row>
    <row r="4124" spans="1:16" ht="18.75" hidden="1">
      <c r="A4124" s="50" t="str">
        <f>"15100-524155"</f>
        <v>15100-524155</v>
      </c>
      <c r="B4124" s="50" t="str">
        <f>"96/10/19"</f>
        <v>96/10/19</v>
      </c>
      <c r="C4124" s="50" t="s">
        <v>12484</v>
      </c>
      <c r="D4124" s="12" t="s">
        <v>12485</v>
      </c>
      <c r="E4124" s="12" t="s">
        <v>4971</v>
      </c>
      <c r="F4124" s="49">
        <v>23620</v>
      </c>
      <c r="G4124" s="77" t="str">
        <f>"Black Gold Traders FZE"</f>
        <v>Black Gold Traders FZE</v>
      </c>
      <c r="H4124" s="14" t="s">
        <v>5601</v>
      </c>
      <c r="I4124" s="14" t="s">
        <v>2458</v>
      </c>
      <c r="J4124" s="33" t="s">
        <v>7110</v>
      </c>
      <c r="K4124" s="33" t="s">
        <v>12513</v>
      </c>
      <c r="L4124" s="53" t="str">
        <f t="shared" si="94"/>
        <v>پاکستان</v>
      </c>
      <c r="M4124" s="68" t="str">
        <f t="shared" si="95"/>
        <v>بشكه</v>
      </c>
      <c r="N4124" s="53" t="str">
        <f>"تفتان (ميرجاوه)"</f>
        <v>تفتان (ميرجاوه)</v>
      </c>
      <c r="O4124" s="53">
        <v>55200</v>
      </c>
      <c r="P4124" s="198" t="s">
        <v>12220</v>
      </c>
    </row>
    <row r="4125" spans="1:16" ht="18.75" hidden="1">
      <c r="A4125" s="50" t="str">
        <f>"15100-524149"</f>
        <v>15100-524149</v>
      </c>
      <c r="B4125" s="50" t="str">
        <f>"96/10/19"</f>
        <v>96/10/19</v>
      </c>
      <c r="C4125" s="50" t="s">
        <v>12483</v>
      </c>
      <c r="D4125" s="12" t="s">
        <v>10008</v>
      </c>
      <c r="E4125" s="12" t="s">
        <v>4971</v>
      </c>
      <c r="F4125" s="49">
        <v>174930</v>
      </c>
      <c r="G4125" s="77" t="str">
        <f>"Black Gold Traders FZE"</f>
        <v>Black Gold Traders FZE</v>
      </c>
      <c r="H4125" s="14" t="s">
        <v>5601</v>
      </c>
      <c r="I4125" s="14" t="s">
        <v>2458</v>
      </c>
      <c r="J4125" s="33" t="s">
        <v>7110</v>
      </c>
      <c r="K4125" s="33" t="s">
        <v>12513</v>
      </c>
      <c r="L4125" s="53" t="str">
        <f t="shared" si="94"/>
        <v>پاکستان</v>
      </c>
      <c r="M4125" s="68" t="str">
        <f t="shared" si="95"/>
        <v>بشكه</v>
      </c>
      <c r="N4125" s="53" t="str">
        <f>"تفتان (ميرجاوه)"</f>
        <v>تفتان (ميرجاوه)</v>
      </c>
      <c r="O4125" s="53">
        <v>55200</v>
      </c>
      <c r="P4125" s="198" t="s">
        <v>12217</v>
      </c>
    </row>
    <row r="4126" spans="1:16" ht="18.75" hidden="1">
      <c r="A4126" s="50" t="str">
        <f>"15100-525707"</f>
        <v>15100-525707</v>
      </c>
      <c r="B4126" s="50" t="str">
        <f>"96/10/23"</f>
        <v>96/10/23</v>
      </c>
      <c r="C4126" s="50" t="s">
        <v>12486</v>
      </c>
      <c r="D4126" s="12" t="s">
        <v>9998</v>
      </c>
      <c r="E4126" s="12" t="s">
        <v>4971</v>
      </c>
      <c r="F4126" s="49">
        <v>175590</v>
      </c>
      <c r="G4126" s="77" t="str">
        <f>"SHINING GREEN STAR FZE"</f>
        <v>SHINING GREEN STAR FZE</v>
      </c>
      <c r="H4126" s="14" t="s">
        <v>5601</v>
      </c>
      <c r="I4126" s="14" t="s">
        <v>2458</v>
      </c>
      <c r="J4126" s="33" t="s">
        <v>7110</v>
      </c>
      <c r="K4126" s="33" t="s">
        <v>12513</v>
      </c>
      <c r="L4126" s="53" t="str">
        <f t="shared" si="94"/>
        <v>پاکستان</v>
      </c>
      <c r="M4126" s="68" t="str">
        <f t="shared" si="95"/>
        <v>بشكه</v>
      </c>
      <c r="N4126" s="53" t="str">
        <f>"تفتان (ميرجاوه)"</f>
        <v>تفتان (ميرجاوه)</v>
      </c>
      <c r="O4126" s="53">
        <v>55200</v>
      </c>
      <c r="P4126" s="198" t="s">
        <v>12306</v>
      </c>
    </row>
    <row r="4127" spans="1:16" ht="18.75" hidden="1">
      <c r="A4127" s="50" t="str">
        <f>"15100-525767"</f>
        <v>15100-525767</v>
      </c>
      <c r="B4127" s="50" t="str">
        <f>"96/10/23"</f>
        <v>96/10/23</v>
      </c>
      <c r="C4127" s="50" t="s">
        <v>12487</v>
      </c>
      <c r="D4127" s="12" t="s">
        <v>12374</v>
      </c>
      <c r="E4127" s="12" t="s">
        <v>4971</v>
      </c>
      <c r="F4127" s="49">
        <v>228120</v>
      </c>
      <c r="G4127" s="77" t="str">
        <f>"DAXON PETROLEUM"</f>
        <v>DAXON PETROLEUM</v>
      </c>
      <c r="H4127" s="14" t="s">
        <v>5601</v>
      </c>
      <c r="I4127" s="14" t="s">
        <v>2458</v>
      </c>
      <c r="J4127" s="33" t="s">
        <v>7110</v>
      </c>
      <c r="K4127" s="33" t="s">
        <v>12513</v>
      </c>
      <c r="L4127" s="53" t="str">
        <f t="shared" si="94"/>
        <v>پاکستان</v>
      </c>
      <c r="M4127" s="68" t="str">
        <f t="shared" si="95"/>
        <v>بشكه</v>
      </c>
      <c r="N4127" s="53" t="str">
        <f>"پيشين"</f>
        <v>پيشين</v>
      </c>
      <c r="O4127" s="53">
        <v>55301</v>
      </c>
      <c r="P4127" s="198" t="s">
        <v>12218</v>
      </c>
    </row>
    <row r="4128" spans="1:16" ht="18.75" hidden="1">
      <c r="A4128" s="50" t="str">
        <f>"15100-524620"</f>
        <v>15100-524620</v>
      </c>
      <c r="B4128" s="50" t="str">
        <f>"96/10/20"</f>
        <v>96/10/20</v>
      </c>
      <c r="C4128" s="50" t="s">
        <v>12484</v>
      </c>
      <c r="D4128" s="12" t="s">
        <v>12485</v>
      </c>
      <c r="E4128" s="12" t="s">
        <v>4971</v>
      </c>
      <c r="F4128" s="49">
        <v>45790</v>
      </c>
      <c r="G4128" s="77" t="str">
        <f>"Black Gold Traders FZE"</f>
        <v>Black Gold Traders FZE</v>
      </c>
      <c r="H4128" s="14" t="s">
        <v>5601</v>
      </c>
      <c r="I4128" s="14" t="s">
        <v>2458</v>
      </c>
      <c r="J4128" s="33" t="s">
        <v>7110</v>
      </c>
      <c r="K4128" s="33" t="s">
        <v>12513</v>
      </c>
      <c r="L4128" s="53" t="str">
        <f t="shared" si="94"/>
        <v>پاکستان</v>
      </c>
      <c r="M4128" s="68" t="str">
        <f t="shared" si="95"/>
        <v>بشكه</v>
      </c>
      <c r="N4128" s="53" t="str">
        <f>"تفتان (ميرجاوه)"</f>
        <v>تفتان (ميرجاوه)</v>
      </c>
      <c r="O4128" s="53">
        <v>55200</v>
      </c>
      <c r="P4128" s="198" t="s">
        <v>12220</v>
      </c>
    </row>
    <row r="4129" spans="1:16" ht="18.75" hidden="1">
      <c r="A4129" s="50" t="str">
        <f>"15100-523718"</f>
        <v>15100-523718</v>
      </c>
      <c r="B4129" s="50" t="str">
        <f>"96/10/18"</f>
        <v>96/10/18</v>
      </c>
      <c r="C4129" s="50" t="s">
        <v>12365</v>
      </c>
      <c r="D4129" s="12" t="s">
        <v>10033</v>
      </c>
      <c r="E4129" s="12" t="s">
        <v>4971</v>
      </c>
      <c r="F4129" s="49">
        <v>112145</v>
      </c>
      <c r="G4129" s="77" t="str">
        <f>"Black Gold Traders FZE"</f>
        <v>Black Gold Traders FZE</v>
      </c>
      <c r="H4129" s="14" t="s">
        <v>5601</v>
      </c>
      <c r="I4129" s="14" t="s">
        <v>2458</v>
      </c>
      <c r="J4129" s="33" t="s">
        <v>7110</v>
      </c>
      <c r="K4129" s="33" t="s">
        <v>12513</v>
      </c>
      <c r="L4129" s="53" t="str">
        <f t="shared" si="94"/>
        <v>پاکستان</v>
      </c>
      <c r="M4129" s="68" t="str">
        <f t="shared" si="95"/>
        <v>بشكه</v>
      </c>
      <c r="N4129" s="53" t="str">
        <f>"تفتان (ميرجاوه)"</f>
        <v>تفتان (ميرجاوه)</v>
      </c>
      <c r="O4129" s="53">
        <v>55200</v>
      </c>
      <c r="P4129" s="198" t="s">
        <v>12219</v>
      </c>
    </row>
    <row r="4130" spans="1:16" ht="18.75" hidden="1">
      <c r="A4130" s="50" t="str">
        <f>"15100-526281"</f>
        <v>15100-526281</v>
      </c>
      <c r="B4130" s="50" t="str">
        <f>"96/10/24"</f>
        <v>96/10/24</v>
      </c>
      <c r="C4130" s="50" t="s">
        <v>12488</v>
      </c>
      <c r="D4130" s="12" t="s">
        <v>12380</v>
      </c>
      <c r="E4130" s="12" t="s">
        <v>4971</v>
      </c>
      <c r="F4130" s="49">
        <v>298800</v>
      </c>
      <c r="G4130" s="77" t="str">
        <f>"SHINING GREEN STAR FZE"</f>
        <v>SHINING GREEN STAR FZE</v>
      </c>
      <c r="H4130" s="14" t="s">
        <v>5601</v>
      </c>
      <c r="I4130" s="14" t="s">
        <v>2458</v>
      </c>
      <c r="J4130" s="33" t="s">
        <v>7110</v>
      </c>
      <c r="K4130" s="33" t="s">
        <v>12513</v>
      </c>
      <c r="L4130" s="53" t="str">
        <f t="shared" si="94"/>
        <v>پاکستان</v>
      </c>
      <c r="M4130" s="68" t="str">
        <f>"فله"</f>
        <v>فله</v>
      </c>
      <c r="N4130" s="53" t="str">
        <f>"پيشين"</f>
        <v>پيشين</v>
      </c>
      <c r="O4130" s="53">
        <v>55301</v>
      </c>
      <c r="P4130" s="198" t="s">
        <v>12306</v>
      </c>
    </row>
    <row r="4131" spans="1:16" ht="18.75" hidden="1">
      <c r="A4131" s="50" t="str">
        <f>"15100-525625"</f>
        <v>15100-525625</v>
      </c>
      <c r="B4131" s="50" t="str">
        <f>"96/10/23"</f>
        <v>96/10/23</v>
      </c>
      <c r="C4131" s="50" t="s">
        <v>12488</v>
      </c>
      <c r="D4131" s="12" t="s">
        <v>12380</v>
      </c>
      <c r="E4131" s="12" t="s">
        <v>4971</v>
      </c>
      <c r="F4131" s="49">
        <v>169080</v>
      </c>
      <c r="G4131" s="77" t="str">
        <f>"SHINING GREEN STAR FZE"</f>
        <v>SHINING GREEN STAR FZE</v>
      </c>
      <c r="H4131" s="14" t="s">
        <v>5601</v>
      </c>
      <c r="I4131" s="14" t="s">
        <v>2458</v>
      </c>
      <c r="J4131" s="33" t="s">
        <v>7110</v>
      </c>
      <c r="K4131" s="33" t="s">
        <v>12513</v>
      </c>
      <c r="L4131" s="53" t="str">
        <f t="shared" si="94"/>
        <v>پاکستان</v>
      </c>
      <c r="M4131" s="68" t="str">
        <f>"فله"</f>
        <v>فله</v>
      </c>
      <c r="N4131" s="53" t="str">
        <f>"پيشين"</f>
        <v>پيشين</v>
      </c>
      <c r="O4131" s="53">
        <v>55301</v>
      </c>
      <c r="P4131" s="198" t="s">
        <v>12306</v>
      </c>
    </row>
    <row r="4132" spans="1:16" ht="18.75" hidden="1">
      <c r="A4132" s="50" t="str">
        <f>"15100-526347"</f>
        <v>15100-526347</v>
      </c>
      <c r="B4132" s="50" t="str">
        <f>"96/10/24"</f>
        <v>96/10/24</v>
      </c>
      <c r="C4132" s="50" t="s">
        <v>12386</v>
      </c>
      <c r="D4132" s="12" t="s">
        <v>10015</v>
      </c>
      <c r="E4132" s="12" t="s">
        <v>4971</v>
      </c>
      <c r="F4132" s="49">
        <v>71650</v>
      </c>
      <c r="G4132" s="77" t="str">
        <f>"LLC Sebco Bitumen"</f>
        <v>LLC Sebco Bitumen</v>
      </c>
      <c r="H4132" s="14" t="s">
        <v>5601</v>
      </c>
      <c r="I4132" s="14" t="s">
        <v>2458</v>
      </c>
      <c r="J4132" s="33" t="s">
        <v>7110</v>
      </c>
      <c r="K4132" s="33" t="s">
        <v>12513</v>
      </c>
      <c r="L4132" s="53" t="str">
        <f t="shared" si="94"/>
        <v>پاکستان</v>
      </c>
      <c r="M4132" s="68" t="str">
        <f>"بشكه"</f>
        <v>بشكه</v>
      </c>
      <c r="N4132" s="53" t="str">
        <f>"پيشين"</f>
        <v>پيشين</v>
      </c>
      <c r="O4132" s="53">
        <v>55301</v>
      </c>
      <c r="P4132" s="198" t="s">
        <v>9763</v>
      </c>
    </row>
    <row r="4133" spans="1:16" ht="18.75" hidden="1">
      <c r="A4133" s="50" t="str">
        <f>"15100-522477"</f>
        <v>15100-522477</v>
      </c>
      <c r="B4133" s="50" t="str">
        <f>"96/10/16"</f>
        <v>96/10/16</v>
      </c>
      <c r="C4133" s="50" t="s">
        <v>10039</v>
      </c>
      <c r="D4133" s="12" t="s">
        <v>8824</v>
      </c>
      <c r="E4133" s="12" t="s">
        <v>4971</v>
      </c>
      <c r="F4133" s="49">
        <v>11960</v>
      </c>
      <c r="G4133" s="77" t="str">
        <f>"LLC Sebco Bitumen"</f>
        <v>LLC Sebco Bitumen</v>
      </c>
      <c r="H4133" s="14" t="s">
        <v>5601</v>
      </c>
      <c r="I4133" s="14" t="s">
        <v>2458</v>
      </c>
      <c r="J4133" s="33" t="s">
        <v>7110</v>
      </c>
      <c r="K4133" s="33" t="s">
        <v>12513</v>
      </c>
      <c r="L4133" s="53" t="str">
        <f t="shared" si="94"/>
        <v>پاکستان</v>
      </c>
      <c r="M4133" s="68" t="str">
        <f>"بشكه"</f>
        <v>بشكه</v>
      </c>
      <c r="N4133" s="53" t="str">
        <f>"پيشين"</f>
        <v>پيشين</v>
      </c>
      <c r="O4133" s="53">
        <v>55301</v>
      </c>
      <c r="P4133" s="198" t="s">
        <v>8698</v>
      </c>
    </row>
    <row r="4134" spans="1:16" ht="18.75" hidden="1">
      <c r="A4134" s="50" t="str">
        <f>"15100-523150"</f>
        <v>15100-523150</v>
      </c>
      <c r="B4134" s="50" t="str">
        <f>"96/10/17"</f>
        <v>96/10/17</v>
      </c>
      <c r="C4134" s="50" t="s">
        <v>12365</v>
      </c>
      <c r="D4134" s="12" t="s">
        <v>10033</v>
      </c>
      <c r="E4134" s="12" t="s">
        <v>4971</v>
      </c>
      <c r="F4134" s="49">
        <v>175170</v>
      </c>
      <c r="G4134" s="77" t="str">
        <f>"Black Gold Traders FZE"</f>
        <v>Black Gold Traders FZE</v>
      </c>
      <c r="H4134" s="14" t="s">
        <v>5601</v>
      </c>
      <c r="I4134" s="14" t="s">
        <v>2458</v>
      </c>
      <c r="J4134" s="33" t="s">
        <v>7110</v>
      </c>
      <c r="K4134" s="33" t="s">
        <v>12513</v>
      </c>
      <c r="L4134" s="53" t="str">
        <f t="shared" si="94"/>
        <v>پاکستان</v>
      </c>
      <c r="M4134" s="68" t="str">
        <f>"بشكه"</f>
        <v>بشكه</v>
      </c>
      <c r="N4134" s="53" t="str">
        <f>"تفتان (ميرجاوه)"</f>
        <v>تفتان (ميرجاوه)</v>
      </c>
      <c r="O4134" s="53">
        <v>55200</v>
      </c>
      <c r="P4134" s="198" t="s">
        <v>12219</v>
      </c>
    </row>
    <row r="4135" spans="1:16" ht="18.75" hidden="1">
      <c r="A4135" s="50" t="str">
        <f>"15100-524629"</f>
        <v>15100-524629</v>
      </c>
      <c r="B4135" s="50" t="str">
        <f>"96/10/20"</f>
        <v>96/10/20</v>
      </c>
      <c r="C4135" s="50" t="s">
        <v>12489</v>
      </c>
      <c r="D4135" s="12" t="s">
        <v>8911</v>
      </c>
      <c r="E4135" s="12" t="s">
        <v>4971</v>
      </c>
      <c r="F4135" s="49">
        <v>89140</v>
      </c>
      <c r="G4135" s="77" t="str">
        <f>"M/S J.K. Khan Group"</f>
        <v>M/S J.K. Khan Group</v>
      </c>
      <c r="H4135" s="14" t="s">
        <v>5601</v>
      </c>
      <c r="I4135" s="14" t="s">
        <v>2458</v>
      </c>
      <c r="J4135" s="33" t="s">
        <v>7110</v>
      </c>
      <c r="K4135" s="33" t="s">
        <v>12513</v>
      </c>
      <c r="L4135" s="53" t="str">
        <f t="shared" si="94"/>
        <v>پاکستان</v>
      </c>
      <c r="M4135" s="68" t="str">
        <f>"فله"</f>
        <v>فله</v>
      </c>
      <c r="N4135" s="53" t="str">
        <f>"پيشين"</f>
        <v>پيشين</v>
      </c>
      <c r="O4135" s="53">
        <v>55301</v>
      </c>
      <c r="P4135" s="198" t="s">
        <v>8723</v>
      </c>
    </row>
    <row r="4136" spans="1:16" ht="18.75" hidden="1">
      <c r="A4136" s="50" t="str">
        <f>"15100-524666"</f>
        <v>15100-524666</v>
      </c>
      <c r="B4136" s="50" t="str">
        <f>"96/10/20"</f>
        <v>96/10/20</v>
      </c>
      <c r="C4136" s="50" t="s">
        <v>12490</v>
      </c>
      <c r="D4136" s="12" t="s">
        <v>10036</v>
      </c>
      <c r="E4136" s="12" t="s">
        <v>4971</v>
      </c>
      <c r="F4136" s="49">
        <v>18165</v>
      </c>
      <c r="G4136" s="77" t="str">
        <f>"Black Gold Traders FZE"</f>
        <v>Black Gold Traders FZE</v>
      </c>
      <c r="H4136" s="14" t="s">
        <v>5601</v>
      </c>
      <c r="I4136" s="14" t="s">
        <v>2458</v>
      </c>
      <c r="J4136" s="33" t="s">
        <v>7110</v>
      </c>
      <c r="K4136" s="33" t="s">
        <v>12513</v>
      </c>
      <c r="L4136" s="53" t="str">
        <f t="shared" si="94"/>
        <v>پاکستان</v>
      </c>
      <c r="M4136" s="68" t="str">
        <f>"بشكه"</f>
        <v>بشكه</v>
      </c>
      <c r="N4136" s="53" t="str">
        <f>"تفتان (ميرجاوه)"</f>
        <v>تفتان (ميرجاوه)</v>
      </c>
      <c r="O4136" s="53">
        <v>55200</v>
      </c>
      <c r="P4136" s="198" t="s">
        <v>9774</v>
      </c>
    </row>
    <row r="4137" spans="1:16" ht="18.75" hidden="1">
      <c r="A4137" s="50" t="str">
        <f>"15100-524127"</f>
        <v>15100-524127</v>
      </c>
      <c r="B4137" s="50" t="str">
        <f>"96/10/19"</f>
        <v>96/10/19</v>
      </c>
      <c r="C4137" s="50" t="s">
        <v>12491</v>
      </c>
      <c r="D4137" s="12" t="s">
        <v>9997</v>
      </c>
      <c r="E4137" s="12" t="s">
        <v>4971</v>
      </c>
      <c r="F4137" s="49">
        <v>218160</v>
      </c>
      <c r="G4137" s="77" t="str">
        <f>"SHINING GREEN STAR FZE"</f>
        <v>SHINING GREEN STAR FZE</v>
      </c>
      <c r="H4137" s="14" t="s">
        <v>5601</v>
      </c>
      <c r="I4137" s="14" t="s">
        <v>2458</v>
      </c>
      <c r="J4137" s="33" t="e">
        <f>VLOOKUP(C4137,شرکتها!A:B,2,FALSE)</f>
        <v>#N/A</v>
      </c>
      <c r="K4137" s="33" t="s">
        <v>12513</v>
      </c>
      <c r="L4137" s="53" t="str">
        <f t="shared" si="94"/>
        <v>پاکستان</v>
      </c>
      <c r="M4137" s="68" t="str">
        <f>"فله"</f>
        <v>فله</v>
      </c>
      <c r="N4137" s="53" t="str">
        <f>"پيشين"</f>
        <v>پيشين</v>
      </c>
      <c r="O4137" s="53">
        <v>55301</v>
      </c>
      <c r="P4137" s="198" t="s">
        <v>9770</v>
      </c>
    </row>
    <row r="4138" spans="1:16" ht="18.75" hidden="1">
      <c r="A4138" s="50" t="str">
        <f>"15100-524127"</f>
        <v>15100-524127</v>
      </c>
      <c r="B4138" s="50" t="str">
        <f>"96/10/19"</f>
        <v>96/10/19</v>
      </c>
      <c r="C4138" s="50" t="s">
        <v>12492</v>
      </c>
      <c r="D4138" s="12" t="s">
        <v>9998</v>
      </c>
      <c r="E4138" s="12" t="s">
        <v>4971</v>
      </c>
      <c r="F4138" s="49">
        <v>36010</v>
      </c>
      <c r="G4138" s="77" t="str">
        <f>"DAXON PETROLEUM"</f>
        <v>DAXON PETROLEUM</v>
      </c>
      <c r="H4138" s="14" t="s">
        <v>5601</v>
      </c>
      <c r="I4138" s="14" t="s">
        <v>2458</v>
      </c>
      <c r="J4138" s="33" t="s">
        <v>7110</v>
      </c>
      <c r="K4138" s="33" t="s">
        <v>12513</v>
      </c>
      <c r="L4138" s="53" t="str">
        <f t="shared" si="94"/>
        <v>پاکستان</v>
      </c>
      <c r="M4138" s="68" t="str">
        <f>"فله"</f>
        <v>فله</v>
      </c>
      <c r="N4138" s="53" t="str">
        <f>"پيشين"</f>
        <v>پيشين</v>
      </c>
      <c r="O4138" s="53">
        <v>55301</v>
      </c>
      <c r="P4138" s="198" t="s">
        <v>12218</v>
      </c>
    </row>
    <row r="4139" spans="1:16" ht="18.75" hidden="1">
      <c r="A4139" s="50" t="str">
        <f>"15100-524127"</f>
        <v>15100-524127</v>
      </c>
      <c r="B4139" s="50" t="str">
        <f>"96/10/19"</f>
        <v>96/10/19</v>
      </c>
      <c r="C4139" s="50" t="s">
        <v>12493</v>
      </c>
      <c r="D4139" s="12" t="s">
        <v>12364</v>
      </c>
      <c r="E4139" s="12" t="s">
        <v>4971</v>
      </c>
      <c r="F4139" s="49">
        <v>314920</v>
      </c>
      <c r="G4139" s="77" t="str">
        <f>"DAXON PETROLEUM"</f>
        <v>DAXON PETROLEUM</v>
      </c>
      <c r="H4139" s="14" t="s">
        <v>5601</v>
      </c>
      <c r="I4139" s="14" t="s">
        <v>2458</v>
      </c>
      <c r="J4139" s="33" t="s">
        <v>7110</v>
      </c>
      <c r="K4139" s="33" t="s">
        <v>12513</v>
      </c>
      <c r="L4139" s="53" t="str">
        <f t="shared" si="94"/>
        <v>پاکستان</v>
      </c>
      <c r="M4139" s="68" t="str">
        <f>"فله"</f>
        <v>فله</v>
      </c>
      <c r="N4139" s="53" t="str">
        <f>"پيشين"</f>
        <v>پيشين</v>
      </c>
      <c r="O4139" s="53">
        <v>55301</v>
      </c>
      <c r="P4139" s="198" t="s">
        <v>9790</v>
      </c>
    </row>
    <row r="4140" spans="1:16" ht="18.75" hidden="1">
      <c r="A4140" s="50" t="str">
        <f>"15100-524650"</f>
        <v>15100-524650</v>
      </c>
      <c r="B4140" s="50" t="str">
        <f>"96/10/20"</f>
        <v>96/10/20</v>
      </c>
      <c r="C4140" s="50" t="s">
        <v>12493</v>
      </c>
      <c r="D4140" s="12" t="s">
        <v>12364</v>
      </c>
      <c r="E4140" s="12" t="s">
        <v>4971</v>
      </c>
      <c r="F4140" s="49">
        <v>49090</v>
      </c>
      <c r="G4140" s="77" t="str">
        <f>"DAXON PETROLEUM"</f>
        <v>DAXON PETROLEUM</v>
      </c>
      <c r="H4140" s="14" t="s">
        <v>5601</v>
      </c>
      <c r="I4140" s="14" t="s">
        <v>2458</v>
      </c>
      <c r="J4140" s="33" t="s">
        <v>7110</v>
      </c>
      <c r="K4140" s="33" t="s">
        <v>12513</v>
      </c>
      <c r="L4140" s="53" t="str">
        <f t="shared" si="94"/>
        <v>پاکستان</v>
      </c>
      <c r="M4140" s="68" t="str">
        <f t="shared" ref="M4140:M4145" si="96">"بشكه"</f>
        <v>بشكه</v>
      </c>
      <c r="N4140" s="53" t="str">
        <f>"بازارچه کوهک سراوان"</f>
        <v>بازارچه کوهک سراوان</v>
      </c>
      <c r="O4140" s="53">
        <v>55107</v>
      </c>
      <c r="P4140" s="198" t="s">
        <v>9790</v>
      </c>
    </row>
    <row r="4141" spans="1:16" ht="18.75" hidden="1">
      <c r="A4141" s="50" t="str">
        <f>"15100-527575"</f>
        <v>15100-527575</v>
      </c>
      <c r="B4141" s="50" t="str">
        <f>"96/10/26"</f>
        <v>96/10/26</v>
      </c>
      <c r="C4141" s="50" t="s">
        <v>12494</v>
      </c>
      <c r="D4141" s="12" t="s">
        <v>12466</v>
      </c>
      <c r="E4141" s="12" t="s">
        <v>4971</v>
      </c>
      <c r="F4141" s="49">
        <v>49780</v>
      </c>
      <c r="G4141" s="77" t="str">
        <f>"West Asia Sun LLC"</f>
        <v>West Asia Sun LLC</v>
      </c>
      <c r="H4141" s="14" t="s">
        <v>5601</v>
      </c>
      <c r="I4141" s="14" t="s">
        <v>2458</v>
      </c>
      <c r="J4141" s="33" t="s">
        <v>7110</v>
      </c>
      <c r="K4141" s="33" t="s">
        <v>12513</v>
      </c>
      <c r="L4141" s="53" t="str">
        <f t="shared" si="94"/>
        <v>پاکستان</v>
      </c>
      <c r="M4141" s="68" t="str">
        <f t="shared" si="96"/>
        <v>بشكه</v>
      </c>
      <c r="N4141" s="53" t="str">
        <f>"پيشين"</f>
        <v>پيشين</v>
      </c>
      <c r="O4141" s="53">
        <v>55301</v>
      </c>
      <c r="P4141" s="198" t="s">
        <v>12425</v>
      </c>
    </row>
    <row r="4142" spans="1:16" ht="18.75" hidden="1">
      <c r="A4142" s="50" t="str">
        <f>"15100-523156"</f>
        <v>15100-523156</v>
      </c>
      <c r="B4142" s="50" t="str">
        <f>"96/10/17"</f>
        <v>96/10/17</v>
      </c>
      <c r="C4142" s="50" t="s">
        <v>12365</v>
      </c>
      <c r="D4142" s="12" t="s">
        <v>10033</v>
      </c>
      <c r="E4142" s="12" t="s">
        <v>4971</v>
      </c>
      <c r="F4142" s="49">
        <v>215590</v>
      </c>
      <c r="G4142" s="77" t="str">
        <f>"Black Gold Traders FZE"</f>
        <v>Black Gold Traders FZE</v>
      </c>
      <c r="H4142" s="14" t="s">
        <v>5601</v>
      </c>
      <c r="I4142" s="14" t="s">
        <v>2458</v>
      </c>
      <c r="J4142" s="33" t="s">
        <v>7110</v>
      </c>
      <c r="K4142" s="33" t="s">
        <v>12513</v>
      </c>
      <c r="L4142" s="53" t="str">
        <f t="shared" si="94"/>
        <v>پاکستان</v>
      </c>
      <c r="M4142" s="68" t="str">
        <f t="shared" si="96"/>
        <v>بشكه</v>
      </c>
      <c r="N4142" s="53" t="str">
        <f>"پيشين"</f>
        <v>پيشين</v>
      </c>
      <c r="O4142" s="53">
        <v>55301</v>
      </c>
      <c r="P4142" s="198" t="s">
        <v>12219</v>
      </c>
    </row>
    <row r="4143" spans="1:16" ht="18.75" hidden="1">
      <c r="A4143" s="50" t="str">
        <f>"15100-524666"</f>
        <v>15100-524666</v>
      </c>
      <c r="B4143" s="50" t="str">
        <f>"96/10/20"</f>
        <v>96/10/20</v>
      </c>
      <c r="C4143" s="50" t="s">
        <v>12484</v>
      </c>
      <c r="D4143" s="12" t="s">
        <v>12485</v>
      </c>
      <c r="E4143" s="12" t="s">
        <v>4971</v>
      </c>
      <c r="F4143" s="49">
        <v>130590</v>
      </c>
      <c r="G4143" s="77" t="str">
        <f>"Black Gold Traders FZE"</f>
        <v>Black Gold Traders FZE</v>
      </c>
      <c r="H4143" s="14" t="s">
        <v>5601</v>
      </c>
      <c r="I4143" s="14" t="s">
        <v>2458</v>
      </c>
      <c r="J4143" s="33" t="s">
        <v>7110</v>
      </c>
      <c r="K4143" s="33" t="s">
        <v>12513</v>
      </c>
      <c r="L4143" s="53" t="str">
        <f t="shared" si="94"/>
        <v>پاکستان</v>
      </c>
      <c r="M4143" s="68" t="str">
        <f t="shared" si="96"/>
        <v>بشكه</v>
      </c>
      <c r="N4143" s="53" t="str">
        <f>"تفتان (ميرجاوه)"</f>
        <v>تفتان (ميرجاوه)</v>
      </c>
      <c r="O4143" s="53">
        <v>55200</v>
      </c>
      <c r="P4143" s="198" t="s">
        <v>12220</v>
      </c>
    </row>
    <row r="4144" spans="1:16" ht="18.75" hidden="1">
      <c r="A4144" s="50" t="str">
        <f>"15100-523718"</f>
        <v>15100-523718</v>
      </c>
      <c r="B4144" s="50" t="str">
        <f>"96/10/18"</f>
        <v>96/10/18</v>
      </c>
      <c r="C4144" s="50" t="s">
        <v>12495</v>
      </c>
      <c r="D4144" s="12" t="s">
        <v>10008</v>
      </c>
      <c r="E4144" s="12" t="s">
        <v>4971</v>
      </c>
      <c r="F4144" s="49">
        <v>200000</v>
      </c>
      <c r="G4144" s="77" t="str">
        <f>"Black Gold Traders FZE"</f>
        <v>Black Gold Traders FZE</v>
      </c>
      <c r="H4144" s="14" t="s">
        <v>5601</v>
      </c>
      <c r="I4144" s="14" t="s">
        <v>2458</v>
      </c>
      <c r="J4144" s="33" t="s">
        <v>7110</v>
      </c>
      <c r="K4144" s="33" t="s">
        <v>12513</v>
      </c>
      <c r="L4144" s="53" t="str">
        <f t="shared" si="94"/>
        <v>پاکستان</v>
      </c>
      <c r="M4144" s="68" t="str">
        <f t="shared" si="96"/>
        <v>بشكه</v>
      </c>
      <c r="N4144" s="53" t="str">
        <f>"تفتان (ميرجاوه)"</f>
        <v>تفتان (ميرجاوه)</v>
      </c>
      <c r="O4144" s="53">
        <v>55200</v>
      </c>
      <c r="P4144" s="198" t="s">
        <v>9794</v>
      </c>
    </row>
    <row r="4145" spans="1:16" ht="18.75" hidden="1">
      <c r="A4145" s="50" t="str">
        <f>"15100-526939"</f>
        <v>15100-526939</v>
      </c>
      <c r="B4145" s="50" t="str">
        <f>"96/10/25"</f>
        <v>96/10/25</v>
      </c>
      <c r="C4145" s="50" t="s">
        <v>12494</v>
      </c>
      <c r="D4145" s="12" t="s">
        <v>12466</v>
      </c>
      <c r="E4145" s="12" t="s">
        <v>4971</v>
      </c>
      <c r="F4145" s="49">
        <v>43600</v>
      </c>
      <c r="G4145" s="77" t="str">
        <f>"West Asia Sun LLC"</f>
        <v>West Asia Sun LLC</v>
      </c>
      <c r="H4145" s="14" t="s">
        <v>5601</v>
      </c>
      <c r="I4145" s="14" t="s">
        <v>2458</v>
      </c>
      <c r="J4145" s="33" t="s">
        <v>7110</v>
      </c>
      <c r="K4145" s="33" t="s">
        <v>12513</v>
      </c>
      <c r="L4145" s="53" t="str">
        <f t="shared" si="94"/>
        <v>پاکستان</v>
      </c>
      <c r="M4145" s="68" t="str">
        <f t="shared" si="96"/>
        <v>بشكه</v>
      </c>
      <c r="N4145" s="53" t="str">
        <f>"پيشين"</f>
        <v>پيشين</v>
      </c>
      <c r="O4145" s="53">
        <v>55301</v>
      </c>
      <c r="P4145" s="198" t="s">
        <v>12425</v>
      </c>
    </row>
    <row r="4146" spans="1:16" ht="18.75" hidden="1">
      <c r="A4146" s="50" t="str">
        <f>"15100-524127"</f>
        <v>15100-524127</v>
      </c>
      <c r="B4146" s="50" t="str">
        <f>"96/10/19"</f>
        <v>96/10/19</v>
      </c>
      <c r="C4146" s="50" t="s">
        <v>12496</v>
      </c>
      <c r="D4146" s="12" t="s">
        <v>10008</v>
      </c>
      <c r="E4146" s="12" t="s">
        <v>4971</v>
      </c>
      <c r="F4146" s="49">
        <v>126260</v>
      </c>
      <c r="G4146" s="77" t="str">
        <f>"DAXON PETROLEUM"</f>
        <v>DAXON PETROLEUM</v>
      </c>
      <c r="H4146" s="14" t="s">
        <v>5601</v>
      </c>
      <c r="I4146" s="14" t="s">
        <v>2458</v>
      </c>
      <c r="J4146" s="33" t="s">
        <v>7110</v>
      </c>
      <c r="K4146" s="33" t="s">
        <v>12513</v>
      </c>
      <c r="L4146" s="53" t="str">
        <f t="shared" si="94"/>
        <v>پاکستان</v>
      </c>
      <c r="M4146" s="68" t="str">
        <f>"فله"</f>
        <v>فله</v>
      </c>
      <c r="N4146" s="53" t="str">
        <f>"پيشين"</f>
        <v>پيشين</v>
      </c>
      <c r="O4146" s="53">
        <v>55301</v>
      </c>
      <c r="P4146" s="198" t="s">
        <v>9790</v>
      </c>
    </row>
    <row r="4147" spans="1:16" ht="18.75" hidden="1">
      <c r="A4147" s="50" t="str">
        <f>"15100-528093"</f>
        <v>15100-528093</v>
      </c>
      <c r="B4147" s="50" t="str">
        <f>"96/10/27"</f>
        <v>96/10/27</v>
      </c>
      <c r="C4147" s="50" t="s">
        <v>12482</v>
      </c>
      <c r="D4147" s="12" t="s">
        <v>12367</v>
      </c>
      <c r="E4147" s="12" t="s">
        <v>4971</v>
      </c>
      <c r="F4147" s="49">
        <v>95930</v>
      </c>
      <c r="G4147" s="77" t="str">
        <f>"DAXON PETROLEUM"</f>
        <v>DAXON PETROLEUM</v>
      </c>
      <c r="H4147" s="14" t="s">
        <v>5601</v>
      </c>
      <c r="I4147" s="14" t="s">
        <v>2458</v>
      </c>
      <c r="J4147" s="33" t="s">
        <v>7110</v>
      </c>
      <c r="K4147" s="33" t="s">
        <v>12513</v>
      </c>
      <c r="L4147" s="53" t="str">
        <f t="shared" si="94"/>
        <v>پاکستان</v>
      </c>
      <c r="M4147" s="68" t="str">
        <f>"بشكه"</f>
        <v>بشكه</v>
      </c>
      <c r="N4147" s="53" t="str">
        <f>"بازارچه کوهک سراوان"</f>
        <v>بازارچه کوهک سراوان</v>
      </c>
      <c r="O4147" s="53">
        <v>55107</v>
      </c>
      <c r="P4147" s="198" t="s">
        <v>12218</v>
      </c>
    </row>
    <row r="4148" spans="1:16" ht="18.75" hidden="1">
      <c r="A4148" s="50" t="str">
        <f>"15100-528084"</f>
        <v>15100-528084</v>
      </c>
      <c r="B4148" s="50" t="str">
        <f>"96/10/27"</f>
        <v>96/10/27</v>
      </c>
      <c r="C4148" s="50" t="s">
        <v>12497</v>
      </c>
      <c r="D4148" s="12" t="s">
        <v>12485</v>
      </c>
      <c r="E4148" s="12" t="s">
        <v>4971</v>
      </c>
      <c r="F4148" s="49">
        <v>179260</v>
      </c>
      <c r="G4148" s="77" t="str">
        <f>"DAXON PETROLEUM"</f>
        <v>DAXON PETROLEUM</v>
      </c>
      <c r="H4148" s="14" t="s">
        <v>5601</v>
      </c>
      <c r="I4148" s="14" t="s">
        <v>2458</v>
      </c>
      <c r="J4148" s="33" t="s">
        <v>7110</v>
      </c>
      <c r="K4148" s="33" t="s">
        <v>12513</v>
      </c>
      <c r="L4148" s="53" t="str">
        <f t="shared" si="94"/>
        <v>پاکستان</v>
      </c>
      <c r="M4148" s="68" t="str">
        <f>"بشكه"</f>
        <v>بشكه</v>
      </c>
      <c r="N4148" s="53" t="str">
        <f>"پيشين"</f>
        <v>پيشين</v>
      </c>
      <c r="O4148" s="53">
        <v>55301</v>
      </c>
      <c r="P4148" s="198" t="s">
        <v>12221</v>
      </c>
    </row>
    <row r="4149" spans="1:16" ht="18.75" hidden="1">
      <c r="A4149" s="50" t="str">
        <f>"15100-522488"</f>
        <v>15100-522488</v>
      </c>
      <c r="B4149" s="50" t="str">
        <f>"96/10/16"</f>
        <v>96/10/16</v>
      </c>
      <c r="C4149" s="50" t="s">
        <v>10005</v>
      </c>
      <c r="D4149" s="12" t="s">
        <v>8833</v>
      </c>
      <c r="E4149" s="12" t="s">
        <v>4971</v>
      </c>
      <c r="F4149" s="49">
        <v>24830</v>
      </c>
      <c r="G4149" s="77" t="str">
        <f>"LLC Sebco Bitumen"</f>
        <v>LLC Sebco Bitumen</v>
      </c>
      <c r="H4149" s="14" t="s">
        <v>5601</v>
      </c>
      <c r="I4149" s="14" t="s">
        <v>2458</v>
      </c>
      <c r="J4149" s="33" t="s">
        <v>7110</v>
      </c>
      <c r="K4149" s="33" t="s">
        <v>12513</v>
      </c>
      <c r="L4149" s="53" t="str">
        <f t="shared" si="94"/>
        <v>پاکستان</v>
      </c>
      <c r="M4149" s="68" t="str">
        <f>"بشكه"</f>
        <v>بشكه</v>
      </c>
      <c r="N4149" s="53" t="str">
        <f>"تفتان (ميرجاوه)"</f>
        <v>تفتان (ميرجاوه)</v>
      </c>
      <c r="O4149" s="53">
        <v>55200</v>
      </c>
      <c r="P4149" s="198" t="s">
        <v>8698</v>
      </c>
    </row>
    <row r="4150" spans="1:16" ht="18.75" hidden="1">
      <c r="A4150" s="50" t="str">
        <f>"15100-525140"</f>
        <v>15100-525140</v>
      </c>
      <c r="B4150" s="50" t="str">
        <f>"96/10/21"</f>
        <v>96/10/21</v>
      </c>
      <c r="C4150" s="50" t="s">
        <v>12498</v>
      </c>
      <c r="D4150" s="12" t="s">
        <v>12499</v>
      </c>
      <c r="E4150" s="12" t="s">
        <v>4971</v>
      </c>
      <c r="F4150" s="49">
        <v>272760</v>
      </c>
      <c r="G4150" s="77" t="str">
        <f>"Black Gold Traders FZE"</f>
        <v>Black Gold Traders FZE</v>
      </c>
      <c r="H4150" s="14" t="s">
        <v>5601</v>
      </c>
      <c r="I4150" s="14" t="s">
        <v>2458</v>
      </c>
      <c r="J4150" s="33" t="s">
        <v>7110</v>
      </c>
      <c r="K4150" s="33" t="s">
        <v>12513</v>
      </c>
      <c r="L4150" s="53" t="str">
        <f t="shared" si="94"/>
        <v>پاکستان</v>
      </c>
      <c r="M4150" s="68" t="str">
        <f>"بشكه"</f>
        <v>بشكه</v>
      </c>
      <c r="N4150" s="53" t="str">
        <f>"تفتان (ميرجاوه)"</f>
        <v>تفتان (ميرجاوه)</v>
      </c>
      <c r="O4150" s="53">
        <v>55200</v>
      </c>
      <c r="P4150" s="198" t="s">
        <v>12220</v>
      </c>
    </row>
    <row r="4151" spans="1:16" ht="18.75" hidden="1">
      <c r="A4151" s="50" t="str">
        <f>"15100-524666"</f>
        <v>15100-524666</v>
      </c>
      <c r="B4151" s="50" t="str">
        <f>"96/10/20"</f>
        <v>96/10/20</v>
      </c>
      <c r="C4151" s="50" t="s">
        <v>12386</v>
      </c>
      <c r="D4151" s="12" t="s">
        <v>10015</v>
      </c>
      <c r="E4151" s="12" t="s">
        <v>4971</v>
      </c>
      <c r="F4151" s="49">
        <v>50135</v>
      </c>
      <c r="G4151" s="77" t="str">
        <f>"LLC Sebco Bitumen"</f>
        <v>LLC Sebco Bitumen</v>
      </c>
      <c r="H4151" s="14" t="s">
        <v>5601</v>
      </c>
      <c r="I4151" s="14" t="s">
        <v>2458</v>
      </c>
      <c r="J4151" s="33" t="s">
        <v>7110</v>
      </c>
      <c r="K4151" s="33" t="s">
        <v>12513</v>
      </c>
      <c r="L4151" s="53" t="str">
        <f t="shared" si="94"/>
        <v>پاکستان</v>
      </c>
      <c r="M4151" s="68" t="str">
        <f>"بشكه"</f>
        <v>بشكه</v>
      </c>
      <c r="N4151" s="53" t="str">
        <f>"تفتان (ميرجاوه)"</f>
        <v>تفتان (ميرجاوه)</v>
      </c>
      <c r="O4151" s="53">
        <v>55200</v>
      </c>
      <c r="P4151" s="198" t="s">
        <v>9763</v>
      </c>
    </row>
    <row r="4152" spans="1:16" ht="18.75" hidden="1">
      <c r="A4152" s="50" t="str">
        <f>"15100-522413"</f>
        <v>15100-522413</v>
      </c>
      <c r="B4152" s="50" t="str">
        <f>"96/10/16"</f>
        <v>96/10/16</v>
      </c>
      <c r="C4152" s="50" t="s">
        <v>12496</v>
      </c>
      <c r="D4152" s="12" t="s">
        <v>10008</v>
      </c>
      <c r="E4152" s="12" t="s">
        <v>4971</v>
      </c>
      <c r="F4152" s="49">
        <v>69600</v>
      </c>
      <c r="G4152" s="77" t="str">
        <f>"DAXON PETROLEUM"</f>
        <v>DAXON PETROLEUM</v>
      </c>
      <c r="H4152" s="14" t="s">
        <v>5601</v>
      </c>
      <c r="I4152" s="14" t="s">
        <v>2458</v>
      </c>
      <c r="J4152" s="33" t="s">
        <v>7110</v>
      </c>
      <c r="K4152" s="33" t="s">
        <v>12513</v>
      </c>
      <c r="L4152" s="53" t="str">
        <f t="shared" si="94"/>
        <v>پاکستان</v>
      </c>
      <c r="M4152" s="68" t="str">
        <f>"فله"</f>
        <v>فله</v>
      </c>
      <c r="N4152" s="53" t="str">
        <f>"بازارچه ريمدان"</f>
        <v>بازارچه ريمدان</v>
      </c>
      <c r="O4152" s="53">
        <v>55112</v>
      </c>
      <c r="P4152" s="198" t="s">
        <v>9790</v>
      </c>
    </row>
    <row r="4153" spans="1:16" ht="18.75" hidden="1">
      <c r="A4153" s="50" t="str">
        <f>"15100-524127"</f>
        <v>15100-524127</v>
      </c>
      <c r="B4153" s="50" t="str">
        <f>"96/10/19"</f>
        <v>96/10/19</v>
      </c>
      <c r="C4153" s="50" t="s">
        <v>9814</v>
      </c>
      <c r="D4153" s="12" t="s">
        <v>9815</v>
      </c>
      <c r="E4153" s="12" t="s">
        <v>4971</v>
      </c>
      <c r="F4153" s="49">
        <v>121930</v>
      </c>
      <c r="G4153" s="77" t="str">
        <f>"M/S J.K. Khan Group"</f>
        <v>M/S J.K. Khan Group</v>
      </c>
      <c r="H4153" s="14" t="s">
        <v>5601</v>
      </c>
      <c r="I4153" s="14" t="s">
        <v>2458</v>
      </c>
      <c r="J4153" s="33" t="s">
        <v>7110</v>
      </c>
      <c r="K4153" s="33" t="s">
        <v>12513</v>
      </c>
      <c r="L4153" s="53" t="str">
        <f t="shared" si="94"/>
        <v>پاکستان</v>
      </c>
      <c r="M4153" s="68" t="str">
        <f>"فله"</f>
        <v>فله</v>
      </c>
      <c r="N4153" s="53" t="str">
        <f t="shared" ref="N4153:N4159" si="97">"پيشين"</f>
        <v>پيشين</v>
      </c>
      <c r="O4153" s="53">
        <v>55301</v>
      </c>
      <c r="P4153" s="198" t="s">
        <v>9775</v>
      </c>
    </row>
    <row r="4154" spans="1:16" ht="18.75" hidden="1">
      <c r="A4154" s="50" t="str">
        <f>"15100-523709"</f>
        <v>15100-523709</v>
      </c>
      <c r="B4154" s="50" t="str">
        <f>"96/10/18"</f>
        <v>96/10/18</v>
      </c>
      <c r="C4154" s="50" t="s">
        <v>12500</v>
      </c>
      <c r="D4154" s="12" t="s">
        <v>10033</v>
      </c>
      <c r="E4154" s="12" t="s">
        <v>4971</v>
      </c>
      <c r="F4154" s="49">
        <v>6795</v>
      </c>
      <c r="G4154" s="77" t="str">
        <f>"LLC Sebco Bitumen"</f>
        <v>LLC Sebco Bitumen</v>
      </c>
      <c r="H4154" s="14" t="s">
        <v>5601</v>
      </c>
      <c r="I4154" s="14" t="s">
        <v>2458</v>
      </c>
      <c r="J4154" s="33" t="s">
        <v>7110</v>
      </c>
      <c r="K4154" s="33" t="s">
        <v>12513</v>
      </c>
      <c r="L4154" s="53" t="str">
        <f t="shared" si="94"/>
        <v>پاکستان</v>
      </c>
      <c r="M4154" s="68" t="str">
        <f t="shared" ref="M4154:M4171" si="98">"بشكه"</f>
        <v>بشكه</v>
      </c>
      <c r="N4154" s="53" t="str">
        <f t="shared" si="97"/>
        <v>پيشين</v>
      </c>
      <c r="O4154" s="53">
        <v>55301</v>
      </c>
      <c r="P4154" s="198" t="s">
        <v>9769</v>
      </c>
    </row>
    <row r="4155" spans="1:16" ht="18.75" hidden="1">
      <c r="A4155" s="50" t="str">
        <f>"15100-522477"</f>
        <v>15100-522477</v>
      </c>
      <c r="B4155" s="50" t="str">
        <f>"96/10/16"</f>
        <v>96/10/16</v>
      </c>
      <c r="C4155" s="50" t="s">
        <v>12501</v>
      </c>
      <c r="D4155" s="12" t="s">
        <v>8846</v>
      </c>
      <c r="E4155" s="12" t="s">
        <v>4971</v>
      </c>
      <c r="F4155" s="49">
        <v>98500</v>
      </c>
      <c r="G4155" s="77" t="str">
        <f>"LLC Sebco Bitumen"</f>
        <v>LLC Sebco Bitumen</v>
      </c>
      <c r="H4155" s="14" t="s">
        <v>5601</v>
      </c>
      <c r="I4155" s="14" t="s">
        <v>2458</v>
      </c>
      <c r="J4155" s="33" t="s">
        <v>7110</v>
      </c>
      <c r="K4155" s="33" t="s">
        <v>12513</v>
      </c>
      <c r="L4155" s="53" t="str">
        <f t="shared" si="94"/>
        <v>پاکستان</v>
      </c>
      <c r="M4155" s="68" t="str">
        <f t="shared" si="98"/>
        <v>بشكه</v>
      </c>
      <c r="N4155" s="53" t="str">
        <f t="shared" si="97"/>
        <v>پيشين</v>
      </c>
      <c r="O4155" s="53">
        <v>55301</v>
      </c>
      <c r="P4155" s="198" t="s">
        <v>8698</v>
      </c>
    </row>
    <row r="4156" spans="1:16" ht="18.75" hidden="1">
      <c r="A4156" s="50" t="str">
        <f>"15100-526347"</f>
        <v>15100-526347</v>
      </c>
      <c r="B4156" s="50" t="str">
        <f>"96/10/24"</f>
        <v>96/10/24</v>
      </c>
      <c r="C4156" s="50" t="s">
        <v>12487</v>
      </c>
      <c r="D4156" s="12" t="s">
        <v>12374</v>
      </c>
      <c r="E4156" s="12" t="s">
        <v>4971</v>
      </c>
      <c r="F4156" s="49">
        <v>143720</v>
      </c>
      <c r="G4156" s="77" t="str">
        <f>"DAXON PETROLEUM"</f>
        <v>DAXON PETROLEUM</v>
      </c>
      <c r="H4156" s="14" t="s">
        <v>5601</v>
      </c>
      <c r="I4156" s="14" t="s">
        <v>2458</v>
      </c>
      <c r="J4156" s="33" t="s">
        <v>7110</v>
      </c>
      <c r="K4156" s="33" t="s">
        <v>12513</v>
      </c>
      <c r="L4156" s="53" t="str">
        <f t="shared" si="94"/>
        <v>پاکستان</v>
      </c>
      <c r="M4156" s="68" t="str">
        <f t="shared" si="98"/>
        <v>بشكه</v>
      </c>
      <c r="N4156" s="53" t="str">
        <f t="shared" si="97"/>
        <v>پيشين</v>
      </c>
      <c r="O4156" s="53">
        <v>55301</v>
      </c>
      <c r="P4156" s="198" t="s">
        <v>12218</v>
      </c>
    </row>
    <row r="4157" spans="1:16" ht="18.75" hidden="1">
      <c r="A4157" s="50" t="str">
        <f>"15100-527575"</f>
        <v>15100-527575</v>
      </c>
      <c r="B4157" s="50" t="str">
        <f>"96/10/26"</f>
        <v>96/10/26</v>
      </c>
      <c r="C4157" s="50" t="s">
        <v>12482</v>
      </c>
      <c r="D4157" s="12" t="s">
        <v>12367</v>
      </c>
      <c r="E4157" s="12" t="s">
        <v>4971</v>
      </c>
      <c r="F4157" s="49">
        <v>91560</v>
      </c>
      <c r="G4157" s="77" t="str">
        <f>"DAXON PETROLEUM"</f>
        <v>DAXON PETROLEUM</v>
      </c>
      <c r="H4157" s="14" t="s">
        <v>5601</v>
      </c>
      <c r="I4157" s="14" t="s">
        <v>2458</v>
      </c>
      <c r="J4157" s="33" t="s">
        <v>7110</v>
      </c>
      <c r="K4157" s="33" t="s">
        <v>12513</v>
      </c>
      <c r="L4157" s="53" t="str">
        <f t="shared" si="94"/>
        <v>پاکستان</v>
      </c>
      <c r="M4157" s="68" t="str">
        <f t="shared" si="98"/>
        <v>بشكه</v>
      </c>
      <c r="N4157" s="53" t="str">
        <f t="shared" si="97"/>
        <v>پيشين</v>
      </c>
      <c r="O4157" s="53">
        <v>55301</v>
      </c>
      <c r="P4157" s="198" t="s">
        <v>12218</v>
      </c>
    </row>
    <row r="4158" spans="1:16" ht="18.75" hidden="1">
      <c r="A4158" s="50" t="str">
        <f>"15100-522477"</f>
        <v>15100-522477</v>
      </c>
      <c r="B4158" s="50" t="str">
        <f>"96/10/16"</f>
        <v>96/10/16</v>
      </c>
      <c r="C4158" s="50" t="s">
        <v>12502</v>
      </c>
      <c r="D4158" s="12" t="s">
        <v>9830</v>
      </c>
      <c r="E4158" s="12" t="s">
        <v>4971</v>
      </c>
      <c r="F4158" s="49">
        <v>100000</v>
      </c>
      <c r="G4158" s="77" t="str">
        <f>"LLC Sebco Bitumen"</f>
        <v>LLC Sebco Bitumen</v>
      </c>
      <c r="H4158" s="14" t="s">
        <v>5601</v>
      </c>
      <c r="I4158" s="14" t="s">
        <v>2458</v>
      </c>
      <c r="J4158" s="33" t="s">
        <v>7110</v>
      </c>
      <c r="K4158" s="33" t="s">
        <v>12513</v>
      </c>
      <c r="L4158" s="53" t="str">
        <f t="shared" si="94"/>
        <v>پاکستان</v>
      </c>
      <c r="M4158" s="68" t="str">
        <f t="shared" si="98"/>
        <v>بشكه</v>
      </c>
      <c r="N4158" s="53" t="str">
        <f t="shared" si="97"/>
        <v>پيشين</v>
      </c>
      <c r="O4158" s="53">
        <v>55301</v>
      </c>
      <c r="P4158" s="198" t="s">
        <v>8698</v>
      </c>
    </row>
    <row r="4159" spans="1:16" ht="18.75" hidden="1">
      <c r="A4159" s="50" t="str">
        <f>"15100-522477"</f>
        <v>15100-522477</v>
      </c>
      <c r="B4159" s="50" t="str">
        <f>"96/10/16"</f>
        <v>96/10/16</v>
      </c>
      <c r="C4159" s="50" t="s">
        <v>12360</v>
      </c>
      <c r="D4159" s="12" t="s">
        <v>9830</v>
      </c>
      <c r="E4159" s="12" t="s">
        <v>4971</v>
      </c>
      <c r="F4159" s="49">
        <v>22160</v>
      </c>
      <c r="G4159" s="77" t="str">
        <f>"LLC Sebco Bitumen"</f>
        <v>LLC Sebco Bitumen</v>
      </c>
      <c r="H4159" s="14" t="s">
        <v>5601</v>
      </c>
      <c r="I4159" s="14" t="s">
        <v>2458</v>
      </c>
      <c r="J4159" s="33" t="s">
        <v>7110</v>
      </c>
      <c r="K4159" s="33" t="s">
        <v>12513</v>
      </c>
      <c r="L4159" s="53" t="str">
        <f t="shared" si="94"/>
        <v>پاکستان</v>
      </c>
      <c r="M4159" s="68" t="str">
        <f t="shared" si="98"/>
        <v>بشكه</v>
      </c>
      <c r="N4159" s="53" t="str">
        <f t="shared" si="97"/>
        <v>پيشين</v>
      </c>
      <c r="O4159" s="53">
        <v>55301</v>
      </c>
      <c r="P4159" s="198" t="s">
        <v>8698</v>
      </c>
    </row>
    <row r="4160" spans="1:16" ht="18.75" hidden="1">
      <c r="A4160" s="50" t="str">
        <f>"15100-523718"</f>
        <v>15100-523718</v>
      </c>
      <c r="B4160" s="50" t="str">
        <f>"96/10/18"</f>
        <v>96/10/18</v>
      </c>
      <c r="C4160" s="50" t="s">
        <v>12490</v>
      </c>
      <c r="D4160" s="12" t="s">
        <v>10036</v>
      </c>
      <c r="E4160" s="12" t="s">
        <v>4971</v>
      </c>
      <c r="F4160" s="49">
        <v>81835</v>
      </c>
      <c r="G4160" s="77" t="str">
        <f>"Black Gold Traders FZE"</f>
        <v>Black Gold Traders FZE</v>
      </c>
      <c r="H4160" s="14" t="s">
        <v>5601</v>
      </c>
      <c r="I4160" s="14" t="s">
        <v>2458</v>
      </c>
      <c r="J4160" s="33" t="s">
        <v>7110</v>
      </c>
      <c r="K4160" s="33" t="s">
        <v>12513</v>
      </c>
      <c r="L4160" s="53" t="str">
        <f t="shared" si="94"/>
        <v>پاکستان</v>
      </c>
      <c r="M4160" s="68" t="str">
        <f t="shared" si="98"/>
        <v>بشكه</v>
      </c>
      <c r="N4160" s="53" t="str">
        <f t="shared" ref="N4160:N4165" si="99">"تفتان (ميرجاوه)"</f>
        <v>تفتان (ميرجاوه)</v>
      </c>
      <c r="O4160" s="53">
        <v>55200</v>
      </c>
      <c r="P4160" s="198" t="s">
        <v>9774</v>
      </c>
    </row>
    <row r="4161" spans="1:16" ht="18.75" hidden="1">
      <c r="A4161" s="50" t="str">
        <f>"15100-528811"</f>
        <v>15100-528811</v>
      </c>
      <c r="B4161" s="50" t="str">
        <f>"96/11/28"</f>
        <v>96/11/28</v>
      </c>
      <c r="C4161" s="50" t="s">
        <v>12503</v>
      </c>
      <c r="D4161" s="12" t="s">
        <v>12380</v>
      </c>
      <c r="E4161" s="12" t="s">
        <v>4971</v>
      </c>
      <c r="F4161" s="49">
        <v>73600</v>
      </c>
      <c r="G4161" s="77" t="str">
        <f>"DAXON PETROLEUM"</f>
        <v>DAXON PETROLEUM</v>
      </c>
      <c r="H4161" s="14" t="s">
        <v>5601</v>
      </c>
      <c r="I4161" s="14" t="s">
        <v>2458</v>
      </c>
      <c r="J4161" s="33" t="s">
        <v>7110</v>
      </c>
      <c r="K4161" s="33" t="s">
        <v>12513</v>
      </c>
      <c r="L4161" s="53" t="str">
        <f t="shared" si="94"/>
        <v>پاکستان</v>
      </c>
      <c r="M4161" s="68" t="str">
        <f t="shared" si="98"/>
        <v>بشكه</v>
      </c>
      <c r="N4161" s="53" t="str">
        <f t="shared" si="99"/>
        <v>تفتان (ميرجاوه)</v>
      </c>
      <c r="O4161" s="53">
        <v>55200</v>
      </c>
      <c r="P4161" s="198" t="s">
        <v>12218</v>
      </c>
    </row>
    <row r="4162" spans="1:16" ht="18.75" hidden="1">
      <c r="A4162" s="50" t="str">
        <f>"15100-524155"</f>
        <v>15100-524155</v>
      </c>
      <c r="B4162" s="50" t="str">
        <f>"96/10/19"</f>
        <v>96/10/19</v>
      </c>
      <c r="C4162" s="50" t="s">
        <v>12504</v>
      </c>
      <c r="D4162" s="12" t="s">
        <v>12485</v>
      </c>
      <c r="E4162" s="12" t="s">
        <v>4971</v>
      </c>
      <c r="F4162" s="49">
        <v>120000</v>
      </c>
      <c r="G4162" s="77" t="str">
        <f>"Black Gold Traders FZE"</f>
        <v>Black Gold Traders FZE</v>
      </c>
      <c r="H4162" s="14" t="s">
        <v>5601</v>
      </c>
      <c r="I4162" s="14" t="s">
        <v>2458</v>
      </c>
      <c r="J4162" s="33" t="s">
        <v>7110</v>
      </c>
      <c r="K4162" s="33" t="s">
        <v>12513</v>
      </c>
      <c r="L4162" s="53" t="str">
        <f t="shared" si="94"/>
        <v>پاکستان</v>
      </c>
      <c r="M4162" s="68" t="str">
        <f t="shared" si="98"/>
        <v>بشكه</v>
      </c>
      <c r="N4162" s="53" t="str">
        <f t="shared" si="99"/>
        <v>تفتان (ميرجاوه)</v>
      </c>
      <c r="O4162" s="53">
        <v>55200</v>
      </c>
      <c r="P4162" s="198" t="s">
        <v>12220</v>
      </c>
    </row>
    <row r="4163" spans="1:16" ht="18.75" hidden="1">
      <c r="A4163" s="50" t="str">
        <f>"15100-526299"</f>
        <v>15100-526299</v>
      </c>
      <c r="B4163" s="50" t="str">
        <f>"96/10/24"</f>
        <v>96/10/24</v>
      </c>
      <c r="C4163" s="50" t="s">
        <v>12486</v>
      </c>
      <c r="D4163" s="12" t="s">
        <v>9998</v>
      </c>
      <c r="E4163" s="12" t="s">
        <v>4971</v>
      </c>
      <c r="F4163" s="49">
        <v>51200</v>
      </c>
      <c r="G4163" s="77" t="str">
        <f>"SHINING GREEN STAR FZE"</f>
        <v>SHINING GREEN STAR FZE</v>
      </c>
      <c r="H4163" s="14" t="s">
        <v>5601</v>
      </c>
      <c r="I4163" s="14" t="s">
        <v>2458</v>
      </c>
      <c r="J4163" s="33" t="s">
        <v>7110</v>
      </c>
      <c r="K4163" s="33" t="s">
        <v>12513</v>
      </c>
      <c r="L4163" s="53" t="str">
        <f t="shared" si="94"/>
        <v>پاکستان</v>
      </c>
      <c r="M4163" s="68" t="str">
        <f t="shared" si="98"/>
        <v>بشكه</v>
      </c>
      <c r="N4163" s="53" t="str">
        <f t="shared" si="99"/>
        <v>تفتان (ميرجاوه)</v>
      </c>
      <c r="O4163" s="53">
        <v>55200</v>
      </c>
      <c r="P4163" s="198" t="s">
        <v>12306</v>
      </c>
    </row>
    <row r="4164" spans="1:16" ht="18.75" hidden="1">
      <c r="A4164" s="50" t="str">
        <f>"15100-527602"</f>
        <v>15100-527602</v>
      </c>
      <c r="B4164" s="50" t="str">
        <f>"96/10/26"</f>
        <v>96/10/26</v>
      </c>
      <c r="C4164" s="50" t="s">
        <v>12482</v>
      </c>
      <c r="D4164" s="12" t="s">
        <v>12367</v>
      </c>
      <c r="E4164" s="12" t="s">
        <v>4971</v>
      </c>
      <c r="F4164" s="49">
        <v>224320</v>
      </c>
      <c r="G4164" s="77" t="str">
        <f>"DAXON PETROLEUM"</f>
        <v>DAXON PETROLEUM</v>
      </c>
      <c r="H4164" s="14" t="s">
        <v>5601</v>
      </c>
      <c r="I4164" s="14" t="s">
        <v>2458</v>
      </c>
      <c r="J4164" s="33" t="s">
        <v>7110</v>
      </c>
      <c r="K4164" s="33" t="s">
        <v>12513</v>
      </c>
      <c r="L4164" s="53" t="str">
        <f t="shared" si="94"/>
        <v>پاکستان</v>
      </c>
      <c r="M4164" s="68" t="str">
        <f t="shared" si="98"/>
        <v>بشكه</v>
      </c>
      <c r="N4164" s="53" t="str">
        <f t="shared" si="99"/>
        <v>تفتان (ميرجاوه)</v>
      </c>
      <c r="O4164" s="53">
        <v>55200</v>
      </c>
      <c r="P4164" s="198" t="s">
        <v>12218</v>
      </c>
    </row>
    <row r="4165" spans="1:16" ht="18.75" hidden="1">
      <c r="A4165" s="50" t="str">
        <f>"15100-526903"</f>
        <v>15100-526903</v>
      </c>
      <c r="B4165" s="50" t="str">
        <f>"96/10/25"</f>
        <v>96/10/25</v>
      </c>
      <c r="C4165" s="50" t="s">
        <v>12500</v>
      </c>
      <c r="D4165" s="12" t="s">
        <v>10033</v>
      </c>
      <c r="E4165" s="12" t="s">
        <v>4971</v>
      </c>
      <c r="F4165" s="49">
        <v>75510</v>
      </c>
      <c r="G4165" s="77" t="str">
        <f>"LLC Sebco Bitumen"</f>
        <v>LLC Sebco Bitumen</v>
      </c>
      <c r="H4165" s="14" t="s">
        <v>5601</v>
      </c>
      <c r="I4165" s="14" t="s">
        <v>2458</v>
      </c>
      <c r="J4165" s="33" t="s">
        <v>7110</v>
      </c>
      <c r="K4165" s="33" t="s">
        <v>12513</v>
      </c>
      <c r="L4165" s="53" t="str">
        <f t="shared" si="94"/>
        <v>پاکستان</v>
      </c>
      <c r="M4165" s="68" t="str">
        <f t="shared" si="98"/>
        <v>بشكه</v>
      </c>
      <c r="N4165" s="53" t="str">
        <f t="shared" si="99"/>
        <v>تفتان (ميرجاوه)</v>
      </c>
      <c r="O4165" s="53">
        <v>55200</v>
      </c>
      <c r="P4165" s="198" t="s">
        <v>9769</v>
      </c>
    </row>
    <row r="4166" spans="1:16" ht="18.75" hidden="1">
      <c r="A4166" s="50" t="str">
        <f>"15100-522477"</f>
        <v>15100-522477</v>
      </c>
      <c r="B4166" s="50" t="str">
        <f>"96/10/16"</f>
        <v>96/10/16</v>
      </c>
      <c r="C4166" s="50" t="s">
        <v>12505</v>
      </c>
      <c r="D4166" s="12" t="s">
        <v>8911</v>
      </c>
      <c r="E4166" s="12" t="s">
        <v>4971</v>
      </c>
      <c r="F4166" s="49">
        <v>100000</v>
      </c>
      <c r="G4166" s="77" t="str">
        <f>"LLC Sebco Bitumen"</f>
        <v>LLC Sebco Bitumen</v>
      </c>
      <c r="H4166" s="14" t="s">
        <v>5601</v>
      </c>
      <c r="I4166" s="14" t="s">
        <v>2458</v>
      </c>
      <c r="J4166" s="33" t="s">
        <v>7110</v>
      </c>
      <c r="K4166" s="33" t="s">
        <v>12513</v>
      </c>
      <c r="L4166" s="53" t="str">
        <f t="shared" si="94"/>
        <v>پاکستان</v>
      </c>
      <c r="M4166" s="68" t="str">
        <f t="shared" si="98"/>
        <v>بشكه</v>
      </c>
      <c r="N4166" s="53" t="str">
        <f>"پيشين"</f>
        <v>پيشين</v>
      </c>
      <c r="O4166" s="53">
        <v>55301</v>
      </c>
      <c r="P4166" s="198" t="s">
        <v>8698</v>
      </c>
    </row>
    <row r="4167" spans="1:16" ht="18.75" hidden="1">
      <c r="A4167" s="50" t="str">
        <f>"15100-523709"</f>
        <v>15100-523709</v>
      </c>
      <c r="B4167" s="50" t="str">
        <f>"96/10/18"</f>
        <v>96/10/18</v>
      </c>
      <c r="C4167" s="50" t="s">
        <v>12360</v>
      </c>
      <c r="D4167" s="12" t="s">
        <v>9830</v>
      </c>
      <c r="E4167" s="12" t="s">
        <v>4971</v>
      </c>
      <c r="F4167" s="49">
        <v>163545</v>
      </c>
      <c r="G4167" s="77" t="str">
        <f>"LLC Sebco Bitumen"</f>
        <v>LLC Sebco Bitumen</v>
      </c>
      <c r="H4167" s="14" t="s">
        <v>5601</v>
      </c>
      <c r="I4167" s="14" t="s">
        <v>2458</v>
      </c>
      <c r="J4167" s="33" t="s">
        <v>7110</v>
      </c>
      <c r="K4167" s="33" t="s">
        <v>12513</v>
      </c>
      <c r="L4167" s="53" t="str">
        <f t="shared" si="94"/>
        <v>پاکستان</v>
      </c>
      <c r="M4167" s="68" t="str">
        <f t="shared" si="98"/>
        <v>بشكه</v>
      </c>
      <c r="N4167" s="53" t="str">
        <f>"پيشين"</f>
        <v>پيشين</v>
      </c>
      <c r="O4167" s="53">
        <v>55301</v>
      </c>
      <c r="P4167" s="198" t="s">
        <v>8698</v>
      </c>
    </row>
    <row r="4168" spans="1:16" ht="18.75" hidden="1">
      <c r="A4168" s="50" t="str">
        <f>"15100-524155"</f>
        <v>15100-524155</v>
      </c>
      <c r="B4168" s="50" t="str">
        <f>"96/10/19"</f>
        <v>96/10/19</v>
      </c>
      <c r="C4168" s="50" t="s">
        <v>12491</v>
      </c>
      <c r="D4168" s="12" t="s">
        <v>9997</v>
      </c>
      <c r="E4168" s="12" t="s">
        <v>4971</v>
      </c>
      <c r="F4168" s="49">
        <v>50080</v>
      </c>
      <c r="G4168" s="77" t="str">
        <f>"SHINING GREEN STAR FZE"</f>
        <v>SHINING GREEN STAR FZE</v>
      </c>
      <c r="H4168" s="14" t="s">
        <v>5601</v>
      </c>
      <c r="I4168" s="14" t="s">
        <v>2458</v>
      </c>
      <c r="J4168" s="33" t="e">
        <f>VLOOKUP(C4168,شرکتها!A:B,2,FALSE)</f>
        <v>#N/A</v>
      </c>
      <c r="K4168" s="33" t="s">
        <v>12513</v>
      </c>
      <c r="L4168" s="53" t="str">
        <f t="shared" si="94"/>
        <v>پاکستان</v>
      </c>
      <c r="M4168" s="68" t="str">
        <f t="shared" si="98"/>
        <v>بشكه</v>
      </c>
      <c r="N4168" s="53" t="str">
        <f>"تفتان (ميرجاوه)"</f>
        <v>تفتان (ميرجاوه)</v>
      </c>
      <c r="O4168" s="53">
        <v>55200</v>
      </c>
      <c r="P4168" s="198" t="s">
        <v>9770</v>
      </c>
    </row>
    <row r="4169" spans="1:16" ht="18.75" hidden="1">
      <c r="A4169" s="50" t="str">
        <f>"15100-525707"</f>
        <v>15100-525707</v>
      </c>
      <c r="B4169" s="50" t="str">
        <f>"96/10/23"</f>
        <v>96/10/23</v>
      </c>
      <c r="C4169" s="50" t="s">
        <v>12506</v>
      </c>
      <c r="D4169" s="12" t="s">
        <v>12507</v>
      </c>
      <c r="E4169" s="12" t="s">
        <v>4971</v>
      </c>
      <c r="F4169" s="49">
        <v>200720</v>
      </c>
      <c r="G4169" s="77" t="str">
        <f>"Black Gold Traders FZE"</f>
        <v>Black Gold Traders FZE</v>
      </c>
      <c r="H4169" s="14" t="s">
        <v>5601</v>
      </c>
      <c r="I4169" s="14" t="s">
        <v>2458</v>
      </c>
      <c r="J4169" s="33" t="s">
        <v>7110</v>
      </c>
      <c r="K4169" s="33" t="s">
        <v>12513</v>
      </c>
      <c r="L4169" s="53" t="str">
        <f t="shared" si="94"/>
        <v>پاکستان</v>
      </c>
      <c r="M4169" s="68" t="str">
        <f t="shared" si="98"/>
        <v>بشكه</v>
      </c>
      <c r="N4169" s="53" t="str">
        <f>"تفتان (ميرجاوه)"</f>
        <v>تفتان (ميرجاوه)</v>
      </c>
      <c r="O4169" s="53">
        <v>55200</v>
      </c>
      <c r="P4169" s="198" t="s">
        <v>12220</v>
      </c>
    </row>
    <row r="4170" spans="1:16" ht="18.75" hidden="1">
      <c r="A4170" s="50" t="str">
        <f>"15100-525767"</f>
        <v>15100-525767</v>
      </c>
      <c r="B4170" s="50" t="str">
        <f>"96/10/23"</f>
        <v>96/10/23</v>
      </c>
      <c r="C4170" s="50" t="s">
        <v>12493</v>
      </c>
      <c r="D4170" s="12" t="s">
        <v>12364</v>
      </c>
      <c r="E4170" s="12" t="s">
        <v>4971</v>
      </c>
      <c r="F4170" s="49">
        <v>4940</v>
      </c>
      <c r="G4170" s="77" t="str">
        <f>"DAXON PETROLEUM"</f>
        <v>DAXON PETROLEUM</v>
      </c>
      <c r="H4170" s="14" t="s">
        <v>5601</v>
      </c>
      <c r="I4170" s="14" t="s">
        <v>2458</v>
      </c>
      <c r="J4170" s="33" t="s">
        <v>7110</v>
      </c>
      <c r="K4170" s="33" t="s">
        <v>12513</v>
      </c>
      <c r="L4170" s="53" t="str">
        <f t="shared" si="94"/>
        <v>پاکستان</v>
      </c>
      <c r="M4170" s="68" t="str">
        <f t="shared" si="98"/>
        <v>بشكه</v>
      </c>
      <c r="N4170" s="53" t="str">
        <f>"پيشين"</f>
        <v>پيشين</v>
      </c>
      <c r="O4170" s="53">
        <v>55301</v>
      </c>
      <c r="P4170" s="198" t="s">
        <v>9790</v>
      </c>
    </row>
    <row r="4171" spans="1:16" ht="18.75" hidden="1">
      <c r="A4171" s="50" t="str">
        <f>"15100-526311"</f>
        <v>15100-526311</v>
      </c>
      <c r="B4171" s="50" t="str">
        <f>"96/10/24"</f>
        <v>96/10/24</v>
      </c>
      <c r="C4171" s="50" t="s">
        <v>12506</v>
      </c>
      <c r="D4171" s="12" t="s">
        <v>12507</v>
      </c>
      <c r="E4171" s="12" t="s">
        <v>4971</v>
      </c>
      <c r="F4171" s="49">
        <v>48670</v>
      </c>
      <c r="G4171" s="77" t="str">
        <f>"Black Gold Traders FZE"</f>
        <v>Black Gold Traders FZE</v>
      </c>
      <c r="H4171" s="14" t="s">
        <v>5601</v>
      </c>
      <c r="I4171" s="14" t="s">
        <v>2458</v>
      </c>
      <c r="J4171" s="33" t="s">
        <v>7110</v>
      </c>
      <c r="K4171" s="33" t="s">
        <v>12513</v>
      </c>
      <c r="L4171" s="53" t="str">
        <f t="shared" si="94"/>
        <v>پاکستان</v>
      </c>
      <c r="M4171" s="68" t="str">
        <f t="shared" si="98"/>
        <v>بشكه</v>
      </c>
      <c r="N4171" s="53" t="str">
        <f>"تفتان (ميرجاوه)"</f>
        <v>تفتان (ميرجاوه)</v>
      </c>
      <c r="O4171" s="53">
        <v>55200</v>
      </c>
      <c r="P4171" s="198" t="s">
        <v>12220</v>
      </c>
    </row>
    <row r="4172" spans="1:16" ht="18.75" hidden="1">
      <c r="A4172" s="50" t="str">
        <f>"15100-523658"</f>
        <v>15100-523658</v>
      </c>
      <c r="B4172" s="50" t="str">
        <f>"96/10/18"</f>
        <v>96/10/18</v>
      </c>
      <c r="C4172" s="50" t="s">
        <v>12491</v>
      </c>
      <c r="D4172" s="12" t="s">
        <v>9997</v>
      </c>
      <c r="E4172" s="12" t="s">
        <v>4971</v>
      </c>
      <c r="F4172" s="49">
        <v>44880</v>
      </c>
      <c r="G4172" s="77" t="str">
        <f>"SHINING GREEN STAR FZE"</f>
        <v>SHINING GREEN STAR FZE</v>
      </c>
      <c r="H4172" s="14" t="s">
        <v>5601</v>
      </c>
      <c r="I4172" s="14" t="s">
        <v>2458</v>
      </c>
      <c r="J4172" s="33" t="e">
        <f>VLOOKUP(C4172,شرکتها!A:B,2,FALSE)</f>
        <v>#N/A</v>
      </c>
      <c r="K4172" s="33" t="s">
        <v>12513</v>
      </c>
      <c r="L4172" s="53" t="str">
        <f t="shared" si="94"/>
        <v>پاکستان</v>
      </c>
      <c r="M4172" s="68" t="str">
        <f>"فله"</f>
        <v>فله</v>
      </c>
      <c r="N4172" s="53" t="str">
        <f>"بازارچه کوهک سراوان"</f>
        <v>بازارچه کوهک سراوان</v>
      </c>
      <c r="O4172" s="53">
        <v>55107</v>
      </c>
      <c r="P4172" s="198" t="s">
        <v>9770</v>
      </c>
    </row>
    <row r="4173" spans="1:16" ht="18.75" hidden="1">
      <c r="A4173" s="50" t="str">
        <f>"15100-523658"</f>
        <v>15100-523658</v>
      </c>
      <c r="B4173" s="50" t="str">
        <f>"96/10/18"</f>
        <v>96/10/18</v>
      </c>
      <c r="C4173" s="50" t="s">
        <v>12492</v>
      </c>
      <c r="D4173" s="12" t="s">
        <v>9998</v>
      </c>
      <c r="E4173" s="12" t="s">
        <v>4971</v>
      </c>
      <c r="F4173" s="49">
        <v>121200</v>
      </c>
      <c r="G4173" s="77" t="str">
        <f>"DAXON PETROLEUM"</f>
        <v>DAXON PETROLEUM</v>
      </c>
      <c r="H4173" s="14" t="s">
        <v>5601</v>
      </c>
      <c r="I4173" s="14" t="s">
        <v>2458</v>
      </c>
      <c r="J4173" s="33" t="s">
        <v>7110</v>
      </c>
      <c r="K4173" s="33" t="s">
        <v>12513</v>
      </c>
      <c r="L4173" s="53" t="str">
        <f t="shared" si="94"/>
        <v>پاکستان</v>
      </c>
      <c r="M4173" s="68" t="str">
        <f>"فله"</f>
        <v>فله</v>
      </c>
      <c r="N4173" s="53" t="str">
        <f>"بازارچه کوهک سراوان"</f>
        <v>بازارچه کوهک سراوان</v>
      </c>
      <c r="O4173" s="53">
        <v>55107</v>
      </c>
      <c r="P4173" s="198" t="s">
        <v>12218</v>
      </c>
    </row>
    <row r="4174" spans="1:16" ht="18.75" hidden="1">
      <c r="A4174" s="50" t="str">
        <f>"15100-526299"</f>
        <v>15100-526299</v>
      </c>
      <c r="B4174" s="50" t="str">
        <f>"96/10/24"</f>
        <v>96/10/24</v>
      </c>
      <c r="C4174" s="50" t="s">
        <v>12506</v>
      </c>
      <c r="D4174" s="12" t="s">
        <v>12507</v>
      </c>
      <c r="E4174" s="12" t="s">
        <v>4971</v>
      </c>
      <c r="F4174" s="49">
        <v>221660</v>
      </c>
      <c r="G4174" s="77" t="str">
        <f>"Black Gold Traders FZE"</f>
        <v>Black Gold Traders FZE</v>
      </c>
      <c r="H4174" s="14" t="s">
        <v>5601</v>
      </c>
      <c r="I4174" s="14" t="s">
        <v>2458</v>
      </c>
      <c r="J4174" s="33" t="s">
        <v>7110</v>
      </c>
      <c r="K4174" s="33" t="s">
        <v>12513</v>
      </c>
      <c r="L4174" s="53" t="str">
        <f t="shared" si="94"/>
        <v>پاکستان</v>
      </c>
      <c r="M4174" s="68" t="str">
        <f>"بشكه"</f>
        <v>بشكه</v>
      </c>
      <c r="N4174" s="53" t="str">
        <f>"تفتان (ميرجاوه)"</f>
        <v>تفتان (ميرجاوه)</v>
      </c>
      <c r="O4174" s="53">
        <v>55200</v>
      </c>
      <c r="P4174" s="198" t="s">
        <v>12220</v>
      </c>
    </row>
    <row r="4175" spans="1:16" ht="18.75" hidden="1">
      <c r="A4175" s="50" t="str">
        <f>"15100-528105"</f>
        <v>15100-528105</v>
      </c>
      <c r="B4175" s="50" t="str">
        <f>"96/10/27"</f>
        <v>96/10/27</v>
      </c>
      <c r="C4175" s="50" t="s">
        <v>12506</v>
      </c>
      <c r="D4175" s="12" t="s">
        <v>12507</v>
      </c>
      <c r="E4175" s="12" t="s">
        <v>4971</v>
      </c>
      <c r="F4175" s="49">
        <v>123540</v>
      </c>
      <c r="G4175" s="77" t="str">
        <f>"Black Gold Traders FZE"</f>
        <v>Black Gold Traders FZE</v>
      </c>
      <c r="H4175" s="14" t="s">
        <v>5601</v>
      </c>
      <c r="I4175" s="14" t="s">
        <v>2458</v>
      </c>
      <c r="J4175" s="33" t="s">
        <v>7110</v>
      </c>
      <c r="K4175" s="33" t="s">
        <v>12513</v>
      </c>
      <c r="L4175" s="53" t="str">
        <f t="shared" si="94"/>
        <v>پاکستان</v>
      </c>
      <c r="M4175" s="68" t="str">
        <f>"بشكه"</f>
        <v>بشكه</v>
      </c>
      <c r="N4175" s="53" t="str">
        <f>"تفتان (ميرجاوه)"</f>
        <v>تفتان (ميرجاوه)</v>
      </c>
      <c r="O4175" s="53">
        <v>55200</v>
      </c>
      <c r="P4175" s="198" t="s">
        <v>12220</v>
      </c>
    </row>
    <row r="4176" spans="1:16" ht="18.75" hidden="1">
      <c r="A4176" s="50" t="str">
        <f>"15100-528811"</f>
        <v>15100-528811</v>
      </c>
      <c r="B4176" s="50" t="str">
        <f>"96/11/28"</f>
        <v>96/11/28</v>
      </c>
      <c r="C4176" s="50" t="s">
        <v>12506</v>
      </c>
      <c r="D4176" s="12" t="s">
        <v>12507</v>
      </c>
      <c r="E4176" s="12" t="s">
        <v>4971</v>
      </c>
      <c r="F4176" s="49">
        <v>106520</v>
      </c>
      <c r="G4176" s="77" t="str">
        <f>"Black Gold Traders FZE"</f>
        <v>Black Gold Traders FZE</v>
      </c>
      <c r="H4176" s="14" t="s">
        <v>5601</v>
      </c>
      <c r="I4176" s="14" t="s">
        <v>2458</v>
      </c>
      <c r="J4176" s="33" t="s">
        <v>7110</v>
      </c>
      <c r="K4176" s="33" t="s">
        <v>12513</v>
      </c>
      <c r="L4176" s="53" t="str">
        <f t="shared" si="94"/>
        <v>پاکستان</v>
      </c>
      <c r="M4176" s="68" t="str">
        <f>"بشكه"</f>
        <v>بشكه</v>
      </c>
      <c r="N4176" s="53" t="str">
        <f>"تفتان (ميرجاوه)"</f>
        <v>تفتان (ميرجاوه)</v>
      </c>
      <c r="O4176" s="53">
        <v>55200</v>
      </c>
      <c r="P4176" s="198" t="s">
        <v>12220</v>
      </c>
    </row>
    <row r="4177" spans="1:16" ht="18.75" hidden="1">
      <c r="A4177" s="50" t="str">
        <f>"15100-528811"</f>
        <v>15100-528811</v>
      </c>
      <c r="B4177" s="50" t="str">
        <f>"96/11/28"</f>
        <v>96/11/28</v>
      </c>
      <c r="C4177" s="50" t="s">
        <v>12508</v>
      </c>
      <c r="D4177" s="12" t="s">
        <v>12509</v>
      </c>
      <c r="E4177" s="12" t="s">
        <v>4971</v>
      </c>
      <c r="F4177" s="49">
        <v>88850</v>
      </c>
      <c r="G4177" s="77" t="str">
        <f>"Black Gold Traders FZE"</f>
        <v>Black Gold Traders FZE</v>
      </c>
      <c r="H4177" s="14" t="s">
        <v>5601</v>
      </c>
      <c r="I4177" s="14" t="s">
        <v>2458</v>
      </c>
      <c r="J4177" s="33" t="s">
        <v>7110</v>
      </c>
      <c r="K4177" s="33" t="s">
        <v>12513</v>
      </c>
      <c r="L4177" s="53" t="str">
        <f t="shared" si="94"/>
        <v>پاکستان</v>
      </c>
      <c r="M4177" s="68" t="str">
        <f>"بشكه"</f>
        <v>بشكه</v>
      </c>
      <c r="N4177" s="53" t="str">
        <f>"تفتان (ميرجاوه)"</f>
        <v>تفتان (ميرجاوه)</v>
      </c>
      <c r="O4177" s="53">
        <v>55200</v>
      </c>
      <c r="P4177" s="198" t="s">
        <v>12220</v>
      </c>
    </row>
    <row r="4178" spans="1:16" ht="18.75" hidden="1">
      <c r="A4178" s="50" t="str">
        <f>"15100-523129"</f>
        <v>15100-523129</v>
      </c>
      <c r="B4178" s="50" t="str">
        <f>"96/10/17"</f>
        <v>96/10/17</v>
      </c>
      <c r="C4178" s="50" t="s">
        <v>12491</v>
      </c>
      <c r="D4178" s="12" t="s">
        <v>9997</v>
      </c>
      <c r="E4178" s="12" t="s">
        <v>4971</v>
      </c>
      <c r="F4178" s="49">
        <v>70200</v>
      </c>
      <c r="G4178" s="77" t="str">
        <f>"SHINING GREEN STAR FZE"</f>
        <v>SHINING GREEN STAR FZE</v>
      </c>
      <c r="H4178" s="14" t="s">
        <v>5601</v>
      </c>
      <c r="I4178" s="14" t="s">
        <v>2458</v>
      </c>
      <c r="J4178" s="33" t="e">
        <f>VLOOKUP(C4178,شرکتها!A:B,2,FALSE)</f>
        <v>#N/A</v>
      </c>
      <c r="K4178" s="33" t="s">
        <v>12513</v>
      </c>
      <c r="L4178" s="53" t="str">
        <f t="shared" si="94"/>
        <v>پاکستان</v>
      </c>
      <c r="M4178" s="68" t="str">
        <f>"فله"</f>
        <v>فله</v>
      </c>
      <c r="N4178" s="53" t="str">
        <f>"پيشين"</f>
        <v>پيشين</v>
      </c>
      <c r="O4178" s="53">
        <v>55301</v>
      </c>
      <c r="P4178" s="198" t="s">
        <v>9770</v>
      </c>
    </row>
    <row r="4179" spans="1:16" ht="18.75" hidden="1">
      <c r="A4179" s="50" t="str">
        <f>"15100-524191"</f>
        <v>15100-524191</v>
      </c>
      <c r="B4179" s="50" t="str">
        <f>"96/10/19"</f>
        <v>96/10/19</v>
      </c>
      <c r="C4179" s="50" t="s">
        <v>12493</v>
      </c>
      <c r="D4179" s="12" t="s">
        <v>12364</v>
      </c>
      <c r="E4179" s="12" t="s">
        <v>4971</v>
      </c>
      <c r="F4179" s="49">
        <v>138730</v>
      </c>
      <c r="G4179" s="77" t="str">
        <f>"DAXON PETROLEUM"</f>
        <v>DAXON PETROLEUM</v>
      </c>
      <c r="H4179" s="14" t="s">
        <v>5601</v>
      </c>
      <c r="I4179" s="14" t="s">
        <v>2458</v>
      </c>
      <c r="J4179" s="33" t="s">
        <v>7110</v>
      </c>
      <c r="K4179" s="33" t="s">
        <v>12513</v>
      </c>
      <c r="L4179" s="53" t="str">
        <f t="shared" si="94"/>
        <v>پاکستان</v>
      </c>
      <c r="M4179" s="68" t="str">
        <f>"بشكه"</f>
        <v>بشكه</v>
      </c>
      <c r="N4179" s="53" t="str">
        <f>"پيشين"</f>
        <v>پيشين</v>
      </c>
      <c r="O4179" s="53">
        <v>55301</v>
      </c>
      <c r="P4179" s="198" t="s">
        <v>9790</v>
      </c>
    </row>
    <row r="4180" spans="1:16" ht="18.75" hidden="1">
      <c r="A4180" s="50" t="str">
        <f>"15100-527602"</f>
        <v>15100-527602</v>
      </c>
      <c r="B4180" s="50" t="str">
        <f>"96/10/26"</f>
        <v>96/10/26</v>
      </c>
      <c r="C4180" s="50" t="s">
        <v>12506</v>
      </c>
      <c r="D4180" s="12" t="s">
        <v>12507</v>
      </c>
      <c r="E4180" s="12" t="s">
        <v>4971</v>
      </c>
      <c r="F4180" s="49">
        <v>126800</v>
      </c>
      <c r="G4180" s="77" t="str">
        <f>"Black Gold Traders FZE"</f>
        <v>Black Gold Traders FZE</v>
      </c>
      <c r="H4180" s="14" t="s">
        <v>5601</v>
      </c>
      <c r="I4180" s="14" t="s">
        <v>2458</v>
      </c>
      <c r="J4180" s="33" t="s">
        <v>7110</v>
      </c>
      <c r="K4180" s="33" t="s">
        <v>12513</v>
      </c>
      <c r="L4180" s="53" t="str">
        <f t="shared" si="94"/>
        <v>پاکستان</v>
      </c>
      <c r="M4180" s="68" t="str">
        <f>"بشكه"</f>
        <v>بشكه</v>
      </c>
      <c r="N4180" s="53" t="str">
        <f>"تفتان (ميرجاوه)"</f>
        <v>تفتان (ميرجاوه)</v>
      </c>
      <c r="O4180" s="53">
        <v>55200</v>
      </c>
      <c r="P4180" s="198" t="s">
        <v>12220</v>
      </c>
    </row>
    <row r="4181" spans="1:16" ht="18.75" hidden="1">
      <c r="A4181" s="50" t="str">
        <f>"15100-523102"</f>
        <v>15100-523102</v>
      </c>
      <c r="B4181" s="50" t="str">
        <f>"96/10/17"</f>
        <v>96/10/17</v>
      </c>
      <c r="C4181" s="50" t="s">
        <v>12491</v>
      </c>
      <c r="D4181" s="12" t="s">
        <v>9997</v>
      </c>
      <c r="E4181" s="12" t="s">
        <v>4971</v>
      </c>
      <c r="F4181" s="49">
        <v>94560</v>
      </c>
      <c r="G4181" s="77" t="str">
        <f>"SHINING GREEN STAR FZE"</f>
        <v>SHINING GREEN STAR FZE</v>
      </c>
      <c r="H4181" s="14" t="s">
        <v>5601</v>
      </c>
      <c r="I4181" s="14" t="s">
        <v>2458</v>
      </c>
      <c r="J4181" s="33" t="e">
        <f>VLOOKUP(C4181,شرکتها!A:B,2,FALSE)</f>
        <v>#N/A</v>
      </c>
      <c r="K4181" s="33" t="s">
        <v>12513</v>
      </c>
      <c r="L4181" s="53" t="str">
        <f t="shared" si="94"/>
        <v>پاکستان</v>
      </c>
      <c r="M4181" s="68" t="str">
        <f>"فله"</f>
        <v>فله</v>
      </c>
      <c r="N4181" s="53" t="str">
        <f>"بازارچه ريمدان"</f>
        <v>بازارچه ريمدان</v>
      </c>
      <c r="O4181" s="53">
        <v>55112</v>
      </c>
      <c r="P4181" s="198" t="s">
        <v>9770</v>
      </c>
    </row>
    <row r="4182" spans="1:16" ht="18.75" hidden="1">
      <c r="A4182" s="50" t="str">
        <f>"15100-524629"</f>
        <v>15100-524629</v>
      </c>
      <c r="B4182" s="50" t="str">
        <f>"96/10/20"</f>
        <v>96/10/20</v>
      </c>
      <c r="C4182" s="50" t="s">
        <v>12493</v>
      </c>
      <c r="D4182" s="12" t="s">
        <v>12364</v>
      </c>
      <c r="E4182" s="12" t="s">
        <v>4971</v>
      </c>
      <c r="F4182" s="49">
        <v>159900</v>
      </c>
      <c r="G4182" s="77" t="str">
        <f>"DAXON PETROLEUM"</f>
        <v>DAXON PETROLEUM</v>
      </c>
      <c r="H4182" s="14" t="s">
        <v>5601</v>
      </c>
      <c r="I4182" s="14" t="s">
        <v>2458</v>
      </c>
      <c r="J4182" s="33" t="s">
        <v>7110</v>
      </c>
      <c r="K4182" s="33" t="s">
        <v>12513</v>
      </c>
      <c r="L4182" s="53" t="str">
        <f t="shared" si="94"/>
        <v>پاکستان</v>
      </c>
      <c r="M4182" s="68" t="str">
        <f>"فله"</f>
        <v>فله</v>
      </c>
      <c r="N4182" s="53" t="str">
        <f>"پيشين"</f>
        <v>پيشين</v>
      </c>
      <c r="O4182" s="53">
        <v>55301</v>
      </c>
      <c r="P4182" s="198" t="s">
        <v>9790</v>
      </c>
    </row>
    <row r="4183" spans="1:16" ht="18.75" hidden="1">
      <c r="A4183" s="50" t="str">
        <f>"15100-524629"</f>
        <v>15100-524629</v>
      </c>
      <c r="B4183" s="50" t="str">
        <f>"96/10/20"</f>
        <v>96/10/20</v>
      </c>
      <c r="C4183" s="50" t="s">
        <v>12491</v>
      </c>
      <c r="D4183" s="12" t="s">
        <v>9997</v>
      </c>
      <c r="E4183" s="12" t="s">
        <v>4971</v>
      </c>
      <c r="F4183" s="49">
        <v>157060</v>
      </c>
      <c r="G4183" s="77" t="str">
        <f>"SHINING GREEN STAR FZE"</f>
        <v>SHINING GREEN STAR FZE</v>
      </c>
      <c r="H4183" s="14" t="s">
        <v>5601</v>
      </c>
      <c r="I4183" s="14" t="s">
        <v>2458</v>
      </c>
      <c r="J4183" s="33" t="e">
        <f>VLOOKUP(C4183,شرکتها!A:B,2,FALSE)</f>
        <v>#N/A</v>
      </c>
      <c r="K4183" s="33" t="s">
        <v>12513</v>
      </c>
      <c r="L4183" s="53" t="str">
        <f t="shared" si="94"/>
        <v>پاکستان</v>
      </c>
      <c r="M4183" s="68" t="str">
        <f>"فله"</f>
        <v>فله</v>
      </c>
      <c r="N4183" s="53" t="str">
        <f>"پيشين"</f>
        <v>پيشين</v>
      </c>
      <c r="O4183" s="53">
        <v>55301</v>
      </c>
      <c r="P4183" s="198" t="s">
        <v>9770</v>
      </c>
    </row>
    <row r="4184" spans="1:16" ht="18.75" hidden="1">
      <c r="A4184" s="50" t="str">
        <f>"15100-525228"</f>
        <v>15100-525228</v>
      </c>
      <c r="B4184" s="50" t="str">
        <f>"96/10/21"</f>
        <v>96/10/21</v>
      </c>
      <c r="C4184" s="50" t="s">
        <v>12493</v>
      </c>
      <c r="D4184" s="12" t="s">
        <v>12364</v>
      </c>
      <c r="E4184" s="12" t="s">
        <v>4971</v>
      </c>
      <c r="F4184" s="49">
        <v>332420</v>
      </c>
      <c r="G4184" s="77" t="str">
        <f>"DAXON PETROLEUM"</f>
        <v>DAXON PETROLEUM</v>
      </c>
      <c r="H4184" s="14" t="s">
        <v>5601</v>
      </c>
      <c r="I4184" s="14" t="s">
        <v>2458</v>
      </c>
      <c r="J4184" s="33" t="s">
        <v>7110</v>
      </c>
      <c r="K4184" s="33" t="s">
        <v>12513</v>
      </c>
      <c r="L4184" s="53" t="str">
        <f t="shared" si="94"/>
        <v>پاکستان</v>
      </c>
      <c r="M4184" s="68" t="str">
        <f>"بشكه"</f>
        <v>بشكه</v>
      </c>
      <c r="N4184" s="53" t="str">
        <f>"پيشين"</f>
        <v>پيشين</v>
      </c>
      <c r="O4184" s="53">
        <v>55301</v>
      </c>
      <c r="P4184" s="198" t="s">
        <v>9790</v>
      </c>
    </row>
    <row r="4185" spans="1:16" ht="18.75" hidden="1">
      <c r="A4185" s="50" t="str">
        <f>"15100-523180"</f>
        <v>15100-523180</v>
      </c>
      <c r="B4185" s="50" t="str">
        <f>"96/10/17"</f>
        <v>96/10/17</v>
      </c>
      <c r="C4185" s="50" t="s">
        <v>12491</v>
      </c>
      <c r="D4185" s="12" t="s">
        <v>9997</v>
      </c>
      <c r="E4185" s="12" t="s">
        <v>4971</v>
      </c>
      <c r="F4185" s="49">
        <v>147540</v>
      </c>
      <c r="G4185" s="77" t="str">
        <f>"SHINING GREEN STAR FZE"</f>
        <v>SHINING GREEN STAR FZE</v>
      </c>
      <c r="H4185" s="14" t="s">
        <v>5601</v>
      </c>
      <c r="I4185" s="14" t="s">
        <v>2458</v>
      </c>
      <c r="J4185" s="33" t="e">
        <f>VLOOKUP(C4185,شرکتها!A:B,2,FALSE)</f>
        <v>#N/A</v>
      </c>
      <c r="K4185" s="33" t="s">
        <v>12513</v>
      </c>
      <c r="L4185" s="53" t="str">
        <f t="shared" ref="L4185:L4190" si="100">"پاکستان"</f>
        <v>پاکستان</v>
      </c>
      <c r="M4185" s="68" t="str">
        <f>"فله"</f>
        <v>فله</v>
      </c>
      <c r="N4185" s="53" t="str">
        <f>"بازارچه کوهک سراوان"</f>
        <v>بازارچه کوهک سراوان</v>
      </c>
      <c r="O4185" s="53">
        <v>55107</v>
      </c>
      <c r="P4185" s="198" t="s">
        <v>9770</v>
      </c>
    </row>
    <row r="4186" spans="1:16" ht="18.75" hidden="1">
      <c r="A4186" s="50" t="str">
        <f>"15100-522488"</f>
        <v>15100-522488</v>
      </c>
      <c r="B4186" s="50" t="str">
        <f>"96/10/16"</f>
        <v>96/10/16</v>
      </c>
      <c r="C4186" s="50" t="s">
        <v>12510</v>
      </c>
      <c r="D4186" s="12" t="s">
        <v>9830</v>
      </c>
      <c r="E4186" s="12" t="s">
        <v>4971</v>
      </c>
      <c r="F4186" s="49">
        <v>76150</v>
      </c>
      <c r="G4186" s="77" t="str">
        <f>"LLC Sebco Bitumen"</f>
        <v>LLC Sebco Bitumen</v>
      </c>
      <c r="H4186" s="14" t="s">
        <v>5601</v>
      </c>
      <c r="I4186" s="14" t="s">
        <v>2458</v>
      </c>
      <c r="J4186" s="33" t="s">
        <v>7110</v>
      </c>
      <c r="K4186" s="33" t="s">
        <v>12513</v>
      </c>
      <c r="L4186" s="53" t="str">
        <f t="shared" si="100"/>
        <v>پاکستان</v>
      </c>
      <c r="M4186" s="68" t="str">
        <f>"بشكه"</f>
        <v>بشكه</v>
      </c>
      <c r="N4186" s="53" t="str">
        <f>"تفتان (ميرجاوه)"</f>
        <v>تفتان (ميرجاوه)</v>
      </c>
      <c r="O4186" s="53">
        <v>55200</v>
      </c>
      <c r="P4186" s="198" t="s">
        <v>8698</v>
      </c>
    </row>
    <row r="4187" spans="1:16" ht="18.75" hidden="1">
      <c r="A4187" s="50" t="str">
        <f>"15100-525140"</f>
        <v>15100-525140</v>
      </c>
      <c r="B4187" s="50" t="str">
        <f>"96/10/21"</f>
        <v>96/10/21</v>
      </c>
      <c r="C4187" s="50" t="s">
        <v>12491</v>
      </c>
      <c r="D4187" s="12" t="s">
        <v>9997</v>
      </c>
      <c r="E4187" s="12" t="s">
        <v>4971</v>
      </c>
      <c r="F4187" s="49">
        <v>24690</v>
      </c>
      <c r="G4187" s="77" t="str">
        <f>"SHINING GREEN STAR FZE"</f>
        <v>SHINING GREEN STAR FZE</v>
      </c>
      <c r="H4187" s="14" t="s">
        <v>5601</v>
      </c>
      <c r="I4187" s="14" t="s">
        <v>2458</v>
      </c>
      <c r="J4187" s="33" t="e">
        <f>VLOOKUP(C4187,شرکتها!A:B,2,FALSE)</f>
        <v>#N/A</v>
      </c>
      <c r="K4187" s="33" t="s">
        <v>12513</v>
      </c>
      <c r="L4187" s="53" t="str">
        <f t="shared" si="100"/>
        <v>پاکستان</v>
      </c>
      <c r="M4187" s="68" t="str">
        <f>"بشكه"</f>
        <v>بشكه</v>
      </c>
      <c r="N4187" s="53" t="str">
        <f>"تفتان (ميرجاوه)"</f>
        <v>تفتان (ميرجاوه)</v>
      </c>
      <c r="O4187" s="53">
        <v>55200</v>
      </c>
      <c r="P4187" s="198" t="s">
        <v>9770</v>
      </c>
    </row>
    <row r="4188" spans="1:16" ht="18.75" hidden="1">
      <c r="A4188" s="50" t="str">
        <f>"15100-522477"</f>
        <v>15100-522477</v>
      </c>
      <c r="B4188" s="50" t="str">
        <f>"96/10/16"</f>
        <v>96/10/16</v>
      </c>
      <c r="C4188" s="50" t="s">
        <v>12510</v>
      </c>
      <c r="D4188" s="12" t="s">
        <v>9830</v>
      </c>
      <c r="E4188" s="12" t="s">
        <v>4971</v>
      </c>
      <c r="F4188" s="49">
        <v>23850</v>
      </c>
      <c r="G4188" s="77" t="str">
        <f>"LLC Sebco Bitumen"</f>
        <v>LLC Sebco Bitumen</v>
      </c>
      <c r="H4188" s="14" t="s">
        <v>5601</v>
      </c>
      <c r="I4188" s="14" t="s">
        <v>2458</v>
      </c>
      <c r="J4188" s="33" t="s">
        <v>7110</v>
      </c>
      <c r="K4188" s="33" t="s">
        <v>12513</v>
      </c>
      <c r="L4188" s="53" t="str">
        <f t="shared" si="100"/>
        <v>پاکستان</v>
      </c>
      <c r="M4188" s="68" t="str">
        <f>"بشكه"</f>
        <v>بشكه</v>
      </c>
      <c r="N4188" s="53" t="str">
        <f>"پيشين"</f>
        <v>پيشين</v>
      </c>
      <c r="O4188" s="53">
        <v>55301</v>
      </c>
      <c r="P4188" s="198" t="s">
        <v>8698</v>
      </c>
    </row>
    <row r="4189" spans="1:16" ht="18.75" hidden="1">
      <c r="A4189" s="50" t="str">
        <f>"15100-525119"</f>
        <v>15100-525119</v>
      </c>
      <c r="B4189" s="50" t="str">
        <f>"96/10/21"</f>
        <v>96/10/21</v>
      </c>
      <c r="C4189" s="50" t="s">
        <v>12491</v>
      </c>
      <c r="D4189" s="12" t="s">
        <v>9997</v>
      </c>
      <c r="E4189" s="12" t="s">
        <v>4971</v>
      </c>
      <c r="F4189" s="49">
        <v>279640</v>
      </c>
      <c r="G4189" s="77" t="str">
        <f>"SHINING GREEN STAR FZE"</f>
        <v>SHINING GREEN STAR FZE</v>
      </c>
      <c r="H4189" s="14" t="s">
        <v>5601</v>
      </c>
      <c r="I4189" s="14" t="s">
        <v>2458</v>
      </c>
      <c r="J4189" s="33" t="e">
        <f>VLOOKUP(C4189,شرکتها!A:B,2,FALSE)</f>
        <v>#N/A</v>
      </c>
      <c r="K4189" s="33" t="s">
        <v>12513</v>
      </c>
      <c r="L4189" s="53" t="str">
        <f t="shared" si="100"/>
        <v>پاکستان</v>
      </c>
      <c r="M4189" s="68" t="str">
        <f>"فله"</f>
        <v>فله</v>
      </c>
      <c r="N4189" s="53" t="str">
        <f>"پيشين"</f>
        <v>پيشين</v>
      </c>
      <c r="O4189" s="53">
        <v>55301</v>
      </c>
      <c r="P4189" s="198" t="s">
        <v>9770</v>
      </c>
    </row>
    <row r="4190" spans="1:16" ht="18.75" hidden="1">
      <c r="A4190" s="50" t="str">
        <f>"15100-525700"</f>
        <v>15100-525700</v>
      </c>
      <c r="B4190" s="50" t="str">
        <f>"96/10/23"</f>
        <v>96/10/23</v>
      </c>
      <c r="C4190" s="50" t="s">
        <v>12506</v>
      </c>
      <c r="D4190" s="12" t="s">
        <v>12507</v>
      </c>
      <c r="E4190" s="12" t="s">
        <v>4971</v>
      </c>
      <c r="F4190" s="49">
        <v>171310</v>
      </c>
      <c r="G4190" s="77" t="str">
        <f>"Black Gold Traders FZE"</f>
        <v>Black Gold Traders FZE</v>
      </c>
      <c r="H4190" s="14" t="s">
        <v>5601</v>
      </c>
      <c r="I4190" s="14" t="s">
        <v>2458</v>
      </c>
      <c r="J4190" s="33" t="s">
        <v>7110</v>
      </c>
      <c r="K4190" s="33" t="s">
        <v>12513</v>
      </c>
      <c r="L4190" s="53" t="str">
        <f t="shared" si="100"/>
        <v>پاکستان</v>
      </c>
      <c r="M4190" s="68" t="str">
        <f>"بشكه"</f>
        <v>بشكه</v>
      </c>
      <c r="N4190" s="53" t="str">
        <f>"تفتان (ميرجاوه)"</f>
        <v>تفتان (ميرجاوه)</v>
      </c>
      <c r="O4190" s="53">
        <v>55200</v>
      </c>
      <c r="P4190" s="198" t="s">
        <v>12220</v>
      </c>
    </row>
    <row r="4191" spans="1:16" ht="18.75" hidden="1">
      <c r="A4191" s="50" t="s">
        <v>12511</v>
      </c>
      <c r="B4191" s="50" t="s">
        <v>12509</v>
      </c>
      <c r="C4191" s="50" t="s">
        <v>12512</v>
      </c>
      <c r="D4191" s="12" t="s">
        <v>10012</v>
      </c>
      <c r="E4191" s="12" t="s">
        <v>4971</v>
      </c>
      <c r="F4191" s="49">
        <v>100000</v>
      </c>
      <c r="G4191" s="77" t="s">
        <v>6454</v>
      </c>
      <c r="H4191" s="14" t="s">
        <v>5601</v>
      </c>
      <c r="I4191" s="14" t="s">
        <v>2458</v>
      </c>
      <c r="J4191" s="33" t="s">
        <v>7110</v>
      </c>
      <c r="K4191" s="33" t="s">
        <v>12513</v>
      </c>
      <c r="L4191" s="53" t="s">
        <v>6054</v>
      </c>
      <c r="M4191" s="68" t="s">
        <v>8913</v>
      </c>
      <c r="N4191" s="53" t="s">
        <v>6076</v>
      </c>
      <c r="O4191" s="53">
        <v>55301</v>
      </c>
      <c r="P4191" s="198" t="s">
        <v>9790</v>
      </c>
    </row>
    <row r="4192" spans="1:16" ht="18.75" hidden="1">
      <c r="A4192" s="50" t="s">
        <v>12511</v>
      </c>
      <c r="B4192" s="50" t="s">
        <v>12509</v>
      </c>
      <c r="C4192" s="50" t="s">
        <v>12377</v>
      </c>
      <c r="D4192" s="12" t="s">
        <v>9995</v>
      </c>
      <c r="E4192" s="12" t="s">
        <v>4971</v>
      </c>
      <c r="F4192" s="49">
        <v>49190</v>
      </c>
      <c r="G4192" s="77" t="s">
        <v>6454</v>
      </c>
      <c r="H4192" s="14" t="s">
        <v>5601</v>
      </c>
      <c r="I4192" s="14" t="s">
        <v>2458</v>
      </c>
      <c r="J4192" s="33" t="s">
        <v>7110</v>
      </c>
      <c r="K4192" s="33" t="s">
        <v>12513</v>
      </c>
      <c r="L4192" s="53" t="s">
        <v>6054</v>
      </c>
      <c r="M4192" s="68" t="s">
        <v>8913</v>
      </c>
      <c r="N4192" s="53" t="s">
        <v>6076</v>
      </c>
      <c r="O4192" s="53">
        <v>55301</v>
      </c>
      <c r="P4192" s="198" t="s">
        <v>9790</v>
      </c>
    </row>
    <row r="4193" spans="1:16" ht="18.75" hidden="1">
      <c r="A4193" s="50" t="s">
        <v>12511</v>
      </c>
      <c r="B4193" s="50" t="s">
        <v>12509</v>
      </c>
      <c r="C4193" s="50" t="s">
        <v>12492</v>
      </c>
      <c r="D4193" s="12" t="s">
        <v>9998</v>
      </c>
      <c r="E4193" s="12" t="s">
        <v>4971</v>
      </c>
      <c r="F4193" s="49">
        <v>342790</v>
      </c>
      <c r="G4193" s="77" t="s">
        <v>6454</v>
      </c>
      <c r="H4193" s="14" t="s">
        <v>5601</v>
      </c>
      <c r="I4193" s="14" t="s">
        <v>2458</v>
      </c>
      <c r="J4193" s="33" t="s">
        <v>7110</v>
      </c>
      <c r="K4193" s="33" t="s">
        <v>12513</v>
      </c>
      <c r="L4193" s="53" t="s">
        <v>6054</v>
      </c>
      <c r="M4193" s="68" t="s">
        <v>8913</v>
      </c>
      <c r="N4193" s="53" t="s">
        <v>6076</v>
      </c>
      <c r="O4193" s="53">
        <v>55301</v>
      </c>
      <c r="P4193" s="198" t="s">
        <v>12218</v>
      </c>
    </row>
    <row r="4194" spans="1:16" ht="18.75" hidden="1">
      <c r="A4194" s="50" t="str">
        <f>"50100-9774715"</f>
        <v>50100-9774715</v>
      </c>
      <c r="B4194" s="50" t="str">
        <f>"96/11/02"</f>
        <v>96/11/02</v>
      </c>
      <c r="C4194" s="50" t="s">
        <v>12473</v>
      </c>
      <c r="D4194" s="12" t="s">
        <v>8770</v>
      </c>
      <c r="E4194" s="12" t="s">
        <v>4971</v>
      </c>
      <c r="F4194" s="49">
        <v>20600</v>
      </c>
      <c r="G4194" s="77" t="s">
        <v>5611</v>
      </c>
      <c r="H4194" s="14" t="s">
        <v>5601</v>
      </c>
      <c r="I4194" s="14" t="s">
        <v>2458</v>
      </c>
      <c r="J4194" s="33" t="s">
        <v>7110</v>
      </c>
      <c r="K4194" s="33" t="s">
        <v>12601</v>
      </c>
      <c r="L4194" s="53" t="str">
        <f>"چين"</f>
        <v>چين</v>
      </c>
      <c r="M4194" s="68" t="s">
        <v>8912</v>
      </c>
      <c r="N4194" s="53" t="str">
        <f t="shared" ref="N4194:N4257" si="101">"منطقه ويژه اقتصادي شهيد رجايي"</f>
        <v>منطقه ويژه اقتصادي شهيد رجايي</v>
      </c>
      <c r="O4194" s="53">
        <v>50100</v>
      </c>
      <c r="P4194" s="198" t="s">
        <v>7273</v>
      </c>
    </row>
    <row r="4195" spans="1:16" ht="18.75" hidden="1">
      <c r="A4195" s="50" t="str">
        <f>"50100-9813757"</f>
        <v>50100-9813757</v>
      </c>
      <c r="B4195" s="50" t="str">
        <f>"96/11/10"</f>
        <v>96/11/10</v>
      </c>
      <c r="C4195" s="50" t="s">
        <v>12514</v>
      </c>
      <c r="D4195" s="12" t="s">
        <v>8616</v>
      </c>
      <c r="E4195" s="12" t="s">
        <v>4971</v>
      </c>
      <c r="F4195" s="49">
        <v>100000</v>
      </c>
      <c r="G4195" s="77" t="s">
        <v>5611</v>
      </c>
      <c r="H4195" s="14" t="s">
        <v>5601</v>
      </c>
      <c r="I4195" s="14" t="s">
        <v>2458</v>
      </c>
      <c r="J4195" s="33" t="s">
        <v>7110</v>
      </c>
      <c r="K4195" s="33" t="s">
        <v>12601</v>
      </c>
      <c r="L4195" s="53" t="str">
        <f>"بنگلادش"</f>
        <v>بنگلادش</v>
      </c>
      <c r="M4195" s="68" t="str">
        <f t="shared" ref="M4195:M4216" si="102">"بشكه"</f>
        <v>بشكه</v>
      </c>
      <c r="N4195" s="53" t="str">
        <f t="shared" si="101"/>
        <v>منطقه ويژه اقتصادي شهيد رجايي</v>
      </c>
      <c r="O4195" s="53">
        <v>50100</v>
      </c>
      <c r="P4195" s="198" t="s">
        <v>7175</v>
      </c>
    </row>
    <row r="4196" spans="1:16" ht="18.75" hidden="1">
      <c r="A4196" s="50" t="str">
        <f>"50100-9814021"</f>
        <v>50100-9814021</v>
      </c>
      <c r="B4196" s="50" t="str">
        <f>"96/11/10"</f>
        <v>96/11/10</v>
      </c>
      <c r="C4196" s="50" t="s">
        <v>10120</v>
      </c>
      <c r="D4196" s="12" t="s">
        <v>8911</v>
      </c>
      <c r="E4196" s="12" t="s">
        <v>4971</v>
      </c>
      <c r="F4196" s="49">
        <v>116041</v>
      </c>
      <c r="G4196" s="77" t="s">
        <v>5631</v>
      </c>
      <c r="H4196" s="14" t="s">
        <v>5601</v>
      </c>
      <c r="I4196" s="14" t="s">
        <v>2458</v>
      </c>
      <c r="J4196" s="33" t="s">
        <v>7110</v>
      </c>
      <c r="K4196" s="33" t="s">
        <v>12601</v>
      </c>
      <c r="L4196" s="53" t="str">
        <f>"آفريقاي جنوبي"</f>
        <v>آفريقاي جنوبي</v>
      </c>
      <c r="M4196" s="68" t="str">
        <f t="shared" si="102"/>
        <v>بشكه</v>
      </c>
      <c r="N4196" s="53" t="str">
        <f t="shared" si="101"/>
        <v>منطقه ويژه اقتصادي شهيد رجايي</v>
      </c>
      <c r="O4196" s="53">
        <v>50100</v>
      </c>
      <c r="P4196" s="198" t="s">
        <v>8722</v>
      </c>
    </row>
    <row r="4197" spans="1:16" ht="18.75" hidden="1">
      <c r="A4197" s="50" t="str">
        <f>"50100-9795074"</f>
        <v>50100-9795074</v>
      </c>
      <c r="B4197" s="50" t="str">
        <f>"96/11/07"</f>
        <v>96/11/07</v>
      </c>
      <c r="C4197" s="50" t="s">
        <v>12515</v>
      </c>
      <c r="D4197" s="12" t="s">
        <v>9723</v>
      </c>
      <c r="E4197" s="12" t="s">
        <v>4971</v>
      </c>
      <c r="F4197" s="49">
        <v>197670</v>
      </c>
      <c r="G4197" s="77" t="s">
        <v>5611</v>
      </c>
      <c r="H4197" s="14" t="s">
        <v>5601</v>
      </c>
      <c r="I4197" s="14" t="s">
        <v>2458</v>
      </c>
      <c r="J4197" s="33" t="s">
        <v>7110</v>
      </c>
      <c r="K4197" s="33" t="s">
        <v>12601</v>
      </c>
      <c r="L4197" s="53" t="str">
        <f>"نپال"</f>
        <v>نپال</v>
      </c>
      <c r="M4197" s="68" t="str">
        <f t="shared" si="102"/>
        <v>بشكه</v>
      </c>
      <c r="N4197" s="53" t="str">
        <f t="shared" si="101"/>
        <v>منطقه ويژه اقتصادي شهيد رجايي</v>
      </c>
      <c r="O4197" s="53">
        <v>50100</v>
      </c>
      <c r="P4197" s="198" t="s">
        <v>8698</v>
      </c>
    </row>
    <row r="4198" spans="1:16" ht="18.75" hidden="1">
      <c r="A4198" s="50" t="str">
        <f>"50100-9768183"</f>
        <v>50100-9768183</v>
      </c>
      <c r="B4198" s="50" t="str">
        <f>"96/11/01"</f>
        <v>96/11/01</v>
      </c>
      <c r="C4198" s="50" t="s">
        <v>12328</v>
      </c>
      <c r="D4198" s="12" t="s">
        <v>9813</v>
      </c>
      <c r="E4198" s="12" t="s">
        <v>4971</v>
      </c>
      <c r="F4198" s="49">
        <v>197720</v>
      </c>
      <c r="G4198" s="77" t="s">
        <v>5607</v>
      </c>
      <c r="H4198" s="14" t="s">
        <v>5601</v>
      </c>
      <c r="I4198" s="14" t="s">
        <v>2458</v>
      </c>
      <c r="J4198" s="33" t="e">
        <f>VLOOKUP(C4198,شرکتها!A:B,2,FALSE)</f>
        <v>#N/A</v>
      </c>
      <c r="K4198" s="33" t="s">
        <v>12601</v>
      </c>
      <c r="L4198" s="53" t="str">
        <f>"کنيا"</f>
        <v>کنيا</v>
      </c>
      <c r="M4198" s="68" t="str">
        <f t="shared" si="102"/>
        <v>بشكه</v>
      </c>
      <c r="N4198" s="53" t="str">
        <f t="shared" si="101"/>
        <v>منطقه ويژه اقتصادي شهيد رجايي</v>
      </c>
      <c r="O4198" s="53">
        <v>50100</v>
      </c>
      <c r="P4198" s="198" t="s">
        <v>9770</v>
      </c>
    </row>
    <row r="4199" spans="1:16" ht="18.75" hidden="1">
      <c r="A4199" s="50" t="str">
        <f>"50100-9813757"</f>
        <v>50100-9813757</v>
      </c>
      <c r="B4199" s="50" t="str">
        <f>"96/11/10"</f>
        <v>96/11/10</v>
      </c>
      <c r="C4199" s="50" t="s">
        <v>12516</v>
      </c>
      <c r="D4199" s="12" t="s">
        <v>8650</v>
      </c>
      <c r="E4199" s="12" t="s">
        <v>4971</v>
      </c>
      <c r="F4199" s="49">
        <v>20695</v>
      </c>
      <c r="G4199" s="77" t="s">
        <v>5611</v>
      </c>
      <c r="H4199" s="14" t="s">
        <v>5601</v>
      </c>
      <c r="I4199" s="14" t="s">
        <v>2458</v>
      </c>
      <c r="J4199" s="33" t="s">
        <v>7110</v>
      </c>
      <c r="K4199" s="33" t="s">
        <v>12601</v>
      </c>
      <c r="L4199" s="53" t="str">
        <f>"بنگلادش"</f>
        <v>بنگلادش</v>
      </c>
      <c r="M4199" s="68" t="str">
        <f t="shared" si="102"/>
        <v>بشكه</v>
      </c>
      <c r="N4199" s="53" t="str">
        <f t="shared" si="101"/>
        <v>منطقه ويژه اقتصادي شهيد رجايي</v>
      </c>
      <c r="O4199" s="53">
        <v>50100</v>
      </c>
      <c r="P4199" s="198" t="s">
        <v>7175</v>
      </c>
    </row>
    <row r="4200" spans="1:16" ht="18.75" hidden="1">
      <c r="A4200" s="50" t="str">
        <f>"50100-9813877"</f>
        <v>50100-9813877</v>
      </c>
      <c r="B4200" s="50" t="str">
        <f>"96/11/10"</f>
        <v>96/11/10</v>
      </c>
      <c r="C4200" s="50" t="s">
        <v>12517</v>
      </c>
      <c r="D4200" s="12" t="s">
        <v>9825</v>
      </c>
      <c r="E4200" s="12" t="s">
        <v>4971</v>
      </c>
      <c r="F4200" s="49">
        <v>338807</v>
      </c>
      <c r="G4200" s="77" t="s">
        <v>5611</v>
      </c>
      <c r="H4200" s="14" t="s">
        <v>5601</v>
      </c>
      <c r="I4200" s="14" t="s">
        <v>2458</v>
      </c>
      <c r="J4200" s="33" t="s">
        <v>7110</v>
      </c>
      <c r="K4200" s="33" t="s">
        <v>12601</v>
      </c>
      <c r="L4200" s="53" t="str">
        <f>"سريلانکا"</f>
        <v>سريلانکا</v>
      </c>
      <c r="M4200" s="68" t="str">
        <f t="shared" si="102"/>
        <v>بشكه</v>
      </c>
      <c r="N4200" s="53" t="str">
        <f t="shared" si="101"/>
        <v>منطقه ويژه اقتصادي شهيد رجايي</v>
      </c>
      <c r="O4200" s="53">
        <v>50100</v>
      </c>
      <c r="P4200" s="198" t="s">
        <v>9783</v>
      </c>
    </row>
    <row r="4201" spans="1:16" ht="18.75" hidden="1">
      <c r="A4201" s="50" t="str">
        <f>"50100-9804646"</f>
        <v>50100-9804646</v>
      </c>
      <c r="B4201" s="50" t="str">
        <f>"96/11/08"</f>
        <v>96/11/08</v>
      </c>
      <c r="C4201" s="50" t="s">
        <v>12518</v>
      </c>
      <c r="D4201" s="12" t="s">
        <v>9933</v>
      </c>
      <c r="E4201" s="12" t="s">
        <v>4971</v>
      </c>
      <c r="F4201" s="49">
        <v>23970</v>
      </c>
      <c r="G4201" s="77" t="s">
        <v>5609</v>
      </c>
      <c r="H4201" s="14" t="s">
        <v>5601</v>
      </c>
      <c r="I4201" s="14" t="s">
        <v>2458</v>
      </c>
      <c r="J4201" s="33" t="s">
        <v>7110</v>
      </c>
      <c r="K4201" s="33" t="s">
        <v>12601</v>
      </c>
      <c r="L4201" s="53" t="str">
        <f>"سريلانکا"</f>
        <v>سريلانکا</v>
      </c>
      <c r="M4201" s="68" t="str">
        <f t="shared" si="102"/>
        <v>بشكه</v>
      </c>
      <c r="N4201" s="53" t="str">
        <f t="shared" si="101"/>
        <v>منطقه ويژه اقتصادي شهيد رجايي</v>
      </c>
      <c r="O4201" s="53">
        <v>50100</v>
      </c>
      <c r="P4201" s="198" t="s">
        <v>8724</v>
      </c>
    </row>
    <row r="4202" spans="1:16" ht="18.75" hidden="1">
      <c r="A4202" s="50" t="str">
        <f>"50100-9814021"</f>
        <v>50100-9814021</v>
      </c>
      <c r="B4202" s="50" t="str">
        <f>"96/11/10"</f>
        <v>96/11/10</v>
      </c>
      <c r="C4202" s="50" t="s">
        <v>12519</v>
      </c>
      <c r="D4202" s="12" t="s">
        <v>8911</v>
      </c>
      <c r="E4202" s="12" t="s">
        <v>4971</v>
      </c>
      <c r="F4202" s="49">
        <v>883309</v>
      </c>
      <c r="G4202" s="77" t="s">
        <v>5631</v>
      </c>
      <c r="H4202" s="14" t="s">
        <v>5601</v>
      </c>
      <c r="I4202" s="14" t="s">
        <v>2458</v>
      </c>
      <c r="J4202" s="33" t="s">
        <v>7110</v>
      </c>
      <c r="K4202" s="33" t="s">
        <v>12601</v>
      </c>
      <c r="L4202" s="53" t="str">
        <f>"آفريقاي جنوبي"</f>
        <v>آفريقاي جنوبي</v>
      </c>
      <c r="M4202" s="68" t="str">
        <f t="shared" si="102"/>
        <v>بشكه</v>
      </c>
      <c r="N4202" s="53" t="str">
        <f t="shared" si="101"/>
        <v>منطقه ويژه اقتصادي شهيد رجايي</v>
      </c>
      <c r="O4202" s="53">
        <v>50100</v>
      </c>
      <c r="P4202" s="198" t="s">
        <v>9774</v>
      </c>
    </row>
    <row r="4203" spans="1:16" ht="18.75" hidden="1">
      <c r="A4203" s="50" t="str">
        <f>"50100-9829163"</f>
        <v>50100-9829163</v>
      </c>
      <c r="B4203" s="50" t="str">
        <f>"96/11/14"</f>
        <v>96/11/14</v>
      </c>
      <c r="C4203" s="50" t="s">
        <v>12520</v>
      </c>
      <c r="D4203" s="12" t="s">
        <v>8846</v>
      </c>
      <c r="E4203" s="12" t="s">
        <v>4971</v>
      </c>
      <c r="F4203" s="49">
        <v>149445</v>
      </c>
      <c r="G4203" s="77" t="s">
        <v>5611</v>
      </c>
      <c r="H4203" s="14" t="s">
        <v>5601</v>
      </c>
      <c r="I4203" s="14" t="s">
        <v>2458</v>
      </c>
      <c r="J4203" s="33" t="s">
        <v>7110</v>
      </c>
      <c r="K4203" s="33" t="s">
        <v>12601</v>
      </c>
      <c r="L4203" s="53" t="str">
        <f>"هند"</f>
        <v>هند</v>
      </c>
      <c r="M4203" s="68" t="str">
        <f t="shared" si="102"/>
        <v>بشكه</v>
      </c>
      <c r="N4203" s="53" t="str">
        <f t="shared" si="101"/>
        <v>منطقه ويژه اقتصادي شهيد رجايي</v>
      </c>
      <c r="O4203" s="53">
        <v>50100</v>
      </c>
      <c r="P4203" s="198" t="s">
        <v>9783</v>
      </c>
    </row>
    <row r="4204" spans="1:16" ht="18.75" hidden="1">
      <c r="A4204" s="50" t="str">
        <f>"50100-9829163"</f>
        <v>50100-9829163</v>
      </c>
      <c r="B4204" s="50" t="str">
        <f>"96/11/14"</f>
        <v>96/11/14</v>
      </c>
      <c r="C4204" s="50" t="s">
        <v>12521</v>
      </c>
      <c r="D4204" s="12" t="s">
        <v>9985</v>
      </c>
      <c r="E4204" s="12" t="s">
        <v>4971</v>
      </c>
      <c r="F4204" s="49">
        <v>146562</v>
      </c>
      <c r="G4204" s="77" t="s">
        <v>5611</v>
      </c>
      <c r="H4204" s="14" t="s">
        <v>5601</v>
      </c>
      <c r="I4204" s="14" t="s">
        <v>2458</v>
      </c>
      <c r="J4204" s="33" t="s">
        <v>7110</v>
      </c>
      <c r="K4204" s="33" t="s">
        <v>12601</v>
      </c>
      <c r="L4204" s="53" t="str">
        <f>"هند"</f>
        <v>هند</v>
      </c>
      <c r="M4204" s="68" t="str">
        <f t="shared" si="102"/>
        <v>بشكه</v>
      </c>
      <c r="N4204" s="53" t="str">
        <f t="shared" si="101"/>
        <v>منطقه ويژه اقتصادي شهيد رجايي</v>
      </c>
      <c r="O4204" s="53">
        <v>50100</v>
      </c>
      <c r="P4204" s="198" t="s">
        <v>9769</v>
      </c>
    </row>
    <row r="4205" spans="1:16" ht="18.75" hidden="1">
      <c r="A4205" s="50" t="str">
        <f>"50100-9813757"</f>
        <v>50100-9813757</v>
      </c>
      <c r="B4205" s="50" t="str">
        <f>"96/11/10"</f>
        <v>96/11/10</v>
      </c>
      <c r="C4205" s="50" t="s">
        <v>12522</v>
      </c>
      <c r="D4205" s="12" t="s">
        <v>8650</v>
      </c>
      <c r="E4205" s="12" t="s">
        <v>4971</v>
      </c>
      <c r="F4205" s="49">
        <v>250000</v>
      </c>
      <c r="G4205" s="77" t="s">
        <v>5611</v>
      </c>
      <c r="H4205" s="14" t="s">
        <v>5601</v>
      </c>
      <c r="I4205" s="14" t="s">
        <v>2458</v>
      </c>
      <c r="J4205" s="33" t="s">
        <v>7110</v>
      </c>
      <c r="K4205" s="33" t="s">
        <v>12601</v>
      </c>
      <c r="L4205" s="53" t="str">
        <f>"بنگلادش"</f>
        <v>بنگلادش</v>
      </c>
      <c r="M4205" s="68" t="str">
        <f t="shared" si="102"/>
        <v>بشكه</v>
      </c>
      <c r="N4205" s="53" t="str">
        <f t="shared" si="101"/>
        <v>منطقه ويژه اقتصادي شهيد رجايي</v>
      </c>
      <c r="O4205" s="53">
        <v>50100</v>
      </c>
      <c r="P4205" s="198" t="s">
        <v>7175</v>
      </c>
    </row>
    <row r="4206" spans="1:16" ht="18.75" hidden="1">
      <c r="A4206" s="50" t="str">
        <f>"50100-9829163"</f>
        <v>50100-9829163</v>
      </c>
      <c r="B4206" s="50" t="str">
        <f>"96/11/14"</f>
        <v>96/11/14</v>
      </c>
      <c r="C4206" s="50" t="s">
        <v>12515</v>
      </c>
      <c r="D4206" s="12" t="s">
        <v>9723</v>
      </c>
      <c r="E4206" s="12" t="s">
        <v>4971</v>
      </c>
      <c r="F4206" s="49">
        <v>23055</v>
      </c>
      <c r="G4206" s="77" t="s">
        <v>5611</v>
      </c>
      <c r="H4206" s="14" t="s">
        <v>5601</v>
      </c>
      <c r="I4206" s="14" t="s">
        <v>2458</v>
      </c>
      <c r="J4206" s="33" t="s">
        <v>7110</v>
      </c>
      <c r="K4206" s="33" t="s">
        <v>12601</v>
      </c>
      <c r="L4206" s="53" t="str">
        <f>"هند"</f>
        <v>هند</v>
      </c>
      <c r="M4206" s="68" t="str">
        <f t="shared" si="102"/>
        <v>بشكه</v>
      </c>
      <c r="N4206" s="53" t="str">
        <f t="shared" si="101"/>
        <v>منطقه ويژه اقتصادي شهيد رجايي</v>
      </c>
      <c r="O4206" s="53">
        <v>50100</v>
      </c>
      <c r="P4206" s="198" t="s">
        <v>8698</v>
      </c>
    </row>
    <row r="4207" spans="1:16" ht="18.75" hidden="1">
      <c r="A4207" s="50" t="str">
        <f>"50100-9810730"</f>
        <v>50100-9810730</v>
      </c>
      <c r="B4207" s="50" t="str">
        <f>"96/11/10"</f>
        <v>96/11/10</v>
      </c>
      <c r="C4207" s="50" t="s">
        <v>8778</v>
      </c>
      <c r="D4207" s="12" t="s">
        <v>8618</v>
      </c>
      <c r="E4207" s="12" t="s">
        <v>4971</v>
      </c>
      <c r="F4207" s="49">
        <v>13158</v>
      </c>
      <c r="G4207" s="77" t="s">
        <v>5779</v>
      </c>
      <c r="H4207" s="14" t="s">
        <v>5601</v>
      </c>
      <c r="I4207" s="14" t="s">
        <v>2458</v>
      </c>
      <c r="J4207" s="33" t="e">
        <f>VLOOKUP(C4207,شرکتها!A:B,2,FALSE)</f>
        <v>#N/A</v>
      </c>
      <c r="K4207" s="33" t="s">
        <v>12601</v>
      </c>
      <c r="L4207" s="53" t="str">
        <f>"بنگلادش"</f>
        <v>بنگلادش</v>
      </c>
      <c r="M4207" s="68" t="str">
        <f t="shared" si="102"/>
        <v>بشكه</v>
      </c>
      <c r="N4207" s="53" t="str">
        <f t="shared" si="101"/>
        <v>منطقه ويژه اقتصادي شهيد رجايي</v>
      </c>
      <c r="O4207" s="53">
        <v>50100</v>
      </c>
      <c r="P4207" s="198" t="s">
        <v>7211</v>
      </c>
    </row>
    <row r="4208" spans="1:16" ht="18.75" hidden="1">
      <c r="A4208" s="50" t="str">
        <f>"50100-9810730"</f>
        <v>50100-9810730</v>
      </c>
      <c r="B4208" s="50" t="str">
        <f>"96/11/10"</f>
        <v>96/11/10</v>
      </c>
      <c r="C4208" s="50" t="s">
        <v>12523</v>
      </c>
      <c r="D4208" s="12" t="s">
        <v>12406</v>
      </c>
      <c r="E4208" s="12" t="s">
        <v>4971</v>
      </c>
      <c r="F4208" s="49">
        <v>93419</v>
      </c>
      <c r="G4208" s="77" t="s">
        <v>5779</v>
      </c>
      <c r="H4208" s="14" t="s">
        <v>5601</v>
      </c>
      <c r="I4208" s="14" t="s">
        <v>2458</v>
      </c>
      <c r="J4208" s="33" t="e">
        <f>VLOOKUP(C4208,شرکتها!A:B,2,FALSE)</f>
        <v>#N/A</v>
      </c>
      <c r="K4208" s="33" t="s">
        <v>12601</v>
      </c>
      <c r="L4208" s="53" t="str">
        <f>"بنگلادش"</f>
        <v>بنگلادش</v>
      </c>
      <c r="M4208" s="68" t="str">
        <f t="shared" si="102"/>
        <v>بشكه</v>
      </c>
      <c r="N4208" s="53" t="str">
        <f t="shared" si="101"/>
        <v>منطقه ويژه اقتصادي شهيد رجايي</v>
      </c>
      <c r="O4208" s="53">
        <v>50100</v>
      </c>
      <c r="P4208" s="198" t="s">
        <v>12195</v>
      </c>
    </row>
    <row r="4209" spans="1:16" ht="18.75" hidden="1">
      <c r="A4209" s="50" t="str">
        <f>"50100-9806046"</f>
        <v>50100-9806046</v>
      </c>
      <c r="B4209" s="50" t="str">
        <f>"96/11/09"</f>
        <v>96/11/09</v>
      </c>
      <c r="C4209" s="50" t="s">
        <v>12524</v>
      </c>
      <c r="D4209" s="12" t="s">
        <v>12525</v>
      </c>
      <c r="E4209" s="12" t="s">
        <v>4971</v>
      </c>
      <c r="F4209" s="49">
        <v>158893</v>
      </c>
      <c r="G4209" s="77" t="s">
        <v>5616</v>
      </c>
      <c r="H4209" s="14" t="s">
        <v>5601</v>
      </c>
      <c r="I4209" s="14" t="s">
        <v>2458</v>
      </c>
      <c r="J4209" s="33" t="s">
        <v>7110</v>
      </c>
      <c r="K4209" s="33" t="s">
        <v>12601</v>
      </c>
      <c r="L4209" s="53" t="str">
        <f>"هند"</f>
        <v>هند</v>
      </c>
      <c r="M4209" s="68" t="str">
        <f t="shared" si="102"/>
        <v>بشكه</v>
      </c>
      <c r="N4209" s="53" t="str">
        <f t="shared" si="101"/>
        <v>منطقه ويژه اقتصادي شهيد رجايي</v>
      </c>
      <c r="O4209" s="53">
        <v>50100</v>
      </c>
      <c r="P4209" s="198" t="s">
        <v>8717</v>
      </c>
    </row>
    <row r="4210" spans="1:16" ht="18.75" hidden="1">
      <c r="A4210" s="50" t="str">
        <f>"50100-9786144"</f>
        <v>50100-9786144</v>
      </c>
      <c r="B4210" s="50" t="str">
        <f>"96/11/04"</f>
        <v>96/11/04</v>
      </c>
      <c r="C4210" s="50" t="s">
        <v>12526</v>
      </c>
      <c r="D4210" s="12" t="s">
        <v>8830</v>
      </c>
      <c r="E4210" s="12" t="s">
        <v>4971</v>
      </c>
      <c r="F4210" s="49">
        <v>59815</v>
      </c>
      <c r="G4210" s="77" t="s">
        <v>5611</v>
      </c>
      <c r="H4210" s="14" t="s">
        <v>5601</v>
      </c>
      <c r="I4210" s="14" t="s">
        <v>2458</v>
      </c>
      <c r="J4210" s="33" t="s">
        <v>7110</v>
      </c>
      <c r="K4210" s="33" t="s">
        <v>12601</v>
      </c>
      <c r="L4210" s="53" t="str">
        <f>"هند"</f>
        <v>هند</v>
      </c>
      <c r="M4210" s="68" t="str">
        <f t="shared" si="102"/>
        <v>بشكه</v>
      </c>
      <c r="N4210" s="53" t="str">
        <f t="shared" si="101"/>
        <v>منطقه ويژه اقتصادي شهيد رجايي</v>
      </c>
      <c r="O4210" s="53">
        <v>50100</v>
      </c>
      <c r="P4210" s="198" t="s">
        <v>7273</v>
      </c>
    </row>
    <row r="4211" spans="1:16" ht="18.75" hidden="1">
      <c r="A4211" s="50" t="str">
        <f>"50100-9786144"</f>
        <v>50100-9786144</v>
      </c>
      <c r="B4211" s="50" t="str">
        <f>"96/11/04"</f>
        <v>96/11/04</v>
      </c>
      <c r="C4211" s="50" t="s">
        <v>12473</v>
      </c>
      <c r="D4211" s="12" t="s">
        <v>8770</v>
      </c>
      <c r="E4211" s="12" t="s">
        <v>4971</v>
      </c>
      <c r="F4211" s="49">
        <v>56870</v>
      </c>
      <c r="G4211" s="77" t="s">
        <v>5611</v>
      </c>
      <c r="H4211" s="14" t="s">
        <v>5601</v>
      </c>
      <c r="I4211" s="14" t="s">
        <v>2458</v>
      </c>
      <c r="J4211" s="33" t="s">
        <v>7110</v>
      </c>
      <c r="K4211" s="33" t="s">
        <v>12601</v>
      </c>
      <c r="L4211" s="53" t="str">
        <f>"هند"</f>
        <v>هند</v>
      </c>
      <c r="M4211" s="68" t="str">
        <f t="shared" si="102"/>
        <v>بشكه</v>
      </c>
      <c r="N4211" s="53" t="str">
        <f t="shared" si="101"/>
        <v>منطقه ويژه اقتصادي شهيد رجايي</v>
      </c>
      <c r="O4211" s="53">
        <v>50100</v>
      </c>
      <c r="P4211" s="198" t="s">
        <v>7273</v>
      </c>
    </row>
    <row r="4212" spans="1:16" ht="18.75" hidden="1">
      <c r="A4212" s="50" t="str">
        <f>"50100-9813877"</f>
        <v>50100-9813877</v>
      </c>
      <c r="B4212" s="50" t="str">
        <f>"96/11/10"</f>
        <v>96/11/10</v>
      </c>
      <c r="C4212" s="50" t="s">
        <v>12527</v>
      </c>
      <c r="D4212" s="12" t="s">
        <v>9934</v>
      </c>
      <c r="E4212" s="12" t="s">
        <v>4971</v>
      </c>
      <c r="F4212" s="49">
        <v>1000000</v>
      </c>
      <c r="G4212" s="77" t="s">
        <v>5611</v>
      </c>
      <c r="H4212" s="14" t="s">
        <v>5601</v>
      </c>
      <c r="I4212" s="14" t="s">
        <v>2458</v>
      </c>
      <c r="J4212" s="33" t="s">
        <v>7110</v>
      </c>
      <c r="K4212" s="33" t="s">
        <v>12601</v>
      </c>
      <c r="L4212" s="53" t="str">
        <f>"سريلانکا"</f>
        <v>سريلانکا</v>
      </c>
      <c r="M4212" s="68" t="str">
        <f t="shared" si="102"/>
        <v>بشكه</v>
      </c>
      <c r="N4212" s="53" t="str">
        <f t="shared" si="101"/>
        <v>منطقه ويژه اقتصادي شهيد رجايي</v>
      </c>
      <c r="O4212" s="53">
        <v>50100</v>
      </c>
      <c r="P4212" s="198" t="s">
        <v>9769</v>
      </c>
    </row>
    <row r="4213" spans="1:16" ht="18.75" hidden="1">
      <c r="A4213" s="50" t="str">
        <f>"50100-9804646"</f>
        <v>50100-9804646</v>
      </c>
      <c r="B4213" s="50" t="str">
        <f>"96/11/08"</f>
        <v>96/11/08</v>
      </c>
      <c r="C4213" s="50" t="s">
        <v>12528</v>
      </c>
      <c r="D4213" s="12" t="s">
        <v>9933</v>
      </c>
      <c r="E4213" s="12" t="s">
        <v>4971</v>
      </c>
      <c r="F4213" s="49">
        <v>575000</v>
      </c>
      <c r="G4213" s="77" t="s">
        <v>5609</v>
      </c>
      <c r="H4213" s="14" t="s">
        <v>5601</v>
      </c>
      <c r="I4213" s="14" t="s">
        <v>2458</v>
      </c>
      <c r="J4213" s="33" t="s">
        <v>7110</v>
      </c>
      <c r="K4213" s="33" t="s">
        <v>12601</v>
      </c>
      <c r="L4213" s="53" t="str">
        <f>"سريلانکا"</f>
        <v>سريلانکا</v>
      </c>
      <c r="M4213" s="68" t="str">
        <f t="shared" si="102"/>
        <v>بشكه</v>
      </c>
      <c r="N4213" s="53" t="str">
        <f t="shared" si="101"/>
        <v>منطقه ويژه اقتصادي شهيد رجايي</v>
      </c>
      <c r="O4213" s="53">
        <v>50100</v>
      </c>
      <c r="P4213" s="198" t="s">
        <v>8724</v>
      </c>
    </row>
    <row r="4214" spans="1:16" ht="18.75" hidden="1">
      <c r="A4214" s="50" t="str">
        <f>"50100-9811328"</f>
        <v>50100-9811328</v>
      </c>
      <c r="B4214" s="50" t="str">
        <f>"96/11/10"</f>
        <v>96/11/10</v>
      </c>
      <c r="C4214" s="50" t="s">
        <v>12529</v>
      </c>
      <c r="D4214" s="12" t="s">
        <v>12530</v>
      </c>
      <c r="E4214" s="12" t="s">
        <v>4971</v>
      </c>
      <c r="F4214" s="49">
        <v>196763</v>
      </c>
      <c r="G4214" s="77" t="s">
        <v>5611</v>
      </c>
      <c r="H4214" s="14" t="s">
        <v>5601</v>
      </c>
      <c r="I4214" s="14" t="s">
        <v>2458</v>
      </c>
      <c r="J4214" s="33" t="s">
        <v>7110</v>
      </c>
      <c r="K4214" s="33" t="s">
        <v>12601</v>
      </c>
      <c r="L4214" s="53" t="str">
        <f>"هند"</f>
        <v>هند</v>
      </c>
      <c r="M4214" s="68" t="str">
        <f t="shared" si="102"/>
        <v>بشكه</v>
      </c>
      <c r="N4214" s="53" t="str">
        <f t="shared" si="101"/>
        <v>منطقه ويژه اقتصادي شهيد رجايي</v>
      </c>
      <c r="O4214" s="53">
        <v>50100</v>
      </c>
      <c r="P4214" s="198" t="s">
        <v>12260</v>
      </c>
    </row>
    <row r="4215" spans="1:16" ht="18.75" hidden="1">
      <c r="A4215" s="50" t="str">
        <f>"50100-9813991"</f>
        <v>50100-9813991</v>
      </c>
      <c r="B4215" s="50" t="str">
        <f>"96/11/10"</f>
        <v>96/11/10</v>
      </c>
      <c r="C4215" s="50" t="s">
        <v>12521</v>
      </c>
      <c r="D4215" s="12" t="s">
        <v>9985</v>
      </c>
      <c r="E4215" s="12" t="s">
        <v>4971</v>
      </c>
      <c r="F4215" s="49">
        <v>468873</v>
      </c>
      <c r="G4215" s="77" t="s">
        <v>5611</v>
      </c>
      <c r="H4215" s="14" t="s">
        <v>5601</v>
      </c>
      <c r="I4215" s="14" t="s">
        <v>2458</v>
      </c>
      <c r="J4215" s="33" t="s">
        <v>7110</v>
      </c>
      <c r="K4215" s="33" t="s">
        <v>12601</v>
      </c>
      <c r="L4215" s="53" t="str">
        <f>"هند"</f>
        <v>هند</v>
      </c>
      <c r="M4215" s="68" t="str">
        <f t="shared" si="102"/>
        <v>بشكه</v>
      </c>
      <c r="N4215" s="53" t="str">
        <f t="shared" si="101"/>
        <v>منطقه ويژه اقتصادي شهيد رجايي</v>
      </c>
      <c r="O4215" s="53">
        <v>50100</v>
      </c>
      <c r="P4215" s="198" t="s">
        <v>9769</v>
      </c>
    </row>
    <row r="4216" spans="1:16" ht="18.75" hidden="1">
      <c r="A4216" s="50" t="str">
        <f>"50100-9829163"</f>
        <v>50100-9829163</v>
      </c>
      <c r="B4216" s="50" t="str">
        <f>"96/11/14"</f>
        <v>96/11/14</v>
      </c>
      <c r="C4216" s="50" t="s">
        <v>12531</v>
      </c>
      <c r="D4216" s="12" t="s">
        <v>9881</v>
      </c>
      <c r="E4216" s="12" t="s">
        <v>4971</v>
      </c>
      <c r="F4216" s="49">
        <v>180000</v>
      </c>
      <c r="G4216" s="77" t="s">
        <v>5611</v>
      </c>
      <c r="H4216" s="14" t="s">
        <v>5601</v>
      </c>
      <c r="I4216" s="14" t="s">
        <v>2458</v>
      </c>
      <c r="J4216" s="33" t="s">
        <v>7110</v>
      </c>
      <c r="K4216" s="33" t="s">
        <v>12601</v>
      </c>
      <c r="L4216" s="53" t="str">
        <f>"هند"</f>
        <v>هند</v>
      </c>
      <c r="M4216" s="68" t="str">
        <f t="shared" si="102"/>
        <v>بشكه</v>
      </c>
      <c r="N4216" s="53" t="str">
        <f t="shared" si="101"/>
        <v>منطقه ويژه اقتصادي شهيد رجايي</v>
      </c>
      <c r="O4216" s="53">
        <v>50100</v>
      </c>
      <c r="P4216" s="198" t="s">
        <v>8698</v>
      </c>
    </row>
    <row r="4217" spans="1:16" ht="18.75" hidden="1">
      <c r="A4217" s="50" t="str">
        <f>"50100-9773173"</f>
        <v>50100-9773173</v>
      </c>
      <c r="B4217" s="50" t="str">
        <f>"96/11/02"</f>
        <v>96/11/02</v>
      </c>
      <c r="C4217" s="50" t="s">
        <v>12532</v>
      </c>
      <c r="D4217" s="12" t="s">
        <v>12533</v>
      </c>
      <c r="E4217" s="12" t="s">
        <v>4971</v>
      </c>
      <c r="F4217" s="49">
        <v>976601</v>
      </c>
      <c r="G4217" s="77" t="s">
        <v>5779</v>
      </c>
      <c r="H4217" s="14" t="s">
        <v>5601</v>
      </c>
      <c r="I4217" s="14" t="s">
        <v>2458</v>
      </c>
      <c r="J4217" s="33" t="e">
        <f>VLOOKUP(C4217,شرکتها!A:B,2,FALSE)</f>
        <v>#N/A</v>
      </c>
      <c r="K4217" s="33" t="s">
        <v>12601</v>
      </c>
      <c r="L4217" s="53" t="str">
        <f>"قطر"</f>
        <v>قطر</v>
      </c>
      <c r="M4217" s="68" t="str">
        <f>"فله"</f>
        <v>فله</v>
      </c>
      <c r="N4217" s="53" t="str">
        <f t="shared" si="101"/>
        <v>منطقه ويژه اقتصادي شهيد رجايي</v>
      </c>
      <c r="O4217" s="53">
        <v>50100</v>
      </c>
      <c r="P4217" s="198" t="s">
        <v>9911</v>
      </c>
    </row>
    <row r="4218" spans="1:16" ht="18.75" hidden="1">
      <c r="A4218" s="50" t="str">
        <f>"50100-9775034"</f>
        <v>50100-9775034</v>
      </c>
      <c r="B4218" s="50" t="str">
        <f>"96/11/02"</f>
        <v>96/11/02</v>
      </c>
      <c r="C4218" s="50" t="s">
        <v>4601</v>
      </c>
      <c r="D4218" s="12" t="s">
        <v>4439</v>
      </c>
      <c r="E4218" s="12" t="s">
        <v>3420</v>
      </c>
      <c r="F4218" s="49">
        <v>15380</v>
      </c>
      <c r="G4218" s="77" t="s">
        <v>10186</v>
      </c>
      <c r="H4218" s="14" t="s">
        <v>5601</v>
      </c>
      <c r="I4218" s="14" t="s">
        <v>2458</v>
      </c>
      <c r="J4218" s="33" t="str">
        <f>VLOOKUP(C4218,شرکتها!A:B,2,FALSE)</f>
        <v>تسویه</v>
      </c>
      <c r="K4218" s="33" t="s">
        <v>12601</v>
      </c>
      <c r="L4218" s="53" t="str">
        <f>"کنيا"</f>
        <v>کنيا</v>
      </c>
      <c r="M4218" s="68" t="str">
        <f>"بشكه"</f>
        <v>بشكه</v>
      </c>
      <c r="N4218" s="53" t="str">
        <f t="shared" si="101"/>
        <v>منطقه ويژه اقتصادي شهيد رجايي</v>
      </c>
      <c r="O4218" s="53">
        <v>50100</v>
      </c>
      <c r="P4218" s="198" t="s">
        <v>5743</v>
      </c>
    </row>
    <row r="4219" spans="1:16" ht="18.75" hidden="1">
      <c r="A4219" s="50" t="str">
        <f>"50100-9805867"</f>
        <v>50100-9805867</v>
      </c>
      <c r="B4219" s="50" t="str">
        <f>"96/11/09"</f>
        <v>96/11/09</v>
      </c>
      <c r="C4219" s="50" t="s">
        <v>12534</v>
      </c>
      <c r="D4219" s="12" t="s">
        <v>12477</v>
      </c>
      <c r="E4219" s="12" t="s">
        <v>4971</v>
      </c>
      <c r="F4219" s="49">
        <v>496100</v>
      </c>
      <c r="G4219" s="77" t="s">
        <v>5616</v>
      </c>
      <c r="H4219" s="14" t="s">
        <v>5601</v>
      </c>
      <c r="I4219" s="14" t="s">
        <v>2458</v>
      </c>
      <c r="J4219" s="33" t="s">
        <v>7110</v>
      </c>
      <c r="K4219" s="33" t="s">
        <v>12601</v>
      </c>
      <c r="L4219" s="53" t="str">
        <f>"هند"</f>
        <v>هند</v>
      </c>
      <c r="M4219" s="68" t="str">
        <f>"بشكه"</f>
        <v>بشكه</v>
      </c>
      <c r="N4219" s="53" t="str">
        <f t="shared" si="101"/>
        <v>منطقه ويژه اقتصادي شهيد رجايي</v>
      </c>
      <c r="O4219" s="53">
        <v>50100</v>
      </c>
      <c r="P4219" s="198" t="s">
        <v>8717</v>
      </c>
    </row>
    <row r="4220" spans="1:16" ht="18.75" hidden="1">
      <c r="A4220" s="50" t="str">
        <f>"50100-9808881"</f>
        <v>50100-9808881</v>
      </c>
      <c r="B4220" s="50" t="str">
        <f>"96/11/09"</f>
        <v>96/11/09</v>
      </c>
      <c r="C4220" s="50" t="s">
        <v>12535</v>
      </c>
      <c r="D4220" s="12" t="s">
        <v>12536</v>
      </c>
      <c r="E4220" s="12" t="s">
        <v>4971</v>
      </c>
      <c r="F4220" s="49">
        <v>2991356</v>
      </c>
      <c r="G4220" s="77" t="s">
        <v>5779</v>
      </c>
      <c r="H4220" s="14" t="s">
        <v>5601</v>
      </c>
      <c r="I4220" s="14" t="s">
        <v>2458</v>
      </c>
      <c r="J4220" s="33" t="e">
        <f>VLOOKUP(C4220,شرکتها!A:B,2,FALSE)</f>
        <v>#N/A</v>
      </c>
      <c r="K4220" s="33" t="s">
        <v>12601</v>
      </c>
      <c r="L4220" s="53" t="str">
        <f>"قطر"</f>
        <v>قطر</v>
      </c>
      <c r="M4220" s="68" t="str">
        <f>"فله"</f>
        <v>فله</v>
      </c>
      <c r="N4220" s="53" t="str">
        <f t="shared" si="101"/>
        <v>منطقه ويژه اقتصادي شهيد رجايي</v>
      </c>
      <c r="O4220" s="53">
        <v>50100</v>
      </c>
      <c r="P4220" s="198" t="s">
        <v>12664</v>
      </c>
    </row>
    <row r="4221" spans="1:16" ht="18.75" hidden="1">
      <c r="A4221" s="50" t="str">
        <f>"50100-9765348"</f>
        <v>50100-9765348</v>
      </c>
      <c r="B4221" s="50" t="str">
        <f>"96/10/30"</f>
        <v>96/10/30</v>
      </c>
      <c r="C4221" s="50" t="s">
        <v>12537</v>
      </c>
      <c r="D4221" s="12" t="s">
        <v>12538</v>
      </c>
      <c r="E4221" s="12" t="s">
        <v>4971</v>
      </c>
      <c r="F4221" s="49">
        <v>2789498</v>
      </c>
      <c r="G4221" s="77" t="s">
        <v>5779</v>
      </c>
      <c r="H4221" s="14" t="s">
        <v>5601</v>
      </c>
      <c r="I4221" s="14" t="s">
        <v>2458</v>
      </c>
      <c r="J4221" s="33" t="e">
        <f>VLOOKUP(C4221,شرکتها!A:B,2,FALSE)</f>
        <v>#N/A</v>
      </c>
      <c r="K4221" s="33" t="s">
        <v>12601</v>
      </c>
      <c r="L4221" s="53" t="str">
        <f>" امارات متحده عربي"</f>
        <v xml:space="preserve"> امارات متحده عربي</v>
      </c>
      <c r="M4221" s="68" t="str">
        <f>"فله"</f>
        <v>فله</v>
      </c>
      <c r="N4221" s="53" t="str">
        <f t="shared" si="101"/>
        <v>منطقه ويژه اقتصادي شهيد رجايي</v>
      </c>
      <c r="O4221" s="53">
        <v>50100</v>
      </c>
      <c r="P4221" s="198" t="s">
        <v>12409</v>
      </c>
    </row>
    <row r="4222" spans="1:16" ht="18.75" hidden="1">
      <c r="A4222" s="50" t="str">
        <f>"50100-9824973"</f>
        <v>50100-9824973</v>
      </c>
      <c r="B4222" s="50" t="str">
        <f>"96/11/14"</f>
        <v>96/11/14</v>
      </c>
      <c r="C4222" s="50" t="s">
        <v>12539</v>
      </c>
      <c r="D4222" s="12" t="s">
        <v>9715</v>
      </c>
      <c r="E4222" s="12" t="s">
        <v>4971</v>
      </c>
      <c r="F4222" s="49">
        <v>100000</v>
      </c>
      <c r="G4222" s="77" t="s">
        <v>5609</v>
      </c>
      <c r="H4222" s="14" t="s">
        <v>5601</v>
      </c>
      <c r="I4222" s="14" t="s">
        <v>2458</v>
      </c>
      <c r="J4222" s="33" t="s">
        <v>7110</v>
      </c>
      <c r="K4222" s="33" t="s">
        <v>12601</v>
      </c>
      <c r="L4222" s="53" t="str">
        <f>"بنگلادش"</f>
        <v>بنگلادش</v>
      </c>
      <c r="M4222" s="68" t="str">
        <f>"بشكه"</f>
        <v>بشكه</v>
      </c>
      <c r="N4222" s="53" t="str">
        <f t="shared" si="101"/>
        <v>منطقه ويژه اقتصادي شهيد رجايي</v>
      </c>
      <c r="O4222" s="53">
        <v>50100</v>
      </c>
      <c r="P4222" s="198" t="s">
        <v>9796</v>
      </c>
    </row>
    <row r="4223" spans="1:16" ht="18.75" hidden="1">
      <c r="A4223" s="50" t="str">
        <f>"50100-9824973"</f>
        <v>50100-9824973</v>
      </c>
      <c r="B4223" s="50" t="str">
        <f>"96/11/14"</f>
        <v>96/11/14</v>
      </c>
      <c r="C4223" s="50" t="s">
        <v>12540</v>
      </c>
      <c r="D4223" s="12" t="s">
        <v>9715</v>
      </c>
      <c r="E4223" s="12" t="s">
        <v>4971</v>
      </c>
      <c r="F4223" s="49">
        <v>125000</v>
      </c>
      <c r="G4223" s="77" t="s">
        <v>5609</v>
      </c>
      <c r="H4223" s="14" t="s">
        <v>5601</v>
      </c>
      <c r="I4223" s="14" t="s">
        <v>2458</v>
      </c>
      <c r="J4223" s="33" t="s">
        <v>7110</v>
      </c>
      <c r="K4223" s="33" t="s">
        <v>12601</v>
      </c>
      <c r="L4223" s="53" t="str">
        <f>"بنگلادش"</f>
        <v>بنگلادش</v>
      </c>
      <c r="M4223" s="68" t="str">
        <f>"بشكه"</f>
        <v>بشكه</v>
      </c>
      <c r="N4223" s="53" t="str">
        <f t="shared" si="101"/>
        <v>منطقه ويژه اقتصادي شهيد رجايي</v>
      </c>
      <c r="O4223" s="53">
        <v>50100</v>
      </c>
      <c r="P4223" s="198" t="s">
        <v>9789</v>
      </c>
    </row>
    <row r="4224" spans="1:16" ht="18.75" hidden="1">
      <c r="A4224" s="50" t="str">
        <f>"50100-9811058"</f>
        <v>50100-9811058</v>
      </c>
      <c r="B4224" s="50" t="str">
        <f>"96/11/10"</f>
        <v>96/11/10</v>
      </c>
      <c r="C4224" s="50" t="s">
        <v>12541</v>
      </c>
      <c r="D4224" s="12" t="s">
        <v>12542</v>
      </c>
      <c r="E4224" s="12" t="s">
        <v>4971</v>
      </c>
      <c r="F4224" s="49">
        <v>39352</v>
      </c>
      <c r="G4224" s="77" t="s">
        <v>5611</v>
      </c>
      <c r="H4224" s="14" t="s">
        <v>5601</v>
      </c>
      <c r="I4224" s="14" t="s">
        <v>2458</v>
      </c>
      <c r="J4224" s="33" t="s">
        <v>7110</v>
      </c>
      <c r="K4224" s="33" t="s">
        <v>12601</v>
      </c>
      <c r="L4224" s="53" t="str">
        <f>"کنيا"</f>
        <v>کنيا</v>
      </c>
      <c r="M4224" s="68" t="str">
        <f>"بشكه"</f>
        <v>بشكه</v>
      </c>
      <c r="N4224" s="53" t="str">
        <f t="shared" si="101"/>
        <v>منطقه ويژه اقتصادي شهيد رجايي</v>
      </c>
      <c r="O4224" s="53">
        <v>50100</v>
      </c>
      <c r="P4224" s="198" t="s">
        <v>12260</v>
      </c>
    </row>
    <row r="4225" spans="1:16" ht="18.75" hidden="1">
      <c r="A4225" s="50" t="str">
        <f>"50100-9824973"</f>
        <v>50100-9824973</v>
      </c>
      <c r="B4225" s="50" t="str">
        <f>"96/11/14"</f>
        <v>96/11/14</v>
      </c>
      <c r="C4225" s="50" t="s">
        <v>12543</v>
      </c>
      <c r="D4225" s="12" t="s">
        <v>9830</v>
      </c>
      <c r="E4225" s="12" t="s">
        <v>4971</v>
      </c>
      <c r="F4225" s="49">
        <v>125000</v>
      </c>
      <c r="G4225" s="77" t="s">
        <v>5609</v>
      </c>
      <c r="H4225" s="14" t="s">
        <v>5601</v>
      </c>
      <c r="I4225" s="14" t="s">
        <v>2458</v>
      </c>
      <c r="J4225" s="33" t="s">
        <v>7110</v>
      </c>
      <c r="K4225" s="33" t="s">
        <v>12601</v>
      </c>
      <c r="L4225" s="53" t="str">
        <f>"بنگلادش"</f>
        <v>بنگلادش</v>
      </c>
      <c r="M4225" s="68" t="str">
        <f>"بشكه"</f>
        <v>بشكه</v>
      </c>
      <c r="N4225" s="53" t="str">
        <f t="shared" si="101"/>
        <v>منطقه ويژه اقتصادي شهيد رجايي</v>
      </c>
      <c r="O4225" s="53">
        <v>50100</v>
      </c>
      <c r="P4225" s="198" t="s">
        <v>9789</v>
      </c>
    </row>
    <row r="4226" spans="1:16" ht="18.75" hidden="1">
      <c r="A4226" s="50" t="str">
        <f>"50100-9772990"</f>
        <v>50100-9772990</v>
      </c>
      <c r="B4226" s="50" t="str">
        <f>"96/11/02"</f>
        <v>96/11/02</v>
      </c>
      <c r="C4226" s="50" t="s">
        <v>12544</v>
      </c>
      <c r="D4226" s="12" t="s">
        <v>12533</v>
      </c>
      <c r="E4226" s="12" t="s">
        <v>4971</v>
      </c>
      <c r="F4226" s="49">
        <v>3070780</v>
      </c>
      <c r="G4226" s="77" t="s">
        <v>5779</v>
      </c>
      <c r="H4226" s="14" t="s">
        <v>5601</v>
      </c>
      <c r="I4226" s="14" t="s">
        <v>2458</v>
      </c>
      <c r="J4226" s="33" t="e">
        <f>VLOOKUP(C4226,شرکتها!A:B,2,FALSE)</f>
        <v>#N/A</v>
      </c>
      <c r="K4226" s="33" t="s">
        <v>12601</v>
      </c>
      <c r="L4226" s="53" t="str">
        <f>"هند"</f>
        <v>هند</v>
      </c>
      <c r="M4226" s="68" t="str">
        <f>"فله"</f>
        <v>فله</v>
      </c>
      <c r="N4226" s="53" t="str">
        <f t="shared" si="101"/>
        <v>منطقه ويژه اقتصادي شهيد رجايي</v>
      </c>
      <c r="O4226" s="53">
        <v>50100</v>
      </c>
      <c r="P4226" s="198" t="s">
        <v>12409</v>
      </c>
    </row>
    <row r="4227" spans="1:16" ht="18.75" hidden="1">
      <c r="A4227" s="50" t="str">
        <f>"50100-9813542"</f>
        <v>50100-9813542</v>
      </c>
      <c r="B4227" s="50" t="str">
        <f>"96/11/10"</f>
        <v>96/11/10</v>
      </c>
      <c r="C4227" s="50" t="s">
        <v>12515</v>
      </c>
      <c r="D4227" s="12" t="s">
        <v>9723</v>
      </c>
      <c r="E4227" s="12" t="s">
        <v>4971</v>
      </c>
      <c r="F4227" s="49">
        <v>99275</v>
      </c>
      <c r="G4227" s="77" t="s">
        <v>5611</v>
      </c>
      <c r="H4227" s="14" t="s">
        <v>5601</v>
      </c>
      <c r="I4227" s="14" t="s">
        <v>2458</v>
      </c>
      <c r="J4227" s="33" t="s">
        <v>7110</v>
      </c>
      <c r="K4227" s="33" t="s">
        <v>12601</v>
      </c>
      <c r="L4227" s="53" t="str">
        <f>"هند"</f>
        <v>هند</v>
      </c>
      <c r="M4227" s="68" t="str">
        <f>"بشكه"</f>
        <v>بشكه</v>
      </c>
      <c r="N4227" s="53" t="str">
        <f t="shared" si="101"/>
        <v>منطقه ويژه اقتصادي شهيد رجايي</v>
      </c>
      <c r="O4227" s="53">
        <v>50100</v>
      </c>
      <c r="P4227" s="198" t="s">
        <v>8698</v>
      </c>
    </row>
    <row r="4228" spans="1:16" ht="18.75" hidden="1">
      <c r="A4228" s="50" t="str">
        <f>"50100-9810928"</f>
        <v>50100-9810928</v>
      </c>
      <c r="B4228" s="50" t="str">
        <f>"96/11/10"</f>
        <v>96/11/10</v>
      </c>
      <c r="C4228" s="50" t="s">
        <v>12545</v>
      </c>
      <c r="D4228" s="12" t="s">
        <v>12542</v>
      </c>
      <c r="E4228" s="12" t="s">
        <v>4971</v>
      </c>
      <c r="F4228" s="49">
        <v>197023</v>
      </c>
      <c r="G4228" s="77" t="s">
        <v>5611</v>
      </c>
      <c r="H4228" s="14" t="s">
        <v>5601</v>
      </c>
      <c r="I4228" s="14" t="s">
        <v>2458</v>
      </c>
      <c r="J4228" s="33" t="s">
        <v>7110</v>
      </c>
      <c r="K4228" s="33" t="s">
        <v>12601</v>
      </c>
      <c r="L4228" s="53" t="str">
        <f>"تانزانيا"</f>
        <v>تانزانيا</v>
      </c>
      <c r="M4228" s="68" t="str">
        <f>"بشكه"</f>
        <v>بشكه</v>
      </c>
      <c r="N4228" s="53" t="str">
        <f t="shared" si="101"/>
        <v>منطقه ويژه اقتصادي شهيد رجايي</v>
      </c>
      <c r="O4228" s="53">
        <v>50100</v>
      </c>
      <c r="P4228" s="198" t="s">
        <v>12260</v>
      </c>
    </row>
    <row r="4229" spans="1:16" ht="18.75" hidden="1">
      <c r="A4229" s="50" t="str">
        <f>"50100-9772990"</f>
        <v>50100-9772990</v>
      </c>
      <c r="B4229" s="50" t="str">
        <f>"96/11/02"</f>
        <v>96/11/02</v>
      </c>
      <c r="C4229" s="50" t="s">
        <v>12546</v>
      </c>
      <c r="D4229" s="12" t="s">
        <v>12533</v>
      </c>
      <c r="E4229" s="12" t="s">
        <v>4971</v>
      </c>
      <c r="F4229" s="49">
        <v>50000</v>
      </c>
      <c r="G4229" s="77" t="s">
        <v>5779</v>
      </c>
      <c r="H4229" s="14" t="s">
        <v>5601</v>
      </c>
      <c r="I4229" s="14" t="s">
        <v>2458</v>
      </c>
      <c r="J4229" s="33" t="e">
        <f>VLOOKUP(C4229,شرکتها!A:B,2,FALSE)</f>
        <v>#N/A</v>
      </c>
      <c r="K4229" s="33" t="s">
        <v>12601</v>
      </c>
      <c r="L4229" s="53" t="str">
        <f>"هند"</f>
        <v>هند</v>
      </c>
      <c r="M4229" s="68" t="str">
        <f>"فله"</f>
        <v>فله</v>
      </c>
      <c r="N4229" s="53" t="str">
        <f t="shared" si="101"/>
        <v>منطقه ويژه اقتصادي شهيد رجايي</v>
      </c>
      <c r="O4229" s="53">
        <v>50100</v>
      </c>
      <c r="P4229" s="198" t="s">
        <v>7138</v>
      </c>
    </row>
    <row r="4230" spans="1:16" ht="18.75" hidden="1">
      <c r="A4230" s="50" t="str">
        <f>"50100-9772990"</f>
        <v>50100-9772990</v>
      </c>
      <c r="B4230" s="50" t="str">
        <f>"96/11/02"</f>
        <v>96/11/02</v>
      </c>
      <c r="C4230" s="50" t="s">
        <v>12547</v>
      </c>
      <c r="D4230" s="12" t="s">
        <v>12533</v>
      </c>
      <c r="E4230" s="12" t="s">
        <v>4971</v>
      </c>
      <c r="F4230" s="49">
        <v>100000</v>
      </c>
      <c r="G4230" s="77" t="s">
        <v>5779</v>
      </c>
      <c r="H4230" s="14" t="s">
        <v>5601</v>
      </c>
      <c r="I4230" s="14" t="s">
        <v>2458</v>
      </c>
      <c r="J4230" s="33" t="e">
        <f>VLOOKUP(C4230,شرکتها!A:B,2,FALSE)</f>
        <v>#N/A</v>
      </c>
      <c r="K4230" s="33" t="s">
        <v>12601</v>
      </c>
      <c r="L4230" s="53" t="str">
        <f>"هند"</f>
        <v>هند</v>
      </c>
      <c r="M4230" s="68" t="str">
        <f>"فله"</f>
        <v>فله</v>
      </c>
      <c r="N4230" s="53" t="str">
        <f t="shared" si="101"/>
        <v>منطقه ويژه اقتصادي شهيد رجايي</v>
      </c>
      <c r="O4230" s="53">
        <v>50100</v>
      </c>
      <c r="P4230" s="198" t="s">
        <v>5783</v>
      </c>
    </row>
    <row r="4231" spans="1:16" ht="18.75" hidden="1">
      <c r="A4231" s="50" t="str">
        <f>"50100-9772990"</f>
        <v>50100-9772990</v>
      </c>
      <c r="B4231" s="50" t="str">
        <f>"96/11/02"</f>
        <v>96/11/02</v>
      </c>
      <c r="C4231" s="50" t="s">
        <v>12548</v>
      </c>
      <c r="D4231" s="12" t="s">
        <v>12533</v>
      </c>
      <c r="E4231" s="12" t="s">
        <v>4971</v>
      </c>
      <c r="F4231" s="49">
        <v>200000</v>
      </c>
      <c r="G4231" s="77" t="s">
        <v>5779</v>
      </c>
      <c r="H4231" s="14" t="s">
        <v>5601</v>
      </c>
      <c r="I4231" s="14" t="s">
        <v>2458</v>
      </c>
      <c r="J4231" s="33" t="e">
        <f>VLOOKUP(C4231,شرکتها!A:B,2,FALSE)</f>
        <v>#N/A</v>
      </c>
      <c r="K4231" s="33" t="s">
        <v>12601</v>
      </c>
      <c r="L4231" s="53" t="str">
        <f>"هند"</f>
        <v>هند</v>
      </c>
      <c r="M4231" s="68" t="str">
        <f>"فله"</f>
        <v>فله</v>
      </c>
      <c r="N4231" s="53" t="str">
        <f t="shared" si="101"/>
        <v>منطقه ويژه اقتصادي شهيد رجايي</v>
      </c>
      <c r="O4231" s="53">
        <v>50100</v>
      </c>
      <c r="P4231" s="198" t="s">
        <v>5782</v>
      </c>
    </row>
    <row r="4232" spans="1:16" ht="18.75" hidden="1">
      <c r="A4232" s="50" t="str">
        <f>"50100-9803782"</f>
        <v>50100-9803782</v>
      </c>
      <c r="B4232" s="50" t="str">
        <f>"96/11/08"</f>
        <v>96/11/08</v>
      </c>
      <c r="C4232" s="50" t="s">
        <v>12549</v>
      </c>
      <c r="D4232" s="12" t="s">
        <v>12530</v>
      </c>
      <c r="E4232" s="12" t="s">
        <v>4971</v>
      </c>
      <c r="F4232" s="49">
        <v>197237</v>
      </c>
      <c r="G4232" s="77" t="s">
        <v>5611</v>
      </c>
      <c r="H4232" s="14" t="s">
        <v>5601</v>
      </c>
      <c r="I4232" s="14" t="s">
        <v>2458</v>
      </c>
      <c r="J4232" s="33" t="s">
        <v>7110</v>
      </c>
      <c r="K4232" s="33" t="s">
        <v>12601</v>
      </c>
      <c r="L4232" s="53" t="str">
        <f>"هند"</f>
        <v>هند</v>
      </c>
      <c r="M4232" s="68" t="str">
        <f t="shared" ref="M4232:M4244" si="103">"بشكه"</f>
        <v>بشكه</v>
      </c>
      <c r="N4232" s="53" t="str">
        <f t="shared" si="101"/>
        <v>منطقه ويژه اقتصادي شهيد رجايي</v>
      </c>
      <c r="O4232" s="53">
        <v>50100</v>
      </c>
      <c r="P4232" s="198" t="s">
        <v>12260</v>
      </c>
    </row>
    <row r="4233" spans="1:16" ht="18.75" hidden="1">
      <c r="A4233" s="50" t="str">
        <f>"50100-9777214"</f>
        <v>50100-9777214</v>
      </c>
      <c r="B4233" s="50" t="str">
        <f>"96/11/03"</f>
        <v>96/11/03</v>
      </c>
      <c r="C4233" s="50" t="s">
        <v>12550</v>
      </c>
      <c r="D4233" s="12" t="s">
        <v>9715</v>
      </c>
      <c r="E4233" s="12" t="s">
        <v>4971</v>
      </c>
      <c r="F4233" s="49">
        <v>197810</v>
      </c>
      <c r="G4233" s="77" t="s">
        <v>5609</v>
      </c>
      <c r="H4233" s="14" t="s">
        <v>5601</v>
      </c>
      <c r="I4233" s="14" t="s">
        <v>2458</v>
      </c>
      <c r="J4233" s="33" t="s">
        <v>7110</v>
      </c>
      <c r="K4233" s="33" t="s">
        <v>12601</v>
      </c>
      <c r="L4233" s="53" t="str">
        <f>"سريلانکا"</f>
        <v>سريلانکا</v>
      </c>
      <c r="M4233" s="68" t="str">
        <f t="shared" si="103"/>
        <v>بشكه</v>
      </c>
      <c r="N4233" s="53" t="str">
        <f t="shared" si="101"/>
        <v>منطقه ويژه اقتصادي شهيد رجايي</v>
      </c>
      <c r="O4233" s="53">
        <v>50100</v>
      </c>
      <c r="P4233" s="198" t="s">
        <v>8724</v>
      </c>
    </row>
    <row r="4234" spans="1:16" ht="18.75" hidden="1">
      <c r="A4234" s="50" t="str">
        <f>"50100-9777214"</f>
        <v>50100-9777214</v>
      </c>
      <c r="B4234" s="50" t="str">
        <f>"96/11/03"</f>
        <v>96/11/03</v>
      </c>
      <c r="C4234" s="50" t="s">
        <v>12551</v>
      </c>
      <c r="D4234" s="12" t="s">
        <v>9715</v>
      </c>
      <c r="E4234" s="12" t="s">
        <v>4971</v>
      </c>
      <c r="F4234" s="49">
        <v>300000</v>
      </c>
      <c r="G4234" s="77" t="s">
        <v>5609</v>
      </c>
      <c r="H4234" s="14" t="s">
        <v>5601</v>
      </c>
      <c r="I4234" s="14" t="s">
        <v>2458</v>
      </c>
      <c r="J4234" s="33" t="s">
        <v>7110</v>
      </c>
      <c r="K4234" s="33" t="s">
        <v>12601</v>
      </c>
      <c r="L4234" s="53" t="str">
        <f>"سريلانکا"</f>
        <v>سريلانکا</v>
      </c>
      <c r="M4234" s="68" t="str">
        <f t="shared" si="103"/>
        <v>بشكه</v>
      </c>
      <c r="N4234" s="53" t="str">
        <f t="shared" si="101"/>
        <v>منطقه ويژه اقتصادي شهيد رجايي</v>
      </c>
      <c r="O4234" s="53">
        <v>50100</v>
      </c>
      <c r="P4234" s="198" t="s">
        <v>8724</v>
      </c>
    </row>
    <row r="4235" spans="1:16" ht="18.75" hidden="1">
      <c r="A4235" s="50" t="str">
        <f>"50100-9777214"</f>
        <v>50100-9777214</v>
      </c>
      <c r="B4235" s="50" t="str">
        <f>"96/11/03"</f>
        <v>96/11/03</v>
      </c>
      <c r="C4235" s="50" t="s">
        <v>12552</v>
      </c>
      <c r="D4235" s="12" t="s">
        <v>8911</v>
      </c>
      <c r="E4235" s="12" t="s">
        <v>4971</v>
      </c>
      <c r="F4235" s="49">
        <v>200000</v>
      </c>
      <c r="G4235" s="77" t="s">
        <v>5609</v>
      </c>
      <c r="H4235" s="14" t="s">
        <v>5601</v>
      </c>
      <c r="I4235" s="14" t="s">
        <v>2458</v>
      </c>
      <c r="J4235" s="33" t="s">
        <v>7110</v>
      </c>
      <c r="K4235" s="33" t="s">
        <v>12601</v>
      </c>
      <c r="L4235" s="53" t="str">
        <f>"سريلانکا"</f>
        <v>سريلانکا</v>
      </c>
      <c r="M4235" s="68" t="str">
        <f t="shared" si="103"/>
        <v>بشكه</v>
      </c>
      <c r="N4235" s="53" t="str">
        <f t="shared" si="101"/>
        <v>منطقه ويژه اقتصادي شهيد رجايي</v>
      </c>
      <c r="O4235" s="53">
        <v>50100</v>
      </c>
      <c r="P4235" s="198" t="s">
        <v>9768</v>
      </c>
    </row>
    <row r="4236" spans="1:16" ht="18.75" hidden="1">
      <c r="A4236" s="50" t="str">
        <f>"50100-9835581"</f>
        <v>50100-9835581</v>
      </c>
      <c r="B4236" s="50" t="str">
        <f>"96/11/15"</f>
        <v>96/11/15</v>
      </c>
      <c r="C4236" s="50" t="s">
        <v>12341</v>
      </c>
      <c r="D4236" s="12" t="s">
        <v>8636</v>
      </c>
      <c r="E4236" s="12" t="s">
        <v>4971</v>
      </c>
      <c r="F4236" s="49">
        <v>364295</v>
      </c>
      <c r="G4236" s="77" t="s">
        <v>5611</v>
      </c>
      <c r="H4236" s="14" t="s">
        <v>5601</v>
      </c>
      <c r="I4236" s="14" t="s">
        <v>2458</v>
      </c>
      <c r="J4236" s="33" t="s">
        <v>7110</v>
      </c>
      <c r="K4236" s="33" t="s">
        <v>12601</v>
      </c>
      <c r="L4236" s="53" t="str">
        <f>"چين"</f>
        <v>چين</v>
      </c>
      <c r="M4236" s="68" t="str">
        <f t="shared" si="103"/>
        <v>بشكه</v>
      </c>
      <c r="N4236" s="53" t="str">
        <f t="shared" si="101"/>
        <v>منطقه ويژه اقتصادي شهيد رجايي</v>
      </c>
      <c r="O4236" s="53">
        <v>50100</v>
      </c>
      <c r="P4236" s="198" t="s">
        <v>7111</v>
      </c>
    </row>
    <row r="4237" spans="1:16" ht="18.75" hidden="1">
      <c r="A4237" s="50" t="str">
        <f>"50100-9835581"</f>
        <v>50100-9835581</v>
      </c>
      <c r="B4237" s="50" t="str">
        <f>"96/11/15"</f>
        <v>96/11/15</v>
      </c>
      <c r="C4237" s="50" t="s">
        <v>12553</v>
      </c>
      <c r="D4237" s="12" t="s">
        <v>8636</v>
      </c>
      <c r="E4237" s="12" t="s">
        <v>4971</v>
      </c>
      <c r="F4237" s="49">
        <v>351300</v>
      </c>
      <c r="G4237" s="77" t="s">
        <v>5611</v>
      </c>
      <c r="H4237" s="14" t="s">
        <v>5601</v>
      </c>
      <c r="I4237" s="14" t="s">
        <v>2458</v>
      </c>
      <c r="J4237" s="33" t="s">
        <v>7110</v>
      </c>
      <c r="K4237" s="33" t="s">
        <v>12601</v>
      </c>
      <c r="L4237" s="53" t="str">
        <f>"چين"</f>
        <v>چين</v>
      </c>
      <c r="M4237" s="68" t="str">
        <f t="shared" si="103"/>
        <v>بشكه</v>
      </c>
      <c r="N4237" s="53" t="str">
        <f t="shared" si="101"/>
        <v>منطقه ويژه اقتصادي شهيد رجايي</v>
      </c>
      <c r="O4237" s="53">
        <v>50100</v>
      </c>
      <c r="P4237" s="198" t="s">
        <v>7111</v>
      </c>
    </row>
    <row r="4238" spans="1:16" ht="18.75" hidden="1">
      <c r="A4238" s="50" t="str">
        <f>"50100-9835581"</f>
        <v>50100-9835581</v>
      </c>
      <c r="B4238" s="50" t="str">
        <f>"96/11/15"</f>
        <v>96/11/15</v>
      </c>
      <c r="C4238" s="50" t="s">
        <v>12554</v>
      </c>
      <c r="D4238" s="12" t="s">
        <v>8837</v>
      </c>
      <c r="E4238" s="12" t="s">
        <v>4971</v>
      </c>
      <c r="F4238" s="49">
        <v>211705</v>
      </c>
      <c r="G4238" s="77" t="s">
        <v>5611</v>
      </c>
      <c r="H4238" s="14" t="s">
        <v>5601</v>
      </c>
      <c r="I4238" s="14" t="s">
        <v>2458</v>
      </c>
      <c r="J4238" s="33" t="s">
        <v>7110</v>
      </c>
      <c r="K4238" s="33" t="s">
        <v>12601</v>
      </c>
      <c r="L4238" s="53" t="str">
        <f>"چين"</f>
        <v>چين</v>
      </c>
      <c r="M4238" s="68" t="str">
        <f t="shared" si="103"/>
        <v>بشكه</v>
      </c>
      <c r="N4238" s="53" t="str">
        <f t="shared" si="101"/>
        <v>منطقه ويژه اقتصادي شهيد رجايي</v>
      </c>
      <c r="O4238" s="53">
        <v>50100</v>
      </c>
      <c r="P4238" s="198" t="s">
        <v>7111</v>
      </c>
    </row>
    <row r="4239" spans="1:16" ht="18.75" hidden="1">
      <c r="A4239" s="50" t="str">
        <f>"50100-9803675"</f>
        <v>50100-9803675</v>
      </c>
      <c r="B4239" s="50" t="str">
        <f>"96/11/08"</f>
        <v>96/11/08</v>
      </c>
      <c r="C4239" s="50" t="s">
        <v>12555</v>
      </c>
      <c r="D4239" s="12" t="s">
        <v>12556</v>
      </c>
      <c r="E4239" s="12" t="s">
        <v>4971</v>
      </c>
      <c r="F4239" s="49">
        <v>492949</v>
      </c>
      <c r="G4239" s="77" t="s">
        <v>5611</v>
      </c>
      <c r="H4239" s="14" t="s">
        <v>5601</v>
      </c>
      <c r="I4239" s="14" t="s">
        <v>2458</v>
      </c>
      <c r="J4239" s="33" t="s">
        <v>7110</v>
      </c>
      <c r="K4239" s="33" t="s">
        <v>12601</v>
      </c>
      <c r="L4239" s="53" t="str">
        <f>"هند"</f>
        <v>هند</v>
      </c>
      <c r="M4239" s="68" t="str">
        <f t="shared" si="103"/>
        <v>بشكه</v>
      </c>
      <c r="N4239" s="53" t="str">
        <f t="shared" si="101"/>
        <v>منطقه ويژه اقتصادي شهيد رجايي</v>
      </c>
      <c r="O4239" s="53">
        <v>50100</v>
      </c>
      <c r="P4239" s="198" t="s">
        <v>12260</v>
      </c>
    </row>
    <row r="4240" spans="1:16" ht="18.75" hidden="1">
      <c r="A4240" s="50" t="str">
        <f>"50100-9835581"</f>
        <v>50100-9835581</v>
      </c>
      <c r="B4240" s="50" t="str">
        <f>"96/11/15"</f>
        <v>96/11/15</v>
      </c>
      <c r="C4240" s="50" t="s">
        <v>12557</v>
      </c>
      <c r="D4240" s="12" t="s">
        <v>8629</v>
      </c>
      <c r="E4240" s="12" t="s">
        <v>4971</v>
      </c>
      <c r="F4240" s="49">
        <v>70000</v>
      </c>
      <c r="G4240" s="77" t="s">
        <v>5611</v>
      </c>
      <c r="H4240" s="14" t="s">
        <v>5601</v>
      </c>
      <c r="I4240" s="14" t="s">
        <v>2458</v>
      </c>
      <c r="J4240" s="33" t="s">
        <v>7110</v>
      </c>
      <c r="K4240" s="33" t="s">
        <v>12601</v>
      </c>
      <c r="L4240" s="53" t="str">
        <f>"چين"</f>
        <v>چين</v>
      </c>
      <c r="M4240" s="68" t="str">
        <f t="shared" si="103"/>
        <v>بشكه</v>
      </c>
      <c r="N4240" s="53" t="str">
        <f t="shared" si="101"/>
        <v>منطقه ويژه اقتصادي شهيد رجايي</v>
      </c>
      <c r="O4240" s="53">
        <v>50100</v>
      </c>
      <c r="P4240" s="198" t="s">
        <v>7111</v>
      </c>
    </row>
    <row r="4241" spans="1:16" ht="18.75" hidden="1">
      <c r="A4241" s="50" t="str">
        <f>"50100-9777214"</f>
        <v>50100-9777214</v>
      </c>
      <c r="B4241" s="50" t="str">
        <f>"96/11/03"</f>
        <v>96/11/03</v>
      </c>
      <c r="C4241" s="50" t="s">
        <v>12558</v>
      </c>
      <c r="D4241" s="12" t="s">
        <v>9715</v>
      </c>
      <c r="E4241" s="12" t="s">
        <v>4971</v>
      </c>
      <c r="F4241" s="49">
        <v>700000</v>
      </c>
      <c r="G4241" s="77" t="s">
        <v>5609</v>
      </c>
      <c r="H4241" s="14" t="s">
        <v>5601</v>
      </c>
      <c r="I4241" s="14" t="s">
        <v>2458</v>
      </c>
      <c r="J4241" s="33" t="s">
        <v>7110</v>
      </c>
      <c r="K4241" s="33" t="s">
        <v>12601</v>
      </c>
      <c r="L4241" s="53" t="str">
        <f>"سريلانکا"</f>
        <v>سريلانکا</v>
      </c>
      <c r="M4241" s="68" t="str">
        <f t="shared" si="103"/>
        <v>بشكه</v>
      </c>
      <c r="N4241" s="53" t="str">
        <f t="shared" si="101"/>
        <v>منطقه ويژه اقتصادي شهيد رجايي</v>
      </c>
      <c r="O4241" s="53">
        <v>50100</v>
      </c>
      <c r="P4241" s="198" t="s">
        <v>8724</v>
      </c>
    </row>
    <row r="4242" spans="1:16" ht="18.75" hidden="1">
      <c r="A4242" s="50" t="str">
        <f>"50100-9813937"</f>
        <v>50100-9813937</v>
      </c>
      <c r="B4242" s="50" t="str">
        <f>"96/11/10"</f>
        <v>96/11/10</v>
      </c>
      <c r="C4242" s="50" t="s">
        <v>12517</v>
      </c>
      <c r="D4242" s="12" t="s">
        <v>9825</v>
      </c>
      <c r="E4242" s="12" t="s">
        <v>4971</v>
      </c>
      <c r="F4242" s="49">
        <v>161193</v>
      </c>
      <c r="G4242" s="77" t="s">
        <v>5611</v>
      </c>
      <c r="H4242" s="14" t="s">
        <v>5601</v>
      </c>
      <c r="I4242" s="14" t="s">
        <v>2458</v>
      </c>
      <c r="J4242" s="33" t="s">
        <v>7110</v>
      </c>
      <c r="K4242" s="33" t="s">
        <v>12601</v>
      </c>
      <c r="L4242" s="53" t="str">
        <f>"هند"</f>
        <v>هند</v>
      </c>
      <c r="M4242" s="68" t="str">
        <f t="shared" si="103"/>
        <v>بشكه</v>
      </c>
      <c r="N4242" s="53" t="str">
        <f t="shared" si="101"/>
        <v>منطقه ويژه اقتصادي شهيد رجايي</v>
      </c>
      <c r="O4242" s="53">
        <v>50100</v>
      </c>
      <c r="P4242" s="198" t="s">
        <v>9783</v>
      </c>
    </row>
    <row r="4243" spans="1:16" ht="18.75" hidden="1">
      <c r="A4243" s="50" t="str">
        <f>"50100-9813694"</f>
        <v>50100-9813694</v>
      </c>
      <c r="B4243" s="50" t="str">
        <f>"96/11/10"</f>
        <v>96/11/10</v>
      </c>
      <c r="C4243" s="50" t="s">
        <v>12516</v>
      </c>
      <c r="D4243" s="12" t="s">
        <v>8650</v>
      </c>
      <c r="E4243" s="12" t="s">
        <v>4971</v>
      </c>
      <c r="F4243" s="49">
        <v>179305</v>
      </c>
      <c r="G4243" s="77" t="s">
        <v>5611</v>
      </c>
      <c r="H4243" s="14" t="s">
        <v>5601</v>
      </c>
      <c r="I4243" s="14" t="s">
        <v>2458</v>
      </c>
      <c r="J4243" s="33" t="s">
        <v>7110</v>
      </c>
      <c r="K4243" s="33" t="s">
        <v>12601</v>
      </c>
      <c r="L4243" s="53" t="str">
        <f>"بنگلادش"</f>
        <v>بنگلادش</v>
      </c>
      <c r="M4243" s="68" t="str">
        <f t="shared" si="103"/>
        <v>بشكه</v>
      </c>
      <c r="N4243" s="53" t="str">
        <f t="shared" si="101"/>
        <v>منطقه ويژه اقتصادي شهيد رجايي</v>
      </c>
      <c r="O4243" s="53">
        <v>50100</v>
      </c>
      <c r="P4243" s="198" t="s">
        <v>7175</v>
      </c>
    </row>
    <row r="4244" spans="1:16" ht="18.75" hidden="1">
      <c r="A4244" s="50" t="str">
        <f>"50100-9813937"</f>
        <v>50100-9813937</v>
      </c>
      <c r="B4244" s="50" t="str">
        <f>"96/11/10"</f>
        <v>96/11/10</v>
      </c>
      <c r="C4244" s="50" t="s">
        <v>12521</v>
      </c>
      <c r="D4244" s="12" t="s">
        <v>9985</v>
      </c>
      <c r="E4244" s="12" t="s">
        <v>4971</v>
      </c>
      <c r="F4244" s="49">
        <v>334674</v>
      </c>
      <c r="G4244" s="77" t="s">
        <v>5611</v>
      </c>
      <c r="H4244" s="14" t="s">
        <v>5601</v>
      </c>
      <c r="I4244" s="14" t="s">
        <v>2458</v>
      </c>
      <c r="J4244" s="33" t="s">
        <v>7110</v>
      </c>
      <c r="K4244" s="33" t="s">
        <v>12601</v>
      </c>
      <c r="L4244" s="53" t="str">
        <f>"هند"</f>
        <v>هند</v>
      </c>
      <c r="M4244" s="68" t="str">
        <f t="shared" si="103"/>
        <v>بشكه</v>
      </c>
      <c r="N4244" s="53" t="str">
        <f t="shared" si="101"/>
        <v>منطقه ويژه اقتصادي شهيد رجايي</v>
      </c>
      <c r="O4244" s="53">
        <v>50100</v>
      </c>
      <c r="P4244" s="198" t="s">
        <v>9769</v>
      </c>
    </row>
    <row r="4245" spans="1:16" ht="18.75" hidden="1">
      <c r="A4245" s="50" t="str">
        <f>"50100-9759976"</f>
        <v>50100-9759976</v>
      </c>
      <c r="B4245" s="50" t="str">
        <f>"96/10/28"</f>
        <v>96/10/28</v>
      </c>
      <c r="C4245" s="50" t="s">
        <v>12559</v>
      </c>
      <c r="D4245" s="12" t="s">
        <v>12560</v>
      </c>
      <c r="E4245" s="12" t="s">
        <v>4971</v>
      </c>
      <c r="F4245" s="49">
        <v>2990983</v>
      </c>
      <c r="G4245" s="77" t="s">
        <v>5779</v>
      </c>
      <c r="H4245" s="14" t="s">
        <v>5601</v>
      </c>
      <c r="I4245" s="14" t="s">
        <v>2458</v>
      </c>
      <c r="J4245" s="33" t="e">
        <f>VLOOKUP(C4245,شرکتها!A:B,2,FALSE)</f>
        <v>#N/A</v>
      </c>
      <c r="K4245" s="33" t="s">
        <v>12601</v>
      </c>
      <c r="L4245" s="53" t="str">
        <f>"قطر"</f>
        <v>قطر</v>
      </c>
      <c r="M4245" s="68" t="str">
        <f>"فله"</f>
        <v>فله</v>
      </c>
      <c r="N4245" s="53" t="str">
        <f t="shared" si="101"/>
        <v>منطقه ويژه اقتصادي شهيد رجايي</v>
      </c>
      <c r="O4245" s="53">
        <v>50100</v>
      </c>
      <c r="P4245" s="198" t="s">
        <v>12409</v>
      </c>
    </row>
    <row r="4246" spans="1:16" ht="18.75" hidden="1">
      <c r="A4246" s="50" t="str">
        <f>"50100-9813694"</f>
        <v>50100-9813694</v>
      </c>
      <c r="B4246" s="50" t="str">
        <f>"96/11/10"</f>
        <v>96/11/10</v>
      </c>
      <c r="C4246" s="50" t="s">
        <v>12464</v>
      </c>
      <c r="D4246" s="12" t="s">
        <v>8650</v>
      </c>
      <c r="E4246" s="12" t="s">
        <v>4971</v>
      </c>
      <c r="F4246" s="49">
        <v>327400</v>
      </c>
      <c r="G4246" s="77" t="s">
        <v>5611</v>
      </c>
      <c r="H4246" s="14" t="s">
        <v>5601</v>
      </c>
      <c r="I4246" s="14" t="s">
        <v>2458</v>
      </c>
      <c r="J4246" s="33" t="s">
        <v>7110</v>
      </c>
      <c r="K4246" s="33" t="s">
        <v>12601</v>
      </c>
      <c r="L4246" s="53" t="str">
        <f>"بنگلادش"</f>
        <v>بنگلادش</v>
      </c>
      <c r="M4246" s="68" t="str">
        <f>"بشكه"</f>
        <v>بشكه</v>
      </c>
      <c r="N4246" s="53" t="str">
        <f t="shared" si="101"/>
        <v>منطقه ويژه اقتصادي شهيد رجايي</v>
      </c>
      <c r="O4246" s="53">
        <v>50100</v>
      </c>
      <c r="P4246" s="198" t="s">
        <v>7175</v>
      </c>
    </row>
    <row r="4247" spans="1:16" ht="18.75" hidden="1">
      <c r="A4247" s="50" t="str">
        <f>"50100-9775910"</f>
        <v>50100-9775910</v>
      </c>
      <c r="B4247" s="50" t="str">
        <f>"96/11/02"</f>
        <v>96/11/02</v>
      </c>
      <c r="C4247" s="50" t="s">
        <v>12561</v>
      </c>
      <c r="D4247" s="12" t="s">
        <v>9962</v>
      </c>
      <c r="E4247" s="12" t="s">
        <v>4971</v>
      </c>
      <c r="F4247" s="49">
        <v>1000000</v>
      </c>
      <c r="G4247" s="77" t="s">
        <v>5607</v>
      </c>
      <c r="H4247" s="14" t="s">
        <v>5601</v>
      </c>
      <c r="I4247" s="14" t="s">
        <v>2458</v>
      </c>
      <c r="J4247" s="33" t="e">
        <f>VLOOKUP(C4247,شرکتها!A:B,2,FALSE)</f>
        <v>#N/A</v>
      </c>
      <c r="K4247" s="33" t="s">
        <v>12601</v>
      </c>
      <c r="L4247" s="53" t="str">
        <f>"کنيا"</f>
        <v>کنيا</v>
      </c>
      <c r="M4247" s="68" t="str">
        <f>"بشكه"</f>
        <v>بشكه</v>
      </c>
      <c r="N4247" s="53" t="str">
        <f t="shared" si="101"/>
        <v>منطقه ويژه اقتصادي شهيد رجايي</v>
      </c>
      <c r="O4247" s="53">
        <v>50100</v>
      </c>
      <c r="P4247" s="198" t="s">
        <v>9770</v>
      </c>
    </row>
    <row r="4248" spans="1:16" ht="18.75" hidden="1">
      <c r="A4248" s="50" t="str">
        <f>"50100-9763513"</f>
        <v>50100-9763513</v>
      </c>
      <c r="B4248" s="50" t="str">
        <f>"96/10/30"</f>
        <v>96/10/30</v>
      </c>
      <c r="C4248" s="50" t="s">
        <v>12562</v>
      </c>
      <c r="D4248" s="12" t="s">
        <v>12404</v>
      </c>
      <c r="E4248" s="12" t="s">
        <v>4971</v>
      </c>
      <c r="F4248" s="49">
        <v>994259</v>
      </c>
      <c r="G4248" s="77" t="s">
        <v>5779</v>
      </c>
      <c r="H4248" s="14" t="s">
        <v>5601</v>
      </c>
      <c r="I4248" s="14" t="s">
        <v>2458</v>
      </c>
      <c r="J4248" s="33" t="e">
        <f>VLOOKUP(C4248,شرکتها!A:B,2,FALSE)</f>
        <v>#N/A</v>
      </c>
      <c r="K4248" s="33" t="s">
        <v>12601</v>
      </c>
      <c r="L4248" s="53" t="str">
        <f>"قطر"</f>
        <v>قطر</v>
      </c>
      <c r="M4248" s="68" t="str">
        <f>"فله"</f>
        <v>فله</v>
      </c>
      <c r="N4248" s="53" t="str">
        <f t="shared" si="101"/>
        <v>منطقه ويژه اقتصادي شهيد رجايي</v>
      </c>
      <c r="O4248" s="53">
        <v>50100</v>
      </c>
      <c r="P4248" s="198" t="s">
        <v>12409</v>
      </c>
    </row>
    <row r="4249" spans="1:16" ht="18.75" hidden="1">
      <c r="A4249" s="50" t="str">
        <f>"50100-9775910"</f>
        <v>50100-9775910</v>
      </c>
      <c r="B4249" s="50" t="str">
        <f>"96/11/02"</f>
        <v>96/11/02</v>
      </c>
      <c r="C4249" s="50" t="s">
        <v>12563</v>
      </c>
      <c r="D4249" s="12" t="s">
        <v>9962</v>
      </c>
      <c r="E4249" s="12" t="s">
        <v>4971</v>
      </c>
      <c r="F4249" s="49">
        <v>774915</v>
      </c>
      <c r="G4249" s="77" t="s">
        <v>5607</v>
      </c>
      <c r="H4249" s="14" t="s">
        <v>5601</v>
      </c>
      <c r="I4249" s="14" t="s">
        <v>2458</v>
      </c>
      <c r="J4249" s="33" t="e">
        <f>VLOOKUP(C4249,شرکتها!A:B,2,FALSE)</f>
        <v>#N/A</v>
      </c>
      <c r="K4249" s="33" t="s">
        <v>12601</v>
      </c>
      <c r="L4249" s="53" t="str">
        <f>"کنيا"</f>
        <v>کنيا</v>
      </c>
      <c r="M4249" s="68" t="str">
        <f t="shared" ref="M4249:M4261" si="104">"بشكه"</f>
        <v>بشكه</v>
      </c>
      <c r="N4249" s="53" t="str">
        <f t="shared" si="101"/>
        <v>منطقه ويژه اقتصادي شهيد رجايي</v>
      </c>
      <c r="O4249" s="53">
        <v>50100</v>
      </c>
      <c r="P4249" s="198" t="s">
        <v>9770</v>
      </c>
    </row>
    <row r="4250" spans="1:16" ht="18.75" hidden="1">
      <c r="A4250" s="50" t="str">
        <f>"50100-9835674"</f>
        <v>50100-9835674</v>
      </c>
      <c r="B4250" s="50" t="str">
        <f>"96/11/15"</f>
        <v>96/11/15</v>
      </c>
      <c r="C4250" s="50" t="s">
        <v>12564</v>
      </c>
      <c r="D4250" s="12" t="s">
        <v>9952</v>
      </c>
      <c r="E4250" s="12" t="s">
        <v>4971</v>
      </c>
      <c r="F4250" s="49">
        <v>998040</v>
      </c>
      <c r="G4250" s="77" t="s">
        <v>5609</v>
      </c>
      <c r="H4250" s="14" t="s">
        <v>5601</v>
      </c>
      <c r="I4250" s="14" t="s">
        <v>2458</v>
      </c>
      <c r="J4250" s="33" t="s">
        <v>7110</v>
      </c>
      <c r="K4250" s="33" t="s">
        <v>12601</v>
      </c>
      <c r="L4250" s="53" t="str">
        <f>"بنگلادش"</f>
        <v>بنگلادش</v>
      </c>
      <c r="M4250" s="68" t="str">
        <f t="shared" si="104"/>
        <v>بشكه</v>
      </c>
      <c r="N4250" s="53" t="str">
        <f t="shared" si="101"/>
        <v>منطقه ويژه اقتصادي شهيد رجايي</v>
      </c>
      <c r="O4250" s="53">
        <v>50100</v>
      </c>
      <c r="P4250" s="198" t="s">
        <v>9768</v>
      </c>
    </row>
    <row r="4251" spans="1:16" ht="18.75" hidden="1">
      <c r="A4251" s="50" t="str">
        <f>"50100-9813757"</f>
        <v>50100-9813757</v>
      </c>
      <c r="B4251" s="50" t="str">
        <f>"96/11/10"</f>
        <v>96/11/10</v>
      </c>
      <c r="C4251" s="50" t="s">
        <v>12565</v>
      </c>
      <c r="D4251" s="12" t="s">
        <v>8616</v>
      </c>
      <c r="E4251" s="12" t="s">
        <v>4971</v>
      </c>
      <c r="F4251" s="49">
        <v>136010</v>
      </c>
      <c r="G4251" s="77" t="s">
        <v>5611</v>
      </c>
      <c r="H4251" s="14" t="s">
        <v>5601</v>
      </c>
      <c r="I4251" s="14" t="s">
        <v>2458</v>
      </c>
      <c r="J4251" s="33" t="s">
        <v>7110</v>
      </c>
      <c r="K4251" s="33" t="s">
        <v>12601</v>
      </c>
      <c r="L4251" s="53" t="str">
        <f>"بنگلادش"</f>
        <v>بنگلادش</v>
      </c>
      <c r="M4251" s="68" t="str">
        <f t="shared" si="104"/>
        <v>بشكه</v>
      </c>
      <c r="N4251" s="53" t="str">
        <f t="shared" si="101"/>
        <v>منطقه ويژه اقتصادي شهيد رجايي</v>
      </c>
      <c r="O4251" s="53">
        <v>50100</v>
      </c>
      <c r="P4251" s="198" t="s">
        <v>7175</v>
      </c>
    </row>
    <row r="4252" spans="1:16" ht="18.75" hidden="1">
      <c r="A4252" s="50" t="str">
        <f>"50100-9810730"</f>
        <v>50100-9810730</v>
      </c>
      <c r="B4252" s="50" t="str">
        <f>"96/11/10"</f>
        <v>96/11/10</v>
      </c>
      <c r="C4252" s="50" t="s">
        <v>12566</v>
      </c>
      <c r="D4252" s="12" t="s">
        <v>12525</v>
      </c>
      <c r="E4252" s="12" t="s">
        <v>4971</v>
      </c>
      <c r="F4252" s="49">
        <v>892590</v>
      </c>
      <c r="G4252" s="77" t="s">
        <v>5779</v>
      </c>
      <c r="H4252" s="14" t="s">
        <v>5601</v>
      </c>
      <c r="I4252" s="14" t="s">
        <v>2458</v>
      </c>
      <c r="J4252" s="33" t="e">
        <f>VLOOKUP(C4252,شرکتها!A:B,2,FALSE)</f>
        <v>#N/A</v>
      </c>
      <c r="K4252" s="33" t="s">
        <v>12601</v>
      </c>
      <c r="L4252" s="53" t="str">
        <f>"بنگلادش"</f>
        <v>بنگلادش</v>
      </c>
      <c r="M4252" s="68" t="str">
        <f t="shared" si="104"/>
        <v>بشكه</v>
      </c>
      <c r="N4252" s="53" t="str">
        <f t="shared" si="101"/>
        <v>منطقه ويژه اقتصادي شهيد رجايي</v>
      </c>
      <c r="O4252" s="53">
        <v>50100</v>
      </c>
      <c r="P4252" s="198" t="s">
        <v>12195</v>
      </c>
    </row>
    <row r="4253" spans="1:16" ht="18.75" hidden="1">
      <c r="A4253" s="50" t="str">
        <f>"50100-9810730"</f>
        <v>50100-9810730</v>
      </c>
      <c r="B4253" s="50" t="str">
        <f>"96/11/10"</f>
        <v>96/11/10</v>
      </c>
      <c r="C4253" s="50" t="s">
        <v>8825</v>
      </c>
      <c r="D4253" s="12" t="s">
        <v>8617</v>
      </c>
      <c r="E4253" s="12" t="s">
        <v>4971</v>
      </c>
      <c r="F4253" s="49">
        <v>1378</v>
      </c>
      <c r="G4253" s="77" t="s">
        <v>5779</v>
      </c>
      <c r="H4253" s="14" t="s">
        <v>5601</v>
      </c>
      <c r="I4253" s="14" t="s">
        <v>2458</v>
      </c>
      <c r="J4253" s="33" t="e">
        <f>VLOOKUP(C4253,شرکتها!A:B,2,FALSE)</f>
        <v>#N/A</v>
      </c>
      <c r="K4253" s="33" t="s">
        <v>12601</v>
      </c>
      <c r="L4253" s="53" t="str">
        <f>"بنگلادش"</f>
        <v>بنگلادش</v>
      </c>
      <c r="M4253" s="68" t="str">
        <f t="shared" si="104"/>
        <v>بشكه</v>
      </c>
      <c r="N4253" s="53" t="str">
        <f t="shared" si="101"/>
        <v>منطقه ويژه اقتصادي شهيد رجايي</v>
      </c>
      <c r="O4253" s="53">
        <v>50100</v>
      </c>
      <c r="P4253" s="198" t="s">
        <v>8081</v>
      </c>
    </row>
    <row r="4254" spans="1:16" ht="18.75" hidden="1">
      <c r="A4254" s="50" t="str">
        <f>"50100-9785743"</f>
        <v>50100-9785743</v>
      </c>
      <c r="B4254" s="50" t="str">
        <f>"96/11/04"</f>
        <v>96/11/04</v>
      </c>
      <c r="C4254" s="50" t="s">
        <v>12534</v>
      </c>
      <c r="D4254" s="12" t="s">
        <v>12477</v>
      </c>
      <c r="E4254" s="12" t="s">
        <v>4971</v>
      </c>
      <c r="F4254" s="49">
        <v>984500</v>
      </c>
      <c r="G4254" s="77" t="s">
        <v>5616</v>
      </c>
      <c r="H4254" s="14" t="s">
        <v>5601</v>
      </c>
      <c r="I4254" s="14" t="s">
        <v>2458</v>
      </c>
      <c r="J4254" s="33" t="s">
        <v>7110</v>
      </c>
      <c r="K4254" s="33" t="s">
        <v>12601</v>
      </c>
      <c r="L4254" s="53" t="str">
        <f>"هند"</f>
        <v>هند</v>
      </c>
      <c r="M4254" s="68" t="str">
        <f t="shared" si="104"/>
        <v>بشكه</v>
      </c>
      <c r="N4254" s="53" t="str">
        <f t="shared" si="101"/>
        <v>منطقه ويژه اقتصادي شهيد رجايي</v>
      </c>
      <c r="O4254" s="53">
        <v>50100</v>
      </c>
      <c r="P4254" s="198" t="s">
        <v>8717</v>
      </c>
    </row>
    <row r="4255" spans="1:16" ht="18.75" hidden="1">
      <c r="A4255" s="50" t="str">
        <f>"50100-9806370"</f>
        <v>50100-9806370</v>
      </c>
      <c r="B4255" s="50" t="str">
        <f>"96/11/09"</f>
        <v>96/11/09</v>
      </c>
      <c r="C4255" s="50" t="s">
        <v>12534</v>
      </c>
      <c r="D4255" s="12" t="s">
        <v>12477</v>
      </c>
      <c r="E4255" s="12" t="s">
        <v>4971</v>
      </c>
      <c r="F4255" s="49">
        <v>219400</v>
      </c>
      <c r="G4255" s="77" t="s">
        <v>5616</v>
      </c>
      <c r="H4255" s="14" t="s">
        <v>5601</v>
      </c>
      <c r="I4255" s="14" t="s">
        <v>2458</v>
      </c>
      <c r="J4255" s="33" t="s">
        <v>7110</v>
      </c>
      <c r="K4255" s="33" t="s">
        <v>12601</v>
      </c>
      <c r="L4255" s="53" t="str">
        <f>"هند"</f>
        <v>هند</v>
      </c>
      <c r="M4255" s="68" t="str">
        <f t="shared" si="104"/>
        <v>بشكه</v>
      </c>
      <c r="N4255" s="53" t="str">
        <f t="shared" si="101"/>
        <v>منطقه ويژه اقتصادي شهيد رجايي</v>
      </c>
      <c r="O4255" s="53">
        <v>50100</v>
      </c>
      <c r="P4255" s="198" t="s">
        <v>8717</v>
      </c>
    </row>
    <row r="4256" spans="1:16" ht="18.75" hidden="1">
      <c r="A4256" s="50" t="str">
        <f>"50100-9824973"</f>
        <v>50100-9824973</v>
      </c>
      <c r="B4256" s="50" t="str">
        <f>"96/11/14"</f>
        <v>96/11/14</v>
      </c>
      <c r="C4256" s="50" t="s">
        <v>12567</v>
      </c>
      <c r="D4256" s="12" t="s">
        <v>8911</v>
      </c>
      <c r="E4256" s="12" t="s">
        <v>4971</v>
      </c>
      <c r="F4256" s="49">
        <v>130000</v>
      </c>
      <c r="G4256" s="77" t="s">
        <v>5609</v>
      </c>
      <c r="H4256" s="14" t="s">
        <v>5601</v>
      </c>
      <c r="I4256" s="14" t="s">
        <v>2458</v>
      </c>
      <c r="J4256" s="33" t="s">
        <v>7110</v>
      </c>
      <c r="K4256" s="33" t="s">
        <v>12601</v>
      </c>
      <c r="L4256" s="53" t="str">
        <f>"بنگلادش"</f>
        <v>بنگلادش</v>
      </c>
      <c r="M4256" s="68" t="str">
        <f t="shared" si="104"/>
        <v>بشكه</v>
      </c>
      <c r="N4256" s="53" t="str">
        <f t="shared" si="101"/>
        <v>منطقه ويژه اقتصادي شهيد رجايي</v>
      </c>
      <c r="O4256" s="53">
        <v>50100</v>
      </c>
      <c r="P4256" s="198" t="s">
        <v>8724</v>
      </c>
    </row>
    <row r="4257" spans="1:16" ht="18.75" hidden="1">
      <c r="A4257" s="50" t="str">
        <f>"50100-9824973"</f>
        <v>50100-9824973</v>
      </c>
      <c r="B4257" s="50" t="str">
        <f>"96/11/14"</f>
        <v>96/11/14</v>
      </c>
      <c r="C4257" s="50" t="s">
        <v>12568</v>
      </c>
      <c r="D4257" s="12" t="s">
        <v>9825</v>
      </c>
      <c r="E4257" s="12" t="s">
        <v>4971</v>
      </c>
      <c r="F4257" s="49">
        <v>125000</v>
      </c>
      <c r="G4257" s="77" t="s">
        <v>5609</v>
      </c>
      <c r="H4257" s="14" t="s">
        <v>5601</v>
      </c>
      <c r="I4257" s="14" t="s">
        <v>2458</v>
      </c>
      <c r="J4257" s="33" t="s">
        <v>7110</v>
      </c>
      <c r="K4257" s="33" t="s">
        <v>12601</v>
      </c>
      <c r="L4257" s="53" t="str">
        <f>"بنگلادش"</f>
        <v>بنگلادش</v>
      </c>
      <c r="M4257" s="68" t="str">
        <f t="shared" si="104"/>
        <v>بشكه</v>
      </c>
      <c r="N4257" s="53" t="str">
        <f t="shared" si="101"/>
        <v>منطقه ويژه اقتصادي شهيد رجايي</v>
      </c>
      <c r="O4257" s="53">
        <v>50100</v>
      </c>
      <c r="P4257" s="198" t="s">
        <v>9797</v>
      </c>
    </row>
    <row r="4258" spans="1:16" ht="18.75" hidden="1">
      <c r="A4258" s="50" t="str">
        <f>"50100-9824973"</f>
        <v>50100-9824973</v>
      </c>
      <c r="B4258" s="50" t="str">
        <f>"96/11/14"</f>
        <v>96/11/14</v>
      </c>
      <c r="C4258" s="50" t="s">
        <v>12564</v>
      </c>
      <c r="D4258" s="12" t="s">
        <v>9952</v>
      </c>
      <c r="E4258" s="12" t="s">
        <v>4971</v>
      </c>
      <c r="F4258" s="49">
        <v>382900</v>
      </c>
      <c r="G4258" s="77" t="s">
        <v>5609</v>
      </c>
      <c r="H4258" s="14" t="s">
        <v>5601</v>
      </c>
      <c r="I4258" s="14" t="s">
        <v>2458</v>
      </c>
      <c r="J4258" s="33" t="s">
        <v>7110</v>
      </c>
      <c r="K4258" s="33" t="s">
        <v>12601</v>
      </c>
      <c r="L4258" s="53" t="str">
        <f>"بنگلادش"</f>
        <v>بنگلادش</v>
      </c>
      <c r="M4258" s="68" t="str">
        <f t="shared" si="104"/>
        <v>بشكه</v>
      </c>
      <c r="N4258" s="53" t="str">
        <f t="shared" ref="N4258:N4261" si="105">"منطقه ويژه اقتصادي شهيد رجايي"</f>
        <v>منطقه ويژه اقتصادي شهيد رجايي</v>
      </c>
      <c r="O4258" s="53">
        <v>50100</v>
      </c>
      <c r="P4258" s="198" t="s">
        <v>9768</v>
      </c>
    </row>
    <row r="4259" spans="1:16" ht="18.75" hidden="1">
      <c r="A4259" s="50" t="str">
        <f>"50100-9775910"</f>
        <v>50100-9775910</v>
      </c>
      <c r="B4259" s="50" t="str">
        <f>"96/11/02"</f>
        <v>96/11/02</v>
      </c>
      <c r="C4259" s="50" t="s">
        <v>12338</v>
      </c>
      <c r="D4259" s="12" t="s">
        <v>9962</v>
      </c>
      <c r="E4259" s="12" t="s">
        <v>4971</v>
      </c>
      <c r="F4259" s="49">
        <v>14055</v>
      </c>
      <c r="G4259" s="77" t="s">
        <v>5607</v>
      </c>
      <c r="H4259" s="14" t="s">
        <v>5601</v>
      </c>
      <c r="I4259" s="14" t="s">
        <v>2458</v>
      </c>
      <c r="J4259" s="33" t="e">
        <f>VLOOKUP(C4259,شرکتها!A:B,2,FALSE)</f>
        <v>#N/A</v>
      </c>
      <c r="K4259" s="33" t="s">
        <v>12601</v>
      </c>
      <c r="L4259" s="53" t="str">
        <f>"کنيا"</f>
        <v>کنيا</v>
      </c>
      <c r="M4259" s="68" t="str">
        <f t="shared" si="104"/>
        <v>بشكه</v>
      </c>
      <c r="N4259" s="53" t="str">
        <f t="shared" si="105"/>
        <v>منطقه ويژه اقتصادي شهيد رجايي</v>
      </c>
      <c r="O4259" s="53">
        <v>50100</v>
      </c>
      <c r="P4259" s="198" t="s">
        <v>9770</v>
      </c>
    </row>
    <row r="4260" spans="1:16" ht="18.75" hidden="1">
      <c r="A4260" s="50" t="str">
        <f>"50100-9806370"</f>
        <v>50100-9806370</v>
      </c>
      <c r="B4260" s="50" t="str">
        <f>"96/11/09"</f>
        <v>96/11/09</v>
      </c>
      <c r="C4260" s="50" t="s">
        <v>12524</v>
      </c>
      <c r="D4260" s="12" t="s">
        <v>12525</v>
      </c>
      <c r="E4260" s="12" t="s">
        <v>4971</v>
      </c>
      <c r="F4260" s="49">
        <v>297920</v>
      </c>
      <c r="G4260" s="77" t="s">
        <v>5616</v>
      </c>
      <c r="H4260" s="14" t="s">
        <v>5601</v>
      </c>
      <c r="I4260" s="14" t="s">
        <v>2458</v>
      </c>
      <c r="J4260" s="33" t="s">
        <v>7110</v>
      </c>
      <c r="K4260" s="33" t="s">
        <v>12601</v>
      </c>
      <c r="L4260" s="53" t="str">
        <f>"هند"</f>
        <v>هند</v>
      </c>
      <c r="M4260" s="68" t="str">
        <f t="shared" si="104"/>
        <v>بشكه</v>
      </c>
      <c r="N4260" s="53" t="str">
        <f t="shared" si="105"/>
        <v>منطقه ويژه اقتصادي شهيد رجايي</v>
      </c>
      <c r="O4260" s="53">
        <v>50100</v>
      </c>
      <c r="P4260" s="198" t="s">
        <v>8717</v>
      </c>
    </row>
    <row r="4261" spans="1:16" ht="18.75" hidden="1">
      <c r="A4261" s="50" t="str">
        <f>"50100-9806370"</f>
        <v>50100-9806370</v>
      </c>
      <c r="B4261" s="50" t="str">
        <f>"96/11/09"</f>
        <v>96/11/09</v>
      </c>
      <c r="C4261" s="50" t="s">
        <v>12524</v>
      </c>
      <c r="D4261" s="12" t="s">
        <v>12525</v>
      </c>
      <c r="E4261" s="12" t="s">
        <v>4971</v>
      </c>
      <c r="F4261" s="49">
        <v>38480</v>
      </c>
      <c r="G4261" s="77" t="s">
        <v>5616</v>
      </c>
      <c r="H4261" s="14" t="s">
        <v>5601</v>
      </c>
      <c r="I4261" s="14" t="s">
        <v>2458</v>
      </c>
      <c r="J4261" s="33" t="s">
        <v>7110</v>
      </c>
      <c r="K4261" s="33" t="s">
        <v>12601</v>
      </c>
      <c r="L4261" s="53" t="str">
        <f>"هند"</f>
        <v>هند</v>
      </c>
      <c r="M4261" s="68" t="str">
        <f t="shared" si="104"/>
        <v>بشكه</v>
      </c>
      <c r="N4261" s="53" t="str">
        <f t="shared" si="105"/>
        <v>منطقه ويژه اقتصادي شهيد رجايي</v>
      </c>
      <c r="O4261" s="53">
        <v>50100</v>
      </c>
      <c r="P4261" s="198" t="s">
        <v>8717</v>
      </c>
    </row>
    <row r="4262" spans="1:16" ht="18.75" hidden="1">
      <c r="A4262" s="50" t="s">
        <v>10146</v>
      </c>
      <c r="B4262" s="50" t="s">
        <v>9929</v>
      </c>
      <c r="C4262" s="50" t="s">
        <v>9833</v>
      </c>
      <c r="D4262" s="12" t="s">
        <v>8767</v>
      </c>
      <c r="E4262" s="12" t="s">
        <v>4971</v>
      </c>
      <c r="F4262" s="49">
        <v>40760</v>
      </c>
      <c r="G4262" s="77" t="s">
        <v>5631</v>
      </c>
      <c r="H4262" s="14" t="s">
        <v>5601</v>
      </c>
      <c r="I4262" s="14" t="s">
        <v>2458</v>
      </c>
      <c r="J4262" s="33" t="s">
        <v>7110</v>
      </c>
      <c r="K4262" s="33" t="s">
        <v>12601</v>
      </c>
      <c r="L4262" s="53" t="s">
        <v>6054</v>
      </c>
      <c r="M4262" s="68" t="s">
        <v>8912</v>
      </c>
      <c r="N4262" s="53" t="s">
        <v>9836</v>
      </c>
      <c r="O4262" s="53">
        <v>55112</v>
      </c>
      <c r="P4262" s="198" t="s">
        <v>5842</v>
      </c>
    </row>
    <row r="4263" spans="1:16" ht="18.75" hidden="1">
      <c r="A4263" s="50" t="s">
        <v>10146</v>
      </c>
      <c r="B4263" s="50" t="s">
        <v>9929</v>
      </c>
      <c r="C4263" s="50" t="s">
        <v>9748</v>
      </c>
      <c r="D4263" s="12" t="s">
        <v>6323</v>
      </c>
      <c r="E4263" s="12" t="s">
        <v>4971</v>
      </c>
      <c r="F4263" s="49">
        <v>56880</v>
      </c>
      <c r="G4263" s="77" t="s">
        <v>5611</v>
      </c>
      <c r="H4263" s="14" t="s">
        <v>5601</v>
      </c>
      <c r="I4263" s="14" t="s">
        <v>2458</v>
      </c>
      <c r="J4263" s="33" t="s">
        <v>7110</v>
      </c>
      <c r="K4263" s="33" t="s">
        <v>12601</v>
      </c>
      <c r="L4263" s="53" t="s">
        <v>6054</v>
      </c>
      <c r="M4263" s="68" t="s">
        <v>8912</v>
      </c>
      <c r="N4263" s="53" t="s">
        <v>9836</v>
      </c>
      <c r="O4263" s="53">
        <v>55112</v>
      </c>
      <c r="P4263" s="198" t="s">
        <v>7175</v>
      </c>
    </row>
    <row r="4264" spans="1:16" ht="18.75" hidden="1">
      <c r="A4264" s="50" t="s">
        <v>12569</v>
      </c>
      <c r="B4264" s="50" t="s">
        <v>12380</v>
      </c>
      <c r="C4264" s="50" t="s">
        <v>12362</v>
      </c>
      <c r="D4264" s="12" t="s">
        <v>10008</v>
      </c>
      <c r="E4264" s="12" t="s">
        <v>4971</v>
      </c>
      <c r="F4264" s="49">
        <v>275400</v>
      </c>
      <c r="G4264" s="77" t="s">
        <v>5609</v>
      </c>
      <c r="H4264" s="14" t="s">
        <v>5601</v>
      </c>
      <c r="I4264" s="14" t="s">
        <v>2458</v>
      </c>
      <c r="J4264" s="33" t="s">
        <v>7110</v>
      </c>
      <c r="K4264" s="33" t="s">
        <v>12601</v>
      </c>
      <c r="L4264" s="53" t="s">
        <v>6054</v>
      </c>
      <c r="M4264" s="68" t="s">
        <v>8913</v>
      </c>
      <c r="N4264" s="53" t="s">
        <v>6076</v>
      </c>
      <c r="O4264" s="53">
        <v>55301</v>
      </c>
      <c r="P4264" s="198" t="s">
        <v>9797</v>
      </c>
    </row>
    <row r="4265" spans="1:16" ht="18.75" hidden="1">
      <c r="A4265" s="50" t="s">
        <v>12570</v>
      </c>
      <c r="B4265" s="50" t="s">
        <v>12367</v>
      </c>
      <c r="C4265" s="50" t="s">
        <v>12350</v>
      </c>
      <c r="D4265" s="12" t="s">
        <v>9813</v>
      </c>
      <c r="E4265" s="12" t="s">
        <v>4971</v>
      </c>
      <c r="F4265" s="49">
        <v>74500</v>
      </c>
      <c r="G4265" s="77" t="s">
        <v>5611</v>
      </c>
      <c r="H4265" s="14" t="s">
        <v>5601</v>
      </c>
      <c r="I4265" s="14" t="s">
        <v>2458</v>
      </c>
      <c r="J4265" s="33" t="s">
        <v>7110</v>
      </c>
      <c r="K4265" s="33" t="s">
        <v>12601</v>
      </c>
      <c r="L4265" s="53" t="s">
        <v>6054</v>
      </c>
      <c r="M4265" s="68" t="s">
        <v>8912</v>
      </c>
      <c r="N4265" s="53" t="s">
        <v>6076</v>
      </c>
      <c r="O4265" s="53">
        <v>55301</v>
      </c>
      <c r="P4265" s="198" t="s">
        <v>8698</v>
      </c>
    </row>
    <row r="4266" spans="1:16" ht="18.75" hidden="1">
      <c r="A4266" s="50" t="s">
        <v>12571</v>
      </c>
      <c r="B4266" s="50" t="s">
        <v>12349</v>
      </c>
      <c r="C4266" s="50" t="s">
        <v>12382</v>
      </c>
      <c r="D4266" s="12" t="s">
        <v>10036</v>
      </c>
      <c r="E4266" s="12" t="s">
        <v>4971</v>
      </c>
      <c r="F4266" s="49">
        <v>391040</v>
      </c>
      <c r="G4266" s="77" t="s">
        <v>5609</v>
      </c>
      <c r="H4266" s="14" t="s">
        <v>5601</v>
      </c>
      <c r="I4266" s="14" t="s">
        <v>2458</v>
      </c>
      <c r="J4266" s="33" t="s">
        <v>7110</v>
      </c>
      <c r="K4266" s="33" t="s">
        <v>12601</v>
      </c>
      <c r="L4266" s="53" t="s">
        <v>6054</v>
      </c>
      <c r="M4266" s="68" t="s">
        <v>8913</v>
      </c>
      <c r="N4266" s="53" t="s">
        <v>6076</v>
      </c>
      <c r="O4266" s="53">
        <v>55301</v>
      </c>
      <c r="P4266" s="198" t="s">
        <v>9797</v>
      </c>
    </row>
    <row r="4267" spans="1:16" ht="18.75" hidden="1">
      <c r="A4267" s="50" t="s">
        <v>12572</v>
      </c>
      <c r="B4267" s="50" t="s">
        <v>12349</v>
      </c>
      <c r="C4267" s="50" t="s">
        <v>12500</v>
      </c>
      <c r="D4267" s="12" t="s">
        <v>10033</v>
      </c>
      <c r="E4267" s="12" t="s">
        <v>4971</v>
      </c>
      <c r="F4267" s="49">
        <v>77680</v>
      </c>
      <c r="G4267" s="77" t="s">
        <v>5611</v>
      </c>
      <c r="H4267" s="14" t="s">
        <v>5601</v>
      </c>
      <c r="I4267" s="14" t="s">
        <v>2458</v>
      </c>
      <c r="J4267" s="33" t="s">
        <v>7110</v>
      </c>
      <c r="K4267" s="33" t="s">
        <v>12601</v>
      </c>
      <c r="L4267" s="53" t="s">
        <v>6054</v>
      </c>
      <c r="M4267" s="68" t="s">
        <v>8913</v>
      </c>
      <c r="N4267" s="53" t="s">
        <v>6286</v>
      </c>
      <c r="O4267" s="53">
        <v>55107</v>
      </c>
      <c r="P4267" s="198" t="s">
        <v>9769</v>
      </c>
    </row>
    <row r="4268" spans="1:16" ht="18.75" hidden="1">
      <c r="A4268" s="50" t="s">
        <v>12573</v>
      </c>
      <c r="B4268" s="50" t="s">
        <v>12359</v>
      </c>
      <c r="C4268" s="50" t="s">
        <v>12357</v>
      </c>
      <c r="D4268" s="12" t="s">
        <v>9720</v>
      </c>
      <c r="E4268" s="12" t="s">
        <v>4971</v>
      </c>
      <c r="F4268" s="49">
        <v>64730</v>
      </c>
      <c r="G4268" s="77" t="s">
        <v>5611</v>
      </c>
      <c r="H4268" s="14" t="s">
        <v>5601</v>
      </c>
      <c r="I4268" s="14" t="s">
        <v>2458</v>
      </c>
      <c r="J4268" s="33" t="s">
        <v>7110</v>
      </c>
      <c r="K4268" s="33" t="s">
        <v>12601</v>
      </c>
      <c r="L4268" s="53" t="s">
        <v>6054</v>
      </c>
      <c r="M4268" s="68" t="s">
        <v>8912</v>
      </c>
      <c r="N4268" s="53" t="s">
        <v>6076</v>
      </c>
      <c r="O4268" s="53">
        <v>55301</v>
      </c>
      <c r="P4268" s="198" t="s">
        <v>8698</v>
      </c>
    </row>
    <row r="4269" spans="1:16" ht="18.75" hidden="1">
      <c r="A4269" s="50" t="s">
        <v>12570</v>
      </c>
      <c r="B4269" s="50" t="s">
        <v>12367</v>
      </c>
      <c r="C4269" s="50" t="s">
        <v>12574</v>
      </c>
      <c r="D4269" s="12" t="s">
        <v>8911</v>
      </c>
      <c r="E4269" s="12" t="s">
        <v>4971</v>
      </c>
      <c r="F4269" s="49">
        <v>45190</v>
      </c>
      <c r="G4269" s="77" t="s">
        <v>5611</v>
      </c>
      <c r="H4269" s="14" t="s">
        <v>5601</v>
      </c>
      <c r="I4269" s="14" t="s">
        <v>2458</v>
      </c>
      <c r="J4269" s="33" t="s">
        <v>7110</v>
      </c>
      <c r="K4269" s="33" t="s">
        <v>12601</v>
      </c>
      <c r="L4269" s="53" t="s">
        <v>6054</v>
      </c>
      <c r="M4269" s="68" t="s">
        <v>8912</v>
      </c>
      <c r="N4269" s="53" t="s">
        <v>6076</v>
      </c>
      <c r="O4269" s="53">
        <v>55301</v>
      </c>
      <c r="P4269" s="198" t="s">
        <v>8698</v>
      </c>
    </row>
    <row r="4270" spans="1:16" ht="18.75" hidden="1">
      <c r="A4270" s="50" t="s">
        <v>12575</v>
      </c>
      <c r="B4270" s="50" t="s">
        <v>12359</v>
      </c>
      <c r="C4270" s="50" t="s">
        <v>12365</v>
      </c>
      <c r="D4270" s="12" t="s">
        <v>10033</v>
      </c>
      <c r="E4270" s="12" t="s">
        <v>4971</v>
      </c>
      <c r="F4270" s="49">
        <v>48210</v>
      </c>
      <c r="G4270" s="77" t="s">
        <v>5631</v>
      </c>
      <c r="H4270" s="14" t="s">
        <v>5601</v>
      </c>
      <c r="I4270" s="14" t="s">
        <v>2458</v>
      </c>
      <c r="J4270" s="33" t="s">
        <v>7110</v>
      </c>
      <c r="K4270" s="33" t="s">
        <v>12601</v>
      </c>
      <c r="L4270" s="53" t="s">
        <v>6051</v>
      </c>
      <c r="M4270" s="68" t="s">
        <v>8912</v>
      </c>
      <c r="N4270" s="53" t="s">
        <v>12405</v>
      </c>
      <c r="O4270" s="53">
        <v>55105</v>
      </c>
      <c r="P4270" s="198" t="s">
        <v>12219</v>
      </c>
    </row>
    <row r="4271" spans="1:16" ht="18.75" hidden="1">
      <c r="A4271" s="50" t="s">
        <v>12576</v>
      </c>
      <c r="B4271" s="50" t="s">
        <v>12359</v>
      </c>
      <c r="C4271" s="50" t="s">
        <v>12362</v>
      </c>
      <c r="D4271" s="12" t="s">
        <v>10008</v>
      </c>
      <c r="E4271" s="12" t="s">
        <v>4971</v>
      </c>
      <c r="F4271" s="49">
        <v>850200</v>
      </c>
      <c r="G4271" s="77" t="s">
        <v>5609</v>
      </c>
      <c r="H4271" s="14" t="s">
        <v>5601</v>
      </c>
      <c r="I4271" s="14" t="s">
        <v>2458</v>
      </c>
      <c r="J4271" s="33" t="s">
        <v>7110</v>
      </c>
      <c r="K4271" s="33" t="s">
        <v>12601</v>
      </c>
      <c r="L4271" s="53" t="s">
        <v>6054</v>
      </c>
      <c r="M4271" s="68" t="s">
        <v>8913</v>
      </c>
      <c r="N4271" s="53" t="s">
        <v>6076</v>
      </c>
      <c r="O4271" s="53">
        <v>55301</v>
      </c>
      <c r="P4271" s="198" t="s">
        <v>9797</v>
      </c>
    </row>
    <row r="4272" spans="1:16" ht="18.75" hidden="1">
      <c r="A4272" s="50" t="s">
        <v>12573</v>
      </c>
      <c r="B4272" s="50" t="s">
        <v>12359</v>
      </c>
      <c r="C4272" s="50" t="s">
        <v>12574</v>
      </c>
      <c r="D4272" s="12" t="s">
        <v>8911</v>
      </c>
      <c r="E4272" s="12" t="s">
        <v>4971</v>
      </c>
      <c r="F4272" s="49">
        <v>124810</v>
      </c>
      <c r="G4272" s="77" t="s">
        <v>5611</v>
      </c>
      <c r="H4272" s="14" t="s">
        <v>5601</v>
      </c>
      <c r="I4272" s="14" t="s">
        <v>2458</v>
      </c>
      <c r="J4272" s="33" t="s">
        <v>7110</v>
      </c>
      <c r="K4272" s="33" t="s">
        <v>12601</v>
      </c>
      <c r="L4272" s="53" t="s">
        <v>6054</v>
      </c>
      <c r="M4272" s="68" t="s">
        <v>8912</v>
      </c>
      <c r="N4272" s="53" t="s">
        <v>6076</v>
      </c>
      <c r="O4272" s="53">
        <v>55301</v>
      </c>
      <c r="P4272" s="198" t="s">
        <v>8698</v>
      </c>
    </row>
    <row r="4273" spans="1:16" ht="18.75" hidden="1">
      <c r="A4273" s="50" t="s">
        <v>12571</v>
      </c>
      <c r="B4273" s="50" t="s">
        <v>12349</v>
      </c>
      <c r="C4273" s="50" t="s">
        <v>10013</v>
      </c>
      <c r="D4273" s="12" t="s">
        <v>9835</v>
      </c>
      <c r="E4273" s="12" t="s">
        <v>4971</v>
      </c>
      <c r="F4273" s="49">
        <v>183860</v>
      </c>
      <c r="G4273" s="77" t="s">
        <v>5607</v>
      </c>
      <c r="H4273" s="14" t="s">
        <v>5601</v>
      </c>
      <c r="I4273" s="14" t="s">
        <v>2458</v>
      </c>
      <c r="J4273" s="33" t="e">
        <f>VLOOKUP(C4273,شرکتها!A:B,2,FALSE)</f>
        <v>#N/A</v>
      </c>
      <c r="K4273" s="33" t="s">
        <v>12601</v>
      </c>
      <c r="L4273" s="53" t="s">
        <v>6054</v>
      </c>
      <c r="M4273" s="68" t="s">
        <v>8913</v>
      </c>
      <c r="N4273" s="53" t="s">
        <v>6076</v>
      </c>
      <c r="O4273" s="53">
        <v>55301</v>
      </c>
      <c r="P4273" s="198" t="s">
        <v>9770</v>
      </c>
    </row>
    <row r="4274" spans="1:16" ht="18.75" hidden="1">
      <c r="A4274" s="50" t="s">
        <v>12571</v>
      </c>
      <c r="B4274" s="50" t="s">
        <v>12349</v>
      </c>
      <c r="C4274" s="50" t="s">
        <v>9814</v>
      </c>
      <c r="D4274" s="12" t="s">
        <v>9815</v>
      </c>
      <c r="E4274" s="12" t="s">
        <v>4971</v>
      </c>
      <c r="F4274" s="49">
        <v>47180</v>
      </c>
      <c r="G4274" s="77" t="s">
        <v>5647</v>
      </c>
      <c r="H4274" s="14" t="s">
        <v>5601</v>
      </c>
      <c r="I4274" s="14" t="s">
        <v>2458</v>
      </c>
      <c r="J4274" s="33" t="s">
        <v>7110</v>
      </c>
      <c r="K4274" s="33" t="s">
        <v>12601</v>
      </c>
      <c r="L4274" s="53" t="s">
        <v>6054</v>
      </c>
      <c r="M4274" s="68" t="s">
        <v>8913</v>
      </c>
      <c r="N4274" s="53" t="s">
        <v>6076</v>
      </c>
      <c r="O4274" s="53">
        <v>55301</v>
      </c>
      <c r="P4274" s="198" t="s">
        <v>9775</v>
      </c>
    </row>
    <row r="4275" spans="1:16" ht="18.75" hidden="1">
      <c r="A4275" s="50" t="s">
        <v>12572</v>
      </c>
      <c r="B4275" s="50" t="s">
        <v>12349</v>
      </c>
      <c r="C4275" s="50" t="s">
        <v>12370</v>
      </c>
      <c r="D4275" s="12" t="s">
        <v>9813</v>
      </c>
      <c r="E4275" s="12" t="s">
        <v>4971</v>
      </c>
      <c r="F4275" s="49">
        <v>39160</v>
      </c>
      <c r="G4275" s="77" t="s">
        <v>5611</v>
      </c>
      <c r="H4275" s="14" t="s">
        <v>5601</v>
      </c>
      <c r="I4275" s="14" t="s">
        <v>2458</v>
      </c>
      <c r="J4275" s="33" t="s">
        <v>7110</v>
      </c>
      <c r="K4275" s="33" t="s">
        <v>12601</v>
      </c>
      <c r="L4275" s="53" t="s">
        <v>6054</v>
      </c>
      <c r="M4275" s="68" t="s">
        <v>8913</v>
      </c>
      <c r="N4275" s="53" t="s">
        <v>6286</v>
      </c>
      <c r="O4275" s="53">
        <v>55107</v>
      </c>
      <c r="P4275" s="198" t="s">
        <v>9769</v>
      </c>
    </row>
    <row r="4276" spans="1:16" ht="18.75" hidden="1">
      <c r="A4276" s="50" t="s">
        <v>12577</v>
      </c>
      <c r="B4276" s="50" t="s">
        <v>12380</v>
      </c>
      <c r="C4276" s="50" t="s">
        <v>12365</v>
      </c>
      <c r="D4276" s="12" t="s">
        <v>10033</v>
      </c>
      <c r="E4276" s="12" t="s">
        <v>4971</v>
      </c>
      <c r="F4276" s="49">
        <v>184390</v>
      </c>
      <c r="G4276" s="77" t="s">
        <v>5631</v>
      </c>
      <c r="H4276" s="14" t="s">
        <v>5601</v>
      </c>
      <c r="I4276" s="14" t="s">
        <v>2458</v>
      </c>
      <c r="J4276" s="33" t="s">
        <v>7110</v>
      </c>
      <c r="K4276" s="33" t="s">
        <v>12601</v>
      </c>
      <c r="L4276" s="53" t="s">
        <v>6054</v>
      </c>
      <c r="M4276" s="68" t="s">
        <v>8912</v>
      </c>
      <c r="N4276" s="53" t="s">
        <v>6076</v>
      </c>
      <c r="O4276" s="53">
        <v>55301</v>
      </c>
      <c r="P4276" s="198" t="s">
        <v>12219</v>
      </c>
    </row>
    <row r="4277" spans="1:16" ht="18.75" hidden="1">
      <c r="A4277" s="50" t="s">
        <v>12576</v>
      </c>
      <c r="B4277" s="50" t="s">
        <v>12359</v>
      </c>
      <c r="C4277" s="50" t="s">
        <v>10013</v>
      </c>
      <c r="D4277" s="12" t="s">
        <v>9835</v>
      </c>
      <c r="E4277" s="12" t="s">
        <v>4971</v>
      </c>
      <c r="F4277" s="49">
        <v>73980</v>
      </c>
      <c r="G4277" s="77" t="s">
        <v>5607</v>
      </c>
      <c r="H4277" s="14" t="s">
        <v>5601</v>
      </c>
      <c r="I4277" s="14" t="s">
        <v>2458</v>
      </c>
      <c r="J4277" s="33" t="e">
        <f>VLOOKUP(C4277,شرکتها!A:B,2,FALSE)</f>
        <v>#N/A</v>
      </c>
      <c r="K4277" s="33" t="s">
        <v>12601</v>
      </c>
      <c r="L4277" s="53" t="s">
        <v>6054</v>
      </c>
      <c r="M4277" s="68" t="s">
        <v>8913</v>
      </c>
      <c r="N4277" s="53" t="s">
        <v>6076</v>
      </c>
      <c r="O4277" s="53">
        <v>55301</v>
      </c>
      <c r="P4277" s="198" t="s">
        <v>9770</v>
      </c>
    </row>
    <row r="4278" spans="1:16" ht="18.75" hidden="1">
      <c r="A4278" s="50" t="s">
        <v>12576</v>
      </c>
      <c r="B4278" s="50" t="s">
        <v>12359</v>
      </c>
      <c r="C4278" s="50" t="s">
        <v>12578</v>
      </c>
      <c r="D4278" s="12" t="s">
        <v>9934</v>
      </c>
      <c r="E4278" s="12" t="s">
        <v>4971</v>
      </c>
      <c r="F4278" s="49">
        <v>130000</v>
      </c>
      <c r="G4278" s="77" t="s">
        <v>5607</v>
      </c>
      <c r="H4278" s="14" t="s">
        <v>5601</v>
      </c>
      <c r="I4278" s="14" t="s">
        <v>2458</v>
      </c>
      <c r="J4278" s="33" t="e">
        <f>VLOOKUP(C4278,شرکتها!A:B,2,FALSE)</f>
        <v>#N/A</v>
      </c>
      <c r="K4278" s="33" t="s">
        <v>12601</v>
      </c>
      <c r="L4278" s="53" t="s">
        <v>6054</v>
      </c>
      <c r="M4278" s="68" t="s">
        <v>8913</v>
      </c>
      <c r="N4278" s="53" t="s">
        <v>6076</v>
      </c>
      <c r="O4278" s="53">
        <v>55301</v>
      </c>
      <c r="P4278" s="198" t="s">
        <v>9770</v>
      </c>
    </row>
    <row r="4279" spans="1:16" ht="18.75" hidden="1">
      <c r="A4279" s="50" t="s">
        <v>12579</v>
      </c>
      <c r="B4279" s="50" t="s">
        <v>12354</v>
      </c>
      <c r="C4279" s="50" t="s">
        <v>12370</v>
      </c>
      <c r="D4279" s="12" t="s">
        <v>9813</v>
      </c>
      <c r="E4279" s="12" t="s">
        <v>4971</v>
      </c>
      <c r="F4279" s="49">
        <v>50460</v>
      </c>
      <c r="G4279" s="77" t="s">
        <v>5611</v>
      </c>
      <c r="H4279" s="14" t="s">
        <v>5601</v>
      </c>
      <c r="I4279" s="14" t="s">
        <v>2458</v>
      </c>
      <c r="J4279" s="33" t="s">
        <v>7110</v>
      </c>
      <c r="K4279" s="33" t="s">
        <v>12601</v>
      </c>
      <c r="L4279" s="53" t="s">
        <v>6054</v>
      </c>
      <c r="M4279" s="68" t="s">
        <v>8912</v>
      </c>
      <c r="N4279" s="53" t="s">
        <v>6286</v>
      </c>
      <c r="O4279" s="53">
        <v>55107</v>
      </c>
      <c r="P4279" s="198" t="s">
        <v>9769</v>
      </c>
    </row>
    <row r="4280" spans="1:16" ht="18.75" hidden="1">
      <c r="A4280" s="50" t="s">
        <v>12580</v>
      </c>
      <c r="B4280" s="50" t="s">
        <v>12364</v>
      </c>
      <c r="C4280" s="50" t="s">
        <v>12378</v>
      </c>
      <c r="D4280" s="12" t="s">
        <v>10028</v>
      </c>
      <c r="E4280" s="12" t="s">
        <v>4971</v>
      </c>
      <c r="F4280" s="49">
        <v>398720</v>
      </c>
      <c r="G4280" s="77" t="s">
        <v>5609</v>
      </c>
      <c r="H4280" s="14" t="s">
        <v>5601</v>
      </c>
      <c r="I4280" s="14" t="s">
        <v>2458</v>
      </c>
      <c r="J4280" s="33" t="s">
        <v>7110</v>
      </c>
      <c r="K4280" s="33" t="s">
        <v>12601</v>
      </c>
      <c r="L4280" s="53" t="s">
        <v>6054</v>
      </c>
      <c r="M4280" s="68" t="s">
        <v>8913</v>
      </c>
      <c r="N4280" s="53" t="s">
        <v>6076</v>
      </c>
      <c r="O4280" s="53">
        <v>55301</v>
      </c>
      <c r="P4280" s="198" t="s">
        <v>9789</v>
      </c>
    </row>
    <row r="4281" spans="1:16" ht="18.75" hidden="1">
      <c r="A4281" s="50" t="s">
        <v>12580</v>
      </c>
      <c r="B4281" s="50" t="s">
        <v>12364</v>
      </c>
      <c r="C4281" s="50" t="s">
        <v>12181</v>
      </c>
      <c r="D4281" s="12" t="s">
        <v>10024</v>
      </c>
      <c r="E4281" s="12" t="s">
        <v>4971</v>
      </c>
      <c r="F4281" s="49">
        <v>57520</v>
      </c>
      <c r="G4281" s="77" t="s">
        <v>5609</v>
      </c>
      <c r="H4281" s="14" t="s">
        <v>5601</v>
      </c>
      <c r="I4281" s="14" t="s">
        <v>2458</v>
      </c>
      <c r="J4281" s="33" t="s">
        <v>7110</v>
      </c>
      <c r="K4281" s="33" t="s">
        <v>12601</v>
      </c>
      <c r="L4281" s="53" t="s">
        <v>6054</v>
      </c>
      <c r="M4281" s="68" t="s">
        <v>8913</v>
      </c>
      <c r="N4281" s="53" t="s">
        <v>6076</v>
      </c>
      <c r="O4281" s="53">
        <v>55301</v>
      </c>
      <c r="P4281" s="198" t="s">
        <v>9789</v>
      </c>
    </row>
    <row r="4282" spans="1:16" ht="18.75" hidden="1">
      <c r="A4282" s="50" t="s">
        <v>12581</v>
      </c>
      <c r="B4282" s="50" t="s">
        <v>12499</v>
      </c>
      <c r="C4282" s="50" t="s">
        <v>12578</v>
      </c>
      <c r="D4282" s="12" t="s">
        <v>9934</v>
      </c>
      <c r="E4282" s="12" t="s">
        <v>4971</v>
      </c>
      <c r="F4282" s="49">
        <v>370000</v>
      </c>
      <c r="G4282" s="77" t="s">
        <v>5607</v>
      </c>
      <c r="H4282" s="14" t="s">
        <v>5601</v>
      </c>
      <c r="I4282" s="14" t="s">
        <v>2458</v>
      </c>
      <c r="J4282" s="33" t="e">
        <f>VLOOKUP(C4282,شرکتها!A:B,2,FALSE)</f>
        <v>#N/A</v>
      </c>
      <c r="K4282" s="33" t="s">
        <v>12601</v>
      </c>
      <c r="L4282" s="53" t="s">
        <v>6054</v>
      </c>
      <c r="M4282" s="68" t="s">
        <v>8913</v>
      </c>
      <c r="N4282" s="53" t="s">
        <v>6076</v>
      </c>
      <c r="O4282" s="53">
        <v>55301</v>
      </c>
      <c r="P4282" s="198" t="s">
        <v>9770</v>
      </c>
    </row>
    <row r="4283" spans="1:16" ht="18.75" hidden="1">
      <c r="A4283" s="50" t="s">
        <v>12582</v>
      </c>
      <c r="B4283" s="50" t="s">
        <v>12583</v>
      </c>
      <c r="C4283" s="50" t="s">
        <v>12386</v>
      </c>
      <c r="D4283" s="12" t="s">
        <v>10015</v>
      </c>
      <c r="E4283" s="12" t="s">
        <v>4971</v>
      </c>
      <c r="F4283" s="49">
        <v>22950</v>
      </c>
      <c r="G4283" s="77" t="s">
        <v>5611</v>
      </c>
      <c r="H4283" s="14" t="s">
        <v>5601</v>
      </c>
      <c r="I4283" s="14" t="s">
        <v>2458</v>
      </c>
      <c r="J4283" s="33" t="s">
        <v>7110</v>
      </c>
      <c r="K4283" s="33" t="s">
        <v>12601</v>
      </c>
      <c r="L4283" s="53" t="s">
        <v>6054</v>
      </c>
      <c r="M4283" s="68" t="s">
        <v>8912</v>
      </c>
      <c r="N4283" s="53" t="s">
        <v>6286</v>
      </c>
      <c r="O4283" s="53">
        <v>55107</v>
      </c>
      <c r="P4283" s="198" t="s">
        <v>9763</v>
      </c>
    </row>
    <row r="4284" spans="1:16" ht="18.75" hidden="1">
      <c r="A4284" s="50" t="s">
        <v>12584</v>
      </c>
      <c r="B4284" s="50" t="s">
        <v>12477</v>
      </c>
      <c r="C4284" s="50" t="s">
        <v>12488</v>
      </c>
      <c r="D4284" s="12" t="s">
        <v>12380</v>
      </c>
      <c r="E4284" s="12" t="s">
        <v>4971</v>
      </c>
      <c r="F4284" s="49">
        <v>59120</v>
      </c>
      <c r="G4284" s="77" t="s">
        <v>5607</v>
      </c>
      <c r="H4284" s="14" t="s">
        <v>5601</v>
      </c>
      <c r="I4284" s="14" t="s">
        <v>2458</v>
      </c>
      <c r="J4284" s="33" t="s">
        <v>7110</v>
      </c>
      <c r="K4284" s="33" t="s">
        <v>12601</v>
      </c>
      <c r="L4284" s="53" t="s">
        <v>6054</v>
      </c>
      <c r="M4284" s="68" t="s">
        <v>8913</v>
      </c>
      <c r="N4284" s="53" t="s">
        <v>6076</v>
      </c>
      <c r="O4284" s="53">
        <v>55301</v>
      </c>
      <c r="P4284" s="198" t="s">
        <v>12306</v>
      </c>
    </row>
    <row r="4285" spans="1:16" ht="18.75" hidden="1">
      <c r="A4285" s="50" t="s">
        <v>12585</v>
      </c>
      <c r="B4285" s="50" t="s">
        <v>12477</v>
      </c>
      <c r="C4285" s="50" t="s">
        <v>12482</v>
      </c>
      <c r="D4285" s="12" t="s">
        <v>12367</v>
      </c>
      <c r="E4285" s="12" t="s">
        <v>4971</v>
      </c>
      <c r="F4285" s="49">
        <v>125720</v>
      </c>
      <c r="G4285" s="77" t="s">
        <v>5609</v>
      </c>
      <c r="H4285" s="14" t="s">
        <v>5601</v>
      </c>
      <c r="I4285" s="14" t="s">
        <v>2458</v>
      </c>
      <c r="J4285" s="33" t="s">
        <v>7110</v>
      </c>
      <c r="K4285" s="33" t="s">
        <v>12601</v>
      </c>
      <c r="L4285" s="53" t="s">
        <v>6054</v>
      </c>
      <c r="M4285" s="68" t="s">
        <v>8912</v>
      </c>
      <c r="N4285" s="53" t="s">
        <v>6286</v>
      </c>
      <c r="O4285" s="53">
        <v>55107</v>
      </c>
      <c r="P4285" s="198" t="s">
        <v>12218</v>
      </c>
    </row>
    <row r="4286" spans="1:16" ht="18.75" hidden="1">
      <c r="A4286" s="50" t="s">
        <v>12586</v>
      </c>
      <c r="B4286" s="50" t="s">
        <v>12404</v>
      </c>
      <c r="C4286" s="50" t="s">
        <v>12587</v>
      </c>
      <c r="D4286" s="12" t="s">
        <v>12477</v>
      </c>
      <c r="E4286" s="12" t="s">
        <v>4971</v>
      </c>
      <c r="F4286" s="49">
        <v>187640</v>
      </c>
      <c r="G4286" s="77" t="s">
        <v>5631</v>
      </c>
      <c r="H4286" s="14" t="s">
        <v>5601</v>
      </c>
      <c r="I4286" s="14" t="s">
        <v>2458</v>
      </c>
      <c r="J4286" s="33" t="s">
        <v>7110</v>
      </c>
      <c r="K4286" s="33" t="s">
        <v>12601</v>
      </c>
      <c r="L4286" s="53" t="s">
        <v>6054</v>
      </c>
      <c r="M4286" s="68" t="s">
        <v>8912</v>
      </c>
      <c r="N4286" s="53" t="s">
        <v>6285</v>
      </c>
      <c r="O4286" s="53">
        <v>55200</v>
      </c>
      <c r="P4286" s="198" t="s">
        <v>12220</v>
      </c>
    </row>
    <row r="4287" spans="1:16" ht="18.75" hidden="1">
      <c r="A4287" s="50" t="s">
        <v>12586</v>
      </c>
      <c r="B4287" s="50" t="s">
        <v>12404</v>
      </c>
      <c r="C4287" s="50" t="s">
        <v>12498</v>
      </c>
      <c r="D4287" s="12" t="s">
        <v>12499</v>
      </c>
      <c r="E4287" s="12" t="s">
        <v>4971</v>
      </c>
      <c r="F4287" s="49">
        <v>127240</v>
      </c>
      <c r="G4287" s="77" t="s">
        <v>5631</v>
      </c>
      <c r="H4287" s="14" t="s">
        <v>5601</v>
      </c>
      <c r="I4287" s="14" t="s">
        <v>2458</v>
      </c>
      <c r="J4287" s="33" t="s">
        <v>7110</v>
      </c>
      <c r="K4287" s="33" t="s">
        <v>12601</v>
      </c>
      <c r="L4287" s="53" t="s">
        <v>6054</v>
      </c>
      <c r="M4287" s="68" t="s">
        <v>8912</v>
      </c>
      <c r="N4287" s="53" t="s">
        <v>6285</v>
      </c>
      <c r="O4287" s="53">
        <v>55200</v>
      </c>
      <c r="P4287" s="198" t="s">
        <v>12220</v>
      </c>
    </row>
    <row r="4288" spans="1:16" ht="18.75" hidden="1">
      <c r="A4288" s="50" t="s">
        <v>12588</v>
      </c>
      <c r="B4288" s="50" t="s">
        <v>12479</v>
      </c>
      <c r="C4288" s="50" t="s">
        <v>12589</v>
      </c>
      <c r="D4288" s="12" t="s">
        <v>12583</v>
      </c>
      <c r="E4288" s="12" t="s">
        <v>4971</v>
      </c>
      <c r="F4288" s="49">
        <v>70680</v>
      </c>
      <c r="G4288" s="77" t="s">
        <v>12590</v>
      </c>
      <c r="H4288" s="14" t="s">
        <v>5601</v>
      </c>
      <c r="I4288" s="14" t="s">
        <v>2458</v>
      </c>
      <c r="J4288" s="33" t="s">
        <v>7110</v>
      </c>
      <c r="K4288" s="33" t="s">
        <v>12601</v>
      </c>
      <c r="L4288" s="53" t="s">
        <v>6054</v>
      </c>
      <c r="M4288" s="68" t="s">
        <v>8913</v>
      </c>
      <c r="N4288" s="53" t="s">
        <v>6076</v>
      </c>
      <c r="O4288" s="53">
        <v>55301</v>
      </c>
      <c r="P4288" s="198" t="s">
        <v>12425</v>
      </c>
    </row>
    <row r="4289" spans="1:16" ht="18.75" hidden="1">
      <c r="A4289" s="50" t="s">
        <v>12586</v>
      </c>
      <c r="B4289" s="50" t="s">
        <v>12404</v>
      </c>
      <c r="C4289" s="50" t="s">
        <v>12591</v>
      </c>
      <c r="D4289" s="12" t="s">
        <v>12509</v>
      </c>
      <c r="E4289" s="12" t="s">
        <v>4971</v>
      </c>
      <c r="F4289" s="49">
        <v>75700</v>
      </c>
      <c r="G4289" s="77" t="s">
        <v>5609</v>
      </c>
      <c r="H4289" s="14" t="s">
        <v>5601</v>
      </c>
      <c r="I4289" s="14" t="s">
        <v>2458</v>
      </c>
      <c r="J4289" s="33" t="s">
        <v>7110</v>
      </c>
      <c r="K4289" s="33" t="s">
        <v>12601</v>
      </c>
      <c r="L4289" s="53" t="s">
        <v>6054</v>
      </c>
      <c r="M4289" s="68" t="s">
        <v>8912</v>
      </c>
      <c r="N4289" s="53" t="s">
        <v>6285</v>
      </c>
      <c r="O4289" s="53">
        <v>55200</v>
      </c>
      <c r="P4289" s="198" t="s">
        <v>12221</v>
      </c>
    </row>
    <row r="4290" spans="1:16" ht="18.75" hidden="1">
      <c r="A4290" s="50" t="s">
        <v>12588</v>
      </c>
      <c r="B4290" s="50" t="s">
        <v>12479</v>
      </c>
      <c r="C4290" s="50" t="s">
        <v>12503</v>
      </c>
      <c r="D4290" s="12" t="s">
        <v>12380</v>
      </c>
      <c r="E4290" s="12" t="s">
        <v>4971</v>
      </c>
      <c r="F4290" s="49">
        <v>46480</v>
      </c>
      <c r="G4290" s="77" t="s">
        <v>5609</v>
      </c>
      <c r="H4290" s="14" t="s">
        <v>5601</v>
      </c>
      <c r="I4290" s="14" t="s">
        <v>2458</v>
      </c>
      <c r="J4290" s="33" t="s">
        <v>7110</v>
      </c>
      <c r="K4290" s="33" t="s">
        <v>12601</v>
      </c>
      <c r="L4290" s="53" t="s">
        <v>6054</v>
      </c>
      <c r="M4290" s="68" t="s">
        <v>8913</v>
      </c>
      <c r="N4290" s="53" t="s">
        <v>6076</v>
      </c>
      <c r="O4290" s="53">
        <v>55301</v>
      </c>
      <c r="P4290" s="198" t="s">
        <v>12218</v>
      </c>
    </row>
    <row r="4291" spans="1:16" ht="18.75" hidden="1">
      <c r="A4291" s="50" t="s">
        <v>12581</v>
      </c>
      <c r="B4291" s="50" t="s">
        <v>12499</v>
      </c>
      <c r="C4291" s="50" t="s">
        <v>12496</v>
      </c>
      <c r="D4291" s="12" t="s">
        <v>10008</v>
      </c>
      <c r="E4291" s="12" t="s">
        <v>4971</v>
      </c>
      <c r="F4291" s="49">
        <v>479140</v>
      </c>
      <c r="G4291" s="77" t="s">
        <v>5609</v>
      </c>
      <c r="H4291" s="14" t="s">
        <v>5601</v>
      </c>
      <c r="I4291" s="14" t="s">
        <v>2458</v>
      </c>
      <c r="J4291" s="33" t="s">
        <v>7110</v>
      </c>
      <c r="K4291" s="33" t="s">
        <v>12601</v>
      </c>
      <c r="L4291" s="53" t="s">
        <v>6054</v>
      </c>
      <c r="M4291" s="68" t="s">
        <v>8913</v>
      </c>
      <c r="N4291" s="53" t="s">
        <v>6076</v>
      </c>
      <c r="O4291" s="53">
        <v>55301</v>
      </c>
      <c r="P4291" s="198" t="s">
        <v>9790</v>
      </c>
    </row>
    <row r="4292" spans="1:16" ht="18.75" hidden="1">
      <c r="A4292" s="50" t="s">
        <v>12592</v>
      </c>
      <c r="B4292" s="50" t="s">
        <v>12404</v>
      </c>
      <c r="C4292" s="50" t="s">
        <v>12503</v>
      </c>
      <c r="D4292" s="12" t="s">
        <v>12380</v>
      </c>
      <c r="E4292" s="12" t="s">
        <v>4971</v>
      </c>
      <c r="F4292" s="49">
        <v>50000</v>
      </c>
      <c r="G4292" s="77" t="s">
        <v>5609</v>
      </c>
      <c r="H4292" s="14" t="s">
        <v>5601</v>
      </c>
      <c r="I4292" s="14" t="s">
        <v>2458</v>
      </c>
      <c r="J4292" s="33" t="s">
        <v>7110</v>
      </c>
      <c r="K4292" s="33" t="s">
        <v>12601</v>
      </c>
      <c r="L4292" s="53" t="s">
        <v>6054</v>
      </c>
      <c r="M4292" s="68" t="s">
        <v>8912</v>
      </c>
      <c r="N4292" s="53" t="s">
        <v>6076</v>
      </c>
      <c r="O4292" s="53">
        <v>55301</v>
      </c>
      <c r="P4292" s="198" t="s">
        <v>12218</v>
      </c>
    </row>
    <row r="4293" spans="1:16" ht="18.75" hidden="1">
      <c r="A4293" s="50" t="s">
        <v>12592</v>
      </c>
      <c r="B4293" s="50" t="s">
        <v>12404</v>
      </c>
      <c r="C4293" s="50" t="s">
        <v>12593</v>
      </c>
      <c r="D4293" s="12" t="s">
        <v>12477</v>
      </c>
      <c r="E4293" s="12" t="s">
        <v>4971</v>
      </c>
      <c r="F4293" s="49">
        <v>118390</v>
      </c>
      <c r="G4293" s="77" t="s">
        <v>12590</v>
      </c>
      <c r="H4293" s="14" t="s">
        <v>5601</v>
      </c>
      <c r="I4293" s="14" t="s">
        <v>2458</v>
      </c>
      <c r="J4293" s="33" t="s">
        <v>7110</v>
      </c>
      <c r="K4293" s="33" t="s">
        <v>12601</v>
      </c>
      <c r="L4293" s="53" t="s">
        <v>6054</v>
      </c>
      <c r="M4293" s="68" t="s">
        <v>8912</v>
      </c>
      <c r="N4293" s="53" t="s">
        <v>6076</v>
      </c>
      <c r="O4293" s="53">
        <v>55301</v>
      </c>
      <c r="P4293" s="198" t="s">
        <v>12425</v>
      </c>
    </row>
    <row r="4294" spans="1:16" ht="18.75" hidden="1">
      <c r="A4294" s="50" t="s">
        <v>12594</v>
      </c>
      <c r="B4294" s="50" t="s">
        <v>12479</v>
      </c>
      <c r="C4294" s="50" t="s">
        <v>12503</v>
      </c>
      <c r="D4294" s="12" t="s">
        <v>12380</v>
      </c>
      <c r="E4294" s="12" t="s">
        <v>4971</v>
      </c>
      <c r="F4294" s="49">
        <v>210750</v>
      </c>
      <c r="G4294" s="77" t="s">
        <v>5609</v>
      </c>
      <c r="H4294" s="14" t="s">
        <v>5601</v>
      </c>
      <c r="I4294" s="14" t="s">
        <v>2458</v>
      </c>
      <c r="J4294" s="33" t="s">
        <v>7110</v>
      </c>
      <c r="K4294" s="33" t="s">
        <v>12601</v>
      </c>
      <c r="L4294" s="53" t="s">
        <v>6054</v>
      </c>
      <c r="M4294" s="68" t="s">
        <v>8912</v>
      </c>
      <c r="N4294" s="53" t="s">
        <v>6076</v>
      </c>
      <c r="O4294" s="53">
        <v>55301</v>
      </c>
      <c r="P4294" s="198" t="s">
        <v>12218</v>
      </c>
    </row>
    <row r="4295" spans="1:16" ht="18.75" hidden="1">
      <c r="A4295" s="50" t="s">
        <v>12594</v>
      </c>
      <c r="B4295" s="50" t="s">
        <v>12479</v>
      </c>
      <c r="C4295" s="50" t="s">
        <v>12589</v>
      </c>
      <c r="D4295" s="12" t="s">
        <v>12583</v>
      </c>
      <c r="E4295" s="12" t="s">
        <v>4971</v>
      </c>
      <c r="F4295" s="49">
        <v>49030</v>
      </c>
      <c r="G4295" s="77" t="s">
        <v>12590</v>
      </c>
      <c r="H4295" s="14" t="s">
        <v>5601</v>
      </c>
      <c r="I4295" s="14" t="s">
        <v>2458</v>
      </c>
      <c r="J4295" s="33" t="s">
        <v>7110</v>
      </c>
      <c r="K4295" s="33" t="s">
        <v>12601</v>
      </c>
      <c r="L4295" s="53" t="s">
        <v>6054</v>
      </c>
      <c r="M4295" s="68" t="s">
        <v>8912</v>
      </c>
      <c r="N4295" s="53" t="s">
        <v>6076</v>
      </c>
      <c r="O4295" s="53">
        <v>55301</v>
      </c>
      <c r="P4295" s="198" t="s">
        <v>12425</v>
      </c>
    </row>
    <row r="4296" spans="1:16" ht="18.75" hidden="1">
      <c r="A4296" s="50" t="s">
        <v>12582</v>
      </c>
      <c r="B4296" s="50" t="s">
        <v>12583</v>
      </c>
      <c r="C4296" s="50" t="s">
        <v>12482</v>
      </c>
      <c r="D4296" s="12" t="s">
        <v>12367</v>
      </c>
      <c r="E4296" s="12" t="s">
        <v>4971</v>
      </c>
      <c r="F4296" s="49">
        <v>22860</v>
      </c>
      <c r="G4296" s="77" t="s">
        <v>5609</v>
      </c>
      <c r="H4296" s="14" t="s">
        <v>5601</v>
      </c>
      <c r="I4296" s="14" t="s">
        <v>2458</v>
      </c>
      <c r="J4296" s="33" t="s">
        <v>7110</v>
      </c>
      <c r="K4296" s="33" t="s">
        <v>12601</v>
      </c>
      <c r="L4296" s="53" t="s">
        <v>6054</v>
      </c>
      <c r="M4296" s="68" t="s">
        <v>8912</v>
      </c>
      <c r="N4296" s="53" t="s">
        <v>6286</v>
      </c>
      <c r="O4296" s="53">
        <v>55107</v>
      </c>
      <c r="P4296" s="198" t="s">
        <v>12218</v>
      </c>
    </row>
    <row r="4297" spans="1:16" ht="18.75" hidden="1">
      <c r="A4297" s="50" t="s">
        <v>12595</v>
      </c>
      <c r="B4297" s="50" t="s">
        <v>12479</v>
      </c>
      <c r="C4297" s="50" t="s">
        <v>12596</v>
      </c>
      <c r="D4297" s="12" t="s">
        <v>12485</v>
      </c>
      <c r="E4297" s="12" t="s">
        <v>4971</v>
      </c>
      <c r="F4297" s="49">
        <v>69240</v>
      </c>
      <c r="G4297" s="77" t="s">
        <v>5609</v>
      </c>
      <c r="H4297" s="14" t="s">
        <v>5601</v>
      </c>
      <c r="I4297" s="14" t="s">
        <v>2458</v>
      </c>
      <c r="J4297" s="33" t="s">
        <v>7110</v>
      </c>
      <c r="K4297" s="33" t="s">
        <v>12601</v>
      </c>
      <c r="L4297" s="53" t="s">
        <v>6054</v>
      </c>
      <c r="M4297" s="68" t="s">
        <v>8913</v>
      </c>
      <c r="N4297" s="53" t="s">
        <v>9836</v>
      </c>
      <c r="O4297" s="53">
        <v>55112</v>
      </c>
      <c r="P4297" s="198" t="s">
        <v>12218</v>
      </c>
    </row>
    <row r="4298" spans="1:16" ht="18.75" hidden="1">
      <c r="A4298" s="50" t="s">
        <v>12595</v>
      </c>
      <c r="B4298" s="50" t="s">
        <v>12479</v>
      </c>
      <c r="C4298" s="50" t="s">
        <v>12589</v>
      </c>
      <c r="D4298" s="12" t="s">
        <v>12583</v>
      </c>
      <c r="E4298" s="12" t="s">
        <v>4971</v>
      </c>
      <c r="F4298" s="49">
        <v>38900</v>
      </c>
      <c r="G4298" s="77" t="s">
        <v>12590</v>
      </c>
      <c r="H4298" s="14" t="s">
        <v>5601</v>
      </c>
      <c r="I4298" s="14" t="s">
        <v>2458</v>
      </c>
      <c r="J4298" s="33" t="s">
        <v>7110</v>
      </c>
      <c r="K4298" s="33" t="s">
        <v>12601</v>
      </c>
      <c r="L4298" s="53" t="s">
        <v>6054</v>
      </c>
      <c r="M4298" s="68" t="s">
        <v>8913</v>
      </c>
      <c r="N4298" s="53" t="s">
        <v>9836</v>
      </c>
      <c r="O4298" s="53">
        <v>55112</v>
      </c>
      <c r="P4298" s="198" t="s">
        <v>12425</v>
      </c>
    </row>
    <row r="4299" spans="1:16" ht="18.75" hidden="1">
      <c r="A4299" s="50" t="s">
        <v>12592</v>
      </c>
      <c r="B4299" s="50" t="s">
        <v>12404</v>
      </c>
      <c r="C4299" s="50" t="s">
        <v>12591</v>
      </c>
      <c r="D4299" s="12" t="s">
        <v>12509</v>
      </c>
      <c r="E4299" s="12" t="s">
        <v>4971</v>
      </c>
      <c r="F4299" s="49">
        <v>70160</v>
      </c>
      <c r="G4299" s="77" t="s">
        <v>5609</v>
      </c>
      <c r="H4299" s="14" t="s">
        <v>5601</v>
      </c>
      <c r="I4299" s="14" t="s">
        <v>2458</v>
      </c>
      <c r="J4299" s="33" t="s">
        <v>7110</v>
      </c>
      <c r="K4299" s="33" t="s">
        <v>12601</v>
      </c>
      <c r="L4299" s="53" t="s">
        <v>6054</v>
      </c>
      <c r="M4299" s="68" t="s">
        <v>8912</v>
      </c>
      <c r="N4299" s="53" t="s">
        <v>6076</v>
      </c>
      <c r="O4299" s="53">
        <v>55301</v>
      </c>
      <c r="P4299" s="198" t="s">
        <v>12221</v>
      </c>
    </row>
    <row r="4300" spans="1:16" ht="18.75" hidden="1">
      <c r="A4300" s="50" t="s">
        <v>12582</v>
      </c>
      <c r="B4300" s="50" t="s">
        <v>12583</v>
      </c>
      <c r="C4300" s="50" t="s">
        <v>12487</v>
      </c>
      <c r="D4300" s="12" t="s">
        <v>12374</v>
      </c>
      <c r="E4300" s="12" t="s">
        <v>4971</v>
      </c>
      <c r="F4300" s="49">
        <v>28160</v>
      </c>
      <c r="G4300" s="77" t="s">
        <v>5609</v>
      </c>
      <c r="H4300" s="14" t="s">
        <v>5601</v>
      </c>
      <c r="I4300" s="14" t="s">
        <v>2458</v>
      </c>
      <c r="J4300" s="33" t="s">
        <v>7110</v>
      </c>
      <c r="K4300" s="33" t="s">
        <v>12601</v>
      </c>
      <c r="L4300" s="53" t="s">
        <v>6054</v>
      </c>
      <c r="M4300" s="68" t="s">
        <v>8912</v>
      </c>
      <c r="N4300" s="53" t="s">
        <v>6286</v>
      </c>
      <c r="O4300" s="53">
        <v>55107</v>
      </c>
      <c r="P4300" s="198" t="s">
        <v>12218</v>
      </c>
    </row>
    <row r="4301" spans="1:16" ht="18.75" hidden="1">
      <c r="A4301" s="50" t="s">
        <v>12581</v>
      </c>
      <c r="B4301" s="50" t="s">
        <v>12499</v>
      </c>
      <c r="C4301" s="50" t="s">
        <v>10083</v>
      </c>
      <c r="D4301" s="12" t="s">
        <v>8793</v>
      </c>
      <c r="E4301" s="12" t="s">
        <v>4971</v>
      </c>
      <c r="F4301" s="49">
        <v>4260</v>
      </c>
      <c r="G4301" s="77" t="s">
        <v>5609</v>
      </c>
      <c r="H4301" s="14" t="s">
        <v>5601</v>
      </c>
      <c r="I4301" s="14" t="s">
        <v>2458</v>
      </c>
      <c r="J4301" s="33" t="s">
        <v>7110</v>
      </c>
      <c r="K4301" s="33" t="s">
        <v>12601</v>
      </c>
      <c r="L4301" s="53" t="s">
        <v>6054</v>
      </c>
      <c r="M4301" s="68" t="s">
        <v>8913</v>
      </c>
      <c r="N4301" s="53" t="s">
        <v>6076</v>
      </c>
      <c r="O4301" s="53">
        <v>55301</v>
      </c>
      <c r="P4301" s="198" t="s">
        <v>8726</v>
      </c>
    </row>
    <row r="4302" spans="1:16" ht="18.75" hidden="1">
      <c r="A4302" s="50" t="s">
        <v>12595</v>
      </c>
      <c r="B4302" s="50" t="s">
        <v>12479</v>
      </c>
      <c r="C4302" s="50" t="s">
        <v>12494</v>
      </c>
      <c r="D4302" s="12" t="s">
        <v>12466</v>
      </c>
      <c r="E4302" s="12" t="s">
        <v>4971</v>
      </c>
      <c r="F4302" s="49">
        <v>55760</v>
      </c>
      <c r="G4302" s="77" t="s">
        <v>12590</v>
      </c>
      <c r="H4302" s="14" t="s">
        <v>5601</v>
      </c>
      <c r="I4302" s="14" t="s">
        <v>2458</v>
      </c>
      <c r="J4302" s="33" t="s">
        <v>7110</v>
      </c>
      <c r="K4302" s="33" t="s">
        <v>12601</v>
      </c>
      <c r="L4302" s="53" t="s">
        <v>6054</v>
      </c>
      <c r="M4302" s="68" t="s">
        <v>8913</v>
      </c>
      <c r="N4302" s="53" t="s">
        <v>9836</v>
      </c>
      <c r="O4302" s="53">
        <v>55112</v>
      </c>
      <c r="P4302" s="198" t="s">
        <v>12425</v>
      </c>
    </row>
    <row r="4303" spans="1:16" ht="18.75" hidden="1">
      <c r="A4303" s="50" t="s">
        <v>12597</v>
      </c>
      <c r="B4303" s="50" t="s">
        <v>12404</v>
      </c>
      <c r="C4303" s="50" t="s">
        <v>12591</v>
      </c>
      <c r="D4303" s="12" t="s">
        <v>12509</v>
      </c>
      <c r="E4303" s="12" t="s">
        <v>4971</v>
      </c>
      <c r="F4303" s="49">
        <v>25530</v>
      </c>
      <c r="G4303" s="77" t="s">
        <v>5609</v>
      </c>
      <c r="H4303" s="14" t="s">
        <v>5601</v>
      </c>
      <c r="I4303" s="14" t="s">
        <v>2458</v>
      </c>
      <c r="J4303" s="33" t="s">
        <v>7110</v>
      </c>
      <c r="K4303" s="33" t="s">
        <v>12601</v>
      </c>
      <c r="L4303" s="53" t="s">
        <v>6054</v>
      </c>
      <c r="M4303" s="68" t="s">
        <v>8912</v>
      </c>
      <c r="N4303" s="53" t="s">
        <v>6286</v>
      </c>
      <c r="O4303" s="53">
        <v>55107</v>
      </c>
      <c r="P4303" s="198" t="s">
        <v>12221</v>
      </c>
    </row>
    <row r="4304" spans="1:16" ht="18.75" hidden="1">
      <c r="A4304" s="50" t="s">
        <v>12588</v>
      </c>
      <c r="B4304" s="50" t="s">
        <v>12479</v>
      </c>
      <c r="C4304" s="50" t="s">
        <v>12598</v>
      </c>
      <c r="D4304" s="12" t="s">
        <v>12359</v>
      </c>
      <c r="E4304" s="12" t="s">
        <v>4971</v>
      </c>
      <c r="F4304" s="49">
        <v>155490</v>
      </c>
      <c r="G4304" s="77" t="s">
        <v>5607</v>
      </c>
      <c r="H4304" s="14" t="s">
        <v>5601</v>
      </c>
      <c r="I4304" s="14" t="s">
        <v>2458</v>
      </c>
      <c r="J4304" s="33" t="s">
        <v>7110</v>
      </c>
      <c r="K4304" s="33" t="s">
        <v>12601</v>
      </c>
      <c r="L4304" s="53" t="s">
        <v>6054</v>
      </c>
      <c r="M4304" s="68" t="s">
        <v>8913</v>
      </c>
      <c r="N4304" s="53" t="s">
        <v>6076</v>
      </c>
      <c r="O4304" s="53">
        <v>55301</v>
      </c>
      <c r="P4304" s="198" t="s">
        <v>12306</v>
      </c>
    </row>
    <row r="4305" spans="1:16" ht="18.75" hidden="1">
      <c r="A4305" s="50" t="s">
        <v>12588</v>
      </c>
      <c r="B4305" s="50" t="s">
        <v>12479</v>
      </c>
      <c r="C4305" s="50" t="s">
        <v>12599</v>
      </c>
      <c r="D4305" s="12" t="s">
        <v>12499</v>
      </c>
      <c r="E4305" s="12" t="s">
        <v>4971</v>
      </c>
      <c r="F4305" s="49">
        <v>53010</v>
      </c>
      <c r="G4305" s="77" t="s">
        <v>5607</v>
      </c>
      <c r="H4305" s="14" t="s">
        <v>5601</v>
      </c>
      <c r="I4305" s="14" t="s">
        <v>2458</v>
      </c>
      <c r="J4305" s="33" t="s">
        <v>7110</v>
      </c>
      <c r="K4305" s="33" t="s">
        <v>12601</v>
      </c>
      <c r="L4305" s="53" t="s">
        <v>6054</v>
      </c>
      <c r="M4305" s="68" t="s">
        <v>8913</v>
      </c>
      <c r="N4305" s="53" t="s">
        <v>6076</v>
      </c>
      <c r="O4305" s="53">
        <v>55301</v>
      </c>
      <c r="P4305" s="198" t="s">
        <v>12306</v>
      </c>
    </row>
    <row r="4306" spans="1:16" ht="18.75" hidden="1">
      <c r="A4306" s="50" t="s">
        <v>12592</v>
      </c>
      <c r="B4306" s="50" t="s">
        <v>12404</v>
      </c>
      <c r="C4306" s="50" t="s">
        <v>12599</v>
      </c>
      <c r="D4306" s="12" t="s">
        <v>12499</v>
      </c>
      <c r="E4306" s="12" t="s">
        <v>4971</v>
      </c>
      <c r="F4306" s="49">
        <v>95120</v>
      </c>
      <c r="G4306" s="77" t="s">
        <v>5607</v>
      </c>
      <c r="H4306" s="14" t="s">
        <v>5601</v>
      </c>
      <c r="I4306" s="14" t="s">
        <v>2458</v>
      </c>
      <c r="J4306" s="33" t="s">
        <v>7110</v>
      </c>
      <c r="K4306" s="33" t="s">
        <v>12601</v>
      </c>
      <c r="L4306" s="53" t="s">
        <v>6054</v>
      </c>
      <c r="M4306" s="68" t="s">
        <v>8912</v>
      </c>
      <c r="N4306" s="53" t="s">
        <v>6076</v>
      </c>
      <c r="O4306" s="53">
        <v>55301</v>
      </c>
      <c r="P4306" s="198" t="s">
        <v>12306</v>
      </c>
    </row>
    <row r="4307" spans="1:16" ht="18.75" hidden="1">
      <c r="A4307" s="50" t="s">
        <v>12584</v>
      </c>
      <c r="B4307" s="50" t="s">
        <v>12477</v>
      </c>
      <c r="C4307" s="50" t="s">
        <v>12491</v>
      </c>
      <c r="D4307" s="12" t="s">
        <v>9997</v>
      </c>
      <c r="E4307" s="12" t="s">
        <v>4971</v>
      </c>
      <c r="F4307" s="49">
        <v>85950</v>
      </c>
      <c r="G4307" s="77" t="s">
        <v>5607</v>
      </c>
      <c r="H4307" s="14" t="s">
        <v>5601</v>
      </c>
      <c r="I4307" s="14" t="s">
        <v>2458</v>
      </c>
      <c r="J4307" s="33" t="e">
        <f>VLOOKUP(C4307,شرکتها!A:B,2,FALSE)</f>
        <v>#N/A</v>
      </c>
      <c r="K4307" s="33" t="s">
        <v>12601</v>
      </c>
      <c r="L4307" s="53" t="s">
        <v>6054</v>
      </c>
      <c r="M4307" s="68" t="s">
        <v>8913</v>
      </c>
      <c r="N4307" s="53" t="s">
        <v>6076</v>
      </c>
      <c r="O4307" s="53">
        <v>55301</v>
      </c>
      <c r="P4307" s="198" t="s">
        <v>9770</v>
      </c>
    </row>
    <row r="4308" spans="1:16" ht="18.75" hidden="1">
      <c r="A4308" s="50" t="s">
        <v>12584</v>
      </c>
      <c r="B4308" s="50" t="s">
        <v>12477</v>
      </c>
      <c r="C4308" s="50" t="s">
        <v>12598</v>
      </c>
      <c r="D4308" s="12" t="s">
        <v>12359</v>
      </c>
      <c r="E4308" s="12" t="s">
        <v>4971</v>
      </c>
      <c r="F4308" s="49">
        <v>104250</v>
      </c>
      <c r="G4308" s="77" t="s">
        <v>5607</v>
      </c>
      <c r="H4308" s="14" t="s">
        <v>5601</v>
      </c>
      <c r="I4308" s="14" t="s">
        <v>2458</v>
      </c>
      <c r="J4308" s="33" t="s">
        <v>7110</v>
      </c>
      <c r="K4308" s="33" t="s">
        <v>12601</v>
      </c>
      <c r="L4308" s="53" t="s">
        <v>6054</v>
      </c>
      <c r="M4308" s="68" t="s">
        <v>8913</v>
      </c>
      <c r="N4308" s="53" t="s">
        <v>6076</v>
      </c>
      <c r="O4308" s="53">
        <v>55301</v>
      </c>
      <c r="P4308" s="198" t="s">
        <v>12306</v>
      </c>
    </row>
    <row r="4309" spans="1:16" ht="18.75" hidden="1">
      <c r="A4309" s="50" t="s">
        <v>12586</v>
      </c>
      <c r="B4309" s="50" t="s">
        <v>12404</v>
      </c>
      <c r="C4309" s="50" t="s">
        <v>12508</v>
      </c>
      <c r="D4309" s="12" t="s">
        <v>12509</v>
      </c>
      <c r="E4309" s="12" t="s">
        <v>4971</v>
      </c>
      <c r="F4309" s="49">
        <v>108910</v>
      </c>
      <c r="G4309" s="77" t="s">
        <v>5631</v>
      </c>
      <c r="H4309" s="14" t="s">
        <v>5601</v>
      </c>
      <c r="I4309" s="14" t="s">
        <v>2458</v>
      </c>
      <c r="J4309" s="33" t="s">
        <v>7110</v>
      </c>
      <c r="K4309" s="33" t="s">
        <v>12601</v>
      </c>
      <c r="L4309" s="53" t="s">
        <v>6054</v>
      </c>
      <c r="M4309" s="68" t="s">
        <v>8912</v>
      </c>
      <c r="N4309" s="53" t="s">
        <v>6285</v>
      </c>
      <c r="O4309" s="53">
        <v>55200</v>
      </c>
      <c r="P4309" s="198" t="s">
        <v>12220</v>
      </c>
    </row>
    <row r="4310" spans="1:16" ht="18.75" hidden="1">
      <c r="A4310" s="50" t="s">
        <v>12600</v>
      </c>
      <c r="B4310" s="50" t="s">
        <v>12485</v>
      </c>
      <c r="C4310" s="50" t="s">
        <v>12378</v>
      </c>
      <c r="D4310" s="12" t="s">
        <v>10028</v>
      </c>
      <c r="E4310" s="12" t="s">
        <v>4971</v>
      </c>
      <c r="F4310" s="49">
        <v>68520</v>
      </c>
      <c r="G4310" s="77" t="s">
        <v>5609</v>
      </c>
      <c r="H4310" s="14" t="s">
        <v>5601</v>
      </c>
      <c r="I4310" s="14" t="s">
        <v>2458</v>
      </c>
      <c r="J4310" s="33" t="s">
        <v>7110</v>
      </c>
      <c r="K4310" s="33" t="s">
        <v>12601</v>
      </c>
      <c r="L4310" s="53" t="s">
        <v>6054</v>
      </c>
      <c r="M4310" s="68" t="s">
        <v>8913</v>
      </c>
      <c r="N4310" s="53" t="s">
        <v>6076</v>
      </c>
      <c r="O4310" s="53">
        <v>55301</v>
      </c>
      <c r="P4310" s="198" t="s">
        <v>9789</v>
      </c>
    </row>
    <row r="4311" spans="1:16" ht="18.75" hidden="1">
      <c r="A4311" s="50" t="s">
        <v>12600</v>
      </c>
      <c r="B4311" s="50" t="s">
        <v>12485</v>
      </c>
      <c r="C4311" s="50" t="s">
        <v>12382</v>
      </c>
      <c r="D4311" s="12" t="s">
        <v>10036</v>
      </c>
      <c r="E4311" s="12" t="s">
        <v>4971</v>
      </c>
      <c r="F4311" s="49">
        <v>232200</v>
      </c>
      <c r="G4311" s="77" t="s">
        <v>5609</v>
      </c>
      <c r="H4311" s="14" t="s">
        <v>5601</v>
      </c>
      <c r="I4311" s="14" t="s">
        <v>2458</v>
      </c>
      <c r="J4311" s="33" t="s">
        <v>7110</v>
      </c>
      <c r="K4311" s="33" t="s">
        <v>12601</v>
      </c>
      <c r="L4311" s="53" t="s">
        <v>6054</v>
      </c>
      <c r="M4311" s="68" t="s">
        <v>8913</v>
      </c>
      <c r="N4311" s="53" t="s">
        <v>6076</v>
      </c>
      <c r="O4311" s="53">
        <v>55301</v>
      </c>
      <c r="P4311" s="198" t="s">
        <v>9797</v>
      </c>
    </row>
    <row r="4312" spans="1:16" ht="18.75" hidden="1">
      <c r="A4312" s="50" t="s">
        <v>12602</v>
      </c>
      <c r="B4312" s="50" t="s">
        <v>12513</v>
      </c>
      <c r="C4312" s="50" t="s">
        <v>12603</v>
      </c>
      <c r="D4312" s="12" t="s">
        <v>12560</v>
      </c>
      <c r="E4312" s="12" t="s">
        <v>4971</v>
      </c>
      <c r="F4312" s="49">
        <v>23880</v>
      </c>
      <c r="G4312" s="77" t="s">
        <v>6300</v>
      </c>
      <c r="H4312" s="14" t="s">
        <v>5601</v>
      </c>
      <c r="I4312" s="14" t="s">
        <v>2458</v>
      </c>
      <c r="J4312" s="33" t="s">
        <v>7110</v>
      </c>
      <c r="K4312" s="33" t="s">
        <v>12662</v>
      </c>
      <c r="L4312" s="53" t="s">
        <v>6054</v>
      </c>
      <c r="M4312" s="68" t="s">
        <v>8912</v>
      </c>
      <c r="N4312" s="53" t="s">
        <v>6285</v>
      </c>
      <c r="O4312" s="53">
        <v>55200</v>
      </c>
      <c r="P4312" s="198" t="s">
        <v>12424</v>
      </c>
    </row>
    <row r="4313" spans="1:16" ht="18.75" hidden="1">
      <c r="A4313" s="50" t="s">
        <v>12604</v>
      </c>
      <c r="B4313" s="50" t="s">
        <v>12605</v>
      </c>
      <c r="C4313" s="50" t="s">
        <v>12606</v>
      </c>
      <c r="D4313" s="12" t="s">
        <v>12380</v>
      </c>
      <c r="E4313" s="12" t="s">
        <v>4971</v>
      </c>
      <c r="F4313" s="49">
        <v>221210</v>
      </c>
      <c r="G4313" s="77" t="s">
        <v>6454</v>
      </c>
      <c r="H4313" s="14" t="s">
        <v>5601</v>
      </c>
      <c r="I4313" s="14" t="s">
        <v>2458</v>
      </c>
      <c r="J4313" s="33" t="s">
        <v>7110</v>
      </c>
      <c r="K4313" s="33" t="s">
        <v>12662</v>
      </c>
      <c r="L4313" s="53" t="s">
        <v>6054</v>
      </c>
      <c r="M4313" s="68" t="s">
        <v>8912</v>
      </c>
      <c r="N4313" s="53" t="s">
        <v>6076</v>
      </c>
      <c r="O4313" s="53">
        <v>55301</v>
      </c>
      <c r="P4313" s="198" t="s">
        <v>12221</v>
      </c>
    </row>
    <row r="4314" spans="1:16" ht="18.75" hidden="1">
      <c r="A4314" s="50" t="s">
        <v>12604</v>
      </c>
      <c r="B4314" s="50" t="s">
        <v>12605</v>
      </c>
      <c r="C4314" s="50" t="s">
        <v>12607</v>
      </c>
      <c r="D4314" s="12" t="s">
        <v>12477</v>
      </c>
      <c r="E4314" s="12" t="s">
        <v>4971</v>
      </c>
      <c r="F4314" s="49">
        <v>93570</v>
      </c>
      <c r="G4314" s="77" t="s">
        <v>12608</v>
      </c>
      <c r="H4314" s="14" t="s">
        <v>5601</v>
      </c>
      <c r="I4314" s="14" t="s">
        <v>2458</v>
      </c>
      <c r="J4314" s="33" t="s">
        <v>7110</v>
      </c>
      <c r="K4314" s="33" t="s">
        <v>12662</v>
      </c>
      <c r="L4314" s="53" t="s">
        <v>6054</v>
      </c>
      <c r="M4314" s="68" t="s">
        <v>8912</v>
      </c>
      <c r="N4314" s="53" t="s">
        <v>6076</v>
      </c>
      <c r="O4314" s="53">
        <v>55301</v>
      </c>
      <c r="P4314" s="198" t="s">
        <v>12425</v>
      </c>
    </row>
    <row r="4315" spans="1:16" ht="18.75" hidden="1">
      <c r="A4315" s="50" t="s">
        <v>12604</v>
      </c>
      <c r="B4315" s="50" t="s">
        <v>12605</v>
      </c>
      <c r="C4315" s="50" t="s">
        <v>12609</v>
      </c>
      <c r="D4315" s="12" t="s">
        <v>12499</v>
      </c>
      <c r="E4315" s="12" t="s">
        <v>4971</v>
      </c>
      <c r="F4315" s="49">
        <v>40810</v>
      </c>
      <c r="G4315" s="77" t="s">
        <v>6454</v>
      </c>
      <c r="H4315" s="14" t="s">
        <v>5601</v>
      </c>
      <c r="I4315" s="14" t="s">
        <v>2458</v>
      </c>
      <c r="J4315" s="33" t="s">
        <v>7110</v>
      </c>
      <c r="K4315" s="33" t="s">
        <v>12662</v>
      </c>
      <c r="L4315" s="53" t="s">
        <v>6054</v>
      </c>
      <c r="M4315" s="68" t="s">
        <v>8912</v>
      </c>
      <c r="N4315" s="53" t="s">
        <v>6076</v>
      </c>
      <c r="O4315" s="53">
        <v>55301</v>
      </c>
      <c r="P4315" s="198" t="s">
        <v>12221</v>
      </c>
    </row>
    <row r="4316" spans="1:16" ht="18.75" hidden="1">
      <c r="A4316" s="50" t="s">
        <v>12610</v>
      </c>
      <c r="B4316" s="50" t="s">
        <v>12530</v>
      </c>
      <c r="C4316" s="50" t="s">
        <v>12611</v>
      </c>
      <c r="D4316" s="12" t="s">
        <v>12477</v>
      </c>
      <c r="E4316" s="12" t="s">
        <v>4971</v>
      </c>
      <c r="F4316" s="49">
        <v>86740</v>
      </c>
      <c r="G4316" s="77" t="s">
        <v>6453</v>
      </c>
      <c r="H4316" s="14" t="s">
        <v>5601</v>
      </c>
      <c r="I4316" s="14" t="s">
        <v>2458</v>
      </c>
      <c r="J4316" s="33" t="s">
        <v>7110</v>
      </c>
      <c r="K4316" s="33" t="s">
        <v>12662</v>
      </c>
      <c r="L4316" s="53" t="s">
        <v>6054</v>
      </c>
      <c r="M4316" s="68" t="s">
        <v>8913</v>
      </c>
      <c r="N4316" s="53" t="s">
        <v>6076</v>
      </c>
      <c r="O4316" s="53">
        <v>55301</v>
      </c>
      <c r="P4316" s="198" t="s">
        <v>12306</v>
      </c>
    </row>
    <row r="4317" spans="1:16" ht="18.75" hidden="1">
      <c r="A4317" s="50" t="s">
        <v>12612</v>
      </c>
      <c r="B4317" s="50" t="s">
        <v>12613</v>
      </c>
      <c r="C4317" s="50" t="s">
        <v>12614</v>
      </c>
      <c r="D4317" s="12" t="s">
        <v>12615</v>
      </c>
      <c r="E4317" s="12" t="s">
        <v>4971</v>
      </c>
      <c r="F4317" s="49">
        <v>89880</v>
      </c>
      <c r="G4317" s="77" t="s">
        <v>6453</v>
      </c>
      <c r="H4317" s="14" t="s">
        <v>5601</v>
      </c>
      <c r="I4317" s="14" t="s">
        <v>2458</v>
      </c>
      <c r="J4317" s="33" t="s">
        <v>7110</v>
      </c>
      <c r="K4317" s="33" t="s">
        <v>12662</v>
      </c>
      <c r="L4317" s="53" t="s">
        <v>6054</v>
      </c>
      <c r="M4317" s="68" t="s">
        <v>8913</v>
      </c>
      <c r="N4317" s="53" t="s">
        <v>6076</v>
      </c>
      <c r="O4317" s="53">
        <v>55301</v>
      </c>
      <c r="P4317" s="198" t="s">
        <v>12306</v>
      </c>
    </row>
    <row r="4318" spans="1:16" ht="18.75" hidden="1">
      <c r="A4318" s="50" t="s">
        <v>12602</v>
      </c>
      <c r="B4318" s="50" t="s">
        <v>12513</v>
      </c>
      <c r="C4318" s="50" t="s">
        <v>12616</v>
      </c>
      <c r="D4318" s="12" t="s">
        <v>12404</v>
      </c>
      <c r="E4318" s="12" t="s">
        <v>4971</v>
      </c>
      <c r="F4318" s="49">
        <v>150390</v>
      </c>
      <c r="G4318" s="77" t="s">
        <v>6453</v>
      </c>
      <c r="H4318" s="14" t="s">
        <v>5601</v>
      </c>
      <c r="I4318" s="14" t="s">
        <v>2458</v>
      </c>
      <c r="J4318" s="33" t="s">
        <v>7110</v>
      </c>
      <c r="K4318" s="33" t="s">
        <v>12662</v>
      </c>
      <c r="L4318" s="53" t="s">
        <v>6054</v>
      </c>
      <c r="M4318" s="68" t="s">
        <v>8912</v>
      </c>
      <c r="N4318" s="53" t="s">
        <v>6285</v>
      </c>
      <c r="O4318" s="53">
        <v>55200</v>
      </c>
      <c r="P4318" s="198" t="s">
        <v>12306</v>
      </c>
    </row>
    <row r="4319" spans="1:16" ht="18.75" hidden="1">
      <c r="A4319" s="50" t="s">
        <v>12604</v>
      </c>
      <c r="B4319" s="50" t="s">
        <v>12605</v>
      </c>
      <c r="C4319" s="50" t="s">
        <v>12617</v>
      </c>
      <c r="D4319" s="12" t="s">
        <v>12481</v>
      </c>
      <c r="E4319" s="12" t="s">
        <v>4971</v>
      </c>
      <c r="F4319" s="49">
        <v>47610</v>
      </c>
      <c r="G4319" s="77" t="s">
        <v>6453</v>
      </c>
      <c r="H4319" s="14" t="s">
        <v>5601</v>
      </c>
      <c r="I4319" s="14" t="s">
        <v>2458</v>
      </c>
      <c r="J4319" s="33" t="s">
        <v>7110</v>
      </c>
      <c r="K4319" s="33" t="s">
        <v>12662</v>
      </c>
      <c r="L4319" s="53" t="s">
        <v>6054</v>
      </c>
      <c r="M4319" s="68" t="s">
        <v>8912</v>
      </c>
      <c r="N4319" s="53" t="s">
        <v>6076</v>
      </c>
      <c r="O4319" s="53">
        <v>55301</v>
      </c>
      <c r="P4319" s="198" t="s">
        <v>12306</v>
      </c>
    </row>
    <row r="4320" spans="1:16" ht="18.75" hidden="1">
      <c r="A4320" s="50" t="s">
        <v>12612</v>
      </c>
      <c r="B4320" s="50" t="s">
        <v>12613</v>
      </c>
      <c r="C4320" s="50" t="s">
        <v>12617</v>
      </c>
      <c r="D4320" s="12" t="s">
        <v>12481</v>
      </c>
      <c r="E4320" s="12" t="s">
        <v>4971</v>
      </c>
      <c r="F4320" s="49">
        <v>86800</v>
      </c>
      <c r="G4320" s="77" t="s">
        <v>6453</v>
      </c>
      <c r="H4320" s="14" t="s">
        <v>5601</v>
      </c>
      <c r="I4320" s="14" t="s">
        <v>2458</v>
      </c>
      <c r="J4320" s="33" t="s">
        <v>7110</v>
      </c>
      <c r="K4320" s="33" t="s">
        <v>12662</v>
      </c>
      <c r="L4320" s="53" t="s">
        <v>6054</v>
      </c>
      <c r="M4320" s="68" t="s">
        <v>8913</v>
      </c>
      <c r="N4320" s="53" t="s">
        <v>6076</v>
      </c>
      <c r="O4320" s="53">
        <v>55301</v>
      </c>
      <c r="P4320" s="198" t="s">
        <v>12306</v>
      </c>
    </row>
    <row r="4321" spans="1:16" ht="18.75" hidden="1">
      <c r="A4321" s="50" t="s">
        <v>12610</v>
      </c>
      <c r="B4321" s="50" t="s">
        <v>12530</v>
      </c>
      <c r="C4321" s="50" t="s">
        <v>12618</v>
      </c>
      <c r="D4321" s="12" t="s">
        <v>12525</v>
      </c>
      <c r="E4321" s="12" t="s">
        <v>4971</v>
      </c>
      <c r="F4321" s="49">
        <v>69840</v>
      </c>
      <c r="G4321" s="77" t="s">
        <v>6454</v>
      </c>
      <c r="H4321" s="14" t="s">
        <v>5601</v>
      </c>
      <c r="I4321" s="14" t="s">
        <v>2458</v>
      </c>
      <c r="J4321" s="33" t="s">
        <v>7110</v>
      </c>
      <c r="K4321" s="33" t="s">
        <v>12662</v>
      </c>
      <c r="L4321" s="53" t="s">
        <v>6054</v>
      </c>
      <c r="M4321" s="68" t="s">
        <v>8913</v>
      </c>
      <c r="N4321" s="53" t="s">
        <v>6076</v>
      </c>
      <c r="O4321" s="53">
        <v>55301</v>
      </c>
      <c r="P4321" s="198" t="s">
        <v>12414</v>
      </c>
    </row>
    <row r="4322" spans="1:16" ht="18.75" hidden="1">
      <c r="A4322" s="50" t="s">
        <v>12619</v>
      </c>
      <c r="B4322" s="50" t="s">
        <v>12406</v>
      </c>
      <c r="C4322" s="50" t="s">
        <v>12617</v>
      </c>
      <c r="D4322" s="12" t="s">
        <v>12481</v>
      </c>
      <c r="E4322" s="12" t="s">
        <v>4971</v>
      </c>
      <c r="F4322" s="49">
        <v>134000</v>
      </c>
      <c r="G4322" s="77" t="s">
        <v>6453</v>
      </c>
      <c r="H4322" s="14" t="s">
        <v>5601</v>
      </c>
      <c r="I4322" s="14" t="s">
        <v>2458</v>
      </c>
      <c r="J4322" s="33" t="s">
        <v>7110</v>
      </c>
      <c r="K4322" s="33" t="s">
        <v>12662</v>
      </c>
      <c r="L4322" s="53" t="s">
        <v>6054</v>
      </c>
      <c r="M4322" s="68" t="s">
        <v>8912</v>
      </c>
      <c r="N4322" s="53" t="s">
        <v>6076</v>
      </c>
      <c r="O4322" s="53">
        <v>55301</v>
      </c>
      <c r="P4322" s="198" t="s">
        <v>12306</v>
      </c>
    </row>
    <row r="4323" spans="1:16" ht="18.75" hidden="1">
      <c r="A4323" s="50" t="s">
        <v>12619</v>
      </c>
      <c r="B4323" s="50" t="s">
        <v>12406</v>
      </c>
      <c r="C4323" s="50" t="s">
        <v>12593</v>
      </c>
      <c r="D4323" s="12" t="s">
        <v>12477</v>
      </c>
      <c r="E4323" s="12" t="s">
        <v>4971</v>
      </c>
      <c r="F4323" s="49">
        <v>50000</v>
      </c>
      <c r="G4323" s="77" t="s">
        <v>12608</v>
      </c>
      <c r="H4323" s="14" t="s">
        <v>5601</v>
      </c>
      <c r="I4323" s="14" t="s">
        <v>2458</v>
      </c>
      <c r="J4323" s="33" t="s">
        <v>7110</v>
      </c>
      <c r="K4323" s="33" t="s">
        <v>12662</v>
      </c>
      <c r="L4323" s="53" t="s">
        <v>6054</v>
      </c>
      <c r="M4323" s="68" t="s">
        <v>8912</v>
      </c>
      <c r="N4323" s="53" t="s">
        <v>6076</v>
      </c>
      <c r="O4323" s="53">
        <v>55301</v>
      </c>
      <c r="P4323" s="198" t="s">
        <v>12425</v>
      </c>
    </row>
    <row r="4324" spans="1:16" ht="18.75" hidden="1">
      <c r="A4324" s="50" t="s">
        <v>12620</v>
      </c>
      <c r="B4324" s="50" t="s">
        <v>12560</v>
      </c>
      <c r="C4324" s="50" t="s">
        <v>12606</v>
      </c>
      <c r="D4324" s="12" t="s">
        <v>12380</v>
      </c>
      <c r="E4324" s="12" t="s">
        <v>4971</v>
      </c>
      <c r="F4324" s="49">
        <v>235040</v>
      </c>
      <c r="G4324" s="77" t="s">
        <v>6454</v>
      </c>
      <c r="H4324" s="14" t="s">
        <v>5601</v>
      </c>
      <c r="I4324" s="14" t="s">
        <v>2458</v>
      </c>
      <c r="J4324" s="33" t="s">
        <v>7110</v>
      </c>
      <c r="K4324" s="33" t="s">
        <v>12662</v>
      </c>
      <c r="L4324" s="53" t="s">
        <v>6054</v>
      </c>
      <c r="M4324" s="68" t="s">
        <v>8912</v>
      </c>
      <c r="N4324" s="53" t="s">
        <v>6076</v>
      </c>
      <c r="O4324" s="53">
        <v>55301</v>
      </c>
      <c r="P4324" s="198" t="s">
        <v>12221</v>
      </c>
    </row>
    <row r="4325" spans="1:16" ht="18.75" hidden="1">
      <c r="A4325" s="50" t="s">
        <v>12621</v>
      </c>
      <c r="B4325" s="50" t="s">
        <v>12605</v>
      </c>
      <c r="C4325" s="50" t="s">
        <v>12606</v>
      </c>
      <c r="D4325" s="12" t="s">
        <v>12380</v>
      </c>
      <c r="E4325" s="12" t="s">
        <v>4971</v>
      </c>
      <c r="F4325" s="49">
        <v>530180</v>
      </c>
      <c r="G4325" s="77" t="s">
        <v>6454</v>
      </c>
      <c r="H4325" s="14" t="s">
        <v>5601</v>
      </c>
      <c r="I4325" s="14" t="s">
        <v>2458</v>
      </c>
      <c r="J4325" s="33" t="s">
        <v>7110</v>
      </c>
      <c r="K4325" s="33" t="s">
        <v>12662</v>
      </c>
      <c r="L4325" s="53" t="s">
        <v>6054</v>
      </c>
      <c r="M4325" s="68" t="s">
        <v>8913</v>
      </c>
      <c r="N4325" s="53" t="s">
        <v>6076</v>
      </c>
      <c r="O4325" s="53">
        <v>55301</v>
      </c>
      <c r="P4325" s="198" t="s">
        <v>12221</v>
      </c>
    </row>
    <row r="4326" spans="1:16" ht="18.75" hidden="1">
      <c r="A4326" s="50" t="s">
        <v>12621</v>
      </c>
      <c r="B4326" s="50" t="s">
        <v>12605</v>
      </c>
      <c r="C4326" s="50" t="s">
        <v>12607</v>
      </c>
      <c r="D4326" s="12" t="s">
        <v>12477</v>
      </c>
      <c r="E4326" s="12" t="s">
        <v>4971</v>
      </c>
      <c r="F4326" s="49">
        <v>70420</v>
      </c>
      <c r="G4326" s="77" t="s">
        <v>12608</v>
      </c>
      <c r="H4326" s="14" t="s">
        <v>5601</v>
      </c>
      <c r="I4326" s="14" t="s">
        <v>2458</v>
      </c>
      <c r="J4326" s="33" t="s">
        <v>7110</v>
      </c>
      <c r="K4326" s="33" t="s">
        <v>12662</v>
      </c>
      <c r="L4326" s="53" t="s">
        <v>6054</v>
      </c>
      <c r="M4326" s="68" t="s">
        <v>8913</v>
      </c>
      <c r="N4326" s="53" t="s">
        <v>6076</v>
      </c>
      <c r="O4326" s="53">
        <v>55301</v>
      </c>
      <c r="P4326" s="198" t="s">
        <v>12425</v>
      </c>
    </row>
    <row r="4327" spans="1:16" ht="18.75" hidden="1">
      <c r="A4327" s="50" t="s">
        <v>12619</v>
      </c>
      <c r="B4327" s="50" t="s">
        <v>12406</v>
      </c>
      <c r="C4327" s="50" t="s">
        <v>12606</v>
      </c>
      <c r="D4327" s="12" t="s">
        <v>12380</v>
      </c>
      <c r="E4327" s="12" t="s">
        <v>4971</v>
      </c>
      <c r="F4327" s="49">
        <v>25900</v>
      </c>
      <c r="G4327" s="77" t="s">
        <v>6454</v>
      </c>
      <c r="H4327" s="14" t="s">
        <v>5601</v>
      </c>
      <c r="I4327" s="14" t="s">
        <v>2458</v>
      </c>
      <c r="J4327" s="33" t="s">
        <v>7110</v>
      </c>
      <c r="K4327" s="33" t="s">
        <v>12662</v>
      </c>
      <c r="L4327" s="53" t="s">
        <v>6054</v>
      </c>
      <c r="M4327" s="68" t="s">
        <v>8912</v>
      </c>
      <c r="N4327" s="53" t="s">
        <v>6076</v>
      </c>
      <c r="O4327" s="53">
        <v>55301</v>
      </c>
      <c r="P4327" s="198" t="s">
        <v>12221</v>
      </c>
    </row>
    <row r="4328" spans="1:16" ht="18.75" hidden="1">
      <c r="A4328" s="50" t="s">
        <v>12622</v>
      </c>
      <c r="B4328" s="50" t="s">
        <v>12406</v>
      </c>
      <c r="C4328" s="50" t="s">
        <v>12623</v>
      </c>
      <c r="D4328" s="12" t="s">
        <v>9985</v>
      </c>
      <c r="E4328" s="12" t="s">
        <v>4971</v>
      </c>
      <c r="F4328" s="49">
        <v>120180</v>
      </c>
      <c r="G4328" s="77" t="s">
        <v>6298</v>
      </c>
      <c r="H4328" s="14" t="s">
        <v>5601</v>
      </c>
      <c r="I4328" s="14" t="s">
        <v>2458</v>
      </c>
      <c r="J4328" s="33" t="s">
        <v>7110</v>
      </c>
      <c r="K4328" s="33" t="s">
        <v>12662</v>
      </c>
      <c r="L4328" s="53" t="s">
        <v>6054</v>
      </c>
      <c r="M4328" s="68" t="s">
        <v>8912</v>
      </c>
      <c r="N4328" s="53" t="s">
        <v>6285</v>
      </c>
      <c r="O4328" s="53">
        <v>55200</v>
      </c>
      <c r="P4328" s="198" t="s">
        <v>9783</v>
      </c>
    </row>
    <row r="4329" spans="1:16" ht="18.75" hidden="1">
      <c r="A4329" s="50" t="s">
        <v>12624</v>
      </c>
      <c r="B4329" s="50" t="s">
        <v>12536</v>
      </c>
      <c r="C4329" s="50" t="s">
        <v>12618</v>
      </c>
      <c r="D4329" s="12" t="s">
        <v>12525</v>
      </c>
      <c r="E4329" s="12" t="s">
        <v>4971</v>
      </c>
      <c r="F4329" s="49">
        <v>35620</v>
      </c>
      <c r="G4329" s="77" t="s">
        <v>6454</v>
      </c>
      <c r="H4329" s="14" t="s">
        <v>5601</v>
      </c>
      <c r="I4329" s="14" t="s">
        <v>2458</v>
      </c>
      <c r="J4329" s="33" t="s">
        <v>7110</v>
      </c>
      <c r="K4329" s="33" t="s">
        <v>12662</v>
      </c>
      <c r="L4329" s="53" t="s">
        <v>6054</v>
      </c>
      <c r="M4329" s="68" t="s">
        <v>8912</v>
      </c>
      <c r="N4329" s="53" t="s">
        <v>6076</v>
      </c>
      <c r="O4329" s="53">
        <v>55301</v>
      </c>
      <c r="P4329" s="198" t="s">
        <v>12414</v>
      </c>
    </row>
    <row r="4330" spans="1:16" ht="18.75" hidden="1">
      <c r="A4330" s="50" t="s">
        <v>12620</v>
      </c>
      <c r="B4330" s="50" t="s">
        <v>12560</v>
      </c>
      <c r="C4330" s="50" t="s">
        <v>12617</v>
      </c>
      <c r="D4330" s="12" t="s">
        <v>12481</v>
      </c>
      <c r="E4330" s="12" t="s">
        <v>4971</v>
      </c>
      <c r="F4330" s="49">
        <v>49980</v>
      </c>
      <c r="G4330" s="77" t="s">
        <v>6453</v>
      </c>
      <c r="H4330" s="14" t="s">
        <v>5601</v>
      </c>
      <c r="I4330" s="14" t="s">
        <v>2458</v>
      </c>
      <c r="J4330" s="33" t="s">
        <v>7110</v>
      </c>
      <c r="K4330" s="33" t="s">
        <v>12662</v>
      </c>
      <c r="L4330" s="53" t="s">
        <v>6054</v>
      </c>
      <c r="M4330" s="68" t="s">
        <v>8912</v>
      </c>
      <c r="N4330" s="53" t="s">
        <v>6076</v>
      </c>
      <c r="O4330" s="53">
        <v>55301</v>
      </c>
      <c r="P4330" s="198" t="s">
        <v>12306</v>
      </c>
    </row>
    <row r="4331" spans="1:16" ht="18.75" hidden="1">
      <c r="A4331" s="50" t="s">
        <v>12620</v>
      </c>
      <c r="B4331" s="50" t="s">
        <v>12560</v>
      </c>
      <c r="C4331" s="50" t="s">
        <v>12593</v>
      </c>
      <c r="D4331" s="12" t="s">
        <v>12477</v>
      </c>
      <c r="E4331" s="12" t="s">
        <v>4971</v>
      </c>
      <c r="F4331" s="49">
        <v>98320</v>
      </c>
      <c r="G4331" s="77" t="s">
        <v>12608</v>
      </c>
      <c r="H4331" s="14" t="s">
        <v>5601</v>
      </c>
      <c r="I4331" s="14" t="s">
        <v>2458</v>
      </c>
      <c r="J4331" s="33" t="s">
        <v>7110</v>
      </c>
      <c r="K4331" s="33" t="s">
        <v>12662</v>
      </c>
      <c r="L4331" s="53" t="s">
        <v>6054</v>
      </c>
      <c r="M4331" s="68" t="s">
        <v>8912</v>
      </c>
      <c r="N4331" s="53" t="s">
        <v>6076</v>
      </c>
      <c r="O4331" s="53">
        <v>55301</v>
      </c>
      <c r="P4331" s="198" t="s">
        <v>12425</v>
      </c>
    </row>
    <row r="4332" spans="1:16" ht="18.75" hidden="1">
      <c r="A4332" s="50" t="s">
        <v>12621</v>
      </c>
      <c r="B4332" s="50" t="s">
        <v>12605</v>
      </c>
      <c r="C4332" s="50" t="s">
        <v>12617</v>
      </c>
      <c r="D4332" s="12" t="s">
        <v>12481</v>
      </c>
      <c r="E4332" s="12" t="s">
        <v>4971</v>
      </c>
      <c r="F4332" s="49">
        <v>24140</v>
      </c>
      <c r="G4332" s="77" t="s">
        <v>6453</v>
      </c>
      <c r="H4332" s="14" t="s">
        <v>5601</v>
      </c>
      <c r="I4332" s="14" t="s">
        <v>2458</v>
      </c>
      <c r="J4332" s="33" t="s">
        <v>7110</v>
      </c>
      <c r="K4332" s="33" t="s">
        <v>12662</v>
      </c>
      <c r="L4332" s="53" t="s">
        <v>6054</v>
      </c>
      <c r="M4332" s="68" t="s">
        <v>8913</v>
      </c>
      <c r="N4332" s="53" t="s">
        <v>6076</v>
      </c>
      <c r="O4332" s="53">
        <v>55301</v>
      </c>
      <c r="P4332" s="198" t="s">
        <v>12306</v>
      </c>
    </row>
    <row r="4333" spans="1:16" ht="18.75" hidden="1">
      <c r="A4333" s="50" t="s">
        <v>12625</v>
      </c>
      <c r="B4333" s="50" t="s">
        <v>12605</v>
      </c>
      <c r="C4333" s="50" t="s">
        <v>12609</v>
      </c>
      <c r="D4333" s="12" t="s">
        <v>12499</v>
      </c>
      <c r="E4333" s="12" t="s">
        <v>4971</v>
      </c>
      <c r="F4333" s="49">
        <v>221900</v>
      </c>
      <c r="G4333" s="77" t="s">
        <v>6454</v>
      </c>
      <c r="H4333" s="14" t="s">
        <v>5601</v>
      </c>
      <c r="I4333" s="14" t="s">
        <v>2458</v>
      </c>
      <c r="J4333" s="33" t="s">
        <v>7110</v>
      </c>
      <c r="K4333" s="33" t="s">
        <v>12662</v>
      </c>
      <c r="L4333" s="53" t="s">
        <v>6054</v>
      </c>
      <c r="M4333" s="68" t="s">
        <v>8912</v>
      </c>
      <c r="N4333" s="53" t="s">
        <v>6285</v>
      </c>
      <c r="O4333" s="53">
        <v>55200</v>
      </c>
      <c r="P4333" s="198" t="s">
        <v>12221</v>
      </c>
    </row>
    <row r="4334" spans="1:16" ht="18.75" hidden="1">
      <c r="A4334" s="50" t="s">
        <v>12626</v>
      </c>
      <c r="B4334" s="50" t="s">
        <v>12627</v>
      </c>
      <c r="C4334" s="50" t="s">
        <v>12609</v>
      </c>
      <c r="D4334" s="12" t="s">
        <v>12499</v>
      </c>
      <c r="E4334" s="12" t="s">
        <v>4971</v>
      </c>
      <c r="F4334" s="49">
        <v>221180</v>
      </c>
      <c r="G4334" s="77" t="s">
        <v>6454</v>
      </c>
      <c r="H4334" s="14" t="s">
        <v>5601</v>
      </c>
      <c r="I4334" s="14" t="s">
        <v>2458</v>
      </c>
      <c r="J4334" s="33" t="s">
        <v>7110</v>
      </c>
      <c r="K4334" s="33" t="s">
        <v>12662</v>
      </c>
      <c r="L4334" s="53" t="s">
        <v>6054</v>
      </c>
      <c r="M4334" s="68" t="s">
        <v>8913</v>
      </c>
      <c r="N4334" s="53" t="s">
        <v>9836</v>
      </c>
      <c r="O4334" s="53">
        <v>55112</v>
      </c>
      <c r="P4334" s="198" t="s">
        <v>12221</v>
      </c>
    </row>
    <row r="4335" spans="1:16" ht="18.75" hidden="1">
      <c r="A4335" s="50" t="s">
        <v>12625</v>
      </c>
      <c r="B4335" s="50" t="s">
        <v>12605</v>
      </c>
      <c r="C4335" s="50" t="s">
        <v>12603</v>
      </c>
      <c r="D4335" s="12" t="s">
        <v>12560</v>
      </c>
      <c r="E4335" s="12" t="s">
        <v>4971</v>
      </c>
      <c r="F4335" s="49">
        <v>395090</v>
      </c>
      <c r="G4335" s="77" t="s">
        <v>6300</v>
      </c>
      <c r="H4335" s="14" t="s">
        <v>5601</v>
      </c>
      <c r="I4335" s="14" t="s">
        <v>2458</v>
      </c>
      <c r="J4335" s="33" t="s">
        <v>7110</v>
      </c>
      <c r="K4335" s="33" t="s">
        <v>12662</v>
      </c>
      <c r="L4335" s="53" t="s">
        <v>6054</v>
      </c>
      <c r="M4335" s="68" t="s">
        <v>8912</v>
      </c>
      <c r="N4335" s="53" t="s">
        <v>6285</v>
      </c>
      <c r="O4335" s="53">
        <v>55200</v>
      </c>
      <c r="P4335" s="198" t="s">
        <v>12424</v>
      </c>
    </row>
    <row r="4336" spans="1:16" ht="18.75" hidden="1">
      <c r="A4336" s="50" t="s">
        <v>12628</v>
      </c>
      <c r="B4336" s="50" t="s">
        <v>12538</v>
      </c>
      <c r="C4336" s="50" t="s">
        <v>12629</v>
      </c>
      <c r="D4336" s="12" t="s">
        <v>10145</v>
      </c>
      <c r="E4336" s="12" t="s">
        <v>4971</v>
      </c>
      <c r="F4336" s="49">
        <v>1480</v>
      </c>
      <c r="G4336" s="77" t="s">
        <v>6454</v>
      </c>
      <c r="H4336" s="14" t="s">
        <v>5601</v>
      </c>
      <c r="I4336" s="14" t="s">
        <v>2458</v>
      </c>
      <c r="J4336" s="33" t="s">
        <v>7110</v>
      </c>
      <c r="K4336" s="33" t="s">
        <v>12662</v>
      </c>
      <c r="L4336" s="53" t="s">
        <v>6054</v>
      </c>
      <c r="M4336" s="68" t="s">
        <v>8912</v>
      </c>
      <c r="N4336" s="53" t="s">
        <v>6076</v>
      </c>
      <c r="O4336" s="53">
        <v>55301</v>
      </c>
      <c r="P4336" s="198" t="s">
        <v>12218</v>
      </c>
    </row>
    <row r="4337" spans="1:16" ht="18.75" hidden="1">
      <c r="A4337" s="50" t="s">
        <v>12628</v>
      </c>
      <c r="B4337" s="50" t="s">
        <v>12538</v>
      </c>
      <c r="C4337" s="50" t="s">
        <v>12593</v>
      </c>
      <c r="D4337" s="12" t="s">
        <v>12477</v>
      </c>
      <c r="E4337" s="12" t="s">
        <v>4971</v>
      </c>
      <c r="F4337" s="49">
        <v>144290</v>
      </c>
      <c r="G4337" s="77" t="s">
        <v>12608</v>
      </c>
      <c r="H4337" s="14" t="s">
        <v>5601</v>
      </c>
      <c r="I4337" s="14" t="s">
        <v>2458</v>
      </c>
      <c r="J4337" s="33" t="s">
        <v>7110</v>
      </c>
      <c r="K4337" s="33" t="s">
        <v>12662</v>
      </c>
      <c r="L4337" s="53" t="s">
        <v>6054</v>
      </c>
      <c r="M4337" s="68" t="s">
        <v>8912</v>
      </c>
      <c r="N4337" s="53" t="s">
        <v>6076</v>
      </c>
      <c r="O4337" s="53">
        <v>55301</v>
      </c>
      <c r="P4337" s="198" t="s">
        <v>12425</v>
      </c>
    </row>
    <row r="4338" spans="1:16" ht="18.75" hidden="1">
      <c r="A4338" s="50" t="s">
        <v>12630</v>
      </c>
      <c r="B4338" s="50" t="s">
        <v>12513</v>
      </c>
      <c r="C4338" s="50" t="s">
        <v>12616</v>
      </c>
      <c r="D4338" s="12" t="s">
        <v>12404</v>
      </c>
      <c r="E4338" s="12" t="s">
        <v>4971</v>
      </c>
      <c r="F4338" s="49">
        <v>162540</v>
      </c>
      <c r="G4338" s="77" t="s">
        <v>6453</v>
      </c>
      <c r="H4338" s="14" t="s">
        <v>5601</v>
      </c>
      <c r="I4338" s="14" t="s">
        <v>2458</v>
      </c>
      <c r="J4338" s="33" t="s">
        <v>7110</v>
      </c>
      <c r="K4338" s="33" t="s">
        <v>12662</v>
      </c>
      <c r="L4338" s="53" t="s">
        <v>6054</v>
      </c>
      <c r="M4338" s="68" t="s">
        <v>8913</v>
      </c>
      <c r="N4338" s="53" t="s">
        <v>6076</v>
      </c>
      <c r="O4338" s="53">
        <v>55301</v>
      </c>
      <c r="P4338" s="198" t="s">
        <v>12306</v>
      </c>
    </row>
    <row r="4339" spans="1:16" ht="18.75" hidden="1">
      <c r="A4339" s="50" t="s">
        <v>12628</v>
      </c>
      <c r="B4339" s="50" t="s">
        <v>12538</v>
      </c>
      <c r="C4339" s="50" t="s">
        <v>12631</v>
      </c>
      <c r="D4339" s="12" t="s">
        <v>12507</v>
      </c>
      <c r="E4339" s="12" t="s">
        <v>4971</v>
      </c>
      <c r="F4339" s="49">
        <v>94260</v>
      </c>
      <c r="G4339" s="77" t="s">
        <v>6454</v>
      </c>
      <c r="H4339" s="14" t="s">
        <v>5601</v>
      </c>
      <c r="I4339" s="14" t="s">
        <v>2458</v>
      </c>
      <c r="J4339" s="33" t="s">
        <v>7110</v>
      </c>
      <c r="K4339" s="33" t="s">
        <v>12662</v>
      </c>
      <c r="L4339" s="53" t="s">
        <v>6054</v>
      </c>
      <c r="M4339" s="68" t="s">
        <v>8912</v>
      </c>
      <c r="N4339" s="53" t="s">
        <v>6076</v>
      </c>
      <c r="O4339" s="53">
        <v>55301</v>
      </c>
      <c r="P4339" s="198" t="s">
        <v>12221</v>
      </c>
    </row>
    <row r="4340" spans="1:16" ht="18.75" hidden="1">
      <c r="A4340" s="50" t="s">
        <v>12632</v>
      </c>
      <c r="B4340" s="50" t="s">
        <v>12627</v>
      </c>
      <c r="C4340" s="50" t="s">
        <v>12614</v>
      </c>
      <c r="D4340" s="12" t="s">
        <v>12615</v>
      </c>
      <c r="E4340" s="12" t="s">
        <v>4971</v>
      </c>
      <c r="F4340" s="49">
        <v>210120</v>
      </c>
      <c r="G4340" s="77" t="s">
        <v>6453</v>
      </c>
      <c r="H4340" s="14" t="s">
        <v>5601</v>
      </c>
      <c r="I4340" s="14" t="s">
        <v>2458</v>
      </c>
      <c r="J4340" s="33" t="s">
        <v>7110</v>
      </c>
      <c r="K4340" s="33" t="s">
        <v>12662</v>
      </c>
      <c r="L4340" s="53" t="s">
        <v>6054</v>
      </c>
      <c r="M4340" s="68" t="s">
        <v>8913</v>
      </c>
      <c r="N4340" s="53" t="s">
        <v>6076</v>
      </c>
      <c r="O4340" s="53">
        <v>55301</v>
      </c>
      <c r="P4340" s="198" t="s">
        <v>12306</v>
      </c>
    </row>
    <row r="4341" spans="1:16" ht="18.75" hidden="1">
      <c r="A4341" s="50" t="s">
        <v>12633</v>
      </c>
      <c r="B4341" s="50" t="s">
        <v>12536</v>
      </c>
      <c r="C4341" s="50" t="s">
        <v>12616</v>
      </c>
      <c r="D4341" s="12" t="s">
        <v>12404</v>
      </c>
      <c r="E4341" s="12" t="s">
        <v>4971</v>
      </c>
      <c r="F4341" s="49">
        <v>33830</v>
      </c>
      <c r="G4341" s="77" t="s">
        <v>6453</v>
      </c>
      <c r="H4341" s="14" t="s">
        <v>5601</v>
      </c>
      <c r="I4341" s="14" t="s">
        <v>2458</v>
      </c>
      <c r="J4341" s="33" t="s">
        <v>7110</v>
      </c>
      <c r="K4341" s="33" t="s">
        <v>12662</v>
      </c>
      <c r="L4341" s="53" t="s">
        <v>6054</v>
      </c>
      <c r="M4341" s="68" t="s">
        <v>8912</v>
      </c>
      <c r="N4341" s="53" t="s">
        <v>6285</v>
      </c>
      <c r="O4341" s="53">
        <v>55200</v>
      </c>
      <c r="P4341" s="198" t="s">
        <v>12306</v>
      </c>
    </row>
    <row r="4342" spans="1:16" ht="18.75" hidden="1">
      <c r="A4342" s="50" t="s">
        <v>12633</v>
      </c>
      <c r="B4342" s="50" t="s">
        <v>12536</v>
      </c>
      <c r="C4342" s="50" t="s">
        <v>12603</v>
      </c>
      <c r="D4342" s="12" t="s">
        <v>12560</v>
      </c>
      <c r="E4342" s="12" t="s">
        <v>4971</v>
      </c>
      <c r="F4342" s="49">
        <v>75220</v>
      </c>
      <c r="G4342" s="77" t="s">
        <v>6300</v>
      </c>
      <c r="H4342" s="14" t="s">
        <v>5601</v>
      </c>
      <c r="I4342" s="14" t="s">
        <v>2458</v>
      </c>
      <c r="J4342" s="33" t="s">
        <v>7110</v>
      </c>
      <c r="K4342" s="33" t="s">
        <v>12662</v>
      </c>
      <c r="L4342" s="53" t="s">
        <v>6054</v>
      </c>
      <c r="M4342" s="68" t="s">
        <v>8912</v>
      </c>
      <c r="N4342" s="53" t="s">
        <v>6285</v>
      </c>
      <c r="O4342" s="53">
        <v>55200</v>
      </c>
      <c r="P4342" s="198" t="s">
        <v>12424</v>
      </c>
    </row>
    <row r="4343" spans="1:16" ht="18.75" hidden="1">
      <c r="A4343" s="50" t="s">
        <v>12634</v>
      </c>
      <c r="B4343" s="50" t="s">
        <v>12530</v>
      </c>
      <c r="C4343" s="50" t="s">
        <v>12618</v>
      </c>
      <c r="D4343" s="12" t="s">
        <v>12525</v>
      </c>
      <c r="E4343" s="12" t="s">
        <v>4971</v>
      </c>
      <c r="F4343" s="49">
        <v>274730</v>
      </c>
      <c r="G4343" s="77" t="s">
        <v>6454</v>
      </c>
      <c r="H4343" s="14" t="s">
        <v>5601</v>
      </c>
      <c r="I4343" s="14" t="s">
        <v>2458</v>
      </c>
      <c r="J4343" s="33" t="s">
        <v>7110</v>
      </c>
      <c r="K4343" s="33" t="s">
        <v>12662</v>
      </c>
      <c r="L4343" s="53" t="s">
        <v>6054</v>
      </c>
      <c r="M4343" s="68" t="s">
        <v>8912</v>
      </c>
      <c r="N4343" s="53" t="s">
        <v>6285</v>
      </c>
      <c r="O4343" s="53">
        <v>55200</v>
      </c>
      <c r="P4343" s="198" t="s">
        <v>12414</v>
      </c>
    </row>
    <row r="4344" spans="1:16" ht="18.75" hidden="1">
      <c r="A4344" s="50" t="s">
        <v>12635</v>
      </c>
      <c r="B4344" s="50" t="s">
        <v>12560</v>
      </c>
      <c r="C4344" s="50" t="s">
        <v>12606</v>
      </c>
      <c r="D4344" s="12" t="s">
        <v>12380</v>
      </c>
      <c r="E4344" s="12" t="s">
        <v>4971</v>
      </c>
      <c r="F4344" s="49">
        <v>76490</v>
      </c>
      <c r="G4344" s="77" t="s">
        <v>6454</v>
      </c>
      <c r="H4344" s="14" t="s">
        <v>5601</v>
      </c>
      <c r="I4344" s="14" t="s">
        <v>2458</v>
      </c>
      <c r="J4344" s="33" t="s">
        <v>7110</v>
      </c>
      <c r="K4344" s="33" t="s">
        <v>12662</v>
      </c>
      <c r="L4344" s="53" t="s">
        <v>6054</v>
      </c>
      <c r="M4344" s="68" t="s">
        <v>8912</v>
      </c>
      <c r="N4344" s="53" t="s">
        <v>6285</v>
      </c>
      <c r="O4344" s="53">
        <v>55200</v>
      </c>
      <c r="P4344" s="198" t="s">
        <v>12221</v>
      </c>
    </row>
    <row r="4345" spans="1:16" ht="18.75" hidden="1">
      <c r="A4345" s="50" t="s">
        <v>12636</v>
      </c>
      <c r="B4345" s="50" t="s">
        <v>12627</v>
      </c>
      <c r="C4345" s="50" t="s">
        <v>12607</v>
      </c>
      <c r="D4345" s="12" t="s">
        <v>12477</v>
      </c>
      <c r="E4345" s="12" t="s">
        <v>4971</v>
      </c>
      <c r="F4345" s="49">
        <v>86010</v>
      </c>
      <c r="G4345" s="77" t="s">
        <v>12608</v>
      </c>
      <c r="H4345" s="14" t="s">
        <v>5601</v>
      </c>
      <c r="I4345" s="14" t="s">
        <v>2458</v>
      </c>
      <c r="J4345" s="33" t="s">
        <v>7110</v>
      </c>
      <c r="K4345" s="33" t="s">
        <v>12662</v>
      </c>
      <c r="L4345" s="53" t="s">
        <v>6054</v>
      </c>
      <c r="M4345" s="68" t="s">
        <v>8912</v>
      </c>
      <c r="N4345" s="53" t="s">
        <v>6076</v>
      </c>
      <c r="O4345" s="53">
        <v>55301</v>
      </c>
      <c r="P4345" s="198" t="s">
        <v>12425</v>
      </c>
    </row>
    <row r="4346" spans="1:16" ht="18.75" hidden="1">
      <c r="A4346" s="50" t="s">
        <v>12632</v>
      </c>
      <c r="B4346" s="50" t="s">
        <v>12627</v>
      </c>
      <c r="C4346" s="50" t="s">
        <v>12637</v>
      </c>
      <c r="D4346" s="12" t="s">
        <v>12406</v>
      </c>
      <c r="E4346" s="12" t="s">
        <v>4971</v>
      </c>
      <c r="F4346" s="49">
        <v>95760</v>
      </c>
      <c r="G4346" s="77" t="s">
        <v>12608</v>
      </c>
      <c r="H4346" s="14" t="s">
        <v>5601</v>
      </c>
      <c r="I4346" s="14" t="s">
        <v>2458</v>
      </c>
      <c r="J4346" s="33" t="s">
        <v>7110</v>
      </c>
      <c r="K4346" s="33" t="s">
        <v>12662</v>
      </c>
      <c r="L4346" s="53" t="s">
        <v>6054</v>
      </c>
      <c r="M4346" s="68" t="s">
        <v>8913</v>
      </c>
      <c r="N4346" s="53" t="s">
        <v>6076</v>
      </c>
      <c r="O4346" s="53">
        <v>55301</v>
      </c>
      <c r="P4346" s="198" t="s">
        <v>12425</v>
      </c>
    </row>
    <row r="4347" spans="1:16" ht="18.75" hidden="1">
      <c r="A4347" s="50" t="s">
        <v>12632</v>
      </c>
      <c r="B4347" s="50" t="s">
        <v>12627</v>
      </c>
      <c r="C4347" s="50" t="s">
        <v>12638</v>
      </c>
      <c r="D4347" s="12" t="s">
        <v>12481</v>
      </c>
      <c r="E4347" s="12" t="s">
        <v>4971</v>
      </c>
      <c r="F4347" s="49">
        <v>94800</v>
      </c>
      <c r="G4347" s="77" t="s">
        <v>6454</v>
      </c>
      <c r="H4347" s="14" t="s">
        <v>5601</v>
      </c>
      <c r="I4347" s="14" t="s">
        <v>2458</v>
      </c>
      <c r="J4347" s="33" t="s">
        <v>7110</v>
      </c>
      <c r="K4347" s="33" t="s">
        <v>12662</v>
      </c>
      <c r="L4347" s="53" t="s">
        <v>6054</v>
      </c>
      <c r="M4347" s="68" t="s">
        <v>8913</v>
      </c>
      <c r="N4347" s="53" t="s">
        <v>6076</v>
      </c>
      <c r="O4347" s="53">
        <v>55301</v>
      </c>
      <c r="P4347" s="198" t="s">
        <v>12221</v>
      </c>
    </row>
    <row r="4348" spans="1:16" ht="18.75" hidden="1">
      <c r="A4348" s="50" t="s">
        <v>12639</v>
      </c>
      <c r="B4348" s="50" t="s">
        <v>12533</v>
      </c>
      <c r="C4348" s="50" t="s">
        <v>12640</v>
      </c>
      <c r="D4348" s="12" t="s">
        <v>10052</v>
      </c>
      <c r="E4348" s="12" t="s">
        <v>4971</v>
      </c>
      <c r="F4348" s="49">
        <v>226570</v>
      </c>
      <c r="G4348" s="77" t="s">
        <v>6298</v>
      </c>
      <c r="H4348" s="14" t="s">
        <v>5601</v>
      </c>
      <c r="I4348" s="14" t="s">
        <v>2458</v>
      </c>
      <c r="J4348" s="33" t="s">
        <v>7110</v>
      </c>
      <c r="K4348" s="33" t="s">
        <v>12662</v>
      </c>
      <c r="L4348" s="53" t="s">
        <v>6054</v>
      </c>
      <c r="M4348" s="68" t="s">
        <v>8912</v>
      </c>
      <c r="N4348" s="53" t="s">
        <v>6285</v>
      </c>
      <c r="O4348" s="53">
        <v>55200</v>
      </c>
      <c r="P4348" s="198" t="s">
        <v>9769</v>
      </c>
    </row>
    <row r="4349" spans="1:16" ht="18.75" hidden="1">
      <c r="A4349" s="50" t="s">
        <v>12639</v>
      </c>
      <c r="B4349" s="50" t="s">
        <v>12533</v>
      </c>
      <c r="C4349" s="50" t="s">
        <v>12606</v>
      </c>
      <c r="D4349" s="12" t="s">
        <v>12380</v>
      </c>
      <c r="E4349" s="12" t="s">
        <v>4971</v>
      </c>
      <c r="F4349" s="49">
        <v>122250</v>
      </c>
      <c r="G4349" s="77" t="s">
        <v>6454</v>
      </c>
      <c r="H4349" s="14" t="s">
        <v>5601</v>
      </c>
      <c r="I4349" s="14" t="s">
        <v>2458</v>
      </c>
      <c r="J4349" s="33" t="s">
        <v>7110</v>
      </c>
      <c r="K4349" s="33" t="s">
        <v>12662</v>
      </c>
      <c r="L4349" s="53" t="s">
        <v>6054</v>
      </c>
      <c r="M4349" s="68" t="s">
        <v>8912</v>
      </c>
      <c r="N4349" s="53" t="s">
        <v>6285</v>
      </c>
      <c r="O4349" s="53">
        <v>55200</v>
      </c>
      <c r="P4349" s="198" t="s">
        <v>12221</v>
      </c>
    </row>
    <row r="4350" spans="1:16" ht="18.75" hidden="1">
      <c r="A4350" s="50" t="s">
        <v>12641</v>
      </c>
      <c r="B4350" s="50" t="s">
        <v>12533</v>
      </c>
      <c r="C4350" s="50" t="s">
        <v>12640</v>
      </c>
      <c r="D4350" s="12" t="s">
        <v>10052</v>
      </c>
      <c r="E4350" s="12" t="s">
        <v>4971</v>
      </c>
      <c r="F4350" s="49">
        <v>21160</v>
      </c>
      <c r="G4350" s="77" t="s">
        <v>6298</v>
      </c>
      <c r="H4350" s="14" t="s">
        <v>5601</v>
      </c>
      <c r="I4350" s="14" t="s">
        <v>2458</v>
      </c>
      <c r="J4350" s="33" t="s">
        <v>7110</v>
      </c>
      <c r="K4350" s="33" t="s">
        <v>12662</v>
      </c>
      <c r="L4350" s="53" t="s">
        <v>6054</v>
      </c>
      <c r="M4350" s="68" t="s">
        <v>8912</v>
      </c>
      <c r="N4350" s="53" t="s">
        <v>6285</v>
      </c>
      <c r="O4350" s="53">
        <v>55200</v>
      </c>
      <c r="P4350" s="198" t="s">
        <v>9769</v>
      </c>
    </row>
    <row r="4351" spans="1:16" ht="18.75" hidden="1">
      <c r="A4351" s="50" t="s">
        <v>12642</v>
      </c>
      <c r="B4351" s="50" t="s">
        <v>12613</v>
      </c>
      <c r="C4351" s="50" t="s">
        <v>12638</v>
      </c>
      <c r="D4351" s="12" t="s">
        <v>12481</v>
      </c>
      <c r="E4351" s="12" t="s">
        <v>4971</v>
      </c>
      <c r="F4351" s="49">
        <v>75040</v>
      </c>
      <c r="G4351" s="77" t="s">
        <v>6454</v>
      </c>
      <c r="H4351" s="14" t="s">
        <v>5601</v>
      </c>
      <c r="I4351" s="14" t="s">
        <v>2458</v>
      </c>
      <c r="J4351" s="33" t="s">
        <v>7110</v>
      </c>
      <c r="K4351" s="33" t="s">
        <v>12662</v>
      </c>
      <c r="L4351" s="53" t="s">
        <v>6054</v>
      </c>
      <c r="M4351" s="68" t="s">
        <v>8912</v>
      </c>
      <c r="N4351" s="53" t="s">
        <v>6285</v>
      </c>
      <c r="O4351" s="53">
        <v>55200</v>
      </c>
      <c r="P4351" s="198" t="s">
        <v>12221</v>
      </c>
    </row>
    <row r="4352" spans="1:16" ht="18.75" hidden="1">
      <c r="A4352" s="50" t="s">
        <v>12634</v>
      </c>
      <c r="B4352" s="50" t="s">
        <v>12530</v>
      </c>
      <c r="C4352" s="50" t="s">
        <v>12611</v>
      </c>
      <c r="D4352" s="12" t="s">
        <v>12477</v>
      </c>
      <c r="E4352" s="12" t="s">
        <v>4971</v>
      </c>
      <c r="F4352" s="49">
        <v>49120</v>
      </c>
      <c r="G4352" s="77" t="s">
        <v>6453</v>
      </c>
      <c r="H4352" s="14" t="s">
        <v>5601</v>
      </c>
      <c r="I4352" s="14" t="s">
        <v>2458</v>
      </c>
      <c r="J4352" s="33" t="s">
        <v>7110</v>
      </c>
      <c r="K4352" s="33" t="s">
        <v>12662</v>
      </c>
      <c r="L4352" s="53" t="s">
        <v>6054</v>
      </c>
      <c r="M4352" s="68" t="s">
        <v>8912</v>
      </c>
      <c r="N4352" s="53" t="s">
        <v>6285</v>
      </c>
      <c r="O4352" s="53">
        <v>55200</v>
      </c>
      <c r="P4352" s="198" t="s">
        <v>12306</v>
      </c>
    </row>
    <row r="4353" spans="1:16" ht="18.75" hidden="1">
      <c r="A4353" s="50" t="s">
        <v>12641</v>
      </c>
      <c r="B4353" s="50" t="s">
        <v>12533</v>
      </c>
      <c r="C4353" s="50" t="s">
        <v>12623</v>
      </c>
      <c r="D4353" s="12" t="s">
        <v>9985</v>
      </c>
      <c r="E4353" s="12" t="s">
        <v>4971</v>
      </c>
      <c r="F4353" s="49">
        <v>77150</v>
      </c>
      <c r="G4353" s="77" t="s">
        <v>6298</v>
      </c>
      <c r="H4353" s="14" t="s">
        <v>5601</v>
      </c>
      <c r="I4353" s="14" t="s">
        <v>2458</v>
      </c>
      <c r="J4353" s="33" t="s">
        <v>7110</v>
      </c>
      <c r="K4353" s="33" t="s">
        <v>12662</v>
      </c>
      <c r="L4353" s="53" t="s">
        <v>6054</v>
      </c>
      <c r="M4353" s="68" t="s">
        <v>8912</v>
      </c>
      <c r="N4353" s="53" t="s">
        <v>6285</v>
      </c>
      <c r="O4353" s="53">
        <v>55200</v>
      </c>
      <c r="P4353" s="198" t="s">
        <v>9783</v>
      </c>
    </row>
    <row r="4354" spans="1:16" ht="18.75" hidden="1">
      <c r="A4354" s="50" t="s">
        <v>12636</v>
      </c>
      <c r="B4354" s="50" t="s">
        <v>12627</v>
      </c>
      <c r="C4354" s="50" t="s">
        <v>12617</v>
      </c>
      <c r="D4354" s="12" t="s">
        <v>12481</v>
      </c>
      <c r="E4354" s="12" t="s">
        <v>4971</v>
      </c>
      <c r="F4354" s="49">
        <v>33510</v>
      </c>
      <c r="G4354" s="77" t="s">
        <v>6453</v>
      </c>
      <c r="H4354" s="14" t="s">
        <v>5601</v>
      </c>
      <c r="I4354" s="14" t="s">
        <v>2458</v>
      </c>
      <c r="J4354" s="33" t="s">
        <v>7110</v>
      </c>
      <c r="K4354" s="33" t="s">
        <v>12662</v>
      </c>
      <c r="L4354" s="53" t="s">
        <v>6054</v>
      </c>
      <c r="M4354" s="68" t="s">
        <v>8912</v>
      </c>
      <c r="N4354" s="53" t="s">
        <v>6076</v>
      </c>
      <c r="O4354" s="53">
        <v>55301</v>
      </c>
      <c r="P4354" s="198" t="s">
        <v>12306</v>
      </c>
    </row>
    <row r="4355" spans="1:16" ht="18.75" hidden="1">
      <c r="A4355" s="50" t="s">
        <v>12643</v>
      </c>
      <c r="B4355" s="50" t="s">
        <v>12536</v>
      </c>
      <c r="C4355" s="50" t="s">
        <v>12616</v>
      </c>
      <c r="D4355" s="12" t="s">
        <v>12404</v>
      </c>
      <c r="E4355" s="12" t="s">
        <v>4971</v>
      </c>
      <c r="F4355" s="49">
        <v>303240</v>
      </c>
      <c r="G4355" s="77" t="s">
        <v>6453</v>
      </c>
      <c r="H4355" s="14" t="s">
        <v>5601</v>
      </c>
      <c r="I4355" s="14" t="s">
        <v>2458</v>
      </c>
      <c r="J4355" s="33" t="s">
        <v>7110</v>
      </c>
      <c r="K4355" s="33" t="s">
        <v>12662</v>
      </c>
      <c r="L4355" s="53" t="s">
        <v>6054</v>
      </c>
      <c r="M4355" s="68" t="s">
        <v>8913</v>
      </c>
      <c r="N4355" s="53" t="s">
        <v>6076</v>
      </c>
      <c r="O4355" s="53">
        <v>55301</v>
      </c>
      <c r="P4355" s="198" t="s">
        <v>12306</v>
      </c>
    </row>
    <row r="4356" spans="1:16" ht="18.75" hidden="1">
      <c r="A4356" s="50" t="s">
        <v>12644</v>
      </c>
      <c r="B4356" s="50" t="s">
        <v>12538</v>
      </c>
      <c r="C4356" s="50" t="s">
        <v>12629</v>
      </c>
      <c r="D4356" s="12" t="s">
        <v>10145</v>
      </c>
      <c r="E4356" s="12" t="s">
        <v>4971</v>
      </c>
      <c r="F4356" s="49">
        <v>498520</v>
      </c>
      <c r="G4356" s="77" t="s">
        <v>6454</v>
      </c>
      <c r="H4356" s="14" t="s">
        <v>5601</v>
      </c>
      <c r="I4356" s="14" t="s">
        <v>2458</v>
      </c>
      <c r="J4356" s="33" t="s">
        <v>7110</v>
      </c>
      <c r="K4356" s="33" t="s">
        <v>12662</v>
      </c>
      <c r="L4356" s="53" t="s">
        <v>6054</v>
      </c>
      <c r="M4356" s="68" t="s">
        <v>8913</v>
      </c>
      <c r="N4356" s="53" t="s">
        <v>6076</v>
      </c>
      <c r="O4356" s="53">
        <v>55301</v>
      </c>
      <c r="P4356" s="198" t="s">
        <v>12218</v>
      </c>
    </row>
    <row r="4357" spans="1:16" ht="18.75" hidden="1">
      <c r="A4357" s="50" t="s">
        <v>12645</v>
      </c>
      <c r="B4357" s="50" t="s">
        <v>12627</v>
      </c>
      <c r="C4357" s="50" t="s">
        <v>12603</v>
      </c>
      <c r="D4357" s="12" t="s">
        <v>12560</v>
      </c>
      <c r="E4357" s="12" t="s">
        <v>4971</v>
      </c>
      <c r="F4357" s="49">
        <v>227410</v>
      </c>
      <c r="G4357" s="77" t="s">
        <v>6300</v>
      </c>
      <c r="H4357" s="14" t="s">
        <v>5601</v>
      </c>
      <c r="I4357" s="14" t="s">
        <v>2458</v>
      </c>
      <c r="J4357" s="33" t="s">
        <v>7110</v>
      </c>
      <c r="K4357" s="33" t="s">
        <v>12662</v>
      </c>
      <c r="L4357" s="53" t="s">
        <v>6054</v>
      </c>
      <c r="M4357" s="68" t="s">
        <v>8912</v>
      </c>
      <c r="N4357" s="53" t="s">
        <v>6285</v>
      </c>
      <c r="O4357" s="53">
        <v>55200</v>
      </c>
      <c r="P4357" s="198" t="s">
        <v>12424</v>
      </c>
    </row>
    <row r="4358" spans="1:16" ht="18.75" hidden="1">
      <c r="A4358" s="50" t="s">
        <v>12635</v>
      </c>
      <c r="B4358" s="50" t="s">
        <v>12560</v>
      </c>
      <c r="C4358" s="50" t="s">
        <v>12623</v>
      </c>
      <c r="D4358" s="12" t="s">
        <v>9985</v>
      </c>
      <c r="E4358" s="12" t="s">
        <v>4971</v>
      </c>
      <c r="F4358" s="49">
        <v>102470</v>
      </c>
      <c r="G4358" s="77" t="s">
        <v>6298</v>
      </c>
      <c r="H4358" s="14" t="s">
        <v>5601</v>
      </c>
      <c r="I4358" s="14" t="s">
        <v>2458</v>
      </c>
      <c r="J4358" s="33" t="s">
        <v>7110</v>
      </c>
      <c r="K4358" s="33" t="s">
        <v>12662</v>
      </c>
      <c r="L4358" s="53" t="s">
        <v>6054</v>
      </c>
      <c r="M4358" s="68" t="s">
        <v>8912</v>
      </c>
      <c r="N4358" s="53" t="s">
        <v>6285</v>
      </c>
      <c r="O4358" s="53">
        <v>55200</v>
      </c>
      <c r="P4358" s="198" t="s">
        <v>9783</v>
      </c>
    </row>
    <row r="4359" spans="1:16" ht="18.75" hidden="1">
      <c r="A4359" s="50" t="s">
        <v>12636</v>
      </c>
      <c r="B4359" s="50" t="s">
        <v>12627</v>
      </c>
      <c r="C4359" s="50" t="s">
        <v>12609</v>
      </c>
      <c r="D4359" s="12" t="s">
        <v>12499</v>
      </c>
      <c r="E4359" s="12" t="s">
        <v>4971</v>
      </c>
      <c r="F4359" s="49">
        <v>238970</v>
      </c>
      <c r="G4359" s="77" t="s">
        <v>6454</v>
      </c>
      <c r="H4359" s="14" t="s">
        <v>5601</v>
      </c>
      <c r="I4359" s="14" t="s">
        <v>2458</v>
      </c>
      <c r="J4359" s="33" t="s">
        <v>7110</v>
      </c>
      <c r="K4359" s="33" t="s">
        <v>12662</v>
      </c>
      <c r="L4359" s="53" t="s">
        <v>6054</v>
      </c>
      <c r="M4359" s="68" t="s">
        <v>8912</v>
      </c>
      <c r="N4359" s="53" t="s">
        <v>6076</v>
      </c>
      <c r="O4359" s="53">
        <v>55301</v>
      </c>
      <c r="P4359" s="198" t="s">
        <v>12221</v>
      </c>
    </row>
    <row r="4360" spans="1:16" ht="18.75" hidden="1">
      <c r="A4360" s="50" t="s">
        <v>12632</v>
      </c>
      <c r="B4360" s="50" t="s">
        <v>12627</v>
      </c>
      <c r="C4360" s="50" t="s">
        <v>12609</v>
      </c>
      <c r="D4360" s="12" t="s">
        <v>12499</v>
      </c>
      <c r="E4360" s="12" t="s">
        <v>4971</v>
      </c>
      <c r="F4360" s="49">
        <v>281820</v>
      </c>
      <c r="G4360" s="77" t="s">
        <v>6454</v>
      </c>
      <c r="H4360" s="14" t="s">
        <v>5601</v>
      </c>
      <c r="I4360" s="14" t="s">
        <v>2458</v>
      </c>
      <c r="J4360" s="33" t="s">
        <v>7110</v>
      </c>
      <c r="K4360" s="33" t="s">
        <v>12662</v>
      </c>
      <c r="L4360" s="53" t="s">
        <v>6054</v>
      </c>
      <c r="M4360" s="68" t="s">
        <v>8913</v>
      </c>
      <c r="N4360" s="53" t="s">
        <v>6076</v>
      </c>
      <c r="O4360" s="53">
        <v>55301</v>
      </c>
      <c r="P4360" s="198" t="s">
        <v>12221</v>
      </c>
    </row>
    <row r="4361" spans="1:16" ht="18.75" hidden="1">
      <c r="A4361" s="50" t="s">
        <v>12633</v>
      </c>
      <c r="B4361" s="50" t="s">
        <v>12536</v>
      </c>
      <c r="C4361" s="50" t="s">
        <v>12611</v>
      </c>
      <c r="D4361" s="12" t="s">
        <v>12477</v>
      </c>
      <c r="E4361" s="12" t="s">
        <v>4971</v>
      </c>
      <c r="F4361" s="49">
        <v>144780</v>
      </c>
      <c r="G4361" s="77" t="s">
        <v>6453</v>
      </c>
      <c r="H4361" s="14" t="s">
        <v>5601</v>
      </c>
      <c r="I4361" s="14" t="s">
        <v>2458</v>
      </c>
      <c r="J4361" s="33" t="s">
        <v>7110</v>
      </c>
      <c r="K4361" s="33" t="s">
        <v>12662</v>
      </c>
      <c r="L4361" s="53" t="s">
        <v>6054</v>
      </c>
      <c r="M4361" s="68" t="s">
        <v>8912</v>
      </c>
      <c r="N4361" s="53" t="s">
        <v>6285</v>
      </c>
      <c r="O4361" s="53">
        <v>55200</v>
      </c>
      <c r="P4361" s="198" t="s">
        <v>12306</v>
      </c>
    </row>
    <row r="4362" spans="1:16" ht="18.75" hidden="1">
      <c r="A4362" s="50" t="s">
        <v>12644</v>
      </c>
      <c r="B4362" s="50" t="s">
        <v>12538</v>
      </c>
      <c r="C4362" s="50" t="s">
        <v>12497</v>
      </c>
      <c r="D4362" s="12" t="s">
        <v>12485</v>
      </c>
      <c r="E4362" s="12" t="s">
        <v>4971</v>
      </c>
      <c r="F4362" s="49">
        <v>70740</v>
      </c>
      <c r="G4362" s="77" t="s">
        <v>6454</v>
      </c>
      <c r="H4362" s="14" t="s">
        <v>5601</v>
      </c>
      <c r="I4362" s="14" t="s">
        <v>2458</v>
      </c>
      <c r="J4362" s="33" t="s">
        <v>7110</v>
      </c>
      <c r="K4362" s="33" t="s">
        <v>12662</v>
      </c>
      <c r="L4362" s="53" t="s">
        <v>6054</v>
      </c>
      <c r="M4362" s="68" t="s">
        <v>8913</v>
      </c>
      <c r="N4362" s="53" t="s">
        <v>6076</v>
      </c>
      <c r="O4362" s="53">
        <v>55301</v>
      </c>
      <c r="P4362" s="198" t="s">
        <v>12221</v>
      </c>
    </row>
    <row r="4363" spans="1:16" ht="18.75" hidden="1">
      <c r="A4363" s="50" t="s">
        <v>12646</v>
      </c>
      <c r="B4363" s="50" t="s">
        <v>12560</v>
      </c>
      <c r="C4363" s="50" t="s">
        <v>12617</v>
      </c>
      <c r="D4363" s="12" t="s">
        <v>12481</v>
      </c>
      <c r="E4363" s="12" t="s">
        <v>4971</v>
      </c>
      <c r="F4363" s="49">
        <v>80950</v>
      </c>
      <c r="G4363" s="77" t="s">
        <v>6453</v>
      </c>
      <c r="H4363" s="14" t="s">
        <v>5601</v>
      </c>
      <c r="I4363" s="14" t="s">
        <v>2458</v>
      </c>
      <c r="J4363" s="33" t="s">
        <v>7110</v>
      </c>
      <c r="K4363" s="33" t="s">
        <v>12662</v>
      </c>
      <c r="L4363" s="53" t="s">
        <v>6054</v>
      </c>
      <c r="M4363" s="68" t="s">
        <v>8913</v>
      </c>
      <c r="N4363" s="53" t="s">
        <v>6076</v>
      </c>
      <c r="O4363" s="53">
        <v>55301</v>
      </c>
      <c r="P4363" s="198" t="s">
        <v>12306</v>
      </c>
    </row>
    <row r="4364" spans="1:16" ht="18.75" hidden="1">
      <c r="A4364" s="50" t="s">
        <v>12644</v>
      </c>
      <c r="B4364" s="50" t="s">
        <v>12538</v>
      </c>
      <c r="C4364" s="50" t="s">
        <v>12591</v>
      </c>
      <c r="D4364" s="12" t="s">
        <v>12509</v>
      </c>
      <c r="E4364" s="12" t="s">
        <v>4971</v>
      </c>
      <c r="F4364" s="49">
        <v>203580</v>
      </c>
      <c r="G4364" s="77" t="s">
        <v>6454</v>
      </c>
      <c r="H4364" s="14" t="s">
        <v>5601</v>
      </c>
      <c r="I4364" s="14" t="s">
        <v>2458</v>
      </c>
      <c r="J4364" s="33" t="s">
        <v>7110</v>
      </c>
      <c r="K4364" s="33" t="s">
        <v>12662</v>
      </c>
      <c r="L4364" s="53" t="s">
        <v>6054</v>
      </c>
      <c r="M4364" s="68" t="s">
        <v>8913</v>
      </c>
      <c r="N4364" s="53" t="s">
        <v>6076</v>
      </c>
      <c r="O4364" s="53">
        <v>55301</v>
      </c>
      <c r="P4364" s="198" t="s">
        <v>12221</v>
      </c>
    </row>
    <row r="4365" spans="1:16" ht="18.75" hidden="1">
      <c r="A4365" s="50" t="s">
        <v>12645</v>
      </c>
      <c r="B4365" s="50" t="s">
        <v>12627</v>
      </c>
      <c r="C4365" s="50" t="s">
        <v>12609</v>
      </c>
      <c r="D4365" s="12" t="s">
        <v>12499</v>
      </c>
      <c r="E4365" s="12" t="s">
        <v>4971</v>
      </c>
      <c r="F4365" s="49">
        <v>124720</v>
      </c>
      <c r="G4365" s="77" t="s">
        <v>6454</v>
      </c>
      <c r="H4365" s="14" t="s">
        <v>5601</v>
      </c>
      <c r="I4365" s="14" t="s">
        <v>2458</v>
      </c>
      <c r="J4365" s="33" t="s">
        <v>7110</v>
      </c>
      <c r="K4365" s="33" t="s">
        <v>12662</v>
      </c>
      <c r="L4365" s="53" t="s">
        <v>6054</v>
      </c>
      <c r="M4365" s="68" t="s">
        <v>8912</v>
      </c>
      <c r="N4365" s="53" t="s">
        <v>6285</v>
      </c>
      <c r="O4365" s="53">
        <v>55200</v>
      </c>
      <c r="P4365" s="198" t="s">
        <v>12221</v>
      </c>
    </row>
    <row r="4366" spans="1:16" ht="18.75" hidden="1">
      <c r="A4366" s="50" t="s">
        <v>12647</v>
      </c>
      <c r="B4366" s="50" t="s">
        <v>12627</v>
      </c>
      <c r="C4366" s="50" t="s">
        <v>12609</v>
      </c>
      <c r="D4366" s="12" t="s">
        <v>12499</v>
      </c>
      <c r="E4366" s="12" t="s">
        <v>4971</v>
      </c>
      <c r="F4366" s="49">
        <v>120600</v>
      </c>
      <c r="G4366" s="77" t="s">
        <v>6454</v>
      </c>
      <c r="H4366" s="14" t="s">
        <v>5601</v>
      </c>
      <c r="I4366" s="14" t="s">
        <v>2458</v>
      </c>
      <c r="J4366" s="33" t="s">
        <v>7110</v>
      </c>
      <c r="K4366" s="33" t="s">
        <v>12662</v>
      </c>
      <c r="L4366" s="53" t="s">
        <v>6054</v>
      </c>
      <c r="M4366" s="68" t="s">
        <v>8913</v>
      </c>
      <c r="N4366" s="53" t="s">
        <v>6286</v>
      </c>
      <c r="O4366" s="53">
        <v>55107</v>
      </c>
      <c r="P4366" s="198" t="s">
        <v>12221</v>
      </c>
    </row>
    <row r="4367" spans="1:16" ht="18.75" hidden="1">
      <c r="A4367" s="50" t="s">
        <v>12648</v>
      </c>
      <c r="B4367" s="50" t="s">
        <v>12649</v>
      </c>
      <c r="C4367" s="50" t="s">
        <v>12650</v>
      </c>
      <c r="D4367" s="12" t="s">
        <v>12525</v>
      </c>
      <c r="E4367" s="12" t="s">
        <v>4971</v>
      </c>
      <c r="F4367" s="49">
        <v>96120</v>
      </c>
      <c r="G4367" s="77" t="s">
        <v>6453</v>
      </c>
      <c r="H4367" s="14" t="s">
        <v>5601</v>
      </c>
      <c r="I4367" s="14" t="s">
        <v>2458</v>
      </c>
      <c r="J4367" s="33" t="s">
        <v>7110</v>
      </c>
      <c r="K4367" s="33" t="s">
        <v>12662</v>
      </c>
      <c r="L4367" s="53" t="s">
        <v>6054</v>
      </c>
      <c r="M4367" s="68" t="s">
        <v>8913</v>
      </c>
      <c r="N4367" s="53" t="s">
        <v>6076</v>
      </c>
      <c r="O4367" s="53">
        <v>55301</v>
      </c>
      <c r="P4367" s="198" t="s">
        <v>12306</v>
      </c>
    </row>
    <row r="4368" spans="1:16" ht="18.75" hidden="1">
      <c r="A4368" s="50" t="s">
        <v>12646</v>
      </c>
      <c r="B4368" s="50" t="s">
        <v>12560</v>
      </c>
      <c r="C4368" s="50" t="s">
        <v>12606</v>
      </c>
      <c r="D4368" s="12" t="s">
        <v>12380</v>
      </c>
      <c r="E4368" s="12" t="s">
        <v>4971</v>
      </c>
      <c r="F4368" s="49">
        <v>70920</v>
      </c>
      <c r="G4368" s="77" t="s">
        <v>6454</v>
      </c>
      <c r="H4368" s="14" t="s">
        <v>5601</v>
      </c>
      <c r="I4368" s="14" t="s">
        <v>2458</v>
      </c>
      <c r="J4368" s="33" t="s">
        <v>7110</v>
      </c>
      <c r="K4368" s="33" t="s">
        <v>12662</v>
      </c>
      <c r="L4368" s="53" t="s">
        <v>6054</v>
      </c>
      <c r="M4368" s="68" t="s">
        <v>8913</v>
      </c>
      <c r="N4368" s="53" t="s">
        <v>6076</v>
      </c>
      <c r="O4368" s="53">
        <v>55301</v>
      </c>
      <c r="P4368" s="198" t="s">
        <v>12221</v>
      </c>
    </row>
    <row r="4369" spans="1:16" ht="18.75" hidden="1">
      <c r="A4369" s="50" t="s">
        <v>12651</v>
      </c>
      <c r="B4369" s="50" t="s">
        <v>12649</v>
      </c>
      <c r="C4369" s="50" t="s">
        <v>12494</v>
      </c>
      <c r="D4369" s="12" t="s">
        <v>12466</v>
      </c>
      <c r="E4369" s="12" t="s">
        <v>4971</v>
      </c>
      <c r="F4369" s="49">
        <v>860</v>
      </c>
      <c r="G4369" s="77" t="s">
        <v>12608</v>
      </c>
      <c r="H4369" s="14" t="s">
        <v>5601</v>
      </c>
      <c r="I4369" s="14" t="s">
        <v>2458</v>
      </c>
      <c r="J4369" s="33" t="s">
        <v>7110</v>
      </c>
      <c r="K4369" s="33" t="s">
        <v>12662</v>
      </c>
      <c r="L4369" s="53" t="s">
        <v>6054</v>
      </c>
      <c r="M4369" s="68" t="s">
        <v>8912</v>
      </c>
      <c r="N4369" s="53" t="s">
        <v>6076</v>
      </c>
      <c r="O4369" s="53">
        <v>55301</v>
      </c>
      <c r="P4369" s="198" t="s">
        <v>12425</v>
      </c>
    </row>
    <row r="4370" spans="1:16" ht="18.75" hidden="1">
      <c r="A4370" s="50" t="s">
        <v>12639</v>
      </c>
      <c r="B4370" s="50" t="s">
        <v>12533</v>
      </c>
      <c r="C4370" s="50" t="s">
        <v>12617</v>
      </c>
      <c r="D4370" s="12" t="s">
        <v>12481</v>
      </c>
      <c r="E4370" s="12" t="s">
        <v>4971</v>
      </c>
      <c r="F4370" s="49">
        <v>47090</v>
      </c>
      <c r="G4370" s="77" t="s">
        <v>6453</v>
      </c>
      <c r="H4370" s="14" t="s">
        <v>5601</v>
      </c>
      <c r="I4370" s="14" t="s">
        <v>2458</v>
      </c>
      <c r="J4370" s="33" t="s">
        <v>7110</v>
      </c>
      <c r="K4370" s="33" t="s">
        <v>12662</v>
      </c>
      <c r="L4370" s="53" t="s">
        <v>6054</v>
      </c>
      <c r="M4370" s="68" t="s">
        <v>8912</v>
      </c>
      <c r="N4370" s="53" t="s">
        <v>6285</v>
      </c>
      <c r="O4370" s="53">
        <v>55200</v>
      </c>
      <c r="P4370" s="198" t="s">
        <v>12306</v>
      </c>
    </row>
    <row r="4371" spans="1:16" ht="18.75" hidden="1">
      <c r="A4371" s="50" t="s">
        <v>12642</v>
      </c>
      <c r="B4371" s="50" t="s">
        <v>12613</v>
      </c>
      <c r="C4371" s="50" t="s">
        <v>12617</v>
      </c>
      <c r="D4371" s="12" t="s">
        <v>12481</v>
      </c>
      <c r="E4371" s="12" t="s">
        <v>4971</v>
      </c>
      <c r="F4371" s="49">
        <v>49480</v>
      </c>
      <c r="G4371" s="77" t="s">
        <v>6453</v>
      </c>
      <c r="H4371" s="14" t="s">
        <v>5601</v>
      </c>
      <c r="I4371" s="14" t="s">
        <v>2458</v>
      </c>
      <c r="J4371" s="33" t="s">
        <v>7110</v>
      </c>
      <c r="K4371" s="33" t="s">
        <v>12662</v>
      </c>
      <c r="L4371" s="53" t="s">
        <v>6054</v>
      </c>
      <c r="M4371" s="68" t="s">
        <v>8912</v>
      </c>
      <c r="N4371" s="53" t="s">
        <v>6285</v>
      </c>
      <c r="O4371" s="53">
        <v>55200</v>
      </c>
      <c r="P4371" s="198" t="s">
        <v>12306</v>
      </c>
    </row>
    <row r="4372" spans="1:16" ht="18.75" hidden="1">
      <c r="A4372" s="50" t="s">
        <v>12645</v>
      </c>
      <c r="B4372" s="50" t="s">
        <v>12627</v>
      </c>
      <c r="C4372" s="50" t="s">
        <v>12617</v>
      </c>
      <c r="D4372" s="12" t="s">
        <v>12481</v>
      </c>
      <c r="E4372" s="12" t="s">
        <v>4971</v>
      </c>
      <c r="F4372" s="49">
        <v>150090</v>
      </c>
      <c r="G4372" s="77" t="s">
        <v>6453</v>
      </c>
      <c r="H4372" s="14" t="s">
        <v>5601</v>
      </c>
      <c r="I4372" s="14" t="s">
        <v>2458</v>
      </c>
      <c r="J4372" s="33" t="s">
        <v>7110</v>
      </c>
      <c r="K4372" s="33" t="s">
        <v>12662</v>
      </c>
      <c r="L4372" s="53" t="s">
        <v>6054</v>
      </c>
      <c r="M4372" s="68" t="s">
        <v>8912</v>
      </c>
      <c r="N4372" s="53" t="s">
        <v>6285</v>
      </c>
      <c r="O4372" s="53">
        <v>55200</v>
      </c>
      <c r="P4372" s="198" t="s">
        <v>12306</v>
      </c>
    </row>
    <row r="4373" spans="1:16" ht="18.75" hidden="1">
      <c r="A4373" s="50" t="s">
        <v>12651</v>
      </c>
      <c r="B4373" s="50" t="s">
        <v>12649</v>
      </c>
      <c r="C4373" s="50" t="s">
        <v>12652</v>
      </c>
      <c r="D4373" s="12" t="s">
        <v>12627</v>
      </c>
      <c r="E4373" s="12" t="s">
        <v>4971</v>
      </c>
      <c r="F4373" s="49">
        <v>134840</v>
      </c>
      <c r="G4373" s="77" t="s">
        <v>12608</v>
      </c>
      <c r="H4373" s="14" t="s">
        <v>5601</v>
      </c>
      <c r="I4373" s="14" t="s">
        <v>2458</v>
      </c>
      <c r="J4373" s="33" t="s">
        <v>7110</v>
      </c>
      <c r="K4373" s="33" t="s">
        <v>12662</v>
      </c>
      <c r="L4373" s="53" t="s">
        <v>6054</v>
      </c>
      <c r="M4373" s="68" t="s">
        <v>8912</v>
      </c>
      <c r="N4373" s="53" t="s">
        <v>6076</v>
      </c>
      <c r="O4373" s="53">
        <v>55301</v>
      </c>
      <c r="P4373" s="198" t="s">
        <v>12425</v>
      </c>
    </row>
    <row r="4374" spans="1:16" ht="18.75" hidden="1">
      <c r="A4374" s="50" t="s">
        <v>12648</v>
      </c>
      <c r="B4374" s="50" t="s">
        <v>12649</v>
      </c>
      <c r="C4374" s="50" t="s">
        <v>12611</v>
      </c>
      <c r="D4374" s="12" t="s">
        <v>12477</v>
      </c>
      <c r="E4374" s="12" t="s">
        <v>4971</v>
      </c>
      <c r="F4374" s="49">
        <v>219360</v>
      </c>
      <c r="G4374" s="77" t="s">
        <v>6453</v>
      </c>
      <c r="H4374" s="14" t="s">
        <v>5601</v>
      </c>
      <c r="I4374" s="14" t="s">
        <v>2458</v>
      </c>
      <c r="J4374" s="33" t="s">
        <v>7110</v>
      </c>
      <c r="K4374" s="33" t="s">
        <v>12662</v>
      </c>
      <c r="L4374" s="53" t="s">
        <v>6054</v>
      </c>
      <c r="M4374" s="68" t="s">
        <v>8913</v>
      </c>
      <c r="N4374" s="53" t="s">
        <v>6076</v>
      </c>
      <c r="O4374" s="53">
        <v>55301</v>
      </c>
      <c r="P4374" s="198" t="s">
        <v>12306</v>
      </c>
    </row>
    <row r="4375" spans="1:16" ht="18.75" hidden="1">
      <c r="A4375" s="50" t="s">
        <v>12653</v>
      </c>
      <c r="B4375" s="50" t="s">
        <v>12533</v>
      </c>
      <c r="C4375" s="50" t="s">
        <v>12587</v>
      </c>
      <c r="D4375" s="12" t="s">
        <v>12477</v>
      </c>
      <c r="E4375" s="12" t="s">
        <v>4971</v>
      </c>
      <c r="F4375" s="49">
        <v>11440</v>
      </c>
      <c r="G4375" s="77" t="s">
        <v>6300</v>
      </c>
      <c r="H4375" s="14" t="s">
        <v>5601</v>
      </c>
      <c r="I4375" s="14" t="s">
        <v>2458</v>
      </c>
      <c r="J4375" s="33" t="s">
        <v>7110</v>
      </c>
      <c r="K4375" s="33" t="s">
        <v>12662</v>
      </c>
      <c r="L4375" s="53" t="s">
        <v>6054</v>
      </c>
      <c r="M4375" s="68" t="s">
        <v>8912</v>
      </c>
      <c r="N4375" s="53" t="s">
        <v>6076</v>
      </c>
      <c r="O4375" s="53">
        <v>55301</v>
      </c>
      <c r="P4375" s="198" t="s">
        <v>12220</v>
      </c>
    </row>
    <row r="4376" spans="1:16" ht="18.75" hidden="1">
      <c r="A4376" s="50" t="s">
        <v>12654</v>
      </c>
      <c r="B4376" s="50" t="s">
        <v>12533</v>
      </c>
      <c r="C4376" s="50" t="s">
        <v>12617</v>
      </c>
      <c r="D4376" s="12" t="s">
        <v>12481</v>
      </c>
      <c r="E4376" s="12" t="s">
        <v>4971</v>
      </c>
      <c r="F4376" s="49">
        <v>191780</v>
      </c>
      <c r="G4376" s="77" t="s">
        <v>6453</v>
      </c>
      <c r="H4376" s="14" t="s">
        <v>5601</v>
      </c>
      <c r="I4376" s="14" t="s">
        <v>2458</v>
      </c>
      <c r="J4376" s="33" t="s">
        <v>7110</v>
      </c>
      <c r="K4376" s="33" t="s">
        <v>12662</v>
      </c>
      <c r="L4376" s="53" t="s">
        <v>6054</v>
      </c>
      <c r="M4376" s="68" t="s">
        <v>8913</v>
      </c>
      <c r="N4376" s="53" t="s">
        <v>6076</v>
      </c>
      <c r="O4376" s="53">
        <v>55301</v>
      </c>
      <c r="P4376" s="198" t="s">
        <v>12306</v>
      </c>
    </row>
    <row r="4377" spans="1:16" ht="18.75" hidden="1">
      <c r="A4377" s="50" t="s">
        <v>12653</v>
      </c>
      <c r="B4377" s="50" t="s">
        <v>12533</v>
      </c>
      <c r="C4377" s="50" t="s">
        <v>12593</v>
      </c>
      <c r="D4377" s="12" t="s">
        <v>12477</v>
      </c>
      <c r="E4377" s="12" t="s">
        <v>4971</v>
      </c>
      <c r="F4377" s="49">
        <v>39000</v>
      </c>
      <c r="G4377" s="77" t="s">
        <v>12608</v>
      </c>
      <c r="H4377" s="14" t="s">
        <v>5601</v>
      </c>
      <c r="I4377" s="14" t="s">
        <v>2458</v>
      </c>
      <c r="J4377" s="33" t="s">
        <v>7110</v>
      </c>
      <c r="K4377" s="33" t="s">
        <v>12662</v>
      </c>
      <c r="L4377" s="53" t="s">
        <v>6054</v>
      </c>
      <c r="M4377" s="68" t="s">
        <v>8912</v>
      </c>
      <c r="N4377" s="53" t="s">
        <v>6076</v>
      </c>
      <c r="O4377" s="53">
        <v>55301</v>
      </c>
      <c r="P4377" s="198" t="s">
        <v>12425</v>
      </c>
    </row>
    <row r="4378" spans="1:16" ht="18.75" hidden="1">
      <c r="A4378" s="50" t="s">
        <v>12653</v>
      </c>
      <c r="B4378" s="50" t="s">
        <v>12533</v>
      </c>
      <c r="C4378" s="50" t="s">
        <v>12617</v>
      </c>
      <c r="D4378" s="12" t="s">
        <v>12481</v>
      </c>
      <c r="E4378" s="12" t="s">
        <v>4971</v>
      </c>
      <c r="F4378" s="49">
        <v>44980</v>
      </c>
      <c r="G4378" s="77" t="s">
        <v>6453</v>
      </c>
      <c r="H4378" s="14" t="s">
        <v>5601</v>
      </c>
      <c r="I4378" s="14" t="s">
        <v>2458</v>
      </c>
      <c r="J4378" s="33" t="s">
        <v>7110</v>
      </c>
      <c r="K4378" s="33" t="s">
        <v>12662</v>
      </c>
      <c r="L4378" s="53" t="s">
        <v>6054</v>
      </c>
      <c r="M4378" s="68" t="s">
        <v>8912</v>
      </c>
      <c r="N4378" s="53" t="s">
        <v>6076</v>
      </c>
      <c r="O4378" s="53">
        <v>55301</v>
      </c>
      <c r="P4378" s="198" t="s">
        <v>12306</v>
      </c>
    </row>
    <row r="4379" spans="1:16" ht="18.75" hidden="1">
      <c r="A4379" s="50" t="s">
        <v>12655</v>
      </c>
      <c r="B4379" s="50" t="s">
        <v>12533</v>
      </c>
      <c r="C4379" s="50" t="s">
        <v>12606</v>
      </c>
      <c r="D4379" s="12" t="s">
        <v>12380</v>
      </c>
      <c r="E4379" s="12" t="s">
        <v>4971</v>
      </c>
      <c r="F4379" s="49">
        <v>70220</v>
      </c>
      <c r="G4379" s="77" t="s">
        <v>6454</v>
      </c>
      <c r="H4379" s="14" t="s">
        <v>5601</v>
      </c>
      <c r="I4379" s="14" t="s">
        <v>2458</v>
      </c>
      <c r="J4379" s="33" t="s">
        <v>7110</v>
      </c>
      <c r="K4379" s="33" t="s">
        <v>12662</v>
      </c>
      <c r="L4379" s="53" t="s">
        <v>6054</v>
      </c>
      <c r="M4379" s="68" t="s">
        <v>8913</v>
      </c>
      <c r="N4379" s="53" t="s">
        <v>6285</v>
      </c>
      <c r="O4379" s="53">
        <v>55200</v>
      </c>
      <c r="P4379" s="198" t="s">
        <v>12221</v>
      </c>
    </row>
    <row r="4380" spans="1:16" ht="18.75" hidden="1">
      <c r="A4380" s="50" t="s">
        <v>12630</v>
      </c>
      <c r="B4380" s="50" t="s">
        <v>12513</v>
      </c>
      <c r="C4380" s="50" t="s">
        <v>12638</v>
      </c>
      <c r="D4380" s="12" t="s">
        <v>12481</v>
      </c>
      <c r="E4380" s="12" t="s">
        <v>4971</v>
      </c>
      <c r="F4380" s="49">
        <v>86440</v>
      </c>
      <c r="G4380" s="77" t="s">
        <v>6454</v>
      </c>
      <c r="H4380" s="14" t="s">
        <v>5601</v>
      </c>
      <c r="I4380" s="14" t="s">
        <v>2458</v>
      </c>
      <c r="J4380" s="33" t="s">
        <v>7110</v>
      </c>
      <c r="K4380" s="33" t="s">
        <v>12662</v>
      </c>
      <c r="L4380" s="53" t="s">
        <v>6054</v>
      </c>
      <c r="M4380" s="68" t="s">
        <v>8913</v>
      </c>
      <c r="N4380" s="53" t="s">
        <v>6076</v>
      </c>
      <c r="O4380" s="53">
        <v>55301</v>
      </c>
      <c r="P4380" s="198" t="s">
        <v>12221</v>
      </c>
    </row>
    <row r="4381" spans="1:16" ht="18.75" hidden="1">
      <c r="A4381" s="50" t="s">
        <v>12630</v>
      </c>
      <c r="B4381" s="50" t="s">
        <v>12513</v>
      </c>
      <c r="C4381" s="50" t="s">
        <v>12631</v>
      </c>
      <c r="D4381" s="12" t="s">
        <v>12507</v>
      </c>
      <c r="E4381" s="12" t="s">
        <v>4971</v>
      </c>
      <c r="F4381" s="49">
        <v>150400</v>
      </c>
      <c r="G4381" s="77" t="s">
        <v>6454</v>
      </c>
      <c r="H4381" s="14" t="s">
        <v>5601</v>
      </c>
      <c r="I4381" s="14" t="s">
        <v>2458</v>
      </c>
      <c r="J4381" s="33" t="s">
        <v>7110</v>
      </c>
      <c r="K4381" s="33" t="s">
        <v>12662</v>
      </c>
      <c r="L4381" s="53" t="s">
        <v>6054</v>
      </c>
      <c r="M4381" s="68" t="s">
        <v>8913</v>
      </c>
      <c r="N4381" s="53" t="s">
        <v>6076</v>
      </c>
      <c r="O4381" s="53">
        <v>55301</v>
      </c>
      <c r="P4381" s="198" t="s">
        <v>12221</v>
      </c>
    </row>
    <row r="4382" spans="1:16" ht="18.75" hidden="1">
      <c r="A4382" s="50" t="s">
        <v>12651</v>
      </c>
      <c r="B4382" s="50" t="s">
        <v>12649</v>
      </c>
      <c r="C4382" s="50" t="s">
        <v>12637</v>
      </c>
      <c r="D4382" s="12" t="s">
        <v>12406</v>
      </c>
      <c r="E4382" s="12" t="s">
        <v>4971</v>
      </c>
      <c r="F4382" s="49">
        <v>57150</v>
      </c>
      <c r="G4382" s="77" t="s">
        <v>12608</v>
      </c>
      <c r="H4382" s="14" t="s">
        <v>5601</v>
      </c>
      <c r="I4382" s="14" t="s">
        <v>2458</v>
      </c>
      <c r="J4382" s="33" t="s">
        <v>7110</v>
      </c>
      <c r="K4382" s="33" t="s">
        <v>12662</v>
      </c>
      <c r="L4382" s="53" t="s">
        <v>6054</v>
      </c>
      <c r="M4382" s="68" t="s">
        <v>8912</v>
      </c>
      <c r="N4382" s="53" t="s">
        <v>6076</v>
      </c>
      <c r="O4382" s="53">
        <v>55301</v>
      </c>
      <c r="P4382" s="198" t="s">
        <v>12425</v>
      </c>
    </row>
    <row r="4383" spans="1:16" ht="18.75" hidden="1">
      <c r="A4383" s="50" t="s">
        <v>12656</v>
      </c>
      <c r="B4383" s="50" t="s">
        <v>12406</v>
      </c>
      <c r="C4383" s="50" t="s">
        <v>12606</v>
      </c>
      <c r="D4383" s="12" t="s">
        <v>12380</v>
      </c>
      <c r="E4383" s="12" t="s">
        <v>4971</v>
      </c>
      <c r="F4383" s="49">
        <v>47790</v>
      </c>
      <c r="G4383" s="77" t="s">
        <v>6454</v>
      </c>
      <c r="H4383" s="14" t="s">
        <v>5601</v>
      </c>
      <c r="I4383" s="14" t="s">
        <v>2458</v>
      </c>
      <c r="J4383" s="33" t="s">
        <v>7110</v>
      </c>
      <c r="K4383" s="33" t="s">
        <v>12662</v>
      </c>
      <c r="L4383" s="53" t="s">
        <v>6054</v>
      </c>
      <c r="M4383" s="68" t="s">
        <v>8912</v>
      </c>
      <c r="N4383" s="53" t="s">
        <v>6286</v>
      </c>
      <c r="O4383" s="53">
        <v>55107</v>
      </c>
      <c r="P4383" s="198" t="s">
        <v>12221</v>
      </c>
    </row>
    <row r="4384" spans="1:16" ht="18.75" hidden="1">
      <c r="A4384" s="50" t="s">
        <v>12657</v>
      </c>
      <c r="B4384" s="50" t="s">
        <v>12536</v>
      </c>
      <c r="C4384" s="50" t="s">
        <v>12640</v>
      </c>
      <c r="D4384" s="12" t="s">
        <v>10052</v>
      </c>
      <c r="E4384" s="12" t="s">
        <v>4971</v>
      </c>
      <c r="F4384" s="49">
        <v>50990</v>
      </c>
      <c r="G4384" s="77" t="s">
        <v>6298</v>
      </c>
      <c r="H4384" s="14" t="s">
        <v>5601</v>
      </c>
      <c r="I4384" s="14" t="s">
        <v>2458</v>
      </c>
      <c r="J4384" s="33" t="s">
        <v>7110</v>
      </c>
      <c r="K4384" s="33" t="s">
        <v>12662</v>
      </c>
      <c r="L4384" s="53" t="s">
        <v>6054</v>
      </c>
      <c r="M4384" s="68" t="s">
        <v>8912</v>
      </c>
      <c r="N4384" s="53" t="s">
        <v>6286</v>
      </c>
      <c r="O4384" s="53">
        <v>55107</v>
      </c>
      <c r="P4384" s="198" t="s">
        <v>9769</v>
      </c>
    </row>
    <row r="4385" spans="1:16" ht="18.75" hidden="1">
      <c r="A4385" s="50" t="s">
        <v>12602</v>
      </c>
      <c r="B4385" s="50" t="s">
        <v>12513</v>
      </c>
      <c r="C4385" s="50" t="s">
        <v>12658</v>
      </c>
      <c r="D4385" s="12" t="s">
        <v>12583</v>
      </c>
      <c r="E4385" s="12" t="s">
        <v>4971</v>
      </c>
      <c r="F4385" s="49">
        <v>99440</v>
      </c>
      <c r="G4385" s="77" t="s">
        <v>6454</v>
      </c>
      <c r="H4385" s="14" t="s">
        <v>5601</v>
      </c>
      <c r="I4385" s="14" t="s">
        <v>2458</v>
      </c>
      <c r="J4385" s="33" t="s">
        <v>7110</v>
      </c>
      <c r="K4385" s="33" t="s">
        <v>12662</v>
      </c>
      <c r="L4385" s="53" t="s">
        <v>6054</v>
      </c>
      <c r="M4385" s="68" t="s">
        <v>8912</v>
      </c>
      <c r="N4385" s="53" t="s">
        <v>6285</v>
      </c>
      <c r="O4385" s="53">
        <v>55200</v>
      </c>
      <c r="P4385" s="198" t="s">
        <v>12221</v>
      </c>
    </row>
    <row r="4386" spans="1:16" ht="18.75" hidden="1">
      <c r="A4386" s="50" t="s">
        <v>12659</v>
      </c>
      <c r="B4386" s="50" t="s">
        <v>12627</v>
      </c>
      <c r="C4386" s="50" t="s">
        <v>12603</v>
      </c>
      <c r="D4386" s="12" t="s">
        <v>12560</v>
      </c>
      <c r="E4386" s="12" t="s">
        <v>4971</v>
      </c>
      <c r="F4386" s="49">
        <v>145790</v>
      </c>
      <c r="G4386" s="77" t="s">
        <v>6300</v>
      </c>
      <c r="H4386" s="14" t="s">
        <v>5601</v>
      </c>
      <c r="I4386" s="14" t="s">
        <v>2458</v>
      </c>
      <c r="J4386" s="33" t="s">
        <v>7110</v>
      </c>
      <c r="K4386" s="33" t="s">
        <v>12662</v>
      </c>
      <c r="L4386" s="53" t="s">
        <v>6054</v>
      </c>
      <c r="M4386" s="68" t="s">
        <v>8912</v>
      </c>
      <c r="N4386" s="53" t="s">
        <v>6285</v>
      </c>
      <c r="O4386" s="53">
        <v>55200</v>
      </c>
      <c r="P4386" s="198" t="s">
        <v>12424</v>
      </c>
    </row>
    <row r="4387" spans="1:16" ht="18.75" hidden="1">
      <c r="A4387" s="50" t="s">
        <v>12660</v>
      </c>
      <c r="B4387" s="50" t="s">
        <v>12613</v>
      </c>
      <c r="C4387" s="50" t="s">
        <v>12603</v>
      </c>
      <c r="D4387" s="12" t="s">
        <v>12560</v>
      </c>
      <c r="E4387" s="12" t="s">
        <v>4971</v>
      </c>
      <c r="F4387" s="49">
        <v>72020</v>
      </c>
      <c r="G4387" s="77" t="s">
        <v>6300</v>
      </c>
      <c r="H4387" s="14" t="s">
        <v>5601</v>
      </c>
      <c r="I4387" s="14" t="s">
        <v>2458</v>
      </c>
      <c r="J4387" s="33" t="s">
        <v>7110</v>
      </c>
      <c r="K4387" s="33" t="s">
        <v>12662</v>
      </c>
      <c r="L4387" s="53" t="s">
        <v>6054</v>
      </c>
      <c r="M4387" s="68" t="s">
        <v>8912</v>
      </c>
      <c r="N4387" s="53" t="s">
        <v>6285</v>
      </c>
      <c r="O4387" s="53">
        <v>55200</v>
      </c>
      <c r="P4387" s="198" t="s">
        <v>12424</v>
      </c>
    </row>
    <row r="4388" spans="1:16" ht="18.75" hidden="1">
      <c r="A4388" s="50" t="s">
        <v>12624</v>
      </c>
      <c r="B4388" s="50" t="s">
        <v>12536</v>
      </c>
      <c r="C4388" s="50" t="s">
        <v>12661</v>
      </c>
      <c r="D4388" s="12" t="s">
        <v>12525</v>
      </c>
      <c r="E4388" s="12" t="s">
        <v>4971</v>
      </c>
      <c r="F4388" s="49">
        <v>200530</v>
      </c>
      <c r="G4388" s="77" t="s">
        <v>6454</v>
      </c>
      <c r="H4388" s="14" t="s">
        <v>5601</v>
      </c>
      <c r="I4388" s="14" t="s">
        <v>2458</v>
      </c>
      <c r="J4388" s="33" t="s">
        <v>7110</v>
      </c>
      <c r="K4388" s="33" t="s">
        <v>12662</v>
      </c>
      <c r="L4388" s="53" t="s">
        <v>6054</v>
      </c>
      <c r="M4388" s="68" t="s">
        <v>8912</v>
      </c>
      <c r="N4388" s="53" t="s">
        <v>6076</v>
      </c>
      <c r="O4388" s="53">
        <v>55301</v>
      </c>
      <c r="P4388" s="198" t="s">
        <v>12414</v>
      </c>
    </row>
    <row r="4389" spans="1:16" ht="18.75" hidden="1">
      <c r="A4389" s="50" t="s">
        <v>12628</v>
      </c>
      <c r="B4389" s="50" t="s">
        <v>12538</v>
      </c>
      <c r="C4389" s="50" t="s">
        <v>12599</v>
      </c>
      <c r="D4389" s="12" t="s">
        <v>12499</v>
      </c>
      <c r="E4389" s="12" t="s">
        <v>4971</v>
      </c>
      <c r="F4389" s="49">
        <v>119600</v>
      </c>
      <c r="G4389" s="77" t="s">
        <v>6453</v>
      </c>
      <c r="H4389" s="14" t="s">
        <v>5601</v>
      </c>
      <c r="I4389" s="14" t="s">
        <v>2458</v>
      </c>
      <c r="J4389" s="33" t="s">
        <v>7110</v>
      </c>
      <c r="K4389" s="33" t="s">
        <v>12662</v>
      </c>
      <c r="L4389" s="53" t="s">
        <v>6054</v>
      </c>
      <c r="M4389" s="68" t="s">
        <v>8912</v>
      </c>
      <c r="N4389" s="53" t="s">
        <v>6076</v>
      </c>
      <c r="O4389" s="53">
        <v>55301</v>
      </c>
      <c r="P4389" s="198" t="s">
        <v>12306</v>
      </c>
    </row>
    <row r="4390" spans="1:16" ht="18.75" hidden="1">
      <c r="A4390" s="50" t="s">
        <v>12633</v>
      </c>
      <c r="B4390" s="50" t="s">
        <v>12536</v>
      </c>
      <c r="C4390" s="50" t="s">
        <v>12658</v>
      </c>
      <c r="D4390" s="12" t="s">
        <v>12583</v>
      </c>
      <c r="E4390" s="12" t="s">
        <v>4971</v>
      </c>
      <c r="F4390" s="49">
        <v>22040</v>
      </c>
      <c r="G4390" s="77" t="s">
        <v>6454</v>
      </c>
      <c r="H4390" s="14" t="s">
        <v>5601</v>
      </c>
      <c r="I4390" s="14" t="s">
        <v>2458</v>
      </c>
      <c r="J4390" s="33" t="s">
        <v>7110</v>
      </c>
      <c r="K4390" s="33" t="s">
        <v>12662</v>
      </c>
      <c r="L4390" s="53" t="s">
        <v>6054</v>
      </c>
      <c r="M4390" s="68" t="s">
        <v>8912</v>
      </c>
      <c r="N4390" s="53" t="s">
        <v>6285</v>
      </c>
      <c r="O4390" s="53">
        <v>55200</v>
      </c>
      <c r="P4390" s="198" t="s">
        <v>12221</v>
      </c>
    </row>
    <row r="4391" spans="1:16" ht="18.75" hidden="1">
      <c r="A4391" s="50" t="s">
        <v>12633</v>
      </c>
      <c r="B4391" s="50" t="s">
        <v>12536</v>
      </c>
      <c r="C4391" s="50" t="s">
        <v>12661</v>
      </c>
      <c r="D4391" s="12" t="s">
        <v>12525</v>
      </c>
      <c r="E4391" s="12" t="s">
        <v>4971</v>
      </c>
      <c r="F4391" s="49">
        <v>179470</v>
      </c>
      <c r="G4391" s="77" t="s">
        <v>6454</v>
      </c>
      <c r="H4391" s="14" t="s">
        <v>5601</v>
      </c>
      <c r="I4391" s="14" t="s">
        <v>2458</v>
      </c>
      <c r="J4391" s="33" t="s">
        <v>7110</v>
      </c>
      <c r="K4391" s="33" t="s">
        <v>12662</v>
      </c>
      <c r="L4391" s="53" t="s">
        <v>6054</v>
      </c>
      <c r="M4391" s="68" t="s">
        <v>8912</v>
      </c>
      <c r="N4391" s="53" t="s">
        <v>6285</v>
      </c>
      <c r="O4391" s="53">
        <v>55200</v>
      </c>
      <c r="P4391" s="198" t="s">
        <v>12414</v>
      </c>
    </row>
    <row r="4392" spans="1:16" ht="18.75" hidden="1">
      <c r="A4392" s="50" t="s">
        <v>12646</v>
      </c>
      <c r="B4392" s="50" t="s">
        <v>12560</v>
      </c>
      <c r="C4392" s="50" t="s">
        <v>12599</v>
      </c>
      <c r="D4392" s="12" t="s">
        <v>12499</v>
      </c>
      <c r="E4392" s="12" t="s">
        <v>4971</v>
      </c>
      <c r="F4392" s="49">
        <v>132270</v>
      </c>
      <c r="G4392" s="77" t="s">
        <v>6453</v>
      </c>
      <c r="H4392" s="14" t="s">
        <v>5601</v>
      </c>
      <c r="I4392" s="14" t="s">
        <v>2458</v>
      </c>
      <c r="J4392" s="33" t="s">
        <v>7110</v>
      </c>
      <c r="K4392" s="33" t="s">
        <v>12662</v>
      </c>
      <c r="L4392" s="53" t="s">
        <v>6054</v>
      </c>
      <c r="M4392" s="68" t="s">
        <v>8913</v>
      </c>
      <c r="N4392" s="53" t="s">
        <v>6076</v>
      </c>
      <c r="O4392" s="53">
        <v>55301</v>
      </c>
      <c r="P4392" s="198" t="s">
        <v>12306</v>
      </c>
    </row>
    <row r="4393" spans="1:16" ht="18.75" hidden="1">
      <c r="A4393" s="50" t="s">
        <v>12643</v>
      </c>
      <c r="B4393" s="50" t="s">
        <v>12536</v>
      </c>
      <c r="C4393" s="50" t="s">
        <v>12658</v>
      </c>
      <c r="D4393" s="12" t="s">
        <v>12583</v>
      </c>
      <c r="E4393" s="12" t="s">
        <v>4971</v>
      </c>
      <c r="F4393" s="49">
        <v>69520</v>
      </c>
      <c r="G4393" s="77" t="s">
        <v>6454</v>
      </c>
      <c r="H4393" s="14" t="s">
        <v>5601</v>
      </c>
      <c r="I4393" s="14" t="s">
        <v>2458</v>
      </c>
      <c r="J4393" s="33" t="s">
        <v>7110</v>
      </c>
      <c r="K4393" s="33" t="s">
        <v>12662</v>
      </c>
      <c r="L4393" s="53" t="s">
        <v>6054</v>
      </c>
      <c r="M4393" s="68" t="s">
        <v>8913</v>
      </c>
      <c r="N4393" s="53" t="s">
        <v>6076</v>
      </c>
      <c r="O4393" s="53">
        <v>55301</v>
      </c>
      <c r="P4393" s="198" t="s">
        <v>12221</v>
      </c>
    </row>
    <row r="4394" spans="1:16" ht="18.75" hidden="1">
      <c r="A4394" s="50" t="str">
        <f>"45100-741797"</f>
        <v>45100-741797</v>
      </c>
      <c r="B4394" s="50" t="str">
        <f>"96/11/23"</f>
        <v>96/11/23</v>
      </c>
      <c r="C4394" s="50" t="s">
        <v>12686</v>
      </c>
      <c r="D4394" s="12" t="s">
        <v>10028</v>
      </c>
      <c r="E4394" s="12" t="s">
        <v>4971</v>
      </c>
      <c r="F4394" s="49">
        <v>1000000</v>
      </c>
      <c r="G4394" s="77" t="str">
        <f>"Black Gold Traders FZE"</f>
        <v>Black Gold Traders FZE</v>
      </c>
      <c r="H4394" s="14" t="s">
        <v>5601</v>
      </c>
      <c r="I4394" s="14" t="s">
        <v>2458</v>
      </c>
      <c r="J4394" s="33" t="s">
        <v>7110</v>
      </c>
      <c r="K4394" s="33" t="s">
        <v>12689</v>
      </c>
      <c r="L4394" s="53" t="str">
        <f>" امارات متحده عربي"</f>
        <v xml:space="preserve"> امارات متحده عربي</v>
      </c>
      <c r="M4394" s="68" t="str">
        <f>"فله"</f>
        <v>فله</v>
      </c>
      <c r="N4394" s="53" t="str">
        <f>"منطقه ويژه اقتصادي بوشهر 1"</f>
        <v>منطقه ويژه اقتصادي بوشهر 1</v>
      </c>
      <c r="O4394" s="53">
        <v>45100</v>
      </c>
      <c r="P4394" s="198" t="s">
        <v>12219</v>
      </c>
    </row>
    <row r="4395" spans="1:16" ht="18.75" hidden="1">
      <c r="A4395" s="50" t="str">
        <f>"45100-739884"</f>
        <v>45100-739884</v>
      </c>
      <c r="B4395" s="50" t="str">
        <f>"96/09/22"</f>
        <v>96/09/22</v>
      </c>
      <c r="C4395" s="50" t="s">
        <v>12687</v>
      </c>
      <c r="D4395" s="12" t="s">
        <v>9997</v>
      </c>
      <c r="E4395" s="12" t="s">
        <v>4971</v>
      </c>
      <c r="F4395" s="49">
        <v>984960</v>
      </c>
      <c r="G4395" s="77" t="str">
        <f>"Black Gold Traders FZE"</f>
        <v>Black Gold Traders FZE</v>
      </c>
      <c r="H4395" s="14" t="s">
        <v>5601</v>
      </c>
      <c r="I4395" s="14" t="s">
        <v>2458</v>
      </c>
      <c r="J4395" s="33" t="s">
        <v>7110</v>
      </c>
      <c r="K4395" s="33" t="s">
        <v>12689</v>
      </c>
      <c r="L4395" s="53" t="str">
        <f>" امارات متحده عربي"</f>
        <v xml:space="preserve"> امارات متحده عربي</v>
      </c>
      <c r="M4395" s="68" t="str">
        <f>"فله"</f>
        <v>فله</v>
      </c>
      <c r="N4395" s="53" t="str">
        <f>"منطقه ويژه اقتصادي بوشهر 1"</f>
        <v>منطقه ويژه اقتصادي بوشهر 1</v>
      </c>
      <c r="O4395" s="53">
        <v>45100</v>
      </c>
      <c r="P4395" s="198" t="s">
        <v>9795</v>
      </c>
    </row>
    <row r="4396" spans="1:16" ht="18.75" hidden="1">
      <c r="A4396" s="50" t="str">
        <f>"45100-740202"</f>
        <v>45100-740202</v>
      </c>
      <c r="B4396" s="50" t="str">
        <f>"96/11/16"</f>
        <v>96/11/16</v>
      </c>
      <c r="C4396" s="50" t="s">
        <v>12688</v>
      </c>
      <c r="D4396" s="12" t="s">
        <v>9985</v>
      </c>
      <c r="E4396" s="12" t="s">
        <v>4971</v>
      </c>
      <c r="F4396" s="49">
        <v>875000</v>
      </c>
      <c r="G4396" s="77" t="str">
        <f>"Black Gold Traders FZE"</f>
        <v>Black Gold Traders FZE</v>
      </c>
      <c r="H4396" s="14" t="s">
        <v>5601</v>
      </c>
      <c r="I4396" s="14" t="s">
        <v>2458</v>
      </c>
      <c r="J4396" s="33" t="s">
        <v>7110</v>
      </c>
      <c r="K4396" s="33" t="s">
        <v>12689</v>
      </c>
      <c r="L4396" s="53" t="str">
        <f>" امارات متحده عربي"</f>
        <v xml:space="preserve"> امارات متحده عربي</v>
      </c>
      <c r="M4396" s="68" t="str">
        <f>"فله"</f>
        <v>فله</v>
      </c>
      <c r="N4396" s="53" t="str">
        <f>"منطقه ويژه اقتصادي بوشهر 1"</f>
        <v>منطقه ويژه اقتصادي بوشهر 1</v>
      </c>
      <c r="O4396" s="53">
        <v>45100</v>
      </c>
      <c r="P4396" s="198" t="s">
        <v>9762</v>
      </c>
    </row>
    <row r="4397" spans="1:16" ht="18.75" hidden="1">
      <c r="A4397" s="50" t="str">
        <f>"45100-737122"</f>
        <v>45100-737122</v>
      </c>
      <c r="B4397" s="50" t="str">
        <f>"96/09/19"</f>
        <v>96/09/19</v>
      </c>
      <c r="C4397" s="50" t="s">
        <v>12401</v>
      </c>
      <c r="D4397" s="12" t="s">
        <v>9934</v>
      </c>
      <c r="E4397" s="12" t="s">
        <v>4971</v>
      </c>
      <c r="F4397" s="49">
        <v>352635</v>
      </c>
      <c r="G4397" s="77" t="str">
        <f>"Black Gold Traders FZE"</f>
        <v>Black Gold Traders FZE</v>
      </c>
      <c r="H4397" s="14" t="s">
        <v>5601</v>
      </c>
      <c r="I4397" s="14" t="s">
        <v>2458</v>
      </c>
      <c r="J4397" s="33" t="s">
        <v>7110</v>
      </c>
      <c r="K4397" s="33" t="s">
        <v>12689</v>
      </c>
      <c r="L4397" s="53" t="str">
        <f>" امارات متحده عربي"</f>
        <v xml:space="preserve"> امارات متحده عربي</v>
      </c>
      <c r="M4397" s="68" t="str">
        <f>"فله"</f>
        <v>فله</v>
      </c>
      <c r="N4397" s="53" t="str">
        <f>"منطقه ويژه اقتصادي بوشهر 1"</f>
        <v>منطقه ويژه اقتصادي بوشهر 1</v>
      </c>
      <c r="O4397" s="53">
        <v>45100</v>
      </c>
      <c r="P4397" s="198" t="s">
        <v>9762</v>
      </c>
    </row>
    <row r="4398" spans="1:16" ht="18.75" hidden="1">
      <c r="A4398" s="50" t="s">
        <v>12690</v>
      </c>
      <c r="B4398" s="50" t="s">
        <v>12691</v>
      </c>
      <c r="C4398" s="50" t="s">
        <v>12521</v>
      </c>
      <c r="D4398" s="12" t="s">
        <v>9985</v>
      </c>
      <c r="E4398" s="12" t="s">
        <v>4971</v>
      </c>
      <c r="F4398" s="49">
        <v>49891</v>
      </c>
      <c r="G4398" s="77" t="s">
        <v>6298</v>
      </c>
      <c r="H4398" s="14" t="s">
        <v>5601</v>
      </c>
      <c r="I4398" s="14" t="s">
        <v>2458</v>
      </c>
      <c r="J4398" s="33" t="s">
        <v>7110</v>
      </c>
      <c r="K4398" s="33" t="s">
        <v>12765</v>
      </c>
      <c r="L4398" s="53" t="s">
        <v>6283</v>
      </c>
      <c r="M4398" s="68" t="s">
        <v>8912</v>
      </c>
      <c r="N4398" s="53" t="s">
        <v>12407</v>
      </c>
      <c r="O4398" s="53">
        <v>50100</v>
      </c>
      <c r="P4398" s="198" t="s">
        <v>9769</v>
      </c>
    </row>
    <row r="4399" spans="1:16" ht="18.75" hidden="1">
      <c r="A4399" s="50" t="s">
        <v>12692</v>
      </c>
      <c r="B4399" s="50" t="s">
        <v>12662</v>
      </c>
      <c r="C4399" s="50" t="s">
        <v>12693</v>
      </c>
      <c r="D4399" s="12" t="s">
        <v>8824</v>
      </c>
      <c r="E4399" s="12" t="s">
        <v>4971</v>
      </c>
      <c r="F4399" s="49">
        <v>25000</v>
      </c>
      <c r="G4399" s="77" t="s">
        <v>6298</v>
      </c>
      <c r="H4399" s="14" t="s">
        <v>5601</v>
      </c>
      <c r="I4399" s="14" t="s">
        <v>2458</v>
      </c>
      <c r="J4399" s="33" t="s">
        <v>7110</v>
      </c>
      <c r="K4399" s="33" t="s">
        <v>12765</v>
      </c>
      <c r="L4399" s="53" t="s">
        <v>6283</v>
      </c>
      <c r="M4399" s="68" t="s">
        <v>8912</v>
      </c>
      <c r="N4399" s="53" t="s">
        <v>12407</v>
      </c>
      <c r="O4399" s="53">
        <v>50100</v>
      </c>
      <c r="P4399" s="198" t="s">
        <v>8698</v>
      </c>
    </row>
    <row r="4400" spans="1:16" ht="18.75" hidden="1">
      <c r="A4400" s="50" t="s">
        <v>12694</v>
      </c>
      <c r="B4400" s="50" t="s">
        <v>12695</v>
      </c>
      <c r="C4400" s="50" t="s">
        <v>12696</v>
      </c>
      <c r="D4400" s="12" t="s">
        <v>12530</v>
      </c>
      <c r="E4400" s="12" t="s">
        <v>4971</v>
      </c>
      <c r="F4400" s="49">
        <v>457700</v>
      </c>
      <c r="G4400" s="77" t="s">
        <v>9897</v>
      </c>
      <c r="H4400" s="14" t="s">
        <v>5601</v>
      </c>
      <c r="I4400" s="14" t="s">
        <v>2458</v>
      </c>
      <c r="J4400" s="33" t="s">
        <v>7110</v>
      </c>
      <c r="K4400" s="33" t="s">
        <v>12765</v>
      </c>
      <c r="L4400" s="53" t="s">
        <v>12697</v>
      </c>
      <c r="M4400" s="68" t="s">
        <v>8912</v>
      </c>
      <c r="N4400" s="53" t="s">
        <v>12407</v>
      </c>
      <c r="O4400" s="53">
        <v>50100</v>
      </c>
      <c r="P4400" s="198" t="s">
        <v>12675</v>
      </c>
    </row>
    <row r="4401" spans="1:16" ht="18.75" hidden="1">
      <c r="A4401" s="50" t="s">
        <v>12698</v>
      </c>
      <c r="B4401" s="50" t="s">
        <v>12699</v>
      </c>
      <c r="C4401" s="50" t="s">
        <v>12700</v>
      </c>
      <c r="D4401" s="12" t="s">
        <v>12701</v>
      </c>
      <c r="E4401" s="12" t="s">
        <v>4971</v>
      </c>
      <c r="F4401" s="49">
        <v>235996</v>
      </c>
      <c r="G4401" s="77" t="s">
        <v>6298</v>
      </c>
      <c r="H4401" s="14" t="s">
        <v>5601</v>
      </c>
      <c r="I4401" s="14" t="s">
        <v>2458</v>
      </c>
      <c r="J4401" s="33" t="e">
        <f>VLOOKUP(C4401,شرکتها!A:B,2,FALSE)</f>
        <v>#N/A</v>
      </c>
      <c r="K4401" s="33" t="s">
        <v>12765</v>
      </c>
      <c r="L4401" s="53" t="s">
        <v>6283</v>
      </c>
      <c r="M4401" s="68" t="s">
        <v>8912</v>
      </c>
      <c r="N4401" s="53" t="s">
        <v>12407</v>
      </c>
      <c r="O4401" s="53">
        <v>50100</v>
      </c>
      <c r="P4401" s="198" t="s">
        <v>12429</v>
      </c>
    </row>
    <row r="4402" spans="1:16" ht="18.75" hidden="1">
      <c r="A4402" s="50" t="s">
        <v>12694</v>
      </c>
      <c r="B4402" s="50" t="s">
        <v>12695</v>
      </c>
      <c r="C4402" s="50" t="s">
        <v>12702</v>
      </c>
      <c r="D4402" s="12" t="s">
        <v>12542</v>
      </c>
      <c r="E4402" s="12" t="s">
        <v>4971</v>
      </c>
      <c r="F4402" s="49">
        <v>28930</v>
      </c>
      <c r="G4402" s="77" t="s">
        <v>9897</v>
      </c>
      <c r="H4402" s="14" t="s">
        <v>5601</v>
      </c>
      <c r="I4402" s="14" t="s">
        <v>2458</v>
      </c>
      <c r="J4402" s="33" t="s">
        <v>7110</v>
      </c>
      <c r="K4402" s="33" t="s">
        <v>12765</v>
      </c>
      <c r="L4402" s="53" t="s">
        <v>12697</v>
      </c>
      <c r="M4402" s="68" t="s">
        <v>8912</v>
      </c>
      <c r="N4402" s="53" t="s">
        <v>12407</v>
      </c>
      <c r="O4402" s="53">
        <v>50100</v>
      </c>
      <c r="P4402" s="198" t="s">
        <v>12675</v>
      </c>
    </row>
    <row r="4403" spans="1:16" ht="18.75" hidden="1">
      <c r="A4403" s="50" t="s">
        <v>12694</v>
      </c>
      <c r="B4403" s="50" t="s">
        <v>12695</v>
      </c>
      <c r="C4403" s="50" t="s">
        <v>12703</v>
      </c>
      <c r="D4403" s="12" t="s">
        <v>12530</v>
      </c>
      <c r="E4403" s="12" t="s">
        <v>4971</v>
      </c>
      <c r="F4403" s="49">
        <v>540000</v>
      </c>
      <c r="G4403" s="77" t="s">
        <v>9897</v>
      </c>
      <c r="H4403" s="14" t="s">
        <v>5601</v>
      </c>
      <c r="I4403" s="14" t="s">
        <v>2458</v>
      </c>
      <c r="J4403" s="33" t="s">
        <v>7110</v>
      </c>
      <c r="K4403" s="33" t="s">
        <v>12765</v>
      </c>
      <c r="L4403" s="53" t="s">
        <v>12697</v>
      </c>
      <c r="M4403" s="68" t="s">
        <v>8912</v>
      </c>
      <c r="N4403" s="53" t="s">
        <v>12407</v>
      </c>
      <c r="O4403" s="53">
        <v>50100</v>
      </c>
      <c r="P4403" s="198" t="s">
        <v>12675</v>
      </c>
    </row>
    <row r="4404" spans="1:16" ht="18.75" hidden="1">
      <c r="A4404" s="50" t="s">
        <v>12704</v>
      </c>
      <c r="B4404" s="50" t="s">
        <v>12705</v>
      </c>
      <c r="C4404" s="50" t="s">
        <v>12706</v>
      </c>
      <c r="D4404" s="12" t="s">
        <v>12542</v>
      </c>
      <c r="E4404" s="12" t="s">
        <v>4971</v>
      </c>
      <c r="F4404" s="49">
        <v>436035</v>
      </c>
      <c r="G4404" s="77" t="s">
        <v>6452</v>
      </c>
      <c r="H4404" s="14" t="s">
        <v>5601</v>
      </c>
      <c r="I4404" s="14" t="s">
        <v>2458</v>
      </c>
      <c r="J4404" s="33" t="e">
        <f>VLOOKUP(C4404,شرکتها!A:B,2,FALSE)</f>
        <v>#N/A</v>
      </c>
      <c r="K4404" s="33" t="s">
        <v>12765</v>
      </c>
      <c r="L4404" s="53" t="s">
        <v>6280</v>
      </c>
      <c r="M4404" s="68" t="s">
        <v>8912</v>
      </c>
      <c r="N4404" s="53" t="s">
        <v>12407</v>
      </c>
      <c r="O4404" s="53">
        <v>50100</v>
      </c>
      <c r="P4404" s="198" t="s">
        <v>12684</v>
      </c>
    </row>
    <row r="4405" spans="1:16" ht="18.75" hidden="1">
      <c r="A4405" s="50" t="s">
        <v>12707</v>
      </c>
      <c r="B4405" s="50" t="s">
        <v>12701</v>
      </c>
      <c r="C4405" s="50" t="s">
        <v>12708</v>
      </c>
      <c r="D4405" s="12" t="s">
        <v>9813</v>
      </c>
      <c r="E4405" s="12" t="s">
        <v>4971</v>
      </c>
      <c r="F4405" s="49">
        <v>47510</v>
      </c>
      <c r="G4405" s="77" t="s">
        <v>6298</v>
      </c>
      <c r="H4405" s="14" t="s">
        <v>5601</v>
      </c>
      <c r="I4405" s="14" t="s">
        <v>2458</v>
      </c>
      <c r="J4405" s="33" t="s">
        <v>7110</v>
      </c>
      <c r="K4405" s="33" t="s">
        <v>12765</v>
      </c>
      <c r="L4405" s="53" t="s">
        <v>6277</v>
      </c>
      <c r="M4405" s="68" t="s">
        <v>8912</v>
      </c>
      <c r="N4405" s="53" t="s">
        <v>12407</v>
      </c>
      <c r="O4405" s="53">
        <v>50100</v>
      </c>
      <c r="P4405" s="198" t="s">
        <v>8698</v>
      </c>
    </row>
    <row r="4406" spans="1:16" ht="18.75" hidden="1">
      <c r="A4406" s="50" t="s">
        <v>12707</v>
      </c>
      <c r="B4406" s="50" t="s">
        <v>12701</v>
      </c>
      <c r="C4406" s="50" t="s">
        <v>12709</v>
      </c>
      <c r="D4406" s="12" t="s">
        <v>8837</v>
      </c>
      <c r="E4406" s="12" t="s">
        <v>4971</v>
      </c>
      <c r="F4406" s="49">
        <v>580360</v>
      </c>
      <c r="G4406" s="77" t="s">
        <v>6298</v>
      </c>
      <c r="H4406" s="14" t="s">
        <v>5601</v>
      </c>
      <c r="I4406" s="14" t="s">
        <v>2458</v>
      </c>
      <c r="J4406" s="33" t="s">
        <v>7110</v>
      </c>
      <c r="K4406" s="33" t="s">
        <v>12765</v>
      </c>
      <c r="L4406" s="53" t="s">
        <v>6277</v>
      </c>
      <c r="M4406" s="68" t="s">
        <v>8912</v>
      </c>
      <c r="N4406" s="53" t="s">
        <v>12407</v>
      </c>
      <c r="O4406" s="53">
        <v>50100</v>
      </c>
      <c r="P4406" s="198" t="s">
        <v>7111</v>
      </c>
    </row>
    <row r="4407" spans="1:16" ht="18.75" hidden="1">
      <c r="A4407" s="50" t="s">
        <v>12710</v>
      </c>
      <c r="B4407" s="50" t="s">
        <v>12711</v>
      </c>
      <c r="C4407" s="50" t="s">
        <v>12712</v>
      </c>
      <c r="D4407" s="12" t="s">
        <v>12689</v>
      </c>
      <c r="E4407" s="12" t="s">
        <v>4971</v>
      </c>
      <c r="F4407" s="49">
        <v>1606229</v>
      </c>
      <c r="G4407" s="77" t="s">
        <v>6300</v>
      </c>
      <c r="H4407" s="14" t="s">
        <v>5601</v>
      </c>
      <c r="I4407" s="14" t="s">
        <v>2458</v>
      </c>
      <c r="J4407" s="33" t="s">
        <v>7110</v>
      </c>
      <c r="K4407" s="33" t="s">
        <v>12765</v>
      </c>
      <c r="L4407" s="53" t="s">
        <v>6282</v>
      </c>
      <c r="M4407" s="68" t="s">
        <v>8913</v>
      </c>
      <c r="N4407" s="53" t="s">
        <v>12407</v>
      </c>
      <c r="O4407" s="53">
        <v>50100</v>
      </c>
      <c r="P4407" s="198" t="s">
        <v>9774</v>
      </c>
    </row>
    <row r="4408" spans="1:16" ht="18.75" hidden="1">
      <c r="A4408" s="50" t="s">
        <v>12713</v>
      </c>
      <c r="B4408" s="50" t="s">
        <v>12714</v>
      </c>
      <c r="C4408" s="50" t="s">
        <v>12715</v>
      </c>
      <c r="D4408" s="12" t="s">
        <v>12695</v>
      </c>
      <c r="E4408" s="12" t="s">
        <v>4971</v>
      </c>
      <c r="F4408" s="49">
        <v>993960</v>
      </c>
      <c r="G4408" s="77" t="s">
        <v>6452</v>
      </c>
      <c r="H4408" s="14" t="s">
        <v>5601</v>
      </c>
      <c r="I4408" s="14" t="s">
        <v>2458</v>
      </c>
      <c r="J4408" s="33" t="e">
        <f>VLOOKUP(C4408,شرکتها!A:B,2,FALSE)</f>
        <v>#N/A</v>
      </c>
      <c r="K4408" s="33" t="s">
        <v>12765</v>
      </c>
      <c r="L4408" s="53" t="s">
        <v>8683</v>
      </c>
      <c r="M4408" s="68" t="s">
        <v>8913</v>
      </c>
      <c r="N4408" s="53" t="s">
        <v>12407</v>
      </c>
      <c r="O4408" s="53">
        <v>50100</v>
      </c>
      <c r="P4408" s="198" t="s">
        <v>12664</v>
      </c>
    </row>
    <row r="4409" spans="1:16" ht="18.75" hidden="1">
      <c r="A4409" s="50" t="s">
        <v>12716</v>
      </c>
      <c r="B4409" s="50" t="s">
        <v>12717</v>
      </c>
      <c r="C4409" s="50" t="s">
        <v>12718</v>
      </c>
      <c r="D4409" s="12" t="s">
        <v>12601</v>
      </c>
      <c r="E4409" s="12" t="s">
        <v>4971</v>
      </c>
      <c r="F4409" s="49">
        <v>973723</v>
      </c>
      <c r="G4409" s="77" t="s">
        <v>6452</v>
      </c>
      <c r="H4409" s="14" t="s">
        <v>5601</v>
      </c>
      <c r="I4409" s="14" t="s">
        <v>2458</v>
      </c>
      <c r="J4409" s="33" t="e">
        <f>VLOOKUP(C4409,شرکتها!A:B,2,FALSE)</f>
        <v>#N/A</v>
      </c>
      <c r="K4409" s="33" t="s">
        <v>12765</v>
      </c>
      <c r="L4409" s="53" t="s">
        <v>8683</v>
      </c>
      <c r="M4409" s="68" t="s">
        <v>8913</v>
      </c>
      <c r="N4409" s="53" t="s">
        <v>12407</v>
      </c>
      <c r="O4409" s="53">
        <v>50100</v>
      </c>
      <c r="P4409" s="198" t="s">
        <v>12664</v>
      </c>
    </row>
    <row r="4410" spans="1:16" ht="18.75" hidden="1">
      <c r="A4410" s="50" t="s">
        <v>12719</v>
      </c>
      <c r="B4410" s="50" t="s">
        <v>12711</v>
      </c>
      <c r="C4410" s="50" t="s">
        <v>12720</v>
      </c>
      <c r="D4410" s="12" t="s">
        <v>9933</v>
      </c>
      <c r="E4410" s="12" t="s">
        <v>4971</v>
      </c>
      <c r="F4410" s="49">
        <v>798700</v>
      </c>
      <c r="G4410" s="77" t="s">
        <v>6298</v>
      </c>
      <c r="H4410" s="14" t="s">
        <v>5601</v>
      </c>
      <c r="I4410" s="14" t="s">
        <v>2458</v>
      </c>
      <c r="J4410" s="33" t="s">
        <v>7110</v>
      </c>
      <c r="K4410" s="33" t="s">
        <v>12765</v>
      </c>
      <c r="L4410" s="53" t="s">
        <v>6277</v>
      </c>
      <c r="M4410" s="68" t="s">
        <v>8912</v>
      </c>
      <c r="N4410" s="53" t="s">
        <v>12407</v>
      </c>
      <c r="O4410" s="53">
        <v>50100</v>
      </c>
      <c r="P4410" s="198" t="s">
        <v>8698</v>
      </c>
    </row>
    <row r="4411" spans="1:16" ht="18.75" hidden="1">
      <c r="A4411" s="50" t="s">
        <v>12721</v>
      </c>
      <c r="B4411" s="50" t="s">
        <v>12714</v>
      </c>
      <c r="C4411" s="50" t="s">
        <v>12722</v>
      </c>
      <c r="D4411" s="12" t="s">
        <v>9997</v>
      </c>
      <c r="E4411" s="12" t="s">
        <v>4971</v>
      </c>
      <c r="F4411" s="49">
        <v>399245</v>
      </c>
      <c r="G4411" s="77" t="s">
        <v>6454</v>
      </c>
      <c r="H4411" s="14" t="s">
        <v>5601</v>
      </c>
      <c r="I4411" s="14" t="s">
        <v>2458</v>
      </c>
      <c r="J4411" s="33" t="s">
        <v>7110</v>
      </c>
      <c r="K4411" s="33" t="s">
        <v>12765</v>
      </c>
      <c r="L4411" s="53" t="s">
        <v>6283</v>
      </c>
      <c r="M4411" s="68" t="s">
        <v>8912</v>
      </c>
      <c r="N4411" s="53" t="s">
        <v>12407</v>
      </c>
      <c r="O4411" s="53">
        <v>50100</v>
      </c>
      <c r="P4411" s="198" t="s">
        <v>9796</v>
      </c>
    </row>
    <row r="4412" spans="1:16" ht="18.75" hidden="1">
      <c r="A4412" s="50" t="s">
        <v>12690</v>
      </c>
      <c r="B4412" s="50" t="s">
        <v>12691</v>
      </c>
      <c r="C4412" s="50" t="s">
        <v>12708</v>
      </c>
      <c r="D4412" s="12" t="s">
        <v>9813</v>
      </c>
      <c r="E4412" s="12" t="s">
        <v>4971</v>
      </c>
      <c r="F4412" s="49">
        <v>452490</v>
      </c>
      <c r="G4412" s="77" t="s">
        <v>6298</v>
      </c>
      <c r="H4412" s="14" t="s">
        <v>5601</v>
      </c>
      <c r="I4412" s="14" t="s">
        <v>2458</v>
      </c>
      <c r="J4412" s="33" t="s">
        <v>7110</v>
      </c>
      <c r="K4412" s="33" t="s">
        <v>12765</v>
      </c>
      <c r="L4412" s="53" t="s">
        <v>6283</v>
      </c>
      <c r="M4412" s="68" t="s">
        <v>8912</v>
      </c>
      <c r="N4412" s="53" t="s">
        <v>12407</v>
      </c>
      <c r="O4412" s="53">
        <v>50100</v>
      </c>
      <c r="P4412" s="198" t="s">
        <v>8698</v>
      </c>
    </row>
    <row r="4413" spans="1:16" ht="18.75" hidden="1">
      <c r="A4413" s="50" t="s">
        <v>12692</v>
      </c>
      <c r="B4413" s="50" t="s">
        <v>12662</v>
      </c>
      <c r="C4413" s="50" t="s">
        <v>12723</v>
      </c>
      <c r="D4413" s="12" t="s">
        <v>8621</v>
      </c>
      <c r="E4413" s="12" t="s">
        <v>4971</v>
      </c>
      <c r="F4413" s="49">
        <v>135000</v>
      </c>
      <c r="G4413" s="77" t="s">
        <v>6298</v>
      </c>
      <c r="H4413" s="14" t="s">
        <v>5601</v>
      </c>
      <c r="I4413" s="14" t="s">
        <v>2458</v>
      </c>
      <c r="J4413" s="33" t="s">
        <v>7110</v>
      </c>
      <c r="K4413" s="33" t="s">
        <v>12765</v>
      </c>
      <c r="L4413" s="53" t="s">
        <v>6283</v>
      </c>
      <c r="M4413" s="68" t="s">
        <v>8912</v>
      </c>
      <c r="N4413" s="53" t="s">
        <v>12407</v>
      </c>
      <c r="O4413" s="53">
        <v>50100</v>
      </c>
      <c r="P4413" s="198" t="s">
        <v>7175</v>
      </c>
    </row>
    <row r="4414" spans="1:16" ht="18.75" hidden="1">
      <c r="A4414" s="50" t="s">
        <v>12724</v>
      </c>
      <c r="B4414" s="50" t="s">
        <v>12601</v>
      </c>
      <c r="C4414" s="50" t="s">
        <v>12554</v>
      </c>
      <c r="D4414" s="12" t="s">
        <v>8837</v>
      </c>
      <c r="E4414" s="12" t="s">
        <v>4971</v>
      </c>
      <c r="F4414" s="49">
        <v>199210</v>
      </c>
      <c r="G4414" s="77" t="s">
        <v>6298</v>
      </c>
      <c r="H4414" s="14" t="s">
        <v>5601</v>
      </c>
      <c r="I4414" s="14" t="s">
        <v>2458</v>
      </c>
      <c r="J4414" s="33" t="s">
        <v>7110</v>
      </c>
      <c r="K4414" s="33" t="s">
        <v>12765</v>
      </c>
      <c r="L4414" s="53" t="s">
        <v>8681</v>
      </c>
      <c r="M4414" s="68" t="s">
        <v>8912</v>
      </c>
      <c r="N4414" s="53" t="s">
        <v>12407</v>
      </c>
      <c r="O4414" s="53">
        <v>50100</v>
      </c>
      <c r="P4414" s="198" t="s">
        <v>7111</v>
      </c>
    </row>
    <row r="4415" spans="1:16" ht="18.75" hidden="1">
      <c r="A4415" s="50" t="s">
        <v>12725</v>
      </c>
      <c r="B4415" s="50" t="s">
        <v>12701</v>
      </c>
      <c r="C4415" s="50" t="s">
        <v>12726</v>
      </c>
      <c r="D4415" s="12" t="s">
        <v>12530</v>
      </c>
      <c r="E4415" s="12" t="s">
        <v>4971</v>
      </c>
      <c r="F4415" s="49">
        <v>693693</v>
      </c>
      <c r="G4415" s="77" t="s">
        <v>6452</v>
      </c>
      <c r="H4415" s="14" t="s">
        <v>5601</v>
      </c>
      <c r="I4415" s="14" t="s">
        <v>2458</v>
      </c>
      <c r="J4415" s="33" t="e">
        <f>VLOOKUP(C4415,شرکتها!A:B,2,FALSE)</f>
        <v>#N/A</v>
      </c>
      <c r="K4415" s="33" t="s">
        <v>12765</v>
      </c>
      <c r="L4415" s="53" t="s">
        <v>6277</v>
      </c>
      <c r="M4415" s="68" t="s">
        <v>8912</v>
      </c>
      <c r="N4415" s="53" t="s">
        <v>12407</v>
      </c>
      <c r="O4415" s="53">
        <v>50100</v>
      </c>
      <c r="P4415" s="198" t="s">
        <v>12195</v>
      </c>
    </row>
    <row r="4416" spans="1:16" ht="18.75" hidden="1">
      <c r="A4416" s="50" t="s">
        <v>12727</v>
      </c>
      <c r="B4416" s="50" t="s">
        <v>12701</v>
      </c>
      <c r="C4416" s="50" t="s">
        <v>12728</v>
      </c>
      <c r="D4416" s="12" t="s">
        <v>12689</v>
      </c>
      <c r="E4416" s="12" t="s">
        <v>4971</v>
      </c>
      <c r="F4416" s="49">
        <v>949309</v>
      </c>
      <c r="G4416" s="77" t="s">
        <v>6452</v>
      </c>
      <c r="H4416" s="14" t="s">
        <v>5601</v>
      </c>
      <c r="I4416" s="14" t="s">
        <v>2458</v>
      </c>
      <c r="J4416" s="33" t="e">
        <f>VLOOKUP(C4416,شرکتها!A:B,2,FALSE)</f>
        <v>#N/A</v>
      </c>
      <c r="K4416" s="33" t="s">
        <v>12765</v>
      </c>
      <c r="L4416" s="53" t="s">
        <v>6284</v>
      </c>
      <c r="M4416" s="68" t="s">
        <v>8913</v>
      </c>
      <c r="N4416" s="53" t="s">
        <v>12407</v>
      </c>
      <c r="O4416" s="53">
        <v>50100</v>
      </c>
      <c r="P4416" s="198" t="s">
        <v>12664</v>
      </c>
    </row>
    <row r="4417" spans="1:16" ht="18.75" hidden="1">
      <c r="A4417" s="50" t="s">
        <v>12707</v>
      </c>
      <c r="B4417" s="50" t="s">
        <v>12701</v>
      </c>
      <c r="C4417" s="50" t="s">
        <v>12729</v>
      </c>
      <c r="D4417" s="12" t="s">
        <v>8767</v>
      </c>
      <c r="E4417" s="12" t="s">
        <v>4971</v>
      </c>
      <c r="F4417" s="49">
        <v>600000</v>
      </c>
      <c r="G4417" s="77" t="s">
        <v>6298</v>
      </c>
      <c r="H4417" s="14" t="s">
        <v>5601</v>
      </c>
      <c r="I4417" s="14" t="s">
        <v>2458</v>
      </c>
      <c r="J4417" s="33" t="s">
        <v>7110</v>
      </c>
      <c r="K4417" s="33" t="s">
        <v>12765</v>
      </c>
      <c r="L4417" s="53" t="s">
        <v>6277</v>
      </c>
      <c r="M4417" s="68" t="s">
        <v>8912</v>
      </c>
      <c r="N4417" s="53" t="s">
        <v>12407</v>
      </c>
      <c r="O4417" s="53">
        <v>50100</v>
      </c>
      <c r="P4417" s="198" t="s">
        <v>7175</v>
      </c>
    </row>
    <row r="4418" spans="1:16" ht="18.75" hidden="1">
      <c r="A4418" s="50" t="s">
        <v>12707</v>
      </c>
      <c r="B4418" s="50" t="s">
        <v>12701</v>
      </c>
      <c r="C4418" s="50" t="s">
        <v>12730</v>
      </c>
      <c r="D4418" s="12" t="s">
        <v>9825</v>
      </c>
      <c r="E4418" s="12" t="s">
        <v>4971</v>
      </c>
      <c r="F4418" s="49">
        <v>85480</v>
      </c>
      <c r="G4418" s="77" t="s">
        <v>6298</v>
      </c>
      <c r="H4418" s="14" t="s">
        <v>5601</v>
      </c>
      <c r="I4418" s="14" t="s">
        <v>2458</v>
      </c>
      <c r="J4418" s="33" t="s">
        <v>7110</v>
      </c>
      <c r="K4418" s="33" t="s">
        <v>12765</v>
      </c>
      <c r="L4418" s="53" t="s">
        <v>6277</v>
      </c>
      <c r="M4418" s="68" t="s">
        <v>8912</v>
      </c>
      <c r="N4418" s="53" t="s">
        <v>12407</v>
      </c>
      <c r="O4418" s="53">
        <v>50100</v>
      </c>
      <c r="P4418" s="198" t="s">
        <v>8698</v>
      </c>
    </row>
    <row r="4419" spans="1:16" ht="18.75" hidden="1">
      <c r="A4419" s="50" t="s">
        <v>12731</v>
      </c>
      <c r="B4419" s="50" t="s">
        <v>12732</v>
      </c>
      <c r="C4419" s="50" t="s">
        <v>12709</v>
      </c>
      <c r="D4419" s="12" t="s">
        <v>8837</v>
      </c>
      <c r="E4419" s="12" t="s">
        <v>4971</v>
      </c>
      <c r="F4419" s="49">
        <v>169600</v>
      </c>
      <c r="G4419" s="77" t="s">
        <v>6298</v>
      </c>
      <c r="H4419" s="14" t="s">
        <v>5601</v>
      </c>
      <c r="I4419" s="14" t="s">
        <v>2458</v>
      </c>
      <c r="J4419" s="33" t="s">
        <v>7110</v>
      </c>
      <c r="K4419" s="33" t="s">
        <v>12765</v>
      </c>
      <c r="L4419" s="53" t="s">
        <v>6283</v>
      </c>
      <c r="M4419" s="68" t="s">
        <v>8912</v>
      </c>
      <c r="N4419" s="53" t="s">
        <v>12407</v>
      </c>
      <c r="O4419" s="53">
        <v>50100</v>
      </c>
      <c r="P4419" s="198" t="s">
        <v>7111</v>
      </c>
    </row>
    <row r="4420" spans="1:16" ht="18.75" hidden="1">
      <c r="A4420" s="50" t="s">
        <v>12733</v>
      </c>
      <c r="B4420" s="50" t="s">
        <v>12734</v>
      </c>
      <c r="C4420" s="50" t="s">
        <v>12526</v>
      </c>
      <c r="D4420" s="12" t="s">
        <v>8830</v>
      </c>
      <c r="E4420" s="12" t="s">
        <v>4971</v>
      </c>
      <c r="F4420" s="49">
        <v>224175</v>
      </c>
      <c r="G4420" s="77" t="s">
        <v>6298</v>
      </c>
      <c r="H4420" s="14" t="s">
        <v>5601</v>
      </c>
      <c r="I4420" s="14" t="s">
        <v>2458</v>
      </c>
      <c r="J4420" s="33" t="s">
        <v>7110</v>
      </c>
      <c r="K4420" s="33" t="s">
        <v>12765</v>
      </c>
      <c r="L4420" s="53" t="s">
        <v>8686</v>
      </c>
      <c r="M4420" s="68" t="s">
        <v>8912</v>
      </c>
      <c r="N4420" s="53" t="s">
        <v>12407</v>
      </c>
      <c r="O4420" s="53">
        <v>50100</v>
      </c>
      <c r="P4420" s="198" t="s">
        <v>7273</v>
      </c>
    </row>
    <row r="4421" spans="1:16" ht="18.75" hidden="1">
      <c r="A4421" s="50" t="s">
        <v>12735</v>
      </c>
      <c r="B4421" s="50" t="s">
        <v>12736</v>
      </c>
      <c r="C4421" s="50" t="s">
        <v>12737</v>
      </c>
      <c r="D4421" s="12" t="s">
        <v>12717</v>
      </c>
      <c r="E4421" s="12" t="s">
        <v>4971</v>
      </c>
      <c r="F4421" s="49">
        <v>495563</v>
      </c>
      <c r="G4421" s="77" t="s">
        <v>6298</v>
      </c>
      <c r="H4421" s="14" t="s">
        <v>5601</v>
      </c>
      <c r="I4421" s="14" t="s">
        <v>2458</v>
      </c>
      <c r="J4421" s="33" t="s">
        <v>7110</v>
      </c>
      <c r="K4421" s="33" t="s">
        <v>12765</v>
      </c>
      <c r="L4421" s="53" t="s">
        <v>6283</v>
      </c>
      <c r="M4421" s="68" t="s">
        <v>8912</v>
      </c>
      <c r="N4421" s="53" t="s">
        <v>12407</v>
      </c>
      <c r="O4421" s="53">
        <v>50100</v>
      </c>
      <c r="P4421" s="198" t="s">
        <v>12429</v>
      </c>
    </row>
    <row r="4422" spans="1:16" ht="18.75" hidden="1">
      <c r="A4422" s="50" t="s">
        <v>12738</v>
      </c>
      <c r="B4422" s="50" t="s">
        <v>12714</v>
      </c>
      <c r="C4422" s="50" t="s">
        <v>12739</v>
      </c>
      <c r="D4422" s="12" t="s">
        <v>9825</v>
      </c>
      <c r="E4422" s="12" t="s">
        <v>4971</v>
      </c>
      <c r="F4422" s="49">
        <v>50000</v>
      </c>
      <c r="G4422" s="77" t="s">
        <v>6454</v>
      </c>
      <c r="H4422" s="14" t="s">
        <v>5601</v>
      </c>
      <c r="I4422" s="14" t="s">
        <v>2458</v>
      </c>
      <c r="J4422" s="33" t="s">
        <v>7110</v>
      </c>
      <c r="K4422" s="33" t="s">
        <v>12765</v>
      </c>
      <c r="L4422" s="53" t="s">
        <v>6283</v>
      </c>
      <c r="M4422" s="68" t="s">
        <v>8912</v>
      </c>
      <c r="N4422" s="53" t="s">
        <v>12407</v>
      </c>
      <c r="O4422" s="53">
        <v>50100</v>
      </c>
      <c r="P4422" s="198" t="s">
        <v>9790</v>
      </c>
    </row>
    <row r="4423" spans="1:16" ht="18.75" hidden="1">
      <c r="A4423" s="50" t="s">
        <v>12738</v>
      </c>
      <c r="B4423" s="50" t="s">
        <v>12714</v>
      </c>
      <c r="C4423" s="50" t="s">
        <v>10109</v>
      </c>
      <c r="D4423" s="12" t="s">
        <v>9830</v>
      </c>
      <c r="E4423" s="12" t="s">
        <v>4971</v>
      </c>
      <c r="F4423" s="49">
        <v>2815</v>
      </c>
      <c r="G4423" s="77" t="s">
        <v>6454</v>
      </c>
      <c r="H4423" s="14" t="s">
        <v>5601</v>
      </c>
      <c r="I4423" s="14" t="s">
        <v>2458</v>
      </c>
      <c r="J4423" s="33" t="s">
        <v>7110</v>
      </c>
      <c r="K4423" s="33" t="s">
        <v>12765</v>
      </c>
      <c r="L4423" s="53" t="s">
        <v>6283</v>
      </c>
      <c r="M4423" s="68" t="s">
        <v>8912</v>
      </c>
      <c r="N4423" s="53" t="s">
        <v>12407</v>
      </c>
      <c r="O4423" s="53">
        <v>50100</v>
      </c>
      <c r="P4423" s="198" t="s">
        <v>9768</v>
      </c>
    </row>
    <row r="4424" spans="1:16" ht="18.75" hidden="1">
      <c r="A4424" s="50" t="s">
        <v>12738</v>
      </c>
      <c r="B4424" s="50" t="s">
        <v>12714</v>
      </c>
      <c r="C4424" s="50" t="s">
        <v>12722</v>
      </c>
      <c r="D4424" s="12" t="s">
        <v>9997</v>
      </c>
      <c r="E4424" s="12" t="s">
        <v>4971</v>
      </c>
      <c r="F4424" s="49">
        <v>322470</v>
      </c>
      <c r="G4424" s="77" t="s">
        <v>6454</v>
      </c>
      <c r="H4424" s="14" t="s">
        <v>5601</v>
      </c>
      <c r="I4424" s="14" t="s">
        <v>2458</v>
      </c>
      <c r="J4424" s="33" t="s">
        <v>7110</v>
      </c>
      <c r="K4424" s="33" t="s">
        <v>12765</v>
      </c>
      <c r="L4424" s="53" t="s">
        <v>6283</v>
      </c>
      <c r="M4424" s="68" t="s">
        <v>8912</v>
      </c>
      <c r="N4424" s="53" t="s">
        <v>12407</v>
      </c>
      <c r="O4424" s="53">
        <v>50100</v>
      </c>
      <c r="P4424" s="198" t="s">
        <v>9796</v>
      </c>
    </row>
    <row r="4425" spans="1:16" ht="18.75" hidden="1">
      <c r="A4425" s="50" t="s">
        <v>12740</v>
      </c>
      <c r="B4425" s="50" t="s">
        <v>12734</v>
      </c>
      <c r="C4425" s="50" t="s">
        <v>12722</v>
      </c>
      <c r="D4425" s="12" t="s">
        <v>9997</v>
      </c>
      <c r="E4425" s="12" t="s">
        <v>4971</v>
      </c>
      <c r="F4425" s="49">
        <v>493850</v>
      </c>
      <c r="G4425" s="77" t="s">
        <v>6454</v>
      </c>
      <c r="H4425" s="14" t="s">
        <v>5601</v>
      </c>
      <c r="I4425" s="14" t="s">
        <v>2458</v>
      </c>
      <c r="J4425" s="33" t="s">
        <v>7110</v>
      </c>
      <c r="K4425" s="33" t="s">
        <v>12765</v>
      </c>
      <c r="L4425" s="53" t="s">
        <v>6283</v>
      </c>
      <c r="M4425" s="68" t="s">
        <v>8912</v>
      </c>
      <c r="N4425" s="53" t="s">
        <v>12407</v>
      </c>
      <c r="O4425" s="53">
        <v>50100</v>
      </c>
      <c r="P4425" s="198" t="s">
        <v>9796</v>
      </c>
    </row>
    <row r="4426" spans="1:16" ht="18.75" hidden="1">
      <c r="A4426" s="50" t="s">
        <v>12741</v>
      </c>
      <c r="B4426" s="50" t="s">
        <v>12691</v>
      </c>
      <c r="C4426" s="50" t="s">
        <v>12742</v>
      </c>
      <c r="D4426" s="12" t="s">
        <v>9720</v>
      </c>
      <c r="E4426" s="12" t="s">
        <v>4971</v>
      </c>
      <c r="F4426" s="49">
        <v>280000</v>
      </c>
      <c r="G4426" s="77" t="s">
        <v>6298</v>
      </c>
      <c r="H4426" s="14" t="s">
        <v>5601</v>
      </c>
      <c r="I4426" s="14" t="s">
        <v>2458</v>
      </c>
      <c r="J4426" s="33" t="s">
        <v>7110</v>
      </c>
      <c r="K4426" s="33" t="s">
        <v>12765</v>
      </c>
      <c r="L4426" s="53" t="s">
        <v>8681</v>
      </c>
      <c r="M4426" s="68" t="s">
        <v>8912</v>
      </c>
      <c r="N4426" s="53" t="s">
        <v>12407</v>
      </c>
      <c r="O4426" s="53">
        <v>50100</v>
      </c>
      <c r="P4426" s="198" t="s">
        <v>8698</v>
      </c>
    </row>
    <row r="4427" spans="1:16" ht="18.75" hidden="1">
      <c r="A4427" s="50" t="s">
        <v>12733</v>
      </c>
      <c r="B4427" s="50" t="s">
        <v>12734</v>
      </c>
      <c r="C4427" s="50" t="s">
        <v>12743</v>
      </c>
      <c r="D4427" s="12" t="s">
        <v>10049</v>
      </c>
      <c r="E4427" s="12" t="s">
        <v>4971</v>
      </c>
      <c r="F4427" s="49">
        <v>500000</v>
      </c>
      <c r="G4427" s="77" t="s">
        <v>6298</v>
      </c>
      <c r="H4427" s="14" t="s">
        <v>5601</v>
      </c>
      <c r="I4427" s="14" t="s">
        <v>2458</v>
      </c>
      <c r="J4427" s="33" t="s">
        <v>7110</v>
      </c>
      <c r="K4427" s="33" t="s">
        <v>12765</v>
      </c>
      <c r="L4427" s="53" t="s">
        <v>8686</v>
      </c>
      <c r="M4427" s="68" t="s">
        <v>8912</v>
      </c>
      <c r="N4427" s="53" t="s">
        <v>12407</v>
      </c>
      <c r="O4427" s="53">
        <v>50100</v>
      </c>
      <c r="P4427" s="198" t="s">
        <v>8698</v>
      </c>
    </row>
    <row r="4428" spans="1:16" ht="18.75" hidden="1">
      <c r="A4428" s="50" t="s">
        <v>12733</v>
      </c>
      <c r="B4428" s="50" t="s">
        <v>12734</v>
      </c>
      <c r="C4428" s="50" t="s">
        <v>12554</v>
      </c>
      <c r="D4428" s="12" t="s">
        <v>8837</v>
      </c>
      <c r="E4428" s="12" t="s">
        <v>4971</v>
      </c>
      <c r="F4428" s="49">
        <v>88725</v>
      </c>
      <c r="G4428" s="77" t="s">
        <v>6298</v>
      </c>
      <c r="H4428" s="14" t="s">
        <v>5601</v>
      </c>
      <c r="I4428" s="14" t="s">
        <v>2458</v>
      </c>
      <c r="J4428" s="33" t="s">
        <v>7110</v>
      </c>
      <c r="K4428" s="33" t="s">
        <v>12765</v>
      </c>
      <c r="L4428" s="53" t="s">
        <v>8686</v>
      </c>
      <c r="M4428" s="68" t="s">
        <v>8912</v>
      </c>
      <c r="N4428" s="53" t="s">
        <v>12407</v>
      </c>
      <c r="O4428" s="53">
        <v>50100</v>
      </c>
      <c r="P4428" s="198" t="s">
        <v>7111</v>
      </c>
    </row>
    <row r="4429" spans="1:16" ht="18.75" hidden="1">
      <c r="A4429" s="50" t="s">
        <v>12744</v>
      </c>
      <c r="B4429" s="50" t="s">
        <v>12705</v>
      </c>
      <c r="C4429" s="50" t="s">
        <v>12745</v>
      </c>
      <c r="D4429" s="12" t="s">
        <v>8764</v>
      </c>
      <c r="E4429" s="12" t="s">
        <v>4971</v>
      </c>
      <c r="F4429" s="49">
        <v>494000</v>
      </c>
      <c r="G4429" s="77" t="s">
        <v>6298</v>
      </c>
      <c r="H4429" s="14" t="s">
        <v>5601</v>
      </c>
      <c r="I4429" s="14" t="s">
        <v>2458</v>
      </c>
      <c r="J4429" s="33" t="s">
        <v>7110</v>
      </c>
      <c r="K4429" s="33" t="s">
        <v>12765</v>
      </c>
      <c r="L4429" s="53" t="s">
        <v>8686</v>
      </c>
      <c r="M4429" s="68" t="s">
        <v>8912</v>
      </c>
      <c r="N4429" s="53" t="s">
        <v>12407</v>
      </c>
      <c r="O4429" s="53">
        <v>50100</v>
      </c>
      <c r="P4429" s="198" t="s">
        <v>7175</v>
      </c>
    </row>
    <row r="4430" spans="1:16" ht="18.75" hidden="1">
      <c r="A4430" s="50" t="s">
        <v>12746</v>
      </c>
      <c r="B4430" s="50" t="s">
        <v>12699</v>
      </c>
      <c r="C4430" s="50" t="s">
        <v>12693</v>
      </c>
      <c r="D4430" s="12" t="s">
        <v>8824</v>
      </c>
      <c r="E4430" s="12" t="s">
        <v>4971</v>
      </c>
      <c r="F4430" s="49">
        <v>100000</v>
      </c>
      <c r="G4430" s="77" t="s">
        <v>6298</v>
      </c>
      <c r="H4430" s="14" t="s">
        <v>5601</v>
      </c>
      <c r="I4430" s="14" t="s">
        <v>2458</v>
      </c>
      <c r="J4430" s="33" t="s">
        <v>7110</v>
      </c>
      <c r="K4430" s="33" t="s">
        <v>12765</v>
      </c>
      <c r="L4430" s="53" t="s">
        <v>8684</v>
      </c>
      <c r="M4430" s="68" t="s">
        <v>8912</v>
      </c>
      <c r="N4430" s="53" t="s">
        <v>12407</v>
      </c>
      <c r="O4430" s="53">
        <v>50100</v>
      </c>
      <c r="P4430" s="198" t="s">
        <v>8698</v>
      </c>
    </row>
    <row r="4431" spans="1:16" ht="18.75" hidden="1">
      <c r="A4431" s="50" t="s">
        <v>12747</v>
      </c>
      <c r="B4431" s="50" t="s">
        <v>12701</v>
      </c>
      <c r="C4431" s="50" t="s">
        <v>12726</v>
      </c>
      <c r="D4431" s="12" t="s">
        <v>12530</v>
      </c>
      <c r="E4431" s="12" t="s">
        <v>4971</v>
      </c>
      <c r="F4431" s="49">
        <v>278347</v>
      </c>
      <c r="G4431" s="77" t="s">
        <v>6452</v>
      </c>
      <c r="H4431" s="14" t="s">
        <v>5601</v>
      </c>
      <c r="I4431" s="14" t="s">
        <v>2458</v>
      </c>
      <c r="J4431" s="33" t="e">
        <f>VLOOKUP(C4431,شرکتها!A:B,2,FALSE)</f>
        <v>#N/A</v>
      </c>
      <c r="K4431" s="33" t="s">
        <v>12765</v>
      </c>
      <c r="L4431" s="53" t="s">
        <v>6280</v>
      </c>
      <c r="M4431" s="68" t="s">
        <v>8912</v>
      </c>
      <c r="N4431" s="53" t="s">
        <v>12407</v>
      </c>
      <c r="O4431" s="53">
        <v>50100</v>
      </c>
      <c r="P4431" s="198" t="s">
        <v>12195</v>
      </c>
    </row>
    <row r="4432" spans="1:16" ht="18.75" hidden="1">
      <c r="A4432" s="50" t="s">
        <v>12746</v>
      </c>
      <c r="B4432" s="50" t="s">
        <v>12699</v>
      </c>
      <c r="C4432" s="50" t="s">
        <v>12748</v>
      </c>
      <c r="D4432" s="12" t="s">
        <v>8616</v>
      </c>
      <c r="E4432" s="12" t="s">
        <v>4971</v>
      </c>
      <c r="F4432" s="49">
        <v>300000</v>
      </c>
      <c r="G4432" s="77" t="s">
        <v>6298</v>
      </c>
      <c r="H4432" s="14" t="s">
        <v>5601</v>
      </c>
      <c r="I4432" s="14" t="s">
        <v>2458</v>
      </c>
      <c r="J4432" s="33" t="s">
        <v>7110</v>
      </c>
      <c r="K4432" s="33" t="s">
        <v>12765</v>
      </c>
      <c r="L4432" s="53" t="s">
        <v>8684</v>
      </c>
      <c r="M4432" s="68" t="s">
        <v>8912</v>
      </c>
      <c r="N4432" s="53" t="s">
        <v>12407</v>
      </c>
      <c r="O4432" s="53">
        <v>50100</v>
      </c>
      <c r="P4432" s="198" t="s">
        <v>7175</v>
      </c>
    </row>
    <row r="4433" spans="1:16" ht="18.75" hidden="1">
      <c r="A4433" s="50" t="s">
        <v>12749</v>
      </c>
      <c r="B4433" s="50" t="s">
        <v>12695</v>
      </c>
      <c r="C4433" s="50" t="s">
        <v>12526</v>
      </c>
      <c r="D4433" s="12" t="s">
        <v>8830</v>
      </c>
      <c r="E4433" s="12" t="s">
        <v>4971</v>
      </c>
      <c r="F4433" s="49">
        <v>216010</v>
      </c>
      <c r="G4433" s="77" t="s">
        <v>6298</v>
      </c>
      <c r="H4433" s="14" t="s">
        <v>5601</v>
      </c>
      <c r="I4433" s="14" t="s">
        <v>2458</v>
      </c>
      <c r="J4433" s="33" t="s">
        <v>7110</v>
      </c>
      <c r="K4433" s="33" t="s">
        <v>12765</v>
      </c>
      <c r="L4433" s="53" t="s">
        <v>12750</v>
      </c>
      <c r="M4433" s="68" t="s">
        <v>8912</v>
      </c>
      <c r="N4433" s="53" t="s">
        <v>12407</v>
      </c>
      <c r="O4433" s="53">
        <v>50100</v>
      </c>
      <c r="P4433" s="198" t="s">
        <v>7273</v>
      </c>
    </row>
    <row r="4434" spans="1:16" ht="18.75" hidden="1">
      <c r="A4434" s="50" t="s">
        <v>12751</v>
      </c>
      <c r="B4434" s="50" t="s">
        <v>12699</v>
      </c>
      <c r="C4434" s="50" t="s">
        <v>12752</v>
      </c>
      <c r="D4434" s="12" t="s">
        <v>12734</v>
      </c>
      <c r="E4434" s="12" t="s">
        <v>4971</v>
      </c>
      <c r="F4434" s="49">
        <v>1748320</v>
      </c>
      <c r="G4434" s="77" t="s">
        <v>6452</v>
      </c>
      <c r="H4434" s="14" t="s">
        <v>5601</v>
      </c>
      <c r="I4434" s="14" t="s">
        <v>2458</v>
      </c>
      <c r="J4434" s="33" t="e">
        <f>VLOOKUP(C4434,شرکتها!A:B,2,FALSE)</f>
        <v>#N/A</v>
      </c>
      <c r="K4434" s="33" t="s">
        <v>12765</v>
      </c>
      <c r="L4434" s="53" t="s">
        <v>6284</v>
      </c>
      <c r="M4434" s="68" t="s">
        <v>8913</v>
      </c>
      <c r="N4434" s="53" t="s">
        <v>12407</v>
      </c>
      <c r="O4434" s="53">
        <v>50100</v>
      </c>
      <c r="P4434" s="198" t="s">
        <v>12664</v>
      </c>
    </row>
    <row r="4435" spans="1:16" ht="18.75" hidden="1">
      <c r="A4435" s="50" t="s">
        <v>12744</v>
      </c>
      <c r="B4435" s="50" t="s">
        <v>12705</v>
      </c>
      <c r="C4435" s="50" t="s">
        <v>12753</v>
      </c>
      <c r="D4435" s="12" t="s">
        <v>8788</v>
      </c>
      <c r="E4435" s="12" t="s">
        <v>4971</v>
      </c>
      <c r="F4435" s="49">
        <v>400000</v>
      </c>
      <c r="G4435" s="77" t="s">
        <v>6298</v>
      </c>
      <c r="H4435" s="14" t="s">
        <v>5601</v>
      </c>
      <c r="I4435" s="14" t="s">
        <v>2458</v>
      </c>
      <c r="J4435" s="33" t="s">
        <v>7110</v>
      </c>
      <c r="K4435" s="33" t="s">
        <v>12765</v>
      </c>
      <c r="L4435" s="53" t="s">
        <v>8686</v>
      </c>
      <c r="M4435" s="68" t="s">
        <v>8912</v>
      </c>
      <c r="N4435" s="53" t="s">
        <v>12407</v>
      </c>
      <c r="O4435" s="53">
        <v>50100</v>
      </c>
      <c r="P4435" s="198" t="s">
        <v>7175</v>
      </c>
    </row>
    <row r="4436" spans="1:16" ht="18.75" hidden="1">
      <c r="A4436" s="50" t="s">
        <v>12744</v>
      </c>
      <c r="B4436" s="50" t="s">
        <v>12705</v>
      </c>
      <c r="C4436" s="50" t="s">
        <v>12754</v>
      </c>
      <c r="D4436" s="12" t="s">
        <v>8767</v>
      </c>
      <c r="E4436" s="12" t="s">
        <v>4971</v>
      </c>
      <c r="F4436" s="49">
        <v>104800</v>
      </c>
      <c r="G4436" s="77" t="s">
        <v>6298</v>
      </c>
      <c r="H4436" s="14" t="s">
        <v>5601</v>
      </c>
      <c r="I4436" s="14" t="s">
        <v>2458</v>
      </c>
      <c r="J4436" s="33" t="s">
        <v>7110</v>
      </c>
      <c r="K4436" s="33" t="s">
        <v>12765</v>
      </c>
      <c r="L4436" s="53" t="s">
        <v>8686</v>
      </c>
      <c r="M4436" s="68" t="s">
        <v>8912</v>
      </c>
      <c r="N4436" s="53" t="s">
        <v>12407</v>
      </c>
      <c r="O4436" s="53">
        <v>50100</v>
      </c>
      <c r="P4436" s="198" t="s">
        <v>7175</v>
      </c>
    </row>
    <row r="4437" spans="1:16" ht="18.75" hidden="1">
      <c r="A4437" s="50" t="s">
        <v>12747</v>
      </c>
      <c r="B4437" s="50" t="s">
        <v>12701</v>
      </c>
      <c r="C4437" s="50" t="s">
        <v>12755</v>
      </c>
      <c r="D4437" s="12" t="s">
        <v>12536</v>
      </c>
      <c r="E4437" s="12" t="s">
        <v>4971</v>
      </c>
      <c r="F4437" s="49">
        <v>197328</v>
      </c>
      <c r="G4437" s="77" t="s">
        <v>6452</v>
      </c>
      <c r="H4437" s="14" t="s">
        <v>5601</v>
      </c>
      <c r="I4437" s="14" t="s">
        <v>2458</v>
      </c>
      <c r="J4437" s="33" t="e">
        <f>VLOOKUP(C4437,شرکتها!A:B,2,FALSE)</f>
        <v>#N/A</v>
      </c>
      <c r="K4437" s="33" t="s">
        <v>12765</v>
      </c>
      <c r="L4437" s="53" t="s">
        <v>6280</v>
      </c>
      <c r="M4437" s="68" t="s">
        <v>8912</v>
      </c>
      <c r="N4437" s="53" t="s">
        <v>12407</v>
      </c>
      <c r="O4437" s="53">
        <v>50100</v>
      </c>
      <c r="P4437" s="198" t="s">
        <v>12667</v>
      </c>
    </row>
    <row r="4438" spans="1:16" ht="18.75" hidden="1">
      <c r="A4438" s="50" t="s">
        <v>12746</v>
      </c>
      <c r="B4438" s="50" t="s">
        <v>12699</v>
      </c>
      <c r="C4438" s="50" t="s">
        <v>12756</v>
      </c>
      <c r="D4438" s="12" t="s">
        <v>8627</v>
      </c>
      <c r="E4438" s="12" t="s">
        <v>4971</v>
      </c>
      <c r="F4438" s="49">
        <v>100000</v>
      </c>
      <c r="G4438" s="77" t="s">
        <v>6298</v>
      </c>
      <c r="H4438" s="14" t="s">
        <v>5601</v>
      </c>
      <c r="I4438" s="14" t="s">
        <v>2458</v>
      </c>
      <c r="J4438" s="33" t="s">
        <v>7110</v>
      </c>
      <c r="K4438" s="33" t="s">
        <v>12765</v>
      </c>
      <c r="L4438" s="53" t="s">
        <v>8684</v>
      </c>
      <c r="M4438" s="68" t="s">
        <v>8912</v>
      </c>
      <c r="N4438" s="53" t="s">
        <v>12407</v>
      </c>
      <c r="O4438" s="53">
        <v>50100</v>
      </c>
      <c r="P4438" s="198" t="s">
        <v>7175</v>
      </c>
    </row>
    <row r="4439" spans="1:16" ht="18.75" hidden="1">
      <c r="A4439" s="50" t="s">
        <v>12719</v>
      </c>
      <c r="B4439" s="50" t="s">
        <v>12711</v>
      </c>
      <c r="C4439" s="50" t="s">
        <v>12757</v>
      </c>
      <c r="D4439" s="12" t="s">
        <v>8837</v>
      </c>
      <c r="E4439" s="12" t="s">
        <v>4971</v>
      </c>
      <c r="F4439" s="49">
        <v>194380</v>
      </c>
      <c r="G4439" s="77" t="s">
        <v>6298</v>
      </c>
      <c r="H4439" s="14" t="s">
        <v>5601</v>
      </c>
      <c r="I4439" s="14" t="s">
        <v>2458</v>
      </c>
      <c r="J4439" s="33" t="s">
        <v>7110</v>
      </c>
      <c r="K4439" s="33" t="s">
        <v>12765</v>
      </c>
      <c r="L4439" s="53" t="s">
        <v>6277</v>
      </c>
      <c r="M4439" s="68" t="s">
        <v>8912</v>
      </c>
      <c r="N4439" s="53" t="s">
        <v>12407</v>
      </c>
      <c r="O4439" s="53">
        <v>50100</v>
      </c>
      <c r="P4439" s="198" t="s">
        <v>7111</v>
      </c>
    </row>
    <row r="4440" spans="1:16" ht="18.75" hidden="1">
      <c r="A4440" s="50" t="s">
        <v>12707</v>
      </c>
      <c r="B4440" s="50" t="s">
        <v>12701</v>
      </c>
      <c r="C4440" s="50" t="s">
        <v>12758</v>
      </c>
      <c r="D4440" s="12" t="s">
        <v>9933</v>
      </c>
      <c r="E4440" s="12" t="s">
        <v>4971</v>
      </c>
      <c r="F4440" s="49">
        <v>314650</v>
      </c>
      <c r="G4440" s="77" t="s">
        <v>6298</v>
      </c>
      <c r="H4440" s="14" t="s">
        <v>5601</v>
      </c>
      <c r="I4440" s="14" t="s">
        <v>2458</v>
      </c>
      <c r="J4440" s="33" t="s">
        <v>7110</v>
      </c>
      <c r="K4440" s="33" t="s">
        <v>12765</v>
      </c>
      <c r="L4440" s="53" t="s">
        <v>6277</v>
      </c>
      <c r="M4440" s="68" t="s">
        <v>8912</v>
      </c>
      <c r="N4440" s="53" t="s">
        <v>12407</v>
      </c>
      <c r="O4440" s="53">
        <v>50100</v>
      </c>
      <c r="P4440" s="198" t="s">
        <v>8698</v>
      </c>
    </row>
    <row r="4441" spans="1:16" ht="18.75" hidden="1">
      <c r="A4441" s="50" t="s">
        <v>12759</v>
      </c>
      <c r="B4441" s="50" t="s">
        <v>12705</v>
      </c>
      <c r="C4441" s="50" t="s">
        <v>12760</v>
      </c>
      <c r="D4441" s="12" t="s">
        <v>12705</v>
      </c>
      <c r="E4441" s="12" t="s">
        <v>4971</v>
      </c>
      <c r="F4441" s="49">
        <v>991737</v>
      </c>
      <c r="G4441" s="77" t="s">
        <v>6452</v>
      </c>
      <c r="H4441" s="14" t="s">
        <v>5601</v>
      </c>
      <c r="I4441" s="14" t="s">
        <v>2458</v>
      </c>
      <c r="J4441" s="33" t="e">
        <f>VLOOKUP(C4441,شرکتها!A:B,2,FALSE)</f>
        <v>#N/A</v>
      </c>
      <c r="K4441" s="33" t="s">
        <v>12765</v>
      </c>
      <c r="L4441" s="53" t="s">
        <v>6054</v>
      </c>
      <c r="M4441" s="68" t="s">
        <v>8913</v>
      </c>
      <c r="N4441" s="53" t="s">
        <v>12407</v>
      </c>
      <c r="O4441" s="53">
        <v>50100</v>
      </c>
      <c r="P4441" s="198" t="s">
        <v>12664</v>
      </c>
    </row>
    <row r="4442" spans="1:16" ht="18.75" hidden="1">
      <c r="A4442" s="50" t="s">
        <v>12738</v>
      </c>
      <c r="B4442" s="50" t="s">
        <v>12714</v>
      </c>
      <c r="C4442" s="50" t="s">
        <v>12564</v>
      </c>
      <c r="D4442" s="12" t="s">
        <v>9952</v>
      </c>
      <c r="E4442" s="12" t="s">
        <v>4971</v>
      </c>
      <c r="F4442" s="49">
        <v>119060</v>
      </c>
      <c r="G4442" s="77" t="s">
        <v>6454</v>
      </c>
      <c r="H4442" s="14" t="s">
        <v>5601</v>
      </c>
      <c r="I4442" s="14" t="s">
        <v>2458</v>
      </c>
      <c r="J4442" s="33" t="s">
        <v>7110</v>
      </c>
      <c r="K4442" s="33" t="s">
        <v>12765</v>
      </c>
      <c r="L4442" s="53" t="s">
        <v>6283</v>
      </c>
      <c r="M4442" s="68" t="s">
        <v>8912</v>
      </c>
      <c r="N4442" s="53" t="s">
        <v>12407</v>
      </c>
      <c r="O4442" s="53">
        <v>50100</v>
      </c>
      <c r="P4442" s="198" t="s">
        <v>9768</v>
      </c>
    </row>
    <row r="4443" spans="1:16" ht="18.75" hidden="1">
      <c r="A4443" s="50" t="s">
        <v>12733</v>
      </c>
      <c r="B4443" s="50" t="s">
        <v>12734</v>
      </c>
      <c r="C4443" s="50" t="s">
        <v>12758</v>
      </c>
      <c r="D4443" s="12" t="s">
        <v>9933</v>
      </c>
      <c r="E4443" s="12" t="s">
        <v>4971</v>
      </c>
      <c r="F4443" s="49">
        <v>185350</v>
      </c>
      <c r="G4443" s="77" t="s">
        <v>6298</v>
      </c>
      <c r="H4443" s="14" t="s">
        <v>5601</v>
      </c>
      <c r="I4443" s="14" t="s">
        <v>2458</v>
      </c>
      <c r="J4443" s="33" t="s">
        <v>7110</v>
      </c>
      <c r="K4443" s="33" t="s">
        <v>12765</v>
      </c>
      <c r="L4443" s="53" t="s">
        <v>8686</v>
      </c>
      <c r="M4443" s="68" t="s">
        <v>8912</v>
      </c>
      <c r="N4443" s="53" t="s">
        <v>12407</v>
      </c>
      <c r="O4443" s="53">
        <v>50100</v>
      </c>
      <c r="P4443" s="198" t="s">
        <v>8698</v>
      </c>
    </row>
    <row r="4444" spans="1:16" ht="18.75" hidden="1">
      <c r="A4444" s="50" t="s">
        <v>12749</v>
      </c>
      <c r="B4444" s="50" t="s">
        <v>12695</v>
      </c>
      <c r="C4444" s="50" t="s">
        <v>12565</v>
      </c>
      <c r="D4444" s="12" t="s">
        <v>8616</v>
      </c>
      <c r="E4444" s="12" t="s">
        <v>4971</v>
      </c>
      <c r="F4444" s="49">
        <v>183990</v>
      </c>
      <c r="G4444" s="77" t="s">
        <v>6298</v>
      </c>
      <c r="H4444" s="14" t="s">
        <v>5601</v>
      </c>
      <c r="I4444" s="14" t="s">
        <v>2458</v>
      </c>
      <c r="J4444" s="33" t="s">
        <v>7110</v>
      </c>
      <c r="K4444" s="33" t="s">
        <v>12765</v>
      </c>
      <c r="L4444" s="53" t="s">
        <v>12750</v>
      </c>
      <c r="M4444" s="68" t="s">
        <v>8912</v>
      </c>
      <c r="N4444" s="53" t="s">
        <v>12407</v>
      </c>
      <c r="O4444" s="53">
        <v>50100</v>
      </c>
      <c r="P4444" s="198" t="s">
        <v>7175</v>
      </c>
    </row>
    <row r="4445" spans="1:16" ht="18.75" hidden="1">
      <c r="A4445" s="50" t="s">
        <v>12761</v>
      </c>
      <c r="B4445" s="50" t="s">
        <v>12691</v>
      </c>
      <c r="C4445" s="50" t="s">
        <v>12762</v>
      </c>
      <c r="D4445" s="12" t="s">
        <v>12736</v>
      </c>
      <c r="E4445" s="12" t="s">
        <v>4971</v>
      </c>
      <c r="F4445" s="49">
        <v>2799981</v>
      </c>
      <c r="G4445" s="77" t="s">
        <v>6452</v>
      </c>
      <c r="H4445" s="14" t="s">
        <v>5601</v>
      </c>
      <c r="I4445" s="14" t="s">
        <v>2458</v>
      </c>
      <c r="J4445" s="33" t="e">
        <f>VLOOKUP(C4445,شرکتها!A:B,2,FALSE)</f>
        <v>#N/A</v>
      </c>
      <c r="K4445" s="33" t="s">
        <v>12765</v>
      </c>
      <c r="L4445" s="53" t="s">
        <v>6283</v>
      </c>
      <c r="M4445" s="68" t="s">
        <v>8914</v>
      </c>
      <c r="N4445" s="53" t="s">
        <v>12407</v>
      </c>
      <c r="O4445" s="53">
        <v>50100</v>
      </c>
      <c r="P4445" s="198" t="s">
        <v>12664</v>
      </c>
    </row>
    <row r="4446" spans="1:16" ht="18.75" hidden="1">
      <c r="A4446" s="50" t="s">
        <v>12763</v>
      </c>
      <c r="B4446" s="50" t="s">
        <v>12734</v>
      </c>
      <c r="C4446" s="50" t="s">
        <v>12764</v>
      </c>
      <c r="D4446" s="12" t="s">
        <v>12734</v>
      </c>
      <c r="E4446" s="12" t="s">
        <v>4971</v>
      </c>
      <c r="F4446" s="49">
        <v>255662</v>
      </c>
      <c r="G4446" s="77" t="s">
        <v>6298</v>
      </c>
      <c r="H4446" s="14" t="s">
        <v>5601</v>
      </c>
      <c r="I4446" s="14" t="s">
        <v>2458</v>
      </c>
      <c r="J4446" s="33" t="s">
        <v>7110</v>
      </c>
      <c r="K4446" s="33" t="s">
        <v>12765</v>
      </c>
      <c r="L4446" s="53" t="s">
        <v>6283</v>
      </c>
      <c r="M4446" s="68" t="s">
        <v>8912</v>
      </c>
      <c r="N4446" s="53" t="s">
        <v>12407</v>
      </c>
      <c r="O4446" s="53">
        <v>50100</v>
      </c>
      <c r="P4446" s="198" t="s">
        <v>12429</v>
      </c>
    </row>
    <row r="4447" spans="1:16" ht="18.75" hidden="1">
      <c r="A4447" s="50" t="s">
        <v>12766</v>
      </c>
      <c r="B4447" s="50" t="s">
        <v>12734</v>
      </c>
      <c r="C4447" s="50" t="s">
        <v>12767</v>
      </c>
      <c r="D4447" s="12" t="s">
        <v>12406</v>
      </c>
      <c r="E4447" s="12" t="s">
        <v>4971</v>
      </c>
      <c r="F4447" s="49">
        <v>25340</v>
      </c>
      <c r="G4447" s="77" t="s">
        <v>6454</v>
      </c>
      <c r="H4447" s="14" t="s">
        <v>5601</v>
      </c>
      <c r="I4447" s="14" t="s">
        <v>2458</v>
      </c>
      <c r="J4447" s="33" t="s">
        <v>7110</v>
      </c>
      <c r="K4447" s="33" t="s">
        <v>12824</v>
      </c>
      <c r="L4447" s="53" t="s">
        <v>6054</v>
      </c>
      <c r="M4447" s="68" t="s">
        <v>8912</v>
      </c>
      <c r="N4447" s="53" t="s">
        <v>6285</v>
      </c>
      <c r="O4447" s="53">
        <v>55200</v>
      </c>
      <c r="P4447" s="198" t="s">
        <v>12414</v>
      </c>
    </row>
    <row r="4448" spans="1:16" ht="18.75" hidden="1">
      <c r="A4448" s="50" t="s">
        <v>12768</v>
      </c>
      <c r="B4448" s="50" t="s">
        <v>12601</v>
      </c>
      <c r="C4448" s="50" t="s">
        <v>12767</v>
      </c>
      <c r="D4448" s="12" t="s">
        <v>12406</v>
      </c>
      <c r="E4448" s="12" t="s">
        <v>4971</v>
      </c>
      <c r="F4448" s="49">
        <v>243550</v>
      </c>
      <c r="G4448" s="77" t="s">
        <v>6454</v>
      </c>
      <c r="H4448" s="14" t="s">
        <v>5601</v>
      </c>
      <c r="I4448" s="14" t="s">
        <v>2458</v>
      </c>
      <c r="J4448" s="33" t="s">
        <v>7110</v>
      </c>
      <c r="K4448" s="33" t="s">
        <v>12824</v>
      </c>
      <c r="L4448" s="53" t="s">
        <v>6054</v>
      </c>
      <c r="M4448" s="68" t="s">
        <v>8912</v>
      </c>
      <c r="N4448" s="53" t="s">
        <v>6076</v>
      </c>
      <c r="O4448" s="53">
        <v>55301</v>
      </c>
      <c r="P4448" s="198" t="s">
        <v>12414</v>
      </c>
    </row>
    <row r="4449" spans="1:16" ht="18.75" hidden="1">
      <c r="A4449" s="50" t="s">
        <v>12768</v>
      </c>
      <c r="B4449" s="50" t="s">
        <v>12601</v>
      </c>
      <c r="C4449" s="50" t="s">
        <v>12769</v>
      </c>
      <c r="D4449" s="12" t="s">
        <v>12691</v>
      </c>
      <c r="E4449" s="12" t="s">
        <v>4971</v>
      </c>
      <c r="F4449" s="49">
        <v>75640</v>
      </c>
      <c r="G4449" s="77" t="s">
        <v>12608</v>
      </c>
      <c r="H4449" s="14" t="s">
        <v>5601</v>
      </c>
      <c r="I4449" s="14" t="s">
        <v>2458</v>
      </c>
      <c r="J4449" s="33" t="s">
        <v>7110</v>
      </c>
      <c r="K4449" s="33" t="s">
        <v>12824</v>
      </c>
      <c r="L4449" s="53" t="s">
        <v>6054</v>
      </c>
      <c r="M4449" s="68" t="s">
        <v>8912</v>
      </c>
      <c r="N4449" s="53" t="s">
        <v>6076</v>
      </c>
      <c r="O4449" s="53">
        <v>55301</v>
      </c>
      <c r="P4449" s="198" t="s">
        <v>12425</v>
      </c>
    </row>
    <row r="4450" spans="1:16" ht="18.75" hidden="1">
      <c r="A4450" s="50" t="s">
        <v>12770</v>
      </c>
      <c r="B4450" s="50" t="s">
        <v>12662</v>
      </c>
      <c r="C4450" s="50" t="s">
        <v>12767</v>
      </c>
      <c r="D4450" s="12" t="s">
        <v>12406</v>
      </c>
      <c r="E4450" s="12" t="s">
        <v>4971</v>
      </c>
      <c r="F4450" s="49">
        <v>73620</v>
      </c>
      <c r="G4450" s="77" t="s">
        <v>6454</v>
      </c>
      <c r="H4450" s="14" t="s">
        <v>5601</v>
      </c>
      <c r="I4450" s="14" t="s">
        <v>2458</v>
      </c>
      <c r="J4450" s="33" t="s">
        <v>7110</v>
      </c>
      <c r="K4450" s="33" t="s">
        <v>12824</v>
      </c>
      <c r="L4450" s="53" t="s">
        <v>6054</v>
      </c>
      <c r="M4450" s="68" t="s">
        <v>8913</v>
      </c>
      <c r="N4450" s="53" t="s">
        <v>6076</v>
      </c>
      <c r="O4450" s="53">
        <v>55301</v>
      </c>
      <c r="P4450" s="198" t="s">
        <v>12414</v>
      </c>
    </row>
    <row r="4451" spans="1:16" ht="18.75" hidden="1">
      <c r="A4451" s="50" t="s">
        <v>12766</v>
      </c>
      <c r="B4451" s="50" t="s">
        <v>12734</v>
      </c>
      <c r="C4451" s="50" t="s">
        <v>12771</v>
      </c>
      <c r="D4451" s="12" t="s">
        <v>12691</v>
      </c>
      <c r="E4451" s="12" t="s">
        <v>4971</v>
      </c>
      <c r="F4451" s="49">
        <v>73290</v>
      </c>
      <c r="G4451" s="77" t="s">
        <v>6453</v>
      </c>
      <c r="H4451" s="14" t="s">
        <v>5601</v>
      </c>
      <c r="I4451" s="14" t="s">
        <v>2458</v>
      </c>
      <c r="J4451" s="33" t="s">
        <v>7110</v>
      </c>
      <c r="K4451" s="33" t="s">
        <v>12824</v>
      </c>
      <c r="L4451" s="53" t="s">
        <v>6054</v>
      </c>
      <c r="M4451" s="68" t="s">
        <v>8912</v>
      </c>
      <c r="N4451" s="53" t="s">
        <v>6285</v>
      </c>
      <c r="O4451" s="53">
        <v>55200</v>
      </c>
      <c r="P4451" s="198" t="s">
        <v>12306</v>
      </c>
    </row>
    <row r="4452" spans="1:16" ht="18.75" hidden="1">
      <c r="A4452" s="50" t="s">
        <v>12772</v>
      </c>
      <c r="B4452" s="50" t="s">
        <v>12662</v>
      </c>
      <c r="C4452" s="50" t="s">
        <v>12767</v>
      </c>
      <c r="D4452" s="12" t="s">
        <v>12406</v>
      </c>
      <c r="E4452" s="12" t="s">
        <v>4971</v>
      </c>
      <c r="F4452" s="49">
        <v>49890</v>
      </c>
      <c r="G4452" s="77" t="s">
        <v>6454</v>
      </c>
      <c r="H4452" s="14" t="s">
        <v>5601</v>
      </c>
      <c r="I4452" s="14" t="s">
        <v>2458</v>
      </c>
      <c r="J4452" s="33" t="s">
        <v>7110</v>
      </c>
      <c r="K4452" s="33" t="s">
        <v>12824</v>
      </c>
      <c r="L4452" s="53" t="s">
        <v>6054</v>
      </c>
      <c r="M4452" s="68" t="s">
        <v>8912</v>
      </c>
      <c r="N4452" s="53" t="s">
        <v>6286</v>
      </c>
      <c r="O4452" s="53">
        <v>55107</v>
      </c>
      <c r="P4452" s="198" t="s">
        <v>12414</v>
      </c>
    </row>
    <row r="4453" spans="1:16" ht="18.75" hidden="1">
      <c r="A4453" s="50" t="s">
        <v>12773</v>
      </c>
      <c r="B4453" s="50" t="s">
        <v>12699</v>
      </c>
      <c r="C4453" s="50" t="s">
        <v>12767</v>
      </c>
      <c r="D4453" s="12" t="s">
        <v>12406</v>
      </c>
      <c r="E4453" s="12" t="s">
        <v>4971</v>
      </c>
      <c r="F4453" s="49">
        <v>400950</v>
      </c>
      <c r="G4453" s="77" t="s">
        <v>6454</v>
      </c>
      <c r="H4453" s="14" t="s">
        <v>5601</v>
      </c>
      <c r="I4453" s="14" t="s">
        <v>2458</v>
      </c>
      <c r="J4453" s="33" t="s">
        <v>7110</v>
      </c>
      <c r="K4453" s="33" t="s">
        <v>12824</v>
      </c>
      <c r="L4453" s="53" t="s">
        <v>6054</v>
      </c>
      <c r="M4453" s="68" t="s">
        <v>8912</v>
      </c>
      <c r="N4453" s="53" t="s">
        <v>6285</v>
      </c>
      <c r="O4453" s="53">
        <v>55200</v>
      </c>
      <c r="P4453" s="198" t="s">
        <v>12414</v>
      </c>
    </row>
    <row r="4454" spans="1:16" ht="18.75" hidden="1">
      <c r="A4454" s="50" t="s">
        <v>12773</v>
      </c>
      <c r="B4454" s="50" t="s">
        <v>12699</v>
      </c>
      <c r="C4454" s="50" t="s">
        <v>12774</v>
      </c>
      <c r="D4454" s="12" t="s">
        <v>12530</v>
      </c>
      <c r="E4454" s="12" t="s">
        <v>4971</v>
      </c>
      <c r="F4454" s="49">
        <v>144840</v>
      </c>
      <c r="G4454" s="77" t="s">
        <v>6454</v>
      </c>
      <c r="H4454" s="14" t="s">
        <v>5601</v>
      </c>
      <c r="I4454" s="14" t="s">
        <v>2458</v>
      </c>
      <c r="J4454" s="33" t="s">
        <v>7110</v>
      </c>
      <c r="K4454" s="33" t="s">
        <v>12824</v>
      </c>
      <c r="L4454" s="53" t="s">
        <v>6054</v>
      </c>
      <c r="M4454" s="68" t="s">
        <v>8912</v>
      </c>
      <c r="N4454" s="53" t="s">
        <v>6285</v>
      </c>
      <c r="O4454" s="53">
        <v>55200</v>
      </c>
      <c r="P4454" s="198" t="s">
        <v>12414</v>
      </c>
    </row>
    <row r="4455" spans="1:16" ht="18.75" hidden="1">
      <c r="A4455" s="50" t="s">
        <v>12775</v>
      </c>
      <c r="B4455" s="50" t="s">
        <v>12734</v>
      </c>
      <c r="C4455" s="50" t="s">
        <v>12769</v>
      </c>
      <c r="D4455" s="12" t="s">
        <v>12691</v>
      </c>
      <c r="E4455" s="12" t="s">
        <v>4971</v>
      </c>
      <c r="F4455" s="49">
        <v>23760</v>
      </c>
      <c r="G4455" s="77" t="s">
        <v>12608</v>
      </c>
      <c r="H4455" s="14" t="s">
        <v>5601</v>
      </c>
      <c r="I4455" s="14" t="s">
        <v>2458</v>
      </c>
      <c r="J4455" s="33" t="s">
        <v>7110</v>
      </c>
      <c r="K4455" s="33" t="s">
        <v>12824</v>
      </c>
      <c r="L4455" s="53" t="s">
        <v>6054</v>
      </c>
      <c r="M4455" s="68" t="s">
        <v>8912</v>
      </c>
      <c r="N4455" s="53" t="s">
        <v>6076</v>
      </c>
      <c r="O4455" s="53">
        <v>55301</v>
      </c>
      <c r="P4455" s="198" t="s">
        <v>12425</v>
      </c>
    </row>
    <row r="4456" spans="1:16" ht="18.75" hidden="1">
      <c r="A4456" s="50" t="s">
        <v>12775</v>
      </c>
      <c r="B4456" s="50" t="s">
        <v>12734</v>
      </c>
      <c r="C4456" s="50" t="s">
        <v>12767</v>
      </c>
      <c r="D4456" s="12" t="s">
        <v>12406</v>
      </c>
      <c r="E4456" s="12" t="s">
        <v>4971</v>
      </c>
      <c r="F4456" s="49">
        <v>71390</v>
      </c>
      <c r="G4456" s="77" t="s">
        <v>6454</v>
      </c>
      <c r="H4456" s="14" t="s">
        <v>5601</v>
      </c>
      <c r="I4456" s="14" t="s">
        <v>2458</v>
      </c>
      <c r="J4456" s="33" t="s">
        <v>7110</v>
      </c>
      <c r="K4456" s="33" t="s">
        <v>12824</v>
      </c>
      <c r="L4456" s="53" t="s">
        <v>6054</v>
      </c>
      <c r="M4456" s="68" t="s">
        <v>8912</v>
      </c>
      <c r="N4456" s="53" t="s">
        <v>6076</v>
      </c>
      <c r="O4456" s="53">
        <v>55301</v>
      </c>
      <c r="P4456" s="198" t="s">
        <v>12414</v>
      </c>
    </row>
    <row r="4457" spans="1:16" ht="18.75" hidden="1">
      <c r="A4457" s="50" t="s">
        <v>12770</v>
      </c>
      <c r="B4457" s="50" t="s">
        <v>12662</v>
      </c>
      <c r="C4457" s="50" t="s">
        <v>12776</v>
      </c>
      <c r="D4457" s="12" t="s">
        <v>12542</v>
      </c>
      <c r="E4457" s="12" t="s">
        <v>4971</v>
      </c>
      <c r="F4457" s="49">
        <v>112340</v>
      </c>
      <c r="G4457" s="77" t="s">
        <v>6453</v>
      </c>
      <c r="H4457" s="14" t="s">
        <v>5601</v>
      </c>
      <c r="I4457" s="14" t="s">
        <v>2458</v>
      </c>
      <c r="J4457" s="33" t="s">
        <v>7110</v>
      </c>
      <c r="K4457" s="33" t="s">
        <v>12824</v>
      </c>
      <c r="L4457" s="53" t="s">
        <v>6054</v>
      </c>
      <c r="M4457" s="68" t="s">
        <v>8913</v>
      </c>
      <c r="N4457" s="53" t="s">
        <v>6076</v>
      </c>
      <c r="O4457" s="53">
        <v>55301</v>
      </c>
      <c r="P4457" s="198" t="s">
        <v>12306</v>
      </c>
    </row>
    <row r="4458" spans="1:16" ht="18.75" hidden="1">
      <c r="A4458" s="50" t="s">
        <v>12766</v>
      </c>
      <c r="B4458" s="50" t="s">
        <v>12734</v>
      </c>
      <c r="C4458" s="50" t="s">
        <v>12774</v>
      </c>
      <c r="D4458" s="12" t="s">
        <v>12530</v>
      </c>
      <c r="E4458" s="12" t="s">
        <v>4971</v>
      </c>
      <c r="F4458" s="49">
        <v>173600</v>
      </c>
      <c r="G4458" s="77" t="s">
        <v>6454</v>
      </c>
      <c r="H4458" s="14" t="s">
        <v>5601</v>
      </c>
      <c r="I4458" s="14" t="s">
        <v>2458</v>
      </c>
      <c r="J4458" s="33" t="s">
        <v>7110</v>
      </c>
      <c r="K4458" s="33" t="s">
        <v>12824</v>
      </c>
      <c r="L4458" s="53" t="s">
        <v>6054</v>
      </c>
      <c r="M4458" s="68" t="s">
        <v>8912</v>
      </c>
      <c r="N4458" s="53" t="s">
        <v>6285</v>
      </c>
      <c r="O4458" s="53">
        <v>55200</v>
      </c>
      <c r="P4458" s="198" t="s">
        <v>12414</v>
      </c>
    </row>
    <row r="4459" spans="1:16" ht="18.75" hidden="1">
      <c r="A4459" s="50" t="s">
        <v>12777</v>
      </c>
      <c r="B4459" s="50" t="s">
        <v>12714</v>
      </c>
      <c r="C4459" s="50" t="s">
        <v>12778</v>
      </c>
      <c r="D4459" s="12" t="s">
        <v>12560</v>
      </c>
      <c r="E4459" s="12" t="s">
        <v>4971</v>
      </c>
      <c r="F4459" s="49">
        <v>93500</v>
      </c>
      <c r="G4459" s="77" t="s">
        <v>6454</v>
      </c>
      <c r="H4459" s="14" t="s">
        <v>5601</v>
      </c>
      <c r="I4459" s="14" t="s">
        <v>2458</v>
      </c>
      <c r="J4459" s="33" t="s">
        <v>7110</v>
      </c>
      <c r="K4459" s="33" t="s">
        <v>12824</v>
      </c>
      <c r="L4459" s="53" t="s">
        <v>6054</v>
      </c>
      <c r="M4459" s="68" t="s">
        <v>8912</v>
      </c>
      <c r="N4459" s="53" t="s">
        <v>6076</v>
      </c>
      <c r="O4459" s="53">
        <v>55301</v>
      </c>
      <c r="P4459" s="198" t="s">
        <v>12414</v>
      </c>
    </row>
    <row r="4460" spans="1:16" ht="18.75" hidden="1">
      <c r="A4460" s="50" t="s">
        <v>12779</v>
      </c>
      <c r="B4460" s="50" t="s">
        <v>12714</v>
      </c>
      <c r="C4460" s="50" t="s">
        <v>12780</v>
      </c>
      <c r="D4460" s="12" t="s">
        <v>12513</v>
      </c>
      <c r="E4460" s="12" t="s">
        <v>4971</v>
      </c>
      <c r="F4460" s="49">
        <v>41783</v>
      </c>
      <c r="G4460" s="77" t="s">
        <v>6453</v>
      </c>
      <c r="H4460" s="14" t="s">
        <v>5601</v>
      </c>
      <c r="I4460" s="14" t="s">
        <v>2458</v>
      </c>
      <c r="J4460" s="33" t="s">
        <v>7110</v>
      </c>
      <c r="K4460" s="33" t="s">
        <v>12824</v>
      </c>
      <c r="L4460" s="53" t="s">
        <v>6054</v>
      </c>
      <c r="M4460" s="68" t="s">
        <v>8913</v>
      </c>
      <c r="N4460" s="53" t="s">
        <v>6076</v>
      </c>
      <c r="O4460" s="53">
        <v>55301</v>
      </c>
      <c r="P4460" s="198" t="s">
        <v>12306</v>
      </c>
    </row>
    <row r="4461" spans="1:16" ht="18.75" hidden="1">
      <c r="A4461" s="50" t="s">
        <v>12781</v>
      </c>
      <c r="B4461" s="50" t="s">
        <v>12717</v>
      </c>
      <c r="C4461" s="50" t="s">
        <v>12769</v>
      </c>
      <c r="D4461" s="12" t="s">
        <v>12691</v>
      </c>
      <c r="E4461" s="12" t="s">
        <v>4971</v>
      </c>
      <c r="F4461" s="49">
        <v>101880</v>
      </c>
      <c r="G4461" s="77" t="s">
        <v>12608</v>
      </c>
      <c r="H4461" s="14" t="s">
        <v>5601</v>
      </c>
      <c r="I4461" s="14" t="s">
        <v>2458</v>
      </c>
      <c r="J4461" s="33" t="s">
        <v>7110</v>
      </c>
      <c r="K4461" s="33" t="s">
        <v>12824</v>
      </c>
      <c r="L4461" s="53" t="s">
        <v>6054</v>
      </c>
      <c r="M4461" s="68" t="s">
        <v>8912</v>
      </c>
      <c r="N4461" s="53" t="s">
        <v>6076</v>
      </c>
      <c r="O4461" s="53">
        <v>55301</v>
      </c>
      <c r="P4461" s="198" t="s">
        <v>12425</v>
      </c>
    </row>
    <row r="4462" spans="1:16" ht="18.75" hidden="1">
      <c r="A4462" s="50" t="s">
        <v>12782</v>
      </c>
      <c r="B4462" s="50" t="s">
        <v>12662</v>
      </c>
      <c r="C4462" s="50" t="s">
        <v>12769</v>
      </c>
      <c r="D4462" s="12" t="s">
        <v>12691</v>
      </c>
      <c r="E4462" s="12" t="s">
        <v>4971</v>
      </c>
      <c r="F4462" s="49">
        <v>25380</v>
      </c>
      <c r="G4462" s="77" t="s">
        <v>12608</v>
      </c>
      <c r="H4462" s="14" t="s">
        <v>5601</v>
      </c>
      <c r="I4462" s="14" t="s">
        <v>2458</v>
      </c>
      <c r="J4462" s="33" t="s">
        <v>7110</v>
      </c>
      <c r="K4462" s="33" t="s">
        <v>12824</v>
      </c>
      <c r="L4462" s="53" t="s">
        <v>6054</v>
      </c>
      <c r="M4462" s="68" t="s">
        <v>8912</v>
      </c>
      <c r="N4462" s="53" t="s">
        <v>6076</v>
      </c>
      <c r="O4462" s="53">
        <v>55301</v>
      </c>
      <c r="P4462" s="198" t="s">
        <v>12425</v>
      </c>
    </row>
    <row r="4463" spans="1:16" ht="18.75" hidden="1">
      <c r="A4463" s="50" t="s">
        <v>12782</v>
      </c>
      <c r="B4463" s="50" t="s">
        <v>12662</v>
      </c>
      <c r="C4463" s="50" t="s">
        <v>12767</v>
      </c>
      <c r="D4463" s="12" t="s">
        <v>12406</v>
      </c>
      <c r="E4463" s="12" t="s">
        <v>4971</v>
      </c>
      <c r="F4463" s="49">
        <v>45420</v>
      </c>
      <c r="G4463" s="77" t="s">
        <v>6454</v>
      </c>
      <c r="H4463" s="14" t="s">
        <v>5601</v>
      </c>
      <c r="I4463" s="14" t="s">
        <v>2458</v>
      </c>
      <c r="J4463" s="33" t="s">
        <v>7110</v>
      </c>
      <c r="K4463" s="33" t="s">
        <v>12824</v>
      </c>
      <c r="L4463" s="53" t="s">
        <v>6054</v>
      </c>
      <c r="M4463" s="68" t="s">
        <v>8912</v>
      </c>
      <c r="N4463" s="53" t="s">
        <v>6076</v>
      </c>
      <c r="O4463" s="53">
        <v>55301</v>
      </c>
      <c r="P4463" s="198" t="s">
        <v>12414</v>
      </c>
    </row>
    <row r="4464" spans="1:16" ht="18.75" hidden="1">
      <c r="A4464" s="50" t="s">
        <v>12777</v>
      </c>
      <c r="B4464" s="50" t="s">
        <v>12714</v>
      </c>
      <c r="C4464" s="50" t="s">
        <v>12780</v>
      </c>
      <c r="D4464" s="12" t="s">
        <v>12513</v>
      </c>
      <c r="E4464" s="12" t="s">
        <v>4971</v>
      </c>
      <c r="F4464" s="49">
        <v>92630</v>
      </c>
      <c r="G4464" s="77" t="s">
        <v>6453</v>
      </c>
      <c r="H4464" s="14" t="s">
        <v>5601</v>
      </c>
      <c r="I4464" s="14" t="s">
        <v>2458</v>
      </c>
      <c r="J4464" s="33" t="s">
        <v>7110</v>
      </c>
      <c r="K4464" s="33" t="s">
        <v>12824</v>
      </c>
      <c r="L4464" s="53" t="s">
        <v>6054</v>
      </c>
      <c r="M4464" s="68" t="s">
        <v>8912</v>
      </c>
      <c r="N4464" s="53" t="s">
        <v>6076</v>
      </c>
      <c r="O4464" s="53">
        <v>55301</v>
      </c>
      <c r="P4464" s="198" t="s">
        <v>12306</v>
      </c>
    </row>
    <row r="4465" spans="1:16" ht="18.75" hidden="1">
      <c r="A4465" s="50" t="s">
        <v>12783</v>
      </c>
      <c r="B4465" s="50" t="s">
        <v>12662</v>
      </c>
      <c r="C4465" s="50" t="s">
        <v>12767</v>
      </c>
      <c r="D4465" s="12" t="s">
        <v>12406</v>
      </c>
      <c r="E4465" s="12" t="s">
        <v>4971</v>
      </c>
      <c r="F4465" s="49">
        <v>224870</v>
      </c>
      <c r="G4465" s="77" t="s">
        <v>6454</v>
      </c>
      <c r="H4465" s="14" t="s">
        <v>5601</v>
      </c>
      <c r="I4465" s="14" t="s">
        <v>2458</v>
      </c>
      <c r="J4465" s="33" t="s">
        <v>7110</v>
      </c>
      <c r="K4465" s="33" t="s">
        <v>12824</v>
      </c>
      <c r="L4465" s="53" t="s">
        <v>6054</v>
      </c>
      <c r="M4465" s="68" t="s">
        <v>8912</v>
      </c>
      <c r="N4465" s="53" t="s">
        <v>6285</v>
      </c>
      <c r="O4465" s="53">
        <v>55200</v>
      </c>
      <c r="P4465" s="198" t="s">
        <v>12414</v>
      </c>
    </row>
    <row r="4466" spans="1:16" ht="18.75" hidden="1">
      <c r="A4466" s="50" t="s">
        <v>12779</v>
      </c>
      <c r="B4466" s="50" t="s">
        <v>12714</v>
      </c>
      <c r="C4466" s="50" t="s">
        <v>12784</v>
      </c>
      <c r="D4466" s="12" t="s">
        <v>12627</v>
      </c>
      <c r="E4466" s="12" t="s">
        <v>4971</v>
      </c>
      <c r="F4466" s="49">
        <v>283877</v>
      </c>
      <c r="G4466" s="77" t="s">
        <v>6453</v>
      </c>
      <c r="H4466" s="14" t="s">
        <v>5601</v>
      </c>
      <c r="I4466" s="14" t="s">
        <v>2458</v>
      </c>
      <c r="J4466" s="33" t="s">
        <v>7110</v>
      </c>
      <c r="K4466" s="33" t="s">
        <v>12824</v>
      </c>
      <c r="L4466" s="53" t="s">
        <v>6054</v>
      </c>
      <c r="M4466" s="68" t="s">
        <v>8913</v>
      </c>
      <c r="N4466" s="53" t="s">
        <v>6076</v>
      </c>
      <c r="O4466" s="53">
        <v>55301</v>
      </c>
      <c r="P4466" s="198" t="s">
        <v>12306</v>
      </c>
    </row>
    <row r="4467" spans="1:16" ht="18.75" hidden="1">
      <c r="A4467" s="50" t="s">
        <v>12781</v>
      </c>
      <c r="B4467" s="50" t="s">
        <v>12717</v>
      </c>
      <c r="C4467" s="50" t="s">
        <v>12785</v>
      </c>
      <c r="D4467" s="12" t="s">
        <v>12556</v>
      </c>
      <c r="E4467" s="12" t="s">
        <v>4971</v>
      </c>
      <c r="F4467" s="49">
        <v>45950</v>
      </c>
      <c r="G4467" s="77" t="s">
        <v>6453</v>
      </c>
      <c r="H4467" s="14" t="s">
        <v>5601</v>
      </c>
      <c r="I4467" s="14" t="s">
        <v>2458</v>
      </c>
      <c r="J4467" s="33" t="s">
        <v>7110</v>
      </c>
      <c r="K4467" s="33" t="s">
        <v>12824</v>
      </c>
      <c r="L4467" s="53" t="s">
        <v>6054</v>
      </c>
      <c r="M4467" s="68" t="s">
        <v>8912</v>
      </c>
      <c r="N4467" s="53" t="s">
        <v>6076</v>
      </c>
      <c r="O4467" s="53">
        <v>55301</v>
      </c>
      <c r="P4467" s="198" t="s">
        <v>12306</v>
      </c>
    </row>
    <row r="4468" spans="1:16" ht="18.75" hidden="1">
      <c r="A4468" s="50" t="s">
        <v>12786</v>
      </c>
      <c r="B4468" s="50" t="s">
        <v>12734</v>
      </c>
      <c r="C4468" s="50" t="s">
        <v>12771</v>
      </c>
      <c r="D4468" s="12" t="s">
        <v>12691</v>
      </c>
      <c r="E4468" s="12" t="s">
        <v>4971</v>
      </c>
      <c r="F4468" s="49">
        <v>77860</v>
      </c>
      <c r="G4468" s="77" t="s">
        <v>6453</v>
      </c>
      <c r="H4468" s="14" t="s">
        <v>5601</v>
      </c>
      <c r="I4468" s="14" t="s">
        <v>2458</v>
      </c>
      <c r="J4468" s="33" t="s">
        <v>7110</v>
      </c>
      <c r="K4468" s="33" t="s">
        <v>12824</v>
      </c>
      <c r="L4468" s="53" t="s">
        <v>6054</v>
      </c>
      <c r="M4468" s="68" t="s">
        <v>8913</v>
      </c>
      <c r="N4468" s="53" t="s">
        <v>6076</v>
      </c>
      <c r="O4468" s="53">
        <v>55301</v>
      </c>
      <c r="P4468" s="198" t="s">
        <v>12306</v>
      </c>
    </row>
    <row r="4469" spans="1:16" ht="18.75" hidden="1">
      <c r="A4469" s="50" t="s">
        <v>12783</v>
      </c>
      <c r="B4469" s="50" t="s">
        <v>12662</v>
      </c>
      <c r="C4469" s="50" t="s">
        <v>12776</v>
      </c>
      <c r="D4469" s="12" t="s">
        <v>12542</v>
      </c>
      <c r="E4469" s="12" t="s">
        <v>4971</v>
      </c>
      <c r="F4469" s="49">
        <v>24997</v>
      </c>
      <c r="G4469" s="77" t="s">
        <v>6453</v>
      </c>
      <c r="H4469" s="14" t="s">
        <v>5601</v>
      </c>
      <c r="I4469" s="14" t="s">
        <v>2458</v>
      </c>
      <c r="J4469" s="33" t="s">
        <v>7110</v>
      </c>
      <c r="K4469" s="33" t="s">
        <v>12824</v>
      </c>
      <c r="L4469" s="53" t="s">
        <v>6054</v>
      </c>
      <c r="M4469" s="68" t="s">
        <v>8912</v>
      </c>
      <c r="N4469" s="53" t="s">
        <v>6285</v>
      </c>
      <c r="O4469" s="53">
        <v>55200</v>
      </c>
      <c r="P4469" s="198" t="s">
        <v>12306</v>
      </c>
    </row>
    <row r="4470" spans="1:16" ht="18.75" hidden="1">
      <c r="A4470" s="50" t="s">
        <v>12787</v>
      </c>
      <c r="B4470" s="50" t="s">
        <v>12601</v>
      </c>
      <c r="C4470" s="50" t="s">
        <v>12767</v>
      </c>
      <c r="D4470" s="12" t="s">
        <v>12406</v>
      </c>
      <c r="E4470" s="12" t="s">
        <v>4971</v>
      </c>
      <c r="F4470" s="49">
        <v>200950</v>
      </c>
      <c r="G4470" s="77" t="s">
        <v>6454</v>
      </c>
      <c r="H4470" s="14" t="s">
        <v>5601</v>
      </c>
      <c r="I4470" s="14" t="s">
        <v>2458</v>
      </c>
      <c r="J4470" s="33" t="s">
        <v>7110</v>
      </c>
      <c r="K4470" s="33" t="s">
        <v>12824</v>
      </c>
      <c r="L4470" s="53" t="s">
        <v>6054</v>
      </c>
      <c r="M4470" s="68" t="s">
        <v>8912</v>
      </c>
      <c r="N4470" s="53" t="s">
        <v>6285</v>
      </c>
      <c r="O4470" s="53">
        <v>55200</v>
      </c>
      <c r="P4470" s="198" t="s">
        <v>12414</v>
      </c>
    </row>
    <row r="4471" spans="1:16" ht="18.75" hidden="1">
      <c r="A4471" s="50" t="s">
        <v>12777</v>
      </c>
      <c r="B4471" s="50" t="s">
        <v>12714</v>
      </c>
      <c r="C4471" s="50" t="s">
        <v>12788</v>
      </c>
      <c r="D4471" s="12" t="s">
        <v>12404</v>
      </c>
      <c r="E4471" s="12" t="s">
        <v>4971</v>
      </c>
      <c r="F4471" s="49">
        <v>50000</v>
      </c>
      <c r="G4471" s="77" t="s">
        <v>6454</v>
      </c>
      <c r="H4471" s="14" t="s">
        <v>5601</v>
      </c>
      <c r="I4471" s="14" t="s">
        <v>2458</v>
      </c>
      <c r="J4471" s="33" t="s">
        <v>7110</v>
      </c>
      <c r="K4471" s="33" t="s">
        <v>12824</v>
      </c>
      <c r="L4471" s="53" t="s">
        <v>6054</v>
      </c>
      <c r="M4471" s="68" t="s">
        <v>8912</v>
      </c>
      <c r="N4471" s="53" t="s">
        <v>6076</v>
      </c>
      <c r="O4471" s="53">
        <v>55301</v>
      </c>
      <c r="P4471" s="198" t="s">
        <v>12414</v>
      </c>
    </row>
    <row r="4472" spans="1:16" ht="18.75" hidden="1">
      <c r="A4472" s="50" t="s">
        <v>12779</v>
      </c>
      <c r="B4472" s="50" t="s">
        <v>12714</v>
      </c>
      <c r="C4472" s="50" t="s">
        <v>12778</v>
      </c>
      <c r="D4472" s="12" t="s">
        <v>12560</v>
      </c>
      <c r="E4472" s="12" t="s">
        <v>4971</v>
      </c>
      <c r="F4472" s="49">
        <v>50570</v>
      </c>
      <c r="G4472" s="77" t="s">
        <v>6454</v>
      </c>
      <c r="H4472" s="14" t="s">
        <v>5601</v>
      </c>
      <c r="I4472" s="14" t="s">
        <v>2458</v>
      </c>
      <c r="J4472" s="33" t="s">
        <v>7110</v>
      </c>
      <c r="K4472" s="33" t="s">
        <v>12824</v>
      </c>
      <c r="L4472" s="53" t="s">
        <v>6054</v>
      </c>
      <c r="M4472" s="68" t="s">
        <v>8913</v>
      </c>
      <c r="N4472" s="53" t="s">
        <v>6076</v>
      </c>
      <c r="O4472" s="53">
        <v>55301</v>
      </c>
      <c r="P4472" s="198" t="s">
        <v>12414</v>
      </c>
    </row>
    <row r="4473" spans="1:16" ht="18.75" hidden="1">
      <c r="A4473" s="50" t="s">
        <v>12779</v>
      </c>
      <c r="B4473" s="50" t="s">
        <v>12714</v>
      </c>
      <c r="C4473" s="50" t="s">
        <v>12789</v>
      </c>
      <c r="D4473" s="12" t="s">
        <v>12615</v>
      </c>
      <c r="E4473" s="12" t="s">
        <v>4971</v>
      </c>
      <c r="F4473" s="49">
        <v>68130</v>
      </c>
      <c r="G4473" s="77" t="s">
        <v>6454</v>
      </c>
      <c r="H4473" s="14" t="s">
        <v>5601</v>
      </c>
      <c r="I4473" s="14" t="s">
        <v>2458</v>
      </c>
      <c r="J4473" s="33" t="s">
        <v>7110</v>
      </c>
      <c r="K4473" s="33" t="s">
        <v>12824</v>
      </c>
      <c r="L4473" s="53" t="s">
        <v>6054</v>
      </c>
      <c r="M4473" s="68" t="s">
        <v>8913</v>
      </c>
      <c r="N4473" s="53" t="s">
        <v>6076</v>
      </c>
      <c r="O4473" s="53">
        <v>55301</v>
      </c>
      <c r="P4473" s="198" t="s">
        <v>12221</v>
      </c>
    </row>
    <row r="4474" spans="1:16" ht="18.75" hidden="1">
      <c r="A4474" s="50" t="s">
        <v>12782</v>
      </c>
      <c r="B4474" s="50" t="s">
        <v>12662</v>
      </c>
      <c r="C4474" s="50" t="s">
        <v>12776</v>
      </c>
      <c r="D4474" s="12" t="s">
        <v>12542</v>
      </c>
      <c r="E4474" s="12" t="s">
        <v>4971</v>
      </c>
      <c r="F4474" s="49">
        <v>194400</v>
      </c>
      <c r="G4474" s="77" t="s">
        <v>6453</v>
      </c>
      <c r="H4474" s="14" t="s">
        <v>5601</v>
      </c>
      <c r="I4474" s="14" t="s">
        <v>2458</v>
      </c>
      <c r="J4474" s="33" t="s">
        <v>7110</v>
      </c>
      <c r="K4474" s="33" t="s">
        <v>12824</v>
      </c>
      <c r="L4474" s="53" t="s">
        <v>6054</v>
      </c>
      <c r="M4474" s="68" t="s">
        <v>8912</v>
      </c>
      <c r="N4474" s="53" t="s">
        <v>6076</v>
      </c>
      <c r="O4474" s="53">
        <v>55301</v>
      </c>
      <c r="P4474" s="198" t="s">
        <v>12306</v>
      </c>
    </row>
    <row r="4475" spans="1:16" ht="18.75" hidden="1">
      <c r="A4475" s="50" t="s">
        <v>12786</v>
      </c>
      <c r="B4475" s="50" t="s">
        <v>12734</v>
      </c>
      <c r="C4475" s="50" t="s">
        <v>12776</v>
      </c>
      <c r="D4475" s="12" t="s">
        <v>12542</v>
      </c>
      <c r="E4475" s="12" t="s">
        <v>4971</v>
      </c>
      <c r="F4475" s="49">
        <v>14120</v>
      </c>
      <c r="G4475" s="77" t="s">
        <v>6453</v>
      </c>
      <c r="H4475" s="14" t="s">
        <v>5601</v>
      </c>
      <c r="I4475" s="14" t="s">
        <v>2458</v>
      </c>
      <c r="J4475" s="33" t="s">
        <v>7110</v>
      </c>
      <c r="K4475" s="33" t="s">
        <v>12824</v>
      </c>
      <c r="L4475" s="53" t="s">
        <v>6054</v>
      </c>
      <c r="M4475" s="68" t="s">
        <v>8913</v>
      </c>
      <c r="N4475" s="53" t="s">
        <v>6076</v>
      </c>
      <c r="O4475" s="53">
        <v>55301</v>
      </c>
      <c r="P4475" s="198" t="s">
        <v>12306</v>
      </c>
    </row>
    <row r="4476" spans="1:16" ht="18.75" hidden="1">
      <c r="A4476" s="50" t="s">
        <v>12787</v>
      </c>
      <c r="B4476" s="50" t="s">
        <v>12601</v>
      </c>
      <c r="C4476" s="50" t="s">
        <v>12776</v>
      </c>
      <c r="D4476" s="12" t="s">
        <v>12542</v>
      </c>
      <c r="E4476" s="12" t="s">
        <v>4971</v>
      </c>
      <c r="F4476" s="49">
        <v>154143</v>
      </c>
      <c r="G4476" s="77" t="s">
        <v>6453</v>
      </c>
      <c r="H4476" s="14" t="s">
        <v>5601</v>
      </c>
      <c r="I4476" s="14" t="s">
        <v>2458</v>
      </c>
      <c r="J4476" s="33" t="s">
        <v>7110</v>
      </c>
      <c r="K4476" s="33" t="s">
        <v>12824</v>
      </c>
      <c r="L4476" s="53" t="s">
        <v>6054</v>
      </c>
      <c r="M4476" s="68" t="s">
        <v>8912</v>
      </c>
      <c r="N4476" s="53" t="s">
        <v>6285</v>
      </c>
      <c r="O4476" s="53">
        <v>55200</v>
      </c>
      <c r="P4476" s="198" t="s">
        <v>12306</v>
      </c>
    </row>
    <row r="4477" spans="1:16" ht="18.75" hidden="1">
      <c r="A4477" s="50" t="s">
        <v>12787</v>
      </c>
      <c r="B4477" s="50" t="s">
        <v>12601</v>
      </c>
      <c r="C4477" s="50" t="s">
        <v>12785</v>
      </c>
      <c r="D4477" s="12" t="s">
        <v>12556</v>
      </c>
      <c r="E4477" s="12" t="s">
        <v>4971</v>
      </c>
      <c r="F4477" s="49">
        <v>46097</v>
      </c>
      <c r="G4477" s="77" t="s">
        <v>6453</v>
      </c>
      <c r="H4477" s="14" t="s">
        <v>5601</v>
      </c>
      <c r="I4477" s="14" t="s">
        <v>2458</v>
      </c>
      <c r="J4477" s="33" t="s">
        <v>7110</v>
      </c>
      <c r="K4477" s="33" t="s">
        <v>12824</v>
      </c>
      <c r="L4477" s="53" t="s">
        <v>6054</v>
      </c>
      <c r="M4477" s="68" t="s">
        <v>8912</v>
      </c>
      <c r="N4477" s="53" t="s">
        <v>6285</v>
      </c>
      <c r="O4477" s="53">
        <v>55200</v>
      </c>
      <c r="P4477" s="198" t="s">
        <v>12306</v>
      </c>
    </row>
    <row r="4478" spans="1:16" ht="18.75" hidden="1">
      <c r="A4478" s="50" t="s">
        <v>12790</v>
      </c>
      <c r="B4478" s="50" t="s">
        <v>12699</v>
      </c>
      <c r="C4478" s="50" t="s">
        <v>12791</v>
      </c>
      <c r="D4478" s="12" t="s">
        <v>12736</v>
      </c>
      <c r="E4478" s="12" t="s">
        <v>4971</v>
      </c>
      <c r="F4478" s="49">
        <v>189540</v>
      </c>
      <c r="G4478" s="77" t="s">
        <v>12608</v>
      </c>
      <c r="H4478" s="14" t="s">
        <v>5601</v>
      </c>
      <c r="I4478" s="14" t="s">
        <v>2458</v>
      </c>
      <c r="J4478" s="33" t="s">
        <v>7110</v>
      </c>
      <c r="K4478" s="33" t="s">
        <v>12824</v>
      </c>
      <c r="L4478" s="53" t="s">
        <v>6054</v>
      </c>
      <c r="M4478" s="68" t="s">
        <v>8912</v>
      </c>
      <c r="N4478" s="53" t="s">
        <v>6076</v>
      </c>
      <c r="O4478" s="53">
        <v>55301</v>
      </c>
      <c r="P4478" s="198" t="s">
        <v>12425</v>
      </c>
    </row>
    <row r="4479" spans="1:16" ht="18.75" hidden="1">
      <c r="A4479" s="50" t="s">
        <v>12779</v>
      </c>
      <c r="B4479" s="50" t="s">
        <v>12714</v>
      </c>
      <c r="C4479" s="50" t="s">
        <v>12792</v>
      </c>
      <c r="D4479" s="12" t="s">
        <v>12477</v>
      </c>
      <c r="E4479" s="12" t="s">
        <v>4971</v>
      </c>
      <c r="F4479" s="49">
        <v>100170</v>
      </c>
      <c r="G4479" s="77" t="s">
        <v>6454</v>
      </c>
      <c r="H4479" s="14" t="s">
        <v>5601</v>
      </c>
      <c r="I4479" s="14" t="s">
        <v>2458</v>
      </c>
      <c r="J4479" s="33" t="s">
        <v>7110</v>
      </c>
      <c r="K4479" s="33" t="s">
        <v>12824</v>
      </c>
      <c r="L4479" s="53" t="s">
        <v>6054</v>
      </c>
      <c r="M4479" s="68" t="s">
        <v>8913</v>
      </c>
      <c r="N4479" s="53" t="s">
        <v>6076</v>
      </c>
      <c r="O4479" s="53">
        <v>55301</v>
      </c>
      <c r="P4479" s="198" t="s">
        <v>12414</v>
      </c>
    </row>
    <row r="4480" spans="1:16" ht="18.75" hidden="1">
      <c r="A4480" s="50" t="s">
        <v>12781</v>
      </c>
      <c r="B4480" s="50" t="s">
        <v>12717</v>
      </c>
      <c r="C4480" s="50" t="s">
        <v>12652</v>
      </c>
      <c r="D4480" s="12" t="s">
        <v>12627</v>
      </c>
      <c r="E4480" s="12" t="s">
        <v>4971</v>
      </c>
      <c r="F4480" s="49">
        <v>40160</v>
      </c>
      <c r="G4480" s="77" t="s">
        <v>12608</v>
      </c>
      <c r="H4480" s="14" t="s">
        <v>5601</v>
      </c>
      <c r="I4480" s="14" t="s">
        <v>2458</v>
      </c>
      <c r="J4480" s="33" t="s">
        <v>7110</v>
      </c>
      <c r="K4480" s="33" t="s">
        <v>12824</v>
      </c>
      <c r="L4480" s="53" t="s">
        <v>6054</v>
      </c>
      <c r="M4480" s="68" t="s">
        <v>8912</v>
      </c>
      <c r="N4480" s="53" t="s">
        <v>6076</v>
      </c>
      <c r="O4480" s="53">
        <v>55301</v>
      </c>
      <c r="P4480" s="198" t="s">
        <v>12425</v>
      </c>
    </row>
    <row r="4481" spans="1:16" ht="18.75" hidden="1">
      <c r="A4481" s="50" t="s">
        <v>12781</v>
      </c>
      <c r="B4481" s="50" t="s">
        <v>12717</v>
      </c>
      <c r="C4481" s="50" t="s">
        <v>12793</v>
      </c>
      <c r="D4481" s="12" t="s">
        <v>12406</v>
      </c>
      <c r="E4481" s="12" t="s">
        <v>4971</v>
      </c>
      <c r="F4481" s="49">
        <v>163360</v>
      </c>
      <c r="G4481" s="77" t="s">
        <v>6454</v>
      </c>
      <c r="H4481" s="14" t="s">
        <v>5601</v>
      </c>
      <c r="I4481" s="14" t="s">
        <v>2458</v>
      </c>
      <c r="J4481" s="33" t="s">
        <v>7110</v>
      </c>
      <c r="K4481" s="33" t="s">
        <v>12824</v>
      </c>
      <c r="L4481" s="53" t="s">
        <v>6054</v>
      </c>
      <c r="M4481" s="68" t="s">
        <v>8912</v>
      </c>
      <c r="N4481" s="53" t="s">
        <v>6076</v>
      </c>
      <c r="O4481" s="53">
        <v>55301</v>
      </c>
      <c r="P4481" s="198" t="s">
        <v>12414</v>
      </c>
    </row>
    <row r="4482" spans="1:16" ht="18.75" hidden="1">
      <c r="A4482" s="50" t="s">
        <v>12794</v>
      </c>
      <c r="B4482" s="50" t="s">
        <v>12711</v>
      </c>
      <c r="C4482" s="50" t="s">
        <v>12795</v>
      </c>
      <c r="D4482" s="12" t="s">
        <v>12542</v>
      </c>
      <c r="E4482" s="12" t="s">
        <v>4971</v>
      </c>
      <c r="F4482" s="49">
        <v>64050</v>
      </c>
      <c r="G4482" s="77" t="s">
        <v>6454</v>
      </c>
      <c r="H4482" s="14" t="s">
        <v>5601</v>
      </c>
      <c r="I4482" s="14" t="s">
        <v>2458</v>
      </c>
      <c r="J4482" s="33" t="s">
        <v>7110</v>
      </c>
      <c r="K4482" s="33" t="s">
        <v>12824</v>
      </c>
      <c r="L4482" s="53" t="s">
        <v>6054</v>
      </c>
      <c r="M4482" s="68" t="s">
        <v>8912</v>
      </c>
      <c r="N4482" s="53" t="s">
        <v>6285</v>
      </c>
      <c r="O4482" s="53">
        <v>55200</v>
      </c>
      <c r="P4482" s="198" t="s">
        <v>12414</v>
      </c>
    </row>
    <row r="4483" spans="1:16" ht="18.75" hidden="1">
      <c r="A4483" s="50" t="s">
        <v>12794</v>
      </c>
      <c r="B4483" s="50" t="s">
        <v>12711</v>
      </c>
      <c r="C4483" s="50" t="s">
        <v>12796</v>
      </c>
      <c r="D4483" s="12" t="s">
        <v>12691</v>
      </c>
      <c r="E4483" s="12" t="s">
        <v>4971</v>
      </c>
      <c r="F4483" s="49">
        <v>383710</v>
      </c>
      <c r="G4483" s="77" t="s">
        <v>6454</v>
      </c>
      <c r="H4483" s="14" t="s">
        <v>5601</v>
      </c>
      <c r="I4483" s="14" t="s">
        <v>2458</v>
      </c>
      <c r="J4483" s="33" t="s">
        <v>7110</v>
      </c>
      <c r="K4483" s="33" t="s">
        <v>12824</v>
      </c>
      <c r="L4483" s="53" t="s">
        <v>6054</v>
      </c>
      <c r="M4483" s="68" t="s">
        <v>8912</v>
      </c>
      <c r="N4483" s="53" t="s">
        <v>6285</v>
      </c>
      <c r="O4483" s="53">
        <v>55200</v>
      </c>
      <c r="P4483" s="198" t="s">
        <v>12414</v>
      </c>
    </row>
    <row r="4484" spans="1:16" ht="18.75" hidden="1">
      <c r="A4484" s="50" t="s">
        <v>12790</v>
      </c>
      <c r="B4484" s="50" t="s">
        <v>12699</v>
      </c>
      <c r="C4484" s="50" t="s">
        <v>12797</v>
      </c>
      <c r="D4484" s="12" t="s">
        <v>12691</v>
      </c>
      <c r="E4484" s="12" t="s">
        <v>4971</v>
      </c>
      <c r="F4484" s="49">
        <v>48420</v>
      </c>
      <c r="G4484" s="77" t="s">
        <v>6453</v>
      </c>
      <c r="H4484" s="14" t="s">
        <v>5601</v>
      </c>
      <c r="I4484" s="14" t="s">
        <v>2458</v>
      </c>
      <c r="J4484" s="33" t="s">
        <v>7110</v>
      </c>
      <c r="K4484" s="33" t="s">
        <v>12824</v>
      </c>
      <c r="L4484" s="53" t="s">
        <v>6054</v>
      </c>
      <c r="M4484" s="68" t="s">
        <v>8912</v>
      </c>
      <c r="N4484" s="53" t="s">
        <v>6076</v>
      </c>
      <c r="O4484" s="53">
        <v>55301</v>
      </c>
      <c r="P4484" s="198" t="s">
        <v>12306</v>
      </c>
    </row>
    <row r="4485" spans="1:16" ht="18.75" hidden="1">
      <c r="A4485" s="50" t="s">
        <v>12798</v>
      </c>
      <c r="B4485" s="50" t="s">
        <v>12736</v>
      </c>
      <c r="C4485" s="50" t="s">
        <v>12799</v>
      </c>
      <c r="D4485" s="12" t="s">
        <v>10052</v>
      </c>
      <c r="E4485" s="12" t="s">
        <v>4971</v>
      </c>
      <c r="F4485" s="49">
        <v>79860</v>
      </c>
      <c r="G4485" s="77" t="s">
        <v>6298</v>
      </c>
      <c r="H4485" s="14" t="s">
        <v>5601</v>
      </c>
      <c r="I4485" s="14" t="s">
        <v>2458</v>
      </c>
      <c r="J4485" s="33" t="s">
        <v>7110</v>
      </c>
      <c r="K4485" s="33" t="s">
        <v>12824</v>
      </c>
      <c r="L4485" s="53" t="s">
        <v>6054</v>
      </c>
      <c r="M4485" s="68" t="s">
        <v>8912</v>
      </c>
      <c r="N4485" s="53" t="s">
        <v>6286</v>
      </c>
      <c r="O4485" s="53">
        <v>55107</v>
      </c>
      <c r="P4485" s="198" t="s">
        <v>9769</v>
      </c>
    </row>
    <row r="4486" spans="1:16" ht="18.75" hidden="1">
      <c r="A4486" s="50" t="s">
        <v>12800</v>
      </c>
      <c r="B4486" s="50" t="s">
        <v>12717</v>
      </c>
      <c r="C4486" s="50" t="s">
        <v>12801</v>
      </c>
      <c r="D4486" s="12" t="s">
        <v>12538</v>
      </c>
      <c r="E4486" s="12" t="s">
        <v>4971</v>
      </c>
      <c r="F4486" s="49">
        <v>105590</v>
      </c>
      <c r="G4486" s="77" t="s">
        <v>6454</v>
      </c>
      <c r="H4486" s="14" t="s">
        <v>5601</v>
      </c>
      <c r="I4486" s="14" t="s">
        <v>2458</v>
      </c>
      <c r="J4486" s="33" t="s">
        <v>7110</v>
      </c>
      <c r="K4486" s="33" t="s">
        <v>12824</v>
      </c>
      <c r="L4486" s="53" t="s">
        <v>6054</v>
      </c>
      <c r="M4486" s="68" t="s">
        <v>8912</v>
      </c>
      <c r="N4486" s="53" t="s">
        <v>6285</v>
      </c>
      <c r="O4486" s="53">
        <v>55200</v>
      </c>
      <c r="P4486" s="198" t="s">
        <v>12414</v>
      </c>
    </row>
    <row r="4487" spans="1:16" ht="18.75" hidden="1">
      <c r="A4487" s="50" t="s">
        <v>12800</v>
      </c>
      <c r="B4487" s="50" t="s">
        <v>12717</v>
      </c>
      <c r="C4487" s="50" t="s">
        <v>12802</v>
      </c>
      <c r="D4487" s="12" t="s">
        <v>12649</v>
      </c>
      <c r="E4487" s="12" t="s">
        <v>4971</v>
      </c>
      <c r="F4487" s="49">
        <v>206197</v>
      </c>
      <c r="G4487" s="77" t="s">
        <v>6453</v>
      </c>
      <c r="H4487" s="14" t="s">
        <v>5601</v>
      </c>
      <c r="I4487" s="14" t="s">
        <v>2458</v>
      </c>
      <c r="J4487" s="33" t="s">
        <v>7110</v>
      </c>
      <c r="K4487" s="33" t="s">
        <v>12824</v>
      </c>
      <c r="L4487" s="53" t="s">
        <v>6054</v>
      </c>
      <c r="M4487" s="68" t="s">
        <v>8912</v>
      </c>
      <c r="N4487" s="53" t="s">
        <v>6285</v>
      </c>
      <c r="O4487" s="53">
        <v>55200</v>
      </c>
      <c r="P4487" s="198" t="s">
        <v>12306</v>
      </c>
    </row>
    <row r="4488" spans="1:16" ht="18.75" hidden="1">
      <c r="A4488" s="50" t="s">
        <v>12803</v>
      </c>
      <c r="B4488" s="50" t="s">
        <v>12736</v>
      </c>
      <c r="C4488" s="50" t="s">
        <v>12784</v>
      </c>
      <c r="D4488" s="12" t="s">
        <v>12627</v>
      </c>
      <c r="E4488" s="12" t="s">
        <v>4971</v>
      </c>
      <c r="F4488" s="49">
        <v>35823</v>
      </c>
      <c r="G4488" s="77" t="s">
        <v>6453</v>
      </c>
      <c r="H4488" s="14" t="s">
        <v>5601</v>
      </c>
      <c r="I4488" s="14" t="s">
        <v>2458</v>
      </c>
      <c r="J4488" s="33" t="s">
        <v>7110</v>
      </c>
      <c r="K4488" s="33" t="s">
        <v>12824</v>
      </c>
      <c r="L4488" s="53" t="s">
        <v>6054</v>
      </c>
      <c r="M4488" s="68" t="s">
        <v>8913</v>
      </c>
      <c r="N4488" s="53" t="s">
        <v>6076</v>
      </c>
      <c r="O4488" s="53">
        <v>55301</v>
      </c>
      <c r="P4488" s="198" t="s">
        <v>12306</v>
      </c>
    </row>
    <row r="4489" spans="1:16" ht="18.75" hidden="1">
      <c r="A4489" s="50" t="s">
        <v>12804</v>
      </c>
      <c r="B4489" s="50" t="s">
        <v>12736</v>
      </c>
      <c r="C4489" s="50" t="s">
        <v>12789</v>
      </c>
      <c r="D4489" s="12" t="s">
        <v>12615</v>
      </c>
      <c r="E4489" s="12" t="s">
        <v>4971</v>
      </c>
      <c r="F4489" s="49">
        <v>121050</v>
      </c>
      <c r="G4489" s="77" t="s">
        <v>6454</v>
      </c>
      <c r="H4489" s="14" t="s">
        <v>5601</v>
      </c>
      <c r="I4489" s="14" t="s">
        <v>2458</v>
      </c>
      <c r="J4489" s="33" t="s">
        <v>7110</v>
      </c>
      <c r="K4489" s="33" t="s">
        <v>12824</v>
      </c>
      <c r="L4489" s="53" t="s">
        <v>6054</v>
      </c>
      <c r="M4489" s="68" t="s">
        <v>8912</v>
      </c>
      <c r="N4489" s="53" t="s">
        <v>6076</v>
      </c>
      <c r="O4489" s="53">
        <v>55301</v>
      </c>
      <c r="P4489" s="198" t="s">
        <v>12221</v>
      </c>
    </row>
    <row r="4490" spans="1:16" ht="18.75" hidden="1">
      <c r="A4490" s="50" t="s">
        <v>12805</v>
      </c>
      <c r="B4490" s="50" t="s">
        <v>12705</v>
      </c>
      <c r="C4490" s="50" t="s">
        <v>12806</v>
      </c>
      <c r="D4490" s="12" t="s">
        <v>12530</v>
      </c>
      <c r="E4490" s="12" t="s">
        <v>4971</v>
      </c>
      <c r="F4490" s="49">
        <v>37810</v>
      </c>
      <c r="G4490" s="77" t="s">
        <v>6454</v>
      </c>
      <c r="H4490" s="14" t="s">
        <v>5601</v>
      </c>
      <c r="I4490" s="14" t="s">
        <v>2458</v>
      </c>
      <c r="J4490" s="33" t="s">
        <v>7110</v>
      </c>
      <c r="K4490" s="33" t="s">
        <v>12824</v>
      </c>
      <c r="L4490" s="53" t="s">
        <v>6054</v>
      </c>
      <c r="M4490" s="68" t="s">
        <v>8912</v>
      </c>
      <c r="N4490" s="53" t="s">
        <v>6285</v>
      </c>
      <c r="O4490" s="53">
        <v>55200</v>
      </c>
      <c r="P4490" s="198" t="s">
        <v>12414</v>
      </c>
    </row>
    <row r="4491" spans="1:16" ht="18.75" hidden="1">
      <c r="A4491" s="50" t="s">
        <v>12807</v>
      </c>
      <c r="B4491" s="50" t="s">
        <v>12736</v>
      </c>
      <c r="C4491" s="50" t="s">
        <v>12789</v>
      </c>
      <c r="D4491" s="12" t="s">
        <v>12615</v>
      </c>
      <c r="E4491" s="12" t="s">
        <v>4971</v>
      </c>
      <c r="F4491" s="49">
        <v>51620</v>
      </c>
      <c r="G4491" s="77" t="s">
        <v>6454</v>
      </c>
      <c r="H4491" s="14" t="s">
        <v>5601</v>
      </c>
      <c r="I4491" s="14" t="s">
        <v>2458</v>
      </c>
      <c r="J4491" s="33" t="s">
        <v>7110</v>
      </c>
      <c r="K4491" s="33" t="s">
        <v>12824</v>
      </c>
      <c r="L4491" s="53" t="s">
        <v>6054</v>
      </c>
      <c r="M4491" s="68" t="s">
        <v>8912</v>
      </c>
      <c r="N4491" s="53" t="s">
        <v>6286</v>
      </c>
      <c r="O4491" s="53">
        <v>55107</v>
      </c>
      <c r="P4491" s="198" t="s">
        <v>12221</v>
      </c>
    </row>
    <row r="4492" spans="1:16" ht="18.75" hidden="1">
      <c r="A4492" s="50" t="s">
        <v>12808</v>
      </c>
      <c r="B4492" s="50" t="s">
        <v>12717</v>
      </c>
      <c r="C4492" s="50" t="s">
        <v>12640</v>
      </c>
      <c r="D4492" s="12" t="s">
        <v>10052</v>
      </c>
      <c r="E4492" s="12" t="s">
        <v>4971</v>
      </c>
      <c r="F4492" s="49">
        <v>80230</v>
      </c>
      <c r="G4492" s="77" t="s">
        <v>6298</v>
      </c>
      <c r="H4492" s="14" t="s">
        <v>5601</v>
      </c>
      <c r="I4492" s="14" t="s">
        <v>2458</v>
      </c>
      <c r="J4492" s="33" t="s">
        <v>7110</v>
      </c>
      <c r="K4492" s="33" t="s">
        <v>12824</v>
      </c>
      <c r="L4492" s="53" t="s">
        <v>6054</v>
      </c>
      <c r="M4492" s="68" t="s">
        <v>8912</v>
      </c>
      <c r="N4492" s="53" t="s">
        <v>6286</v>
      </c>
      <c r="O4492" s="53">
        <v>55107</v>
      </c>
      <c r="P4492" s="198" t="s">
        <v>9769</v>
      </c>
    </row>
    <row r="4493" spans="1:16" ht="18.75" hidden="1">
      <c r="A4493" s="50" t="s">
        <v>12805</v>
      </c>
      <c r="B4493" s="50" t="s">
        <v>12705</v>
      </c>
      <c r="C4493" s="50" t="s">
        <v>12774</v>
      </c>
      <c r="D4493" s="12" t="s">
        <v>12530</v>
      </c>
      <c r="E4493" s="12" t="s">
        <v>4971</v>
      </c>
      <c r="F4493" s="49">
        <v>29270</v>
      </c>
      <c r="G4493" s="77" t="s">
        <v>6454</v>
      </c>
      <c r="H4493" s="14" t="s">
        <v>5601</v>
      </c>
      <c r="I4493" s="14" t="s">
        <v>2458</v>
      </c>
      <c r="J4493" s="33" t="s">
        <v>7110</v>
      </c>
      <c r="K4493" s="33" t="s">
        <v>12824</v>
      </c>
      <c r="L4493" s="53" t="s">
        <v>6054</v>
      </c>
      <c r="M4493" s="68" t="s">
        <v>8912</v>
      </c>
      <c r="N4493" s="53" t="s">
        <v>6285</v>
      </c>
      <c r="O4493" s="53">
        <v>55200</v>
      </c>
      <c r="P4493" s="198" t="s">
        <v>12414</v>
      </c>
    </row>
    <row r="4494" spans="1:16" ht="18.75" hidden="1">
      <c r="A4494" s="50" t="s">
        <v>12805</v>
      </c>
      <c r="B4494" s="50" t="s">
        <v>12705</v>
      </c>
      <c r="C4494" s="50" t="s">
        <v>12778</v>
      </c>
      <c r="D4494" s="12" t="s">
        <v>12560</v>
      </c>
      <c r="E4494" s="12" t="s">
        <v>4971</v>
      </c>
      <c r="F4494" s="49">
        <v>82550</v>
      </c>
      <c r="G4494" s="77" t="s">
        <v>6454</v>
      </c>
      <c r="H4494" s="14" t="s">
        <v>5601</v>
      </c>
      <c r="I4494" s="14" t="s">
        <v>2458</v>
      </c>
      <c r="J4494" s="33" t="s">
        <v>7110</v>
      </c>
      <c r="K4494" s="33" t="s">
        <v>12824</v>
      </c>
      <c r="L4494" s="53" t="s">
        <v>6054</v>
      </c>
      <c r="M4494" s="68" t="s">
        <v>8912</v>
      </c>
      <c r="N4494" s="53" t="s">
        <v>6285</v>
      </c>
      <c r="O4494" s="53">
        <v>55200</v>
      </c>
      <c r="P4494" s="198" t="s">
        <v>12414</v>
      </c>
    </row>
    <row r="4495" spans="1:16" ht="18.75" hidden="1">
      <c r="A4495" s="50" t="s">
        <v>12805</v>
      </c>
      <c r="B4495" s="50" t="s">
        <v>12705</v>
      </c>
      <c r="C4495" s="50" t="s">
        <v>12799</v>
      </c>
      <c r="D4495" s="12" t="s">
        <v>10052</v>
      </c>
      <c r="E4495" s="12" t="s">
        <v>4971</v>
      </c>
      <c r="F4495" s="49">
        <v>72540</v>
      </c>
      <c r="G4495" s="77" t="s">
        <v>6298</v>
      </c>
      <c r="H4495" s="14" t="s">
        <v>5601</v>
      </c>
      <c r="I4495" s="14" t="s">
        <v>2458</v>
      </c>
      <c r="J4495" s="33" t="s">
        <v>7110</v>
      </c>
      <c r="K4495" s="33" t="s">
        <v>12824</v>
      </c>
      <c r="L4495" s="53" t="s">
        <v>6054</v>
      </c>
      <c r="M4495" s="68" t="s">
        <v>8912</v>
      </c>
      <c r="N4495" s="53" t="s">
        <v>6285</v>
      </c>
      <c r="O4495" s="53">
        <v>55200</v>
      </c>
      <c r="P4495" s="198" t="s">
        <v>9769</v>
      </c>
    </row>
    <row r="4496" spans="1:16" ht="18.75" hidden="1">
      <c r="A4496" s="50" t="s">
        <v>12809</v>
      </c>
      <c r="B4496" s="50" t="s">
        <v>12714</v>
      </c>
      <c r="C4496" s="50" t="s">
        <v>12617</v>
      </c>
      <c r="D4496" s="12" t="s">
        <v>12481</v>
      </c>
      <c r="E4496" s="12" t="s">
        <v>4971</v>
      </c>
      <c r="F4496" s="49">
        <v>32543</v>
      </c>
      <c r="G4496" s="77" t="s">
        <v>6453</v>
      </c>
      <c r="H4496" s="14" t="s">
        <v>5601</v>
      </c>
      <c r="I4496" s="14" t="s">
        <v>2458</v>
      </c>
      <c r="J4496" s="33" t="s">
        <v>7110</v>
      </c>
      <c r="K4496" s="33" t="s">
        <v>12824</v>
      </c>
      <c r="L4496" s="53" t="s">
        <v>6054</v>
      </c>
      <c r="M4496" s="68" t="s">
        <v>8912</v>
      </c>
      <c r="N4496" s="53" t="s">
        <v>6285</v>
      </c>
      <c r="O4496" s="53">
        <v>55200</v>
      </c>
      <c r="P4496" s="198" t="s">
        <v>12306</v>
      </c>
    </row>
    <row r="4497" spans="1:16" ht="18.75" hidden="1">
      <c r="A4497" s="50" t="s">
        <v>12810</v>
      </c>
      <c r="B4497" s="50" t="s">
        <v>12736</v>
      </c>
      <c r="C4497" s="50" t="s">
        <v>12789</v>
      </c>
      <c r="D4497" s="12" t="s">
        <v>12615</v>
      </c>
      <c r="E4497" s="12" t="s">
        <v>4971</v>
      </c>
      <c r="F4497" s="49">
        <v>198490</v>
      </c>
      <c r="G4497" s="77" t="s">
        <v>6454</v>
      </c>
      <c r="H4497" s="14" t="s">
        <v>5601</v>
      </c>
      <c r="I4497" s="14" t="s">
        <v>2458</v>
      </c>
      <c r="J4497" s="33" t="s">
        <v>7110</v>
      </c>
      <c r="K4497" s="33" t="s">
        <v>12824</v>
      </c>
      <c r="L4497" s="53" t="s">
        <v>6054</v>
      </c>
      <c r="M4497" s="68" t="s">
        <v>8912</v>
      </c>
      <c r="N4497" s="53" t="s">
        <v>6285</v>
      </c>
      <c r="O4497" s="53">
        <v>55200</v>
      </c>
      <c r="P4497" s="198" t="s">
        <v>12221</v>
      </c>
    </row>
    <row r="4498" spans="1:16" ht="18.75" hidden="1">
      <c r="A4498" s="50" t="s">
        <v>12810</v>
      </c>
      <c r="B4498" s="50" t="s">
        <v>12736</v>
      </c>
      <c r="C4498" s="50" t="s">
        <v>12811</v>
      </c>
      <c r="D4498" s="12" t="s">
        <v>9723</v>
      </c>
      <c r="E4498" s="12" t="s">
        <v>4971</v>
      </c>
      <c r="F4498" s="49">
        <v>69420</v>
      </c>
      <c r="G4498" s="77" t="s">
        <v>8873</v>
      </c>
      <c r="H4498" s="14" t="s">
        <v>5601</v>
      </c>
      <c r="I4498" s="14" t="s">
        <v>2458</v>
      </c>
      <c r="J4498" s="33" t="s">
        <v>7110</v>
      </c>
      <c r="K4498" s="33" t="s">
        <v>12824</v>
      </c>
      <c r="L4498" s="53" t="s">
        <v>6054</v>
      </c>
      <c r="M4498" s="68" t="s">
        <v>8912</v>
      </c>
      <c r="N4498" s="53" t="s">
        <v>6285</v>
      </c>
      <c r="O4498" s="53">
        <v>55200</v>
      </c>
      <c r="P4498" s="198" t="s">
        <v>7253</v>
      </c>
    </row>
    <row r="4499" spans="1:16" ht="18.75" hidden="1">
      <c r="A4499" s="50" t="s">
        <v>12809</v>
      </c>
      <c r="B4499" s="50" t="s">
        <v>12714</v>
      </c>
      <c r="C4499" s="50" t="s">
        <v>12780</v>
      </c>
      <c r="D4499" s="12" t="s">
        <v>12513</v>
      </c>
      <c r="E4499" s="12" t="s">
        <v>4971</v>
      </c>
      <c r="F4499" s="49">
        <v>265587</v>
      </c>
      <c r="G4499" s="77" t="s">
        <v>6453</v>
      </c>
      <c r="H4499" s="14" t="s">
        <v>5601</v>
      </c>
      <c r="I4499" s="14" t="s">
        <v>2458</v>
      </c>
      <c r="J4499" s="33" t="s">
        <v>7110</v>
      </c>
      <c r="K4499" s="33" t="s">
        <v>12824</v>
      </c>
      <c r="L4499" s="53" t="s">
        <v>6054</v>
      </c>
      <c r="M4499" s="68" t="s">
        <v>8912</v>
      </c>
      <c r="N4499" s="53" t="s">
        <v>6285</v>
      </c>
      <c r="O4499" s="53">
        <v>55200</v>
      </c>
      <c r="P4499" s="198" t="s">
        <v>12306</v>
      </c>
    </row>
    <row r="4500" spans="1:16" ht="18.75" hidden="1">
      <c r="A4500" s="50" t="s">
        <v>12800</v>
      </c>
      <c r="B4500" s="50" t="s">
        <v>12717</v>
      </c>
      <c r="C4500" s="50" t="s">
        <v>12785</v>
      </c>
      <c r="D4500" s="12" t="s">
        <v>12556</v>
      </c>
      <c r="E4500" s="12" t="s">
        <v>4971</v>
      </c>
      <c r="F4500" s="49">
        <v>39373</v>
      </c>
      <c r="G4500" s="77" t="s">
        <v>6453</v>
      </c>
      <c r="H4500" s="14" t="s">
        <v>5601</v>
      </c>
      <c r="I4500" s="14" t="s">
        <v>2458</v>
      </c>
      <c r="J4500" s="33" t="s">
        <v>7110</v>
      </c>
      <c r="K4500" s="33" t="s">
        <v>12824</v>
      </c>
      <c r="L4500" s="53" t="s">
        <v>6054</v>
      </c>
      <c r="M4500" s="68" t="s">
        <v>8912</v>
      </c>
      <c r="N4500" s="53" t="s">
        <v>6285</v>
      </c>
      <c r="O4500" s="53">
        <v>55200</v>
      </c>
      <c r="P4500" s="198" t="s">
        <v>12306</v>
      </c>
    </row>
    <row r="4501" spans="1:16" ht="18.75" hidden="1">
      <c r="A4501" s="50" t="s">
        <v>12810</v>
      </c>
      <c r="B4501" s="50" t="s">
        <v>12736</v>
      </c>
      <c r="C4501" s="50" t="s">
        <v>12486</v>
      </c>
      <c r="D4501" s="12" t="s">
        <v>9998</v>
      </c>
      <c r="E4501" s="12" t="s">
        <v>4971</v>
      </c>
      <c r="F4501" s="49">
        <v>255960</v>
      </c>
      <c r="G4501" s="77" t="s">
        <v>6453</v>
      </c>
      <c r="H4501" s="14" t="s">
        <v>5601</v>
      </c>
      <c r="I4501" s="14" t="s">
        <v>2458</v>
      </c>
      <c r="J4501" s="33" t="s">
        <v>7110</v>
      </c>
      <c r="K4501" s="33" t="s">
        <v>12824</v>
      </c>
      <c r="L4501" s="53" t="s">
        <v>6054</v>
      </c>
      <c r="M4501" s="68" t="s">
        <v>8912</v>
      </c>
      <c r="N4501" s="53" t="s">
        <v>6285</v>
      </c>
      <c r="O4501" s="53">
        <v>55200</v>
      </c>
      <c r="P4501" s="198" t="s">
        <v>12306</v>
      </c>
    </row>
    <row r="4502" spans="1:16" ht="18.75" hidden="1">
      <c r="A4502" s="50" t="s">
        <v>12800</v>
      </c>
      <c r="B4502" s="50" t="s">
        <v>12717</v>
      </c>
      <c r="C4502" s="50" t="s">
        <v>12812</v>
      </c>
      <c r="D4502" s="12" t="s">
        <v>9929</v>
      </c>
      <c r="E4502" s="12" t="s">
        <v>4971</v>
      </c>
      <c r="F4502" s="49">
        <v>125140</v>
      </c>
      <c r="G4502" s="77" t="s">
        <v>8873</v>
      </c>
      <c r="H4502" s="14" t="s">
        <v>5601</v>
      </c>
      <c r="I4502" s="14" t="s">
        <v>2458</v>
      </c>
      <c r="J4502" s="33" t="s">
        <v>7110</v>
      </c>
      <c r="K4502" s="33" t="s">
        <v>12824</v>
      </c>
      <c r="L4502" s="53" t="s">
        <v>6054</v>
      </c>
      <c r="M4502" s="68" t="s">
        <v>8912</v>
      </c>
      <c r="N4502" s="53" t="s">
        <v>6285</v>
      </c>
      <c r="O4502" s="53">
        <v>55200</v>
      </c>
      <c r="P4502" s="198" t="s">
        <v>7253</v>
      </c>
    </row>
    <row r="4503" spans="1:16" ht="18.75" hidden="1">
      <c r="A4503" s="50" t="s">
        <v>12800</v>
      </c>
      <c r="B4503" s="50" t="s">
        <v>12717</v>
      </c>
      <c r="C4503" s="50" t="s">
        <v>12813</v>
      </c>
      <c r="D4503" s="12" t="s">
        <v>12530</v>
      </c>
      <c r="E4503" s="12" t="s">
        <v>4971</v>
      </c>
      <c r="F4503" s="49">
        <v>267540</v>
      </c>
      <c r="G4503" s="77" t="s">
        <v>6454</v>
      </c>
      <c r="H4503" s="14" t="s">
        <v>5601</v>
      </c>
      <c r="I4503" s="14" t="s">
        <v>2458</v>
      </c>
      <c r="J4503" s="33" t="s">
        <v>7110</v>
      </c>
      <c r="K4503" s="33" t="s">
        <v>12824</v>
      </c>
      <c r="L4503" s="53" t="s">
        <v>6054</v>
      </c>
      <c r="M4503" s="68" t="s">
        <v>8912</v>
      </c>
      <c r="N4503" s="53" t="s">
        <v>6285</v>
      </c>
      <c r="O4503" s="53">
        <v>55200</v>
      </c>
      <c r="P4503" s="198" t="s">
        <v>12414</v>
      </c>
    </row>
    <row r="4504" spans="1:16" ht="18.75" hidden="1">
      <c r="A4504" s="50" t="s">
        <v>12814</v>
      </c>
      <c r="B4504" s="50" t="s">
        <v>12695</v>
      </c>
      <c r="C4504" s="50" t="s">
        <v>12789</v>
      </c>
      <c r="D4504" s="12" t="s">
        <v>12615</v>
      </c>
      <c r="E4504" s="12" t="s">
        <v>4971</v>
      </c>
      <c r="F4504" s="49">
        <v>210710</v>
      </c>
      <c r="G4504" s="77" t="s">
        <v>6454</v>
      </c>
      <c r="H4504" s="14" t="s">
        <v>5601</v>
      </c>
      <c r="I4504" s="14" t="s">
        <v>2458</v>
      </c>
      <c r="J4504" s="33" t="s">
        <v>7110</v>
      </c>
      <c r="K4504" s="33" t="s">
        <v>12824</v>
      </c>
      <c r="L4504" s="53" t="s">
        <v>6054</v>
      </c>
      <c r="M4504" s="68" t="s">
        <v>8912</v>
      </c>
      <c r="N4504" s="53" t="s">
        <v>6076</v>
      </c>
      <c r="O4504" s="53">
        <v>55301</v>
      </c>
      <c r="P4504" s="198" t="s">
        <v>12221</v>
      </c>
    </row>
    <row r="4505" spans="1:16" ht="18.75" hidden="1">
      <c r="A4505" s="50" t="s">
        <v>12814</v>
      </c>
      <c r="B4505" s="50" t="s">
        <v>12695</v>
      </c>
      <c r="C4505" s="50" t="s">
        <v>12784</v>
      </c>
      <c r="D4505" s="12" t="s">
        <v>12627</v>
      </c>
      <c r="E4505" s="12" t="s">
        <v>4971</v>
      </c>
      <c r="F4505" s="49">
        <v>87980</v>
      </c>
      <c r="G4505" s="77" t="s">
        <v>6453</v>
      </c>
      <c r="H4505" s="14" t="s">
        <v>5601</v>
      </c>
      <c r="I4505" s="14" t="s">
        <v>2458</v>
      </c>
      <c r="J4505" s="33" t="s">
        <v>7110</v>
      </c>
      <c r="K4505" s="33" t="s">
        <v>12824</v>
      </c>
      <c r="L4505" s="53" t="s">
        <v>6054</v>
      </c>
      <c r="M4505" s="68" t="s">
        <v>8912</v>
      </c>
      <c r="N4505" s="53" t="s">
        <v>6076</v>
      </c>
      <c r="O4505" s="53">
        <v>55301</v>
      </c>
      <c r="P4505" s="198" t="s">
        <v>12306</v>
      </c>
    </row>
    <row r="4506" spans="1:16" ht="18.75" hidden="1">
      <c r="A4506" s="50" t="s">
        <v>12815</v>
      </c>
      <c r="B4506" s="50" t="s">
        <v>12701</v>
      </c>
      <c r="C4506" s="50" t="s">
        <v>12797</v>
      </c>
      <c r="D4506" s="12" t="s">
        <v>12691</v>
      </c>
      <c r="E4506" s="12" t="s">
        <v>4971</v>
      </c>
      <c r="F4506" s="49">
        <v>47390</v>
      </c>
      <c r="G4506" s="77" t="s">
        <v>6453</v>
      </c>
      <c r="H4506" s="14" t="s">
        <v>5601</v>
      </c>
      <c r="I4506" s="14" t="s">
        <v>2458</v>
      </c>
      <c r="J4506" s="33" t="s">
        <v>7110</v>
      </c>
      <c r="K4506" s="33" t="s">
        <v>12824</v>
      </c>
      <c r="L4506" s="53" t="s">
        <v>6054</v>
      </c>
      <c r="M4506" s="68" t="s">
        <v>8912</v>
      </c>
      <c r="N4506" s="53" t="s">
        <v>6285</v>
      </c>
      <c r="O4506" s="53">
        <v>55200</v>
      </c>
      <c r="P4506" s="198" t="s">
        <v>12306</v>
      </c>
    </row>
    <row r="4507" spans="1:16" ht="18.75" hidden="1">
      <c r="A4507" s="50" t="s">
        <v>12815</v>
      </c>
      <c r="B4507" s="50" t="s">
        <v>12701</v>
      </c>
      <c r="C4507" s="50" t="s">
        <v>12816</v>
      </c>
      <c r="D4507" s="12" t="s">
        <v>12695</v>
      </c>
      <c r="E4507" s="12" t="s">
        <v>4971</v>
      </c>
      <c r="F4507" s="49">
        <v>75050</v>
      </c>
      <c r="G4507" s="77" t="s">
        <v>6453</v>
      </c>
      <c r="H4507" s="14" t="s">
        <v>5601</v>
      </c>
      <c r="I4507" s="14" t="s">
        <v>2458</v>
      </c>
      <c r="J4507" s="33" t="s">
        <v>7110</v>
      </c>
      <c r="K4507" s="33" t="s">
        <v>12824</v>
      </c>
      <c r="L4507" s="53" t="s">
        <v>6054</v>
      </c>
      <c r="M4507" s="68" t="s">
        <v>8912</v>
      </c>
      <c r="N4507" s="53" t="s">
        <v>6285</v>
      </c>
      <c r="O4507" s="53">
        <v>55200</v>
      </c>
      <c r="P4507" s="198" t="s">
        <v>12306</v>
      </c>
    </row>
    <row r="4508" spans="1:16" ht="18.75" hidden="1">
      <c r="A4508" s="50" t="s">
        <v>12815</v>
      </c>
      <c r="B4508" s="50" t="s">
        <v>12701</v>
      </c>
      <c r="C4508" s="50" t="s">
        <v>12767</v>
      </c>
      <c r="D4508" s="12" t="s">
        <v>12406</v>
      </c>
      <c r="E4508" s="12" t="s">
        <v>4971</v>
      </c>
      <c r="F4508" s="49">
        <v>100770</v>
      </c>
      <c r="G4508" s="77" t="s">
        <v>6454</v>
      </c>
      <c r="H4508" s="14" t="s">
        <v>5601</v>
      </c>
      <c r="I4508" s="14" t="s">
        <v>2458</v>
      </c>
      <c r="J4508" s="33" t="s">
        <v>7110</v>
      </c>
      <c r="K4508" s="33" t="s">
        <v>12824</v>
      </c>
      <c r="L4508" s="53" t="s">
        <v>6054</v>
      </c>
      <c r="M4508" s="68" t="s">
        <v>8912</v>
      </c>
      <c r="N4508" s="53" t="s">
        <v>6285</v>
      </c>
      <c r="O4508" s="53">
        <v>55200</v>
      </c>
      <c r="P4508" s="198" t="s">
        <v>12414</v>
      </c>
    </row>
    <row r="4509" spans="1:16" ht="18.75" hidden="1">
      <c r="A4509" s="50" t="s">
        <v>12815</v>
      </c>
      <c r="B4509" s="50" t="s">
        <v>12701</v>
      </c>
      <c r="C4509" s="50" t="s">
        <v>12817</v>
      </c>
      <c r="D4509" s="12" t="s">
        <v>12695</v>
      </c>
      <c r="E4509" s="12" t="s">
        <v>4971</v>
      </c>
      <c r="F4509" s="49">
        <v>18980</v>
      </c>
      <c r="G4509" s="77" t="s">
        <v>12823</v>
      </c>
      <c r="H4509" s="14" t="s">
        <v>5601</v>
      </c>
      <c r="I4509" s="14" t="s">
        <v>2458</v>
      </c>
      <c r="J4509" s="33" t="s">
        <v>7110</v>
      </c>
      <c r="K4509" s="33" t="s">
        <v>12824</v>
      </c>
      <c r="L4509" s="53" t="s">
        <v>6054</v>
      </c>
      <c r="M4509" s="68" t="s">
        <v>8912</v>
      </c>
      <c r="N4509" s="53" t="s">
        <v>6285</v>
      </c>
      <c r="O4509" s="53">
        <v>55200</v>
      </c>
      <c r="P4509" s="198" t="s">
        <v>12428</v>
      </c>
    </row>
    <row r="4510" spans="1:16" ht="18.75" hidden="1">
      <c r="A4510" s="50" t="s">
        <v>12815</v>
      </c>
      <c r="B4510" s="50" t="s">
        <v>12701</v>
      </c>
      <c r="C4510" s="50" t="s">
        <v>12640</v>
      </c>
      <c r="D4510" s="12" t="s">
        <v>10052</v>
      </c>
      <c r="E4510" s="12" t="s">
        <v>4971</v>
      </c>
      <c r="F4510" s="49">
        <v>121050</v>
      </c>
      <c r="G4510" s="77" t="s">
        <v>6298</v>
      </c>
      <c r="H4510" s="14" t="s">
        <v>5601</v>
      </c>
      <c r="I4510" s="14" t="s">
        <v>2458</v>
      </c>
      <c r="J4510" s="33" t="s">
        <v>7110</v>
      </c>
      <c r="K4510" s="33" t="s">
        <v>12824</v>
      </c>
      <c r="L4510" s="53" t="s">
        <v>6054</v>
      </c>
      <c r="M4510" s="68" t="s">
        <v>8912</v>
      </c>
      <c r="N4510" s="53" t="s">
        <v>6285</v>
      </c>
      <c r="O4510" s="53">
        <v>55200</v>
      </c>
      <c r="P4510" s="198" t="s">
        <v>9769</v>
      </c>
    </row>
    <row r="4511" spans="1:16" ht="18.75" hidden="1">
      <c r="A4511" s="50" t="s">
        <v>12815</v>
      </c>
      <c r="B4511" s="50" t="s">
        <v>12701</v>
      </c>
      <c r="C4511" s="50" t="s">
        <v>12774</v>
      </c>
      <c r="D4511" s="12" t="s">
        <v>12530</v>
      </c>
      <c r="E4511" s="12" t="s">
        <v>4971</v>
      </c>
      <c r="F4511" s="49">
        <v>152290</v>
      </c>
      <c r="G4511" s="77" t="s">
        <v>6454</v>
      </c>
      <c r="H4511" s="14" t="s">
        <v>5601</v>
      </c>
      <c r="I4511" s="14" t="s">
        <v>2458</v>
      </c>
      <c r="J4511" s="33" t="s">
        <v>7110</v>
      </c>
      <c r="K4511" s="33" t="s">
        <v>12824</v>
      </c>
      <c r="L4511" s="53" t="s">
        <v>6054</v>
      </c>
      <c r="M4511" s="68" t="s">
        <v>8912</v>
      </c>
      <c r="N4511" s="53" t="s">
        <v>6285</v>
      </c>
      <c r="O4511" s="53">
        <v>55200</v>
      </c>
      <c r="P4511" s="198" t="s">
        <v>12414</v>
      </c>
    </row>
    <row r="4512" spans="1:16" ht="18.75" hidden="1">
      <c r="A4512" s="50" t="s">
        <v>12818</v>
      </c>
      <c r="B4512" s="50" t="s">
        <v>12695</v>
      </c>
      <c r="C4512" s="50" t="s">
        <v>12486</v>
      </c>
      <c r="D4512" s="12" t="s">
        <v>9998</v>
      </c>
      <c r="E4512" s="12" t="s">
        <v>4971</v>
      </c>
      <c r="F4512" s="49">
        <v>17250</v>
      </c>
      <c r="G4512" s="77" t="s">
        <v>6453</v>
      </c>
      <c r="H4512" s="14" t="s">
        <v>5601</v>
      </c>
      <c r="I4512" s="14" t="s">
        <v>2458</v>
      </c>
      <c r="J4512" s="33" t="s">
        <v>7110</v>
      </c>
      <c r="K4512" s="33" t="s">
        <v>12824</v>
      </c>
      <c r="L4512" s="53" t="s">
        <v>6054</v>
      </c>
      <c r="M4512" s="68" t="s">
        <v>8912</v>
      </c>
      <c r="N4512" s="53" t="s">
        <v>6285</v>
      </c>
      <c r="O4512" s="53">
        <v>55200</v>
      </c>
      <c r="P4512" s="198" t="s">
        <v>12306</v>
      </c>
    </row>
    <row r="4513" spans="1:16" ht="18.75" hidden="1">
      <c r="A4513" s="50" t="s">
        <v>12818</v>
      </c>
      <c r="B4513" s="50" t="s">
        <v>12695</v>
      </c>
      <c r="C4513" s="50" t="s">
        <v>12650</v>
      </c>
      <c r="D4513" s="12" t="s">
        <v>12525</v>
      </c>
      <c r="E4513" s="12" t="s">
        <v>4971</v>
      </c>
      <c r="F4513" s="49">
        <v>160530</v>
      </c>
      <c r="G4513" s="77" t="s">
        <v>6453</v>
      </c>
      <c r="H4513" s="14" t="s">
        <v>5601</v>
      </c>
      <c r="I4513" s="14" t="s">
        <v>2458</v>
      </c>
      <c r="J4513" s="33" t="s">
        <v>7110</v>
      </c>
      <c r="K4513" s="33" t="s">
        <v>12824</v>
      </c>
      <c r="L4513" s="53" t="s">
        <v>6054</v>
      </c>
      <c r="M4513" s="68" t="s">
        <v>8912</v>
      </c>
      <c r="N4513" s="53" t="s">
        <v>6285</v>
      </c>
      <c r="O4513" s="53">
        <v>55200</v>
      </c>
      <c r="P4513" s="198" t="s">
        <v>12306</v>
      </c>
    </row>
    <row r="4514" spans="1:16" ht="18.75" hidden="1">
      <c r="A4514" s="50" t="s">
        <v>12819</v>
      </c>
      <c r="B4514" s="50" t="s">
        <v>12695</v>
      </c>
      <c r="C4514" s="50" t="s">
        <v>12784</v>
      </c>
      <c r="D4514" s="12" t="s">
        <v>12627</v>
      </c>
      <c r="E4514" s="12" t="s">
        <v>4971</v>
      </c>
      <c r="F4514" s="49">
        <v>92320</v>
      </c>
      <c r="G4514" s="77" t="s">
        <v>6453</v>
      </c>
      <c r="H4514" s="14" t="s">
        <v>5601</v>
      </c>
      <c r="I4514" s="14" t="s">
        <v>2458</v>
      </c>
      <c r="J4514" s="33" t="s">
        <v>7110</v>
      </c>
      <c r="K4514" s="33" t="s">
        <v>12824</v>
      </c>
      <c r="L4514" s="53" t="s">
        <v>6054</v>
      </c>
      <c r="M4514" s="68" t="s">
        <v>8913</v>
      </c>
      <c r="N4514" s="53" t="s">
        <v>6076</v>
      </c>
      <c r="O4514" s="53">
        <v>55301</v>
      </c>
      <c r="P4514" s="198" t="s">
        <v>12306</v>
      </c>
    </row>
    <row r="4515" spans="1:16" ht="18.75" hidden="1">
      <c r="A4515" s="50" t="s">
        <v>12815</v>
      </c>
      <c r="B4515" s="50" t="s">
        <v>12701</v>
      </c>
      <c r="C4515" s="50" t="s">
        <v>12812</v>
      </c>
      <c r="D4515" s="12" t="s">
        <v>9929</v>
      </c>
      <c r="E4515" s="12" t="s">
        <v>4971</v>
      </c>
      <c r="F4515" s="49">
        <v>205000</v>
      </c>
      <c r="G4515" s="77" t="s">
        <v>8873</v>
      </c>
      <c r="H4515" s="14" t="s">
        <v>5601</v>
      </c>
      <c r="I4515" s="14" t="s">
        <v>2458</v>
      </c>
      <c r="J4515" s="33" t="s">
        <v>7110</v>
      </c>
      <c r="K4515" s="33" t="s">
        <v>12824</v>
      </c>
      <c r="L4515" s="53" t="s">
        <v>6054</v>
      </c>
      <c r="M4515" s="68" t="s">
        <v>8912</v>
      </c>
      <c r="N4515" s="53" t="s">
        <v>6285</v>
      </c>
      <c r="O4515" s="53">
        <v>55200</v>
      </c>
      <c r="P4515" s="198" t="s">
        <v>7253</v>
      </c>
    </row>
    <row r="4516" spans="1:16" ht="18.75" hidden="1">
      <c r="A4516" s="50" t="s">
        <v>12818</v>
      </c>
      <c r="B4516" s="50" t="s">
        <v>12695</v>
      </c>
      <c r="C4516" s="50" t="s">
        <v>12792</v>
      </c>
      <c r="D4516" s="12" t="s">
        <v>12477</v>
      </c>
      <c r="E4516" s="12" t="s">
        <v>4971</v>
      </c>
      <c r="F4516" s="49">
        <v>149830</v>
      </c>
      <c r="G4516" s="77" t="s">
        <v>6454</v>
      </c>
      <c r="H4516" s="14" t="s">
        <v>5601</v>
      </c>
      <c r="I4516" s="14" t="s">
        <v>2458</v>
      </c>
      <c r="J4516" s="33" t="s">
        <v>7110</v>
      </c>
      <c r="K4516" s="33" t="s">
        <v>12824</v>
      </c>
      <c r="L4516" s="53" t="s">
        <v>6054</v>
      </c>
      <c r="M4516" s="68" t="s">
        <v>8912</v>
      </c>
      <c r="N4516" s="53" t="s">
        <v>6285</v>
      </c>
      <c r="O4516" s="53">
        <v>55200</v>
      </c>
      <c r="P4516" s="198" t="s">
        <v>12414</v>
      </c>
    </row>
    <row r="4517" spans="1:16" ht="18.75" hidden="1">
      <c r="A4517" s="50" t="s">
        <v>12800</v>
      </c>
      <c r="B4517" s="50" t="s">
        <v>12717</v>
      </c>
      <c r="C4517" s="50" t="s">
        <v>12820</v>
      </c>
      <c r="D4517" s="12" t="s">
        <v>12556</v>
      </c>
      <c r="E4517" s="12" t="s">
        <v>4971</v>
      </c>
      <c r="F4517" s="49">
        <v>300000</v>
      </c>
      <c r="G4517" s="77" t="s">
        <v>6453</v>
      </c>
      <c r="H4517" s="14" t="s">
        <v>5601</v>
      </c>
      <c r="I4517" s="14" t="s">
        <v>2458</v>
      </c>
      <c r="J4517" s="33" t="s">
        <v>7110</v>
      </c>
      <c r="K4517" s="33" t="s">
        <v>12824</v>
      </c>
      <c r="L4517" s="53" t="s">
        <v>6054</v>
      </c>
      <c r="M4517" s="68" t="s">
        <v>8912</v>
      </c>
      <c r="N4517" s="53" t="s">
        <v>6285</v>
      </c>
      <c r="O4517" s="53">
        <v>55200</v>
      </c>
      <c r="P4517" s="198" t="s">
        <v>12306</v>
      </c>
    </row>
    <row r="4518" spans="1:16" ht="18.75" hidden="1">
      <c r="A4518" s="50" t="s">
        <v>12803</v>
      </c>
      <c r="B4518" s="50" t="s">
        <v>12736</v>
      </c>
      <c r="C4518" s="50" t="s">
        <v>12821</v>
      </c>
      <c r="D4518" s="12" t="s">
        <v>12560</v>
      </c>
      <c r="E4518" s="12" t="s">
        <v>4971</v>
      </c>
      <c r="F4518" s="49">
        <v>178137</v>
      </c>
      <c r="G4518" s="77" t="s">
        <v>6453</v>
      </c>
      <c r="H4518" s="14" t="s">
        <v>5601</v>
      </c>
      <c r="I4518" s="14" t="s">
        <v>2458</v>
      </c>
      <c r="J4518" s="33" t="s">
        <v>7110</v>
      </c>
      <c r="K4518" s="33" t="s">
        <v>12824</v>
      </c>
      <c r="L4518" s="53" t="s">
        <v>6054</v>
      </c>
      <c r="M4518" s="68" t="s">
        <v>8913</v>
      </c>
      <c r="N4518" s="53" t="s">
        <v>6076</v>
      </c>
      <c r="O4518" s="53">
        <v>55301</v>
      </c>
      <c r="P4518" s="198" t="s">
        <v>12306</v>
      </c>
    </row>
    <row r="4519" spans="1:16" ht="18.75" hidden="1">
      <c r="A4519" s="50" t="s">
        <v>12822</v>
      </c>
      <c r="B4519" s="50" t="s">
        <v>12736</v>
      </c>
      <c r="C4519" s="50" t="s">
        <v>12821</v>
      </c>
      <c r="D4519" s="12" t="s">
        <v>12560</v>
      </c>
      <c r="E4519" s="12" t="s">
        <v>4971</v>
      </c>
      <c r="F4519" s="49">
        <v>118420</v>
      </c>
      <c r="G4519" s="77" t="s">
        <v>6453</v>
      </c>
      <c r="H4519" s="14" t="s">
        <v>5601</v>
      </c>
      <c r="I4519" s="14" t="s">
        <v>2458</v>
      </c>
      <c r="J4519" s="33" t="s">
        <v>7110</v>
      </c>
      <c r="K4519" s="33" t="s">
        <v>12824</v>
      </c>
      <c r="L4519" s="53" t="s">
        <v>6054</v>
      </c>
      <c r="M4519" s="68" t="s">
        <v>8913</v>
      </c>
      <c r="N4519" s="53" t="s">
        <v>9836</v>
      </c>
      <c r="O4519" s="53">
        <v>55112</v>
      </c>
      <c r="P4519" s="198" t="s">
        <v>12306</v>
      </c>
    </row>
    <row r="4520" spans="1:16" ht="18.75" hidden="1">
      <c r="A4520" s="50" t="s">
        <v>12815</v>
      </c>
      <c r="B4520" s="50" t="s">
        <v>12701</v>
      </c>
      <c r="C4520" s="50" t="s">
        <v>12506</v>
      </c>
      <c r="D4520" s="12" t="s">
        <v>12507</v>
      </c>
      <c r="E4520" s="12" t="s">
        <v>4971</v>
      </c>
      <c r="F4520" s="49">
        <v>780</v>
      </c>
      <c r="G4520" s="77" t="s">
        <v>6300</v>
      </c>
      <c r="H4520" s="14" t="s">
        <v>5601</v>
      </c>
      <c r="I4520" s="14" t="s">
        <v>2458</v>
      </c>
      <c r="J4520" s="33" t="s">
        <v>7110</v>
      </c>
      <c r="K4520" s="33" t="s">
        <v>12824</v>
      </c>
      <c r="L4520" s="53" t="s">
        <v>6054</v>
      </c>
      <c r="M4520" s="68" t="s">
        <v>8912</v>
      </c>
      <c r="N4520" s="53" t="s">
        <v>6285</v>
      </c>
      <c r="O4520" s="53">
        <v>55200</v>
      </c>
      <c r="P4520" s="198" t="s">
        <v>12220</v>
      </c>
    </row>
    <row r="4521" spans="1:16" ht="18.75" hidden="1">
      <c r="A4521" s="50" t="s">
        <v>12825</v>
      </c>
      <c r="B4521" s="50" t="s">
        <v>12479</v>
      </c>
      <c r="C4521" s="50" t="s">
        <v>12591</v>
      </c>
      <c r="D4521" s="12" t="s">
        <v>12509</v>
      </c>
      <c r="E4521" s="12" t="s">
        <v>4971</v>
      </c>
      <c r="F4521" s="49">
        <v>25030</v>
      </c>
      <c r="G4521" s="77" t="s">
        <v>6454</v>
      </c>
      <c r="H4521" s="14" t="s">
        <v>5601</v>
      </c>
      <c r="I4521" s="14" t="s">
        <v>2458</v>
      </c>
      <c r="J4521" s="33" t="s">
        <v>7110</v>
      </c>
      <c r="K4521" s="33" t="s">
        <v>12928</v>
      </c>
      <c r="L4521" s="53" t="s">
        <v>6054</v>
      </c>
      <c r="M4521" s="68" t="s">
        <v>8912</v>
      </c>
      <c r="N4521" s="53" t="s">
        <v>6286</v>
      </c>
      <c r="O4521" s="53">
        <v>55107</v>
      </c>
      <c r="P4521" s="198" t="s">
        <v>12221</v>
      </c>
    </row>
    <row r="4522" spans="1:16" ht="18.75" hidden="1">
      <c r="A4522" s="50" t="s">
        <v>12826</v>
      </c>
      <c r="B4522" s="50" t="s">
        <v>12615</v>
      </c>
      <c r="C4522" s="50" t="s">
        <v>12488</v>
      </c>
      <c r="D4522" s="12" t="s">
        <v>12380</v>
      </c>
      <c r="E4522" s="12" t="s">
        <v>4971</v>
      </c>
      <c r="F4522" s="49">
        <v>73000</v>
      </c>
      <c r="G4522" s="77" t="s">
        <v>6453</v>
      </c>
      <c r="H4522" s="14" t="s">
        <v>5601</v>
      </c>
      <c r="I4522" s="14" t="s">
        <v>2458</v>
      </c>
      <c r="J4522" s="33" t="s">
        <v>7110</v>
      </c>
      <c r="K4522" s="33" t="s">
        <v>12928</v>
      </c>
      <c r="L4522" s="53" t="s">
        <v>6054</v>
      </c>
      <c r="M4522" s="68" t="s">
        <v>8913</v>
      </c>
      <c r="N4522" s="53" t="s">
        <v>9836</v>
      </c>
      <c r="O4522" s="53">
        <v>55112</v>
      </c>
      <c r="P4522" s="198" t="s">
        <v>12306</v>
      </c>
    </row>
    <row r="4523" spans="1:16" ht="18.75" hidden="1">
      <c r="A4523" s="50" t="s">
        <v>12827</v>
      </c>
      <c r="B4523" s="50" t="s">
        <v>12525</v>
      </c>
      <c r="C4523" s="50" t="s">
        <v>12598</v>
      </c>
      <c r="D4523" s="12" t="s">
        <v>12359</v>
      </c>
      <c r="E4523" s="12" t="s">
        <v>4971</v>
      </c>
      <c r="F4523" s="49">
        <v>140260</v>
      </c>
      <c r="G4523" s="77" t="s">
        <v>6453</v>
      </c>
      <c r="H4523" s="14" t="s">
        <v>5601</v>
      </c>
      <c r="I4523" s="14" t="s">
        <v>2458</v>
      </c>
      <c r="J4523" s="33" t="s">
        <v>7110</v>
      </c>
      <c r="K4523" s="33" t="s">
        <v>12928</v>
      </c>
      <c r="L4523" s="53" t="s">
        <v>6054</v>
      </c>
      <c r="M4523" s="68" t="s">
        <v>8913</v>
      </c>
      <c r="N4523" s="53" t="s">
        <v>6076</v>
      </c>
      <c r="O4523" s="53">
        <v>55301</v>
      </c>
      <c r="P4523" s="198" t="s">
        <v>12306</v>
      </c>
    </row>
    <row r="4524" spans="1:16" ht="18.75" hidden="1">
      <c r="A4524" s="50" t="s">
        <v>12825</v>
      </c>
      <c r="B4524" s="50" t="s">
        <v>12479</v>
      </c>
      <c r="C4524" s="50" t="s">
        <v>12596</v>
      </c>
      <c r="D4524" s="12" t="s">
        <v>12485</v>
      </c>
      <c r="E4524" s="12" t="s">
        <v>4971</v>
      </c>
      <c r="F4524" s="49">
        <v>30760</v>
      </c>
      <c r="G4524" s="77" t="s">
        <v>6454</v>
      </c>
      <c r="H4524" s="14" t="s">
        <v>5601</v>
      </c>
      <c r="I4524" s="14" t="s">
        <v>2458</v>
      </c>
      <c r="J4524" s="33" t="s">
        <v>7110</v>
      </c>
      <c r="K4524" s="33" t="s">
        <v>12928</v>
      </c>
      <c r="L4524" s="53" t="s">
        <v>6054</v>
      </c>
      <c r="M4524" s="68" t="s">
        <v>8912</v>
      </c>
      <c r="N4524" s="53" t="s">
        <v>6286</v>
      </c>
      <c r="O4524" s="53">
        <v>55107</v>
      </c>
      <c r="P4524" s="198" t="s">
        <v>12218</v>
      </c>
    </row>
    <row r="4525" spans="1:16" ht="18.75" hidden="1">
      <c r="A4525" s="50" t="s">
        <v>12825</v>
      </c>
      <c r="B4525" s="50" t="s">
        <v>12479</v>
      </c>
      <c r="C4525" s="50" t="s">
        <v>12503</v>
      </c>
      <c r="D4525" s="12" t="s">
        <v>12380</v>
      </c>
      <c r="E4525" s="12" t="s">
        <v>4971</v>
      </c>
      <c r="F4525" s="49">
        <v>169170</v>
      </c>
      <c r="G4525" s="77" t="s">
        <v>6454</v>
      </c>
      <c r="H4525" s="14" t="s">
        <v>5601</v>
      </c>
      <c r="I4525" s="14" t="s">
        <v>2458</v>
      </c>
      <c r="J4525" s="33" t="s">
        <v>7110</v>
      </c>
      <c r="K4525" s="33" t="s">
        <v>12928</v>
      </c>
      <c r="L4525" s="53" t="s">
        <v>6054</v>
      </c>
      <c r="M4525" s="68" t="s">
        <v>8912</v>
      </c>
      <c r="N4525" s="53" t="s">
        <v>6286</v>
      </c>
      <c r="O4525" s="53">
        <v>55107</v>
      </c>
      <c r="P4525" s="198" t="s">
        <v>12218</v>
      </c>
    </row>
    <row r="4526" spans="1:16" ht="18.75" hidden="1">
      <c r="A4526" s="50" t="s">
        <v>12827</v>
      </c>
      <c r="B4526" s="50" t="s">
        <v>12525</v>
      </c>
      <c r="C4526" s="50" t="s">
        <v>12482</v>
      </c>
      <c r="D4526" s="12" t="s">
        <v>12367</v>
      </c>
      <c r="E4526" s="12" t="s">
        <v>4971</v>
      </c>
      <c r="F4526" s="49">
        <v>286360</v>
      </c>
      <c r="G4526" s="77" t="s">
        <v>6454</v>
      </c>
      <c r="H4526" s="14" t="s">
        <v>5601</v>
      </c>
      <c r="I4526" s="14" t="s">
        <v>2458</v>
      </c>
      <c r="J4526" s="33" t="s">
        <v>7110</v>
      </c>
      <c r="K4526" s="33" t="s">
        <v>12928</v>
      </c>
      <c r="L4526" s="53" t="s">
        <v>6054</v>
      </c>
      <c r="M4526" s="68" t="s">
        <v>8913</v>
      </c>
      <c r="N4526" s="53" t="s">
        <v>6076</v>
      </c>
      <c r="O4526" s="53">
        <v>55301</v>
      </c>
      <c r="P4526" s="198" t="s">
        <v>12218</v>
      </c>
    </row>
    <row r="4527" spans="1:16" ht="18.75" hidden="1">
      <c r="A4527" s="50" t="s">
        <v>12828</v>
      </c>
      <c r="B4527" s="50" t="s">
        <v>12829</v>
      </c>
      <c r="C4527" s="50" t="s">
        <v>12491</v>
      </c>
      <c r="D4527" s="12" t="s">
        <v>9997</v>
      </c>
      <c r="E4527" s="12" t="s">
        <v>4971</v>
      </c>
      <c r="F4527" s="49">
        <v>122720</v>
      </c>
      <c r="G4527" s="77" t="s">
        <v>6453</v>
      </c>
      <c r="H4527" s="14" t="s">
        <v>5601</v>
      </c>
      <c r="I4527" s="14" t="s">
        <v>2458</v>
      </c>
      <c r="J4527" s="33" t="e">
        <f>VLOOKUP(C4527,شرکتها!A:B,2,FALSE)</f>
        <v>#N/A</v>
      </c>
      <c r="K4527" s="33" t="s">
        <v>12928</v>
      </c>
      <c r="L4527" s="53" t="s">
        <v>6054</v>
      </c>
      <c r="M4527" s="68" t="s">
        <v>8913</v>
      </c>
      <c r="N4527" s="53" t="s">
        <v>6286</v>
      </c>
      <c r="O4527" s="53">
        <v>55107</v>
      </c>
      <c r="P4527" s="198" t="s">
        <v>9770</v>
      </c>
    </row>
    <row r="4528" spans="1:16" ht="18.75" hidden="1">
      <c r="A4528" s="50" t="s">
        <v>12830</v>
      </c>
      <c r="B4528" s="50" t="s">
        <v>12507</v>
      </c>
      <c r="C4528" s="50" t="s">
        <v>12491</v>
      </c>
      <c r="D4528" s="12" t="s">
        <v>9997</v>
      </c>
      <c r="E4528" s="12" t="s">
        <v>4971</v>
      </c>
      <c r="F4528" s="49">
        <v>24040</v>
      </c>
      <c r="G4528" s="77" t="s">
        <v>6453</v>
      </c>
      <c r="H4528" s="14" t="s">
        <v>5601</v>
      </c>
      <c r="I4528" s="14" t="s">
        <v>2458</v>
      </c>
      <c r="J4528" s="33" t="e">
        <f>VLOOKUP(C4528,شرکتها!A:B,2,FALSE)</f>
        <v>#N/A</v>
      </c>
      <c r="K4528" s="33" t="s">
        <v>12928</v>
      </c>
      <c r="L4528" s="53" t="s">
        <v>6054</v>
      </c>
      <c r="M4528" s="68" t="s">
        <v>8912</v>
      </c>
      <c r="N4528" s="53" t="s">
        <v>6286</v>
      </c>
      <c r="O4528" s="53">
        <v>55107</v>
      </c>
      <c r="P4528" s="198" t="s">
        <v>9770</v>
      </c>
    </row>
    <row r="4529" spans="1:16" ht="18.75" hidden="1">
      <c r="A4529" s="50" t="s">
        <v>12831</v>
      </c>
      <c r="B4529" s="50" t="s">
        <v>12613</v>
      </c>
      <c r="C4529" s="50" t="s">
        <v>12637</v>
      </c>
      <c r="D4529" s="12" t="s">
        <v>12406</v>
      </c>
      <c r="E4529" s="12" t="s">
        <v>4971</v>
      </c>
      <c r="F4529" s="49">
        <v>45120</v>
      </c>
      <c r="G4529" s="77" t="s">
        <v>12608</v>
      </c>
      <c r="H4529" s="14" t="s">
        <v>5601</v>
      </c>
      <c r="I4529" s="14" t="s">
        <v>2458</v>
      </c>
      <c r="J4529" s="33" t="s">
        <v>7110</v>
      </c>
      <c r="K4529" s="33" t="s">
        <v>12928</v>
      </c>
      <c r="L4529" s="53" t="s">
        <v>6054</v>
      </c>
      <c r="M4529" s="68" t="s">
        <v>8912</v>
      </c>
      <c r="N4529" s="53" t="s">
        <v>6076</v>
      </c>
      <c r="O4529" s="53">
        <v>55301</v>
      </c>
      <c r="P4529" s="198" t="s">
        <v>12425</v>
      </c>
    </row>
    <row r="4530" spans="1:16" ht="18.75" hidden="1">
      <c r="A4530" s="50" t="s">
        <v>12832</v>
      </c>
      <c r="B4530" s="50" t="s">
        <v>12513</v>
      </c>
      <c r="C4530" s="50" t="s">
        <v>12589</v>
      </c>
      <c r="D4530" s="12" t="s">
        <v>12583</v>
      </c>
      <c r="E4530" s="12" t="s">
        <v>4971</v>
      </c>
      <c r="F4530" s="49">
        <v>41390</v>
      </c>
      <c r="G4530" s="77" t="s">
        <v>12608</v>
      </c>
      <c r="H4530" s="14" t="s">
        <v>5601</v>
      </c>
      <c r="I4530" s="14" t="s">
        <v>2458</v>
      </c>
      <c r="J4530" s="33" t="s">
        <v>7110</v>
      </c>
      <c r="K4530" s="33" t="s">
        <v>12928</v>
      </c>
      <c r="L4530" s="53" t="s">
        <v>6054</v>
      </c>
      <c r="M4530" s="68" t="s">
        <v>8912</v>
      </c>
      <c r="N4530" s="53" t="s">
        <v>6076</v>
      </c>
      <c r="O4530" s="53">
        <v>55301</v>
      </c>
      <c r="P4530" s="198" t="s">
        <v>12425</v>
      </c>
    </row>
    <row r="4531" spans="1:16" ht="18.75" hidden="1">
      <c r="A4531" s="50" t="s">
        <v>12831</v>
      </c>
      <c r="B4531" s="50" t="s">
        <v>12613</v>
      </c>
      <c r="C4531" s="50" t="s">
        <v>12638</v>
      </c>
      <c r="D4531" s="12" t="s">
        <v>12481</v>
      </c>
      <c r="E4531" s="12" t="s">
        <v>4971</v>
      </c>
      <c r="F4531" s="49">
        <v>198720</v>
      </c>
      <c r="G4531" s="77" t="s">
        <v>6454</v>
      </c>
      <c r="H4531" s="14" t="s">
        <v>5601</v>
      </c>
      <c r="I4531" s="14" t="s">
        <v>2458</v>
      </c>
      <c r="J4531" s="33" t="s">
        <v>7110</v>
      </c>
      <c r="K4531" s="33" t="s">
        <v>12928</v>
      </c>
      <c r="L4531" s="53" t="s">
        <v>6054</v>
      </c>
      <c r="M4531" s="68" t="s">
        <v>8912</v>
      </c>
      <c r="N4531" s="53" t="s">
        <v>6076</v>
      </c>
      <c r="O4531" s="53">
        <v>55301</v>
      </c>
      <c r="P4531" s="198" t="s">
        <v>12221</v>
      </c>
    </row>
    <row r="4532" spans="1:16" ht="18.75" hidden="1">
      <c r="A4532" s="50" t="s">
        <v>12832</v>
      </c>
      <c r="B4532" s="50" t="s">
        <v>12513</v>
      </c>
      <c r="C4532" s="50" t="s">
        <v>12637</v>
      </c>
      <c r="D4532" s="12" t="s">
        <v>12406</v>
      </c>
      <c r="E4532" s="12" t="s">
        <v>4971</v>
      </c>
      <c r="F4532" s="49">
        <v>1970</v>
      </c>
      <c r="G4532" s="77" t="s">
        <v>12608</v>
      </c>
      <c r="H4532" s="14" t="s">
        <v>5601</v>
      </c>
      <c r="I4532" s="14" t="s">
        <v>2458</v>
      </c>
      <c r="J4532" s="33" t="s">
        <v>7110</v>
      </c>
      <c r="K4532" s="33" t="s">
        <v>12928</v>
      </c>
      <c r="L4532" s="53" t="s">
        <v>6054</v>
      </c>
      <c r="M4532" s="68" t="s">
        <v>8912</v>
      </c>
      <c r="N4532" s="53" t="s">
        <v>6076</v>
      </c>
      <c r="O4532" s="53">
        <v>55301</v>
      </c>
      <c r="P4532" s="198" t="s">
        <v>12425</v>
      </c>
    </row>
    <row r="4533" spans="1:16" ht="18.75" hidden="1">
      <c r="A4533" s="50" t="s">
        <v>12833</v>
      </c>
      <c r="B4533" s="50" t="s">
        <v>12542</v>
      </c>
      <c r="C4533" s="50" t="s">
        <v>12801</v>
      </c>
      <c r="D4533" s="12" t="s">
        <v>12538</v>
      </c>
      <c r="E4533" s="12" t="s">
        <v>4971</v>
      </c>
      <c r="F4533" s="49">
        <v>73180</v>
      </c>
      <c r="G4533" s="77" t="s">
        <v>6454</v>
      </c>
      <c r="H4533" s="14" t="s">
        <v>5601</v>
      </c>
      <c r="I4533" s="14" t="s">
        <v>2458</v>
      </c>
      <c r="J4533" s="33" t="s">
        <v>7110</v>
      </c>
      <c r="K4533" s="33" t="s">
        <v>12928</v>
      </c>
      <c r="L4533" s="53" t="s">
        <v>6054</v>
      </c>
      <c r="M4533" s="68" t="s">
        <v>8913</v>
      </c>
      <c r="N4533" s="53" t="s">
        <v>9836</v>
      </c>
      <c r="O4533" s="53">
        <v>55112</v>
      </c>
      <c r="P4533" s="198" t="s">
        <v>12414</v>
      </c>
    </row>
    <row r="4534" spans="1:16" ht="18.75" hidden="1">
      <c r="A4534" s="50" t="s">
        <v>12834</v>
      </c>
      <c r="B4534" s="50" t="s">
        <v>12542</v>
      </c>
      <c r="C4534" s="50" t="s">
        <v>12618</v>
      </c>
      <c r="D4534" s="12" t="s">
        <v>12525</v>
      </c>
      <c r="E4534" s="12" t="s">
        <v>4971</v>
      </c>
      <c r="F4534" s="49">
        <v>94360</v>
      </c>
      <c r="G4534" s="77" t="s">
        <v>6454</v>
      </c>
      <c r="H4534" s="14" t="s">
        <v>5601</v>
      </c>
      <c r="I4534" s="14" t="s">
        <v>2458</v>
      </c>
      <c r="J4534" s="33" t="s">
        <v>7110</v>
      </c>
      <c r="K4534" s="33" t="s">
        <v>12928</v>
      </c>
      <c r="L4534" s="53" t="s">
        <v>6054</v>
      </c>
      <c r="M4534" s="68" t="s">
        <v>8913</v>
      </c>
      <c r="N4534" s="53" t="s">
        <v>6076</v>
      </c>
      <c r="O4534" s="53">
        <v>55301</v>
      </c>
      <c r="P4534" s="198" t="s">
        <v>12414</v>
      </c>
    </row>
    <row r="4535" spans="1:16" ht="18.75" hidden="1">
      <c r="A4535" s="50" t="s">
        <v>12834</v>
      </c>
      <c r="B4535" s="50" t="s">
        <v>12542</v>
      </c>
      <c r="C4535" s="50" t="s">
        <v>12835</v>
      </c>
      <c r="D4535" s="12" t="s">
        <v>9998</v>
      </c>
      <c r="E4535" s="12" t="s">
        <v>4971</v>
      </c>
      <c r="F4535" s="49">
        <v>185740</v>
      </c>
      <c r="G4535" s="77" t="s">
        <v>6299</v>
      </c>
      <c r="H4535" s="14" t="s">
        <v>5601</v>
      </c>
      <c r="I4535" s="14" t="s">
        <v>2458</v>
      </c>
      <c r="J4535" s="33" t="s">
        <v>7110</v>
      </c>
      <c r="K4535" s="33" t="s">
        <v>12928</v>
      </c>
      <c r="L4535" s="53" t="s">
        <v>6054</v>
      </c>
      <c r="M4535" s="68" t="s">
        <v>8913</v>
      </c>
      <c r="N4535" s="53" t="s">
        <v>6076</v>
      </c>
      <c r="O4535" s="53">
        <v>55301</v>
      </c>
      <c r="P4535" s="198" t="s">
        <v>12222</v>
      </c>
    </row>
    <row r="4536" spans="1:16" ht="18.75" hidden="1">
      <c r="A4536" s="50" t="s">
        <v>12836</v>
      </c>
      <c r="B4536" s="50" t="s">
        <v>12542</v>
      </c>
      <c r="C4536" s="50" t="s">
        <v>12801</v>
      </c>
      <c r="D4536" s="12" t="s">
        <v>12538</v>
      </c>
      <c r="E4536" s="12" t="s">
        <v>4971</v>
      </c>
      <c r="F4536" s="49">
        <v>165510</v>
      </c>
      <c r="G4536" s="77" t="s">
        <v>6454</v>
      </c>
      <c r="H4536" s="14" t="s">
        <v>5601</v>
      </c>
      <c r="I4536" s="14" t="s">
        <v>2458</v>
      </c>
      <c r="J4536" s="33" t="s">
        <v>7110</v>
      </c>
      <c r="K4536" s="33" t="s">
        <v>12928</v>
      </c>
      <c r="L4536" s="53" t="s">
        <v>6054</v>
      </c>
      <c r="M4536" s="68" t="s">
        <v>8912</v>
      </c>
      <c r="N4536" s="53" t="s">
        <v>6076</v>
      </c>
      <c r="O4536" s="53">
        <v>55301</v>
      </c>
      <c r="P4536" s="198" t="s">
        <v>12414</v>
      </c>
    </row>
    <row r="4537" spans="1:16" ht="18.75" hidden="1">
      <c r="A4537" s="50" t="s">
        <v>12837</v>
      </c>
      <c r="B4537" s="50" t="s">
        <v>12556</v>
      </c>
      <c r="C4537" s="50" t="s">
        <v>12489</v>
      </c>
      <c r="D4537" s="12" t="s">
        <v>8911</v>
      </c>
      <c r="E4537" s="12" t="s">
        <v>4971</v>
      </c>
      <c r="F4537" s="49">
        <v>40860</v>
      </c>
      <c r="G4537" s="77" t="s">
        <v>6299</v>
      </c>
      <c r="H4537" s="14" t="s">
        <v>5601</v>
      </c>
      <c r="I4537" s="14" t="s">
        <v>2458</v>
      </c>
      <c r="J4537" s="33" t="s">
        <v>7110</v>
      </c>
      <c r="K4537" s="33" t="s">
        <v>12928</v>
      </c>
      <c r="L4537" s="53" t="s">
        <v>6054</v>
      </c>
      <c r="M4537" s="68" t="s">
        <v>8913</v>
      </c>
      <c r="N4537" s="53" t="s">
        <v>6076</v>
      </c>
      <c r="O4537" s="53">
        <v>55301</v>
      </c>
      <c r="P4537" s="198" t="s">
        <v>8723</v>
      </c>
    </row>
    <row r="4538" spans="1:16" ht="18.75" hidden="1">
      <c r="A4538" s="50" t="s">
        <v>12837</v>
      </c>
      <c r="B4538" s="50" t="s">
        <v>12556</v>
      </c>
      <c r="C4538" s="50" t="s">
        <v>12835</v>
      </c>
      <c r="D4538" s="12" t="s">
        <v>9998</v>
      </c>
      <c r="E4538" s="12" t="s">
        <v>4971</v>
      </c>
      <c r="F4538" s="49">
        <v>29760</v>
      </c>
      <c r="G4538" s="77" t="s">
        <v>6299</v>
      </c>
      <c r="H4538" s="14" t="s">
        <v>5601</v>
      </c>
      <c r="I4538" s="14" t="s">
        <v>2458</v>
      </c>
      <c r="J4538" s="33" t="s">
        <v>7110</v>
      </c>
      <c r="K4538" s="33" t="s">
        <v>12928</v>
      </c>
      <c r="L4538" s="53" t="s">
        <v>6054</v>
      </c>
      <c r="M4538" s="68" t="s">
        <v>8913</v>
      </c>
      <c r="N4538" s="53" t="s">
        <v>6076</v>
      </c>
      <c r="O4538" s="53">
        <v>55301</v>
      </c>
      <c r="P4538" s="198" t="s">
        <v>12222</v>
      </c>
    </row>
    <row r="4539" spans="1:16" ht="18.75" hidden="1">
      <c r="A4539" s="50" t="s">
        <v>12838</v>
      </c>
      <c r="B4539" s="50" t="s">
        <v>12542</v>
      </c>
      <c r="C4539" s="50" t="s">
        <v>12801</v>
      </c>
      <c r="D4539" s="12" t="s">
        <v>12538</v>
      </c>
      <c r="E4539" s="12" t="s">
        <v>4971</v>
      </c>
      <c r="F4539" s="49">
        <v>22280</v>
      </c>
      <c r="G4539" s="77" t="s">
        <v>6454</v>
      </c>
      <c r="H4539" s="14" t="s">
        <v>5601</v>
      </c>
      <c r="I4539" s="14" t="s">
        <v>2458</v>
      </c>
      <c r="J4539" s="33" t="s">
        <v>7110</v>
      </c>
      <c r="K4539" s="33" t="s">
        <v>12928</v>
      </c>
      <c r="L4539" s="53" t="s">
        <v>6054</v>
      </c>
      <c r="M4539" s="68" t="s">
        <v>8912</v>
      </c>
      <c r="N4539" s="53" t="s">
        <v>6285</v>
      </c>
      <c r="O4539" s="53">
        <v>55200</v>
      </c>
      <c r="P4539" s="198" t="s">
        <v>12414</v>
      </c>
    </row>
    <row r="4540" spans="1:16" ht="18.75" hidden="1">
      <c r="A4540" s="50" t="s">
        <v>12832</v>
      </c>
      <c r="B4540" s="50" t="s">
        <v>12513</v>
      </c>
      <c r="C4540" s="50" t="s">
        <v>12658</v>
      </c>
      <c r="D4540" s="12" t="s">
        <v>12583</v>
      </c>
      <c r="E4540" s="12" t="s">
        <v>4971</v>
      </c>
      <c r="F4540" s="49">
        <v>309000</v>
      </c>
      <c r="G4540" s="77" t="s">
        <v>6454</v>
      </c>
      <c r="H4540" s="14" t="s">
        <v>5601</v>
      </c>
      <c r="I4540" s="14" t="s">
        <v>2458</v>
      </c>
      <c r="J4540" s="33" t="s">
        <v>7110</v>
      </c>
      <c r="K4540" s="33" t="s">
        <v>12928</v>
      </c>
      <c r="L4540" s="53" t="s">
        <v>6054</v>
      </c>
      <c r="M4540" s="68" t="s">
        <v>8912</v>
      </c>
      <c r="N4540" s="53" t="s">
        <v>6076</v>
      </c>
      <c r="O4540" s="53">
        <v>55301</v>
      </c>
      <c r="P4540" s="198" t="s">
        <v>12221</v>
      </c>
    </row>
    <row r="4541" spans="1:16" ht="18.75" hidden="1">
      <c r="A4541" s="50" t="s">
        <v>12838</v>
      </c>
      <c r="B4541" s="50" t="s">
        <v>12542</v>
      </c>
      <c r="C4541" s="50" t="s">
        <v>12618</v>
      </c>
      <c r="D4541" s="12" t="s">
        <v>12525</v>
      </c>
      <c r="E4541" s="12" t="s">
        <v>4971</v>
      </c>
      <c r="F4541" s="49">
        <v>225450</v>
      </c>
      <c r="G4541" s="77" t="s">
        <v>6454</v>
      </c>
      <c r="H4541" s="14" t="s">
        <v>5601</v>
      </c>
      <c r="I4541" s="14" t="s">
        <v>2458</v>
      </c>
      <c r="J4541" s="33" t="s">
        <v>7110</v>
      </c>
      <c r="K4541" s="33" t="s">
        <v>12928</v>
      </c>
      <c r="L4541" s="53" t="s">
        <v>6054</v>
      </c>
      <c r="M4541" s="68" t="s">
        <v>8912</v>
      </c>
      <c r="N4541" s="53" t="s">
        <v>6285</v>
      </c>
      <c r="O4541" s="53">
        <v>55200</v>
      </c>
      <c r="P4541" s="198" t="s">
        <v>12414</v>
      </c>
    </row>
    <row r="4542" spans="1:16" ht="18.75" hidden="1">
      <c r="A4542" s="50" t="s">
        <v>12834</v>
      </c>
      <c r="B4542" s="50" t="s">
        <v>12542</v>
      </c>
      <c r="C4542" s="50" t="s">
        <v>12839</v>
      </c>
      <c r="D4542" s="12" t="s">
        <v>5457</v>
      </c>
      <c r="E4542" s="12" t="s">
        <v>4971</v>
      </c>
      <c r="F4542" s="49">
        <v>7857</v>
      </c>
      <c r="G4542" s="77" t="s">
        <v>11061</v>
      </c>
      <c r="H4542" s="14" t="s">
        <v>5601</v>
      </c>
      <c r="I4542" s="14" t="s">
        <v>2458</v>
      </c>
      <c r="J4542" s="33" t="s">
        <v>7110</v>
      </c>
      <c r="K4542" s="33" t="s">
        <v>12928</v>
      </c>
      <c r="L4542" s="53" t="s">
        <v>6054</v>
      </c>
      <c r="M4542" s="68" t="s">
        <v>8913</v>
      </c>
      <c r="N4542" s="53" t="s">
        <v>6076</v>
      </c>
      <c r="O4542" s="53">
        <v>55301</v>
      </c>
      <c r="P4542" s="198" t="s">
        <v>5811</v>
      </c>
    </row>
    <row r="4543" spans="1:16" ht="18.75" hidden="1">
      <c r="A4543" s="50" t="s">
        <v>12834</v>
      </c>
      <c r="B4543" s="50" t="s">
        <v>12542</v>
      </c>
      <c r="C4543" s="50" t="s">
        <v>12821</v>
      </c>
      <c r="D4543" s="12" t="s">
        <v>12560</v>
      </c>
      <c r="E4543" s="12" t="s">
        <v>4971</v>
      </c>
      <c r="F4543" s="49">
        <v>692963</v>
      </c>
      <c r="G4543" s="77" t="s">
        <v>6453</v>
      </c>
      <c r="H4543" s="14" t="s">
        <v>5601</v>
      </c>
      <c r="I4543" s="14" t="s">
        <v>2458</v>
      </c>
      <c r="J4543" s="33" t="s">
        <v>7110</v>
      </c>
      <c r="K4543" s="33" t="s">
        <v>12928</v>
      </c>
      <c r="L4543" s="53" t="s">
        <v>6054</v>
      </c>
      <c r="M4543" s="68" t="s">
        <v>8913</v>
      </c>
      <c r="N4543" s="53" t="s">
        <v>6076</v>
      </c>
      <c r="O4543" s="53">
        <v>55301</v>
      </c>
      <c r="P4543" s="198" t="s">
        <v>12306</v>
      </c>
    </row>
    <row r="4544" spans="1:16" ht="18.75" hidden="1">
      <c r="A4544" s="50" t="s">
        <v>12840</v>
      </c>
      <c r="B4544" s="50" t="s">
        <v>12705</v>
      </c>
      <c r="C4544" s="50" t="s">
        <v>12841</v>
      </c>
      <c r="D4544" s="12" t="s">
        <v>12530</v>
      </c>
      <c r="E4544" s="12" t="s">
        <v>4971</v>
      </c>
      <c r="F4544" s="49">
        <v>80000</v>
      </c>
      <c r="G4544" s="77" t="s">
        <v>6454</v>
      </c>
      <c r="H4544" s="14" t="s">
        <v>5601</v>
      </c>
      <c r="I4544" s="14" t="s">
        <v>2458</v>
      </c>
      <c r="J4544" s="33" t="s">
        <v>7110</v>
      </c>
      <c r="K4544" s="33" t="s">
        <v>12928</v>
      </c>
      <c r="L4544" s="53" t="s">
        <v>6054</v>
      </c>
      <c r="M4544" s="68" t="s">
        <v>8912</v>
      </c>
      <c r="N4544" s="53" t="s">
        <v>6076</v>
      </c>
      <c r="O4544" s="53">
        <v>55301</v>
      </c>
      <c r="P4544" s="198" t="s">
        <v>12663</v>
      </c>
    </row>
    <row r="4545" spans="1:16" ht="18.75" hidden="1">
      <c r="A4545" s="50" t="s">
        <v>12840</v>
      </c>
      <c r="B4545" s="50" t="s">
        <v>12705</v>
      </c>
      <c r="C4545" s="50" t="s">
        <v>12795</v>
      </c>
      <c r="D4545" s="12" t="s">
        <v>12542</v>
      </c>
      <c r="E4545" s="12" t="s">
        <v>4971</v>
      </c>
      <c r="F4545" s="49">
        <v>96390</v>
      </c>
      <c r="G4545" s="77" t="s">
        <v>6454</v>
      </c>
      <c r="H4545" s="14" t="s">
        <v>5601</v>
      </c>
      <c r="I4545" s="14" t="s">
        <v>2458</v>
      </c>
      <c r="J4545" s="33" t="s">
        <v>7110</v>
      </c>
      <c r="K4545" s="33" t="s">
        <v>12928</v>
      </c>
      <c r="L4545" s="53" t="s">
        <v>6054</v>
      </c>
      <c r="M4545" s="68" t="s">
        <v>8912</v>
      </c>
      <c r="N4545" s="53" t="s">
        <v>6076</v>
      </c>
      <c r="O4545" s="53">
        <v>55301</v>
      </c>
      <c r="P4545" s="198" t="s">
        <v>12414</v>
      </c>
    </row>
    <row r="4546" spans="1:16" ht="18.75" hidden="1">
      <c r="A4546" s="50" t="s">
        <v>12842</v>
      </c>
      <c r="B4546" s="50" t="s">
        <v>12711</v>
      </c>
      <c r="C4546" s="50" t="s">
        <v>12795</v>
      </c>
      <c r="D4546" s="12" t="s">
        <v>12542</v>
      </c>
      <c r="E4546" s="12" t="s">
        <v>4971</v>
      </c>
      <c r="F4546" s="49">
        <v>193560</v>
      </c>
      <c r="G4546" s="77" t="s">
        <v>6454</v>
      </c>
      <c r="H4546" s="14" t="s">
        <v>5601</v>
      </c>
      <c r="I4546" s="14" t="s">
        <v>2458</v>
      </c>
      <c r="J4546" s="33" t="s">
        <v>7110</v>
      </c>
      <c r="K4546" s="33" t="s">
        <v>12928</v>
      </c>
      <c r="L4546" s="53" t="s">
        <v>6054</v>
      </c>
      <c r="M4546" s="68" t="s">
        <v>8913</v>
      </c>
      <c r="N4546" s="53" t="s">
        <v>6076</v>
      </c>
      <c r="O4546" s="53">
        <v>55301</v>
      </c>
      <c r="P4546" s="198" t="s">
        <v>12414</v>
      </c>
    </row>
    <row r="4547" spans="1:16" ht="18.75" hidden="1">
      <c r="A4547" s="50" t="s">
        <v>12842</v>
      </c>
      <c r="B4547" s="50" t="s">
        <v>12711</v>
      </c>
      <c r="C4547" s="50" t="s">
        <v>12843</v>
      </c>
      <c r="D4547" s="12" t="s">
        <v>12717</v>
      </c>
      <c r="E4547" s="12" t="s">
        <v>4971</v>
      </c>
      <c r="F4547" s="49">
        <v>46630</v>
      </c>
      <c r="G4547" s="77" t="s">
        <v>6453</v>
      </c>
      <c r="H4547" s="14" t="s">
        <v>5601</v>
      </c>
      <c r="I4547" s="14" t="s">
        <v>2458</v>
      </c>
      <c r="J4547" s="33" t="s">
        <v>7110</v>
      </c>
      <c r="K4547" s="33" t="s">
        <v>12928</v>
      </c>
      <c r="L4547" s="53" t="s">
        <v>6054</v>
      </c>
      <c r="M4547" s="68" t="s">
        <v>8913</v>
      </c>
      <c r="N4547" s="53" t="s">
        <v>6076</v>
      </c>
      <c r="O4547" s="53">
        <v>55301</v>
      </c>
      <c r="P4547" s="198" t="s">
        <v>12673</v>
      </c>
    </row>
    <row r="4548" spans="1:16" ht="18.75" hidden="1">
      <c r="A4548" s="50" t="s">
        <v>12844</v>
      </c>
      <c r="B4548" s="50" t="s">
        <v>12717</v>
      </c>
      <c r="C4548" s="50" t="s">
        <v>12821</v>
      </c>
      <c r="D4548" s="12" t="s">
        <v>12560</v>
      </c>
      <c r="E4548" s="12" t="s">
        <v>4971</v>
      </c>
      <c r="F4548" s="49">
        <v>10480</v>
      </c>
      <c r="G4548" s="77" t="s">
        <v>6453</v>
      </c>
      <c r="H4548" s="14" t="s">
        <v>5601</v>
      </c>
      <c r="I4548" s="14" t="s">
        <v>2458</v>
      </c>
      <c r="J4548" s="33" t="s">
        <v>7110</v>
      </c>
      <c r="K4548" s="33" t="s">
        <v>12928</v>
      </c>
      <c r="L4548" s="53" t="s">
        <v>6054</v>
      </c>
      <c r="M4548" s="68" t="s">
        <v>8913</v>
      </c>
      <c r="N4548" s="53" t="s">
        <v>6076</v>
      </c>
      <c r="O4548" s="53">
        <v>55301</v>
      </c>
      <c r="P4548" s="198" t="s">
        <v>12306</v>
      </c>
    </row>
    <row r="4549" spans="1:16" ht="18.75" hidden="1">
      <c r="A4549" s="50" t="s">
        <v>12844</v>
      </c>
      <c r="B4549" s="50" t="s">
        <v>12717</v>
      </c>
      <c r="C4549" s="50" t="s">
        <v>12617</v>
      </c>
      <c r="D4549" s="12" t="s">
        <v>12481</v>
      </c>
      <c r="E4549" s="12" t="s">
        <v>4971</v>
      </c>
      <c r="F4549" s="49">
        <v>27047</v>
      </c>
      <c r="G4549" s="77" t="s">
        <v>6453</v>
      </c>
      <c r="H4549" s="14" t="s">
        <v>5601</v>
      </c>
      <c r="I4549" s="14" t="s">
        <v>2458</v>
      </c>
      <c r="J4549" s="33" t="s">
        <v>7110</v>
      </c>
      <c r="K4549" s="33" t="s">
        <v>12928</v>
      </c>
      <c r="L4549" s="53" t="s">
        <v>6054</v>
      </c>
      <c r="M4549" s="68" t="s">
        <v>8913</v>
      </c>
      <c r="N4549" s="53" t="s">
        <v>6076</v>
      </c>
      <c r="O4549" s="53">
        <v>55301</v>
      </c>
      <c r="P4549" s="198" t="s">
        <v>12306</v>
      </c>
    </row>
    <row r="4550" spans="1:16" ht="18.75" hidden="1">
      <c r="A4550" s="50" t="s">
        <v>12844</v>
      </c>
      <c r="B4550" s="50" t="s">
        <v>12717</v>
      </c>
      <c r="C4550" s="50" t="s">
        <v>12802</v>
      </c>
      <c r="D4550" s="12" t="s">
        <v>12649</v>
      </c>
      <c r="E4550" s="12" t="s">
        <v>4971</v>
      </c>
      <c r="F4550" s="49">
        <v>43803</v>
      </c>
      <c r="G4550" s="77" t="s">
        <v>6453</v>
      </c>
      <c r="H4550" s="14" t="s">
        <v>5601</v>
      </c>
      <c r="I4550" s="14" t="s">
        <v>2458</v>
      </c>
      <c r="J4550" s="33" t="s">
        <v>7110</v>
      </c>
      <c r="K4550" s="33" t="s">
        <v>12928</v>
      </c>
      <c r="L4550" s="53" t="s">
        <v>6054</v>
      </c>
      <c r="M4550" s="68" t="s">
        <v>8913</v>
      </c>
      <c r="N4550" s="53" t="s">
        <v>6076</v>
      </c>
      <c r="O4550" s="53">
        <v>55301</v>
      </c>
      <c r="P4550" s="198" t="s">
        <v>12306</v>
      </c>
    </row>
    <row r="4551" spans="1:16" ht="18.75" hidden="1">
      <c r="A4551" s="50" t="s">
        <v>12844</v>
      </c>
      <c r="B4551" s="50" t="s">
        <v>12717</v>
      </c>
      <c r="C4551" s="50" t="s">
        <v>12845</v>
      </c>
      <c r="D4551" s="12" t="s">
        <v>12530</v>
      </c>
      <c r="E4551" s="12" t="s">
        <v>4971</v>
      </c>
      <c r="F4551" s="49">
        <v>300000</v>
      </c>
      <c r="G4551" s="77" t="s">
        <v>6453</v>
      </c>
      <c r="H4551" s="14" t="s">
        <v>5601</v>
      </c>
      <c r="I4551" s="14" t="s">
        <v>2458</v>
      </c>
      <c r="J4551" s="33" t="s">
        <v>7110</v>
      </c>
      <c r="K4551" s="33" t="s">
        <v>12928</v>
      </c>
      <c r="L4551" s="53" t="s">
        <v>6054</v>
      </c>
      <c r="M4551" s="68" t="s">
        <v>8913</v>
      </c>
      <c r="N4551" s="53" t="s">
        <v>6076</v>
      </c>
      <c r="O4551" s="53">
        <v>55301</v>
      </c>
      <c r="P4551" s="198" t="s">
        <v>12306</v>
      </c>
    </row>
    <row r="4552" spans="1:16" ht="18.75" hidden="1">
      <c r="A4552" s="50" t="s">
        <v>12844</v>
      </c>
      <c r="B4552" s="50" t="s">
        <v>12717</v>
      </c>
      <c r="C4552" s="50" t="s">
        <v>12650</v>
      </c>
      <c r="D4552" s="12" t="s">
        <v>12525</v>
      </c>
      <c r="E4552" s="12" t="s">
        <v>4971</v>
      </c>
      <c r="F4552" s="49">
        <v>143350</v>
      </c>
      <c r="G4552" s="77" t="s">
        <v>6453</v>
      </c>
      <c r="H4552" s="14" t="s">
        <v>5601</v>
      </c>
      <c r="I4552" s="14" t="s">
        <v>2458</v>
      </c>
      <c r="J4552" s="33" t="s">
        <v>7110</v>
      </c>
      <c r="K4552" s="33" t="s">
        <v>12928</v>
      </c>
      <c r="L4552" s="53" t="s">
        <v>6054</v>
      </c>
      <c r="M4552" s="68" t="s">
        <v>8913</v>
      </c>
      <c r="N4552" s="53" t="s">
        <v>6076</v>
      </c>
      <c r="O4552" s="53">
        <v>55301</v>
      </c>
      <c r="P4552" s="198" t="s">
        <v>12306</v>
      </c>
    </row>
    <row r="4553" spans="1:16" ht="18.75" hidden="1">
      <c r="A4553" s="50" t="s">
        <v>12846</v>
      </c>
      <c r="B4553" s="50" t="s">
        <v>12699</v>
      </c>
      <c r="C4553" s="50" t="s">
        <v>12587</v>
      </c>
      <c r="D4553" s="12" t="s">
        <v>12477</v>
      </c>
      <c r="E4553" s="12" t="s">
        <v>4971</v>
      </c>
      <c r="F4553" s="49">
        <v>920</v>
      </c>
      <c r="G4553" s="77" t="s">
        <v>6300</v>
      </c>
      <c r="H4553" s="14" t="s">
        <v>5601</v>
      </c>
      <c r="I4553" s="14" t="s">
        <v>2458</v>
      </c>
      <c r="J4553" s="33" t="s">
        <v>7110</v>
      </c>
      <c r="K4553" s="33" t="s">
        <v>12928</v>
      </c>
      <c r="L4553" s="53" t="s">
        <v>6054</v>
      </c>
      <c r="M4553" s="68" t="s">
        <v>8913</v>
      </c>
      <c r="N4553" s="53" t="s">
        <v>6076</v>
      </c>
      <c r="O4553" s="53">
        <v>55301</v>
      </c>
      <c r="P4553" s="198" t="s">
        <v>12220</v>
      </c>
    </row>
    <row r="4554" spans="1:16" ht="18.75" hidden="1">
      <c r="A4554" s="50" t="s">
        <v>12840</v>
      </c>
      <c r="B4554" s="50" t="s">
        <v>12705</v>
      </c>
      <c r="C4554" s="50" t="s">
        <v>12806</v>
      </c>
      <c r="D4554" s="12" t="s">
        <v>12530</v>
      </c>
      <c r="E4554" s="12" t="s">
        <v>4971</v>
      </c>
      <c r="F4554" s="49">
        <v>59920</v>
      </c>
      <c r="G4554" s="77" t="s">
        <v>6454</v>
      </c>
      <c r="H4554" s="14" t="s">
        <v>5601</v>
      </c>
      <c r="I4554" s="14" t="s">
        <v>2458</v>
      </c>
      <c r="J4554" s="33" t="s">
        <v>7110</v>
      </c>
      <c r="K4554" s="33" t="s">
        <v>12928</v>
      </c>
      <c r="L4554" s="53" t="s">
        <v>6054</v>
      </c>
      <c r="M4554" s="68" t="s">
        <v>8912</v>
      </c>
      <c r="N4554" s="53" t="s">
        <v>6076</v>
      </c>
      <c r="O4554" s="53">
        <v>55301</v>
      </c>
      <c r="P4554" s="198" t="s">
        <v>12414</v>
      </c>
    </row>
    <row r="4555" spans="1:16" ht="18.75" hidden="1">
      <c r="A4555" s="50" t="s">
        <v>12840</v>
      </c>
      <c r="B4555" s="50" t="s">
        <v>12705</v>
      </c>
      <c r="C4555" s="50" t="s">
        <v>12847</v>
      </c>
      <c r="D4555" s="12" t="s">
        <v>12695</v>
      </c>
      <c r="E4555" s="12" t="s">
        <v>4971</v>
      </c>
      <c r="F4555" s="49">
        <v>139960</v>
      </c>
      <c r="G4555" s="77" t="s">
        <v>6453</v>
      </c>
      <c r="H4555" s="14" t="s">
        <v>5601</v>
      </c>
      <c r="I4555" s="14" t="s">
        <v>2458</v>
      </c>
      <c r="J4555" s="33" t="s">
        <v>7110</v>
      </c>
      <c r="K4555" s="33" t="s">
        <v>12928</v>
      </c>
      <c r="L4555" s="53" t="s">
        <v>6054</v>
      </c>
      <c r="M4555" s="68" t="s">
        <v>8912</v>
      </c>
      <c r="N4555" s="53" t="s">
        <v>6076</v>
      </c>
      <c r="O4555" s="53">
        <v>55301</v>
      </c>
      <c r="P4555" s="198" t="s">
        <v>12306</v>
      </c>
    </row>
    <row r="4556" spans="1:16" ht="18.75" hidden="1">
      <c r="A4556" s="50" t="s">
        <v>12842</v>
      </c>
      <c r="B4556" s="50" t="s">
        <v>12711</v>
      </c>
      <c r="C4556" s="50" t="s">
        <v>12847</v>
      </c>
      <c r="D4556" s="12" t="s">
        <v>12695</v>
      </c>
      <c r="E4556" s="12" t="s">
        <v>4971</v>
      </c>
      <c r="F4556" s="49">
        <v>257250</v>
      </c>
      <c r="G4556" s="77" t="s">
        <v>6453</v>
      </c>
      <c r="H4556" s="14" t="s">
        <v>5601</v>
      </c>
      <c r="I4556" s="14" t="s">
        <v>2458</v>
      </c>
      <c r="J4556" s="33" t="s">
        <v>7110</v>
      </c>
      <c r="K4556" s="33" t="s">
        <v>12928</v>
      </c>
      <c r="L4556" s="53" t="s">
        <v>6054</v>
      </c>
      <c r="M4556" s="68" t="s">
        <v>8913</v>
      </c>
      <c r="N4556" s="53" t="s">
        <v>6076</v>
      </c>
      <c r="O4556" s="53">
        <v>55301</v>
      </c>
      <c r="P4556" s="198" t="s">
        <v>12306</v>
      </c>
    </row>
    <row r="4557" spans="1:16" ht="18.75" hidden="1">
      <c r="A4557" s="50" t="s">
        <v>12846</v>
      </c>
      <c r="B4557" s="50" t="s">
        <v>12699</v>
      </c>
      <c r="C4557" s="50" t="s">
        <v>12771</v>
      </c>
      <c r="D4557" s="12" t="s">
        <v>12691</v>
      </c>
      <c r="E4557" s="12" t="s">
        <v>4971</v>
      </c>
      <c r="F4557" s="49">
        <v>298850</v>
      </c>
      <c r="G4557" s="77" t="s">
        <v>6453</v>
      </c>
      <c r="H4557" s="14" t="s">
        <v>5601</v>
      </c>
      <c r="I4557" s="14" t="s">
        <v>2458</v>
      </c>
      <c r="J4557" s="33" t="s">
        <v>7110</v>
      </c>
      <c r="K4557" s="33" t="s">
        <v>12928</v>
      </c>
      <c r="L4557" s="53" t="s">
        <v>6054</v>
      </c>
      <c r="M4557" s="68" t="s">
        <v>8913</v>
      </c>
      <c r="N4557" s="53" t="s">
        <v>6076</v>
      </c>
      <c r="O4557" s="53">
        <v>55301</v>
      </c>
      <c r="P4557" s="198" t="s">
        <v>12306</v>
      </c>
    </row>
    <row r="4558" spans="1:16" ht="18.75" hidden="1">
      <c r="A4558" s="50" t="s">
        <v>12844</v>
      </c>
      <c r="B4558" s="50" t="s">
        <v>12717</v>
      </c>
      <c r="C4558" s="50" t="s">
        <v>12813</v>
      </c>
      <c r="D4558" s="12" t="s">
        <v>12530</v>
      </c>
      <c r="E4558" s="12" t="s">
        <v>4971</v>
      </c>
      <c r="F4558" s="49">
        <v>432460</v>
      </c>
      <c r="G4558" s="77" t="s">
        <v>6454</v>
      </c>
      <c r="H4558" s="14" t="s">
        <v>5601</v>
      </c>
      <c r="I4558" s="14" t="s">
        <v>2458</v>
      </c>
      <c r="J4558" s="33" t="s">
        <v>7110</v>
      </c>
      <c r="K4558" s="33" t="s">
        <v>12928</v>
      </c>
      <c r="L4558" s="53" t="s">
        <v>6054</v>
      </c>
      <c r="M4558" s="68" t="s">
        <v>8913</v>
      </c>
      <c r="N4558" s="53" t="s">
        <v>6076</v>
      </c>
      <c r="O4558" s="53">
        <v>55301</v>
      </c>
      <c r="P4558" s="198" t="s">
        <v>12414</v>
      </c>
    </row>
    <row r="4559" spans="1:16" ht="18.75" hidden="1">
      <c r="A4559" s="50" t="s">
        <v>12848</v>
      </c>
      <c r="B4559" s="50" t="s">
        <v>12701</v>
      </c>
      <c r="C4559" s="50" t="s">
        <v>12767</v>
      </c>
      <c r="D4559" s="12" t="s">
        <v>12406</v>
      </c>
      <c r="E4559" s="12" t="s">
        <v>4971</v>
      </c>
      <c r="F4559" s="49">
        <v>361380</v>
      </c>
      <c r="G4559" s="77" t="s">
        <v>6454</v>
      </c>
      <c r="H4559" s="14" t="s">
        <v>5601</v>
      </c>
      <c r="I4559" s="14" t="s">
        <v>2458</v>
      </c>
      <c r="J4559" s="33" t="s">
        <v>7110</v>
      </c>
      <c r="K4559" s="33" t="s">
        <v>12928</v>
      </c>
      <c r="L4559" s="53" t="s">
        <v>6054</v>
      </c>
      <c r="M4559" s="68" t="s">
        <v>8913</v>
      </c>
      <c r="N4559" s="53" t="s">
        <v>6076</v>
      </c>
      <c r="O4559" s="53">
        <v>55301</v>
      </c>
      <c r="P4559" s="198" t="s">
        <v>12414</v>
      </c>
    </row>
    <row r="4560" spans="1:16" ht="18.75" hidden="1">
      <c r="A4560" s="50" t="s">
        <v>12848</v>
      </c>
      <c r="B4560" s="50" t="s">
        <v>12701</v>
      </c>
      <c r="C4560" s="50" t="s">
        <v>12797</v>
      </c>
      <c r="D4560" s="12" t="s">
        <v>12691</v>
      </c>
      <c r="E4560" s="12" t="s">
        <v>4971</v>
      </c>
      <c r="F4560" s="49">
        <v>436340</v>
      </c>
      <c r="G4560" s="77" t="s">
        <v>6453</v>
      </c>
      <c r="H4560" s="14" t="s">
        <v>5601</v>
      </c>
      <c r="I4560" s="14" t="s">
        <v>2458</v>
      </c>
      <c r="J4560" s="33" t="s">
        <v>7110</v>
      </c>
      <c r="K4560" s="33" t="s">
        <v>12928</v>
      </c>
      <c r="L4560" s="53" t="s">
        <v>6054</v>
      </c>
      <c r="M4560" s="68" t="s">
        <v>8913</v>
      </c>
      <c r="N4560" s="53" t="s">
        <v>6076</v>
      </c>
      <c r="O4560" s="53">
        <v>55301</v>
      </c>
      <c r="P4560" s="198" t="s">
        <v>12306</v>
      </c>
    </row>
    <row r="4561" spans="1:16" ht="18.75" hidden="1">
      <c r="A4561" s="50" t="s">
        <v>12849</v>
      </c>
      <c r="B4561" s="50" t="s">
        <v>12601</v>
      </c>
      <c r="C4561" s="50" t="s">
        <v>12767</v>
      </c>
      <c r="D4561" s="12" t="s">
        <v>12406</v>
      </c>
      <c r="E4561" s="12" t="s">
        <v>4971</v>
      </c>
      <c r="F4561" s="49">
        <v>35080</v>
      </c>
      <c r="G4561" s="77" t="s">
        <v>6454</v>
      </c>
      <c r="H4561" s="14" t="s">
        <v>5601</v>
      </c>
      <c r="I4561" s="14" t="s">
        <v>2458</v>
      </c>
      <c r="J4561" s="33" t="s">
        <v>7110</v>
      </c>
      <c r="K4561" s="33" t="s">
        <v>12928</v>
      </c>
      <c r="L4561" s="53" t="s">
        <v>6054</v>
      </c>
      <c r="M4561" s="68" t="s">
        <v>8913</v>
      </c>
      <c r="N4561" s="53" t="s">
        <v>6076</v>
      </c>
      <c r="O4561" s="53">
        <v>55301</v>
      </c>
      <c r="P4561" s="198" t="s">
        <v>12414</v>
      </c>
    </row>
    <row r="4562" spans="1:16" ht="18.75" hidden="1">
      <c r="A4562" s="50" t="s">
        <v>12850</v>
      </c>
      <c r="B4562" s="50" t="s">
        <v>12705</v>
      </c>
      <c r="C4562" s="50" t="s">
        <v>12816</v>
      </c>
      <c r="D4562" s="12" t="s">
        <v>12695</v>
      </c>
      <c r="E4562" s="12" t="s">
        <v>4971</v>
      </c>
      <c r="F4562" s="49">
        <v>274950</v>
      </c>
      <c r="G4562" s="77" t="s">
        <v>6453</v>
      </c>
      <c r="H4562" s="14" t="s">
        <v>5601</v>
      </c>
      <c r="I4562" s="14" t="s">
        <v>2458</v>
      </c>
      <c r="J4562" s="33" t="s">
        <v>7110</v>
      </c>
      <c r="K4562" s="33" t="s">
        <v>12928</v>
      </c>
      <c r="L4562" s="53" t="s">
        <v>6054</v>
      </c>
      <c r="M4562" s="68" t="s">
        <v>8913</v>
      </c>
      <c r="N4562" s="53" t="s">
        <v>6076</v>
      </c>
      <c r="O4562" s="53">
        <v>55301</v>
      </c>
      <c r="P4562" s="198" t="s">
        <v>12306</v>
      </c>
    </row>
    <row r="4563" spans="1:16" ht="18.75" hidden="1">
      <c r="A4563" s="50" t="s">
        <v>12849</v>
      </c>
      <c r="B4563" s="50" t="s">
        <v>12601</v>
      </c>
      <c r="C4563" s="50" t="s">
        <v>12801</v>
      </c>
      <c r="D4563" s="12" t="s">
        <v>12538</v>
      </c>
      <c r="E4563" s="12" t="s">
        <v>4971</v>
      </c>
      <c r="F4563" s="49">
        <v>63440</v>
      </c>
      <c r="G4563" s="77" t="s">
        <v>6454</v>
      </c>
      <c r="H4563" s="14" t="s">
        <v>5601</v>
      </c>
      <c r="I4563" s="14" t="s">
        <v>2458</v>
      </c>
      <c r="J4563" s="33" t="s">
        <v>7110</v>
      </c>
      <c r="K4563" s="33" t="s">
        <v>12928</v>
      </c>
      <c r="L4563" s="53" t="s">
        <v>6054</v>
      </c>
      <c r="M4563" s="68" t="s">
        <v>8913</v>
      </c>
      <c r="N4563" s="53" t="s">
        <v>6076</v>
      </c>
      <c r="O4563" s="53">
        <v>55301</v>
      </c>
      <c r="P4563" s="198" t="s">
        <v>12414</v>
      </c>
    </row>
    <row r="4564" spans="1:16" ht="18.75" hidden="1">
      <c r="A4564" s="50" t="s">
        <v>12849</v>
      </c>
      <c r="B4564" s="50" t="s">
        <v>12601</v>
      </c>
      <c r="C4564" s="50" t="s">
        <v>12785</v>
      </c>
      <c r="D4564" s="12" t="s">
        <v>12556</v>
      </c>
      <c r="E4564" s="12" t="s">
        <v>4971</v>
      </c>
      <c r="F4564" s="49">
        <v>768580</v>
      </c>
      <c r="G4564" s="77" t="s">
        <v>6453</v>
      </c>
      <c r="H4564" s="14" t="s">
        <v>5601</v>
      </c>
      <c r="I4564" s="14" t="s">
        <v>2458</v>
      </c>
      <c r="J4564" s="33" t="s">
        <v>7110</v>
      </c>
      <c r="K4564" s="33" t="s">
        <v>12928</v>
      </c>
      <c r="L4564" s="53" t="s">
        <v>6054</v>
      </c>
      <c r="M4564" s="68" t="s">
        <v>8913</v>
      </c>
      <c r="N4564" s="53" t="s">
        <v>6076</v>
      </c>
      <c r="O4564" s="53">
        <v>55301</v>
      </c>
      <c r="P4564" s="198" t="s">
        <v>12306</v>
      </c>
    </row>
    <row r="4565" spans="1:16" ht="18.75" hidden="1">
      <c r="A4565" s="50" t="s">
        <v>12851</v>
      </c>
      <c r="B4565" s="50" t="s">
        <v>12705</v>
      </c>
      <c r="C4565" s="50" t="s">
        <v>12806</v>
      </c>
      <c r="D4565" s="12" t="s">
        <v>12530</v>
      </c>
      <c r="E4565" s="12" t="s">
        <v>4971</v>
      </c>
      <c r="F4565" s="49">
        <v>48270</v>
      </c>
      <c r="G4565" s="77" t="s">
        <v>6454</v>
      </c>
      <c r="H4565" s="14" t="s">
        <v>5601</v>
      </c>
      <c r="I4565" s="14" t="s">
        <v>2458</v>
      </c>
      <c r="J4565" s="33" t="s">
        <v>7110</v>
      </c>
      <c r="K4565" s="33" t="s">
        <v>12928</v>
      </c>
      <c r="L4565" s="53" t="s">
        <v>6054</v>
      </c>
      <c r="M4565" s="68" t="s">
        <v>8912</v>
      </c>
      <c r="N4565" s="53" t="s">
        <v>6286</v>
      </c>
      <c r="O4565" s="53">
        <v>55107</v>
      </c>
      <c r="P4565" s="198" t="s">
        <v>12414</v>
      </c>
    </row>
    <row r="4566" spans="1:16" ht="18.75" hidden="1">
      <c r="A4566" s="50" t="s">
        <v>12852</v>
      </c>
      <c r="B4566" s="50" t="s">
        <v>12701</v>
      </c>
      <c r="C4566" s="50" t="s">
        <v>12791</v>
      </c>
      <c r="D4566" s="12" t="s">
        <v>12736</v>
      </c>
      <c r="E4566" s="12" t="s">
        <v>4971</v>
      </c>
      <c r="F4566" s="49">
        <v>130460</v>
      </c>
      <c r="G4566" s="77" t="s">
        <v>12608</v>
      </c>
      <c r="H4566" s="14" t="s">
        <v>5601</v>
      </c>
      <c r="I4566" s="14" t="s">
        <v>2458</v>
      </c>
      <c r="J4566" s="33" t="s">
        <v>7110</v>
      </c>
      <c r="K4566" s="33" t="s">
        <v>12928</v>
      </c>
      <c r="L4566" s="53" t="s">
        <v>6054</v>
      </c>
      <c r="M4566" s="68" t="s">
        <v>8912</v>
      </c>
      <c r="N4566" s="53" t="s">
        <v>6076</v>
      </c>
      <c r="O4566" s="53">
        <v>55301</v>
      </c>
      <c r="P4566" s="198" t="s">
        <v>12425</v>
      </c>
    </row>
    <row r="4567" spans="1:16" ht="18.75" hidden="1">
      <c r="A4567" s="50" t="s">
        <v>12852</v>
      </c>
      <c r="B4567" s="50" t="s">
        <v>12701</v>
      </c>
      <c r="C4567" s="50" t="s">
        <v>12853</v>
      </c>
      <c r="D4567" s="12" t="s">
        <v>12736</v>
      </c>
      <c r="E4567" s="12" t="s">
        <v>4971</v>
      </c>
      <c r="F4567" s="49">
        <v>105820</v>
      </c>
      <c r="G4567" s="77" t="s">
        <v>12608</v>
      </c>
      <c r="H4567" s="14" t="s">
        <v>5601</v>
      </c>
      <c r="I4567" s="14" t="s">
        <v>2458</v>
      </c>
      <c r="J4567" s="33" t="s">
        <v>7110</v>
      </c>
      <c r="K4567" s="33" t="s">
        <v>12928</v>
      </c>
      <c r="L4567" s="53" t="s">
        <v>6054</v>
      </c>
      <c r="M4567" s="68" t="s">
        <v>8912</v>
      </c>
      <c r="N4567" s="53" t="s">
        <v>6076</v>
      </c>
      <c r="O4567" s="53">
        <v>55301</v>
      </c>
      <c r="P4567" s="198" t="s">
        <v>12677</v>
      </c>
    </row>
    <row r="4568" spans="1:16" ht="18.75" hidden="1">
      <c r="A4568" s="50" t="s">
        <v>12850</v>
      </c>
      <c r="B4568" s="50" t="s">
        <v>12705</v>
      </c>
      <c r="C4568" s="50" t="s">
        <v>12847</v>
      </c>
      <c r="D4568" s="12" t="s">
        <v>12695</v>
      </c>
      <c r="E4568" s="12" t="s">
        <v>4971</v>
      </c>
      <c r="F4568" s="49">
        <v>102790</v>
      </c>
      <c r="G4568" s="77" t="s">
        <v>6453</v>
      </c>
      <c r="H4568" s="14" t="s">
        <v>5601</v>
      </c>
      <c r="I4568" s="14" t="s">
        <v>2458</v>
      </c>
      <c r="J4568" s="33" t="s">
        <v>7110</v>
      </c>
      <c r="K4568" s="33" t="s">
        <v>12928</v>
      </c>
      <c r="L4568" s="53" t="s">
        <v>6054</v>
      </c>
      <c r="M4568" s="68" t="s">
        <v>8913</v>
      </c>
      <c r="N4568" s="53" t="s">
        <v>6076</v>
      </c>
      <c r="O4568" s="53">
        <v>55301</v>
      </c>
      <c r="P4568" s="198" t="s">
        <v>12306</v>
      </c>
    </row>
    <row r="4569" spans="1:16" ht="18.75" hidden="1">
      <c r="A4569" s="50" t="s">
        <v>12850</v>
      </c>
      <c r="B4569" s="50" t="s">
        <v>12705</v>
      </c>
      <c r="C4569" s="50" t="s">
        <v>12778</v>
      </c>
      <c r="D4569" s="12" t="s">
        <v>12560</v>
      </c>
      <c r="E4569" s="12" t="s">
        <v>4971</v>
      </c>
      <c r="F4569" s="49">
        <v>72860</v>
      </c>
      <c r="G4569" s="77" t="s">
        <v>6454</v>
      </c>
      <c r="H4569" s="14" t="s">
        <v>5601</v>
      </c>
      <c r="I4569" s="14" t="s">
        <v>2458</v>
      </c>
      <c r="J4569" s="33" t="s">
        <v>7110</v>
      </c>
      <c r="K4569" s="33" t="s">
        <v>12928</v>
      </c>
      <c r="L4569" s="53" t="s">
        <v>6054</v>
      </c>
      <c r="M4569" s="68" t="s">
        <v>8913</v>
      </c>
      <c r="N4569" s="53" t="s">
        <v>6076</v>
      </c>
      <c r="O4569" s="53">
        <v>55301</v>
      </c>
      <c r="P4569" s="198" t="s">
        <v>12414</v>
      </c>
    </row>
    <row r="4570" spans="1:16" ht="18.75" hidden="1">
      <c r="A4570" s="50" t="s">
        <v>12849</v>
      </c>
      <c r="B4570" s="50" t="s">
        <v>12601</v>
      </c>
      <c r="C4570" s="50" t="s">
        <v>12793</v>
      </c>
      <c r="D4570" s="12" t="s">
        <v>12406</v>
      </c>
      <c r="E4570" s="12" t="s">
        <v>4971</v>
      </c>
      <c r="F4570" s="49">
        <v>36640</v>
      </c>
      <c r="G4570" s="77" t="s">
        <v>6454</v>
      </c>
      <c r="H4570" s="14" t="s">
        <v>5601</v>
      </c>
      <c r="I4570" s="14" t="s">
        <v>2458</v>
      </c>
      <c r="J4570" s="33" t="s">
        <v>7110</v>
      </c>
      <c r="K4570" s="33" t="s">
        <v>12928</v>
      </c>
      <c r="L4570" s="53" t="s">
        <v>6054</v>
      </c>
      <c r="M4570" s="68" t="s">
        <v>8913</v>
      </c>
      <c r="N4570" s="53" t="s">
        <v>6076</v>
      </c>
      <c r="O4570" s="53">
        <v>55301</v>
      </c>
      <c r="P4570" s="198" t="s">
        <v>12414</v>
      </c>
    </row>
    <row r="4571" spans="1:16" ht="18.75" hidden="1">
      <c r="A4571" s="50" t="s">
        <v>12852</v>
      </c>
      <c r="B4571" s="50" t="s">
        <v>12701</v>
      </c>
      <c r="C4571" s="50" t="s">
        <v>12797</v>
      </c>
      <c r="D4571" s="12" t="s">
        <v>12691</v>
      </c>
      <c r="E4571" s="12" t="s">
        <v>4971</v>
      </c>
      <c r="F4571" s="49">
        <v>167850</v>
      </c>
      <c r="G4571" s="77" t="s">
        <v>6453</v>
      </c>
      <c r="H4571" s="14" t="s">
        <v>5601</v>
      </c>
      <c r="I4571" s="14" t="s">
        <v>2458</v>
      </c>
      <c r="J4571" s="33" t="s">
        <v>7110</v>
      </c>
      <c r="K4571" s="33" t="s">
        <v>12928</v>
      </c>
      <c r="L4571" s="53" t="s">
        <v>6054</v>
      </c>
      <c r="M4571" s="68" t="s">
        <v>8912</v>
      </c>
      <c r="N4571" s="53" t="s">
        <v>6076</v>
      </c>
      <c r="O4571" s="53">
        <v>55301</v>
      </c>
      <c r="P4571" s="198" t="s">
        <v>12306</v>
      </c>
    </row>
    <row r="4572" spans="1:16" ht="18.75" hidden="1">
      <c r="A4572" s="50" t="s">
        <v>12852</v>
      </c>
      <c r="B4572" s="50" t="s">
        <v>12701</v>
      </c>
      <c r="C4572" s="50" t="s">
        <v>12767</v>
      </c>
      <c r="D4572" s="12" t="s">
        <v>12406</v>
      </c>
      <c r="E4572" s="12" t="s">
        <v>4971</v>
      </c>
      <c r="F4572" s="49">
        <v>166790</v>
      </c>
      <c r="G4572" s="77" t="s">
        <v>6454</v>
      </c>
      <c r="H4572" s="14" t="s">
        <v>5601</v>
      </c>
      <c r="I4572" s="14" t="s">
        <v>2458</v>
      </c>
      <c r="J4572" s="33" t="s">
        <v>7110</v>
      </c>
      <c r="K4572" s="33" t="s">
        <v>12928</v>
      </c>
      <c r="L4572" s="53" t="s">
        <v>6054</v>
      </c>
      <c r="M4572" s="68" t="s">
        <v>8912</v>
      </c>
      <c r="N4572" s="53" t="s">
        <v>6076</v>
      </c>
      <c r="O4572" s="53">
        <v>55301</v>
      </c>
      <c r="P4572" s="198" t="s">
        <v>12414</v>
      </c>
    </row>
    <row r="4573" spans="1:16" ht="18.75" hidden="1">
      <c r="A4573" s="50" t="s">
        <v>12854</v>
      </c>
      <c r="B4573" s="50" t="s">
        <v>12711</v>
      </c>
      <c r="C4573" s="50" t="s">
        <v>12796</v>
      </c>
      <c r="D4573" s="12" t="s">
        <v>12691</v>
      </c>
      <c r="E4573" s="12" t="s">
        <v>4971</v>
      </c>
      <c r="F4573" s="49">
        <v>215590</v>
      </c>
      <c r="G4573" s="77" t="s">
        <v>6454</v>
      </c>
      <c r="H4573" s="14" t="s">
        <v>5601</v>
      </c>
      <c r="I4573" s="14" t="s">
        <v>2458</v>
      </c>
      <c r="J4573" s="33" t="s">
        <v>7110</v>
      </c>
      <c r="K4573" s="33" t="s">
        <v>12928</v>
      </c>
      <c r="L4573" s="53" t="s">
        <v>6054</v>
      </c>
      <c r="M4573" s="68" t="s">
        <v>8912</v>
      </c>
      <c r="N4573" s="53" t="s">
        <v>6076</v>
      </c>
      <c r="O4573" s="53">
        <v>55301</v>
      </c>
      <c r="P4573" s="198" t="s">
        <v>12414</v>
      </c>
    </row>
    <row r="4574" spans="1:16" ht="18.75" hidden="1">
      <c r="A4574" s="50" t="str">
        <f>"60503-181788"</f>
        <v>60503-181788</v>
      </c>
      <c r="B4574" s="50" t="str">
        <f>"96/11/20"</f>
        <v>96/11/20</v>
      </c>
      <c r="C4574" s="50" t="s">
        <v>12855</v>
      </c>
      <c r="D4574" s="12" t="s">
        <v>8833</v>
      </c>
      <c r="E4574" s="12" t="s">
        <v>4971</v>
      </c>
      <c r="F4574" s="49">
        <v>500000</v>
      </c>
      <c r="G4574" s="77" t="str">
        <f>"DAXON PETROLEUM"</f>
        <v>DAXON PETROLEUM</v>
      </c>
      <c r="H4574" s="14" t="s">
        <v>5601</v>
      </c>
      <c r="I4574" s="14" t="s">
        <v>2458</v>
      </c>
      <c r="J4574" s="33" t="s">
        <v>7110</v>
      </c>
      <c r="K4574" s="33" t="s">
        <v>12928</v>
      </c>
      <c r="L4574" s="53" t="str">
        <f t="shared" ref="L4574:L4583" si="106">" افغانستان"</f>
        <v xml:space="preserve"> افغانستان</v>
      </c>
      <c r="M4574" s="68" t="str">
        <f t="shared" ref="M4574:M4583" si="107">"بشكه"</f>
        <v>بشكه</v>
      </c>
      <c r="N4574" s="53" t="str">
        <f t="shared" ref="N4574:N4583" si="108">"منطقه ويژه دوغارون"</f>
        <v>منطقه ويژه دوغارون</v>
      </c>
      <c r="O4574" s="53">
        <v>60503</v>
      </c>
      <c r="P4574" s="198" t="s">
        <v>8725</v>
      </c>
    </row>
    <row r="4575" spans="1:16" ht="18.75" hidden="1">
      <c r="A4575" s="50" t="str">
        <f>"60503-181788"</f>
        <v>60503-181788</v>
      </c>
      <c r="B4575" s="50" t="str">
        <f>"96/11/20"</f>
        <v>96/11/20</v>
      </c>
      <c r="C4575" s="50" t="s">
        <v>12856</v>
      </c>
      <c r="D4575" s="12" t="s">
        <v>8770</v>
      </c>
      <c r="E4575" s="12" t="s">
        <v>4971</v>
      </c>
      <c r="F4575" s="49">
        <v>300000</v>
      </c>
      <c r="G4575" s="77" t="str">
        <f>"SHINING GREEN STAR FZE"</f>
        <v>SHINING GREEN STAR FZE</v>
      </c>
      <c r="H4575" s="14" t="s">
        <v>5601</v>
      </c>
      <c r="I4575" s="14" t="s">
        <v>2458</v>
      </c>
      <c r="J4575" s="33" t="s">
        <v>7110</v>
      </c>
      <c r="K4575" s="33" t="s">
        <v>12928</v>
      </c>
      <c r="L4575" s="53" t="str">
        <f t="shared" si="106"/>
        <v xml:space="preserve"> افغانستان</v>
      </c>
      <c r="M4575" s="68" t="str">
        <f t="shared" si="107"/>
        <v>بشكه</v>
      </c>
      <c r="N4575" s="53" t="str">
        <f t="shared" si="108"/>
        <v>منطقه ويژه دوغارون</v>
      </c>
      <c r="O4575" s="53">
        <v>60503</v>
      </c>
      <c r="P4575" s="198" t="s">
        <v>8497</v>
      </c>
    </row>
    <row r="4576" spans="1:16" ht="18.75" hidden="1">
      <c r="A4576" s="50" t="str">
        <f>"60503-183417"</f>
        <v>60503-183417</v>
      </c>
      <c r="B4576" s="50" t="str">
        <f>"96/11/02"</f>
        <v>96/11/02</v>
      </c>
      <c r="C4576" s="50" t="s">
        <v>12857</v>
      </c>
      <c r="D4576" s="12" t="s">
        <v>9881</v>
      </c>
      <c r="E4576" s="12" t="s">
        <v>4971</v>
      </c>
      <c r="F4576" s="49">
        <v>350000</v>
      </c>
      <c r="G4576" s="77" t="str">
        <f>"LLC Sebco Bitumen"</f>
        <v>LLC Sebco Bitumen</v>
      </c>
      <c r="H4576" s="14" t="s">
        <v>5601</v>
      </c>
      <c r="I4576" s="14" t="s">
        <v>2458</v>
      </c>
      <c r="J4576" s="33" t="s">
        <v>7110</v>
      </c>
      <c r="K4576" s="33" t="s">
        <v>12928</v>
      </c>
      <c r="L4576" s="53" t="str">
        <f t="shared" si="106"/>
        <v xml:space="preserve"> افغانستان</v>
      </c>
      <c r="M4576" s="68" t="str">
        <f t="shared" si="107"/>
        <v>بشكه</v>
      </c>
      <c r="N4576" s="53" t="str">
        <f t="shared" si="108"/>
        <v>منطقه ويژه دوغارون</v>
      </c>
      <c r="O4576" s="53">
        <v>60503</v>
      </c>
      <c r="P4576" s="198" t="s">
        <v>8698</v>
      </c>
    </row>
    <row r="4577" spans="1:16" ht="18.75" hidden="1">
      <c r="A4577" s="50" t="str">
        <f>"60503-181788"</f>
        <v>60503-181788</v>
      </c>
      <c r="B4577" s="50" t="str">
        <f>"96/11/20"</f>
        <v>96/11/20</v>
      </c>
      <c r="C4577" s="50" t="s">
        <v>12858</v>
      </c>
      <c r="D4577" s="12" t="s">
        <v>9881</v>
      </c>
      <c r="E4577" s="12" t="s">
        <v>4971</v>
      </c>
      <c r="F4577" s="49">
        <v>500000</v>
      </c>
      <c r="G4577" s="77" t="str">
        <f>"DAXON PETROLEUM"</f>
        <v>DAXON PETROLEUM</v>
      </c>
      <c r="H4577" s="14" t="s">
        <v>5601</v>
      </c>
      <c r="I4577" s="14" t="s">
        <v>2458</v>
      </c>
      <c r="J4577" s="33" t="s">
        <v>7110</v>
      </c>
      <c r="K4577" s="33" t="s">
        <v>12928</v>
      </c>
      <c r="L4577" s="53" t="str">
        <f t="shared" si="106"/>
        <v xml:space="preserve"> افغانستان</v>
      </c>
      <c r="M4577" s="68" t="str">
        <f t="shared" si="107"/>
        <v>بشكه</v>
      </c>
      <c r="N4577" s="53" t="str">
        <f t="shared" si="108"/>
        <v>منطقه ويژه دوغارون</v>
      </c>
      <c r="O4577" s="53">
        <v>60503</v>
      </c>
      <c r="P4577" s="198" t="s">
        <v>8726</v>
      </c>
    </row>
    <row r="4578" spans="1:16" ht="18.75" hidden="1">
      <c r="A4578" s="50" t="str">
        <f>"60503-181788"</f>
        <v>60503-181788</v>
      </c>
      <c r="B4578" s="50" t="str">
        <f>"96/11/20"</f>
        <v>96/11/20</v>
      </c>
      <c r="C4578" s="50" t="s">
        <v>12859</v>
      </c>
      <c r="D4578" s="12" t="s">
        <v>8793</v>
      </c>
      <c r="E4578" s="12" t="s">
        <v>4971</v>
      </c>
      <c r="F4578" s="49">
        <v>150000</v>
      </c>
      <c r="G4578" s="77" t="str">
        <f>"SHINING GREEN STAR FZE"</f>
        <v>SHINING GREEN STAR FZE</v>
      </c>
      <c r="H4578" s="14" t="s">
        <v>5601</v>
      </c>
      <c r="I4578" s="14" t="s">
        <v>2458</v>
      </c>
      <c r="J4578" s="33" t="s">
        <v>7110</v>
      </c>
      <c r="K4578" s="33" t="s">
        <v>12928</v>
      </c>
      <c r="L4578" s="53" t="str">
        <f t="shared" si="106"/>
        <v xml:space="preserve"> افغانستان</v>
      </c>
      <c r="M4578" s="68" t="str">
        <f t="shared" si="107"/>
        <v>بشكه</v>
      </c>
      <c r="N4578" s="53" t="str">
        <f t="shared" si="108"/>
        <v>منطقه ويژه دوغارون</v>
      </c>
      <c r="O4578" s="53">
        <v>60503</v>
      </c>
      <c r="P4578" s="198" t="s">
        <v>8497</v>
      </c>
    </row>
    <row r="4579" spans="1:16" ht="18.75" hidden="1">
      <c r="A4579" s="50" t="str">
        <f>"60503-183417"</f>
        <v>60503-183417</v>
      </c>
      <c r="B4579" s="50" t="str">
        <f>"96/11/02"</f>
        <v>96/11/02</v>
      </c>
      <c r="C4579" s="50" t="s">
        <v>12860</v>
      </c>
      <c r="D4579" s="12" t="s">
        <v>8793</v>
      </c>
      <c r="E4579" s="12" t="s">
        <v>4971</v>
      </c>
      <c r="F4579" s="49">
        <v>300000</v>
      </c>
      <c r="G4579" s="77" t="str">
        <f>"LLC Sebco Bitumen"</f>
        <v>LLC Sebco Bitumen</v>
      </c>
      <c r="H4579" s="14" t="s">
        <v>5601</v>
      </c>
      <c r="I4579" s="14" t="s">
        <v>2458</v>
      </c>
      <c r="J4579" s="33" t="s">
        <v>7110</v>
      </c>
      <c r="K4579" s="33" t="s">
        <v>12928</v>
      </c>
      <c r="L4579" s="53" t="str">
        <f t="shared" si="106"/>
        <v xml:space="preserve"> افغانستان</v>
      </c>
      <c r="M4579" s="68" t="str">
        <f t="shared" si="107"/>
        <v>بشكه</v>
      </c>
      <c r="N4579" s="53" t="str">
        <f t="shared" si="108"/>
        <v>منطقه ويژه دوغارون</v>
      </c>
      <c r="O4579" s="53">
        <v>60503</v>
      </c>
      <c r="P4579" s="198" t="s">
        <v>8698</v>
      </c>
    </row>
    <row r="4580" spans="1:16" ht="18.75" hidden="1">
      <c r="A4580" s="50" t="str">
        <f>"60503-168329"</f>
        <v>60503-168329</v>
      </c>
      <c r="B4580" s="50" t="str">
        <f>"96/07/24"</f>
        <v>96/07/24</v>
      </c>
      <c r="C4580" s="50" t="s">
        <v>12861</v>
      </c>
      <c r="D4580" s="12" t="s">
        <v>8627</v>
      </c>
      <c r="E4580" s="12" t="s">
        <v>4971</v>
      </c>
      <c r="F4580" s="49">
        <v>175000</v>
      </c>
      <c r="G4580" s="77" t="str">
        <f>"DAXON PETROLEUM"</f>
        <v>DAXON PETROLEUM</v>
      </c>
      <c r="H4580" s="14" t="s">
        <v>5601</v>
      </c>
      <c r="I4580" s="14" t="s">
        <v>2458</v>
      </c>
      <c r="J4580" s="33" t="s">
        <v>7110</v>
      </c>
      <c r="K4580" s="33" t="s">
        <v>12928</v>
      </c>
      <c r="L4580" s="53" t="str">
        <f t="shared" si="106"/>
        <v xml:space="preserve"> افغانستان</v>
      </c>
      <c r="M4580" s="68" t="str">
        <f t="shared" si="107"/>
        <v>بشكه</v>
      </c>
      <c r="N4580" s="53" t="str">
        <f t="shared" si="108"/>
        <v>منطقه ويژه دوغارون</v>
      </c>
      <c r="O4580" s="53">
        <v>60503</v>
      </c>
      <c r="P4580" s="198" t="s">
        <v>7234</v>
      </c>
    </row>
    <row r="4581" spans="1:16" ht="18.75" hidden="1">
      <c r="A4581" s="50" t="str">
        <f>"60503-168329"</f>
        <v>60503-168329</v>
      </c>
      <c r="B4581" s="50" t="str">
        <f>"96/07/24"</f>
        <v>96/07/24</v>
      </c>
      <c r="C4581" s="50" t="s">
        <v>12862</v>
      </c>
      <c r="D4581" s="12" t="s">
        <v>8767</v>
      </c>
      <c r="E4581" s="12" t="s">
        <v>4971</v>
      </c>
      <c r="F4581" s="49">
        <v>300000</v>
      </c>
      <c r="G4581" s="77" t="str">
        <f>"SHINING GREEN STAR FZE"</f>
        <v>SHINING GREEN STAR FZE</v>
      </c>
      <c r="H4581" s="14" t="s">
        <v>5601</v>
      </c>
      <c r="I4581" s="14" t="s">
        <v>2458</v>
      </c>
      <c r="J4581" s="33" t="s">
        <v>7110</v>
      </c>
      <c r="K4581" s="33" t="s">
        <v>12928</v>
      </c>
      <c r="L4581" s="53" t="str">
        <f t="shared" si="106"/>
        <v xml:space="preserve"> افغانستان</v>
      </c>
      <c r="M4581" s="68" t="str">
        <f t="shared" si="107"/>
        <v>بشكه</v>
      </c>
      <c r="N4581" s="53" t="str">
        <f t="shared" si="108"/>
        <v>منطقه ويژه دوغارون</v>
      </c>
      <c r="O4581" s="53">
        <v>60503</v>
      </c>
      <c r="P4581" s="198" t="s">
        <v>8497</v>
      </c>
    </row>
    <row r="4582" spans="1:16" ht="18.75" hidden="1">
      <c r="A4582" s="50" t="str">
        <f>"60503-168329"</f>
        <v>60503-168329</v>
      </c>
      <c r="B4582" s="50" t="str">
        <f>"96/07/24"</f>
        <v>96/07/24</v>
      </c>
      <c r="C4582" s="50" t="s">
        <v>12863</v>
      </c>
      <c r="D4582" s="12" t="s">
        <v>8618</v>
      </c>
      <c r="E4582" s="12" t="s">
        <v>4971</v>
      </c>
      <c r="F4582" s="49">
        <v>380000</v>
      </c>
      <c r="G4582" s="77" t="str">
        <f>"DAXON PETROLEUM"</f>
        <v>DAXON PETROLEUM</v>
      </c>
      <c r="H4582" s="14" t="s">
        <v>5601</v>
      </c>
      <c r="I4582" s="14" t="s">
        <v>2458</v>
      </c>
      <c r="J4582" s="33" t="s">
        <v>7110</v>
      </c>
      <c r="K4582" s="33" t="s">
        <v>12928</v>
      </c>
      <c r="L4582" s="53" t="str">
        <f t="shared" si="106"/>
        <v xml:space="preserve"> افغانستان</v>
      </c>
      <c r="M4582" s="68" t="str">
        <f t="shared" si="107"/>
        <v>بشكه</v>
      </c>
      <c r="N4582" s="53" t="str">
        <f t="shared" si="108"/>
        <v>منطقه ويژه دوغارون</v>
      </c>
      <c r="O4582" s="53">
        <v>60503</v>
      </c>
      <c r="P4582" s="198" t="s">
        <v>7121</v>
      </c>
    </row>
    <row r="4583" spans="1:16" ht="18.75" hidden="1">
      <c r="A4583" s="50" t="str">
        <f>"60503-168329"</f>
        <v>60503-168329</v>
      </c>
      <c r="B4583" s="50" t="str">
        <f>"96/07/24"</f>
        <v>96/07/24</v>
      </c>
      <c r="C4583" s="50" t="s">
        <v>12864</v>
      </c>
      <c r="D4583" s="12" t="s">
        <v>8627</v>
      </c>
      <c r="E4583" s="12" t="s">
        <v>4971</v>
      </c>
      <c r="F4583" s="49">
        <v>700000</v>
      </c>
      <c r="G4583" s="77" t="str">
        <f>"DAXON PETROLEUM"</f>
        <v>DAXON PETROLEUM</v>
      </c>
      <c r="H4583" s="14" t="s">
        <v>5601</v>
      </c>
      <c r="I4583" s="14" t="s">
        <v>2458</v>
      </c>
      <c r="J4583" s="33" t="s">
        <v>7110</v>
      </c>
      <c r="K4583" s="33" t="s">
        <v>12928</v>
      </c>
      <c r="L4583" s="53" t="str">
        <f t="shared" si="106"/>
        <v xml:space="preserve"> افغانستان</v>
      </c>
      <c r="M4583" s="68" t="str">
        <f t="shared" si="107"/>
        <v>بشكه</v>
      </c>
      <c r="N4583" s="53" t="str">
        <f t="shared" si="108"/>
        <v>منطقه ويژه دوغارون</v>
      </c>
      <c r="O4583" s="53">
        <v>60503</v>
      </c>
      <c r="P4583" s="198" t="s">
        <v>7234</v>
      </c>
    </row>
    <row r="4584" spans="1:16" ht="18.75" hidden="1">
      <c r="A4584" s="50" t="str">
        <f>"45100-775436"</f>
        <v>45100-775436</v>
      </c>
      <c r="B4584" s="50" t="str">
        <f>"96/11/18"</f>
        <v>96/11/18</v>
      </c>
      <c r="C4584" s="50" t="s">
        <v>12865</v>
      </c>
      <c r="D4584" s="12" t="s">
        <v>10012</v>
      </c>
      <c r="E4584" s="12" t="s">
        <v>4971</v>
      </c>
      <c r="F4584" s="49">
        <v>987538</v>
      </c>
      <c r="G4584" s="77" t="str">
        <f>"Black Gold Traders FZE"</f>
        <v>Black Gold Traders FZE</v>
      </c>
      <c r="H4584" s="14" t="s">
        <v>5601</v>
      </c>
      <c r="I4584" s="14" t="s">
        <v>2458</v>
      </c>
      <c r="J4584" s="33" t="s">
        <v>7110</v>
      </c>
      <c r="K4584" s="33" t="s">
        <v>12928</v>
      </c>
      <c r="L4584" s="53" t="str">
        <f>" امارات متحده عربي"</f>
        <v xml:space="preserve"> امارات متحده عربي</v>
      </c>
      <c r="M4584" s="68" t="str">
        <f>"فله"</f>
        <v>فله</v>
      </c>
      <c r="N4584" s="53" t="str">
        <f>"منطقه ويژه اقتصادي بوشهر 1"</f>
        <v>منطقه ويژه اقتصادي بوشهر 1</v>
      </c>
      <c r="O4584" s="53">
        <v>45100</v>
      </c>
      <c r="P4584" s="198" t="s">
        <v>12217</v>
      </c>
    </row>
    <row r="4585" spans="1:16" ht="18.75" hidden="1">
      <c r="A4585" s="50" t="str">
        <f>"50100-9918721"</f>
        <v>50100-9918721</v>
      </c>
      <c r="B4585" s="50" t="str">
        <f>"96/12/05"</f>
        <v>96/12/05</v>
      </c>
      <c r="C4585" s="50" t="s">
        <v>12866</v>
      </c>
      <c r="D4585" s="12" t="s">
        <v>12867</v>
      </c>
      <c r="E4585" s="12" t="s">
        <v>4971</v>
      </c>
      <c r="F4585" s="49">
        <v>978881</v>
      </c>
      <c r="G4585" s="77" t="str">
        <f>"LLC Sebco Bitumen"</f>
        <v>LLC Sebco Bitumen</v>
      </c>
      <c r="H4585" s="14" t="s">
        <v>5601</v>
      </c>
      <c r="I4585" s="14" t="s">
        <v>2458</v>
      </c>
      <c r="J4585" s="33" t="s">
        <v>7110</v>
      </c>
      <c r="K4585" s="33" t="s">
        <v>12928</v>
      </c>
      <c r="L4585" s="53" t="str">
        <f>"چين"</f>
        <v>چين</v>
      </c>
      <c r="M4585" s="68" t="str">
        <f t="shared" ref="M4585:M4598" si="109">"بشكه"</f>
        <v>بشكه</v>
      </c>
      <c r="N4585" s="53" t="str">
        <f t="shared" ref="N4585:N4648" si="110">"منطقه ويژه اقتصادي شهيد رجايي"</f>
        <v>منطقه ويژه اقتصادي شهيد رجايي</v>
      </c>
      <c r="O4585" s="53">
        <v>50100</v>
      </c>
      <c r="P4585" s="198" t="s">
        <v>12668</v>
      </c>
    </row>
    <row r="4586" spans="1:16" ht="18.75" hidden="1">
      <c r="A4586" s="50" t="str">
        <f>"50100-9910350"</f>
        <v>50100-9910350</v>
      </c>
      <c r="B4586" s="50" t="str">
        <f>"96/12/02"</f>
        <v>96/12/02</v>
      </c>
      <c r="C4586" s="50" t="s">
        <v>12868</v>
      </c>
      <c r="D4586" s="12" t="s">
        <v>12714</v>
      </c>
      <c r="E4586" s="12" t="s">
        <v>4971</v>
      </c>
      <c r="F4586" s="49">
        <v>493243</v>
      </c>
      <c r="G4586" s="77" t="str">
        <f>"Elixir General Trading FZE"</f>
        <v>Elixir General Trading FZE</v>
      </c>
      <c r="H4586" s="14" t="s">
        <v>5601</v>
      </c>
      <c r="I4586" s="14" t="s">
        <v>2458</v>
      </c>
      <c r="J4586" s="33" t="s">
        <v>7110</v>
      </c>
      <c r="K4586" s="33" t="s">
        <v>12928</v>
      </c>
      <c r="L4586" s="53" t="str">
        <f>"هند"</f>
        <v>هند</v>
      </c>
      <c r="M4586" s="68" t="str">
        <f t="shared" si="109"/>
        <v>بشكه</v>
      </c>
      <c r="N4586" s="53" t="str">
        <f t="shared" si="110"/>
        <v>منطقه ويژه اقتصادي شهيد رجايي</v>
      </c>
      <c r="O4586" s="53">
        <v>50100</v>
      </c>
      <c r="P4586" s="198" t="s">
        <v>5858</v>
      </c>
    </row>
    <row r="4587" spans="1:16" ht="18.75" hidden="1">
      <c r="A4587" s="50" t="str">
        <f>"50100-9915965"</f>
        <v>50100-9915965</v>
      </c>
      <c r="B4587" s="50" t="str">
        <f>"96/12/05"</f>
        <v>96/12/05</v>
      </c>
      <c r="C4587" s="50" t="s">
        <v>12328</v>
      </c>
      <c r="D4587" s="12" t="s">
        <v>9813</v>
      </c>
      <c r="E4587" s="12" t="s">
        <v>4971</v>
      </c>
      <c r="F4587" s="49">
        <v>321836</v>
      </c>
      <c r="G4587" s="77" t="str">
        <f>"SHINING GREEN STAR FZE"</f>
        <v>SHINING GREEN STAR FZE</v>
      </c>
      <c r="H4587" s="14" t="s">
        <v>5601</v>
      </c>
      <c r="I4587" s="14" t="s">
        <v>2458</v>
      </c>
      <c r="J4587" s="33" t="e">
        <f>VLOOKUP(C4587,شرکتها!A:B,2,FALSE)</f>
        <v>#N/A</v>
      </c>
      <c r="K4587" s="33" t="s">
        <v>12928</v>
      </c>
      <c r="L4587" s="53" t="str">
        <f>"هند"</f>
        <v>هند</v>
      </c>
      <c r="M4587" s="68" t="str">
        <f t="shared" si="109"/>
        <v>بشكه</v>
      </c>
      <c r="N4587" s="53" t="str">
        <f t="shared" si="110"/>
        <v>منطقه ويژه اقتصادي شهيد رجايي</v>
      </c>
      <c r="O4587" s="53">
        <v>50100</v>
      </c>
      <c r="P4587" s="198" t="s">
        <v>9770</v>
      </c>
    </row>
    <row r="4588" spans="1:16" ht="18.75" hidden="1">
      <c r="A4588" s="50" t="str">
        <f>"50100-9920354"</f>
        <v>50100-9920354</v>
      </c>
      <c r="B4588" s="50" t="str">
        <f>"96/12/05"</f>
        <v>96/12/05</v>
      </c>
      <c r="C4588" s="50" t="s">
        <v>12869</v>
      </c>
      <c r="D4588" s="12" t="s">
        <v>8617</v>
      </c>
      <c r="E4588" s="12" t="s">
        <v>4971</v>
      </c>
      <c r="F4588" s="49">
        <v>45740</v>
      </c>
      <c r="G4588" s="77" t="str">
        <f>"LLC Sebco Bitumen"</f>
        <v>LLC Sebco Bitumen</v>
      </c>
      <c r="H4588" s="14" t="s">
        <v>5601</v>
      </c>
      <c r="I4588" s="14" t="s">
        <v>2458</v>
      </c>
      <c r="J4588" s="33" t="s">
        <v>7110</v>
      </c>
      <c r="K4588" s="33" t="s">
        <v>12928</v>
      </c>
      <c r="L4588" s="53" t="str">
        <f>" امارات متحده عربي"</f>
        <v xml:space="preserve"> امارات متحده عربي</v>
      </c>
      <c r="M4588" s="68" t="str">
        <f t="shared" si="109"/>
        <v>بشكه</v>
      </c>
      <c r="N4588" s="53" t="str">
        <f t="shared" si="110"/>
        <v>منطقه ويژه اقتصادي شهيد رجايي</v>
      </c>
      <c r="O4588" s="53">
        <v>50100</v>
      </c>
      <c r="P4588" s="198" t="s">
        <v>7111</v>
      </c>
    </row>
    <row r="4589" spans="1:16" ht="18.75" hidden="1">
      <c r="A4589" s="50" t="str">
        <f>"50100-9915965"</f>
        <v>50100-9915965</v>
      </c>
      <c r="B4589" s="50" t="str">
        <f>"96/12/05"</f>
        <v>96/12/05</v>
      </c>
      <c r="C4589" s="50" t="s">
        <v>12870</v>
      </c>
      <c r="D4589" s="12" t="s">
        <v>9813</v>
      </c>
      <c r="E4589" s="12" t="s">
        <v>4971</v>
      </c>
      <c r="F4589" s="49">
        <v>173164</v>
      </c>
      <c r="G4589" s="77" t="str">
        <f>"SHINING GREEN STAR FZE"</f>
        <v>SHINING GREEN STAR FZE</v>
      </c>
      <c r="H4589" s="14" t="s">
        <v>5601</v>
      </c>
      <c r="I4589" s="14" t="s">
        <v>2458</v>
      </c>
      <c r="J4589" s="33" t="e">
        <f>VLOOKUP(C4589,شرکتها!A:B,2,FALSE)</f>
        <v>#N/A</v>
      </c>
      <c r="K4589" s="33" t="s">
        <v>12928</v>
      </c>
      <c r="L4589" s="53" t="str">
        <f>"هند"</f>
        <v>هند</v>
      </c>
      <c r="M4589" s="68" t="str">
        <f t="shared" si="109"/>
        <v>بشكه</v>
      </c>
      <c r="N4589" s="53" t="str">
        <f t="shared" si="110"/>
        <v>منطقه ويژه اقتصادي شهيد رجايي</v>
      </c>
      <c r="O4589" s="53">
        <v>50100</v>
      </c>
      <c r="P4589" s="198" t="s">
        <v>9770</v>
      </c>
    </row>
    <row r="4590" spans="1:16" ht="18.75" hidden="1">
      <c r="A4590" s="50" t="str">
        <f>"50100-9920354"</f>
        <v>50100-9920354</v>
      </c>
      <c r="B4590" s="50" t="str">
        <f>"96/12/05"</f>
        <v>96/12/05</v>
      </c>
      <c r="C4590" s="50" t="s">
        <v>12871</v>
      </c>
      <c r="D4590" s="12" t="s">
        <v>9825</v>
      </c>
      <c r="E4590" s="12" t="s">
        <v>4971</v>
      </c>
      <c r="F4590" s="49">
        <v>24819</v>
      </c>
      <c r="G4590" s="77" t="str">
        <f>"LLC Sebco Bitumen"</f>
        <v>LLC Sebco Bitumen</v>
      </c>
      <c r="H4590" s="14" t="s">
        <v>5601</v>
      </c>
      <c r="I4590" s="14" t="s">
        <v>2458</v>
      </c>
      <c r="J4590" s="33" t="s">
        <v>7110</v>
      </c>
      <c r="K4590" s="33" t="s">
        <v>12928</v>
      </c>
      <c r="L4590" s="53" t="str">
        <f>" امارات متحده عربي"</f>
        <v xml:space="preserve"> امارات متحده عربي</v>
      </c>
      <c r="M4590" s="68" t="str">
        <f t="shared" si="109"/>
        <v>بشكه</v>
      </c>
      <c r="N4590" s="53" t="str">
        <f t="shared" si="110"/>
        <v>منطقه ويژه اقتصادي شهيد رجايي</v>
      </c>
      <c r="O4590" s="53">
        <v>50100</v>
      </c>
      <c r="P4590" s="198" t="s">
        <v>8698</v>
      </c>
    </row>
    <row r="4591" spans="1:16" ht="18.75" hidden="1">
      <c r="A4591" s="50" t="str">
        <f>"50100-9966417"</f>
        <v>50100-9966417</v>
      </c>
      <c r="B4591" s="50" t="str">
        <f>"96/12/14"</f>
        <v>96/12/14</v>
      </c>
      <c r="C4591" s="50" t="s">
        <v>9728</v>
      </c>
      <c r="D4591" s="12" t="s">
        <v>8830</v>
      </c>
      <c r="E4591" s="12" t="s">
        <v>4971</v>
      </c>
      <c r="F4591" s="49">
        <v>7399</v>
      </c>
      <c r="G4591" s="77" t="str">
        <f>"Black Gold Traders FZE"</f>
        <v>Black Gold Traders FZE</v>
      </c>
      <c r="H4591" s="14" t="s">
        <v>5601</v>
      </c>
      <c r="I4591" s="14" t="s">
        <v>2458</v>
      </c>
      <c r="J4591" s="33" t="s">
        <v>7110</v>
      </c>
      <c r="K4591" s="33" t="s">
        <v>12928</v>
      </c>
      <c r="L4591" s="53" t="str">
        <f>"هند"</f>
        <v>هند</v>
      </c>
      <c r="M4591" s="68" t="str">
        <f t="shared" si="109"/>
        <v>بشكه</v>
      </c>
      <c r="N4591" s="53" t="str">
        <f t="shared" si="110"/>
        <v>منطقه ويژه اقتصادي شهيد رجايي</v>
      </c>
      <c r="O4591" s="53">
        <v>50100</v>
      </c>
      <c r="P4591" s="198" t="s">
        <v>8080</v>
      </c>
    </row>
    <row r="4592" spans="1:16" ht="18.75" hidden="1">
      <c r="A4592" s="50" t="str">
        <f>"50100-9966417"</f>
        <v>50100-9966417</v>
      </c>
      <c r="B4592" s="50" t="str">
        <f>"96/12/14"</f>
        <v>96/12/14</v>
      </c>
      <c r="C4592" s="50" t="s">
        <v>12872</v>
      </c>
      <c r="D4592" s="12" t="s">
        <v>9929</v>
      </c>
      <c r="E4592" s="12" t="s">
        <v>4971</v>
      </c>
      <c r="F4592" s="49">
        <v>221065</v>
      </c>
      <c r="G4592" s="77" t="str">
        <f>"Black Gold Traders FZE"</f>
        <v>Black Gold Traders FZE</v>
      </c>
      <c r="H4592" s="14" t="s">
        <v>5601</v>
      </c>
      <c r="I4592" s="14" t="s">
        <v>2458</v>
      </c>
      <c r="J4592" s="33" t="s">
        <v>7110</v>
      </c>
      <c r="K4592" s="33" t="s">
        <v>12928</v>
      </c>
      <c r="L4592" s="53" t="str">
        <f>"هند"</f>
        <v>هند</v>
      </c>
      <c r="M4592" s="68" t="str">
        <f t="shared" si="109"/>
        <v>بشكه</v>
      </c>
      <c r="N4592" s="53" t="str">
        <f t="shared" si="110"/>
        <v>منطقه ويژه اقتصادي شهيد رجايي</v>
      </c>
      <c r="O4592" s="53">
        <v>50100</v>
      </c>
      <c r="P4592" s="198" t="s">
        <v>8753</v>
      </c>
    </row>
    <row r="4593" spans="1:16" ht="18.75" hidden="1">
      <c r="A4593" s="50" t="str">
        <f>"50100-9966417"</f>
        <v>50100-9966417</v>
      </c>
      <c r="B4593" s="50" t="str">
        <f>"96/12/14"</f>
        <v>96/12/14</v>
      </c>
      <c r="C4593" s="50" t="s">
        <v>12873</v>
      </c>
      <c r="D4593" s="12" t="s">
        <v>12701</v>
      </c>
      <c r="E4593" s="12" t="s">
        <v>4971</v>
      </c>
      <c r="F4593" s="49">
        <v>10611</v>
      </c>
      <c r="G4593" s="77" t="str">
        <f>"Black Gold Traders FZE"</f>
        <v>Black Gold Traders FZE</v>
      </c>
      <c r="H4593" s="14" t="s">
        <v>5601</v>
      </c>
      <c r="I4593" s="14" t="s">
        <v>2458</v>
      </c>
      <c r="J4593" s="33" t="s">
        <v>7110</v>
      </c>
      <c r="K4593" s="33" t="s">
        <v>12928</v>
      </c>
      <c r="L4593" s="53" t="str">
        <f>"هند"</f>
        <v>هند</v>
      </c>
      <c r="M4593" s="68" t="str">
        <f t="shared" si="109"/>
        <v>بشكه</v>
      </c>
      <c r="N4593" s="53" t="str">
        <f t="shared" si="110"/>
        <v>منطقه ويژه اقتصادي شهيد رجايي</v>
      </c>
      <c r="O4593" s="53">
        <v>50100</v>
      </c>
      <c r="P4593" s="198" t="s">
        <v>12685</v>
      </c>
    </row>
    <row r="4594" spans="1:16" ht="18.75" hidden="1">
      <c r="A4594" s="50" t="str">
        <f>"50100-9915421"</f>
        <v>50100-9915421</v>
      </c>
      <c r="B4594" s="50" t="str">
        <f>"96/12/05"</f>
        <v>96/12/05</v>
      </c>
      <c r="C4594" s="50" t="s">
        <v>12874</v>
      </c>
      <c r="D4594" s="12" t="s">
        <v>12717</v>
      </c>
      <c r="E4594" s="12" t="s">
        <v>4971</v>
      </c>
      <c r="F4594" s="49">
        <v>492414</v>
      </c>
      <c r="G4594" s="77" t="str">
        <f>"Elixir General Trading FZE"</f>
        <v>Elixir General Trading FZE</v>
      </c>
      <c r="H4594" s="14" t="s">
        <v>5601</v>
      </c>
      <c r="I4594" s="14" t="s">
        <v>2458</v>
      </c>
      <c r="J4594" s="33" t="s">
        <v>7110</v>
      </c>
      <c r="K4594" s="33" t="s">
        <v>12928</v>
      </c>
      <c r="L4594" s="53" t="str">
        <f>"هند"</f>
        <v>هند</v>
      </c>
      <c r="M4594" s="68" t="str">
        <f t="shared" si="109"/>
        <v>بشكه</v>
      </c>
      <c r="N4594" s="53" t="str">
        <f t="shared" si="110"/>
        <v>منطقه ويژه اقتصادي شهيد رجايي</v>
      </c>
      <c r="O4594" s="53">
        <v>50100</v>
      </c>
      <c r="P4594" s="198" t="s">
        <v>5858</v>
      </c>
    </row>
    <row r="4595" spans="1:16" ht="18.75" hidden="1">
      <c r="A4595" s="50" t="str">
        <f>"50100-9948598"</f>
        <v>50100-9948598</v>
      </c>
      <c r="B4595" s="50" t="str">
        <f>"96/12/10"</f>
        <v>96/12/10</v>
      </c>
      <c r="C4595" s="50" t="s">
        <v>12875</v>
      </c>
      <c r="D4595" s="12" t="s">
        <v>12662</v>
      </c>
      <c r="E4595" s="12" t="s">
        <v>4971</v>
      </c>
      <c r="F4595" s="49">
        <v>400000</v>
      </c>
      <c r="G4595" s="77" t="str">
        <f>"AL MASAR PETROLUME L.L.C"</f>
        <v>AL MASAR PETROLUME L.L.C</v>
      </c>
      <c r="H4595" s="14" t="s">
        <v>5601</v>
      </c>
      <c r="I4595" s="14" t="s">
        <v>2458</v>
      </c>
      <c r="J4595" s="33" t="e">
        <f>VLOOKUP(C4595,شرکتها!A:B,2,FALSE)</f>
        <v>#N/A</v>
      </c>
      <c r="K4595" s="33" t="s">
        <v>12928</v>
      </c>
      <c r="L4595" s="53" t="str">
        <f>"کنيا"</f>
        <v>کنيا</v>
      </c>
      <c r="M4595" s="68" t="str">
        <f t="shared" si="109"/>
        <v>بشكه</v>
      </c>
      <c r="N4595" s="53" t="str">
        <f t="shared" si="110"/>
        <v>منطقه ويژه اقتصادي شهيد رجايي</v>
      </c>
      <c r="O4595" s="53">
        <v>50100</v>
      </c>
      <c r="P4595" s="198" t="s">
        <v>12684</v>
      </c>
    </row>
    <row r="4596" spans="1:16" ht="18.75" hidden="1">
      <c r="A4596" s="50" t="str">
        <f>"50100-9948598"</f>
        <v>50100-9948598</v>
      </c>
      <c r="B4596" s="50" t="str">
        <f>"96/12/10"</f>
        <v>96/12/10</v>
      </c>
      <c r="C4596" s="50" t="s">
        <v>12755</v>
      </c>
      <c r="D4596" s="12" t="s">
        <v>12536</v>
      </c>
      <c r="E4596" s="12" t="s">
        <v>4971</v>
      </c>
      <c r="F4596" s="49">
        <v>551350</v>
      </c>
      <c r="G4596" s="77" t="str">
        <f>"AL MASAR PETROLUME L.L.C"</f>
        <v>AL MASAR PETROLUME L.L.C</v>
      </c>
      <c r="H4596" s="14" t="s">
        <v>5601</v>
      </c>
      <c r="I4596" s="14" t="s">
        <v>2458</v>
      </c>
      <c r="J4596" s="33" t="e">
        <f>VLOOKUP(C4596,شرکتها!A:B,2,FALSE)</f>
        <v>#N/A</v>
      </c>
      <c r="K4596" s="33" t="s">
        <v>12928</v>
      </c>
      <c r="L4596" s="53" t="str">
        <f>"کنيا"</f>
        <v>کنيا</v>
      </c>
      <c r="M4596" s="68" t="str">
        <f t="shared" si="109"/>
        <v>بشكه</v>
      </c>
      <c r="N4596" s="53" t="str">
        <f t="shared" si="110"/>
        <v>منطقه ويژه اقتصادي شهيد رجايي</v>
      </c>
      <c r="O4596" s="53">
        <v>50100</v>
      </c>
      <c r="P4596" s="198" t="s">
        <v>12667</v>
      </c>
    </row>
    <row r="4597" spans="1:16" ht="18.75" hidden="1">
      <c r="A4597" s="50" t="str">
        <f>"50100-9960911"</f>
        <v>50100-9960911</v>
      </c>
      <c r="B4597" s="50" t="str">
        <f>"96/12/13"</f>
        <v>96/12/13</v>
      </c>
      <c r="C4597" s="50" t="s">
        <v>12876</v>
      </c>
      <c r="D4597" s="12" t="s">
        <v>12662</v>
      </c>
      <c r="E4597" s="12" t="s">
        <v>4971</v>
      </c>
      <c r="F4597" s="49">
        <v>436035</v>
      </c>
      <c r="G4597" s="77" t="str">
        <f>"AL MASAR PETROLUME L.L.C"</f>
        <v>AL MASAR PETROLUME L.L.C</v>
      </c>
      <c r="H4597" s="14" t="s">
        <v>5601</v>
      </c>
      <c r="I4597" s="14" t="s">
        <v>2458</v>
      </c>
      <c r="J4597" s="33" t="e">
        <f>VLOOKUP(C4597,شرکتها!A:B,2,FALSE)</f>
        <v>#N/A</v>
      </c>
      <c r="K4597" s="33" t="s">
        <v>12928</v>
      </c>
      <c r="L4597" s="53" t="str">
        <f>"بنگلادش"</f>
        <v>بنگلادش</v>
      </c>
      <c r="M4597" s="68" t="str">
        <f t="shared" si="109"/>
        <v>بشكه</v>
      </c>
      <c r="N4597" s="53" t="str">
        <f t="shared" si="110"/>
        <v>منطقه ويژه اقتصادي شهيد رجايي</v>
      </c>
      <c r="O4597" s="53">
        <v>50100</v>
      </c>
      <c r="P4597" s="198" t="s">
        <v>12684</v>
      </c>
    </row>
    <row r="4598" spans="1:16" ht="18.75" hidden="1">
      <c r="A4598" s="50" t="str">
        <f>"50100-9942816"</f>
        <v>50100-9942816</v>
      </c>
      <c r="B4598" s="50" t="str">
        <f>"96/12/09"</f>
        <v>96/12/09</v>
      </c>
      <c r="C4598" s="50" t="s">
        <v>9722</v>
      </c>
      <c r="D4598" s="12" t="s">
        <v>9723</v>
      </c>
      <c r="E4598" s="12" t="s">
        <v>4971</v>
      </c>
      <c r="F4598" s="49">
        <v>293681</v>
      </c>
      <c r="G4598" s="77" t="str">
        <f>"DAXON PETROLEUM"</f>
        <v>DAXON PETROLEUM</v>
      </c>
      <c r="H4598" s="14" t="s">
        <v>5601</v>
      </c>
      <c r="I4598" s="14" t="s">
        <v>2458</v>
      </c>
      <c r="J4598" s="33" t="s">
        <v>7110</v>
      </c>
      <c r="K4598" s="33" t="s">
        <v>12928</v>
      </c>
      <c r="L4598" s="53" t="str">
        <f>"شيلي"</f>
        <v>شيلي</v>
      </c>
      <c r="M4598" s="68" t="str">
        <f t="shared" si="109"/>
        <v>بشكه</v>
      </c>
      <c r="N4598" s="53" t="str">
        <f t="shared" si="110"/>
        <v>منطقه ويژه اقتصادي شهيد رجايي</v>
      </c>
      <c r="O4598" s="53">
        <v>50100</v>
      </c>
      <c r="P4598" s="198" t="s">
        <v>8726</v>
      </c>
    </row>
    <row r="4599" spans="1:16" ht="18.75" hidden="1">
      <c r="A4599" s="50" t="str">
        <f>"50100-9964463"</f>
        <v>50100-9964463</v>
      </c>
      <c r="B4599" s="50" t="str">
        <f>"96/12/14"</f>
        <v>96/12/14</v>
      </c>
      <c r="C4599" s="50" t="s">
        <v>12877</v>
      </c>
      <c r="D4599" s="12" t="s">
        <v>12878</v>
      </c>
      <c r="E4599" s="12" t="s">
        <v>4971</v>
      </c>
      <c r="F4599" s="49">
        <v>988802</v>
      </c>
      <c r="G4599" s="77" t="s">
        <v>6452</v>
      </c>
      <c r="H4599" s="14" t="s">
        <v>5601</v>
      </c>
      <c r="I4599" s="14" t="s">
        <v>2458</v>
      </c>
      <c r="J4599" s="33" t="e">
        <f>VLOOKUP(C4599,شرکتها!A:B,2,FALSE)</f>
        <v>#N/A</v>
      </c>
      <c r="K4599" s="33" t="s">
        <v>12928</v>
      </c>
      <c r="L4599" s="53" t="str">
        <f>"عمان"</f>
        <v>عمان</v>
      </c>
      <c r="M4599" s="68" t="str">
        <f>"فله"</f>
        <v>فله</v>
      </c>
      <c r="N4599" s="53" t="str">
        <f t="shared" si="110"/>
        <v>منطقه ويژه اقتصادي شهيد رجايي</v>
      </c>
      <c r="O4599" s="53">
        <v>50100</v>
      </c>
      <c r="P4599" s="198" t="s">
        <v>12664</v>
      </c>
    </row>
    <row r="4600" spans="1:16" ht="18.75" hidden="1">
      <c r="A4600" s="50" t="str">
        <f>"50100-9961632"</f>
        <v>50100-9961632</v>
      </c>
      <c r="B4600" s="50" t="str">
        <f>"96/12/13"</f>
        <v>96/12/13</v>
      </c>
      <c r="C4600" s="50" t="s">
        <v>12879</v>
      </c>
      <c r="D4600" s="12" t="s">
        <v>12880</v>
      </c>
      <c r="E4600" s="12" t="s">
        <v>4971</v>
      </c>
      <c r="F4600" s="49">
        <v>197351</v>
      </c>
      <c r="G4600" s="77" t="str">
        <f>"LLC Sebco Bitumen"</f>
        <v>LLC Sebco Bitumen</v>
      </c>
      <c r="H4600" s="14" t="s">
        <v>5601</v>
      </c>
      <c r="I4600" s="14" t="s">
        <v>2458</v>
      </c>
      <c r="J4600" s="33" t="s">
        <v>7110</v>
      </c>
      <c r="K4600" s="33" t="s">
        <v>12928</v>
      </c>
      <c r="L4600" s="53" t="str">
        <f>"تانزانيا"</f>
        <v>تانزانيا</v>
      </c>
      <c r="M4600" s="68" t="str">
        <f t="shared" ref="M4600:M4629" si="111">"بشكه"</f>
        <v>بشكه</v>
      </c>
      <c r="N4600" s="53" t="str">
        <f t="shared" si="110"/>
        <v>منطقه ويژه اقتصادي شهيد رجايي</v>
      </c>
      <c r="O4600" s="53">
        <v>50100</v>
      </c>
      <c r="P4600" s="198" t="s">
        <v>12668</v>
      </c>
    </row>
    <row r="4601" spans="1:16" ht="18.75" hidden="1">
      <c r="A4601" s="50" t="str">
        <f>"50100-9925588"</f>
        <v>50100-9925588</v>
      </c>
      <c r="B4601" s="50" t="str">
        <f>"96/12/06"</f>
        <v>96/12/06</v>
      </c>
      <c r="C4601" s="50" t="s">
        <v>12754</v>
      </c>
      <c r="D4601" s="12" t="s">
        <v>8767</v>
      </c>
      <c r="E4601" s="12" t="s">
        <v>4971</v>
      </c>
      <c r="F4601" s="49">
        <v>81200</v>
      </c>
      <c r="G4601" s="77" t="str">
        <f>"LLC Sebco Bitumen"</f>
        <v>LLC Sebco Bitumen</v>
      </c>
      <c r="H4601" s="14" t="s">
        <v>5601</v>
      </c>
      <c r="I4601" s="14" t="s">
        <v>2458</v>
      </c>
      <c r="J4601" s="33" t="s">
        <v>7110</v>
      </c>
      <c r="K4601" s="33" t="s">
        <v>12928</v>
      </c>
      <c r="L4601" s="53" t="str">
        <f>"هند"</f>
        <v>هند</v>
      </c>
      <c r="M4601" s="68" t="str">
        <f t="shared" si="111"/>
        <v>بشكه</v>
      </c>
      <c r="N4601" s="53" t="str">
        <f t="shared" si="110"/>
        <v>منطقه ويژه اقتصادي شهيد رجايي</v>
      </c>
      <c r="O4601" s="53">
        <v>50100</v>
      </c>
      <c r="P4601" s="198" t="s">
        <v>7175</v>
      </c>
    </row>
    <row r="4602" spans="1:16" ht="18.75" hidden="1">
      <c r="A4602" s="50" t="str">
        <f>"50100-9909469"</f>
        <v>50100-9909469</v>
      </c>
      <c r="B4602" s="50" t="str">
        <f>"96/12/02"</f>
        <v>96/12/02</v>
      </c>
      <c r="C4602" s="50" t="s">
        <v>12881</v>
      </c>
      <c r="D4602" s="12" t="s">
        <v>12867</v>
      </c>
      <c r="E4602" s="12" t="s">
        <v>4971</v>
      </c>
      <c r="F4602" s="49">
        <v>987987</v>
      </c>
      <c r="G4602" s="77" t="str">
        <f>"LLC Sebco Bitumen"</f>
        <v>LLC Sebco Bitumen</v>
      </c>
      <c r="H4602" s="14" t="s">
        <v>5601</v>
      </c>
      <c r="I4602" s="14" t="s">
        <v>2458</v>
      </c>
      <c r="J4602" s="33" t="s">
        <v>7110</v>
      </c>
      <c r="K4602" s="33" t="s">
        <v>12928</v>
      </c>
      <c r="L4602" s="53" t="str">
        <f>"چين"</f>
        <v>چين</v>
      </c>
      <c r="M4602" s="68" t="str">
        <f t="shared" si="111"/>
        <v>بشكه</v>
      </c>
      <c r="N4602" s="53" t="str">
        <f t="shared" si="110"/>
        <v>منطقه ويژه اقتصادي شهيد رجايي</v>
      </c>
      <c r="O4602" s="53">
        <v>50100</v>
      </c>
      <c r="P4602" s="198" t="s">
        <v>12429</v>
      </c>
    </row>
    <row r="4603" spans="1:16" ht="18.75" hidden="1">
      <c r="A4603" s="50" t="str">
        <f>"50100-9952750"</f>
        <v>50100-9952750</v>
      </c>
      <c r="B4603" s="50" t="str">
        <f>"96/12/12"</f>
        <v>96/12/12</v>
      </c>
      <c r="C4603" s="50" t="s">
        <v>12882</v>
      </c>
      <c r="D4603" s="12" t="s">
        <v>12880</v>
      </c>
      <c r="E4603" s="12" t="s">
        <v>4971</v>
      </c>
      <c r="F4603" s="49">
        <v>495000</v>
      </c>
      <c r="G4603" s="77" t="str">
        <f>"LLC Sebco Bitumen"</f>
        <v>LLC Sebco Bitumen</v>
      </c>
      <c r="H4603" s="14" t="s">
        <v>5601</v>
      </c>
      <c r="I4603" s="14" t="s">
        <v>2458</v>
      </c>
      <c r="J4603" s="33" t="s">
        <v>7110</v>
      </c>
      <c r="K4603" s="33" t="s">
        <v>12928</v>
      </c>
      <c r="L4603" s="53" t="str">
        <f>"هند"</f>
        <v>هند</v>
      </c>
      <c r="M4603" s="68" t="str">
        <f t="shared" si="111"/>
        <v>بشكه</v>
      </c>
      <c r="N4603" s="53" t="str">
        <f t="shared" si="110"/>
        <v>منطقه ويژه اقتصادي شهيد رجايي</v>
      </c>
      <c r="O4603" s="53">
        <v>50100</v>
      </c>
      <c r="P4603" s="198" t="s">
        <v>12429</v>
      </c>
    </row>
    <row r="4604" spans="1:16" ht="18.75" hidden="1">
      <c r="A4604" s="50" t="str">
        <f>"50100-9957796"</f>
        <v>50100-9957796</v>
      </c>
      <c r="B4604" s="50" t="str">
        <f>"96/12/13"</f>
        <v>96/12/13</v>
      </c>
      <c r="C4604" s="50" t="s">
        <v>12883</v>
      </c>
      <c r="D4604" s="12" t="s">
        <v>10028</v>
      </c>
      <c r="E4604" s="12" t="s">
        <v>4971</v>
      </c>
      <c r="F4604" s="49">
        <v>312184</v>
      </c>
      <c r="G4604" s="77" t="str">
        <f>"DAXON PETROLEUM"</f>
        <v>DAXON PETROLEUM</v>
      </c>
      <c r="H4604" s="14" t="s">
        <v>5601</v>
      </c>
      <c r="I4604" s="14" t="s">
        <v>2458</v>
      </c>
      <c r="J4604" s="33" t="s">
        <v>7110</v>
      </c>
      <c r="K4604" s="33" t="s">
        <v>12928</v>
      </c>
      <c r="L4604" s="53" t="str">
        <f>"کنيا"</f>
        <v>کنيا</v>
      </c>
      <c r="M4604" s="68" t="str">
        <f t="shared" si="111"/>
        <v>بشكه</v>
      </c>
      <c r="N4604" s="53" t="str">
        <f t="shared" si="110"/>
        <v>منطقه ويژه اقتصادي شهيد رجايي</v>
      </c>
      <c r="O4604" s="53">
        <v>50100</v>
      </c>
      <c r="P4604" s="198" t="s">
        <v>9789</v>
      </c>
    </row>
    <row r="4605" spans="1:16" ht="18.75" hidden="1">
      <c r="A4605" s="50" t="str">
        <f>"50100-9957796"</f>
        <v>50100-9957796</v>
      </c>
      <c r="B4605" s="50" t="str">
        <f>"96/12/13"</f>
        <v>96/12/13</v>
      </c>
      <c r="C4605" s="50" t="s">
        <v>12870</v>
      </c>
      <c r="D4605" s="12" t="s">
        <v>9813</v>
      </c>
      <c r="E4605" s="12" t="s">
        <v>4971</v>
      </c>
      <c r="F4605" s="49">
        <v>308525</v>
      </c>
      <c r="G4605" s="77" t="str">
        <f>"SHINING GREEN STAR FZE"</f>
        <v>SHINING GREEN STAR FZE</v>
      </c>
      <c r="H4605" s="14" t="s">
        <v>5601</v>
      </c>
      <c r="I4605" s="14" t="s">
        <v>2458</v>
      </c>
      <c r="J4605" s="33" t="e">
        <f>VLOOKUP(C4605,شرکتها!A:B,2,FALSE)</f>
        <v>#N/A</v>
      </c>
      <c r="K4605" s="33" t="s">
        <v>12928</v>
      </c>
      <c r="L4605" s="53" t="str">
        <f>"کنيا"</f>
        <v>کنيا</v>
      </c>
      <c r="M4605" s="68" t="str">
        <f t="shared" si="111"/>
        <v>بشكه</v>
      </c>
      <c r="N4605" s="53" t="str">
        <f t="shared" si="110"/>
        <v>منطقه ويژه اقتصادي شهيد رجايي</v>
      </c>
      <c r="O4605" s="53">
        <v>50100</v>
      </c>
      <c r="P4605" s="198" t="s">
        <v>9770</v>
      </c>
    </row>
    <row r="4606" spans="1:16" ht="18.75" hidden="1">
      <c r="A4606" s="50" t="str">
        <f>"50100-9938517"</f>
        <v>50100-9938517</v>
      </c>
      <c r="B4606" s="50" t="str">
        <f>"96/12/08"</f>
        <v>96/12/08</v>
      </c>
      <c r="C4606" s="50" t="s">
        <v>9890</v>
      </c>
      <c r="D4606" s="12" t="s">
        <v>9830</v>
      </c>
      <c r="E4606" s="12" t="s">
        <v>4971</v>
      </c>
      <c r="F4606" s="49">
        <v>64574</v>
      </c>
      <c r="G4606" s="77" t="str">
        <f>"Black Gold Traders FZE"</f>
        <v>Black Gold Traders FZE</v>
      </c>
      <c r="H4606" s="14" t="s">
        <v>5601</v>
      </c>
      <c r="I4606" s="14" t="s">
        <v>2458</v>
      </c>
      <c r="J4606" s="33" t="s">
        <v>7110</v>
      </c>
      <c r="K4606" s="33" t="s">
        <v>12928</v>
      </c>
      <c r="L4606" s="53" t="str">
        <f>"مالزي"</f>
        <v>مالزي</v>
      </c>
      <c r="M4606" s="68" t="str">
        <f t="shared" si="111"/>
        <v>بشكه</v>
      </c>
      <c r="N4606" s="53" t="str">
        <f t="shared" si="110"/>
        <v>منطقه ويژه اقتصادي شهيد رجايي</v>
      </c>
      <c r="O4606" s="53">
        <v>50100</v>
      </c>
      <c r="P4606" s="198" t="s">
        <v>9795</v>
      </c>
    </row>
    <row r="4607" spans="1:16" ht="18.75" hidden="1">
      <c r="A4607" s="50" t="str">
        <f>"50100-9933942"</f>
        <v>50100-9933942</v>
      </c>
      <c r="B4607" s="50" t="str">
        <f>"96/12/07"</f>
        <v>96/12/07</v>
      </c>
      <c r="C4607" s="50" t="s">
        <v>12884</v>
      </c>
      <c r="D4607" s="12" t="s">
        <v>8774</v>
      </c>
      <c r="E4607" s="12" t="s">
        <v>4971</v>
      </c>
      <c r="F4607" s="49">
        <v>250000</v>
      </c>
      <c r="G4607" s="77" t="str">
        <f>"LLC Sebco Bitumen"</f>
        <v>LLC Sebco Bitumen</v>
      </c>
      <c r="H4607" s="14" t="s">
        <v>5601</v>
      </c>
      <c r="I4607" s="14" t="s">
        <v>2458</v>
      </c>
      <c r="J4607" s="33" t="s">
        <v>7110</v>
      </c>
      <c r="K4607" s="33" t="s">
        <v>12928</v>
      </c>
      <c r="L4607" s="53" t="str">
        <f>" امارات متحده عربي"</f>
        <v xml:space="preserve"> امارات متحده عربي</v>
      </c>
      <c r="M4607" s="68" t="str">
        <f t="shared" si="111"/>
        <v>بشكه</v>
      </c>
      <c r="N4607" s="53" t="str">
        <f t="shared" si="110"/>
        <v>منطقه ويژه اقتصادي شهيد رجايي</v>
      </c>
      <c r="O4607" s="53">
        <v>50100</v>
      </c>
      <c r="P4607" s="198" t="s">
        <v>8698</v>
      </c>
    </row>
    <row r="4608" spans="1:16" ht="18.75" hidden="1">
      <c r="A4608" s="50" t="str">
        <f>"50100-9933942"</f>
        <v>50100-9933942</v>
      </c>
      <c r="B4608" s="50" t="str">
        <f>"96/12/07"</f>
        <v>96/12/07</v>
      </c>
      <c r="C4608" s="50" t="s">
        <v>12885</v>
      </c>
      <c r="D4608" s="12" t="s">
        <v>9952</v>
      </c>
      <c r="E4608" s="12" t="s">
        <v>4971</v>
      </c>
      <c r="F4608" s="49">
        <v>464687</v>
      </c>
      <c r="G4608" s="77" t="str">
        <f>"LLC Sebco Bitumen"</f>
        <v>LLC Sebco Bitumen</v>
      </c>
      <c r="H4608" s="14" t="s">
        <v>5601</v>
      </c>
      <c r="I4608" s="14" t="s">
        <v>2458</v>
      </c>
      <c r="J4608" s="33" t="s">
        <v>7110</v>
      </c>
      <c r="K4608" s="33" t="s">
        <v>12928</v>
      </c>
      <c r="L4608" s="53" t="str">
        <f>" امارات متحده عربي"</f>
        <v xml:space="preserve"> امارات متحده عربي</v>
      </c>
      <c r="M4608" s="68" t="str">
        <f t="shared" si="111"/>
        <v>بشكه</v>
      </c>
      <c r="N4608" s="53" t="str">
        <f t="shared" si="110"/>
        <v>منطقه ويژه اقتصادي شهيد رجايي</v>
      </c>
      <c r="O4608" s="53">
        <v>50100</v>
      </c>
      <c r="P4608" s="198" t="s">
        <v>9783</v>
      </c>
    </row>
    <row r="4609" spans="1:16" ht="18.75" hidden="1">
      <c r="A4609" s="50" t="str">
        <f>"50100-9954320"</f>
        <v>50100-9954320</v>
      </c>
      <c r="B4609" s="50" t="str">
        <f>"96/12/12"</f>
        <v>96/12/12</v>
      </c>
      <c r="C4609" s="50" t="s">
        <v>12475</v>
      </c>
      <c r="D4609" s="12" t="s">
        <v>8911</v>
      </c>
      <c r="E4609" s="12" t="s">
        <v>4971</v>
      </c>
      <c r="F4609" s="49">
        <v>39926</v>
      </c>
      <c r="G4609" s="77" t="str">
        <f>"SHINING GREEN STAR FZE"</f>
        <v>SHINING GREEN STAR FZE</v>
      </c>
      <c r="H4609" s="14" t="s">
        <v>5601</v>
      </c>
      <c r="I4609" s="14" t="s">
        <v>2458</v>
      </c>
      <c r="J4609" s="33" t="s">
        <v>7110</v>
      </c>
      <c r="K4609" s="33" t="s">
        <v>12928</v>
      </c>
      <c r="L4609" s="53" t="str">
        <f>"کنيا"</f>
        <v>کنيا</v>
      </c>
      <c r="M4609" s="68" t="str">
        <f t="shared" si="111"/>
        <v>بشكه</v>
      </c>
      <c r="N4609" s="53" t="str">
        <f t="shared" si="110"/>
        <v>منطقه ويژه اقتصادي شهيد رجايي</v>
      </c>
      <c r="O4609" s="53">
        <v>50100</v>
      </c>
      <c r="P4609" s="198" t="s">
        <v>9767</v>
      </c>
    </row>
    <row r="4610" spans="1:16" ht="18.75" hidden="1">
      <c r="A4610" s="50" t="str">
        <f>"50100-9925588"</f>
        <v>50100-9925588</v>
      </c>
      <c r="B4610" s="50" t="str">
        <f>"96/12/06"</f>
        <v>96/12/06</v>
      </c>
      <c r="C4610" s="50" t="s">
        <v>12886</v>
      </c>
      <c r="D4610" s="12" t="s">
        <v>6457</v>
      </c>
      <c r="E4610" s="12" t="s">
        <v>4971</v>
      </c>
      <c r="F4610" s="49">
        <v>178000</v>
      </c>
      <c r="G4610" s="77" t="str">
        <f>"LLC Sebco Bitumen"</f>
        <v>LLC Sebco Bitumen</v>
      </c>
      <c r="H4610" s="14" t="s">
        <v>5601</v>
      </c>
      <c r="I4610" s="14" t="s">
        <v>2458</v>
      </c>
      <c r="J4610" s="33" t="s">
        <v>7110</v>
      </c>
      <c r="K4610" s="33" t="s">
        <v>12928</v>
      </c>
      <c r="L4610" s="53" t="str">
        <f>"هند"</f>
        <v>هند</v>
      </c>
      <c r="M4610" s="68" t="str">
        <f t="shared" si="111"/>
        <v>بشكه</v>
      </c>
      <c r="N4610" s="53" t="str">
        <f t="shared" si="110"/>
        <v>منطقه ويژه اقتصادي شهيد رجايي</v>
      </c>
      <c r="O4610" s="53">
        <v>50100</v>
      </c>
      <c r="P4610" s="198" t="s">
        <v>7111</v>
      </c>
    </row>
    <row r="4611" spans="1:16" ht="18.75" hidden="1">
      <c r="A4611" s="50" t="str">
        <f>"50100-9924832"</f>
        <v>50100-9924832</v>
      </c>
      <c r="B4611" s="50" t="str">
        <f>"96/12/06"</f>
        <v>96/12/06</v>
      </c>
      <c r="C4611" s="50" t="s">
        <v>12887</v>
      </c>
      <c r="D4611" s="12" t="s">
        <v>12662</v>
      </c>
      <c r="E4611" s="12" t="s">
        <v>4971</v>
      </c>
      <c r="F4611" s="49">
        <v>472574</v>
      </c>
      <c r="G4611" s="77" t="str">
        <f>"AL MASAR PETROLUME L.L.C"</f>
        <v>AL MASAR PETROLUME L.L.C</v>
      </c>
      <c r="H4611" s="14" t="s">
        <v>5601</v>
      </c>
      <c r="I4611" s="14" t="s">
        <v>2458</v>
      </c>
      <c r="J4611" s="33" t="e">
        <f>VLOOKUP(C4611,شرکتها!A:B,2,FALSE)</f>
        <v>#N/A</v>
      </c>
      <c r="K4611" s="33" t="s">
        <v>12928</v>
      </c>
      <c r="L4611" s="53" t="str">
        <f>"کنيا"</f>
        <v>کنيا</v>
      </c>
      <c r="M4611" s="68" t="str">
        <f t="shared" si="111"/>
        <v>بشكه</v>
      </c>
      <c r="N4611" s="53" t="str">
        <f t="shared" si="110"/>
        <v>منطقه ويژه اقتصادي شهيد رجايي</v>
      </c>
      <c r="O4611" s="53">
        <v>50100</v>
      </c>
      <c r="P4611" s="198" t="s">
        <v>12684</v>
      </c>
    </row>
    <row r="4612" spans="1:16" ht="18.75" hidden="1">
      <c r="A4612" s="50" t="str">
        <f>"50100-9957796"</f>
        <v>50100-9957796</v>
      </c>
      <c r="B4612" s="50" t="str">
        <f>"96/12/13"</f>
        <v>96/12/13</v>
      </c>
      <c r="C4612" s="50" t="s">
        <v>12888</v>
      </c>
      <c r="D4612" s="12" t="s">
        <v>10008</v>
      </c>
      <c r="E4612" s="12" t="s">
        <v>4971</v>
      </c>
      <c r="F4612" s="49">
        <v>200000</v>
      </c>
      <c r="G4612" s="77" t="str">
        <f>"DAXON PETROLEUM"</f>
        <v>DAXON PETROLEUM</v>
      </c>
      <c r="H4612" s="14" t="s">
        <v>5601</v>
      </c>
      <c r="I4612" s="14" t="s">
        <v>2458</v>
      </c>
      <c r="J4612" s="33" t="s">
        <v>7110</v>
      </c>
      <c r="K4612" s="33" t="s">
        <v>12928</v>
      </c>
      <c r="L4612" s="53" t="str">
        <f>"کنيا"</f>
        <v>کنيا</v>
      </c>
      <c r="M4612" s="68" t="str">
        <f t="shared" si="111"/>
        <v>بشكه</v>
      </c>
      <c r="N4612" s="53" t="str">
        <f t="shared" si="110"/>
        <v>منطقه ويژه اقتصادي شهيد رجايي</v>
      </c>
      <c r="O4612" s="53">
        <v>50100</v>
      </c>
      <c r="P4612" s="198" t="s">
        <v>9797</v>
      </c>
    </row>
    <row r="4613" spans="1:16" ht="18.75" hidden="1">
      <c r="A4613" s="50" t="str">
        <f>"50100-9957796"</f>
        <v>50100-9957796</v>
      </c>
      <c r="B4613" s="50" t="str">
        <f>"96/12/13"</f>
        <v>96/12/13</v>
      </c>
      <c r="C4613" s="50" t="s">
        <v>12518</v>
      </c>
      <c r="D4613" s="12" t="s">
        <v>9933</v>
      </c>
      <c r="E4613" s="12" t="s">
        <v>4971</v>
      </c>
      <c r="F4613" s="49">
        <v>13030</v>
      </c>
      <c r="G4613" s="77" t="str">
        <f>"DAXON PETROLEUM"</f>
        <v>DAXON PETROLEUM</v>
      </c>
      <c r="H4613" s="14" t="s">
        <v>5601</v>
      </c>
      <c r="I4613" s="14" t="s">
        <v>2458</v>
      </c>
      <c r="J4613" s="33" t="s">
        <v>7110</v>
      </c>
      <c r="K4613" s="33" t="s">
        <v>12928</v>
      </c>
      <c r="L4613" s="53" t="str">
        <f>"کنيا"</f>
        <v>کنيا</v>
      </c>
      <c r="M4613" s="68" t="str">
        <f t="shared" si="111"/>
        <v>بشكه</v>
      </c>
      <c r="N4613" s="53" t="str">
        <f t="shared" si="110"/>
        <v>منطقه ويژه اقتصادي شهيد رجايي</v>
      </c>
      <c r="O4613" s="53">
        <v>50100</v>
      </c>
      <c r="P4613" s="198" t="s">
        <v>8724</v>
      </c>
    </row>
    <row r="4614" spans="1:16" ht="18.75" hidden="1">
      <c r="A4614" s="50" t="str">
        <f>"50100-9909854"</f>
        <v>50100-9909854</v>
      </c>
      <c r="B4614" s="50" t="str">
        <f>"96/12/02"</f>
        <v>96/12/02</v>
      </c>
      <c r="C4614" s="50" t="s">
        <v>12871</v>
      </c>
      <c r="D4614" s="12" t="s">
        <v>9825</v>
      </c>
      <c r="E4614" s="12" t="s">
        <v>4971</v>
      </c>
      <c r="F4614" s="49">
        <v>499900</v>
      </c>
      <c r="G4614" s="77" t="str">
        <f>"LLC Sebco Bitumen"</f>
        <v>LLC Sebco Bitumen</v>
      </c>
      <c r="H4614" s="14" t="s">
        <v>5601</v>
      </c>
      <c r="I4614" s="14" t="s">
        <v>2458</v>
      </c>
      <c r="J4614" s="33" t="s">
        <v>7110</v>
      </c>
      <c r="K4614" s="33" t="s">
        <v>12928</v>
      </c>
      <c r="L4614" s="53" t="str">
        <f>"سنگال"</f>
        <v>سنگال</v>
      </c>
      <c r="M4614" s="68" t="str">
        <f t="shared" si="111"/>
        <v>بشكه</v>
      </c>
      <c r="N4614" s="53" t="str">
        <f t="shared" si="110"/>
        <v>منطقه ويژه اقتصادي شهيد رجايي</v>
      </c>
      <c r="O4614" s="53">
        <v>50100</v>
      </c>
      <c r="P4614" s="198" t="s">
        <v>8698</v>
      </c>
    </row>
    <row r="4615" spans="1:16" ht="18.75" hidden="1">
      <c r="A4615" s="50" t="str">
        <f>"50100-9938517"</f>
        <v>50100-9938517</v>
      </c>
      <c r="B4615" s="50" t="str">
        <f>"96/12/08"</f>
        <v>96/12/08</v>
      </c>
      <c r="C4615" s="50" t="s">
        <v>12889</v>
      </c>
      <c r="D4615" s="12" t="s">
        <v>9827</v>
      </c>
      <c r="E4615" s="12" t="s">
        <v>4971</v>
      </c>
      <c r="F4615" s="49">
        <v>27135</v>
      </c>
      <c r="G4615" s="77" t="str">
        <f>"Black Gold Traders FZE"</f>
        <v>Black Gold Traders FZE</v>
      </c>
      <c r="H4615" s="14" t="s">
        <v>5601</v>
      </c>
      <c r="I4615" s="14" t="s">
        <v>2458</v>
      </c>
      <c r="J4615" s="33" t="s">
        <v>7110</v>
      </c>
      <c r="K4615" s="33" t="s">
        <v>12928</v>
      </c>
      <c r="L4615" s="53" t="str">
        <f>"مالزي"</f>
        <v>مالزي</v>
      </c>
      <c r="M4615" s="68" t="str">
        <f t="shared" si="111"/>
        <v>بشكه</v>
      </c>
      <c r="N4615" s="53" t="str">
        <f t="shared" si="110"/>
        <v>منطقه ويژه اقتصادي شهيد رجايي</v>
      </c>
      <c r="O4615" s="53">
        <v>50100</v>
      </c>
      <c r="P4615" s="198" t="s">
        <v>8753</v>
      </c>
    </row>
    <row r="4616" spans="1:16" ht="18.75" hidden="1">
      <c r="A4616" s="50" t="str">
        <f>"50100-9916815"</f>
        <v>50100-9916815</v>
      </c>
      <c r="B4616" s="50" t="str">
        <f>"96/12/05"</f>
        <v>96/12/05</v>
      </c>
      <c r="C4616" s="50" t="s">
        <v>12890</v>
      </c>
      <c r="D4616" s="12" t="s">
        <v>10028</v>
      </c>
      <c r="E4616" s="12" t="s">
        <v>4971</v>
      </c>
      <c r="F4616" s="49">
        <v>350000</v>
      </c>
      <c r="G4616" s="77" t="str">
        <f>"DAXON PETROLEUM"</f>
        <v>DAXON PETROLEUM</v>
      </c>
      <c r="H4616" s="14" t="s">
        <v>5601</v>
      </c>
      <c r="I4616" s="14" t="s">
        <v>2458</v>
      </c>
      <c r="J4616" s="33" t="s">
        <v>7110</v>
      </c>
      <c r="K4616" s="33" t="s">
        <v>12928</v>
      </c>
      <c r="L4616" s="53" t="str">
        <f>"کنيا"</f>
        <v>کنيا</v>
      </c>
      <c r="M4616" s="68" t="str">
        <f t="shared" si="111"/>
        <v>بشكه</v>
      </c>
      <c r="N4616" s="53" t="str">
        <f t="shared" si="110"/>
        <v>منطقه ويژه اقتصادي شهيد رجايي</v>
      </c>
      <c r="O4616" s="53">
        <v>50100</v>
      </c>
      <c r="P4616" s="198" t="s">
        <v>9789</v>
      </c>
    </row>
    <row r="4617" spans="1:16" ht="18.75" hidden="1">
      <c r="A4617" s="50" t="str">
        <f>"50100-9917035"</f>
        <v>50100-9917035</v>
      </c>
      <c r="B4617" s="50" t="str">
        <f>"96/12/05"</f>
        <v>96/12/05</v>
      </c>
      <c r="C4617" s="50" t="s">
        <v>12887</v>
      </c>
      <c r="D4617" s="12" t="s">
        <v>12662</v>
      </c>
      <c r="E4617" s="12" t="s">
        <v>4971</v>
      </c>
      <c r="F4617" s="49">
        <v>416215</v>
      </c>
      <c r="G4617" s="77" t="str">
        <f>"AL MASAR PETROLUME L.L.C"</f>
        <v>AL MASAR PETROLUME L.L.C</v>
      </c>
      <c r="H4617" s="14" t="s">
        <v>5601</v>
      </c>
      <c r="I4617" s="14" t="s">
        <v>2458</v>
      </c>
      <c r="J4617" s="33" t="e">
        <f>VLOOKUP(C4617,شرکتها!A:B,2,FALSE)</f>
        <v>#N/A</v>
      </c>
      <c r="K4617" s="33" t="s">
        <v>12928</v>
      </c>
      <c r="L4617" s="53" t="str">
        <f>"کنيا"</f>
        <v>کنيا</v>
      </c>
      <c r="M4617" s="68" t="str">
        <f t="shared" si="111"/>
        <v>بشكه</v>
      </c>
      <c r="N4617" s="53" t="str">
        <f t="shared" si="110"/>
        <v>منطقه ويژه اقتصادي شهيد رجايي</v>
      </c>
      <c r="O4617" s="53">
        <v>50100</v>
      </c>
      <c r="P4617" s="198" t="s">
        <v>12684</v>
      </c>
    </row>
    <row r="4618" spans="1:16" ht="18.75" hidden="1">
      <c r="A4618" s="50" t="str">
        <f>"50100-9928759"</f>
        <v>50100-9928759</v>
      </c>
      <c r="B4618" s="50" t="str">
        <f>"96/12/07"</f>
        <v>96/12/07</v>
      </c>
      <c r="C4618" s="50" t="s">
        <v>12518</v>
      </c>
      <c r="D4618" s="12" t="s">
        <v>9933</v>
      </c>
      <c r="E4618" s="12" t="s">
        <v>4971</v>
      </c>
      <c r="F4618" s="49">
        <v>8000</v>
      </c>
      <c r="G4618" s="77" t="str">
        <f>"DAXON PETROLEUM"</f>
        <v>DAXON PETROLEUM</v>
      </c>
      <c r="H4618" s="14" t="s">
        <v>5601</v>
      </c>
      <c r="I4618" s="14" t="s">
        <v>2458</v>
      </c>
      <c r="J4618" s="33" t="s">
        <v>7110</v>
      </c>
      <c r="K4618" s="33" t="s">
        <v>12928</v>
      </c>
      <c r="L4618" s="53" t="str">
        <f>"کنيا"</f>
        <v>کنيا</v>
      </c>
      <c r="M4618" s="68" t="str">
        <f t="shared" si="111"/>
        <v>بشكه</v>
      </c>
      <c r="N4618" s="53" t="str">
        <f t="shared" si="110"/>
        <v>منطقه ويژه اقتصادي شهيد رجايي</v>
      </c>
      <c r="O4618" s="53">
        <v>50100</v>
      </c>
      <c r="P4618" s="198" t="s">
        <v>8724</v>
      </c>
    </row>
    <row r="4619" spans="1:16" ht="18.75" hidden="1">
      <c r="A4619" s="50" t="str">
        <f>"50100-9916815"</f>
        <v>50100-9916815</v>
      </c>
      <c r="B4619" s="50" t="str">
        <f>"96/12/05"</f>
        <v>96/12/05</v>
      </c>
      <c r="C4619" s="50" t="s">
        <v>12343</v>
      </c>
      <c r="D4619" s="12" t="s">
        <v>10008</v>
      </c>
      <c r="E4619" s="12" t="s">
        <v>4971</v>
      </c>
      <c r="F4619" s="49">
        <v>2394</v>
      </c>
      <c r="G4619" s="77" t="str">
        <f>"DAXON PETROLEUM"</f>
        <v>DAXON PETROLEUM</v>
      </c>
      <c r="H4619" s="14" t="s">
        <v>5601</v>
      </c>
      <c r="I4619" s="14" t="s">
        <v>2458</v>
      </c>
      <c r="J4619" s="33" t="s">
        <v>7110</v>
      </c>
      <c r="K4619" s="33" t="s">
        <v>12928</v>
      </c>
      <c r="L4619" s="53" t="str">
        <f>"کنيا"</f>
        <v>کنيا</v>
      </c>
      <c r="M4619" s="68" t="str">
        <f t="shared" si="111"/>
        <v>بشكه</v>
      </c>
      <c r="N4619" s="53" t="str">
        <f t="shared" si="110"/>
        <v>منطقه ويژه اقتصادي شهيد رجايي</v>
      </c>
      <c r="O4619" s="53">
        <v>50100</v>
      </c>
      <c r="P4619" s="198" t="s">
        <v>9797</v>
      </c>
    </row>
    <row r="4620" spans="1:16" ht="18.75" hidden="1">
      <c r="A4620" s="50" t="str">
        <f>"50100-9954447"</f>
        <v>50100-9954447</v>
      </c>
      <c r="B4620" s="50" t="str">
        <f>"96/12/12"</f>
        <v>96/12/12</v>
      </c>
      <c r="C4620" s="50" t="s">
        <v>12475</v>
      </c>
      <c r="D4620" s="12" t="s">
        <v>8911</v>
      </c>
      <c r="E4620" s="12" t="s">
        <v>4971</v>
      </c>
      <c r="F4620" s="49">
        <v>39826</v>
      </c>
      <c r="G4620" s="77" t="str">
        <f>"SHINING GREEN STAR FZE"</f>
        <v>SHINING GREEN STAR FZE</v>
      </c>
      <c r="H4620" s="14" t="s">
        <v>5601</v>
      </c>
      <c r="I4620" s="14" t="s">
        <v>2458</v>
      </c>
      <c r="J4620" s="33" t="s">
        <v>7110</v>
      </c>
      <c r="K4620" s="33" t="s">
        <v>12928</v>
      </c>
      <c r="L4620" s="53" t="str">
        <f>"تايوان"</f>
        <v>تايوان</v>
      </c>
      <c r="M4620" s="68" t="str">
        <f t="shared" si="111"/>
        <v>بشكه</v>
      </c>
      <c r="N4620" s="53" t="str">
        <f t="shared" si="110"/>
        <v>منطقه ويژه اقتصادي شهيد رجايي</v>
      </c>
      <c r="O4620" s="53">
        <v>50100</v>
      </c>
      <c r="P4620" s="198" t="s">
        <v>9767</v>
      </c>
    </row>
    <row r="4621" spans="1:16" ht="18.75" hidden="1">
      <c r="A4621" s="50" t="str">
        <f>"50100-9941446"</f>
        <v>50100-9941446</v>
      </c>
      <c r="B4621" s="50" t="str">
        <f>"96/12/09"</f>
        <v>96/12/09</v>
      </c>
      <c r="C4621" s="50" t="s">
        <v>12475</v>
      </c>
      <c r="D4621" s="12" t="s">
        <v>8911</v>
      </c>
      <c r="E4621" s="12" t="s">
        <v>4971</v>
      </c>
      <c r="F4621" s="49">
        <v>258544</v>
      </c>
      <c r="G4621" s="77" t="str">
        <f>"SHINING GREEN STAR FZE"</f>
        <v>SHINING GREEN STAR FZE</v>
      </c>
      <c r="H4621" s="14" t="s">
        <v>5601</v>
      </c>
      <c r="I4621" s="14" t="s">
        <v>2458</v>
      </c>
      <c r="J4621" s="33" t="s">
        <v>7110</v>
      </c>
      <c r="K4621" s="33" t="s">
        <v>12928</v>
      </c>
      <c r="L4621" s="53" t="str">
        <f>"آفريقاي جنوبي"</f>
        <v>آفريقاي جنوبي</v>
      </c>
      <c r="M4621" s="68" t="str">
        <f t="shared" si="111"/>
        <v>بشكه</v>
      </c>
      <c r="N4621" s="53" t="str">
        <f t="shared" si="110"/>
        <v>منطقه ويژه اقتصادي شهيد رجايي</v>
      </c>
      <c r="O4621" s="53">
        <v>50100</v>
      </c>
      <c r="P4621" s="198" t="s">
        <v>9767</v>
      </c>
    </row>
    <row r="4622" spans="1:16" ht="18.75" hidden="1">
      <c r="A4622" s="50" t="str">
        <f>"50100-9954776"</f>
        <v>50100-9954776</v>
      </c>
      <c r="B4622" s="50" t="str">
        <f>"96/12/12"</f>
        <v>96/12/12</v>
      </c>
      <c r="C4622" s="50" t="s">
        <v>12870</v>
      </c>
      <c r="D4622" s="12" t="s">
        <v>9813</v>
      </c>
      <c r="E4622" s="12" t="s">
        <v>4971</v>
      </c>
      <c r="F4622" s="49">
        <v>298750</v>
      </c>
      <c r="G4622" s="77" t="str">
        <f>"SHINING GREEN STAR FZE"</f>
        <v>SHINING GREEN STAR FZE</v>
      </c>
      <c r="H4622" s="14" t="s">
        <v>5601</v>
      </c>
      <c r="I4622" s="14" t="s">
        <v>2458</v>
      </c>
      <c r="J4622" s="33" t="e">
        <f>VLOOKUP(C4622,شرکتها!A:B,2,FALSE)</f>
        <v>#N/A</v>
      </c>
      <c r="K4622" s="33" t="s">
        <v>12928</v>
      </c>
      <c r="L4622" s="53" t="str">
        <f>"آفريقاي جنوبي"</f>
        <v>آفريقاي جنوبي</v>
      </c>
      <c r="M4622" s="68" t="str">
        <f t="shared" si="111"/>
        <v>بشكه</v>
      </c>
      <c r="N4622" s="53" t="str">
        <f t="shared" si="110"/>
        <v>منطقه ويژه اقتصادي شهيد رجايي</v>
      </c>
      <c r="O4622" s="53">
        <v>50100</v>
      </c>
      <c r="P4622" s="198" t="s">
        <v>9770</v>
      </c>
    </row>
    <row r="4623" spans="1:16" ht="18.75" hidden="1">
      <c r="A4623" s="50" t="str">
        <f>"50100-9955071"</f>
        <v>50100-9955071</v>
      </c>
      <c r="B4623" s="50" t="str">
        <f>"96/12/12"</f>
        <v>96/12/12</v>
      </c>
      <c r="C4623" s="50" t="s">
        <v>12889</v>
      </c>
      <c r="D4623" s="12" t="s">
        <v>9827</v>
      </c>
      <c r="E4623" s="12" t="s">
        <v>4971</v>
      </c>
      <c r="F4623" s="49">
        <v>172865</v>
      </c>
      <c r="G4623" s="77" t="str">
        <f>"Black Gold Traders FZE"</f>
        <v>Black Gold Traders FZE</v>
      </c>
      <c r="H4623" s="14" t="s">
        <v>5601</v>
      </c>
      <c r="I4623" s="14" t="s">
        <v>2458</v>
      </c>
      <c r="J4623" s="33" t="s">
        <v>7110</v>
      </c>
      <c r="K4623" s="33" t="s">
        <v>12928</v>
      </c>
      <c r="L4623" s="53" t="str">
        <f>"هند"</f>
        <v>هند</v>
      </c>
      <c r="M4623" s="68" t="str">
        <f t="shared" si="111"/>
        <v>بشكه</v>
      </c>
      <c r="N4623" s="53" t="str">
        <f t="shared" si="110"/>
        <v>منطقه ويژه اقتصادي شهيد رجايي</v>
      </c>
      <c r="O4623" s="53">
        <v>50100</v>
      </c>
      <c r="P4623" s="198" t="s">
        <v>8753</v>
      </c>
    </row>
    <row r="4624" spans="1:16" ht="18.75" hidden="1">
      <c r="A4624" s="50" t="str">
        <f>"50100-9909854"</f>
        <v>50100-9909854</v>
      </c>
      <c r="B4624" s="50" t="str">
        <f>"96/12/02"</f>
        <v>96/12/02</v>
      </c>
      <c r="C4624" s="50" t="s">
        <v>12891</v>
      </c>
      <c r="D4624" s="12" t="s">
        <v>9813</v>
      </c>
      <c r="E4624" s="12" t="s">
        <v>4971</v>
      </c>
      <c r="F4624" s="49">
        <v>500000</v>
      </c>
      <c r="G4624" s="77" t="str">
        <f>"LLC Sebco Bitumen"</f>
        <v>LLC Sebco Bitumen</v>
      </c>
      <c r="H4624" s="14" t="s">
        <v>5601</v>
      </c>
      <c r="I4624" s="14" t="s">
        <v>2458</v>
      </c>
      <c r="J4624" s="33" t="s">
        <v>7110</v>
      </c>
      <c r="K4624" s="33" t="s">
        <v>12928</v>
      </c>
      <c r="L4624" s="53" t="str">
        <f>"سنگال"</f>
        <v>سنگال</v>
      </c>
      <c r="M4624" s="68" t="str">
        <f t="shared" si="111"/>
        <v>بشكه</v>
      </c>
      <c r="N4624" s="53" t="str">
        <f t="shared" si="110"/>
        <v>منطقه ويژه اقتصادي شهيد رجايي</v>
      </c>
      <c r="O4624" s="53">
        <v>50100</v>
      </c>
      <c r="P4624" s="198" t="s">
        <v>8698</v>
      </c>
    </row>
    <row r="4625" spans="1:16" ht="18.75" hidden="1">
      <c r="A4625" s="50" t="str">
        <f>"50100-9967159"</f>
        <v>50100-9967159</v>
      </c>
      <c r="B4625" s="50" t="str">
        <f>"96/12/14"</f>
        <v>96/12/14</v>
      </c>
      <c r="C4625" s="50" t="s">
        <v>12892</v>
      </c>
      <c r="D4625" s="12" t="s">
        <v>12893</v>
      </c>
      <c r="E4625" s="12" t="s">
        <v>4971</v>
      </c>
      <c r="F4625" s="49">
        <v>984307</v>
      </c>
      <c r="G4625" s="77" t="str">
        <f>"LLC Sebco Bitumen"</f>
        <v>LLC Sebco Bitumen</v>
      </c>
      <c r="H4625" s="14" t="s">
        <v>5601</v>
      </c>
      <c r="I4625" s="14" t="s">
        <v>2458</v>
      </c>
      <c r="J4625" s="33" t="s">
        <v>7110</v>
      </c>
      <c r="K4625" s="33" t="s">
        <v>12928</v>
      </c>
      <c r="L4625" s="53" t="str">
        <f>"سودان"</f>
        <v>سودان</v>
      </c>
      <c r="M4625" s="68" t="str">
        <f t="shared" si="111"/>
        <v>بشكه</v>
      </c>
      <c r="N4625" s="53" t="str">
        <f t="shared" si="110"/>
        <v>منطقه ويژه اقتصادي شهيد رجايي</v>
      </c>
      <c r="O4625" s="53">
        <v>50100</v>
      </c>
      <c r="P4625" s="198" t="s">
        <v>12668</v>
      </c>
    </row>
    <row r="4626" spans="1:16" ht="18.75" hidden="1">
      <c r="A4626" s="50" t="str">
        <f>"50100-9916286"</f>
        <v>50100-9916286</v>
      </c>
      <c r="B4626" s="50" t="str">
        <f>"96/12/05"</f>
        <v>96/12/05</v>
      </c>
      <c r="C4626" s="50" t="s">
        <v>12887</v>
      </c>
      <c r="D4626" s="12" t="s">
        <v>12662</v>
      </c>
      <c r="E4626" s="12" t="s">
        <v>4971</v>
      </c>
      <c r="F4626" s="49">
        <v>318139</v>
      </c>
      <c r="G4626" s="77" t="str">
        <f>"AL MASAR PETROLUME L.L.C"</f>
        <v>AL MASAR PETROLUME L.L.C</v>
      </c>
      <c r="H4626" s="14" t="s">
        <v>5601</v>
      </c>
      <c r="I4626" s="14" t="s">
        <v>2458</v>
      </c>
      <c r="J4626" s="33" t="e">
        <f>VLOOKUP(C4626,شرکتها!A:B,2,FALSE)</f>
        <v>#N/A</v>
      </c>
      <c r="K4626" s="33" t="s">
        <v>12928</v>
      </c>
      <c r="L4626" s="53" t="str">
        <f>"کنيا"</f>
        <v>کنيا</v>
      </c>
      <c r="M4626" s="68" t="str">
        <f t="shared" si="111"/>
        <v>بشكه</v>
      </c>
      <c r="N4626" s="53" t="str">
        <f t="shared" si="110"/>
        <v>منطقه ويژه اقتصادي شهيد رجايي</v>
      </c>
      <c r="O4626" s="53">
        <v>50100</v>
      </c>
      <c r="P4626" s="198" t="s">
        <v>12684</v>
      </c>
    </row>
    <row r="4627" spans="1:16" ht="18.75" hidden="1">
      <c r="A4627" s="50" t="str">
        <f>"50100-9955197"</f>
        <v>50100-9955197</v>
      </c>
      <c r="B4627" s="50" t="str">
        <f>"96/12/12"</f>
        <v>96/12/12</v>
      </c>
      <c r="C4627" s="50" t="s">
        <v>12872</v>
      </c>
      <c r="D4627" s="12" t="s">
        <v>9929</v>
      </c>
      <c r="E4627" s="12" t="s">
        <v>4971</v>
      </c>
      <c r="F4627" s="49">
        <v>258870</v>
      </c>
      <c r="G4627" s="77" t="str">
        <f>"Black Gold Traders FZE"</f>
        <v>Black Gold Traders FZE</v>
      </c>
      <c r="H4627" s="14" t="s">
        <v>5601</v>
      </c>
      <c r="I4627" s="14" t="s">
        <v>2458</v>
      </c>
      <c r="J4627" s="33" t="s">
        <v>7110</v>
      </c>
      <c r="K4627" s="33" t="s">
        <v>12928</v>
      </c>
      <c r="L4627" s="53" t="str">
        <f>"هند"</f>
        <v>هند</v>
      </c>
      <c r="M4627" s="68" t="str">
        <f t="shared" si="111"/>
        <v>بشكه</v>
      </c>
      <c r="N4627" s="53" t="str">
        <f t="shared" si="110"/>
        <v>منطقه ويژه اقتصادي شهيد رجايي</v>
      </c>
      <c r="O4627" s="53">
        <v>50100</v>
      </c>
      <c r="P4627" s="198" t="s">
        <v>8753</v>
      </c>
    </row>
    <row r="4628" spans="1:16" ht="18.75" hidden="1">
      <c r="A4628" s="50" t="str">
        <f>"50100-9905449"</f>
        <v>50100-9905449</v>
      </c>
      <c r="B4628" s="50" t="str">
        <f>"96/12/02"</f>
        <v>96/12/02</v>
      </c>
      <c r="C4628" s="50" t="s">
        <v>12706</v>
      </c>
      <c r="D4628" s="12" t="s">
        <v>12542</v>
      </c>
      <c r="E4628" s="12" t="s">
        <v>4971</v>
      </c>
      <c r="F4628" s="49">
        <v>515314</v>
      </c>
      <c r="G4628" s="77" t="str">
        <f>"AL MASAR PETROLUME L.L.C"</f>
        <v>AL MASAR PETROLUME L.L.C</v>
      </c>
      <c r="H4628" s="14" t="s">
        <v>5601</v>
      </c>
      <c r="I4628" s="14" t="s">
        <v>2458</v>
      </c>
      <c r="J4628" s="33" t="e">
        <f>VLOOKUP(C4628,شرکتها!A:B,2,FALSE)</f>
        <v>#N/A</v>
      </c>
      <c r="K4628" s="33" t="s">
        <v>12928</v>
      </c>
      <c r="L4628" s="53" t="str">
        <f>"کنيا"</f>
        <v>کنيا</v>
      </c>
      <c r="M4628" s="68" t="str">
        <f t="shared" si="111"/>
        <v>بشكه</v>
      </c>
      <c r="N4628" s="53" t="str">
        <f t="shared" si="110"/>
        <v>منطقه ويژه اقتصادي شهيد رجايي</v>
      </c>
      <c r="O4628" s="53">
        <v>50100</v>
      </c>
      <c r="P4628" s="198" t="s">
        <v>12684</v>
      </c>
    </row>
    <row r="4629" spans="1:16" ht="18.75" hidden="1">
      <c r="A4629" s="50" t="str">
        <f>"50100-9916286"</f>
        <v>50100-9916286</v>
      </c>
      <c r="B4629" s="50" t="str">
        <f>"96/12/05"</f>
        <v>96/12/05</v>
      </c>
      <c r="C4629" s="50" t="s">
        <v>12706</v>
      </c>
      <c r="D4629" s="12" t="s">
        <v>12542</v>
      </c>
      <c r="E4629" s="12" t="s">
        <v>4971</v>
      </c>
      <c r="F4629" s="49">
        <v>236815</v>
      </c>
      <c r="G4629" s="77" t="str">
        <f>"AL MASAR PETROLUME L.L.C"</f>
        <v>AL MASAR PETROLUME L.L.C</v>
      </c>
      <c r="H4629" s="14" t="s">
        <v>5601</v>
      </c>
      <c r="I4629" s="14" t="s">
        <v>2458</v>
      </c>
      <c r="J4629" s="33" t="e">
        <f>VLOOKUP(C4629,شرکتها!A:B,2,FALSE)</f>
        <v>#N/A</v>
      </c>
      <c r="K4629" s="33" t="s">
        <v>12928</v>
      </c>
      <c r="L4629" s="53" t="str">
        <f>"کنيا"</f>
        <v>کنيا</v>
      </c>
      <c r="M4629" s="68" t="str">
        <f t="shared" si="111"/>
        <v>بشكه</v>
      </c>
      <c r="N4629" s="53" t="str">
        <f t="shared" si="110"/>
        <v>منطقه ويژه اقتصادي شهيد رجايي</v>
      </c>
      <c r="O4629" s="53">
        <v>50100</v>
      </c>
      <c r="P4629" s="198" t="s">
        <v>12684</v>
      </c>
    </row>
    <row r="4630" spans="1:16" ht="18.75" hidden="1">
      <c r="A4630" s="50" t="str">
        <f>"50100-9917978"</f>
        <v>50100-9917978</v>
      </c>
      <c r="B4630" s="50" t="str">
        <f>"96/12/05"</f>
        <v>96/12/05</v>
      </c>
      <c r="C4630" s="50" t="s">
        <v>12894</v>
      </c>
      <c r="D4630" s="12" t="s">
        <v>12895</v>
      </c>
      <c r="E4630" s="12" t="s">
        <v>4971</v>
      </c>
      <c r="F4630" s="49">
        <v>1749763</v>
      </c>
      <c r="G4630" s="77" t="str">
        <f>"AL MASAR PETROLUME L.L.C"</f>
        <v>AL MASAR PETROLUME L.L.C</v>
      </c>
      <c r="H4630" s="14" t="s">
        <v>5601</v>
      </c>
      <c r="I4630" s="14" t="s">
        <v>2458</v>
      </c>
      <c r="J4630" s="33" t="e">
        <f>VLOOKUP(C4630,شرکتها!A:B,2,FALSE)</f>
        <v>#N/A</v>
      </c>
      <c r="K4630" s="33" t="s">
        <v>12928</v>
      </c>
      <c r="L4630" s="53" t="str">
        <f>"عمان"</f>
        <v>عمان</v>
      </c>
      <c r="M4630" s="68" t="str">
        <f>"فله"</f>
        <v>فله</v>
      </c>
      <c r="N4630" s="53" t="str">
        <f t="shared" si="110"/>
        <v>منطقه ويژه اقتصادي شهيد رجايي</v>
      </c>
      <c r="O4630" s="53">
        <v>50100</v>
      </c>
      <c r="P4630" s="198" t="s">
        <v>12664</v>
      </c>
    </row>
    <row r="4631" spans="1:16" ht="18.75" hidden="1">
      <c r="A4631" s="50" t="str">
        <f>"50100-9955071"</f>
        <v>50100-9955071</v>
      </c>
      <c r="B4631" s="50" t="str">
        <f>"96/12/12"</f>
        <v>96/12/12</v>
      </c>
      <c r="C4631" s="50" t="s">
        <v>12896</v>
      </c>
      <c r="D4631" s="12" t="s">
        <v>9819</v>
      </c>
      <c r="E4631" s="12" t="s">
        <v>4971</v>
      </c>
      <c r="F4631" s="49">
        <v>200000</v>
      </c>
      <c r="G4631" s="77" t="str">
        <f>"Black Gold Traders FZE"</f>
        <v>Black Gold Traders FZE</v>
      </c>
      <c r="H4631" s="14" t="s">
        <v>5601</v>
      </c>
      <c r="I4631" s="14" t="s">
        <v>2458</v>
      </c>
      <c r="J4631" s="33" t="s">
        <v>7110</v>
      </c>
      <c r="K4631" s="33" t="s">
        <v>12928</v>
      </c>
      <c r="L4631" s="53" t="str">
        <f>"هند"</f>
        <v>هند</v>
      </c>
      <c r="M4631" s="68" t="str">
        <f>"بشكه"</f>
        <v>بشكه</v>
      </c>
      <c r="N4631" s="53" t="str">
        <f t="shared" si="110"/>
        <v>منطقه ويژه اقتصادي شهيد رجايي</v>
      </c>
      <c r="O4631" s="53">
        <v>50100</v>
      </c>
      <c r="P4631" s="198" t="s">
        <v>8753</v>
      </c>
    </row>
    <row r="4632" spans="1:16" ht="18.75" hidden="1">
      <c r="A4632" s="50" t="str">
        <f>"50100-9947817"</f>
        <v>50100-9947817</v>
      </c>
      <c r="B4632" s="50" t="str">
        <f>"96/12/10"</f>
        <v>96/12/10</v>
      </c>
      <c r="C4632" s="50" t="s">
        <v>12897</v>
      </c>
      <c r="D4632" s="12" t="s">
        <v>12898</v>
      </c>
      <c r="E4632" s="12" t="s">
        <v>4971</v>
      </c>
      <c r="F4632" s="49">
        <v>2799729</v>
      </c>
      <c r="G4632" s="77" t="str">
        <f>"AL MASAR PETROLUME L.L.C"</f>
        <v>AL MASAR PETROLUME L.L.C</v>
      </c>
      <c r="H4632" s="14" t="s">
        <v>5601</v>
      </c>
      <c r="I4632" s="14" t="s">
        <v>2458</v>
      </c>
      <c r="J4632" s="33" t="e">
        <f>VLOOKUP(C4632,شرکتها!A:B,2,FALSE)</f>
        <v>#N/A</v>
      </c>
      <c r="K4632" s="33" t="s">
        <v>12928</v>
      </c>
      <c r="L4632" s="53" t="str">
        <f>"قطر"</f>
        <v>قطر</v>
      </c>
      <c r="M4632" s="68" t="str">
        <f>"فله"</f>
        <v>فله</v>
      </c>
      <c r="N4632" s="53" t="str">
        <f t="shared" si="110"/>
        <v>منطقه ويژه اقتصادي شهيد رجايي</v>
      </c>
      <c r="O4632" s="53">
        <v>50100</v>
      </c>
      <c r="P4632" s="198" t="s">
        <v>12664</v>
      </c>
    </row>
    <row r="4633" spans="1:16" ht="18.75" hidden="1">
      <c r="A4633" s="50" t="str">
        <f>"50100-9907637"</f>
        <v>50100-9907637</v>
      </c>
      <c r="B4633" s="50" t="str">
        <f>"96/12/02"</f>
        <v>96/12/02</v>
      </c>
      <c r="C4633" s="50" t="s">
        <v>12706</v>
      </c>
      <c r="D4633" s="12" t="s">
        <v>12542</v>
      </c>
      <c r="E4633" s="12" t="s">
        <v>4971</v>
      </c>
      <c r="F4633" s="49">
        <v>297297</v>
      </c>
      <c r="G4633" s="77" t="str">
        <f>"AL MASAR PETROLUME L.L.C"</f>
        <v>AL MASAR PETROLUME L.L.C</v>
      </c>
      <c r="H4633" s="14" t="s">
        <v>5601</v>
      </c>
      <c r="I4633" s="14" t="s">
        <v>2458</v>
      </c>
      <c r="J4633" s="33" t="e">
        <f>VLOOKUP(C4633,شرکتها!A:B,2,FALSE)</f>
        <v>#N/A</v>
      </c>
      <c r="K4633" s="33" t="s">
        <v>12928</v>
      </c>
      <c r="L4633" s="53" t="str">
        <f>"بنگلادش"</f>
        <v>بنگلادش</v>
      </c>
      <c r="M4633" s="68" t="str">
        <f t="shared" ref="M4633:M4670" si="112">"بشكه"</f>
        <v>بشكه</v>
      </c>
      <c r="N4633" s="53" t="str">
        <f t="shared" si="110"/>
        <v>منطقه ويژه اقتصادي شهيد رجايي</v>
      </c>
      <c r="O4633" s="53">
        <v>50100</v>
      </c>
      <c r="P4633" s="198" t="s">
        <v>12684</v>
      </c>
    </row>
    <row r="4634" spans="1:16" ht="18.75" hidden="1">
      <c r="A4634" s="50" t="str">
        <f>"50100-9953639"</f>
        <v>50100-9953639</v>
      </c>
      <c r="B4634" s="50" t="str">
        <f>"96/12/12"</f>
        <v>96/12/12</v>
      </c>
      <c r="C4634" s="50" t="s">
        <v>12899</v>
      </c>
      <c r="D4634" s="12" t="s">
        <v>8830</v>
      </c>
      <c r="E4634" s="12" t="s">
        <v>4971</v>
      </c>
      <c r="F4634" s="49">
        <v>365000</v>
      </c>
      <c r="G4634" s="77" t="str">
        <f>"LLC Sebco Bitumen"</f>
        <v>LLC Sebco Bitumen</v>
      </c>
      <c r="H4634" s="14" t="s">
        <v>5601</v>
      </c>
      <c r="I4634" s="14" t="s">
        <v>2458</v>
      </c>
      <c r="J4634" s="33" t="s">
        <v>7110</v>
      </c>
      <c r="K4634" s="33" t="s">
        <v>12928</v>
      </c>
      <c r="L4634" s="53" t="str">
        <f>"هند"</f>
        <v>هند</v>
      </c>
      <c r="M4634" s="68" t="str">
        <f t="shared" si="112"/>
        <v>بشكه</v>
      </c>
      <c r="N4634" s="53" t="str">
        <f t="shared" si="110"/>
        <v>منطقه ويژه اقتصادي شهيد رجايي</v>
      </c>
      <c r="O4634" s="53">
        <v>50100</v>
      </c>
      <c r="P4634" s="198" t="s">
        <v>7175</v>
      </c>
    </row>
    <row r="4635" spans="1:16" ht="18.75" hidden="1">
      <c r="A4635" s="50" t="str">
        <f>"50100-9953639"</f>
        <v>50100-9953639</v>
      </c>
      <c r="B4635" s="50" t="str">
        <f>"96/12/12"</f>
        <v>96/12/12</v>
      </c>
      <c r="C4635" s="50" t="s">
        <v>12900</v>
      </c>
      <c r="D4635" s="12" t="s">
        <v>9933</v>
      </c>
      <c r="E4635" s="12" t="s">
        <v>4971</v>
      </c>
      <c r="F4635" s="49">
        <v>84042</v>
      </c>
      <c r="G4635" s="77" t="str">
        <f>"LLC Sebco Bitumen"</f>
        <v>LLC Sebco Bitumen</v>
      </c>
      <c r="H4635" s="14" t="s">
        <v>5601</v>
      </c>
      <c r="I4635" s="14" t="s">
        <v>2458</v>
      </c>
      <c r="J4635" s="33" t="s">
        <v>7110</v>
      </c>
      <c r="K4635" s="33" t="s">
        <v>12928</v>
      </c>
      <c r="L4635" s="53" t="str">
        <f>"هند"</f>
        <v>هند</v>
      </c>
      <c r="M4635" s="68" t="str">
        <f t="shared" si="112"/>
        <v>بشكه</v>
      </c>
      <c r="N4635" s="53" t="str">
        <f t="shared" si="110"/>
        <v>منطقه ويژه اقتصادي شهيد رجايي</v>
      </c>
      <c r="O4635" s="53">
        <v>50100</v>
      </c>
      <c r="P4635" s="198" t="s">
        <v>8698</v>
      </c>
    </row>
    <row r="4636" spans="1:16" ht="18.75" hidden="1">
      <c r="A4636" s="50" t="str">
        <f>"50100-9936029"</f>
        <v>50100-9936029</v>
      </c>
      <c r="B4636" s="50" t="str">
        <f>"96/12/08"</f>
        <v>96/12/08</v>
      </c>
      <c r="C4636" s="50" t="s">
        <v>12887</v>
      </c>
      <c r="D4636" s="12" t="s">
        <v>12662</v>
      </c>
      <c r="E4636" s="12" t="s">
        <v>4971</v>
      </c>
      <c r="F4636" s="49">
        <v>293072</v>
      </c>
      <c r="G4636" s="77" t="str">
        <f>"AL MASAR PETROLUME L.L.C"</f>
        <v>AL MASAR PETROLUME L.L.C</v>
      </c>
      <c r="H4636" s="14" t="s">
        <v>5601</v>
      </c>
      <c r="I4636" s="14" t="s">
        <v>2458</v>
      </c>
      <c r="J4636" s="33" t="e">
        <f>VLOOKUP(C4636,شرکتها!A:B,2,FALSE)</f>
        <v>#N/A</v>
      </c>
      <c r="K4636" s="33" t="s">
        <v>12928</v>
      </c>
      <c r="L4636" s="53" t="str">
        <f>"کنيا"</f>
        <v>کنيا</v>
      </c>
      <c r="M4636" s="68" t="str">
        <f t="shared" si="112"/>
        <v>بشكه</v>
      </c>
      <c r="N4636" s="53" t="str">
        <f t="shared" si="110"/>
        <v>منطقه ويژه اقتصادي شهيد رجايي</v>
      </c>
      <c r="O4636" s="53">
        <v>50100</v>
      </c>
      <c r="P4636" s="198" t="s">
        <v>12684</v>
      </c>
    </row>
    <row r="4637" spans="1:16" ht="18.75" hidden="1">
      <c r="A4637" s="50" t="str">
        <f>"50100-9936029"</f>
        <v>50100-9936029</v>
      </c>
      <c r="B4637" s="50" t="str">
        <f>"96/12/08"</f>
        <v>96/12/08</v>
      </c>
      <c r="C4637" s="50" t="s">
        <v>12706</v>
      </c>
      <c r="D4637" s="12" t="s">
        <v>12542</v>
      </c>
      <c r="E4637" s="12" t="s">
        <v>4971</v>
      </c>
      <c r="F4637" s="49">
        <v>14539</v>
      </c>
      <c r="G4637" s="77" t="str">
        <f>"AL MASAR PETROLUME L.L.C"</f>
        <v>AL MASAR PETROLUME L.L.C</v>
      </c>
      <c r="H4637" s="14" t="s">
        <v>5601</v>
      </c>
      <c r="I4637" s="14" t="s">
        <v>2458</v>
      </c>
      <c r="J4637" s="33" t="e">
        <f>VLOOKUP(C4637,شرکتها!A:B,2,FALSE)</f>
        <v>#N/A</v>
      </c>
      <c r="K4637" s="33" t="s">
        <v>12928</v>
      </c>
      <c r="L4637" s="53" t="str">
        <f>"کنيا"</f>
        <v>کنيا</v>
      </c>
      <c r="M4637" s="68" t="str">
        <f t="shared" si="112"/>
        <v>بشكه</v>
      </c>
      <c r="N4637" s="53" t="str">
        <f t="shared" si="110"/>
        <v>منطقه ويژه اقتصادي شهيد رجايي</v>
      </c>
      <c r="O4637" s="53">
        <v>50100</v>
      </c>
      <c r="P4637" s="198" t="s">
        <v>12684</v>
      </c>
    </row>
    <row r="4638" spans="1:16" ht="18.75" hidden="1">
      <c r="A4638" s="50" t="str">
        <f>"50100-9908471"</f>
        <v>50100-9908471</v>
      </c>
      <c r="B4638" s="50" t="str">
        <f>"96/12/02"</f>
        <v>96/12/02</v>
      </c>
      <c r="C4638" s="50" t="s">
        <v>12871</v>
      </c>
      <c r="D4638" s="12" t="s">
        <v>9825</v>
      </c>
      <c r="E4638" s="12" t="s">
        <v>4971</v>
      </c>
      <c r="F4638" s="49">
        <v>195281</v>
      </c>
      <c r="G4638" s="77" t="str">
        <f>"LLC Sebco Bitumen"</f>
        <v>LLC Sebco Bitumen</v>
      </c>
      <c r="H4638" s="14" t="s">
        <v>5601</v>
      </c>
      <c r="I4638" s="14" t="s">
        <v>2458</v>
      </c>
      <c r="J4638" s="33" t="s">
        <v>7110</v>
      </c>
      <c r="K4638" s="33" t="s">
        <v>12928</v>
      </c>
      <c r="L4638" s="53" t="str">
        <f>"هند"</f>
        <v>هند</v>
      </c>
      <c r="M4638" s="68" t="str">
        <f t="shared" si="112"/>
        <v>بشكه</v>
      </c>
      <c r="N4638" s="53" t="str">
        <f t="shared" si="110"/>
        <v>منطقه ويژه اقتصادي شهيد رجايي</v>
      </c>
      <c r="O4638" s="53">
        <v>50100</v>
      </c>
      <c r="P4638" s="198" t="s">
        <v>8698</v>
      </c>
    </row>
    <row r="4639" spans="1:16" ht="18.75" hidden="1">
      <c r="A4639" s="50" t="str">
        <f>"50100-9936029"</f>
        <v>50100-9936029</v>
      </c>
      <c r="B4639" s="50" t="str">
        <f>"96/12/08"</f>
        <v>96/12/08</v>
      </c>
      <c r="C4639" s="50" t="s">
        <v>12755</v>
      </c>
      <c r="D4639" s="12" t="s">
        <v>12536</v>
      </c>
      <c r="E4639" s="12" t="s">
        <v>4971</v>
      </c>
      <c r="F4639" s="49">
        <v>206299</v>
      </c>
      <c r="G4639" s="77" t="str">
        <f>"AL MASAR PETROLUME L.L.C"</f>
        <v>AL MASAR PETROLUME L.L.C</v>
      </c>
      <c r="H4639" s="14" t="s">
        <v>5601</v>
      </c>
      <c r="I4639" s="14" t="s">
        <v>2458</v>
      </c>
      <c r="J4639" s="33" t="e">
        <f>VLOOKUP(C4639,شرکتها!A:B,2,FALSE)</f>
        <v>#N/A</v>
      </c>
      <c r="K4639" s="33" t="s">
        <v>12928</v>
      </c>
      <c r="L4639" s="53" t="str">
        <f>"کنيا"</f>
        <v>کنيا</v>
      </c>
      <c r="M4639" s="68" t="str">
        <f t="shared" si="112"/>
        <v>بشكه</v>
      </c>
      <c r="N4639" s="53" t="str">
        <f t="shared" si="110"/>
        <v>منطقه ويژه اقتصادي شهيد رجايي</v>
      </c>
      <c r="O4639" s="53">
        <v>50100</v>
      </c>
      <c r="P4639" s="198" t="s">
        <v>12667</v>
      </c>
    </row>
    <row r="4640" spans="1:16" ht="18.75" hidden="1">
      <c r="A4640" s="50" t="str">
        <f>"50100-9916815"</f>
        <v>50100-9916815</v>
      </c>
      <c r="B4640" s="50" t="str">
        <f>"96/12/05"</f>
        <v>96/12/05</v>
      </c>
      <c r="C4640" s="50" t="s">
        <v>12901</v>
      </c>
      <c r="D4640" s="12" t="s">
        <v>10012</v>
      </c>
      <c r="E4640" s="12" t="s">
        <v>4971</v>
      </c>
      <c r="F4640" s="49">
        <v>74080</v>
      </c>
      <c r="G4640" s="77" t="str">
        <f>"DAXON PETROLEUM"</f>
        <v>DAXON PETROLEUM</v>
      </c>
      <c r="H4640" s="14" t="s">
        <v>5601</v>
      </c>
      <c r="I4640" s="14" t="s">
        <v>2458</v>
      </c>
      <c r="J4640" s="33" t="s">
        <v>7110</v>
      </c>
      <c r="K4640" s="33" t="s">
        <v>12928</v>
      </c>
      <c r="L4640" s="53" t="str">
        <f>"کنيا"</f>
        <v>کنيا</v>
      </c>
      <c r="M4640" s="68" t="str">
        <f t="shared" si="112"/>
        <v>بشكه</v>
      </c>
      <c r="N4640" s="53" t="str">
        <f t="shared" si="110"/>
        <v>منطقه ويژه اقتصادي شهيد رجايي</v>
      </c>
      <c r="O4640" s="53">
        <v>50100</v>
      </c>
      <c r="P4640" s="198" t="s">
        <v>9790</v>
      </c>
    </row>
    <row r="4641" spans="1:16" ht="18.75" hidden="1">
      <c r="A4641" s="50" t="str">
        <f>"50100-9960797"</f>
        <v>50100-9960797</v>
      </c>
      <c r="B4641" s="50" t="str">
        <f>"96/12/13"</f>
        <v>96/12/13</v>
      </c>
      <c r="C4641" s="50" t="s">
        <v>12876</v>
      </c>
      <c r="D4641" s="12" t="s">
        <v>12662</v>
      </c>
      <c r="E4641" s="12" t="s">
        <v>4971</v>
      </c>
      <c r="F4641" s="49">
        <v>33077</v>
      </c>
      <c r="G4641" s="77" t="str">
        <f>"AL MASAR PETROLUME L.L.C"</f>
        <v>AL MASAR PETROLUME L.L.C</v>
      </c>
      <c r="H4641" s="14" t="s">
        <v>5601</v>
      </c>
      <c r="I4641" s="14" t="s">
        <v>2458</v>
      </c>
      <c r="J4641" s="33" t="e">
        <f>VLOOKUP(C4641,شرکتها!A:B,2,FALSE)</f>
        <v>#N/A</v>
      </c>
      <c r="K4641" s="33" t="s">
        <v>12928</v>
      </c>
      <c r="L4641" s="53" t="str">
        <f>"بنگلادش"</f>
        <v>بنگلادش</v>
      </c>
      <c r="M4641" s="68" t="str">
        <f t="shared" si="112"/>
        <v>بشكه</v>
      </c>
      <c r="N4641" s="53" t="str">
        <f t="shared" si="110"/>
        <v>منطقه ويژه اقتصادي شهيد رجايي</v>
      </c>
      <c r="O4641" s="53">
        <v>50100</v>
      </c>
      <c r="P4641" s="198" t="s">
        <v>12684</v>
      </c>
    </row>
    <row r="4642" spans="1:16" ht="18.75" hidden="1">
      <c r="A4642" s="50" t="str">
        <f>"50100-9920676"</f>
        <v>50100-9920676</v>
      </c>
      <c r="B4642" s="50" t="str">
        <f>"96/12/05"</f>
        <v>96/12/05</v>
      </c>
      <c r="C4642" s="50" t="s">
        <v>12902</v>
      </c>
      <c r="D4642" s="12" t="s">
        <v>9997</v>
      </c>
      <c r="E4642" s="12" t="s">
        <v>4971</v>
      </c>
      <c r="F4642" s="49">
        <v>200000</v>
      </c>
      <c r="G4642" s="77" t="str">
        <f>"Black Gold Traders FZE"</f>
        <v>Black Gold Traders FZE</v>
      </c>
      <c r="H4642" s="14" t="s">
        <v>5601</v>
      </c>
      <c r="I4642" s="14" t="s">
        <v>2458</v>
      </c>
      <c r="J4642" s="33" t="s">
        <v>7110</v>
      </c>
      <c r="K4642" s="33" t="s">
        <v>12928</v>
      </c>
      <c r="L4642" s="53" t="str">
        <f>"تايوان"</f>
        <v>تايوان</v>
      </c>
      <c r="M4642" s="68" t="str">
        <f t="shared" si="112"/>
        <v>بشكه</v>
      </c>
      <c r="N4642" s="53" t="str">
        <f t="shared" si="110"/>
        <v>منطقه ويژه اقتصادي شهيد رجايي</v>
      </c>
      <c r="O4642" s="53">
        <v>50100</v>
      </c>
      <c r="P4642" s="198" t="s">
        <v>9795</v>
      </c>
    </row>
    <row r="4643" spans="1:16" ht="18.75" hidden="1">
      <c r="A4643" s="50" t="str">
        <f>"50100-9938092"</f>
        <v>50100-9938092</v>
      </c>
      <c r="B4643" s="50" t="str">
        <f>"96/12/08"</f>
        <v>96/12/08</v>
      </c>
      <c r="C4643" s="50" t="s">
        <v>12693</v>
      </c>
      <c r="D4643" s="12" t="s">
        <v>8824</v>
      </c>
      <c r="E4643" s="12" t="s">
        <v>4971</v>
      </c>
      <c r="F4643" s="49">
        <v>20800</v>
      </c>
      <c r="G4643" s="77" t="str">
        <f>"LLC Sebco Bitumen"</f>
        <v>LLC Sebco Bitumen</v>
      </c>
      <c r="H4643" s="14" t="s">
        <v>5601</v>
      </c>
      <c r="I4643" s="14" t="s">
        <v>2458</v>
      </c>
      <c r="J4643" s="33" t="s">
        <v>7110</v>
      </c>
      <c r="K4643" s="33" t="s">
        <v>12928</v>
      </c>
      <c r="L4643" s="53" t="str">
        <f>"چين"</f>
        <v>چين</v>
      </c>
      <c r="M4643" s="68" t="str">
        <f t="shared" si="112"/>
        <v>بشكه</v>
      </c>
      <c r="N4643" s="53" t="str">
        <f t="shared" si="110"/>
        <v>منطقه ويژه اقتصادي شهيد رجايي</v>
      </c>
      <c r="O4643" s="53">
        <v>50100</v>
      </c>
      <c r="P4643" s="198" t="s">
        <v>8698</v>
      </c>
    </row>
    <row r="4644" spans="1:16" ht="18.75" hidden="1">
      <c r="A4644" s="50" t="str">
        <f>"50100-9908471"</f>
        <v>50100-9908471</v>
      </c>
      <c r="B4644" s="50" t="str">
        <f>"96/12/02"</f>
        <v>96/12/02</v>
      </c>
      <c r="C4644" s="50" t="s">
        <v>12903</v>
      </c>
      <c r="D4644" s="12" t="s">
        <v>8767</v>
      </c>
      <c r="E4644" s="12" t="s">
        <v>4971</v>
      </c>
      <c r="F4644" s="49">
        <v>150000</v>
      </c>
      <c r="G4644" s="77" t="str">
        <f>"LLC Sebco Bitumen"</f>
        <v>LLC Sebco Bitumen</v>
      </c>
      <c r="H4644" s="14" t="s">
        <v>5601</v>
      </c>
      <c r="I4644" s="14" t="s">
        <v>2458</v>
      </c>
      <c r="J4644" s="33" t="s">
        <v>7110</v>
      </c>
      <c r="K4644" s="33" t="s">
        <v>12928</v>
      </c>
      <c r="L4644" s="53" t="str">
        <f>"هند"</f>
        <v>هند</v>
      </c>
      <c r="M4644" s="68" t="str">
        <f t="shared" si="112"/>
        <v>بشكه</v>
      </c>
      <c r="N4644" s="53" t="str">
        <f t="shared" si="110"/>
        <v>منطقه ويژه اقتصادي شهيد رجايي</v>
      </c>
      <c r="O4644" s="53">
        <v>50100</v>
      </c>
      <c r="P4644" s="198" t="s">
        <v>7175</v>
      </c>
    </row>
    <row r="4645" spans="1:16" ht="18.75" hidden="1">
      <c r="A4645" s="50" t="str">
        <f>"50100-9966417"</f>
        <v>50100-9966417</v>
      </c>
      <c r="B4645" s="50" t="str">
        <f>"96/12/14"</f>
        <v>96/12/14</v>
      </c>
      <c r="C4645" s="50" t="s">
        <v>12904</v>
      </c>
      <c r="D4645" s="12" t="s">
        <v>9832</v>
      </c>
      <c r="E4645" s="12" t="s">
        <v>4971</v>
      </c>
      <c r="F4645" s="49">
        <v>255495</v>
      </c>
      <c r="G4645" s="77" t="str">
        <f>"Black Gold Traders FZE"</f>
        <v>Black Gold Traders FZE</v>
      </c>
      <c r="H4645" s="14" t="s">
        <v>5601</v>
      </c>
      <c r="I4645" s="14" t="s">
        <v>2458</v>
      </c>
      <c r="J4645" s="33" t="s">
        <v>7110</v>
      </c>
      <c r="K4645" s="33" t="s">
        <v>12928</v>
      </c>
      <c r="L4645" s="53" t="str">
        <f>"هند"</f>
        <v>هند</v>
      </c>
      <c r="M4645" s="68" t="str">
        <f t="shared" si="112"/>
        <v>بشكه</v>
      </c>
      <c r="N4645" s="53" t="str">
        <f t="shared" si="110"/>
        <v>منطقه ويژه اقتصادي شهيد رجايي</v>
      </c>
      <c r="O4645" s="53">
        <v>50100</v>
      </c>
      <c r="P4645" s="198" t="s">
        <v>8753</v>
      </c>
    </row>
    <row r="4646" spans="1:16" ht="18.75" hidden="1">
      <c r="A4646" s="50" t="str">
        <f>"50100-9920354"</f>
        <v>50100-9920354</v>
      </c>
      <c r="B4646" s="50" t="str">
        <f>"96/12/05"</f>
        <v>96/12/05</v>
      </c>
      <c r="C4646" s="50" t="s">
        <v>12905</v>
      </c>
      <c r="D4646" s="12" t="s">
        <v>9827</v>
      </c>
      <c r="E4646" s="12" t="s">
        <v>4971</v>
      </c>
      <c r="F4646" s="49">
        <v>915041</v>
      </c>
      <c r="G4646" s="77" t="str">
        <f>"LLC Sebco Bitumen"</f>
        <v>LLC Sebco Bitumen</v>
      </c>
      <c r="H4646" s="14" t="s">
        <v>5601</v>
      </c>
      <c r="I4646" s="14" t="s">
        <v>2458</v>
      </c>
      <c r="J4646" s="33" t="s">
        <v>7110</v>
      </c>
      <c r="K4646" s="33" t="s">
        <v>12928</v>
      </c>
      <c r="L4646" s="53" t="str">
        <f>" امارات متحده عربي"</f>
        <v xml:space="preserve"> امارات متحده عربي</v>
      </c>
      <c r="M4646" s="68" t="str">
        <f t="shared" si="112"/>
        <v>بشكه</v>
      </c>
      <c r="N4646" s="53" t="str">
        <f t="shared" si="110"/>
        <v>منطقه ويژه اقتصادي شهيد رجايي</v>
      </c>
      <c r="O4646" s="53">
        <v>50100</v>
      </c>
      <c r="P4646" s="198" t="s">
        <v>9769</v>
      </c>
    </row>
    <row r="4647" spans="1:16" ht="18.75" hidden="1">
      <c r="A4647" s="50" t="str">
        <f>"50100-9961749"</f>
        <v>50100-9961749</v>
      </c>
      <c r="B4647" s="50" t="str">
        <f>"96/12/13"</f>
        <v>96/12/13</v>
      </c>
      <c r="C4647" s="50" t="s">
        <v>12906</v>
      </c>
      <c r="D4647" s="12" t="s">
        <v>12880</v>
      </c>
      <c r="E4647" s="12" t="s">
        <v>4971</v>
      </c>
      <c r="F4647" s="49">
        <v>98675</v>
      </c>
      <c r="G4647" s="77" t="str">
        <f>"LLC Sebco Bitumen"</f>
        <v>LLC Sebco Bitumen</v>
      </c>
      <c r="H4647" s="14" t="s">
        <v>5601</v>
      </c>
      <c r="I4647" s="14" t="s">
        <v>2458</v>
      </c>
      <c r="J4647" s="33" t="s">
        <v>7110</v>
      </c>
      <c r="K4647" s="33" t="s">
        <v>12928</v>
      </c>
      <c r="L4647" s="53" t="str">
        <f>"کنيا"</f>
        <v>کنيا</v>
      </c>
      <c r="M4647" s="68" t="str">
        <f t="shared" si="112"/>
        <v>بشكه</v>
      </c>
      <c r="N4647" s="53" t="str">
        <f t="shared" si="110"/>
        <v>منطقه ويژه اقتصادي شهيد رجايي</v>
      </c>
      <c r="O4647" s="53">
        <v>50100</v>
      </c>
      <c r="P4647" s="198" t="s">
        <v>12668</v>
      </c>
    </row>
    <row r="4648" spans="1:16" ht="18.75" hidden="1">
      <c r="A4648" s="50" t="str">
        <f>"50100-9940182"</f>
        <v>50100-9940182</v>
      </c>
      <c r="B4648" s="50" t="str">
        <f>"96/12/08"</f>
        <v>96/12/08</v>
      </c>
      <c r="C4648" s="50" t="s">
        <v>12907</v>
      </c>
      <c r="D4648" s="12" t="s">
        <v>12880</v>
      </c>
      <c r="E4648" s="12" t="s">
        <v>4971</v>
      </c>
      <c r="F4648" s="49">
        <v>98753</v>
      </c>
      <c r="G4648" s="77" t="s">
        <v>6298</v>
      </c>
      <c r="H4648" s="14" t="s">
        <v>5601</v>
      </c>
      <c r="I4648" s="14" t="s">
        <v>2458</v>
      </c>
      <c r="J4648" s="33" t="s">
        <v>7110</v>
      </c>
      <c r="K4648" s="33" t="s">
        <v>12928</v>
      </c>
      <c r="L4648" s="53" t="str">
        <f>"هند"</f>
        <v>هند</v>
      </c>
      <c r="M4648" s="68" t="str">
        <f t="shared" si="112"/>
        <v>بشكه</v>
      </c>
      <c r="N4648" s="53" t="str">
        <f t="shared" si="110"/>
        <v>منطقه ويژه اقتصادي شهيد رجايي</v>
      </c>
      <c r="O4648" s="53">
        <v>50100</v>
      </c>
      <c r="P4648" s="198" t="s">
        <v>12668</v>
      </c>
    </row>
    <row r="4649" spans="1:16" ht="18.75" hidden="1">
      <c r="A4649" s="50" t="str">
        <f>"50100-9925588"</f>
        <v>50100-9925588</v>
      </c>
      <c r="B4649" s="50" t="str">
        <f>"96/12/06"</f>
        <v>96/12/06</v>
      </c>
      <c r="C4649" s="50" t="s">
        <v>12905</v>
      </c>
      <c r="D4649" s="12" t="s">
        <v>9827</v>
      </c>
      <c r="E4649" s="12" t="s">
        <v>4971</v>
      </c>
      <c r="F4649" s="49">
        <v>63496</v>
      </c>
      <c r="G4649" s="77" t="str">
        <f>"LLC Sebco Bitumen"</f>
        <v>LLC Sebco Bitumen</v>
      </c>
      <c r="H4649" s="14" t="s">
        <v>5601</v>
      </c>
      <c r="I4649" s="14" t="s">
        <v>2458</v>
      </c>
      <c r="J4649" s="33" t="s">
        <v>7110</v>
      </c>
      <c r="K4649" s="33" t="s">
        <v>12928</v>
      </c>
      <c r="L4649" s="53" t="str">
        <f>"هند"</f>
        <v>هند</v>
      </c>
      <c r="M4649" s="68" t="str">
        <f t="shared" si="112"/>
        <v>بشكه</v>
      </c>
      <c r="N4649" s="53" t="str">
        <f t="shared" ref="N4649:N4678" si="113">"منطقه ويژه اقتصادي شهيد رجايي"</f>
        <v>منطقه ويژه اقتصادي شهيد رجايي</v>
      </c>
      <c r="O4649" s="53">
        <v>50100</v>
      </c>
      <c r="P4649" s="198" t="s">
        <v>9769</v>
      </c>
    </row>
    <row r="4650" spans="1:16" ht="18.75" hidden="1">
      <c r="A4650" s="50" t="str">
        <f>"50100-9958041"</f>
        <v>50100-9958041</v>
      </c>
      <c r="B4650" s="50" t="str">
        <f>"96/12/13"</f>
        <v>96/12/13</v>
      </c>
      <c r="C4650" s="50" t="s">
        <v>12908</v>
      </c>
      <c r="D4650" s="12" t="s">
        <v>12880</v>
      </c>
      <c r="E4650" s="12" t="s">
        <v>4971</v>
      </c>
      <c r="F4650" s="49">
        <v>297021</v>
      </c>
      <c r="G4650" s="77" t="s">
        <v>6298</v>
      </c>
      <c r="H4650" s="14" t="s">
        <v>5601</v>
      </c>
      <c r="I4650" s="14" t="s">
        <v>2458</v>
      </c>
      <c r="J4650" s="33" t="s">
        <v>7110</v>
      </c>
      <c r="K4650" s="33" t="s">
        <v>12928</v>
      </c>
      <c r="L4650" s="53" t="str">
        <f>"هند"</f>
        <v>هند</v>
      </c>
      <c r="M4650" s="68" t="str">
        <f t="shared" si="112"/>
        <v>بشكه</v>
      </c>
      <c r="N4650" s="53" t="str">
        <f t="shared" si="113"/>
        <v>منطقه ويژه اقتصادي شهيد رجايي</v>
      </c>
      <c r="O4650" s="53">
        <v>50100</v>
      </c>
      <c r="P4650" s="198" t="s">
        <v>12668</v>
      </c>
    </row>
    <row r="4651" spans="1:16" ht="18.75" hidden="1">
      <c r="A4651" s="50" t="str">
        <f>"50100-9924832"</f>
        <v>50100-9924832</v>
      </c>
      <c r="B4651" s="50" t="str">
        <f>"96/12/06"</f>
        <v>96/12/06</v>
      </c>
      <c r="C4651" s="50" t="s">
        <v>12909</v>
      </c>
      <c r="D4651" s="12" t="s">
        <v>12736</v>
      </c>
      <c r="E4651" s="12" t="s">
        <v>4971</v>
      </c>
      <c r="F4651" s="49">
        <v>3101</v>
      </c>
      <c r="G4651" s="77" t="str">
        <f>"AL MASAR PETROLUME L.L.C"</f>
        <v>AL MASAR PETROLUME L.L.C</v>
      </c>
      <c r="H4651" s="14" t="s">
        <v>5601</v>
      </c>
      <c r="I4651" s="14" t="s">
        <v>2458</v>
      </c>
      <c r="J4651" s="33" t="e">
        <f>VLOOKUP(C4651,شرکتها!A:B,2,FALSE)</f>
        <v>#N/A</v>
      </c>
      <c r="K4651" s="33" t="s">
        <v>12928</v>
      </c>
      <c r="L4651" s="53" t="str">
        <f>"کنيا"</f>
        <v>کنيا</v>
      </c>
      <c r="M4651" s="68" t="str">
        <f t="shared" si="112"/>
        <v>بشكه</v>
      </c>
      <c r="N4651" s="53" t="str">
        <f t="shared" si="113"/>
        <v>منطقه ويژه اقتصادي شهيد رجايي</v>
      </c>
      <c r="O4651" s="53">
        <v>50100</v>
      </c>
      <c r="P4651" s="198" t="s">
        <v>12667</v>
      </c>
    </row>
    <row r="4652" spans="1:16" ht="18.75" hidden="1">
      <c r="A4652" s="50" t="str">
        <f>"50100-9933942"</f>
        <v>50100-9933942</v>
      </c>
      <c r="B4652" s="50" t="str">
        <f>"96/12/07"</f>
        <v>96/12/07</v>
      </c>
      <c r="C4652" s="50" t="s">
        <v>12905</v>
      </c>
      <c r="D4652" s="12" t="s">
        <v>9827</v>
      </c>
      <c r="E4652" s="12" t="s">
        <v>4971</v>
      </c>
      <c r="F4652" s="49">
        <v>21463</v>
      </c>
      <c r="G4652" s="77" t="str">
        <f>"LLC Sebco Bitumen"</f>
        <v>LLC Sebco Bitumen</v>
      </c>
      <c r="H4652" s="14" t="s">
        <v>5601</v>
      </c>
      <c r="I4652" s="14" t="s">
        <v>2458</v>
      </c>
      <c r="J4652" s="33" t="s">
        <v>7110</v>
      </c>
      <c r="K4652" s="33" t="s">
        <v>12928</v>
      </c>
      <c r="L4652" s="53" t="str">
        <f>" امارات متحده عربي"</f>
        <v xml:space="preserve"> امارات متحده عربي</v>
      </c>
      <c r="M4652" s="68" t="str">
        <f t="shared" si="112"/>
        <v>بشكه</v>
      </c>
      <c r="N4652" s="53" t="str">
        <f t="shared" si="113"/>
        <v>منطقه ويژه اقتصادي شهيد رجايي</v>
      </c>
      <c r="O4652" s="53">
        <v>50100</v>
      </c>
      <c r="P4652" s="198" t="s">
        <v>9769</v>
      </c>
    </row>
    <row r="4653" spans="1:16" ht="18.75" hidden="1">
      <c r="A4653" s="50" t="str">
        <f>"50100-9957796"</f>
        <v>50100-9957796</v>
      </c>
      <c r="B4653" s="50" t="str">
        <f>"96/12/13"</f>
        <v>96/12/13</v>
      </c>
      <c r="C4653" s="50" t="s">
        <v>12722</v>
      </c>
      <c r="D4653" s="12" t="s">
        <v>9997</v>
      </c>
      <c r="E4653" s="12" t="s">
        <v>4971</v>
      </c>
      <c r="F4653" s="49">
        <v>84435</v>
      </c>
      <c r="G4653" s="77" t="str">
        <f>"DAXON PETROLEUM"</f>
        <v>DAXON PETROLEUM</v>
      </c>
      <c r="H4653" s="14" t="s">
        <v>5601</v>
      </c>
      <c r="I4653" s="14" t="s">
        <v>2458</v>
      </c>
      <c r="J4653" s="33" t="s">
        <v>7110</v>
      </c>
      <c r="K4653" s="33" t="s">
        <v>12928</v>
      </c>
      <c r="L4653" s="53" t="str">
        <f>"کنيا"</f>
        <v>کنيا</v>
      </c>
      <c r="M4653" s="68" t="str">
        <f t="shared" si="112"/>
        <v>بشكه</v>
      </c>
      <c r="N4653" s="53" t="str">
        <f t="shared" si="113"/>
        <v>منطقه ويژه اقتصادي شهيد رجايي</v>
      </c>
      <c r="O4653" s="53">
        <v>50100</v>
      </c>
      <c r="P4653" s="198" t="s">
        <v>9796</v>
      </c>
    </row>
    <row r="4654" spans="1:16" ht="18.75" hidden="1">
      <c r="A4654" s="50" t="str">
        <f>"50100-9920676"</f>
        <v>50100-9920676</v>
      </c>
      <c r="B4654" s="50" t="str">
        <f>"96/12/05"</f>
        <v>96/12/05</v>
      </c>
      <c r="C4654" s="50" t="s">
        <v>12519</v>
      </c>
      <c r="D4654" s="12" t="s">
        <v>8911</v>
      </c>
      <c r="E4654" s="12" t="s">
        <v>4971</v>
      </c>
      <c r="F4654" s="49">
        <v>116691</v>
      </c>
      <c r="G4654" s="77" t="str">
        <f>"Black Gold Traders FZE"</f>
        <v>Black Gold Traders FZE</v>
      </c>
      <c r="H4654" s="14" t="s">
        <v>5601</v>
      </c>
      <c r="I4654" s="14" t="s">
        <v>2458</v>
      </c>
      <c r="J4654" s="33" t="s">
        <v>7110</v>
      </c>
      <c r="K4654" s="33" t="s">
        <v>12928</v>
      </c>
      <c r="L4654" s="53" t="str">
        <f>"تايوان"</f>
        <v>تايوان</v>
      </c>
      <c r="M4654" s="68" t="str">
        <f t="shared" si="112"/>
        <v>بشكه</v>
      </c>
      <c r="N4654" s="53" t="str">
        <f t="shared" si="113"/>
        <v>منطقه ويژه اقتصادي شهيد رجايي</v>
      </c>
      <c r="O4654" s="53">
        <v>50100</v>
      </c>
      <c r="P4654" s="198" t="s">
        <v>9774</v>
      </c>
    </row>
    <row r="4655" spans="1:16" ht="18.75" hidden="1">
      <c r="A4655" s="50" t="str">
        <f>"50100-9920676"</f>
        <v>50100-9920676</v>
      </c>
      <c r="B4655" s="50" t="str">
        <f>"96/12/05"</f>
        <v>96/12/05</v>
      </c>
      <c r="C4655" s="50" t="s">
        <v>12474</v>
      </c>
      <c r="D4655" s="12" t="s">
        <v>9952</v>
      </c>
      <c r="E4655" s="12" t="s">
        <v>4971</v>
      </c>
      <c r="F4655" s="49">
        <v>148035</v>
      </c>
      <c r="G4655" s="77" t="str">
        <f>"Black Gold Traders FZE"</f>
        <v>Black Gold Traders FZE</v>
      </c>
      <c r="H4655" s="14" t="s">
        <v>5601</v>
      </c>
      <c r="I4655" s="14" t="s">
        <v>2458</v>
      </c>
      <c r="J4655" s="33" t="s">
        <v>7110</v>
      </c>
      <c r="K4655" s="33" t="s">
        <v>12928</v>
      </c>
      <c r="L4655" s="53" t="str">
        <f>"تايوان"</f>
        <v>تايوان</v>
      </c>
      <c r="M4655" s="68" t="str">
        <f t="shared" si="112"/>
        <v>بشكه</v>
      </c>
      <c r="N4655" s="53" t="str">
        <f t="shared" si="113"/>
        <v>منطقه ويژه اقتصادي شهيد رجايي</v>
      </c>
      <c r="O4655" s="53">
        <v>50100</v>
      </c>
      <c r="P4655" s="198" t="s">
        <v>9762</v>
      </c>
    </row>
    <row r="4656" spans="1:16" ht="18.75" hidden="1">
      <c r="A4656" s="50" t="str">
        <f>"50100-9948520"</f>
        <v>50100-9948520</v>
      </c>
      <c r="B4656" s="50" t="str">
        <f>"96/12/10"</f>
        <v>96/12/10</v>
      </c>
      <c r="C4656" s="50" t="s">
        <v>12474</v>
      </c>
      <c r="D4656" s="12" t="s">
        <v>9952</v>
      </c>
      <c r="E4656" s="12" t="s">
        <v>4971</v>
      </c>
      <c r="F4656" s="49">
        <v>352925</v>
      </c>
      <c r="G4656" s="77" t="str">
        <f>"Black Gold Traders FZE"</f>
        <v>Black Gold Traders FZE</v>
      </c>
      <c r="H4656" s="14" t="s">
        <v>5601</v>
      </c>
      <c r="I4656" s="14" t="s">
        <v>2458</v>
      </c>
      <c r="J4656" s="33" t="s">
        <v>7110</v>
      </c>
      <c r="K4656" s="33" t="s">
        <v>12928</v>
      </c>
      <c r="L4656" s="53" t="str">
        <f>"آفريقاي جنوبي"</f>
        <v>آفريقاي جنوبي</v>
      </c>
      <c r="M4656" s="68" t="str">
        <f t="shared" si="112"/>
        <v>بشكه</v>
      </c>
      <c r="N4656" s="53" t="str">
        <f t="shared" si="113"/>
        <v>منطقه ويژه اقتصادي شهيد رجايي</v>
      </c>
      <c r="O4656" s="53">
        <v>50100</v>
      </c>
      <c r="P4656" s="198" t="s">
        <v>9762</v>
      </c>
    </row>
    <row r="4657" spans="1:16" ht="18.75" hidden="1">
      <c r="A4657" s="50" t="str">
        <f>"50100-9948520"</f>
        <v>50100-9948520</v>
      </c>
      <c r="B4657" s="50" t="str">
        <f>"96/12/10"</f>
        <v>96/12/10</v>
      </c>
      <c r="C4657" s="50" t="s">
        <v>12910</v>
      </c>
      <c r="D4657" s="12" t="s">
        <v>9835</v>
      </c>
      <c r="E4657" s="12" t="s">
        <v>4971</v>
      </c>
      <c r="F4657" s="49">
        <v>146765</v>
      </c>
      <c r="G4657" s="77" t="str">
        <f>"Black Gold Traders FZE"</f>
        <v>Black Gold Traders FZE</v>
      </c>
      <c r="H4657" s="14" t="s">
        <v>5601</v>
      </c>
      <c r="I4657" s="14" t="s">
        <v>2458</v>
      </c>
      <c r="J4657" s="33" t="s">
        <v>7110</v>
      </c>
      <c r="K4657" s="33" t="s">
        <v>12928</v>
      </c>
      <c r="L4657" s="53" t="str">
        <f>"آفريقاي جنوبي"</f>
        <v>آفريقاي جنوبي</v>
      </c>
      <c r="M4657" s="68" t="str">
        <f t="shared" si="112"/>
        <v>بشكه</v>
      </c>
      <c r="N4657" s="53" t="str">
        <f t="shared" si="113"/>
        <v>منطقه ويژه اقتصادي شهيد رجايي</v>
      </c>
      <c r="O4657" s="53">
        <v>50100</v>
      </c>
      <c r="P4657" s="198" t="s">
        <v>9762</v>
      </c>
    </row>
    <row r="4658" spans="1:16" ht="18.75" hidden="1">
      <c r="A4658" s="50" t="str">
        <f>"50100-9938517"</f>
        <v>50100-9938517</v>
      </c>
      <c r="B4658" s="50" t="str">
        <f>"96/12/08"</f>
        <v>96/12/08</v>
      </c>
      <c r="C4658" s="50" t="s">
        <v>9885</v>
      </c>
      <c r="D4658" s="12" t="s">
        <v>9825</v>
      </c>
      <c r="E4658" s="12" t="s">
        <v>4971</v>
      </c>
      <c r="F4658" s="49">
        <v>6737</v>
      </c>
      <c r="G4658" s="77" t="str">
        <f>"Black Gold Traders FZE"</f>
        <v>Black Gold Traders FZE</v>
      </c>
      <c r="H4658" s="14" t="s">
        <v>5601</v>
      </c>
      <c r="I4658" s="14" t="s">
        <v>2458</v>
      </c>
      <c r="J4658" s="33" t="s">
        <v>7110</v>
      </c>
      <c r="K4658" s="33" t="s">
        <v>12928</v>
      </c>
      <c r="L4658" s="53" t="str">
        <f>"مالزي"</f>
        <v>مالزي</v>
      </c>
      <c r="M4658" s="68" t="str">
        <f t="shared" si="112"/>
        <v>بشكه</v>
      </c>
      <c r="N4658" s="53" t="str">
        <f t="shared" si="113"/>
        <v>منطقه ويژه اقتصادي شهيد رجايي</v>
      </c>
      <c r="O4658" s="53">
        <v>50100</v>
      </c>
      <c r="P4658" s="198" t="s">
        <v>8753</v>
      </c>
    </row>
    <row r="4659" spans="1:16" ht="18.75" hidden="1">
      <c r="A4659" s="50" t="str">
        <f>"50100-9942816"</f>
        <v>50100-9942816</v>
      </c>
      <c r="B4659" s="50" t="str">
        <f>"96/12/09"</f>
        <v>96/12/09</v>
      </c>
      <c r="C4659" s="50" t="s">
        <v>12911</v>
      </c>
      <c r="D4659" s="12" t="s">
        <v>10052</v>
      </c>
      <c r="E4659" s="12" t="s">
        <v>4971</v>
      </c>
      <c r="F4659" s="49">
        <v>6319</v>
      </c>
      <c r="G4659" s="77" t="str">
        <f>"DAXON PETROLEUM"</f>
        <v>DAXON PETROLEUM</v>
      </c>
      <c r="H4659" s="14" t="s">
        <v>5601</v>
      </c>
      <c r="I4659" s="14" t="s">
        <v>2458</v>
      </c>
      <c r="J4659" s="33" t="s">
        <v>7110</v>
      </c>
      <c r="K4659" s="33" t="s">
        <v>12928</v>
      </c>
      <c r="L4659" s="53" t="str">
        <f>"شيلي"</f>
        <v>شيلي</v>
      </c>
      <c r="M4659" s="68" t="str">
        <f t="shared" si="112"/>
        <v>بشكه</v>
      </c>
      <c r="N4659" s="53" t="str">
        <f t="shared" si="113"/>
        <v>منطقه ويژه اقتصادي شهيد رجايي</v>
      </c>
      <c r="O4659" s="53">
        <v>50100</v>
      </c>
      <c r="P4659" s="198" t="s">
        <v>9789</v>
      </c>
    </row>
    <row r="4660" spans="1:16" ht="18.75" hidden="1">
      <c r="A4660" s="50" t="str">
        <f>"50100-9967280"</f>
        <v>50100-9967280</v>
      </c>
      <c r="B4660" s="50" t="str">
        <f>"96/12/14"</f>
        <v>96/12/14</v>
      </c>
      <c r="C4660" s="50" t="s">
        <v>12912</v>
      </c>
      <c r="D4660" s="12" t="s">
        <v>12880</v>
      </c>
      <c r="E4660" s="12" t="s">
        <v>4971</v>
      </c>
      <c r="F4660" s="49">
        <v>492154</v>
      </c>
      <c r="G4660" s="77" t="s">
        <v>6298</v>
      </c>
      <c r="H4660" s="14" t="s">
        <v>5601</v>
      </c>
      <c r="I4660" s="14" t="s">
        <v>2458</v>
      </c>
      <c r="J4660" s="33" t="s">
        <v>7110</v>
      </c>
      <c r="K4660" s="33" t="s">
        <v>12928</v>
      </c>
      <c r="L4660" s="53" t="str">
        <f>"هند"</f>
        <v>هند</v>
      </c>
      <c r="M4660" s="68" t="str">
        <f t="shared" si="112"/>
        <v>بشكه</v>
      </c>
      <c r="N4660" s="53" t="str">
        <f t="shared" si="113"/>
        <v>منطقه ويژه اقتصادي شهيد رجايي</v>
      </c>
      <c r="O4660" s="53">
        <v>50100</v>
      </c>
      <c r="P4660" s="198" t="s">
        <v>12668</v>
      </c>
    </row>
    <row r="4661" spans="1:16" ht="18.75" hidden="1">
      <c r="A4661" s="50" t="str">
        <f>"50100-9955071"</f>
        <v>50100-9955071</v>
      </c>
      <c r="B4661" s="50" t="str">
        <f>"96/12/12"</f>
        <v>96/12/12</v>
      </c>
      <c r="C4661" s="50" t="s">
        <v>12904</v>
      </c>
      <c r="D4661" s="12" t="s">
        <v>9832</v>
      </c>
      <c r="E4661" s="12" t="s">
        <v>4971</v>
      </c>
      <c r="F4661" s="49">
        <v>114505</v>
      </c>
      <c r="G4661" s="77" t="str">
        <f>"Black Gold Traders FZE"</f>
        <v>Black Gold Traders FZE</v>
      </c>
      <c r="H4661" s="14" t="s">
        <v>5601</v>
      </c>
      <c r="I4661" s="14" t="s">
        <v>2458</v>
      </c>
      <c r="J4661" s="33" t="s">
        <v>7110</v>
      </c>
      <c r="K4661" s="33" t="s">
        <v>12928</v>
      </c>
      <c r="L4661" s="53" t="str">
        <f>"هند"</f>
        <v>هند</v>
      </c>
      <c r="M4661" s="68" t="str">
        <f t="shared" si="112"/>
        <v>بشكه</v>
      </c>
      <c r="N4661" s="53" t="str">
        <f t="shared" si="113"/>
        <v>منطقه ويژه اقتصادي شهيد رجايي</v>
      </c>
      <c r="O4661" s="53">
        <v>50100</v>
      </c>
      <c r="P4661" s="198" t="s">
        <v>8753</v>
      </c>
    </row>
    <row r="4662" spans="1:16" ht="18.75" hidden="1">
      <c r="A4662" s="50" t="str">
        <f>"50100-9955197"</f>
        <v>50100-9955197</v>
      </c>
      <c r="B4662" s="50" t="str">
        <f>"96/12/12"</f>
        <v>96/12/12</v>
      </c>
      <c r="C4662" s="50" t="s">
        <v>12913</v>
      </c>
      <c r="D4662" s="12" t="s">
        <v>9929</v>
      </c>
      <c r="E4662" s="12" t="s">
        <v>4971</v>
      </c>
      <c r="F4662" s="49">
        <v>39260</v>
      </c>
      <c r="G4662" s="77" t="str">
        <f>"Black Gold Traders FZE"</f>
        <v>Black Gold Traders FZE</v>
      </c>
      <c r="H4662" s="14" t="s">
        <v>5601</v>
      </c>
      <c r="I4662" s="14" t="s">
        <v>2458</v>
      </c>
      <c r="J4662" s="33" t="s">
        <v>7110</v>
      </c>
      <c r="K4662" s="33" t="s">
        <v>12928</v>
      </c>
      <c r="L4662" s="53" t="str">
        <f>"هند"</f>
        <v>هند</v>
      </c>
      <c r="M4662" s="68" t="str">
        <f t="shared" si="112"/>
        <v>بشكه</v>
      </c>
      <c r="N4662" s="53" t="str">
        <f t="shared" si="113"/>
        <v>منطقه ويژه اقتصادي شهيد رجايي</v>
      </c>
      <c r="O4662" s="53">
        <v>50100</v>
      </c>
      <c r="P4662" s="198" t="s">
        <v>8753</v>
      </c>
    </row>
    <row r="4663" spans="1:16" ht="18.75" hidden="1">
      <c r="A4663" s="50" t="str">
        <f>"50100-9908471"</f>
        <v>50100-9908471</v>
      </c>
      <c r="B4663" s="50" t="str">
        <f>"96/12/02"</f>
        <v>96/12/02</v>
      </c>
      <c r="C4663" s="50" t="s">
        <v>12914</v>
      </c>
      <c r="D4663" s="12" t="s">
        <v>10052</v>
      </c>
      <c r="E4663" s="12" t="s">
        <v>4971</v>
      </c>
      <c r="F4663" s="49">
        <v>130000</v>
      </c>
      <c r="G4663" s="77" t="str">
        <f>"DAXON PETROLEUM"</f>
        <v>DAXON PETROLEUM</v>
      </c>
      <c r="H4663" s="14" t="s">
        <v>5601</v>
      </c>
      <c r="I4663" s="14" t="s">
        <v>2458</v>
      </c>
      <c r="J4663" s="33" t="s">
        <v>7110</v>
      </c>
      <c r="K4663" s="33" t="s">
        <v>12928</v>
      </c>
      <c r="L4663" s="53" t="str">
        <f>"هند"</f>
        <v>هند</v>
      </c>
      <c r="M4663" s="68" t="str">
        <f t="shared" si="112"/>
        <v>بشكه</v>
      </c>
      <c r="N4663" s="53" t="str">
        <f t="shared" si="113"/>
        <v>منطقه ويژه اقتصادي شهيد رجايي</v>
      </c>
      <c r="O4663" s="53">
        <v>50100</v>
      </c>
      <c r="P4663" s="198" t="s">
        <v>9784</v>
      </c>
    </row>
    <row r="4664" spans="1:16" ht="18.75" hidden="1">
      <c r="A4664" s="50" t="str">
        <f>"50100-9953639"</f>
        <v>50100-9953639</v>
      </c>
      <c r="B4664" s="50" t="str">
        <f>"96/12/12"</f>
        <v>96/12/12</v>
      </c>
      <c r="C4664" s="50" t="s">
        <v>12693</v>
      </c>
      <c r="D4664" s="12" t="s">
        <v>8824</v>
      </c>
      <c r="E4664" s="12" t="s">
        <v>4971</v>
      </c>
      <c r="F4664" s="49">
        <v>43120</v>
      </c>
      <c r="G4664" s="77" t="str">
        <f>"LLC Sebco Bitumen"</f>
        <v>LLC Sebco Bitumen</v>
      </c>
      <c r="H4664" s="14" t="s">
        <v>5601</v>
      </c>
      <c r="I4664" s="14" t="s">
        <v>2458</v>
      </c>
      <c r="J4664" s="33" t="s">
        <v>7110</v>
      </c>
      <c r="K4664" s="33" t="s">
        <v>12928</v>
      </c>
      <c r="L4664" s="53" t="str">
        <f>"هند"</f>
        <v>هند</v>
      </c>
      <c r="M4664" s="68" t="str">
        <f t="shared" si="112"/>
        <v>بشكه</v>
      </c>
      <c r="N4664" s="53" t="str">
        <f t="shared" si="113"/>
        <v>منطقه ويژه اقتصادي شهيد رجايي</v>
      </c>
      <c r="O4664" s="53">
        <v>50100</v>
      </c>
      <c r="P4664" s="198" t="s">
        <v>8698</v>
      </c>
    </row>
    <row r="4665" spans="1:16" ht="18.75" hidden="1">
      <c r="A4665" s="50" t="str">
        <f>"50100-9924559"</f>
        <v>50100-9924559</v>
      </c>
      <c r="B4665" s="50" t="str">
        <f>"96/12/06"</f>
        <v>96/12/06</v>
      </c>
      <c r="C4665" s="50" t="s">
        <v>12909</v>
      </c>
      <c r="D4665" s="12" t="s">
        <v>12736</v>
      </c>
      <c r="E4665" s="12" t="s">
        <v>4971</v>
      </c>
      <c r="F4665" s="49">
        <v>495495</v>
      </c>
      <c r="G4665" s="77" t="str">
        <f>"AL MASAR PETROLUME L.L.C"</f>
        <v>AL MASAR PETROLUME L.L.C</v>
      </c>
      <c r="H4665" s="14" t="s">
        <v>5601</v>
      </c>
      <c r="I4665" s="14" t="s">
        <v>2458</v>
      </c>
      <c r="J4665" s="33" t="e">
        <f>VLOOKUP(C4665,شرکتها!A:B,2,FALSE)</f>
        <v>#N/A</v>
      </c>
      <c r="K4665" s="33" t="s">
        <v>12928</v>
      </c>
      <c r="L4665" s="53" t="str">
        <f>"کنيا"</f>
        <v>کنيا</v>
      </c>
      <c r="M4665" s="68" t="str">
        <f t="shared" si="112"/>
        <v>بشكه</v>
      </c>
      <c r="N4665" s="53" t="str">
        <f t="shared" si="113"/>
        <v>منطقه ويژه اقتصادي شهيد رجايي</v>
      </c>
      <c r="O4665" s="53">
        <v>50100</v>
      </c>
      <c r="P4665" s="198" t="s">
        <v>12667</v>
      </c>
    </row>
    <row r="4666" spans="1:16" ht="18.75" hidden="1">
      <c r="A4666" s="50" t="str">
        <f>"50100-9936029"</f>
        <v>50100-9936029</v>
      </c>
      <c r="B4666" s="50" t="str">
        <f>"96/12/08"</f>
        <v>96/12/08</v>
      </c>
      <c r="C4666" s="50" t="s">
        <v>12909</v>
      </c>
      <c r="D4666" s="12" t="s">
        <v>12736</v>
      </c>
      <c r="E4666" s="12" t="s">
        <v>4971</v>
      </c>
      <c r="F4666" s="49">
        <v>1404</v>
      </c>
      <c r="G4666" s="77" t="str">
        <f>"AL MASAR PETROLUME L.L.C"</f>
        <v>AL MASAR PETROLUME L.L.C</v>
      </c>
      <c r="H4666" s="14" t="s">
        <v>5601</v>
      </c>
      <c r="I4666" s="14" t="s">
        <v>2458</v>
      </c>
      <c r="J4666" s="33" t="e">
        <f>VLOOKUP(C4666,شرکتها!A:B,2,FALSE)</f>
        <v>#N/A</v>
      </c>
      <c r="K4666" s="33" t="s">
        <v>12928</v>
      </c>
      <c r="L4666" s="53" t="str">
        <f>"کنيا"</f>
        <v>کنيا</v>
      </c>
      <c r="M4666" s="68" t="str">
        <f t="shared" si="112"/>
        <v>بشكه</v>
      </c>
      <c r="N4666" s="53" t="str">
        <f t="shared" si="113"/>
        <v>منطقه ويژه اقتصادي شهيد رجايي</v>
      </c>
      <c r="O4666" s="53">
        <v>50100</v>
      </c>
      <c r="P4666" s="198" t="s">
        <v>12667</v>
      </c>
    </row>
    <row r="4667" spans="1:16" ht="18.75" hidden="1">
      <c r="A4667" s="50" t="str">
        <f>"50100-9960797"</f>
        <v>50100-9960797</v>
      </c>
      <c r="B4667" s="50" t="str">
        <f>"96/12/13"</f>
        <v>96/12/13</v>
      </c>
      <c r="C4667" s="50" t="s">
        <v>12915</v>
      </c>
      <c r="D4667" s="12" t="s">
        <v>12689</v>
      </c>
      <c r="E4667" s="12" t="s">
        <v>4971</v>
      </c>
      <c r="F4667" s="49">
        <v>488943</v>
      </c>
      <c r="G4667" s="77" t="str">
        <f>"AL MASAR PETROLUME L.L.C"</f>
        <v>AL MASAR PETROLUME L.L.C</v>
      </c>
      <c r="H4667" s="14" t="s">
        <v>5601</v>
      </c>
      <c r="I4667" s="14" t="s">
        <v>2458</v>
      </c>
      <c r="J4667" s="33" t="e">
        <f>VLOOKUP(C4667,شرکتها!A:B,2,FALSE)</f>
        <v>#N/A</v>
      </c>
      <c r="K4667" s="33" t="s">
        <v>12928</v>
      </c>
      <c r="L4667" s="53" t="str">
        <f>"بنگلادش"</f>
        <v>بنگلادش</v>
      </c>
      <c r="M4667" s="68" t="str">
        <f t="shared" si="112"/>
        <v>بشكه</v>
      </c>
      <c r="N4667" s="53" t="str">
        <f t="shared" si="113"/>
        <v>منطقه ويژه اقتصادي شهيد رجايي</v>
      </c>
      <c r="O4667" s="53">
        <v>50100</v>
      </c>
      <c r="P4667" s="198" t="s">
        <v>12667</v>
      </c>
    </row>
    <row r="4668" spans="1:16" ht="18.75" hidden="1">
      <c r="A4668" s="50" t="str">
        <f>"50100-9960797"</f>
        <v>50100-9960797</v>
      </c>
      <c r="B4668" s="50" t="str">
        <f>"96/12/13"</f>
        <v>96/12/13</v>
      </c>
      <c r="C4668" s="50" t="s">
        <v>12755</v>
      </c>
      <c r="D4668" s="12" t="s">
        <v>12536</v>
      </c>
      <c r="E4668" s="12" t="s">
        <v>4971</v>
      </c>
      <c r="F4668" s="49">
        <v>32934</v>
      </c>
      <c r="G4668" s="77" t="str">
        <f>"AL MASAR PETROLUME L.L.C"</f>
        <v>AL MASAR PETROLUME L.L.C</v>
      </c>
      <c r="H4668" s="14" t="s">
        <v>5601</v>
      </c>
      <c r="I4668" s="14" t="s">
        <v>2458</v>
      </c>
      <c r="J4668" s="33" t="e">
        <f>VLOOKUP(C4668,شرکتها!A:B,2,FALSE)</f>
        <v>#N/A</v>
      </c>
      <c r="K4668" s="33" t="s">
        <v>12928</v>
      </c>
      <c r="L4668" s="53" t="str">
        <f>"بنگلادش"</f>
        <v>بنگلادش</v>
      </c>
      <c r="M4668" s="68" t="str">
        <f t="shared" si="112"/>
        <v>بشكه</v>
      </c>
      <c r="N4668" s="53" t="str">
        <f t="shared" si="113"/>
        <v>منطقه ويژه اقتصادي شهيد رجايي</v>
      </c>
      <c r="O4668" s="53">
        <v>50100</v>
      </c>
      <c r="P4668" s="198" t="s">
        <v>12667</v>
      </c>
    </row>
    <row r="4669" spans="1:16" ht="18.75" hidden="1">
      <c r="A4669" s="50" t="str">
        <f>"50100-9920988"</f>
        <v>50100-9920988</v>
      </c>
      <c r="B4669" s="50" t="str">
        <f>"96/12/05"</f>
        <v>96/12/05</v>
      </c>
      <c r="C4669" s="50" t="s">
        <v>12869</v>
      </c>
      <c r="D4669" s="12" t="s">
        <v>8617</v>
      </c>
      <c r="E4669" s="12" t="s">
        <v>4971</v>
      </c>
      <c r="F4669" s="49">
        <v>154260</v>
      </c>
      <c r="G4669" s="77" t="str">
        <f>"LLC Sebco Bitumen"</f>
        <v>LLC Sebco Bitumen</v>
      </c>
      <c r="H4669" s="14" t="s">
        <v>5601</v>
      </c>
      <c r="I4669" s="14" t="s">
        <v>2458</v>
      </c>
      <c r="J4669" s="33" t="s">
        <v>7110</v>
      </c>
      <c r="K4669" s="33" t="s">
        <v>12928</v>
      </c>
      <c r="L4669" s="53" t="str">
        <f>"زيمباوه"</f>
        <v>زيمباوه</v>
      </c>
      <c r="M4669" s="68" t="str">
        <f t="shared" si="112"/>
        <v>بشكه</v>
      </c>
      <c r="N4669" s="53" t="str">
        <f t="shared" si="113"/>
        <v>منطقه ويژه اقتصادي شهيد رجايي</v>
      </c>
      <c r="O4669" s="53">
        <v>50100</v>
      </c>
      <c r="P4669" s="198" t="s">
        <v>7111</v>
      </c>
    </row>
    <row r="4670" spans="1:16" ht="18.75" hidden="1">
      <c r="A4670" s="50" t="str">
        <f>"50100-9920676"</f>
        <v>50100-9920676</v>
      </c>
      <c r="B4670" s="50" t="str">
        <f>"96/12/05"</f>
        <v>96/12/05</v>
      </c>
      <c r="C4670" s="50" t="s">
        <v>12403</v>
      </c>
      <c r="D4670" s="12" t="s">
        <v>10052</v>
      </c>
      <c r="E4670" s="12" t="s">
        <v>4971</v>
      </c>
      <c r="F4670" s="49">
        <v>24834</v>
      </c>
      <c r="G4670" s="77" t="str">
        <f>"Black Gold Traders FZE"</f>
        <v>Black Gold Traders FZE</v>
      </c>
      <c r="H4670" s="14" t="s">
        <v>5601</v>
      </c>
      <c r="I4670" s="14" t="s">
        <v>2458</v>
      </c>
      <c r="J4670" s="33" t="s">
        <v>7110</v>
      </c>
      <c r="K4670" s="33" t="s">
        <v>12928</v>
      </c>
      <c r="L4670" s="53" t="str">
        <f>"تايوان"</f>
        <v>تايوان</v>
      </c>
      <c r="M4670" s="68" t="str">
        <f t="shared" si="112"/>
        <v>بشكه</v>
      </c>
      <c r="N4670" s="53" t="str">
        <f t="shared" si="113"/>
        <v>منطقه ويژه اقتصادي شهيد رجايي</v>
      </c>
      <c r="O4670" s="53">
        <v>50100</v>
      </c>
      <c r="P4670" s="198" t="s">
        <v>9794</v>
      </c>
    </row>
    <row r="4671" spans="1:16" ht="18.75" hidden="1">
      <c r="A4671" s="50" t="str">
        <f>"50100-9936831"</f>
        <v>50100-9936831</v>
      </c>
      <c r="B4671" s="50" t="str">
        <f>"96/12/08"</f>
        <v>96/12/08</v>
      </c>
      <c r="C4671" s="50" t="s">
        <v>12916</v>
      </c>
      <c r="D4671" s="12" t="s">
        <v>12765</v>
      </c>
      <c r="E4671" s="12" t="s">
        <v>4971</v>
      </c>
      <c r="F4671" s="49">
        <v>971450</v>
      </c>
      <c r="G4671" s="77" t="str">
        <f>"AL MASAR PETROLUME L.L.C"</f>
        <v>AL MASAR PETROLUME L.L.C</v>
      </c>
      <c r="H4671" s="14" t="s">
        <v>5601</v>
      </c>
      <c r="I4671" s="14" t="s">
        <v>2458</v>
      </c>
      <c r="J4671" s="33" t="e">
        <f>VLOOKUP(C4671,شرکتها!A:B,2,FALSE)</f>
        <v>#N/A</v>
      </c>
      <c r="K4671" s="33" t="s">
        <v>12928</v>
      </c>
      <c r="L4671" s="53" t="str">
        <f>"قطر"</f>
        <v>قطر</v>
      </c>
      <c r="M4671" s="68" t="str">
        <f>"فله"</f>
        <v>فله</v>
      </c>
      <c r="N4671" s="53" t="str">
        <f t="shared" si="113"/>
        <v>منطقه ويژه اقتصادي شهيد رجايي</v>
      </c>
      <c r="O4671" s="53">
        <v>50100</v>
      </c>
      <c r="P4671" s="198" t="s">
        <v>12664</v>
      </c>
    </row>
    <row r="4672" spans="1:16" ht="18.75" hidden="1">
      <c r="A4672" s="50" t="str">
        <f>"50100-9933942"</f>
        <v>50100-9933942</v>
      </c>
      <c r="B4672" s="50" t="str">
        <f>"96/12/07"</f>
        <v>96/12/07</v>
      </c>
      <c r="C4672" s="50" t="s">
        <v>12917</v>
      </c>
      <c r="D4672" s="12" t="s">
        <v>8760</v>
      </c>
      <c r="E4672" s="12" t="s">
        <v>4971</v>
      </c>
      <c r="F4672" s="49">
        <v>250000</v>
      </c>
      <c r="G4672" s="77" t="str">
        <f>"LLC Sebco Bitumen"</f>
        <v>LLC Sebco Bitumen</v>
      </c>
      <c r="H4672" s="14" t="s">
        <v>5601</v>
      </c>
      <c r="I4672" s="14" t="s">
        <v>2458</v>
      </c>
      <c r="J4672" s="33" t="s">
        <v>7110</v>
      </c>
      <c r="K4672" s="33" t="s">
        <v>12928</v>
      </c>
      <c r="L4672" s="53" t="str">
        <f>" امارات متحده عربي"</f>
        <v xml:space="preserve"> امارات متحده عربي</v>
      </c>
      <c r="M4672" s="68" t="str">
        <f t="shared" ref="M4672:M4678" si="114">"بشكه"</f>
        <v>بشكه</v>
      </c>
      <c r="N4672" s="53" t="str">
        <f t="shared" si="113"/>
        <v>منطقه ويژه اقتصادي شهيد رجايي</v>
      </c>
      <c r="O4672" s="53">
        <v>50100</v>
      </c>
      <c r="P4672" s="198" t="s">
        <v>8698</v>
      </c>
    </row>
    <row r="4673" spans="1:16" ht="18.75" hidden="1">
      <c r="A4673" s="50" t="str">
        <f>"50100-9957796"</f>
        <v>50100-9957796</v>
      </c>
      <c r="B4673" s="50" t="str">
        <f>"96/12/13"</f>
        <v>96/12/13</v>
      </c>
      <c r="C4673" s="50" t="s">
        <v>12911</v>
      </c>
      <c r="D4673" s="12" t="s">
        <v>10052</v>
      </c>
      <c r="E4673" s="12" t="s">
        <v>4971</v>
      </c>
      <c r="F4673" s="49">
        <v>85826</v>
      </c>
      <c r="G4673" s="77" t="str">
        <f>"DAXON PETROLEUM"</f>
        <v>DAXON PETROLEUM</v>
      </c>
      <c r="H4673" s="14" t="s">
        <v>5601</v>
      </c>
      <c r="I4673" s="14" t="s">
        <v>2458</v>
      </c>
      <c r="J4673" s="33" t="s">
        <v>7110</v>
      </c>
      <c r="K4673" s="33" t="s">
        <v>12928</v>
      </c>
      <c r="L4673" s="53" t="str">
        <f>"کنيا"</f>
        <v>کنيا</v>
      </c>
      <c r="M4673" s="68" t="str">
        <f t="shared" si="114"/>
        <v>بشكه</v>
      </c>
      <c r="N4673" s="53" t="str">
        <f t="shared" si="113"/>
        <v>منطقه ويژه اقتصادي شهيد رجايي</v>
      </c>
      <c r="O4673" s="53">
        <v>50100</v>
      </c>
      <c r="P4673" s="198" t="s">
        <v>9789</v>
      </c>
    </row>
    <row r="4674" spans="1:16" ht="18.75" hidden="1">
      <c r="A4674" s="50" t="str">
        <f>"50100-9916815"</f>
        <v>50100-9916815</v>
      </c>
      <c r="B4674" s="50" t="str">
        <f>"96/12/05"</f>
        <v>96/12/05</v>
      </c>
      <c r="C4674" s="50" t="s">
        <v>12911</v>
      </c>
      <c r="D4674" s="12" t="s">
        <v>10052</v>
      </c>
      <c r="E4674" s="12" t="s">
        <v>4971</v>
      </c>
      <c r="F4674" s="49">
        <v>6126</v>
      </c>
      <c r="G4674" s="77" t="str">
        <f>"DAXON PETROLEUM"</f>
        <v>DAXON PETROLEUM</v>
      </c>
      <c r="H4674" s="14" t="s">
        <v>5601</v>
      </c>
      <c r="I4674" s="14" t="s">
        <v>2458</v>
      </c>
      <c r="J4674" s="33" t="s">
        <v>7110</v>
      </c>
      <c r="K4674" s="33" t="s">
        <v>12928</v>
      </c>
      <c r="L4674" s="53" t="str">
        <f>"کنيا"</f>
        <v>کنيا</v>
      </c>
      <c r="M4674" s="68" t="str">
        <f t="shared" si="114"/>
        <v>بشكه</v>
      </c>
      <c r="N4674" s="53" t="str">
        <f t="shared" si="113"/>
        <v>منطقه ويژه اقتصادي شهيد رجايي</v>
      </c>
      <c r="O4674" s="53">
        <v>50100</v>
      </c>
      <c r="P4674" s="198" t="s">
        <v>9789</v>
      </c>
    </row>
    <row r="4675" spans="1:16" ht="18.75" hidden="1">
      <c r="A4675" s="50" t="str">
        <f>"50100-9928759"</f>
        <v>50100-9928759</v>
      </c>
      <c r="B4675" s="50" t="str">
        <f>"96/12/07"</f>
        <v>96/12/07</v>
      </c>
      <c r="C4675" s="50" t="s">
        <v>12911</v>
      </c>
      <c r="D4675" s="12" t="s">
        <v>10052</v>
      </c>
      <c r="E4675" s="12" t="s">
        <v>4971</v>
      </c>
      <c r="F4675" s="49">
        <v>500000</v>
      </c>
      <c r="G4675" s="77" t="str">
        <f>"DAXON PETROLEUM"</f>
        <v>DAXON PETROLEUM</v>
      </c>
      <c r="H4675" s="14" t="s">
        <v>5601</v>
      </c>
      <c r="I4675" s="14" t="s">
        <v>2458</v>
      </c>
      <c r="J4675" s="33" t="s">
        <v>7110</v>
      </c>
      <c r="K4675" s="33" t="s">
        <v>12928</v>
      </c>
      <c r="L4675" s="53" t="str">
        <f>"کنيا"</f>
        <v>کنيا</v>
      </c>
      <c r="M4675" s="68" t="str">
        <f t="shared" si="114"/>
        <v>بشكه</v>
      </c>
      <c r="N4675" s="53" t="str">
        <f t="shared" si="113"/>
        <v>منطقه ويژه اقتصادي شهيد رجايي</v>
      </c>
      <c r="O4675" s="53">
        <v>50100</v>
      </c>
      <c r="P4675" s="198" t="s">
        <v>9789</v>
      </c>
    </row>
    <row r="4676" spans="1:16" ht="18.75" hidden="1">
      <c r="A4676" s="50" t="str">
        <f>"50100-9955071"</f>
        <v>50100-9955071</v>
      </c>
      <c r="B4676" s="50" t="str">
        <f>"96/12/12"</f>
        <v>96/12/12</v>
      </c>
      <c r="C4676" s="50" t="s">
        <v>12337</v>
      </c>
      <c r="D4676" s="12" t="s">
        <v>10008</v>
      </c>
      <c r="E4676" s="12" t="s">
        <v>4971</v>
      </c>
      <c r="F4676" s="49">
        <v>7519</v>
      </c>
      <c r="G4676" s="77" t="str">
        <f>"Black Gold Traders FZE"</f>
        <v>Black Gold Traders FZE</v>
      </c>
      <c r="H4676" s="14" t="s">
        <v>5601</v>
      </c>
      <c r="I4676" s="14" t="s">
        <v>2458</v>
      </c>
      <c r="J4676" s="33" t="s">
        <v>7110</v>
      </c>
      <c r="K4676" s="33" t="s">
        <v>12928</v>
      </c>
      <c r="L4676" s="53" t="str">
        <f>"هند"</f>
        <v>هند</v>
      </c>
      <c r="M4676" s="68" t="str">
        <f t="shared" si="114"/>
        <v>بشكه</v>
      </c>
      <c r="N4676" s="53" t="str">
        <f t="shared" si="113"/>
        <v>منطقه ويژه اقتصادي شهيد رجايي</v>
      </c>
      <c r="O4676" s="53">
        <v>50100</v>
      </c>
      <c r="P4676" s="198" t="s">
        <v>9794</v>
      </c>
    </row>
    <row r="4677" spans="1:16" ht="18.75" hidden="1">
      <c r="A4677" s="50" t="str">
        <f>"50100-9908471"</f>
        <v>50100-9908471</v>
      </c>
      <c r="B4677" s="50" t="str">
        <f>"96/12/02"</f>
        <v>96/12/02</v>
      </c>
      <c r="C4677" s="50" t="s">
        <v>12911</v>
      </c>
      <c r="D4677" s="12" t="s">
        <v>10052</v>
      </c>
      <c r="E4677" s="12" t="s">
        <v>4971</v>
      </c>
      <c r="F4677" s="49">
        <v>15379</v>
      </c>
      <c r="G4677" s="77" t="str">
        <f>"DAXON PETROLEUM"</f>
        <v>DAXON PETROLEUM</v>
      </c>
      <c r="H4677" s="14" t="s">
        <v>5601</v>
      </c>
      <c r="I4677" s="14" t="s">
        <v>2458</v>
      </c>
      <c r="J4677" s="33" t="s">
        <v>7110</v>
      </c>
      <c r="K4677" s="33" t="s">
        <v>12928</v>
      </c>
      <c r="L4677" s="53" t="str">
        <f>"هند"</f>
        <v>هند</v>
      </c>
      <c r="M4677" s="68" t="str">
        <f t="shared" si="114"/>
        <v>بشكه</v>
      </c>
      <c r="N4677" s="53" t="str">
        <f t="shared" si="113"/>
        <v>منطقه ويژه اقتصادي شهيد رجايي</v>
      </c>
      <c r="O4677" s="53">
        <v>50100</v>
      </c>
      <c r="P4677" s="198" t="s">
        <v>9789</v>
      </c>
    </row>
    <row r="4678" spans="1:16" ht="18.75" hidden="1">
      <c r="A4678" s="50" t="str">
        <f>"50100-9920988"</f>
        <v>50100-9920988</v>
      </c>
      <c r="B4678" s="50" t="str">
        <f>"96/12/05"</f>
        <v>96/12/05</v>
      </c>
      <c r="C4678" s="50" t="s">
        <v>12757</v>
      </c>
      <c r="D4678" s="12" t="s">
        <v>8837</v>
      </c>
      <c r="E4678" s="12" t="s">
        <v>4971</v>
      </c>
      <c r="F4678" s="49">
        <v>55620</v>
      </c>
      <c r="G4678" s="77" t="str">
        <f>"LLC Sebco Bitumen"</f>
        <v>LLC Sebco Bitumen</v>
      </c>
      <c r="H4678" s="14" t="s">
        <v>5601</v>
      </c>
      <c r="I4678" s="14" t="s">
        <v>2458</v>
      </c>
      <c r="J4678" s="33" t="s">
        <v>7110</v>
      </c>
      <c r="K4678" s="33" t="s">
        <v>12928</v>
      </c>
      <c r="L4678" s="53" t="str">
        <f>"زيمباوه"</f>
        <v>زيمباوه</v>
      </c>
      <c r="M4678" s="68" t="str">
        <f t="shared" si="114"/>
        <v>بشكه</v>
      </c>
      <c r="N4678" s="53" t="str">
        <f t="shared" si="113"/>
        <v>منطقه ويژه اقتصادي شهيد رجايي</v>
      </c>
      <c r="O4678" s="53">
        <v>50100</v>
      </c>
      <c r="P4678" s="198" t="s">
        <v>7111</v>
      </c>
    </row>
    <row r="4679" spans="1:16" ht="18.75" hidden="1">
      <c r="A4679" s="50" t="s">
        <v>12918</v>
      </c>
      <c r="B4679" s="50" t="s">
        <v>12689</v>
      </c>
      <c r="C4679" s="50" t="s">
        <v>9877</v>
      </c>
      <c r="D4679" s="12" t="s">
        <v>9723</v>
      </c>
      <c r="E4679" s="12" t="s">
        <v>4971</v>
      </c>
      <c r="F4679" s="49">
        <v>119370</v>
      </c>
      <c r="G4679" s="77" t="s">
        <v>6454</v>
      </c>
      <c r="H4679" s="14" t="s">
        <v>5601</v>
      </c>
      <c r="I4679" s="14" t="s">
        <v>2458</v>
      </c>
      <c r="J4679" s="33" t="s">
        <v>7110</v>
      </c>
      <c r="K4679" s="33" t="s">
        <v>12928</v>
      </c>
      <c r="L4679" s="53" t="s">
        <v>6277</v>
      </c>
      <c r="M4679" s="68" t="s">
        <v>8912</v>
      </c>
      <c r="N4679" s="53" t="s">
        <v>12407</v>
      </c>
      <c r="O4679" s="53">
        <v>50100</v>
      </c>
      <c r="P4679" s="198" t="s">
        <v>7118</v>
      </c>
    </row>
    <row r="4680" spans="1:16" ht="18.75" hidden="1">
      <c r="A4680" s="50" t="s">
        <v>12918</v>
      </c>
      <c r="B4680" s="50" t="s">
        <v>12689</v>
      </c>
      <c r="C4680" s="50" t="s">
        <v>12911</v>
      </c>
      <c r="D4680" s="12" t="s">
        <v>10052</v>
      </c>
      <c r="E4680" s="12" t="s">
        <v>4971</v>
      </c>
      <c r="F4680" s="49">
        <v>385310</v>
      </c>
      <c r="G4680" s="77" t="s">
        <v>6454</v>
      </c>
      <c r="H4680" s="14" t="s">
        <v>5601</v>
      </c>
      <c r="I4680" s="14" t="s">
        <v>2458</v>
      </c>
      <c r="J4680" s="33" t="s">
        <v>7110</v>
      </c>
      <c r="K4680" s="33" t="s">
        <v>12928</v>
      </c>
      <c r="L4680" s="53" t="s">
        <v>6277</v>
      </c>
      <c r="M4680" s="68" t="s">
        <v>8912</v>
      </c>
      <c r="N4680" s="53" t="s">
        <v>12407</v>
      </c>
      <c r="O4680" s="53">
        <v>50100</v>
      </c>
      <c r="P4680" s="198" t="s">
        <v>9789</v>
      </c>
    </row>
    <row r="4681" spans="1:16" ht="18.75" hidden="1">
      <c r="A4681" s="50" t="str">
        <f>"50100-9843721"</f>
        <v>50100-9843721</v>
      </c>
      <c r="B4681" s="50" t="str">
        <f>"96/11/17"</f>
        <v>96/11/17</v>
      </c>
      <c r="C4681" s="50" t="s">
        <v>12919</v>
      </c>
      <c r="D4681" s="12" t="s">
        <v>12717</v>
      </c>
      <c r="E4681" s="12" t="s">
        <v>4971</v>
      </c>
      <c r="F4681" s="49">
        <v>500500</v>
      </c>
      <c r="G4681" s="77" t="str">
        <f>"LLC Sebco Bitumen"</f>
        <v>LLC Sebco Bitumen</v>
      </c>
      <c r="H4681" s="14" t="s">
        <v>5601</v>
      </c>
      <c r="I4681" s="14" t="s">
        <v>2458</v>
      </c>
      <c r="J4681" s="33" t="s">
        <v>7110</v>
      </c>
      <c r="K4681" s="33" t="s">
        <v>12928</v>
      </c>
      <c r="L4681" s="53" t="str">
        <f>"هند"</f>
        <v>هند</v>
      </c>
      <c r="M4681" s="68" t="str">
        <f t="shared" ref="M4681:M4688" si="115">"بشكه"</f>
        <v>بشكه</v>
      </c>
      <c r="N4681" s="53" t="str">
        <f t="shared" ref="N4681:N4688" si="116">"منطقه ويژه اقتصادي شهيد رجايي"</f>
        <v>منطقه ويژه اقتصادي شهيد رجايي</v>
      </c>
      <c r="O4681" s="53">
        <v>50100</v>
      </c>
      <c r="P4681" s="198" t="s">
        <v>12429</v>
      </c>
    </row>
    <row r="4682" spans="1:16" ht="18.75" hidden="1">
      <c r="A4682" s="50" t="str">
        <f>"50100-9899088"</f>
        <v>50100-9899088</v>
      </c>
      <c r="B4682" s="50" t="str">
        <f>"96/11/29"</f>
        <v>96/11/29</v>
      </c>
      <c r="C4682" s="50" t="s">
        <v>12920</v>
      </c>
      <c r="D4682" s="12" t="s">
        <v>12921</v>
      </c>
      <c r="E4682" s="12" t="s">
        <v>4971</v>
      </c>
      <c r="F4682" s="49">
        <v>395148</v>
      </c>
      <c r="G4682" s="77" t="str">
        <f>"LLC Sebco Bitumen"</f>
        <v>LLC Sebco Bitumen</v>
      </c>
      <c r="H4682" s="14" t="s">
        <v>5601</v>
      </c>
      <c r="I4682" s="14" t="s">
        <v>2458</v>
      </c>
      <c r="J4682" s="33" t="s">
        <v>7110</v>
      </c>
      <c r="K4682" s="33" t="s">
        <v>12928</v>
      </c>
      <c r="L4682" s="53" t="str">
        <f>"هند"</f>
        <v>هند</v>
      </c>
      <c r="M4682" s="68" t="str">
        <f t="shared" si="115"/>
        <v>بشكه</v>
      </c>
      <c r="N4682" s="53" t="str">
        <f t="shared" si="116"/>
        <v>منطقه ويژه اقتصادي شهيد رجايي</v>
      </c>
      <c r="O4682" s="53">
        <v>50100</v>
      </c>
      <c r="P4682" s="198" t="s">
        <v>12429</v>
      </c>
    </row>
    <row r="4683" spans="1:16" ht="18.75" hidden="1">
      <c r="A4683" s="50" t="str">
        <f>"50100-9868730"</f>
        <v>50100-9868730</v>
      </c>
      <c r="B4683" s="50" t="str">
        <f>"96/11/23"</f>
        <v>96/11/23</v>
      </c>
      <c r="C4683" s="50" t="s">
        <v>12922</v>
      </c>
      <c r="D4683" s="12" t="s">
        <v>12734</v>
      </c>
      <c r="E4683" s="12" t="s">
        <v>4971</v>
      </c>
      <c r="F4683" s="49">
        <v>493987</v>
      </c>
      <c r="G4683" s="77" t="str">
        <f>"LLC Sebco Bitumen"</f>
        <v>LLC Sebco Bitumen</v>
      </c>
      <c r="H4683" s="14" t="s">
        <v>5601</v>
      </c>
      <c r="I4683" s="14" t="s">
        <v>2458</v>
      </c>
      <c r="J4683" s="33" t="s">
        <v>7110</v>
      </c>
      <c r="K4683" s="33" t="s">
        <v>12928</v>
      </c>
      <c r="L4683" s="53" t="str">
        <f>"هند"</f>
        <v>هند</v>
      </c>
      <c r="M4683" s="68" t="str">
        <f t="shared" si="115"/>
        <v>بشكه</v>
      </c>
      <c r="N4683" s="53" t="str">
        <f t="shared" si="116"/>
        <v>منطقه ويژه اقتصادي شهيد رجايي</v>
      </c>
      <c r="O4683" s="53">
        <v>50100</v>
      </c>
      <c r="P4683" s="198" t="s">
        <v>12429</v>
      </c>
    </row>
    <row r="4684" spans="1:16" ht="18.75" hidden="1">
      <c r="A4684" s="50" t="str">
        <f>"50100-9904321"</f>
        <v>50100-9904321</v>
      </c>
      <c r="B4684" s="50" t="str">
        <f>"96/11/30"</f>
        <v>96/11/30</v>
      </c>
      <c r="C4684" s="50" t="s">
        <v>12923</v>
      </c>
      <c r="D4684" s="12" t="s">
        <v>12895</v>
      </c>
      <c r="E4684" s="12" t="s">
        <v>4971</v>
      </c>
      <c r="F4684" s="49">
        <v>495969</v>
      </c>
      <c r="G4684" s="77" t="str">
        <f>"AL Taiera al warqahal Lubricants  TR.LLC"</f>
        <v>AL Taiera al warqahal Lubricants  TR.LLC</v>
      </c>
      <c r="H4684" s="14" t="s">
        <v>5601</v>
      </c>
      <c r="I4684" s="14" t="s">
        <v>2458</v>
      </c>
      <c r="J4684" s="33" t="s">
        <v>7110</v>
      </c>
      <c r="K4684" s="33" t="s">
        <v>12928</v>
      </c>
      <c r="L4684" s="53" t="str">
        <f>"هند"</f>
        <v>هند</v>
      </c>
      <c r="M4684" s="68" t="str">
        <f t="shared" si="115"/>
        <v>بشكه</v>
      </c>
      <c r="N4684" s="53" t="str">
        <f t="shared" si="116"/>
        <v>منطقه ويژه اقتصادي شهيد رجايي</v>
      </c>
      <c r="O4684" s="53">
        <v>50100</v>
      </c>
      <c r="P4684" s="198" t="s">
        <v>12665</v>
      </c>
    </row>
    <row r="4685" spans="1:16" ht="18.75" hidden="1">
      <c r="A4685" s="50" t="str">
        <f>"50100-9860996"</f>
        <v>50100-9860996</v>
      </c>
      <c r="B4685" s="50" t="str">
        <f>"96/11/21"</f>
        <v>96/11/21</v>
      </c>
      <c r="C4685" s="50" t="s">
        <v>12924</v>
      </c>
      <c r="D4685" s="12" t="s">
        <v>12601</v>
      </c>
      <c r="E4685" s="12" t="s">
        <v>4971</v>
      </c>
      <c r="F4685" s="49">
        <v>493916</v>
      </c>
      <c r="G4685" s="77" t="str">
        <f>"LLC Sebco Bitumen"</f>
        <v>LLC Sebco Bitumen</v>
      </c>
      <c r="H4685" s="14" t="s">
        <v>5601</v>
      </c>
      <c r="I4685" s="14" t="s">
        <v>2458</v>
      </c>
      <c r="J4685" s="33" t="s">
        <v>7110</v>
      </c>
      <c r="K4685" s="33" t="s">
        <v>12928</v>
      </c>
      <c r="L4685" s="53" t="str">
        <f>"چين"</f>
        <v>چين</v>
      </c>
      <c r="M4685" s="68" t="str">
        <f t="shared" si="115"/>
        <v>بشكه</v>
      </c>
      <c r="N4685" s="53" t="str">
        <f t="shared" si="116"/>
        <v>منطقه ويژه اقتصادي شهيد رجايي</v>
      </c>
      <c r="O4685" s="53">
        <v>50100</v>
      </c>
      <c r="P4685" s="198" t="s">
        <v>12429</v>
      </c>
    </row>
    <row r="4686" spans="1:16" ht="18.75" hidden="1">
      <c r="A4686" s="50" t="str">
        <f>"50100-9899176"</f>
        <v>50100-9899176</v>
      </c>
      <c r="B4686" s="50" t="str">
        <f>"96/11/29"</f>
        <v>96/11/29</v>
      </c>
      <c r="C4686" s="50" t="s">
        <v>12925</v>
      </c>
      <c r="D4686" s="12" t="s">
        <v>12895</v>
      </c>
      <c r="E4686" s="12" t="s">
        <v>4971</v>
      </c>
      <c r="F4686" s="49">
        <v>490137</v>
      </c>
      <c r="G4686" s="77" t="str">
        <f>"LLC Sebco Bitumen"</f>
        <v>LLC Sebco Bitumen</v>
      </c>
      <c r="H4686" s="14" t="s">
        <v>5601</v>
      </c>
      <c r="I4686" s="14" t="s">
        <v>2458</v>
      </c>
      <c r="J4686" s="33" t="s">
        <v>7110</v>
      </c>
      <c r="K4686" s="33" t="s">
        <v>12928</v>
      </c>
      <c r="L4686" s="53" t="str">
        <f>"هند"</f>
        <v>هند</v>
      </c>
      <c r="M4686" s="68" t="str">
        <f t="shared" si="115"/>
        <v>بشكه</v>
      </c>
      <c r="N4686" s="53" t="str">
        <f t="shared" si="116"/>
        <v>منطقه ويژه اقتصادي شهيد رجايي</v>
      </c>
      <c r="O4686" s="53">
        <v>50100</v>
      </c>
      <c r="P4686" s="198" t="s">
        <v>12429</v>
      </c>
    </row>
    <row r="4687" spans="1:16" ht="18.75" hidden="1">
      <c r="A4687" s="50" t="str">
        <f>"50100-9859525"</f>
        <v>50100-9859525</v>
      </c>
      <c r="B4687" s="50" t="str">
        <f>"96/11/21"</f>
        <v>96/11/21</v>
      </c>
      <c r="C4687" s="50" t="s">
        <v>12926</v>
      </c>
      <c r="D4687" s="12" t="s">
        <v>12734</v>
      </c>
      <c r="E4687" s="12" t="s">
        <v>4971</v>
      </c>
      <c r="F4687" s="49">
        <v>493555</v>
      </c>
      <c r="G4687" s="77" t="str">
        <f>"LLC Sebco Bitumen"</f>
        <v>LLC Sebco Bitumen</v>
      </c>
      <c r="H4687" s="14" t="s">
        <v>5601</v>
      </c>
      <c r="I4687" s="14" t="s">
        <v>2458</v>
      </c>
      <c r="J4687" s="33" t="s">
        <v>7110</v>
      </c>
      <c r="K4687" s="33" t="s">
        <v>12928</v>
      </c>
      <c r="L4687" s="53" t="str">
        <f>"هند"</f>
        <v>هند</v>
      </c>
      <c r="M4687" s="68" t="str">
        <f t="shared" si="115"/>
        <v>بشكه</v>
      </c>
      <c r="N4687" s="53" t="str">
        <f t="shared" si="116"/>
        <v>منطقه ويژه اقتصادي شهيد رجايي</v>
      </c>
      <c r="O4687" s="53">
        <v>50100</v>
      </c>
      <c r="P4687" s="198" t="s">
        <v>12429</v>
      </c>
    </row>
    <row r="4688" spans="1:16" ht="18.75" hidden="1">
      <c r="A4688" s="50" t="str">
        <f>"50100-9899506"</f>
        <v>50100-9899506</v>
      </c>
      <c r="B4688" s="50" t="str">
        <f>"96/11/29"</f>
        <v>96/11/29</v>
      </c>
      <c r="C4688" s="50" t="s">
        <v>12927</v>
      </c>
      <c r="D4688" s="12" t="s">
        <v>12895</v>
      </c>
      <c r="E4688" s="12" t="s">
        <v>4971</v>
      </c>
      <c r="F4688" s="49">
        <v>495968</v>
      </c>
      <c r="G4688" s="77" t="str">
        <f>"AL Taiera al warqahal Lubricants  TR.LLC"</f>
        <v>AL Taiera al warqahal Lubricants  TR.LLC</v>
      </c>
      <c r="H4688" s="14" t="s">
        <v>5601</v>
      </c>
      <c r="I4688" s="14" t="s">
        <v>2458</v>
      </c>
      <c r="J4688" s="33" t="s">
        <v>7110</v>
      </c>
      <c r="K4688" s="33" t="s">
        <v>12928</v>
      </c>
      <c r="L4688" s="53" t="str">
        <f>"هند"</f>
        <v>هند</v>
      </c>
      <c r="M4688" s="68" t="str">
        <f t="shared" si="115"/>
        <v>بشكه</v>
      </c>
      <c r="N4688" s="53" t="str">
        <f t="shared" si="116"/>
        <v>منطقه ويژه اقتصادي شهيد رجايي</v>
      </c>
      <c r="O4688" s="53">
        <v>50100</v>
      </c>
      <c r="P4688" s="198" t="s">
        <v>12665</v>
      </c>
    </row>
    <row r="4689" spans="1:16" ht="18.75" hidden="1">
      <c r="A4689" s="50" t="s">
        <v>12943</v>
      </c>
      <c r="B4689" s="50" t="s">
        <v>12944</v>
      </c>
      <c r="C4689" s="50" t="s">
        <v>12945</v>
      </c>
      <c r="D4689" s="12" t="s">
        <v>12689</v>
      </c>
      <c r="E4689" s="12" t="s">
        <v>4971</v>
      </c>
      <c r="F4689" s="49">
        <v>19740</v>
      </c>
      <c r="G4689" s="77" t="s">
        <v>6453</v>
      </c>
      <c r="H4689" s="14" t="s">
        <v>5601</v>
      </c>
      <c r="I4689" s="14" t="s">
        <v>2458</v>
      </c>
      <c r="J4689" s="33" t="s">
        <v>7110</v>
      </c>
      <c r="K4689" s="33" t="s">
        <v>13002</v>
      </c>
      <c r="L4689" s="53" t="s">
        <v>6054</v>
      </c>
      <c r="M4689" s="68" t="s">
        <v>8913</v>
      </c>
      <c r="N4689" s="53" t="s">
        <v>6076</v>
      </c>
      <c r="O4689" s="53">
        <v>55301</v>
      </c>
      <c r="P4689" s="198" t="s">
        <v>12673</v>
      </c>
    </row>
    <row r="4690" spans="1:16" ht="18.75" hidden="1">
      <c r="A4690" s="50" t="s">
        <v>12946</v>
      </c>
      <c r="B4690" s="50" t="s">
        <v>12921</v>
      </c>
      <c r="C4690" s="50" t="s">
        <v>12947</v>
      </c>
      <c r="D4690" s="12" t="s">
        <v>10008</v>
      </c>
      <c r="E4690" s="12" t="s">
        <v>4971</v>
      </c>
      <c r="F4690" s="49">
        <v>24050</v>
      </c>
      <c r="G4690" s="77" t="s">
        <v>6298</v>
      </c>
      <c r="H4690" s="14" t="s">
        <v>5601</v>
      </c>
      <c r="I4690" s="14" t="s">
        <v>2458</v>
      </c>
      <c r="J4690" s="33" t="s">
        <v>7110</v>
      </c>
      <c r="K4690" s="33" t="s">
        <v>13002</v>
      </c>
      <c r="L4690" s="53" t="s">
        <v>6054</v>
      </c>
      <c r="M4690" s="68" t="s">
        <v>8912</v>
      </c>
      <c r="N4690" s="53" t="s">
        <v>6285</v>
      </c>
      <c r="O4690" s="53">
        <v>55200</v>
      </c>
      <c r="P4690" s="198" t="s">
        <v>9763</v>
      </c>
    </row>
    <row r="4691" spans="1:16" ht="18.75" hidden="1">
      <c r="A4691" s="50" t="s">
        <v>12946</v>
      </c>
      <c r="B4691" s="50" t="s">
        <v>12921</v>
      </c>
      <c r="C4691" s="50" t="s">
        <v>12948</v>
      </c>
      <c r="D4691" s="12" t="s">
        <v>12734</v>
      </c>
      <c r="E4691" s="12" t="s">
        <v>4971</v>
      </c>
      <c r="F4691" s="49">
        <v>149950</v>
      </c>
      <c r="G4691" s="77" t="s">
        <v>6454</v>
      </c>
      <c r="H4691" s="14" t="s">
        <v>5601</v>
      </c>
      <c r="I4691" s="14" t="s">
        <v>2458</v>
      </c>
      <c r="J4691" s="33" t="s">
        <v>7110</v>
      </c>
      <c r="K4691" s="33" t="s">
        <v>13002</v>
      </c>
      <c r="L4691" s="53" t="s">
        <v>6054</v>
      </c>
      <c r="M4691" s="68" t="s">
        <v>8912</v>
      </c>
      <c r="N4691" s="53" t="s">
        <v>6285</v>
      </c>
      <c r="O4691" s="53">
        <v>55200</v>
      </c>
      <c r="P4691" s="198" t="s">
        <v>12414</v>
      </c>
    </row>
    <row r="4692" spans="1:16" ht="18.75" hidden="1">
      <c r="A4692" s="50" t="s">
        <v>12949</v>
      </c>
      <c r="B4692" s="50" t="s">
        <v>12944</v>
      </c>
      <c r="C4692" s="50" t="s">
        <v>12950</v>
      </c>
      <c r="D4692" s="12" t="s">
        <v>12689</v>
      </c>
      <c r="E4692" s="12" t="s">
        <v>4971</v>
      </c>
      <c r="F4692" s="49">
        <v>2880</v>
      </c>
      <c r="G4692" s="77" t="s">
        <v>6453</v>
      </c>
      <c r="H4692" s="14" t="s">
        <v>5601</v>
      </c>
      <c r="I4692" s="14" t="s">
        <v>2458</v>
      </c>
      <c r="J4692" s="33" t="s">
        <v>7110</v>
      </c>
      <c r="K4692" s="33" t="s">
        <v>13002</v>
      </c>
      <c r="L4692" s="53" t="s">
        <v>6054</v>
      </c>
      <c r="M4692" s="68" t="s">
        <v>8912</v>
      </c>
      <c r="N4692" s="53" t="s">
        <v>6285</v>
      </c>
      <c r="O4692" s="53">
        <v>55200</v>
      </c>
      <c r="P4692" s="198" t="s">
        <v>12673</v>
      </c>
    </row>
    <row r="4693" spans="1:16" ht="18.75" hidden="1">
      <c r="A4693" s="50" t="s">
        <v>12949</v>
      </c>
      <c r="B4693" s="50" t="s">
        <v>12944</v>
      </c>
      <c r="C4693" s="50" t="s">
        <v>12951</v>
      </c>
      <c r="D4693" s="12" t="s">
        <v>12601</v>
      </c>
      <c r="E4693" s="12" t="s">
        <v>4971</v>
      </c>
      <c r="F4693" s="49">
        <v>20440</v>
      </c>
      <c r="G4693" s="77" t="s">
        <v>6453</v>
      </c>
      <c r="H4693" s="14" t="s">
        <v>5601</v>
      </c>
      <c r="I4693" s="14" t="s">
        <v>2458</v>
      </c>
      <c r="J4693" s="33" t="s">
        <v>7110</v>
      </c>
      <c r="K4693" s="33" t="s">
        <v>13002</v>
      </c>
      <c r="L4693" s="53" t="s">
        <v>6054</v>
      </c>
      <c r="M4693" s="68" t="s">
        <v>8912</v>
      </c>
      <c r="N4693" s="53" t="s">
        <v>6285</v>
      </c>
      <c r="O4693" s="53">
        <v>55200</v>
      </c>
      <c r="P4693" s="198" t="s">
        <v>12673</v>
      </c>
    </row>
    <row r="4694" spans="1:16" ht="18.75" hidden="1">
      <c r="A4694" s="50" t="s">
        <v>12952</v>
      </c>
      <c r="B4694" s="50" t="s">
        <v>12953</v>
      </c>
      <c r="C4694" s="50" t="s">
        <v>12954</v>
      </c>
      <c r="D4694" s="12" t="s">
        <v>12867</v>
      </c>
      <c r="E4694" s="12" t="s">
        <v>4971</v>
      </c>
      <c r="F4694" s="49">
        <v>30290</v>
      </c>
      <c r="G4694" s="77" t="s">
        <v>12608</v>
      </c>
      <c r="H4694" s="14" t="s">
        <v>5601</v>
      </c>
      <c r="I4694" s="14" t="s">
        <v>2458</v>
      </c>
      <c r="J4694" s="33" t="s">
        <v>7110</v>
      </c>
      <c r="K4694" s="33" t="s">
        <v>13002</v>
      </c>
      <c r="L4694" s="53" t="s">
        <v>6054</v>
      </c>
      <c r="M4694" s="68" t="s">
        <v>8912</v>
      </c>
      <c r="N4694" s="53" t="s">
        <v>6076</v>
      </c>
      <c r="O4694" s="53">
        <v>55301</v>
      </c>
      <c r="P4694" s="198" t="s">
        <v>12677</v>
      </c>
    </row>
    <row r="4695" spans="1:16" ht="18.75" hidden="1">
      <c r="A4695" s="50" t="s">
        <v>12955</v>
      </c>
      <c r="B4695" s="50" t="s">
        <v>12944</v>
      </c>
      <c r="C4695" s="50" t="s">
        <v>12954</v>
      </c>
      <c r="D4695" s="12" t="s">
        <v>12867</v>
      </c>
      <c r="E4695" s="12" t="s">
        <v>4971</v>
      </c>
      <c r="F4695" s="49">
        <v>91710</v>
      </c>
      <c r="G4695" s="77" t="s">
        <v>12608</v>
      </c>
      <c r="H4695" s="14" t="s">
        <v>5601</v>
      </c>
      <c r="I4695" s="14" t="s">
        <v>2458</v>
      </c>
      <c r="J4695" s="33" t="s">
        <v>7110</v>
      </c>
      <c r="K4695" s="33" t="s">
        <v>13002</v>
      </c>
      <c r="L4695" s="53" t="s">
        <v>6054</v>
      </c>
      <c r="M4695" s="68" t="s">
        <v>8912</v>
      </c>
      <c r="N4695" s="53" t="s">
        <v>6076</v>
      </c>
      <c r="O4695" s="53">
        <v>55301</v>
      </c>
      <c r="P4695" s="198" t="s">
        <v>12677</v>
      </c>
    </row>
    <row r="4696" spans="1:16" ht="18.75" hidden="1">
      <c r="A4696" s="50" t="s">
        <v>12956</v>
      </c>
      <c r="B4696" s="50" t="s">
        <v>12921</v>
      </c>
      <c r="C4696" s="50" t="s">
        <v>12957</v>
      </c>
      <c r="D4696" s="12" t="s">
        <v>12717</v>
      </c>
      <c r="E4696" s="12" t="s">
        <v>4971</v>
      </c>
      <c r="F4696" s="49">
        <v>227850</v>
      </c>
      <c r="G4696" s="77" t="s">
        <v>6453</v>
      </c>
      <c r="H4696" s="14" t="s">
        <v>5601</v>
      </c>
      <c r="I4696" s="14" t="s">
        <v>2458</v>
      </c>
      <c r="J4696" s="33" t="s">
        <v>7110</v>
      </c>
      <c r="K4696" s="33" t="s">
        <v>13002</v>
      </c>
      <c r="L4696" s="53" t="s">
        <v>6054</v>
      </c>
      <c r="M4696" s="68" t="s">
        <v>8913</v>
      </c>
      <c r="N4696" s="53" t="s">
        <v>6076</v>
      </c>
      <c r="O4696" s="53">
        <v>55301</v>
      </c>
      <c r="P4696" s="198" t="s">
        <v>12673</v>
      </c>
    </row>
    <row r="4697" spans="1:16" ht="18.75" hidden="1">
      <c r="A4697" s="50" t="s">
        <v>12943</v>
      </c>
      <c r="B4697" s="50" t="s">
        <v>12944</v>
      </c>
      <c r="C4697" s="50" t="s">
        <v>12950</v>
      </c>
      <c r="D4697" s="12" t="s">
        <v>12689</v>
      </c>
      <c r="E4697" s="12" t="s">
        <v>4971</v>
      </c>
      <c r="F4697" s="49">
        <v>147120</v>
      </c>
      <c r="G4697" s="77" t="s">
        <v>6453</v>
      </c>
      <c r="H4697" s="14" t="s">
        <v>5601</v>
      </c>
      <c r="I4697" s="14" t="s">
        <v>2458</v>
      </c>
      <c r="J4697" s="33" t="s">
        <v>7110</v>
      </c>
      <c r="K4697" s="33" t="s">
        <v>13002</v>
      </c>
      <c r="L4697" s="53" t="s">
        <v>6054</v>
      </c>
      <c r="M4697" s="68" t="s">
        <v>8913</v>
      </c>
      <c r="N4697" s="53" t="s">
        <v>6076</v>
      </c>
      <c r="O4697" s="53">
        <v>55301</v>
      </c>
      <c r="P4697" s="198" t="s">
        <v>12673</v>
      </c>
    </row>
    <row r="4698" spans="1:16" ht="18.75" hidden="1">
      <c r="A4698" s="50" t="s">
        <v>12958</v>
      </c>
      <c r="B4698" s="50" t="s">
        <v>12953</v>
      </c>
      <c r="C4698" s="50" t="s">
        <v>12959</v>
      </c>
      <c r="D4698" s="12" t="s">
        <v>12691</v>
      </c>
      <c r="E4698" s="12" t="s">
        <v>4971</v>
      </c>
      <c r="F4698" s="49">
        <v>50930</v>
      </c>
      <c r="G4698" s="77" t="s">
        <v>6300</v>
      </c>
      <c r="H4698" s="14" t="s">
        <v>5601</v>
      </c>
      <c r="I4698" s="14" t="s">
        <v>2458</v>
      </c>
      <c r="J4698" s="33" t="s">
        <v>7110</v>
      </c>
      <c r="K4698" s="33" t="s">
        <v>13002</v>
      </c>
      <c r="L4698" s="53" t="s">
        <v>6054</v>
      </c>
      <c r="M4698" s="68" t="s">
        <v>8912</v>
      </c>
      <c r="N4698" s="53" t="s">
        <v>6286</v>
      </c>
      <c r="O4698" s="53">
        <v>55107</v>
      </c>
      <c r="P4698" s="198" t="s">
        <v>12424</v>
      </c>
    </row>
    <row r="4699" spans="1:16" ht="18.75" hidden="1">
      <c r="A4699" s="50" t="s">
        <v>12956</v>
      </c>
      <c r="B4699" s="50" t="s">
        <v>12921</v>
      </c>
      <c r="C4699" s="50" t="s">
        <v>12603</v>
      </c>
      <c r="D4699" s="12" t="s">
        <v>12560</v>
      </c>
      <c r="E4699" s="12" t="s">
        <v>4971</v>
      </c>
      <c r="F4699" s="49">
        <v>60590</v>
      </c>
      <c r="G4699" s="77" t="s">
        <v>6300</v>
      </c>
      <c r="H4699" s="14" t="s">
        <v>5601</v>
      </c>
      <c r="I4699" s="14" t="s">
        <v>2458</v>
      </c>
      <c r="J4699" s="33" t="s">
        <v>7110</v>
      </c>
      <c r="K4699" s="33" t="s">
        <v>13002</v>
      </c>
      <c r="L4699" s="53" t="s">
        <v>6054</v>
      </c>
      <c r="M4699" s="68" t="s">
        <v>8913</v>
      </c>
      <c r="N4699" s="53" t="s">
        <v>6076</v>
      </c>
      <c r="O4699" s="53">
        <v>55301</v>
      </c>
      <c r="P4699" s="198" t="s">
        <v>12424</v>
      </c>
    </row>
    <row r="4700" spans="1:16" ht="18.75" hidden="1">
      <c r="A4700" s="50" t="s">
        <v>12960</v>
      </c>
      <c r="B4700" s="50" t="s">
        <v>12898</v>
      </c>
      <c r="C4700" s="50" t="s">
        <v>12961</v>
      </c>
      <c r="D4700" s="12" t="s">
        <v>12627</v>
      </c>
      <c r="E4700" s="12" t="s">
        <v>4971</v>
      </c>
      <c r="F4700" s="49">
        <v>101560</v>
      </c>
      <c r="G4700" s="77" t="s">
        <v>6300</v>
      </c>
      <c r="H4700" s="14" t="s">
        <v>5601</v>
      </c>
      <c r="I4700" s="14" t="s">
        <v>2458</v>
      </c>
      <c r="J4700" s="33" t="s">
        <v>7110</v>
      </c>
      <c r="K4700" s="33" t="s">
        <v>13002</v>
      </c>
      <c r="L4700" s="53" t="s">
        <v>6054</v>
      </c>
      <c r="M4700" s="68" t="s">
        <v>8912</v>
      </c>
      <c r="N4700" s="53" t="s">
        <v>6286</v>
      </c>
      <c r="O4700" s="53">
        <v>55107</v>
      </c>
      <c r="P4700" s="198" t="s">
        <v>12674</v>
      </c>
    </row>
    <row r="4701" spans="1:16" ht="18.75" hidden="1">
      <c r="A4701" s="50" t="s">
        <v>12962</v>
      </c>
      <c r="B4701" s="50" t="s">
        <v>12898</v>
      </c>
      <c r="C4701" s="50" t="s">
        <v>12947</v>
      </c>
      <c r="D4701" s="12" t="s">
        <v>10008</v>
      </c>
      <c r="E4701" s="12" t="s">
        <v>4971</v>
      </c>
      <c r="F4701" s="49">
        <v>49940</v>
      </c>
      <c r="G4701" s="77" t="s">
        <v>6298</v>
      </c>
      <c r="H4701" s="14" t="s">
        <v>5601</v>
      </c>
      <c r="I4701" s="14" t="s">
        <v>2458</v>
      </c>
      <c r="J4701" s="33" t="s">
        <v>7110</v>
      </c>
      <c r="K4701" s="33" t="s">
        <v>13002</v>
      </c>
      <c r="L4701" s="53" t="s">
        <v>6054</v>
      </c>
      <c r="M4701" s="68" t="s">
        <v>8913</v>
      </c>
      <c r="N4701" s="53" t="s">
        <v>6285</v>
      </c>
      <c r="O4701" s="53">
        <v>55200</v>
      </c>
      <c r="P4701" s="198" t="s">
        <v>9763</v>
      </c>
    </row>
    <row r="4702" spans="1:16" ht="18.75" hidden="1">
      <c r="A4702" s="50" t="s">
        <v>12952</v>
      </c>
      <c r="B4702" s="50" t="s">
        <v>12953</v>
      </c>
      <c r="C4702" s="50" t="s">
        <v>12963</v>
      </c>
      <c r="D4702" s="12" t="s">
        <v>12964</v>
      </c>
      <c r="E4702" s="12" t="s">
        <v>4971</v>
      </c>
      <c r="F4702" s="49">
        <v>17950</v>
      </c>
      <c r="G4702" s="77" t="s">
        <v>12608</v>
      </c>
      <c r="H4702" s="14" t="s">
        <v>5601</v>
      </c>
      <c r="I4702" s="14" t="s">
        <v>2458</v>
      </c>
      <c r="J4702" s="33" t="s">
        <v>7110</v>
      </c>
      <c r="K4702" s="33" t="s">
        <v>13002</v>
      </c>
      <c r="L4702" s="53" t="s">
        <v>6054</v>
      </c>
      <c r="M4702" s="68" t="s">
        <v>8912</v>
      </c>
      <c r="N4702" s="53" t="s">
        <v>6076</v>
      </c>
      <c r="O4702" s="53">
        <v>55301</v>
      </c>
      <c r="P4702" s="198" t="s">
        <v>12677</v>
      </c>
    </row>
    <row r="4703" spans="1:16" ht="18.75" hidden="1">
      <c r="A4703" s="50" t="s">
        <v>12965</v>
      </c>
      <c r="B4703" s="50" t="s">
        <v>12878</v>
      </c>
      <c r="C4703" s="50" t="s">
        <v>12966</v>
      </c>
      <c r="D4703" s="12" t="s">
        <v>12964</v>
      </c>
      <c r="E4703" s="12" t="s">
        <v>4971</v>
      </c>
      <c r="F4703" s="49">
        <v>208580</v>
      </c>
      <c r="G4703" s="77" t="s">
        <v>6453</v>
      </c>
      <c r="H4703" s="14" t="s">
        <v>5601</v>
      </c>
      <c r="I4703" s="14" t="s">
        <v>2458</v>
      </c>
      <c r="J4703" s="33" t="s">
        <v>7110</v>
      </c>
      <c r="K4703" s="33" t="s">
        <v>13002</v>
      </c>
      <c r="L4703" s="53" t="s">
        <v>6054</v>
      </c>
      <c r="M4703" s="68" t="s">
        <v>8913</v>
      </c>
      <c r="N4703" s="53" t="s">
        <v>6076</v>
      </c>
      <c r="O4703" s="53">
        <v>55301</v>
      </c>
      <c r="P4703" s="198" t="s">
        <v>12673</v>
      </c>
    </row>
    <row r="4704" spans="1:16" ht="18.75" hidden="1">
      <c r="A4704" s="50" t="s">
        <v>12949</v>
      </c>
      <c r="B4704" s="50" t="s">
        <v>12944</v>
      </c>
      <c r="C4704" s="50" t="s">
        <v>12967</v>
      </c>
      <c r="D4704" s="12" t="s">
        <v>12717</v>
      </c>
      <c r="E4704" s="12" t="s">
        <v>4971</v>
      </c>
      <c r="F4704" s="49">
        <v>51270</v>
      </c>
      <c r="G4704" s="77" t="s">
        <v>6453</v>
      </c>
      <c r="H4704" s="14" t="s">
        <v>5601</v>
      </c>
      <c r="I4704" s="14" t="s">
        <v>2458</v>
      </c>
      <c r="J4704" s="33" t="s">
        <v>7110</v>
      </c>
      <c r="K4704" s="33" t="s">
        <v>13002</v>
      </c>
      <c r="L4704" s="53" t="s">
        <v>6054</v>
      </c>
      <c r="M4704" s="68" t="s">
        <v>8912</v>
      </c>
      <c r="N4704" s="53" t="s">
        <v>6285</v>
      </c>
      <c r="O4704" s="53">
        <v>55200</v>
      </c>
      <c r="P4704" s="198" t="s">
        <v>12306</v>
      </c>
    </row>
    <row r="4705" spans="1:16" ht="18.75" hidden="1">
      <c r="A4705" s="50" t="s">
        <v>12968</v>
      </c>
      <c r="B4705" s="50" t="s">
        <v>12944</v>
      </c>
      <c r="C4705" s="50" t="s">
        <v>12959</v>
      </c>
      <c r="D4705" s="12" t="s">
        <v>12691</v>
      </c>
      <c r="E4705" s="12" t="s">
        <v>4971</v>
      </c>
      <c r="F4705" s="49">
        <v>23860</v>
      </c>
      <c r="G4705" s="77" t="s">
        <v>6300</v>
      </c>
      <c r="H4705" s="14" t="s">
        <v>5601</v>
      </c>
      <c r="I4705" s="14" t="s">
        <v>2458</v>
      </c>
      <c r="J4705" s="33" t="s">
        <v>7110</v>
      </c>
      <c r="K4705" s="33" t="s">
        <v>13002</v>
      </c>
      <c r="L4705" s="53" t="s">
        <v>6054</v>
      </c>
      <c r="M4705" s="68" t="s">
        <v>8912</v>
      </c>
      <c r="N4705" s="53" t="s">
        <v>6286</v>
      </c>
      <c r="O4705" s="53">
        <v>55107</v>
      </c>
      <c r="P4705" s="198" t="s">
        <v>12424</v>
      </c>
    </row>
    <row r="4706" spans="1:16" ht="18.75" hidden="1">
      <c r="A4706" s="50" t="s">
        <v>12965</v>
      </c>
      <c r="B4706" s="50" t="s">
        <v>12878</v>
      </c>
      <c r="C4706" s="50" t="s">
        <v>12969</v>
      </c>
      <c r="D4706" s="12" t="s">
        <v>9998</v>
      </c>
      <c r="E4706" s="12" t="s">
        <v>4971</v>
      </c>
      <c r="F4706" s="49">
        <v>5210</v>
      </c>
      <c r="G4706" s="77" t="s">
        <v>6298</v>
      </c>
      <c r="H4706" s="14" t="s">
        <v>5601</v>
      </c>
      <c r="I4706" s="14" t="s">
        <v>2458</v>
      </c>
      <c r="J4706" s="33" t="s">
        <v>7110</v>
      </c>
      <c r="K4706" s="33" t="s">
        <v>13002</v>
      </c>
      <c r="L4706" s="53" t="s">
        <v>6054</v>
      </c>
      <c r="M4706" s="68" t="s">
        <v>8913</v>
      </c>
      <c r="N4706" s="53" t="s">
        <v>6076</v>
      </c>
      <c r="O4706" s="53">
        <v>55301</v>
      </c>
      <c r="P4706" s="198" t="s">
        <v>12260</v>
      </c>
    </row>
    <row r="4707" spans="1:16" ht="18.75" hidden="1">
      <c r="A4707" s="50" t="s">
        <v>12970</v>
      </c>
      <c r="B4707" s="50" t="s">
        <v>12765</v>
      </c>
      <c r="C4707" s="50" t="s">
        <v>12508</v>
      </c>
      <c r="D4707" s="12" t="s">
        <v>12509</v>
      </c>
      <c r="E4707" s="12" t="s">
        <v>4971</v>
      </c>
      <c r="F4707" s="49">
        <v>2240</v>
      </c>
      <c r="G4707" s="77" t="s">
        <v>6300</v>
      </c>
      <c r="H4707" s="14" t="s">
        <v>5601</v>
      </c>
      <c r="I4707" s="14" t="s">
        <v>2458</v>
      </c>
      <c r="J4707" s="33" t="s">
        <v>7110</v>
      </c>
      <c r="K4707" s="33" t="s">
        <v>13002</v>
      </c>
      <c r="L4707" s="53" t="s">
        <v>6054</v>
      </c>
      <c r="M4707" s="68" t="s">
        <v>8913</v>
      </c>
      <c r="N4707" s="53" t="s">
        <v>6076</v>
      </c>
      <c r="O4707" s="53">
        <v>55301</v>
      </c>
      <c r="P4707" s="198" t="s">
        <v>12220</v>
      </c>
    </row>
    <row r="4708" spans="1:16" ht="18.75" hidden="1">
      <c r="A4708" s="50" t="s">
        <v>12971</v>
      </c>
      <c r="B4708" s="50" t="s">
        <v>12765</v>
      </c>
      <c r="C4708" s="50" t="s">
        <v>12967</v>
      </c>
      <c r="D4708" s="12" t="s">
        <v>12717</v>
      </c>
      <c r="E4708" s="12" t="s">
        <v>4971</v>
      </c>
      <c r="F4708" s="49">
        <v>48330</v>
      </c>
      <c r="G4708" s="77" t="s">
        <v>6453</v>
      </c>
      <c r="H4708" s="14" t="s">
        <v>5601</v>
      </c>
      <c r="I4708" s="14" t="s">
        <v>2458</v>
      </c>
      <c r="J4708" s="33" t="s">
        <v>7110</v>
      </c>
      <c r="K4708" s="33" t="s">
        <v>13002</v>
      </c>
      <c r="L4708" s="53" t="s">
        <v>6054</v>
      </c>
      <c r="M4708" s="68" t="s">
        <v>8912</v>
      </c>
      <c r="N4708" s="53" t="s">
        <v>6285</v>
      </c>
      <c r="O4708" s="53">
        <v>55200</v>
      </c>
      <c r="P4708" s="198" t="s">
        <v>12306</v>
      </c>
    </row>
    <row r="4709" spans="1:16" ht="18.75" hidden="1">
      <c r="A4709" s="50" t="s">
        <v>12965</v>
      </c>
      <c r="B4709" s="50" t="s">
        <v>12878</v>
      </c>
      <c r="C4709" s="50" t="s">
        <v>12972</v>
      </c>
      <c r="D4709" s="12" t="s">
        <v>12542</v>
      </c>
      <c r="E4709" s="12" t="s">
        <v>4971</v>
      </c>
      <c r="F4709" s="49">
        <v>64870</v>
      </c>
      <c r="G4709" s="77" t="s">
        <v>6298</v>
      </c>
      <c r="H4709" s="14" t="s">
        <v>5601</v>
      </c>
      <c r="I4709" s="14" t="s">
        <v>2458</v>
      </c>
      <c r="J4709" s="33" t="s">
        <v>7110</v>
      </c>
      <c r="K4709" s="33" t="s">
        <v>13002</v>
      </c>
      <c r="L4709" s="53" t="s">
        <v>6054</v>
      </c>
      <c r="M4709" s="68" t="s">
        <v>8913</v>
      </c>
      <c r="N4709" s="53" t="s">
        <v>6076</v>
      </c>
      <c r="O4709" s="53">
        <v>55301</v>
      </c>
      <c r="P4709" s="198" t="s">
        <v>12429</v>
      </c>
    </row>
    <row r="4710" spans="1:16" ht="18.75" hidden="1">
      <c r="A4710" s="50" t="s">
        <v>12955</v>
      </c>
      <c r="B4710" s="50" t="s">
        <v>12944</v>
      </c>
      <c r="C4710" s="50" t="s">
        <v>12959</v>
      </c>
      <c r="D4710" s="12" t="s">
        <v>12691</v>
      </c>
      <c r="E4710" s="12" t="s">
        <v>4971</v>
      </c>
      <c r="F4710" s="49">
        <v>46910</v>
      </c>
      <c r="G4710" s="77" t="s">
        <v>6300</v>
      </c>
      <c r="H4710" s="14" t="s">
        <v>5601</v>
      </c>
      <c r="I4710" s="14" t="s">
        <v>2458</v>
      </c>
      <c r="J4710" s="33" t="s">
        <v>7110</v>
      </c>
      <c r="K4710" s="33" t="s">
        <v>13002</v>
      </c>
      <c r="L4710" s="53" t="s">
        <v>6054</v>
      </c>
      <c r="M4710" s="68" t="s">
        <v>8912</v>
      </c>
      <c r="N4710" s="53" t="s">
        <v>6076</v>
      </c>
      <c r="O4710" s="53">
        <v>55301</v>
      </c>
      <c r="P4710" s="198" t="s">
        <v>12424</v>
      </c>
    </row>
    <row r="4711" spans="1:16" ht="18.75" hidden="1">
      <c r="A4711" s="50" t="s">
        <v>12965</v>
      </c>
      <c r="B4711" s="50" t="s">
        <v>12878</v>
      </c>
      <c r="C4711" s="50" t="s">
        <v>12973</v>
      </c>
      <c r="D4711" s="12" t="s">
        <v>12895</v>
      </c>
      <c r="E4711" s="12" t="s">
        <v>4971</v>
      </c>
      <c r="F4711" s="49">
        <v>69700</v>
      </c>
      <c r="G4711" s="77" t="s">
        <v>6453</v>
      </c>
      <c r="H4711" s="14" t="s">
        <v>5601</v>
      </c>
      <c r="I4711" s="14" t="s">
        <v>2458</v>
      </c>
      <c r="J4711" s="33" t="s">
        <v>7110</v>
      </c>
      <c r="K4711" s="33" t="s">
        <v>13002</v>
      </c>
      <c r="L4711" s="53" t="s">
        <v>6054</v>
      </c>
      <c r="M4711" s="68" t="s">
        <v>8913</v>
      </c>
      <c r="N4711" s="53" t="s">
        <v>6076</v>
      </c>
      <c r="O4711" s="53">
        <v>55301</v>
      </c>
      <c r="P4711" s="198" t="s">
        <v>12673</v>
      </c>
    </row>
    <row r="4712" spans="1:16" ht="18.75" hidden="1">
      <c r="A4712" s="50" t="s">
        <v>12965</v>
      </c>
      <c r="B4712" s="50" t="s">
        <v>12878</v>
      </c>
      <c r="C4712" s="50" t="s">
        <v>12974</v>
      </c>
      <c r="D4712" s="12" t="s">
        <v>12921</v>
      </c>
      <c r="E4712" s="12" t="s">
        <v>4971</v>
      </c>
      <c r="F4712" s="49">
        <v>74480</v>
      </c>
      <c r="G4712" s="77" t="s">
        <v>12608</v>
      </c>
      <c r="H4712" s="14" t="s">
        <v>5601</v>
      </c>
      <c r="I4712" s="14" t="s">
        <v>2458</v>
      </c>
      <c r="J4712" s="33" t="s">
        <v>7110</v>
      </c>
      <c r="K4712" s="33" t="s">
        <v>13002</v>
      </c>
      <c r="L4712" s="53" t="s">
        <v>6054</v>
      </c>
      <c r="M4712" s="68" t="s">
        <v>8913</v>
      </c>
      <c r="N4712" s="53" t="s">
        <v>6076</v>
      </c>
      <c r="O4712" s="53">
        <v>55301</v>
      </c>
      <c r="P4712" s="198" t="s">
        <v>12677</v>
      </c>
    </row>
    <row r="4713" spans="1:16" ht="18.75" hidden="1">
      <c r="A4713" s="50" t="s">
        <v>12975</v>
      </c>
      <c r="B4713" s="50" t="s">
        <v>12953</v>
      </c>
      <c r="C4713" s="50" t="s">
        <v>12976</v>
      </c>
      <c r="D4713" s="12" t="s">
        <v>12705</v>
      </c>
      <c r="E4713" s="12" t="s">
        <v>4971</v>
      </c>
      <c r="F4713" s="49">
        <v>114500</v>
      </c>
      <c r="G4713" s="77" t="s">
        <v>6453</v>
      </c>
      <c r="H4713" s="14" t="s">
        <v>5601</v>
      </c>
      <c r="I4713" s="14" t="s">
        <v>2458</v>
      </c>
      <c r="J4713" s="33" t="s">
        <v>7110</v>
      </c>
      <c r="K4713" s="33" t="s">
        <v>13002</v>
      </c>
      <c r="L4713" s="53" t="s">
        <v>6054</v>
      </c>
      <c r="M4713" s="68" t="s">
        <v>8912</v>
      </c>
      <c r="N4713" s="53" t="s">
        <v>6285</v>
      </c>
      <c r="O4713" s="53">
        <v>55200</v>
      </c>
      <c r="P4713" s="198" t="s">
        <v>12673</v>
      </c>
    </row>
    <row r="4714" spans="1:16" ht="18.75" hidden="1">
      <c r="A4714" s="50" t="s">
        <v>12970</v>
      </c>
      <c r="B4714" s="50" t="s">
        <v>12765</v>
      </c>
      <c r="C4714" s="50" t="s">
        <v>12963</v>
      </c>
      <c r="D4714" s="12" t="s">
        <v>12964</v>
      </c>
      <c r="E4714" s="12" t="s">
        <v>4971</v>
      </c>
      <c r="F4714" s="49">
        <v>49120</v>
      </c>
      <c r="G4714" s="77" t="s">
        <v>12608</v>
      </c>
      <c r="H4714" s="14" t="s">
        <v>5601</v>
      </c>
      <c r="I4714" s="14" t="s">
        <v>2458</v>
      </c>
      <c r="J4714" s="33" t="s">
        <v>7110</v>
      </c>
      <c r="K4714" s="33" t="s">
        <v>13002</v>
      </c>
      <c r="L4714" s="53" t="s">
        <v>6054</v>
      </c>
      <c r="M4714" s="68" t="s">
        <v>8913</v>
      </c>
      <c r="N4714" s="53" t="s">
        <v>6076</v>
      </c>
      <c r="O4714" s="53">
        <v>55301</v>
      </c>
      <c r="P4714" s="198" t="s">
        <v>12677</v>
      </c>
    </row>
    <row r="4715" spans="1:16" ht="18.75" hidden="1">
      <c r="A4715" s="50" t="s">
        <v>12977</v>
      </c>
      <c r="B4715" s="50" t="s">
        <v>12898</v>
      </c>
      <c r="C4715" s="50" t="s">
        <v>12978</v>
      </c>
      <c r="D4715" s="12" t="s">
        <v>10036</v>
      </c>
      <c r="E4715" s="12" t="s">
        <v>4971</v>
      </c>
      <c r="F4715" s="49">
        <v>11000</v>
      </c>
      <c r="G4715" s="77" t="s">
        <v>6298</v>
      </c>
      <c r="H4715" s="14" t="s">
        <v>5601</v>
      </c>
      <c r="I4715" s="14" t="s">
        <v>2458</v>
      </c>
      <c r="J4715" s="33" t="s">
        <v>7110</v>
      </c>
      <c r="K4715" s="33" t="s">
        <v>13002</v>
      </c>
      <c r="L4715" s="53" t="s">
        <v>6054</v>
      </c>
      <c r="M4715" s="68" t="s">
        <v>8912</v>
      </c>
      <c r="N4715" s="53" t="s">
        <v>6076</v>
      </c>
      <c r="O4715" s="53">
        <v>55301</v>
      </c>
      <c r="P4715" s="198" t="s">
        <v>9763</v>
      </c>
    </row>
    <row r="4716" spans="1:16" ht="18.75" hidden="1">
      <c r="A4716" s="50" t="s">
        <v>12955</v>
      </c>
      <c r="B4716" s="50" t="s">
        <v>12944</v>
      </c>
      <c r="C4716" s="50" t="s">
        <v>12769</v>
      </c>
      <c r="D4716" s="12" t="s">
        <v>12691</v>
      </c>
      <c r="E4716" s="12" t="s">
        <v>4971</v>
      </c>
      <c r="F4716" s="49">
        <v>28340</v>
      </c>
      <c r="G4716" s="77" t="s">
        <v>12608</v>
      </c>
      <c r="H4716" s="14" t="s">
        <v>5601</v>
      </c>
      <c r="I4716" s="14" t="s">
        <v>2458</v>
      </c>
      <c r="J4716" s="33" t="s">
        <v>7110</v>
      </c>
      <c r="K4716" s="33" t="s">
        <v>13002</v>
      </c>
      <c r="L4716" s="53" t="s">
        <v>6054</v>
      </c>
      <c r="M4716" s="68" t="s">
        <v>8912</v>
      </c>
      <c r="N4716" s="53" t="s">
        <v>6076</v>
      </c>
      <c r="O4716" s="53">
        <v>55301</v>
      </c>
      <c r="P4716" s="198" t="s">
        <v>12425</v>
      </c>
    </row>
    <row r="4717" spans="1:16" ht="18.75" hidden="1">
      <c r="A4717" s="50" t="s">
        <v>12975</v>
      </c>
      <c r="B4717" s="50" t="s">
        <v>12953</v>
      </c>
      <c r="C4717" s="50" t="s">
        <v>12979</v>
      </c>
      <c r="D4717" s="12" t="s">
        <v>12701</v>
      </c>
      <c r="E4717" s="12" t="s">
        <v>4971</v>
      </c>
      <c r="F4717" s="49">
        <v>35950</v>
      </c>
      <c r="G4717" s="77" t="s">
        <v>6453</v>
      </c>
      <c r="H4717" s="14" t="s">
        <v>5601</v>
      </c>
      <c r="I4717" s="14" t="s">
        <v>2458</v>
      </c>
      <c r="J4717" s="33" t="s">
        <v>7110</v>
      </c>
      <c r="K4717" s="33" t="s">
        <v>13002</v>
      </c>
      <c r="L4717" s="53" t="s">
        <v>6054</v>
      </c>
      <c r="M4717" s="68" t="s">
        <v>8912</v>
      </c>
      <c r="N4717" s="53" t="s">
        <v>6285</v>
      </c>
      <c r="O4717" s="53">
        <v>55200</v>
      </c>
      <c r="P4717" s="198" t="s">
        <v>12673</v>
      </c>
    </row>
    <row r="4718" spans="1:16" ht="18.75" hidden="1">
      <c r="A4718" s="50" t="s">
        <v>12970</v>
      </c>
      <c r="B4718" s="50" t="s">
        <v>12765</v>
      </c>
      <c r="C4718" s="50" t="s">
        <v>12959</v>
      </c>
      <c r="D4718" s="12" t="s">
        <v>12691</v>
      </c>
      <c r="E4718" s="12" t="s">
        <v>4971</v>
      </c>
      <c r="F4718" s="49">
        <v>210140</v>
      </c>
      <c r="G4718" s="77" t="s">
        <v>6300</v>
      </c>
      <c r="H4718" s="14" t="s">
        <v>5601</v>
      </c>
      <c r="I4718" s="14" t="s">
        <v>2458</v>
      </c>
      <c r="J4718" s="33" t="s">
        <v>7110</v>
      </c>
      <c r="K4718" s="33" t="s">
        <v>13002</v>
      </c>
      <c r="L4718" s="53" t="s">
        <v>6054</v>
      </c>
      <c r="M4718" s="68" t="s">
        <v>8913</v>
      </c>
      <c r="N4718" s="53" t="s">
        <v>6076</v>
      </c>
      <c r="O4718" s="53">
        <v>55301</v>
      </c>
      <c r="P4718" s="198" t="s">
        <v>12424</v>
      </c>
    </row>
    <row r="4719" spans="1:16" ht="18.75" hidden="1">
      <c r="A4719" s="50" t="s">
        <v>12980</v>
      </c>
      <c r="B4719" s="50" t="s">
        <v>12765</v>
      </c>
      <c r="C4719" s="50" t="s">
        <v>12959</v>
      </c>
      <c r="D4719" s="12" t="s">
        <v>12691</v>
      </c>
      <c r="E4719" s="12" t="s">
        <v>4971</v>
      </c>
      <c r="F4719" s="49">
        <v>118420</v>
      </c>
      <c r="G4719" s="77" t="s">
        <v>6300</v>
      </c>
      <c r="H4719" s="14" t="s">
        <v>5601</v>
      </c>
      <c r="I4719" s="14" t="s">
        <v>2458</v>
      </c>
      <c r="J4719" s="33" t="s">
        <v>7110</v>
      </c>
      <c r="K4719" s="33" t="s">
        <v>13002</v>
      </c>
      <c r="L4719" s="53" t="s">
        <v>6054</v>
      </c>
      <c r="M4719" s="68" t="s">
        <v>8912</v>
      </c>
      <c r="N4719" s="53" t="s">
        <v>6076</v>
      </c>
      <c r="O4719" s="53">
        <v>55301</v>
      </c>
      <c r="P4719" s="198" t="s">
        <v>12424</v>
      </c>
    </row>
    <row r="4720" spans="1:16" ht="18.75" hidden="1">
      <c r="A4720" s="50" t="s">
        <v>12970</v>
      </c>
      <c r="B4720" s="50" t="s">
        <v>12765</v>
      </c>
      <c r="C4720" s="50" t="s">
        <v>12945</v>
      </c>
      <c r="D4720" s="12" t="s">
        <v>12689</v>
      </c>
      <c r="E4720" s="12" t="s">
        <v>4971</v>
      </c>
      <c r="F4720" s="49">
        <v>280260</v>
      </c>
      <c r="G4720" s="77" t="s">
        <v>6453</v>
      </c>
      <c r="H4720" s="14" t="s">
        <v>5601</v>
      </c>
      <c r="I4720" s="14" t="s">
        <v>2458</v>
      </c>
      <c r="J4720" s="33" t="s">
        <v>7110</v>
      </c>
      <c r="K4720" s="33" t="s">
        <v>13002</v>
      </c>
      <c r="L4720" s="53" t="s">
        <v>6054</v>
      </c>
      <c r="M4720" s="68" t="s">
        <v>8913</v>
      </c>
      <c r="N4720" s="53" t="s">
        <v>6076</v>
      </c>
      <c r="O4720" s="53">
        <v>55301</v>
      </c>
      <c r="P4720" s="198" t="s">
        <v>12673</v>
      </c>
    </row>
    <row r="4721" spans="1:16" ht="18.75" hidden="1">
      <c r="A4721" s="50" t="s">
        <v>12977</v>
      </c>
      <c r="B4721" s="50" t="s">
        <v>12898</v>
      </c>
      <c r="C4721" s="50" t="s">
        <v>12947</v>
      </c>
      <c r="D4721" s="12" t="s">
        <v>10008</v>
      </c>
      <c r="E4721" s="12" t="s">
        <v>4971</v>
      </c>
      <c r="F4721" s="49">
        <v>37480</v>
      </c>
      <c r="G4721" s="77" t="s">
        <v>6298</v>
      </c>
      <c r="H4721" s="14" t="s">
        <v>5601</v>
      </c>
      <c r="I4721" s="14" t="s">
        <v>2458</v>
      </c>
      <c r="J4721" s="33" t="s">
        <v>7110</v>
      </c>
      <c r="K4721" s="33" t="s">
        <v>13002</v>
      </c>
      <c r="L4721" s="53" t="s">
        <v>6054</v>
      </c>
      <c r="M4721" s="68" t="s">
        <v>8912</v>
      </c>
      <c r="N4721" s="53" t="s">
        <v>6076</v>
      </c>
      <c r="O4721" s="53">
        <v>55301</v>
      </c>
      <c r="P4721" s="198" t="s">
        <v>9763</v>
      </c>
    </row>
    <row r="4722" spans="1:16" ht="18.75" hidden="1">
      <c r="A4722" s="50" t="s">
        <v>12981</v>
      </c>
      <c r="B4722" s="50" t="s">
        <v>12867</v>
      </c>
      <c r="C4722" s="50" t="s">
        <v>12982</v>
      </c>
      <c r="D4722" s="12" t="s">
        <v>12717</v>
      </c>
      <c r="E4722" s="12" t="s">
        <v>4971</v>
      </c>
      <c r="F4722" s="49">
        <v>184110</v>
      </c>
      <c r="G4722" s="77" t="s">
        <v>6453</v>
      </c>
      <c r="H4722" s="14" t="s">
        <v>5601</v>
      </c>
      <c r="I4722" s="14" t="s">
        <v>2458</v>
      </c>
      <c r="J4722" s="33" t="s">
        <v>7110</v>
      </c>
      <c r="K4722" s="33" t="s">
        <v>13002</v>
      </c>
      <c r="L4722" s="53" t="s">
        <v>6054</v>
      </c>
      <c r="M4722" s="68" t="s">
        <v>8913</v>
      </c>
      <c r="N4722" s="53" t="s">
        <v>6076</v>
      </c>
      <c r="O4722" s="53">
        <v>55301</v>
      </c>
      <c r="P4722" s="198" t="s">
        <v>12306</v>
      </c>
    </row>
    <row r="4723" spans="1:16" ht="18.75" hidden="1">
      <c r="A4723" s="50" t="s">
        <v>12981</v>
      </c>
      <c r="B4723" s="50" t="s">
        <v>12867</v>
      </c>
      <c r="C4723" s="50" t="s">
        <v>12951</v>
      </c>
      <c r="D4723" s="12" t="s">
        <v>12601</v>
      </c>
      <c r="E4723" s="12" t="s">
        <v>4971</v>
      </c>
      <c r="F4723" s="49">
        <v>269850</v>
      </c>
      <c r="G4723" s="77" t="s">
        <v>6453</v>
      </c>
      <c r="H4723" s="14" t="s">
        <v>5601</v>
      </c>
      <c r="I4723" s="14" t="s">
        <v>2458</v>
      </c>
      <c r="J4723" s="33" t="s">
        <v>7110</v>
      </c>
      <c r="K4723" s="33" t="s">
        <v>13002</v>
      </c>
      <c r="L4723" s="53" t="s">
        <v>6054</v>
      </c>
      <c r="M4723" s="68" t="s">
        <v>8913</v>
      </c>
      <c r="N4723" s="53" t="s">
        <v>6076</v>
      </c>
      <c r="O4723" s="53">
        <v>55301</v>
      </c>
      <c r="P4723" s="198" t="s">
        <v>12673</v>
      </c>
    </row>
    <row r="4724" spans="1:16" ht="18.75" hidden="1">
      <c r="A4724" s="50" t="s">
        <v>12983</v>
      </c>
      <c r="B4724" s="50" t="s">
        <v>12867</v>
      </c>
      <c r="C4724" s="50" t="s">
        <v>12947</v>
      </c>
      <c r="D4724" s="12" t="s">
        <v>10008</v>
      </c>
      <c r="E4724" s="12" t="s">
        <v>4971</v>
      </c>
      <c r="F4724" s="49">
        <v>47890</v>
      </c>
      <c r="G4724" s="77" t="s">
        <v>6298</v>
      </c>
      <c r="H4724" s="14" t="s">
        <v>5601</v>
      </c>
      <c r="I4724" s="14" t="s">
        <v>2458</v>
      </c>
      <c r="J4724" s="33" t="s">
        <v>7110</v>
      </c>
      <c r="K4724" s="33" t="s">
        <v>13002</v>
      </c>
      <c r="L4724" s="53" t="s">
        <v>6054</v>
      </c>
      <c r="M4724" s="68" t="s">
        <v>8912</v>
      </c>
      <c r="N4724" s="53" t="s">
        <v>6285</v>
      </c>
      <c r="O4724" s="53">
        <v>55200</v>
      </c>
      <c r="P4724" s="198" t="s">
        <v>9763</v>
      </c>
    </row>
    <row r="4725" spans="1:16" ht="18.75" hidden="1">
      <c r="A4725" s="50" t="s">
        <v>12981</v>
      </c>
      <c r="B4725" s="50" t="s">
        <v>12867</v>
      </c>
      <c r="C4725" s="50" t="s">
        <v>12947</v>
      </c>
      <c r="D4725" s="12" t="s">
        <v>10008</v>
      </c>
      <c r="E4725" s="12" t="s">
        <v>4971</v>
      </c>
      <c r="F4725" s="49">
        <v>29760</v>
      </c>
      <c r="G4725" s="77" t="s">
        <v>6298</v>
      </c>
      <c r="H4725" s="14" t="s">
        <v>5601</v>
      </c>
      <c r="I4725" s="14" t="s">
        <v>2458</v>
      </c>
      <c r="J4725" s="33" t="s">
        <v>7110</v>
      </c>
      <c r="K4725" s="33" t="s">
        <v>13002</v>
      </c>
      <c r="L4725" s="53" t="s">
        <v>6054</v>
      </c>
      <c r="M4725" s="68" t="s">
        <v>8913</v>
      </c>
      <c r="N4725" s="53" t="s">
        <v>6076</v>
      </c>
      <c r="O4725" s="53">
        <v>55301</v>
      </c>
      <c r="P4725" s="198" t="s">
        <v>9763</v>
      </c>
    </row>
    <row r="4726" spans="1:16" ht="18.75" hidden="1">
      <c r="A4726" s="50" t="s">
        <v>12984</v>
      </c>
      <c r="B4726" s="50" t="s">
        <v>12689</v>
      </c>
      <c r="C4726" s="50" t="s">
        <v>12985</v>
      </c>
      <c r="D4726" s="12" t="s">
        <v>12662</v>
      </c>
      <c r="E4726" s="12" t="s">
        <v>4971</v>
      </c>
      <c r="F4726" s="49">
        <v>70780</v>
      </c>
      <c r="G4726" s="77" t="s">
        <v>12608</v>
      </c>
      <c r="H4726" s="14" t="s">
        <v>5601</v>
      </c>
      <c r="I4726" s="14" t="s">
        <v>2458</v>
      </c>
      <c r="J4726" s="33" t="s">
        <v>7110</v>
      </c>
      <c r="K4726" s="33" t="s">
        <v>13002</v>
      </c>
      <c r="L4726" s="53" t="s">
        <v>6054</v>
      </c>
      <c r="M4726" s="68" t="s">
        <v>8912</v>
      </c>
      <c r="N4726" s="53" t="s">
        <v>6076</v>
      </c>
      <c r="O4726" s="53">
        <v>55301</v>
      </c>
      <c r="P4726" s="198" t="s">
        <v>12677</v>
      </c>
    </row>
    <row r="4727" spans="1:16" ht="18.75" hidden="1">
      <c r="A4727" s="50" t="s">
        <v>12981</v>
      </c>
      <c r="B4727" s="50" t="s">
        <v>12867</v>
      </c>
      <c r="C4727" s="50" t="s">
        <v>12985</v>
      </c>
      <c r="D4727" s="12" t="s">
        <v>12662</v>
      </c>
      <c r="E4727" s="12" t="s">
        <v>4971</v>
      </c>
      <c r="F4727" s="49">
        <v>23800</v>
      </c>
      <c r="G4727" s="77" t="s">
        <v>12608</v>
      </c>
      <c r="H4727" s="14" t="s">
        <v>5601</v>
      </c>
      <c r="I4727" s="14" t="s">
        <v>2458</v>
      </c>
      <c r="J4727" s="33" t="s">
        <v>7110</v>
      </c>
      <c r="K4727" s="33" t="s">
        <v>13002</v>
      </c>
      <c r="L4727" s="53" t="s">
        <v>6054</v>
      </c>
      <c r="M4727" s="68" t="s">
        <v>8913</v>
      </c>
      <c r="N4727" s="53" t="s">
        <v>6076</v>
      </c>
      <c r="O4727" s="53">
        <v>55301</v>
      </c>
      <c r="P4727" s="198" t="s">
        <v>12677</v>
      </c>
    </row>
    <row r="4728" spans="1:16" ht="18.75" hidden="1">
      <c r="A4728" s="50" t="s">
        <v>12986</v>
      </c>
      <c r="B4728" s="50" t="s">
        <v>12895</v>
      </c>
      <c r="C4728" s="50" t="s">
        <v>12982</v>
      </c>
      <c r="D4728" s="12" t="s">
        <v>12717</v>
      </c>
      <c r="E4728" s="12" t="s">
        <v>4971</v>
      </c>
      <c r="F4728" s="49">
        <v>23950</v>
      </c>
      <c r="G4728" s="77" t="s">
        <v>6453</v>
      </c>
      <c r="H4728" s="14" t="s">
        <v>5601</v>
      </c>
      <c r="I4728" s="14" t="s">
        <v>2458</v>
      </c>
      <c r="J4728" s="33" t="s">
        <v>7110</v>
      </c>
      <c r="K4728" s="33" t="s">
        <v>13002</v>
      </c>
      <c r="L4728" s="53" t="s">
        <v>6054</v>
      </c>
      <c r="M4728" s="68" t="s">
        <v>8912</v>
      </c>
      <c r="N4728" s="53" t="s">
        <v>6285</v>
      </c>
      <c r="O4728" s="53">
        <v>55200</v>
      </c>
      <c r="P4728" s="198" t="s">
        <v>12306</v>
      </c>
    </row>
    <row r="4729" spans="1:16" ht="18.75" hidden="1">
      <c r="A4729" s="50" t="s">
        <v>12987</v>
      </c>
      <c r="B4729" s="50" t="s">
        <v>12921</v>
      </c>
      <c r="C4729" s="50" t="s">
        <v>12963</v>
      </c>
      <c r="D4729" s="12" t="s">
        <v>12964</v>
      </c>
      <c r="E4729" s="12" t="s">
        <v>4971</v>
      </c>
      <c r="F4729" s="49">
        <v>144320</v>
      </c>
      <c r="G4729" s="77" t="s">
        <v>12608</v>
      </c>
      <c r="H4729" s="14" t="s">
        <v>5601</v>
      </c>
      <c r="I4729" s="14" t="s">
        <v>2458</v>
      </c>
      <c r="J4729" s="33" t="s">
        <v>7110</v>
      </c>
      <c r="K4729" s="33" t="s">
        <v>13002</v>
      </c>
      <c r="L4729" s="53" t="s">
        <v>6054</v>
      </c>
      <c r="M4729" s="68" t="s">
        <v>8912</v>
      </c>
      <c r="N4729" s="53" t="s">
        <v>6076</v>
      </c>
      <c r="O4729" s="53">
        <v>55301</v>
      </c>
      <c r="P4729" s="198" t="s">
        <v>12677</v>
      </c>
    </row>
    <row r="4730" spans="1:16" ht="18.75" hidden="1">
      <c r="A4730" s="50" t="s">
        <v>12988</v>
      </c>
      <c r="B4730" s="50" t="s">
        <v>12964</v>
      </c>
      <c r="C4730" s="50" t="s">
        <v>12989</v>
      </c>
      <c r="D4730" s="12" t="s">
        <v>12717</v>
      </c>
      <c r="E4730" s="12" t="s">
        <v>4971</v>
      </c>
      <c r="F4730" s="49">
        <v>123975</v>
      </c>
      <c r="G4730" s="77" t="s">
        <v>6454</v>
      </c>
      <c r="H4730" s="14" t="s">
        <v>5601</v>
      </c>
      <c r="I4730" s="14" t="s">
        <v>2458</v>
      </c>
      <c r="J4730" s="33" t="s">
        <v>7110</v>
      </c>
      <c r="K4730" s="33" t="s">
        <v>13002</v>
      </c>
      <c r="L4730" s="53" t="s">
        <v>6054</v>
      </c>
      <c r="M4730" s="68" t="s">
        <v>8912</v>
      </c>
      <c r="N4730" s="53" t="s">
        <v>6285</v>
      </c>
      <c r="O4730" s="53">
        <v>55200</v>
      </c>
      <c r="P4730" s="198" t="s">
        <v>12414</v>
      </c>
    </row>
    <row r="4731" spans="1:16" ht="18.75" hidden="1">
      <c r="A4731" s="50" t="s">
        <v>12986</v>
      </c>
      <c r="B4731" s="50" t="s">
        <v>12895</v>
      </c>
      <c r="C4731" s="50" t="s">
        <v>12947</v>
      </c>
      <c r="D4731" s="12" t="s">
        <v>10008</v>
      </c>
      <c r="E4731" s="12" t="s">
        <v>4971</v>
      </c>
      <c r="F4731" s="49">
        <v>125440</v>
      </c>
      <c r="G4731" s="77" t="s">
        <v>6298</v>
      </c>
      <c r="H4731" s="14" t="s">
        <v>5601</v>
      </c>
      <c r="I4731" s="14" t="s">
        <v>2458</v>
      </c>
      <c r="J4731" s="33" t="s">
        <v>7110</v>
      </c>
      <c r="K4731" s="33" t="s">
        <v>13002</v>
      </c>
      <c r="L4731" s="53" t="s">
        <v>6054</v>
      </c>
      <c r="M4731" s="68" t="s">
        <v>8912</v>
      </c>
      <c r="N4731" s="53" t="s">
        <v>6285</v>
      </c>
      <c r="O4731" s="53">
        <v>55200</v>
      </c>
      <c r="P4731" s="198" t="s">
        <v>9763</v>
      </c>
    </row>
    <row r="4732" spans="1:16" ht="18.75" hidden="1">
      <c r="A4732" s="50" t="s">
        <v>12988</v>
      </c>
      <c r="B4732" s="50" t="s">
        <v>12964</v>
      </c>
      <c r="C4732" s="50" t="s">
        <v>12386</v>
      </c>
      <c r="D4732" s="12" t="s">
        <v>10015</v>
      </c>
      <c r="E4732" s="12" t="s">
        <v>4971</v>
      </c>
      <c r="F4732" s="49">
        <v>149455</v>
      </c>
      <c r="G4732" s="77" t="s">
        <v>6298</v>
      </c>
      <c r="H4732" s="14" t="s">
        <v>5601</v>
      </c>
      <c r="I4732" s="14" t="s">
        <v>2458</v>
      </c>
      <c r="J4732" s="33" t="s">
        <v>7110</v>
      </c>
      <c r="K4732" s="33" t="s">
        <v>13002</v>
      </c>
      <c r="L4732" s="53" t="s">
        <v>6054</v>
      </c>
      <c r="M4732" s="68" t="s">
        <v>8912</v>
      </c>
      <c r="N4732" s="53" t="s">
        <v>6285</v>
      </c>
      <c r="O4732" s="53">
        <v>55200</v>
      </c>
      <c r="P4732" s="198" t="s">
        <v>9763</v>
      </c>
    </row>
    <row r="4733" spans="1:16" ht="18.75" hidden="1">
      <c r="A4733" s="50" t="s">
        <v>12990</v>
      </c>
      <c r="B4733" s="50" t="s">
        <v>12895</v>
      </c>
      <c r="C4733" s="50" t="s">
        <v>12991</v>
      </c>
      <c r="D4733" s="12" t="s">
        <v>12736</v>
      </c>
      <c r="E4733" s="12" t="s">
        <v>4971</v>
      </c>
      <c r="F4733" s="49">
        <v>76390</v>
      </c>
      <c r="G4733" s="77" t="s">
        <v>6454</v>
      </c>
      <c r="H4733" s="14" t="s">
        <v>5601</v>
      </c>
      <c r="I4733" s="14" t="s">
        <v>2458</v>
      </c>
      <c r="J4733" s="33" t="s">
        <v>7110</v>
      </c>
      <c r="K4733" s="33" t="s">
        <v>13002</v>
      </c>
      <c r="L4733" s="53" t="s">
        <v>6054</v>
      </c>
      <c r="M4733" s="68" t="s">
        <v>8912</v>
      </c>
      <c r="N4733" s="53" t="s">
        <v>6286</v>
      </c>
      <c r="O4733" s="53">
        <v>55107</v>
      </c>
      <c r="P4733" s="198" t="s">
        <v>12414</v>
      </c>
    </row>
    <row r="4734" spans="1:16" ht="18.75" hidden="1">
      <c r="A4734" s="50" t="s">
        <v>12986</v>
      </c>
      <c r="B4734" s="50" t="s">
        <v>12895</v>
      </c>
      <c r="C4734" s="50" t="s">
        <v>12991</v>
      </c>
      <c r="D4734" s="12" t="s">
        <v>12736</v>
      </c>
      <c r="E4734" s="12" t="s">
        <v>4971</v>
      </c>
      <c r="F4734" s="49">
        <v>25540</v>
      </c>
      <c r="G4734" s="77" t="s">
        <v>6454</v>
      </c>
      <c r="H4734" s="14" t="s">
        <v>5601</v>
      </c>
      <c r="I4734" s="14" t="s">
        <v>2458</v>
      </c>
      <c r="J4734" s="33" t="s">
        <v>7110</v>
      </c>
      <c r="K4734" s="33" t="s">
        <v>13002</v>
      </c>
      <c r="L4734" s="53" t="s">
        <v>6054</v>
      </c>
      <c r="M4734" s="68" t="s">
        <v>8912</v>
      </c>
      <c r="N4734" s="53" t="s">
        <v>6285</v>
      </c>
      <c r="O4734" s="53">
        <v>55200</v>
      </c>
      <c r="P4734" s="198" t="s">
        <v>12414</v>
      </c>
    </row>
    <row r="4735" spans="1:16" ht="18.75" hidden="1">
      <c r="A4735" s="50" t="s">
        <v>12992</v>
      </c>
      <c r="B4735" s="50" t="s">
        <v>12895</v>
      </c>
      <c r="C4735" s="50" t="s">
        <v>12991</v>
      </c>
      <c r="D4735" s="12" t="s">
        <v>12736</v>
      </c>
      <c r="E4735" s="12" t="s">
        <v>4971</v>
      </c>
      <c r="F4735" s="49">
        <v>53250</v>
      </c>
      <c r="G4735" s="77" t="s">
        <v>6454</v>
      </c>
      <c r="H4735" s="14" t="s">
        <v>5601</v>
      </c>
      <c r="I4735" s="14" t="s">
        <v>2458</v>
      </c>
      <c r="J4735" s="33" t="s">
        <v>7110</v>
      </c>
      <c r="K4735" s="33" t="s">
        <v>13002</v>
      </c>
      <c r="L4735" s="53" t="s">
        <v>6054</v>
      </c>
      <c r="M4735" s="68" t="s">
        <v>8912</v>
      </c>
      <c r="N4735" s="53" t="s">
        <v>6076</v>
      </c>
      <c r="O4735" s="53">
        <v>55301</v>
      </c>
      <c r="P4735" s="198" t="s">
        <v>12414</v>
      </c>
    </row>
    <row r="4736" spans="1:16" ht="18.75" hidden="1">
      <c r="A4736" s="50" t="s">
        <v>12992</v>
      </c>
      <c r="B4736" s="50" t="s">
        <v>12895</v>
      </c>
      <c r="C4736" s="50" t="s">
        <v>12985</v>
      </c>
      <c r="D4736" s="12" t="s">
        <v>12662</v>
      </c>
      <c r="E4736" s="12" t="s">
        <v>4971</v>
      </c>
      <c r="F4736" s="49">
        <v>26310</v>
      </c>
      <c r="G4736" s="77" t="s">
        <v>12608</v>
      </c>
      <c r="H4736" s="14" t="s">
        <v>5601</v>
      </c>
      <c r="I4736" s="14" t="s">
        <v>2458</v>
      </c>
      <c r="J4736" s="33" t="s">
        <v>7110</v>
      </c>
      <c r="K4736" s="33" t="s">
        <v>13002</v>
      </c>
      <c r="L4736" s="53" t="s">
        <v>6054</v>
      </c>
      <c r="M4736" s="68" t="s">
        <v>8912</v>
      </c>
      <c r="N4736" s="53" t="s">
        <v>6076</v>
      </c>
      <c r="O4736" s="53">
        <v>55301</v>
      </c>
      <c r="P4736" s="198" t="s">
        <v>12677</v>
      </c>
    </row>
    <row r="4737" spans="1:16" ht="18.75" hidden="1">
      <c r="A4737" s="50" t="s">
        <v>12993</v>
      </c>
      <c r="B4737" s="50" t="s">
        <v>12867</v>
      </c>
      <c r="C4737" s="50" t="s">
        <v>12985</v>
      </c>
      <c r="D4737" s="12" t="s">
        <v>12662</v>
      </c>
      <c r="E4737" s="12" t="s">
        <v>4971</v>
      </c>
      <c r="F4737" s="49">
        <v>94300</v>
      </c>
      <c r="G4737" s="77" t="s">
        <v>12608</v>
      </c>
      <c r="H4737" s="14" t="s">
        <v>5601</v>
      </c>
      <c r="I4737" s="14" t="s">
        <v>2458</v>
      </c>
      <c r="J4737" s="33" t="s">
        <v>7110</v>
      </c>
      <c r="K4737" s="33" t="s">
        <v>13002</v>
      </c>
      <c r="L4737" s="53" t="s">
        <v>6054</v>
      </c>
      <c r="M4737" s="68" t="s">
        <v>8912</v>
      </c>
      <c r="N4737" s="53" t="s">
        <v>6076</v>
      </c>
      <c r="O4737" s="53">
        <v>55301</v>
      </c>
      <c r="P4737" s="198" t="s">
        <v>12677</v>
      </c>
    </row>
    <row r="4738" spans="1:16" ht="18.75" hidden="1">
      <c r="A4738" s="50" t="s">
        <v>12992</v>
      </c>
      <c r="B4738" s="50" t="s">
        <v>12895</v>
      </c>
      <c r="C4738" s="50" t="s">
        <v>12947</v>
      </c>
      <c r="D4738" s="12" t="s">
        <v>10008</v>
      </c>
      <c r="E4738" s="12" t="s">
        <v>4971</v>
      </c>
      <c r="F4738" s="49">
        <v>88920</v>
      </c>
      <c r="G4738" s="77" t="s">
        <v>6298</v>
      </c>
      <c r="H4738" s="14" t="s">
        <v>5601</v>
      </c>
      <c r="I4738" s="14" t="s">
        <v>2458</v>
      </c>
      <c r="J4738" s="33" t="s">
        <v>7110</v>
      </c>
      <c r="K4738" s="33" t="s">
        <v>13002</v>
      </c>
      <c r="L4738" s="53" t="s">
        <v>6054</v>
      </c>
      <c r="M4738" s="68" t="s">
        <v>8912</v>
      </c>
      <c r="N4738" s="53" t="s">
        <v>6076</v>
      </c>
      <c r="O4738" s="53">
        <v>55301</v>
      </c>
      <c r="P4738" s="198" t="s">
        <v>9763</v>
      </c>
    </row>
    <row r="4739" spans="1:16" ht="18.75" hidden="1">
      <c r="A4739" s="50" t="s">
        <v>12993</v>
      </c>
      <c r="B4739" s="50" t="s">
        <v>12867</v>
      </c>
      <c r="C4739" s="50" t="s">
        <v>12947</v>
      </c>
      <c r="D4739" s="12" t="s">
        <v>10008</v>
      </c>
      <c r="E4739" s="12" t="s">
        <v>4971</v>
      </c>
      <c r="F4739" s="49">
        <v>47100</v>
      </c>
      <c r="G4739" s="77" t="s">
        <v>6298</v>
      </c>
      <c r="H4739" s="14" t="s">
        <v>5601</v>
      </c>
      <c r="I4739" s="14" t="s">
        <v>2458</v>
      </c>
      <c r="J4739" s="33" t="s">
        <v>7110</v>
      </c>
      <c r="K4739" s="33" t="s">
        <v>13002</v>
      </c>
      <c r="L4739" s="53" t="s">
        <v>6054</v>
      </c>
      <c r="M4739" s="68" t="s">
        <v>8912</v>
      </c>
      <c r="N4739" s="53" t="s">
        <v>6076</v>
      </c>
      <c r="O4739" s="53">
        <v>55301</v>
      </c>
      <c r="P4739" s="198" t="s">
        <v>9763</v>
      </c>
    </row>
    <row r="4740" spans="1:16" ht="18.75" hidden="1">
      <c r="A4740" s="50" t="s">
        <v>12994</v>
      </c>
      <c r="B4740" s="50" t="s">
        <v>12689</v>
      </c>
      <c r="C4740" s="50" t="s">
        <v>12995</v>
      </c>
      <c r="D4740" s="12" t="s">
        <v>12542</v>
      </c>
      <c r="E4740" s="12" t="s">
        <v>4971</v>
      </c>
      <c r="F4740" s="49">
        <v>112605</v>
      </c>
      <c r="G4740" s="77" t="s">
        <v>6454</v>
      </c>
      <c r="H4740" s="14" t="s">
        <v>5601</v>
      </c>
      <c r="I4740" s="14" t="s">
        <v>2458</v>
      </c>
      <c r="J4740" s="33" t="s">
        <v>7110</v>
      </c>
      <c r="K4740" s="33" t="s">
        <v>13002</v>
      </c>
      <c r="L4740" s="53" t="s">
        <v>6054</v>
      </c>
      <c r="M4740" s="68" t="s">
        <v>8912</v>
      </c>
      <c r="N4740" s="53" t="s">
        <v>6285</v>
      </c>
      <c r="O4740" s="53">
        <v>55200</v>
      </c>
      <c r="P4740" s="198" t="s">
        <v>12414</v>
      </c>
    </row>
    <row r="4741" spans="1:16" ht="18.75" hidden="1">
      <c r="A4741" s="50" t="s">
        <v>12996</v>
      </c>
      <c r="B4741" s="50" t="s">
        <v>12964</v>
      </c>
      <c r="C4741" s="50" t="s">
        <v>12997</v>
      </c>
      <c r="D4741" s="12" t="s">
        <v>12530</v>
      </c>
      <c r="E4741" s="12" t="s">
        <v>4971</v>
      </c>
      <c r="F4741" s="49">
        <v>58280</v>
      </c>
      <c r="G4741" s="77" t="s">
        <v>6299</v>
      </c>
      <c r="H4741" s="14" t="s">
        <v>5601</v>
      </c>
      <c r="I4741" s="14" t="s">
        <v>2458</v>
      </c>
      <c r="J4741" s="33" t="s">
        <v>7110</v>
      </c>
      <c r="K4741" s="33" t="s">
        <v>13002</v>
      </c>
      <c r="L4741" s="53" t="s">
        <v>6054</v>
      </c>
      <c r="M4741" s="68" t="s">
        <v>8913</v>
      </c>
      <c r="N4741" s="53" t="s">
        <v>6076</v>
      </c>
      <c r="O4741" s="53">
        <v>55301</v>
      </c>
      <c r="P4741" s="198" t="s">
        <v>12670</v>
      </c>
    </row>
    <row r="4742" spans="1:16" ht="18.75" hidden="1">
      <c r="A4742" s="50" t="s">
        <v>12996</v>
      </c>
      <c r="B4742" s="50" t="s">
        <v>12964</v>
      </c>
      <c r="C4742" s="50" t="s">
        <v>12995</v>
      </c>
      <c r="D4742" s="12" t="s">
        <v>12542</v>
      </c>
      <c r="E4742" s="12" t="s">
        <v>4971</v>
      </c>
      <c r="F4742" s="49">
        <v>87395</v>
      </c>
      <c r="G4742" s="77" t="s">
        <v>6454</v>
      </c>
      <c r="H4742" s="14" t="s">
        <v>5601</v>
      </c>
      <c r="I4742" s="14" t="s">
        <v>2458</v>
      </c>
      <c r="J4742" s="33" t="s">
        <v>7110</v>
      </c>
      <c r="K4742" s="33" t="s">
        <v>13002</v>
      </c>
      <c r="L4742" s="53" t="s">
        <v>6054</v>
      </c>
      <c r="M4742" s="68" t="s">
        <v>8913</v>
      </c>
      <c r="N4742" s="53" t="s">
        <v>6076</v>
      </c>
      <c r="O4742" s="53">
        <v>55301</v>
      </c>
      <c r="P4742" s="198" t="s">
        <v>12414</v>
      </c>
    </row>
    <row r="4743" spans="1:16" ht="18.75" hidden="1">
      <c r="A4743" s="50" t="s">
        <v>12998</v>
      </c>
      <c r="B4743" s="50" t="s">
        <v>12964</v>
      </c>
      <c r="C4743" s="50" t="s">
        <v>12982</v>
      </c>
      <c r="D4743" s="12" t="s">
        <v>12717</v>
      </c>
      <c r="E4743" s="12" t="s">
        <v>4971</v>
      </c>
      <c r="F4743" s="49">
        <v>43630</v>
      </c>
      <c r="G4743" s="77" t="s">
        <v>6453</v>
      </c>
      <c r="H4743" s="14" t="s">
        <v>5601</v>
      </c>
      <c r="I4743" s="14" t="s">
        <v>2458</v>
      </c>
      <c r="J4743" s="33" t="s">
        <v>7110</v>
      </c>
      <c r="K4743" s="33" t="s">
        <v>13002</v>
      </c>
      <c r="L4743" s="53" t="s">
        <v>6054</v>
      </c>
      <c r="M4743" s="68" t="s">
        <v>8912</v>
      </c>
      <c r="N4743" s="53" t="s">
        <v>6076</v>
      </c>
      <c r="O4743" s="53">
        <v>55301</v>
      </c>
      <c r="P4743" s="198" t="s">
        <v>12306</v>
      </c>
    </row>
    <row r="4744" spans="1:16" ht="18.75" hidden="1">
      <c r="A4744" s="50" t="s">
        <v>12998</v>
      </c>
      <c r="B4744" s="50" t="s">
        <v>12964</v>
      </c>
      <c r="C4744" s="50" t="s">
        <v>12991</v>
      </c>
      <c r="D4744" s="12" t="s">
        <v>12736</v>
      </c>
      <c r="E4744" s="12" t="s">
        <v>4971</v>
      </c>
      <c r="F4744" s="49">
        <v>106540</v>
      </c>
      <c r="G4744" s="77" t="s">
        <v>6454</v>
      </c>
      <c r="H4744" s="14" t="s">
        <v>5601</v>
      </c>
      <c r="I4744" s="14" t="s">
        <v>2458</v>
      </c>
      <c r="J4744" s="33" t="s">
        <v>7110</v>
      </c>
      <c r="K4744" s="33" t="s">
        <v>13002</v>
      </c>
      <c r="L4744" s="53" t="s">
        <v>6054</v>
      </c>
      <c r="M4744" s="68" t="s">
        <v>8912</v>
      </c>
      <c r="N4744" s="53" t="s">
        <v>6076</v>
      </c>
      <c r="O4744" s="53">
        <v>55301</v>
      </c>
      <c r="P4744" s="198" t="s">
        <v>12414</v>
      </c>
    </row>
    <row r="4745" spans="1:16" ht="18.75" hidden="1">
      <c r="A4745" s="50" t="s">
        <v>12998</v>
      </c>
      <c r="B4745" s="50" t="s">
        <v>12964</v>
      </c>
      <c r="C4745" s="50" t="s">
        <v>12989</v>
      </c>
      <c r="D4745" s="12" t="s">
        <v>12717</v>
      </c>
      <c r="E4745" s="12" t="s">
        <v>4971</v>
      </c>
      <c r="F4745" s="49">
        <v>172800</v>
      </c>
      <c r="G4745" s="77" t="s">
        <v>6454</v>
      </c>
      <c r="H4745" s="14" t="s">
        <v>5601</v>
      </c>
      <c r="I4745" s="14" t="s">
        <v>2458</v>
      </c>
      <c r="J4745" s="33" t="s">
        <v>7110</v>
      </c>
      <c r="K4745" s="33" t="s">
        <v>13002</v>
      </c>
      <c r="L4745" s="53" t="s">
        <v>6054</v>
      </c>
      <c r="M4745" s="68" t="s">
        <v>8912</v>
      </c>
      <c r="N4745" s="53" t="s">
        <v>6076</v>
      </c>
      <c r="O4745" s="53">
        <v>55301</v>
      </c>
      <c r="P4745" s="198" t="s">
        <v>12414</v>
      </c>
    </row>
    <row r="4746" spans="1:16" ht="18.75" hidden="1">
      <c r="A4746" s="50" t="s">
        <v>12994</v>
      </c>
      <c r="B4746" s="50" t="s">
        <v>12689</v>
      </c>
      <c r="C4746" s="50" t="s">
        <v>12386</v>
      </c>
      <c r="D4746" s="12" t="s">
        <v>10015</v>
      </c>
      <c r="E4746" s="12" t="s">
        <v>4971</v>
      </c>
      <c r="F4746" s="49">
        <v>43570</v>
      </c>
      <c r="G4746" s="77" t="s">
        <v>6298</v>
      </c>
      <c r="H4746" s="14" t="s">
        <v>5601</v>
      </c>
      <c r="I4746" s="14" t="s">
        <v>2458</v>
      </c>
      <c r="J4746" s="33" t="s">
        <v>7110</v>
      </c>
      <c r="K4746" s="33" t="s">
        <v>13002</v>
      </c>
      <c r="L4746" s="53" t="s">
        <v>6054</v>
      </c>
      <c r="M4746" s="68" t="s">
        <v>8912</v>
      </c>
      <c r="N4746" s="53" t="s">
        <v>6285</v>
      </c>
      <c r="O4746" s="53">
        <v>55200</v>
      </c>
      <c r="P4746" s="198" t="s">
        <v>9763</v>
      </c>
    </row>
    <row r="4747" spans="1:16" ht="18.75" hidden="1">
      <c r="A4747" s="50" t="s">
        <v>12996</v>
      </c>
      <c r="B4747" s="50" t="s">
        <v>12964</v>
      </c>
      <c r="C4747" s="50" t="s">
        <v>12835</v>
      </c>
      <c r="D4747" s="12" t="s">
        <v>9998</v>
      </c>
      <c r="E4747" s="12" t="s">
        <v>4971</v>
      </c>
      <c r="F4747" s="49">
        <v>34500</v>
      </c>
      <c r="G4747" s="77" t="s">
        <v>6299</v>
      </c>
      <c r="H4747" s="14" t="s">
        <v>5601</v>
      </c>
      <c r="I4747" s="14" t="s">
        <v>2458</v>
      </c>
      <c r="J4747" s="33" t="s">
        <v>7110</v>
      </c>
      <c r="K4747" s="33" t="s">
        <v>13002</v>
      </c>
      <c r="L4747" s="53" t="s">
        <v>6054</v>
      </c>
      <c r="M4747" s="68" t="s">
        <v>8913</v>
      </c>
      <c r="N4747" s="53" t="s">
        <v>6076</v>
      </c>
      <c r="O4747" s="53">
        <v>55301</v>
      </c>
      <c r="P4747" s="198" t="s">
        <v>12222</v>
      </c>
    </row>
    <row r="4748" spans="1:16" ht="18.75" hidden="1">
      <c r="A4748" s="50" t="s">
        <v>12994</v>
      </c>
      <c r="B4748" s="50" t="s">
        <v>12689</v>
      </c>
      <c r="C4748" s="50" t="s">
        <v>12817</v>
      </c>
      <c r="D4748" s="12" t="s">
        <v>12695</v>
      </c>
      <c r="E4748" s="12" t="s">
        <v>4971</v>
      </c>
      <c r="F4748" s="49">
        <v>228720</v>
      </c>
      <c r="G4748" s="77" t="s">
        <v>12823</v>
      </c>
      <c r="H4748" s="14" t="s">
        <v>5601</v>
      </c>
      <c r="I4748" s="14" t="s">
        <v>2458</v>
      </c>
      <c r="J4748" s="33" t="s">
        <v>7110</v>
      </c>
      <c r="K4748" s="33" t="s">
        <v>13002</v>
      </c>
      <c r="L4748" s="53" t="s">
        <v>6054</v>
      </c>
      <c r="M4748" s="68" t="s">
        <v>8912</v>
      </c>
      <c r="N4748" s="53" t="s">
        <v>6285</v>
      </c>
      <c r="O4748" s="53">
        <v>55200</v>
      </c>
      <c r="P4748" s="198" t="s">
        <v>12428</v>
      </c>
    </row>
    <row r="4749" spans="1:16" ht="18.75" hidden="1">
      <c r="A4749" s="50" t="s">
        <v>12996</v>
      </c>
      <c r="B4749" s="50" t="s">
        <v>12964</v>
      </c>
      <c r="C4749" s="50" t="s">
        <v>12982</v>
      </c>
      <c r="D4749" s="12" t="s">
        <v>12717</v>
      </c>
      <c r="E4749" s="12" t="s">
        <v>4971</v>
      </c>
      <c r="F4749" s="49">
        <v>254350</v>
      </c>
      <c r="G4749" s="77" t="s">
        <v>6453</v>
      </c>
      <c r="H4749" s="14" t="s">
        <v>5601</v>
      </c>
      <c r="I4749" s="14" t="s">
        <v>2458</v>
      </c>
      <c r="J4749" s="33" t="s">
        <v>7110</v>
      </c>
      <c r="K4749" s="33" t="s">
        <v>13002</v>
      </c>
      <c r="L4749" s="53" t="s">
        <v>6054</v>
      </c>
      <c r="M4749" s="68" t="s">
        <v>8913</v>
      </c>
      <c r="N4749" s="53" t="s">
        <v>6076</v>
      </c>
      <c r="O4749" s="53">
        <v>55301</v>
      </c>
      <c r="P4749" s="198" t="s">
        <v>12306</v>
      </c>
    </row>
    <row r="4750" spans="1:16" ht="18.75" hidden="1">
      <c r="A4750" s="50" t="s">
        <v>12994</v>
      </c>
      <c r="B4750" s="50" t="s">
        <v>12689</v>
      </c>
      <c r="C4750" s="50" t="s">
        <v>12796</v>
      </c>
      <c r="D4750" s="12" t="s">
        <v>12691</v>
      </c>
      <c r="E4750" s="12" t="s">
        <v>4971</v>
      </c>
      <c r="F4750" s="49">
        <v>700</v>
      </c>
      <c r="G4750" s="77" t="s">
        <v>6454</v>
      </c>
      <c r="H4750" s="14" t="s">
        <v>5601</v>
      </c>
      <c r="I4750" s="14" t="s">
        <v>2458</v>
      </c>
      <c r="J4750" s="33" t="s">
        <v>7110</v>
      </c>
      <c r="K4750" s="33" t="s">
        <v>13002</v>
      </c>
      <c r="L4750" s="53" t="s">
        <v>6054</v>
      </c>
      <c r="M4750" s="68" t="s">
        <v>8912</v>
      </c>
      <c r="N4750" s="53" t="s">
        <v>6285</v>
      </c>
      <c r="O4750" s="53">
        <v>55200</v>
      </c>
      <c r="P4750" s="198" t="s">
        <v>12414</v>
      </c>
    </row>
    <row r="4751" spans="1:16" ht="18.75" hidden="1">
      <c r="A4751" s="50" t="s">
        <v>12994</v>
      </c>
      <c r="B4751" s="50" t="s">
        <v>12689</v>
      </c>
      <c r="C4751" s="50" t="s">
        <v>12999</v>
      </c>
      <c r="D4751" s="12" t="s">
        <v>12736</v>
      </c>
      <c r="E4751" s="12" t="s">
        <v>4971</v>
      </c>
      <c r="F4751" s="49">
        <v>47760</v>
      </c>
      <c r="G4751" s="77" t="s">
        <v>6454</v>
      </c>
      <c r="H4751" s="14" t="s">
        <v>5601</v>
      </c>
      <c r="I4751" s="14" t="s">
        <v>2458</v>
      </c>
      <c r="J4751" s="33" t="s">
        <v>7110</v>
      </c>
      <c r="K4751" s="33" t="s">
        <v>13002</v>
      </c>
      <c r="L4751" s="53" t="s">
        <v>6054</v>
      </c>
      <c r="M4751" s="68" t="s">
        <v>8912</v>
      </c>
      <c r="N4751" s="53" t="s">
        <v>6285</v>
      </c>
      <c r="O4751" s="53">
        <v>55200</v>
      </c>
      <c r="P4751" s="198" t="s">
        <v>12414</v>
      </c>
    </row>
    <row r="4752" spans="1:16" ht="18.75" hidden="1">
      <c r="A4752" s="50" t="s">
        <v>12996</v>
      </c>
      <c r="B4752" s="50" t="s">
        <v>12964</v>
      </c>
      <c r="C4752" s="50" t="s">
        <v>12999</v>
      </c>
      <c r="D4752" s="12" t="s">
        <v>12736</v>
      </c>
      <c r="E4752" s="12" t="s">
        <v>4971</v>
      </c>
      <c r="F4752" s="49">
        <v>302240</v>
      </c>
      <c r="G4752" s="77" t="s">
        <v>6454</v>
      </c>
      <c r="H4752" s="14" t="s">
        <v>5601</v>
      </c>
      <c r="I4752" s="14" t="s">
        <v>2458</v>
      </c>
      <c r="J4752" s="33" t="s">
        <v>7110</v>
      </c>
      <c r="K4752" s="33" t="s">
        <v>13002</v>
      </c>
      <c r="L4752" s="53" t="s">
        <v>6054</v>
      </c>
      <c r="M4752" s="68" t="s">
        <v>8913</v>
      </c>
      <c r="N4752" s="53" t="s">
        <v>6076</v>
      </c>
      <c r="O4752" s="53">
        <v>55301</v>
      </c>
      <c r="P4752" s="198" t="s">
        <v>12414</v>
      </c>
    </row>
    <row r="4753" spans="1:16" ht="18.75" hidden="1">
      <c r="A4753" s="50" t="s">
        <v>12996</v>
      </c>
      <c r="B4753" s="50" t="s">
        <v>12964</v>
      </c>
      <c r="C4753" s="50" t="s">
        <v>12989</v>
      </c>
      <c r="D4753" s="12" t="s">
        <v>12717</v>
      </c>
      <c r="E4753" s="12" t="s">
        <v>4971</v>
      </c>
      <c r="F4753" s="49">
        <v>303225</v>
      </c>
      <c r="G4753" s="77" t="s">
        <v>6454</v>
      </c>
      <c r="H4753" s="14" t="s">
        <v>5601</v>
      </c>
      <c r="I4753" s="14" t="s">
        <v>2458</v>
      </c>
      <c r="J4753" s="33" t="s">
        <v>7110</v>
      </c>
      <c r="K4753" s="33" t="s">
        <v>13002</v>
      </c>
      <c r="L4753" s="53" t="s">
        <v>6054</v>
      </c>
      <c r="M4753" s="68" t="s">
        <v>8913</v>
      </c>
      <c r="N4753" s="53" t="s">
        <v>6076</v>
      </c>
      <c r="O4753" s="53">
        <v>55301</v>
      </c>
      <c r="P4753" s="198" t="s">
        <v>12414</v>
      </c>
    </row>
    <row r="4754" spans="1:16" ht="18.75" hidden="1">
      <c r="A4754" s="50" t="s">
        <v>12994</v>
      </c>
      <c r="B4754" s="50" t="s">
        <v>12689</v>
      </c>
      <c r="C4754" s="50" t="s">
        <v>12500</v>
      </c>
      <c r="D4754" s="12" t="s">
        <v>10033</v>
      </c>
      <c r="E4754" s="12" t="s">
        <v>4971</v>
      </c>
      <c r="F4754" s="49">
        <v>88895</v>
      </c>
      <c r="G4754" s="77" t="s">
        <v>6298</v>
      </c>
      <c r="H4754" s="14" t="s">
        <v>5601</v>
      </c>
      <c r="I4754" s="14" t="s">
        <v>2458</v>
      </c>
      <c r="J4754" s="33" t="s">
        <v>7110</v>
      </c>
      <c r="K4754" s="33" t="s">
        <v>13002</v>
      </c>
      <c r="L4754" s="53" t="s">
        <v>6054</v>
      </c>
      <c r="M4754" s="68" t="s">
        <v>8912</v>
      </c>
      <c r="N4754" s="53" t="s">
        <v>6285</v>
      </c>
      <c r="O4754" s="53">
        <v>55200</v>
      </c>
      <c r="P4754" s="198" t="s">
        <v>9769</v>
      </c>
    </row>
    <row r="4755" spans="1:16" ht="18.75" hidden="1">
      <c r="A4755" s="50" t="s">
        <v>12994</v>
      </c>
      <c r="B4755" s="50" t="s">
        <v>12689</v>
      </c>
      <c r="C4755" s="50" t="s">
        <v>12978</v>
      </c>
      <c r="D4755" s="12" t="s">
        <v>10036</v>
      </c>
      <c r="E4755" s="12" t="s">
        <v>4971</v>
      </c>
      <c r="F4755" s="49">
        <v>48060</v>
      </c>
      <c r="G4755" s="77" t="s">
        <v>6298</v>
      </c>
      <c r="H4755" s="14" t="s">
        <v>5601</v>
      </c>
      <c r="I4755" s="14" t="s">
        <v>2458</v>
      </c>
      <c r="J4755" s="33" t="s">
        <v>7110</v>
      </c>
      <c r="K4755" s="33" t="s">
        <v>13002</v>
      </c>
      <c r="L4755" s="53" t="s">
        <v>6054</v>
      </c>
      <c r="M4755" s="68" t="s">
        <v>8912</v>
      </c>
      <c r="N4755" s="53" t="s">
        <v>6285</v>
      </c>
      <c r="O4755" s="53">
        <v>55200</v>
      </c>
      <c r="P4755" s="198" t="s">
        <v>9763</v>
      </c>
    </row>
    <row r="4756" spans="1:16" ht="18.75" hidden="1">
      <c r="A4756" s="50" t="s">
        <v>13000</v>
      </c>
      <c r="B4756" s="50" t="s">
        <v>12895</v>
      </c>
      <c r="C4756" s="50" t="s">
        <v>12997</v>
      </c>
      <c r="D4756" s="12" t="s">
        <v>12530</v>
      </c>
      <c r="E4756" s="12" t="s">
        <v>4971</v>
      </c>
      <c r="F4756" s="49">
        <v>117040</v>
      </c>
      <c r="G4756" s="77" t="s">
        <v>6299</v>
      </c>
      <c r="H4756" s="14" t="s">
        <v>5601</v>
      </c>
      <c r="I4756" s="14" t="s">
        <v>2458</v>
      </c>
      <c r="J4756" s="33" t="s">
        <v>7110</v>
      </c>
      <c r="K4756" s="33" t="s">
        <v>13002</v>
      </c>
      <c r="L4756" s="53" t="s">
        <v>6054</v>
      </c>
      <c r="M4756" s="68" t="s">
        <v>8913</v>
      </c>
      <c r="N4756" s="53" t="s">
        <v>6076</v>
      </c>
      <c r="O4756" s="53">
        <v>55301</v>
      </c>
      <c r="P4756" s="198" t="s">
        <v>12670</v>
      </c>
    </row>
    <row r="4757" spans="1:16" ht="18.75" hidden="1">
      <c r="A4757" s="50" t="s">
        <v>13001</v>
      </c>
      <c r="B4757" s="50" t="s">
        <v>12921</v>
      </c>
      <c r="C4757" s="50" t="s">
        <v>12947</v>
      </c>
      <c r="D4757" s="12" t="s">
        <v>10008</v>
      </c>
      <c r="E4757" s="12" t="s">
        <v>4971</v>
      </c>
      <c r="F4757" s="49">
        <v>47700</v>
      </c>
      <c r="G4757" s="77" t="s">
        <v>6298</v>
      </c>
      <c r="H4757" s="14" t="s">
        <v>5601</v>
      </c>
      <c r="I4757" s="14" t="s">
        <v>2458</v>
      </c>
      <c r="J4757" s="33" t="s">
        <v>7110</v>
      </c>
      <c r="K4757" s="33" t="s">
        <v>13002</v>
      </c>
      <c r="L4757" s="53" t="s">
        <v>6054</v>
      </c>
      <c r="M4757" s="68" t="s">
        <v>8913</v>
      </c>
      <c r="N4757" s="53" t="s">
        <v>6285</v>
      </c>
      <c r="O4757" s="53">
        <v>55200</v>
      </c>
      <c r="P4757" s="198" t="s">
        <v>9763</v>
      </c>
    </row>
    <row r="4758" spans="1:16" ht="18.75" hidden="1">
      <c r="A4758" s="50" t="s">
        <v>13000</v>
      </c>
      <c r="B4758" s="50" t="s">
        <v>12895</v>
      </c>
      <c r="C4758" s="50" t="s">
        <v>12982</v>
      </c>
      <c r="D4758" s="12" t="s">
        <v>12717</v>
      </c>
      <c r="E4758" s="12" t="s">
        <v>4971</v>
      </c>
      <c r="F4758" s="49">
        <v>443960</v>
      </c>
      <c r="G4758" s="77" t="s">
        <v>6453</v>
      </c>
      <c r="H4758" s="14" t="s">
        <v>5601</v>
      </c>
      <c r="I4758" s="14" t="s">
        <v>2458</v>
      </c>
      <c r="J4758" s="33" t="s">
        <v>7110</v>
      </c>
      <c r="K4758" s="33" t="s">
        <v>13002</v>
      </c>
      <c r="L4758" s="53" t="s">
        <v>6054</v>
      </c>
      <c r="M4758" s="68" t="s">
        <v>8913</v>
      </c>
      <c r="N4758" s="53" t="s">
        <v>6076</v>
      </c>
      <c r="O4758" s="53">
        <v>55301</v>
      </c>
      <c r="P4758" s="198" t="s">
        <v>12306</v>
      </c>
    </row>
    <row r="4759" spans="1:16" ht="18.75" hidden="1">
      <c r="A4759" s="50" t="s">
        <v>13000</v>
      </c>
      <c r="B4759" s="50" t="s">
        <v>12895</v>
      </c>
      <c r="C4759" s="50" t="s">
        <v>12991</v>
      </c>
      <c r="D4759" s="12" t="s">
        <v>12736</v>
      </c>
      <c r="E4759" s="12" t="s">
        <v>4971</v>
      </c>
      <c r="F4759" s="49">
        <v>238280</v>
      </c>
      <c r="G4759" s="77" t="s">
        <v>6454</v>
      </c>
      <c r="H4759" s="14" t="s">
        <v>5601</v>
      </c>
      <c r="I4759" s="14" t="s">
        <v>2458</v>
      </c>
      <c r="J4759" s="33" t="s">
        <v>7110</v>
      </c>
      <c r="K4759" s="33" t="s">
        <v>13002</v>
      </c>
      <c r="L4759" s="53" t="s">
        <v>6054</v>
      </c>
      <c r="M4759" s="68" t="s">
        <v>8913</v>
      </c>
      <c r="N4759" s="53" t="s">
        <v>6076</v>
      </c>
      <c r="O4759" s="53">
        <v>55301</v>
      </c>
      <c r="P4759" s="198" t="s">
        <v>12414</v>
      </c>
    </row>
    <row r="4760" spans="1:16" ht="18.75" hidden="1">
      <c r="A4760" s="50" t="s">
        <v>12981</v>
      </c>
      <c r="B4760" s="50" t="s">
        <v>12867</v>
      </c>
      <c r="C4760" s="50" t="s">
        <v>12812</v>
      </c>
      <c r="D4760" s="12" t="s">
        <v>9929</v>
      </c>
      <c r="E4760" s="12" t="s">
        <v>4971</v>
      </c>
      <c r="F4760" s="49">
        <v>67480</v>
      </c>
      <c r="G4760" s="77" t="s">
        <v>8873</v>
      </c>
      <c r="H4760" s="14" t="s">
        <v>5601</v>
      </c>
      <c r="I4760" s="14" t="s">
        <v>2458</v>
      </c>
      <c r="J4760" s="33" t="s">
        <v>7110</v>
      </c>
      <c r="K4760" s="33" t="s">
        <v>13002</v>
      </c>
      <c r="L4760" s="53" t="s">
        <v>6054</v>
      </c>
      <c r="M4760" s="68" t="s">
        <v>8913</v>
      </c>
      <c r="N4760" s="53" t="s">
        <v>6076</v>
      </c>
      <c r="O4760" s="53">
        <v>55301</v>
      </c>
      <c r="P4760" s="198" t="s">
        <v>7253</v>
      </c>
    </row>
    <row r="4761" spans="1:16" ht="18.75" hidden="1">
      <c r="A4761" s="50" t="s">
        <v>12992</v>
      </c>
      <c r="B4761" s="50" t="s">
        <v>12895</v>
      </c>
      <c r="C4761" s="50" t="s">
        <v>12853</v>
      </c>
      <c r="D4761" s="12" t="s">
        <v>12736</v>
      </c>
      <c r="E4761" s="12" t="s">
        <v>4971</v>
      </c>
      <c r="F4761" s="49">
        <v>165000</v>
      </c>
      <c r="G4761" s="77" t="s">
        <v>12608</v>
      </c>
      <c r="H4761" s="14" t="s">
        <v>5601</v>
      </c>
      <c r="I4761" s="14" t="s">
        <v>2458</v>
      </c>
      <c r="J4761" s="33" t="s">
        <v>7110</v>
      </c>
      <c r="K4761" s="33" t="s">
        <v>13002</v>
      </c>
      <c r="L4761" s="53" t="s">
        <v>6054</v>
      </c>
      <c r="M4761" s="68" t="s">
        <v>8912</v>
      </c>
      <c r="N4761" s="53" t="s">
        <v>6076</v>
      </c>
      <c r="O4761" s="53">
        <v>55301</v>
      </c>
      <c r="P4761" s="198" t="s">
        <v>12677</v>
      </c>
    </row>
    <row r="4762" spans="1:16" ht="18.75" hidden="1">
      <c r="A4762" s="50" t="s">
        <v>12998</v>
      </c>
      <c r="B4762" s="50" t="s">
        <v>12964</v>
      </c>
      <c r="C4762" s="50" t="s">
        <v>12853</v>
      </c>
      <c r="D4762" s="12" t="s">
        <v>12736</v>
      </c>
      <c r="E4762" s="12" t="s">
        <v>4971</v>
      </c>
      <c r="F4762" s="49">
        <v>49460</v>
      </c>
      <c r="G4762" s="77" t="s">
        <v>12608</v>
      </c>
      <c r="H4762" s="14" t="s">
        <v>5601</v>
      </c>
      <c r="I4762" s="14" t="s">
        <v>2458</v>
      </c>
      <c r="J4762" s="33" t="s">
        <v>7110</v>
      </c>
      <c r="K4762" s="33" t="s">
        <v>13002</v>
      </c>
      <c r="L4762" s="53" t="s">
        <v>6054</v>
      </c>
      <c r="M4762" s="68" t="s">
        <v>8912</v>
      </c>
      <c r="N4762" s="53" t="s">
        <v>6076</v>
      </c>
      <c r="O4762" s="53">
        <v>55301</v>
      </c>
      <c r="P4762" s="198" t="s">
        <v>12677</v>
      </c>
    </row>
    <row r="4763" spans="1:16" ht="18.75" hidden="1">
      <c r="A4763" s="50" t="s">
        <v>12996</v>
      </c>
      <c r="B4763" s="50" t="s">
        <v>12964</v>
      </c>
      <c r="C4763" s="50" t="s">
        <v>12843</v>
      </c>
      <c r="D4763" s="12" t="s">
        <v>12717</v>
      </c>
      <c r="E4763" s="12" t="s">
        <v>4971</v>
      </c>
      <c r="F4763" s="49">
        <v>148990</v>
      </c>
      <c r="G4763" s="77" t="s">
        <v>6453</v>
      </c>
      <c r="H4763" s="14" t="s">
        <v>5601</v>
      </c>
      <c r="I4763" s="14" t="s">
        <v>2458</v>
      </c>
      <c r="J4763" s="33" t="s">
        <v>7110</v>
      </c>
      <c r="K4763" s="33" t="s">
        <v>13002</v>
      </c>
      <c r="L4763" s="53" t="s">
        <v>6054</v>
      </c>
      <c r="M4763" s="68" t="s">
        <v>8913</v>
      </c>
      <c r="N4763" s="53" t="s">
        <v>6076</v>
      </c>
      <c r="O4763" s="53">
        <v>55301</v>
      </c>
      <c r="P4763" s="198" t="s">
        <v>12673</v>
      </c>
    </row>
    <row r="4764" spans="1:16" ht="18.75" hidden="1">
      <c r="A4764" s="50" t="s">
        <v>13000</v>
      </c>
      <c r="B4764" s="50" t="s">
        <v>12895</v>
      </c>
      <c r="C4764" s="50" t="s">
        <v>12853</v>
      </c>
      <c r="D4764" s="12" t="s">
        <v>12736</v>
      </c>
      <c r="E4764" s="12" t="s">
        <v>4971</v>
      </c>
      <c r="F4764" s="49">
        <v>47720</v>
      </c>
      <c r="G4764" s="77" t="s">
        <v>12608</v>
      </c>
      <c r="H4764" s="14" t="s">
        <v>5601</v>
      </c>
      <c r="I4764" s="14" t="s">
        <v>2458</v>
      </c>
      <c r="J4764" s="33" t="s">
        <v>7110</v>
      </c>
      <c r="K4764" s="33" t="s">
        <v>13002</v>
      </c>
      <c r="L4764" s="53" t="s">
        <v>6054</v>
      </c>
      <c r="M4764" s="68" t="s">
        <v>8913</v>
      </c>
      <c r="N4764" s="53" t="s">
        <v>6076</v>
      </c>
      <c r="O4764" s="53">
        <v>55301</v>
      </c>
      <c r="P4764" s="198" t="s">
        <v>12677</v>
      </c>
    </row>
    <row r="4765" spans="1:16" ht="18.75" hidden="1">
      <c r="A4765" s="50" t="s">
        <v>13241</v>
      </c>
      <c r="B4765" s="50" t="s">
        <v>13182</v>
      </c>
      <c r="C4765" s="50" t="s">
        <v>13183</v>
      </c>
      <c r="D4765" s="12" t="s">
        <v>12867</v>
      </c>
      <c r="E4765" s="12">
        <v>96</v>
      </c>
      <c r="F4765" s="49">
        <v>171320</v>
      </c>
      <c r="G4765" s="77" t="s">
        <v>6453</v>
      </c>
      <c r="H4765" s="14" t="s">
        <v>5601</v>
      </c>
      <c r="I4765" s="14" t="s">
        <v>2458</v>
      </c>
      <c r="J4765" s="33" t="s">
        <v>7110</v>
      </c>
      <c r="K4765" s="33" t="s">
        <v>13184</v>
      </c>
      <c r="L4765" s="53" t="s">
        <v>6054</v>
      </c>
      <c r="M4765" s="68" t="s">
        <v>8912</v>
      </c>
      <c r="N4765" s="53" t="s">
        <v>6285</v>
      </c>
      <c r="O4765" s="53">
        <v>55200</v>
      </c>
      <c r="P4765" s="198" t="s">
        <v>12673</v>
      </c>
    </row>
    <row r="4766" spans="1:16" ht="18.75" hidden="1">
      <c r="A4766" s="50" t="s">
        <v>13241</v>
      </c>
      <c r="B4766" s="50" t="s">
        <v>13182</v>
      </c>
      <c r="C4766" s="50" t="s">
        <v>12910</v>
      </c>
      <c r="D4766" s="12" t="s">
        <v>9835</v>
      </c>
      <c r="E4766" s="12">
        <v>96</v>
      </c>
      <c r="F4766" s="49">
        <v>305100</v>
      </c>
      <c r="G4766" s="77" t="s">
        <v>6300</v>
      </c>
      <c r="H4766" s="14" t="s">
        <v>5601</v>
      </c>
      <c r="I4766" s="14" t="s">
        <v>2458</v>
      </c>
      <c r="J4766" s="33" t="s">
        <v>7110</v>
      </c>
      <c r="K4766" s="33" t="s">
        <v>13184</v>
      </c>
      <c r="L4766" s="53" t="s">
        <v>6054</v>
      </c>
      <c r="M4766" s="68" t="s">
        <v>8912</v>
      </c>
      <c r="N4766" s="53" t="s">
        <v>6285</v>
      </c>
      <c r="O4766" s="53">
        <v>55200</v>
      </c>
      <c r="P4766" s="198" t="s">
        <v>9762</v>
      </c>
    </row>
    <row r="4767" spans="1:16" ht="18.75" hidden="1">
      <c r="A4767" s="50" t="s">
        <v>13242</v>
      </c>
      <c r="B4767" s="50" t="s">
        <v>12893</v>
      </c>
      <c r="C4767" s="50" t="s">
        <v>13185</v>
      </c>
      <c r="D4767" s="12" t="s">
        <v>9830</v>
      </c>
      <c r="E4767" s="12">
        <v>96</v>
      </c>
      <c r="F4767" s="49">
        <v>98340</v>
      </c>
      <c r="G4767" s="77" t="s">
        <v>6300</v>
      </c>
      <c r="H4767" s="14" t="s">
        <v>5601</v>
      </c>
      <c r="I4767" s="14" t="s">
        <v>2458</v>
      </c>
      <c r="J4767" s="33" t="s">
        <v>7110</v>
      </c>
      <c r="K4767" s="33" t="s">
        <v>13184</v>
      </c>
      <c r="L4767" s="53" t="s">
        <v>6054</v>
      </c>
      <c r="M4767" s="68" t="s">
        <v>8912</v>
      </c>
      <c r="N4767" s="53" t="s">
        <v>6285</v>
      </c>
      <c r="O4767" s="53">
        <v>55200</v>
      </c>
      <c r="P4767" s="198" t="s">
        <v>9762</v>
      </c>
    </row>
    <row r="4768" spans="1:16" ht="18.75" hidden="1">
      <c r="A4768" s="50" t="s">
        <v>13243</v>
      </c>
      <c r="B4768" s="50" t="s">
        <v>13186</v>
      </c>
      <c r="C4768" s="50" t="s">
        <v>13187</v>
      </c>
      <c r="D4768" s="12" t="s">
        <v>12953</v>
      </c>
      <c r="E4768" s="12">
        <v>96</v>
      </c>
      <c r="F4768" s="49">
        <v>161720</v>
      </c>
      <c r="G4768" s="77" t="s">
        <v>6453</v>
      </c>
      <c r="H4768" s="14" t="s">
        <v>5601</v>
      </c>
      <c r="I4768" s="14" t="s">
        <v>2458</v>
      </c>
      <c r="J4768" s="33" t="s">
        <v>7110</v>
      </c>
      <c r="K4768" s="33" t="s">
        <v>13184</v>
      </c>
      <c r="L4768" s="53" t="s">
        <v>6054</v>
      </c>
      <c r="M4768" s="68" t="s">
        <v>8913</v>
      </c>
      <c r="N4768" s="53" t="s">
        <v>6076</v>
      </c>
      <c r="O4768" s="53">
        <v>55301</v>
      </c>
      <c r="P4768" s="198" t="s">
        <v>12673</v>
      </c>
    </row>
    <row r="4769" spans="1:16" ht="18.75" hidden="1">
      <c r="A4769" s="50" t="s">
        <v>13244</v>
      </c>
      <c r="B4769" s="50" t="s">
        <v>13186</v>
      </c>
      <c r="C4769" s="50" t="s">
        <v>13188</v>
      </c>
      <c r="D4769" s="12" t="s">
        <v>9952</v>
      </c>
      <c r="E4769" s="12">
        <v>96</v>
      </c>
      <c r="F4769" s="49">
        <v>70130</v>
      </c>
      <c r="G4769" s="77" t="s">
        <v>6298</v>
      </c>
      <c r="H4769" s="14" t="s">
        <v>5601</v>
      </c>
      <c r="I4769" s="14" t="s">
        <v>2458</v>
      </c>
      <c r="J4769" s="33" t="s">
        <v>7110</v>
      </c>
      <c r="K4769" s="33" t="s">
        <v>13184</v>
      </c>
      <c r="L4769" s="53" t="s">
        <v>6054</v>
      </c>
      <c r="M4769" s="68" t="s">
        <v>8912</v>
      </c>
      <c r="N4769" s="53" t="s">
        <v>6285</v>
      </c>
      <c r="O4769" s="53">
        <v>55200</v>
      </c>
      <c r="P4769" s="198" t="s">
        <v>9783</v>
      </c>
    </row>
    <row r="4770" spans="1:16" ht="18.75" hidden="1">
      <c r="A4770" s="50" t="s">
        <v>13245</v>
      </c>
      <c r="B4770" s="50" t="s">
        <v>13189</v>
      </c>
      <c r="C4770" s="50" t="s">
        <v>13190</v>
      </c>
      <c r="D4770" s="12" t="s">
        <v>12898</v>
      </c>
      <c r="E4770" s="12">
        <v>96</v>
      </c>
      <c r="F4770" s="49">
        <v>128370</v>
      </c>
      <c r="G4770" s="77" t="s">
        <v>6453</v>
      </c>
      <c r="H4770" s="14" t="s">
        <v>5601</v>
      </c>
      <c r="I4770" s="14" t="s">
        <v>2458</v>
      </c>
      <c r="J4770" s="33" t="e">
        <f>VLOOKUP(C4770,شرکتها!A:B,2,FALSE)</f>
        <v>#N/A</v>
      </c>
      <c r="K4770" s="33" t="s">
        <v>13184</v>
      </c>
      <c r="L4770" s="53" t="s">
        <v>6054</v>
      </c>
      <c r="M4770" s="68" t="s">
        <v>8912</v>
      </c>
      <c r="N4770" s="53" t="s">
        <v>6285</v>
      </c>
      <c r="O4770" s="53">
        <v>55200</v>
      </c>
      <c r="P4770" s="198" t="s">
        <v>12929</v>
      </c>
    </row>
    <row r="4771" spans="1:16" ht="18.75" hidden="1">
      <c r="A4771" s="50" t="s">
        <v>13246</v>
      </c>
      <c r="B4771" s="50" t="s">
        <v>12880</v>
      </c>
      <c r="C4771" s="50" t="s">
        <v>12973</v>
      </c>
      <c r="D4771" s="12" t="s">
        <v>12895</v>
      </c>
      <c r="E4771" s="12">
        <v>96</v>
      </c>
      <c r="F4771" s="49">
        <v>93140</v>
      </c>
      <c r="G4771" s="77" t="s">
        <v>6453</v>
      </c>
      <c r="H4771" s="14" t="s">
        <v>5601</v>
      </c>
      <c r="I4771" s="14" t="s">
        <v>2458</v>
      </c>
      <c r="J4771" s="33" t="s">
        <v>7110</v>
      </c>
      <c r="K4771" s="33" t="s">
        <v>13184</v>
      </c>
      <c r="L4771" s="53" t="s">
        <v>6054</v>
      </c>
      <c r="M4771" s="68" t="s">
        <v>8913</v>
      </c>
      <c r="N4771" s="53" t="s">
        <v>6076</v>
      </c>
      <c r="O4771" s="53">
        <v>55301</v>
      </c>
      <c r="P4771" s="198" t="s">
        <v>12673</v>
      </c>
    </row>
    <row r="4772" spans="1:16" ht="18.75" hidden="1">
      <c r="A4772" s="50" t="s">
        <v>13247</v>
      </c>
      <c r="B4772" s="50" t="s">
        <v>13186</v>
      </c>
      <c r="C4772" s="50" t="s">
        <v>13191</v>
      </c>
      <c r="D4772" s="12" t="s">
        <v>12880</v>
      </c>
      <c r="E4772" s="12">
        <v>96</v>
      </c>
      <c r="F4772" s="49">
        <v>71170</v>
      </c>
      <c r="G4772" s="77" t="s">
        <v>12608</v>
      </c>
      <c r="H4772" s="14" t="s">
        <v>5601</v>
      </c>
      <c r="I4772" s="14" t="s">
        <v>2458</v>
      </c>
      <c r="J4772" s="33" t="s">
        <v>7110</v>
      </c>
      <c r="K4772" s="33" t="s">
        <v>13184</v>
      </c>
      <c r="L4772" s="53" t="s">
        <v>6054</v>
      </c>
      <c r="M4772" s="68" t="s">
        <v>8912</v>
      </c>
      <c r="N4772" s="53" t="s">
        <v>6076</v>
      </c>
      <c r="O4772" s="53">
        <v>55301</v>
      </c>
      <c r="P4772" s="198" t="s">
        <v>12677</v>
      </c>
    </row>
    <row r="4773" spans="1:16" ht="18.75" hidden="1">
      <c r="A4773" s="50" t="s">
        <v>13248</v>
      </c>
      <c r="B4773" s="50" t="s">
        <v>12880</v>
      </c>
      <c r="C4773" s="50" t="s">
        <v>13192</v>
      </c>
      <c r="D4773" s="12" t="s">
        <v>12898</v>
      </c>
      <c r="E4773" s="12">
        <v>96</v>
      </c>
      <c r="F4773" s="49">
        <v>96570</v>
      </c>
      <c r="G4773" s="77" t="s">
        <v>12608</v>
      </c>
      <c r="H4773" s="14" t="s">
        <v>5601</v>
      </c>
      <c r="I4773" s="14" t="s">
        <v>2458</v>
      </c>
      <c r="J4773" s="33" t="s">
        <v>7110</v>
      </c>
      <c r="K4773" s="33" t="s">
        <v>13184</v>
      </c>
      <c r="L4773" s="53" t="s">
        <v>6054</v>
      </c>
      <c r="M4773" s="68" t="s">
        <v>8912</v>
      </c>
      <c r="N4773" s="53" t="s">
        <v>6076</v>
      </c>
      <c r="O4773" s="53">
        <v>55301</v>
      </c>
      <c r="P4773" s="198" t="s">
        <v>12677</v>
      </c>
    </row>
    <row r="4774" spans="1:16" ht="18.75" hidden="1">
      <c r="A4774" s="50" t="s">
        <v>13249</v>
      </c>
      <c r="B4774" s="50" t="s">
        <v>12893</v>
      </c>
      <c r="C4774" s="50" t="s">
        <v>13192</v>
      </c>
      <c r="D4774" s="12" t="s">
        <v>12898</v>
      </c>
      <c r="E4774" s="12">
        <v>96</v>
      </c>
      <c r="F4774" s="49">
        <v>38300</v>
      </c>
      <c r="G4774" s="77" t="s">
        <v>12608</v>
      </c>
      <c r="H4774" s="14" t="s">
        <v>5601</v>
      </c>
      <c r="I4774" s="14" t="s">
        <v>2458</v>
      </c>
      <c r="J4774" s="33" t="s">
        <v>7110</v>
      </c>
      <c r="K4774" s="33" t="s">
        <v>13184</v>
      </c>
      <c r="L4774" s="53" t="s">
        <v>6054</v>
      </c>
      <c r="M4774" s="68" t="s">
        <v>8912</v>
      </c>
      <c r="N4774" s="53" t="s">
        <v>6076</v>
      </c>
      <c r="O4774" s="53">
        <v>55301</v>
      </c>
      <c r="P4774" s="198" t="s">
        <v>12677</v>
      </c>
    </row>
    <row r="4775" spans="1:16" ht="18.75" hidden="1">
      <c r="A4775" s="50" t="s">
        <v>13250</v>
      </c>
      <c r="B4775" s="50" t="s">
        <v>12928</v>
      </c>
      <c r="C4775" s="50" t="s">
        <v>13183</v>
      </c>
      <c r="D4775" s="12" t="s">
        <v>12867</v>
      </c>
      <c r="E4775" s="12">
        <v>96</v>
      </c>
      <c r="F4775" s="49">
        <v>376220</v>
      </c>
      <c r="G4775" s="77" t="s">
        <v>6453</v>
      </c>
      <c r="H4775" s="14" t="s">
        <v>5601</v>
      </c>
      <c r="I4775" s="14" t="s">
        <v>2458</v>
      </c>
      <c r="J4775" s="33" t="s">
        <v>7110</v>
      </c>
      <c r="K4775" s="33" t="s">
        <v>13184</v>
      </c>
      <c r="L4775" s="53" t="s">
        <v>6054</v>
      </c>
      <c r="M4775" s="68" t="s">
        <v>8912</v>
      </c>
      <c r="N4775" s="53" t="s">
        <v>6285</v>
      </c>
      <c r="O4775" s="53">
        <v>55200</v>
      </c>
      <c r="P4775" s="198" t="s">
        <v>12673</v>
      </c>
    </row>
    <row r="4776" spans="1:16" ht="18.75" hidden="1">
      <c r="A4776" s="50" t="s">
        <v>13251</v>
      </c>
      <c r="B4776" s="50" t="s">
        <v>12928</v>
      </c>
      <c r="C4776" s="50" t="s">
        <v>13190</v>
      </c>
      <c r="D4776" s="12" t="s">
        <v>12898</v>
      </c>
      <c r="E4776" s="12">
        <v>96</v>
      </c>
      <c r="F4776" s="49">
        <v>150400</v>
      </c>
      <c r="G4776" s="77" t="s">
        <v>6453</v>
      </c>
      <c r="H4776" s="14" t="s">
        <v>5601</v>
      </c>
      <c r="I4776" s="14" t="s">
        <v>2458</v>
      </c>
      <c r="J4776" s="33" t="e">
        <f>VLOOKUP(C4776,شرکتها!A:B,2,FALSE)</f>
        <v>#N/A</v>
      </c>
      <c r="K4776" s="33" t="s">
        <v>13184</v>
      </c>
      <c r="L4776" s="53" t="s">
        <v>6054</v>
      </c>
      <c r="M4776" s="68" t="s">
        <v>8913</v>
      </c>
      <c r="N4776" s="53" t="s">
        <v>6076</v>
      </c>
      <c r="O4776" s="53">
        <v>55301</v>
      </c>
      <c r="P4776" s="198" t="s">
        <v>12929</v>
      </c>
    </row>
    <row r="4777" spans="1:16" ht="18.75" hidden="1">
      <c r="A4777" s="50" t="s">
        <v>13251</v>
      </c>
      <c r="B4777" s="50" t="s">
        <v>12928</v>
      </c>
      <c r="C4777" s="50" t="s">
        <v>13183</v>
      </c>
      <c r="D4777" s="12" t="s">
        <v>12867</v>
      </c>
      <c r="E4777" s="12">
        <v>96</v>
      </c>
      <c r="F4777" s="49">
        <v>34480</v>
      </c>
      <c r="G4777" s="77" t="s">
        <v>6453</v>
      </c>
      <c r="H4777" s="14" t="s">
        <v>5601</v>
      </c>
      <c r="I4777" s="14" t="s">
        <v>2458</v>
      </c>
      <c r="J4777" s="33" t="s">
        <v>7110</v>
      </c>
      <c r="K4777" s="33" t="s">
        <v>13184</v>
      </c>
      <c r="L4777" s="53" t="s">
        <v>6054</v>
      </c>
      <c r="M4777" s="68" t="s">
        <v>8913</v>
      </c>
      <c r="N4777" s="53" t="s">
        <v>6076</v>
      </c>
      <c r="O4777" s="53">
        <v>55301</v>
      </c>
      <c r="P4777" s="198" t="s">
        <v>12673</v>
      </c>
    </row>
    <row r="4778" spans="1:16" ht="18.75" hidden="1">
      <c r="A4778" s="50" t="s">
        <v>13251</v>
      </c>
      <c r="B4778" s="50" t="s">
        <v>12928</v>
      </c>
      <c r="C4778" s="50" t="s">
        <v>13193</v>
      </c>
      <c r="D4778" s="12" t="s">
        <v>9952</v>
      </c>
      <c r="E4778" s="12">
        <v>96</v>
      </c>
      <c r="F4778" s="49">
        <v>38820</v>
      </c>
      <c r="G4778" s="77" t="s">
        <v>6298</v>
      </c>
      <c r="H4778" s="14" t="s">
        <v>5601</v>
      </c>
      <c r="I4778" s="14" t="s">
        <v>2458</v>
      </c>
      <c r="J4778" s="33" t="s">
        <v>7110</v>
      </c>
      <c r="K4778" s="33" t="s">
        <v>13184</v>
      </c>
      <c r="L4778" s="53" t="s">
        <v>6054</v>
      </c>
      <c r="M4778" s="68" t="s">
        <v>8913</v>
      </c>
      <c r="N4778" s="53" t="s">
        <v>6076</v>
      </c>
      <c r="O4778" s="53">
        <v>55301</v>
      </c>
      <c r="P4778" s="198" t="s">
        <v>9783</v>
      </c>
    </row>
    <row r="4779" spans="1:16" ht="18.75" hidden="1">
      <c r="A4779" s="50" t="s">
        <v>13249</v>
      </c>
      <c r="B4779" s="50" t="s">
        <v>12893</v>
      </c>
      <c r="C4779" s="50" t="s">
        <v>13194</v>
      </c>
      <c r="D4779" s="12" t="s">
        <v>12824</v>
      </c>
      <c r="E4779" s="12">
        <v>96</v>
      </c>
      <c r="F4779" s="49">
        <v>82510</v>
      </c>
      <c r="G4779" s="77" t="s">
        <v>12608</v>
      </c>
      <c r="H4779" s="14" t="s">
        <v>5601</v>
      </c>
      <c r="I4779" s="14" t="s">
        <v>2458</v>
      </c>
      <c r="J4779" s="33" t="s">
        <v>7110</v>
      </c>
      <c r="K4779" s="33" t="s">
        <v>13184</v>
      </c>
      <c r="L4779" s="53" t="s">
        <v>6054</v>
      </c>
      <c r="M4779" s="68" t="s">
        <v>8912</v>
      </c>
      <c r="N4779" s="53" t="s">
        <v>6076</v>
      </c>
      <c r="O4779" s="53">
        <v>55301</v>
      </c>
      <c r="P4779" s="198" t="s">
        <v>12677</v>
      </c>
    </row>
    <row r="4780" spans="1:16" ht="18.75" hidden="1">
      <c r="A4780" s="50" t="s">
        <v>13252</v>
      </c>
      <c r="B4780" s="50" t="s">
        <v>13195</v>
      </c>
      <c r="C4780" s="50" t="s">
        <v>13188</v>
      </c>
      <c r="D4780" s="12" t="s">
        <v>9952</v>
      </c>
      <c r="E4780" s="12">
        <v>96</v>
      </c>
      <c r="F4780" s="49">
        <v>47230</v>
      </c>
      <c r="G4780" s="77" t="s">
        <v>6298</v>
      </c>
      <c r="H4780" s="14" t="s">
        <v>5601</v>
      </c>
      <c r="I4780" s="14" t="s">
        <v>2458</v>
      </c>
      <c r="J4780" s="33" t="s">
        <v>7110</v>
      </c>
      <c r="K4780" s="33" t="s">
        <v>13184</v>
      </c>
      <c r="L4780" s="53" t="s">
        <v>6054</v>
      </c>
      <c r="M4780" s="68" t="s">
        <v>8912</v>
      </c>
      <c r="N4780" s="53" t="s">
        <v>6286</v>
      </c>
      <c r="O4780" s="53">
        <v>55107</v>
      </c>
      <c r="P4780" s="198" t="s">
        <v>9783</v>
      </c>
    </row>
    <row r="4781" spans="1:16" ht="18.75" hidden="1">
      <c r="A4781" s="50" t="s">
        <v>13251</v>
      </c>
      <c r="B4781" s="50" t="s">
        <v>12928</v>
      </c>
      <c r="C4781" s="50" t="s">
        <v>13196</v>
      </c>
      <c r="D4781" s="12" t="s">
        <v>12824</v>
      </c>
      <c r="E4781" s="12">
        <v>96</v>
      </c>
      <c r="F4781" s="49">
        <v>104580</v>
      </c>
      <c r="G4781" s="77" t="s">
        <v>6299</v>
      </c>
      <c r="H4781" s="14" t="s">
        <v>5601</v>
      </c>
      <c r="I4781" s="14" t="s">
        <v>2458</v>
      </c>
      <c r="J4781" s="33" t="s">
        <v>7110</v>
      </c>
      <c r="K4781" s="33" t="s">
        <v>13184</v>
      </c>
      <c r="L4781" s="53" t="s">
        <v>6054</v>
      </c>
      <c r="M4781" s="68" t="s">
        <v>8913</v>
      </c>
      <c r="N4781" s="53" t="s">
        <v>6076</v>
      </c>
      <c r="O4781" s="53">
        <v>55301</v>
      </c>
      <c r="P4781" s="198" t="s">
        <v>12936</v>
      </c>
    </row>
    <row r="4782" spans="1:16" ht="18.75" hidden="1">
      <c r="A4782" s="50" t="s">
        <v>13243</v>
      </c>
      <c r="B4782" s="50" t="s">
        <v>13186</v>
      </c>
      <c r="C4782" s="50" t="s">
        <v>13193</v>
      </c>
      <c r="D4782" s="12" t="s">
        <v>9952</v>
      </c>
      <c r="E4782" s="12">
        <v>96</v>
      </c>
      <c r="F4782" s="49">
        <v>241120</v>
      </c>
      <c r="G4782" s="77" t="s">
        <v>6298</v>
      </c>
      <c r="H4782" s="14" t="s">
        <v>5601</v>
      </c>
      <c r="I4782" s="14" t="s">
        <v>2458</v>
      </c>
      <c r="J4782" s="33" t="s">
        <v>7110</v>
      </c>
      <c r="K4782" s="33" t="s">
        <v>13184</v>
      </c>
      <c r="L4782" s="53" t="s">
        <v>6054</v>
      </c>
      <c r="M4782" s="68" t="s">
        <v>8913</v>
      </c>
      <c r="N4782" s="53" t="s">
        <v>6076</v>
      </c>
      <c r="O4782" s="53">
        <v>55301</v>
      </c>
      <c r="P4782" s="198" t="s">
        <v>9783</v>
      </c>
    </row>
    <row r="4783" spans="1:16" ht="18.75" hidden="1">
      <c r="A4783" s="50" t="s">
        <v>13253</v>
      </c>
      <c r="B4783" s="50" t="s">
        <v>13197</v>
      </c>
      <c r="C4783" s="50" t="s">
        <v>13198</v>
      </c>
      <c r="D4783" s="12" t="s">
        <v>12898</v>
      </c>
      <c r="E4783" s="12">
        <v>96</v>
      </c>
      <c r="F4783" s="49">
        <v>141380</v>
      </c>
      <c r="G4783" s="77" t="s">
        <v>12608</v>
      </c>
      <c r="H4783" s="14" t="s">
        <v>5601</v>
      </c>
      <c r="I4783" s="14" t="s">
        <v>2458</v>
      </c>
      <c r="J4783" s="33" t="s">
        <v>7110</v>
      </c>
      <c r="K4783" s="33" t="s">
        <v>13184</v>
      </c>
      <c r="L4783" s="53" t="s">
        <v>6054</v>
      </c>
      <c r="M4783" s="68" t="s">
        <v>8912</v>
      </c>
      <c r="N4783" s="53" t="s">
        <v>6076</v>
      </c>
      <c r="O4783" s="53">
        <v>55301</v>
      </c>
      <c r="P4783" s="198" t="s">
        <v>12677</v>
      </c>
    </row>
    <row r="4784" spans="1:16" ht="18.75" hidden="1">
      <c r="A4784" s="50" t="s">
        <v>13254</v>
      </c>
      <c r="B4784" s="50" t="s">
        <v>13195</v>
      </c>
      <c r="C4784" s="50" t="s">
        <v>13198</v>
      </c>
      <c r="D4784" s="12" t="s">
        <v>12898</v>
      </c>
      <c r="E4784" s="12">
        <v>96</v>
      </c>
      <c r="F4784" s="49">
        <v>8620</v>
      </c>
      <c r="G4784" s="77" t="s">
        <v>12608</v>
      </c>
      <c r="H4784" s="14" t="s">
        <v>5601</v>
      </c>
      <c r="I4784" s="14" t="s">
        <v>2458</v>
      </c>
      <c r="J4784" s="33" t="s">
        <v>7110</v>
      </c>
      <c r="K4784" s="33" t="s">
        <v>13184</v>
      </c>
      <c r="L4784" s="53" t="s">
        <v>6054</v>
      </c>
      <c r="M4784" s="68" t="s">
        <v>8912</v>
      </c>
      <c r="N4784" s="53" t="s">
        <v>6076</v>
      </c>
      <c r="O4784" s="53">
        <v>55301</v>
      </c>
      <c r="P4784" s="198" t="s">
        <v>12677</v>
      </c>
    </row>
    <row r="4785" spans="1:16" ht="18.75" hidden="1">
      <c r="A4785" s="50" t="s">
        <v>13255</v>
      </c>
      <c r="B4785" s="50" t="s">
        <v>12928</v>
      </c>
      <c r="C4785" s="50" t="s">
        <v>13199</v>
      </c>
      <c r="D4785" s="12" t="s">
        <v>12560</v>
      </c>
      <c r="E4785" s="12">
        <v>96</v>
      </c>
      <c r="F4785" s="49">
        <v>125010</v>
      </c>
      <c r="G4785" s="77" t="s">
        <v>6298</v>
      </c>
      <c r="H4785" s="14" t="s">
        <v>5601</v>
      </c>
      <c r="I4785" s="14" t="s">
        <v>2458</v>
      </c>
      <c r="J4785" s="33" t="s">
        <v>7110</v>
      </c>
      <c r="K4785" s="33" t="s">
        <v>13184</v>
      </c>
      <c r="L4785" s="53" t="s">
        <v>6054</v>
      </c>
      <c r="M4785" s="68" t="s">
        <v>8912</v>
      </c>
      <c r="N4785" s="53" t="s">
        <v>6286</v>
      </c>
      <c r="O4785" s="53">
        <v>55107</v>
      </c>
      <c r="P4785" s="198" t="s">
        <v>12429</v>
      </c>
    </row>
    <row r="4786" spans="1:16" ht="18.75" hidden="1">
      <c r="A4786" s="50" t="s">
        <v>13256</v>
      </c>
      <c r="B4786" s="50" t="s">
        <v>13200</v>
      </c>
      <c r="C4786" s="50" t="s">
        <v>13201</v>
      </c>
      <c r="D4786" s="12" t="s">
        <v>8616</v>
      </c>
      <c r="E4786" s="12">
        <v>96</v>
      </c>
      <c r="F4786" s="49">
        <v>50000</v>
      </c>
      <c r="G4786" s="77" t="s">
        <v>6454</v>
      </c>
      <c r="H4786" s="14" t="s">
        <v>5601</v>
      </c>
      <c r="I4786" s="14" t="s">
        <v>2458</v>
      </c>
      <c r="J4786" s="33" t="s">
        <v>7110</v>
      </c>
      <c r="K4786" s="33" t="s">
        <v>13184</v>
      </c>
      <c r="L4786" s="53" t="s">
        <v>6054</v>
      </c>
      <c r="M4786" s="68" t="s">
        <v>8912</v>
      </c>
      <c r="N4786" s="53" t="s">
        <v>6285</v>
      </c>
      <c r="O4786" s="53">
        <v>55200</v>
      </c>
      <c r="P4786" s="198" t="s">
        <v>7114</v>
      </c>
    </row>
    <row r="4787" spans="1:16" ht="18.75" hidden="1">
      <c r="A4787" s="50" t="s">
        <v>13256</v>
      </c>
      <c r="B4787" s="50" t="s">
        <v>13200</v>
      </c>
      <c r="C4787" s="50" t="s">
        <v>13202</v>
      </c>
      <c r="D4787" s="12" t="s">
        <v>9715</v>
      </c>
      <c r="E4787" s="12">
        <v>96</v>
      </c>
      <c r="F4787" s="49">
        <v>100540</v>
      </c>
      <c r="G4787" s="77" t="s">
        <v>6454</v>
      </c>
      <c r="H4787" s="14" t="s">
        <v>5601</v>
      </c>
      <c r="I4787" s="14" t="s">
        <v>2458</v>
      </c>
      <c r="J4787" s="33" t="s">
        <v>7110</v>
      </c>
      <c r="K4787" s="33" t="s">
        <v>13184</v>
      </c>
      <c r="L4787" s="53" t="s">
        <v>6054</v>
      </c>
      <c r="M4787" s="68" t="s">
        <v>8912</v>
      </c>
      <c r="N4787" s="53" t="s">
        <v>6285</v>
      </c>
      <c r="O4787" s="53">
        <v>55200</v>
      </c>
      <c r="P4787" s="198" t="s">
        <v>8748</v>
      </c>
    </row>
    <row r="4788" spans="1:16" ht="18.75" hidden="1">
      <c r="A4788" s="50" t="s">
        <v>13255</v>
      </c>
      <c r="B4788" s="50" t="s">
        <v>12928</v>
      </c>
      <c r="C4788" s="50" t="s">
        <v>13203</v>
      </c>
      <c r="D4788" s="12" t="s">
        <v>12649</v>
      </c>
      <c r="E4788" s="12">
        <v>96</v>
      </c>
      <c r="F4788" s="49">
        <v>21490</v>
      </c>
      <c r="G4788" s="77" t="s">
        <v>6298</v>
      </c>
      <c r="H4788" s="14" t="s">
        <v>5601</v>
      </c>
      <c r="I4788" s="14" t="s">
        <v>2458</v>
      </c>
      <c r="J4788" s="33" t="s">
        <v>7110</v>
      </c>
      <c r="K4788" s="33" t="s">
        <v>13184</v>
      </c>
      <c r="L4788" s="53" t="s">
        <v>6054</v>
      </c>
      <c r="M4788" s="68" t="s">
        <v>8912</v>
      </c>
      <c r="N4788" s="53" t="s">
        <v>6286</v>
      </c>
      <c r="O4788" s="53">
        <v>55107</v>
      </c>
      <c r="P4788" s="198" t="s">
        <v>12429</v>
      </c>
    </row>
    <row r="4789" spans="1:16" ht="18.75" hidden="1">
      <c r="A4789" s="50" t="s">
        <v>13254</v>
      </c>
      <c r="B4789" s="50" t="s">
        <v>13195</v>
      </c>
      <c r="C4789" s="50" t="s">
        <v>13204</v>
      </c>
      <c r="D4789" s="12" t="s">
        <v>12824</v>
      </c>
      <c r="E4789" s="12">
        <v>96</v>
      </c>
      <c r="F4789" s="49">
        <v>36540</v>
      </c>
      <c r="G4789" s="77" t="s">
        <v>12608</v>
      </c>
      <c r="H4789" s="14" t="s">
        <v>5601</v>
      </c>
      <c r="I4789" s="14" t="s">
        <v>2458</v>
      </c>
      <c r="J4789" s="33" t="s">
        <v>7110</v>
      </c>
      <c r="K4789" s="33" t="s">
        <v>13184</v>
      </c>
      <c r="L4789" s="53" t="s">
        <v>6054</v>
      </c>
      <c r="M4789" s="68" t="s">
        <v>8912</v>
      </c>
      <c r="N4789" s="53" t="s">
        <v>6076</v>
      </c>
      <c r="O4789" s="53">
        <v>55301</v>
      </c>
      <c r="P4789" s="198" t="s">
        <v>12677</v>
      </c>
    </row>
    <row r="4790" spans="1:16" ht="18.75" hidden="1">
      <c r="A4790" s="50" t="s">
        <v>13254</v>
      </c>
      <c r="B4790" s="50" t="s">
        <v>13195</v>
      </c>
      <c r="C4790" s="50" t="s">
        <v>12974</v>
      </c>
      <c r="D4790" s="12" t="s">
        <v>12921</v>
      </c>
      <c r="E4790" s="12">
        <v>96</v>
      </c>
      <c r="F4790" s="49">
        <v>16560</v>
      </c>
      <c r="G4790" s="77" t="s">
        <v>12608</v>
      </c>
      <c r="H4790" s="14" t="s">
        <v>5601</v>
      </c>
      <c r="I4790" s="14" t="s">
        <v>2458</v>
      </c>
      <c r="J4790" s="33" t="s">
        <v>7110</v>
      </c>
      <c r="K4790" s="33" t="s">
        <v>13184</v>
      </c>
      <c r="L4790" s="53" t="s">
        <v>6054</v>
      </c>
      <c r="M4790" s="68" t="s">
        <v>8912</v>
      </c>
      <c r="N4790" s="53" t="s">
        <v>6076</v>
      </c>
      <c r="O4790" s="53">
        <v>55301</v>
      </c>
      <c r="P4790" s="198" t="s">
        <v>12677</v>
      </c>
    </row>
    <row r="4791" spans="1:16" ht="18.75" hidden="1">
      <c r="A4791" s="50" t="s">
        <v>13254</v>
      </c>
      <c r="B4791" s="50" t="s">
        <v>13195</v>
      </c>
      <c r="C4791" s="50" t="s">
        <v>13194</v>
      </c>
      <c r="D4791" s="12" t="s">
        <v>12824</v>
      </c>
      <c r="E4791" s="12">
        <v>96</v>
      </c>
      <c r="F4791" s="49">
        <v>14330</v>
      </c>
      <c r="G4791" s="77" t="s">
        <v>12608</v>
      </c>
      <c r="H4791" s="14" t="s">
        <v>5601</v>
      </c>
      <c r="I4791" s="14" t="s">
        <v>2458</v>
      </c>
      <c r="J4791" s="33" t="s">
        <v>7110</v>
      </c>
      <c r="K4791" s="33" t="s">
        <v>13184</v>
      </c>
      <c r="L4791" s="53" t="s">
        <v>6054</v>
      </c>
      <c r="M4791" s="68" t="s">
        <v>8912</v>
      </c>
      <c r="N4791" s="53" t="s">
        <v>6076</v>
      </c>
      <c r="O4791" s="53">
        <v>55301</v>
      </c>
      <c r="P4791" s="198" t="s">
        <v>12677</v>
      </c>
    </row>
    <row r="4792" spans="1:16" ht="18.75" hidden="1">
      <c r="A4792" s="50" t="s">
        <v>13256</v>
      </c>
      <c r="B4792" s="50" t="s">
        <v>13200</v>
      </c>
      <c r="C4792" s="50" t="s">
        <v>12910</v>
      </c>
      <c r="D4792" s="12" t="s">
        <v>9835</v>
      </c>
      <c r="E4792" s="12">
        <v>96</v>
      </c>
      <c r="F4792" s="49">
        <v>42650</v>
      </c>
      <c r="G4792" s="77" t="s">
        <v>6300</v>
      </c>
      <c r="H4792" s="14" t="s">
        <v>5601</v>
      </c>
      <c r="I4792" s="14" t="s">
        <v>2458</v>
      </c>
      <c r="J4792" s="33" t="s">
        <v>7110</v>
      </c>
      <c r="K4792" s="33" t="s">
        <v>13184</v>
      </c>
      <c r="L4792" s="53" t="s">
        <v>6054</v>
      </c>
      <c r="M4792" s="68" t="s">
        <v>8912</v>
      </c>
      <c r="N4792" s="53" t="s">
        <v>6285</v>
      </c>
      <c r="O4792" s="53">
        <v>55200</v>
      </c>
      <c r="P4792" s="198" t="s">
        <v>9762</v>
      </c>
    </row>
    <row r="4793" spans="1:16" ht="18.75" hidden="1">
      <c r="A4793" s="50" t="s">
        <v>13257</v>
      </c>
      <c r="B4793" s="50" t="s">
        <v>13189</v>
      </c>
      <c r="C4793" s="50" t="s">
        <v>13188</v>
      </c>
      <c r="D4793" s="12" t="s">
        <v>9952</v>
      </c>
      <c r="E4793" s="12">
        <v>96</v>
      </c>
      <c r="F4793" s="49">
        <v>94430</v>
      </c>
      <c r="G4793" s="77" t="s">
        <v>6298</v>
      </c>
      <c r="H4793" s="14" t="s">
        <v>5601</v>
      </c>
      <c r="I4793" s="14" t="s">
        <v>2458</v>
      </c>
      <c r="J4793" s="33" t="s">
        <v>7110</v>
      </c>
      <c r="K4793" s="33" t="s">
        <v>13184</v>
      </c>
      <c r="L4793" s="53" t="s">
        <v>6054</v>
      </c>
      <c r="M4793" s="68" t="s">
        <v>8912</v>
      </c>
      <c r="N4793" s="53" t="s">
        <v>6076</v>
      </c>
      <c r="O4793" s="53">
        <v>55301</v>
      </c>
      <c r="P4793" s="198" t="s">
        <v>9783</v>
      </c>
    </row>
    <row r="4794" spans="1:16" ht="18.75" hidden="1">
      <c r="A4794" s="50" t="s">
        <v>13258</v>
      </c>
      <c r="B4794" s="50" t="s">
        <v>13189</v>
      </c>
      <c r="C4794" s="50" t="s">
        <v>13193</v>
      </c>
      <c r="D4794" s="12" t="s">
        <v>9952</v>
      </c>
      <c r="E4794" s="12">
        <v>96</v>
      </c>
      <c r="F4794" s="49">
        <v>273440</v>
      </c>
      <c r="G4794" s="77" t="s">
        <v>6298</v>
      </c>
      <c r="H4794" s="14" t="s">
        <v>5601</v>
      </c>
      <c r="I4794" s="14" t="s">
        <v>2458</v>
      </c>
      <c r="J4794" s="33" t="s">
        <v>7110</v>
      </c>
      <c r="K4794" s="33" t="s">
        <v>13184</v>
      </c>
      <c r="L4794" s="53" t="s">
        <v>6054</v>
      </c>
      <c r="M4794" s="68" t="s">
        <v>8913</v>
      </c>
      <c r="N4794" s="53" t="s">
        <v>6076</v>
      </c>
      <c r="O4794" s="53">
        <v>55301</v>
      </c>
      <c r="P4794" s="198" t="s">
        <v>9783</v>
      </c>
    </row>
    <row r="4795" spans="1:16" ht="18.75" hidden="1">
      <c r="A4795" s="50" t="s">
        <v>13258</v>
      </c>
      <c r="B4795" s="50" t="s">
        <v>13189</v>
      </c>
      <c r="C4795" s="50" t="s">
        <v>13190</v>
      </c>
      <c r="D4795" s="12" t="s">
        <v>12898</v>
      </c>
      <c r="E4795" s="12">
        <v>96</v>
      </c>
      <c r="F4795" s="49">
        <v>221230</v>
      </c>
      <c r="G4795" s="77" t="s">
        <v>6453</v>
      </c>
      <c r="H4795" s="14" t="s">
        <v>5601</v>
      </c>
      <c r="I4795" s="14" t="s">
        <v>2458</v>
      </c>
      <c r="J4795" s="33" t="e">
        <f>VLOOKUP(C4795,شرکتها!A:B,2,FALSE)</f>
        <v>#N/A</v>
      </c>
      <c r="K4795" s="33" t="s">
        <v>13184</v>
      </c>
      <c r="L4795" s="53" t="s">
        <v>6054</v>
      </c>
      <c r="M4795" s="68" t="s">
        <v>8913</v>
      </c>
      <c r="N4795" s="53" t="s">
        <v>6076</v>
      </c>
      <c r="O4795" s="53">
        <v>55301</v>
      </c>
      <c r="P4795" s="198" t="s">
        <v>12929</v>
      </c>
    </row>
    <row r="4796" spans="1:16" ht="18.75" hidden="1">
      <c r="A4796" s="50" t="s">
        <v>13259</v>
      </c>
      <c r="B4796" s="50" t="s">
        <v>12880</v>
      </c>
      <c r="C4796" s="50" t="s">
        <v>12973</v>
      </c>
      <c r="D4796" s="12" t="s">
        <v>12895</v>
      </c>
      <c r="E4796" s="12">
        <v>96</v>
      </c>
      <c r="F4796" s="49">
        <v>25060</v>
      </c>
      <c r="G4796" s="77" t="s">
        <v>6453</v>
      </c>
      <c r="H4796" s="14" t="s">
        <v>5601</v>
      </c>
      <c r="I4796" s="14" t="s">
        <v>2458</v>
      </c>
      <c r="J4796" s="33" t="s">
        <v>7110</v>
      </c>
      <c r="K4796" s="33" t="s">
        <v>13184</v>
      </c>
      <c r="L4796" s="53" t="s">
        <v>6054</v>
      </c>
      <c r="M4796" s="68" t="s">
        <v>8912</v>
      </c>
      <c r="N4796" s="53" t="s">
        <v>6285</v>
      </c>
      <c r="O4796" s="53">
        <v>55200</v>
      </c>
      <c r="P4796" s="198" t="s">
        <v>12673</v>
      </c>
    </row>
    <row r="4797" spans="1:16" ht="18.75" hidden="1">
      <c r="A4797" s="50" t="s">
        <v>13258</v>
      </c>
      <c r="B4797" s="50" t="s">
        <v>13189</v>
      </c>
      <c r="C4797" s="50" t="s">
        <v>13187</v>
      </c>
      <c r="D4797" s="12" t="s">
        <v>12953</v>
      </c>
      <c r="E4797" s="12">
        <v>96</v>
      </c>
      <c r="F4797" s="49">
        <v>281350</v>
      </c>
      <c r="G4797" s="77" t="s">
        <v>6453</v>
      </c>
      <c r="H4797" s="14" t="s">
        <v>5601</v>
      </c>
      <c r="I4797" s="14" t="s">
        <v>2458</v>
      </c>
      <c r="J4797" s="33" t="s">
        <v>7110</v>
      </c>
      <c r="K4797" s="33" t="s">
        <v>13184</v>
      </c>
      <c r="L4797" s="53" t="s">
        <v>6054</v>
      </c>
      <c r="M4797" s="68" t="s">
        <v>8913</v>
      </c>
      <c r="N4797" s="53" t="s">
        <v>6076</v>
      </c>
      <c r="O4797" s="53">
        <v>55301</v>
      </c>
      <c r="P4797" s="198" t="s">
        <v>12673</v>
      </c>
    </row>
    <row r="4798" spans="1:16" ht="18.75" hidden="1">
      <c r="A4798" s="50" t="s">
        <v>13259</v>
      </c>
      <c r="B4798" s="50" t="s">
        <v>12880</v>
      </c>
      <c r="C4798" s="50" t="s">
        <v>13205</v>
      </c>
      <c r="D4798" s="12" t="s">
        <v>12530</v>
      </c>
      <c r="E4798" s="12">
        <v>96</v>
      </c>
      <c r="F4798" s="49">
        <v>46190</v>
      </c>
      <c r="G4798" s="77" t="s">
        <v>6298</v>
      </c>
      <c r="H4798" s="14" t="s">
        <v>5601</v>
      </c>
      <c r="I4798" s="14" t="s">
        <v>2458</v>
      </c>
      <c r="J4798" s="33" t="s">
        <v>7110</v>
      </c>
      <c r="K4798" s="33" t="s">
        <v>13184</v>
      </c>
      <c r="L4798" s="53" t="s">
        <v>6054</v>
      </c>
      <c r="M4798" s="68" t="s">
        <v>8912</v>
      </c>
      <c r="N4798" s="53" t="s">
        <v>6285</v>
      </c>
      <c r="O4798" s="53">
        <v>55200</v>
      </c>
      <c r="P4798" s="198" t="s">
        <v>12260</v>
      </c>
    </row>
    <row r="4799" spans="1:16" ht="18.75" hidden="1">
      <c r="A4799" s="50" t="s">
        <v>13258</v>
      </c>
      <c r="B4799" s="50" t="s">
        <v>13189</v>
      </c>
      <c r="C4799" s="50" t="s">
        <v>13206</v>
      </c>
      <c r="D4799" s="12" t="s">
        <v>12736</v>
      </c>
      <c r="E4799" s="12">
        <v>96</v>
      </c>
      <c r="F4799" s="49">
        <v>76620</v>
      </c>
      <c r="G4799" s="77" t="s">
        <v>6299</v>
      </c>
      <c r="H4799" s="14" t="s">
        <v>5601</v>
      </c>
      <c r="I4799" s="14" t="s">
        <v>2458</v>
      </c>
      <c r="J4799" s="33" t="s">
        <v>7110</v>
      </c>
      <c r="K4799" s="33" t="s">
        <v>13184</v>
      </c>
      <c r="L4799" s="53" t="s">
        <v>6054</v>
      </c>
      <c r="M4799" s="68" t="s">
        <v>8913</v>
      </c>
      <c r="N4799" s="53" t="s">
        <v>6076</v>
      </c>
      <c r="O4799" s="53">
        <v>55301</v>
      </c>
      <c r="P4799" s="198" t="s">
        <v>12676</v>
      </c>
    </row>
    <row r="4800" spans="1:16" ht="18.75" hidden="1">
      <c r="A4800" s="50" t="s">
        <v>13259</v>
      </c>
      <c r="B4800" s="50" t="s">
        <v>12880</v>
      </c>
      <c r="C4800" s="50" t="s">
        <v>13199</v>
      </c>
      <c r="D4800" s="12" t="s">
        <v>12560</v>
      </c>
      <c r="E4800" s="12">
        <v>96</v>
      </c>
      <c r="F4800" s="49">
        <v>77630</v>
      </c>
      <c r="G4800" s="77" t="s">
        <v>6298</v>
      </c>
      <c r="H4800" s="14" t="s">
        <v>5601</v>
      </c>
      <c r="I4800" s="14" t="s">
        <v>2458</v>
      </c>
      <c r="J4800" s="33" t="s">
        <v>7110</v>
      </c>
      <c r="K4800" s="33" t="s">
        <v>13184</v>
      </c>
      <c r="L4800" s="53" t="s">
        <v>6054</v>
      </c>
      <c r="M4800" s="68" t="s">
        <v>8912</v>
      </c>
      <c r="N4800" s="53" t="s">
        <v>6285</v>
      </c>
      <c r="O4800" s="53">
        <v>55200</v>
      </c>
      <c r="P4800" s="198" t="s">
        <v>12429</v>
      </c>
    </row>
    <row r="4801" spans="1:16" ht="18.75" hidden="1">
      <c r="A4801" s="50" t="s">
        <v>13260</v>
      </c>
      <c r="B4801" s="50" t="s">
        <v>13195</v>
      </c>
      <c r="C4801" s="50" t="s">
        <v>13188</v>
      </c>
      <c r="D4801" s="12" t="s">
        <v>9952</v>
      </c>
      <c r="E4801" s="12">
        <v>96</v>
      </c>
      <c r="F4801" s="49">
        <v>174480</v>
      </c>
      <c r="G4801" s="77" t="s">
        <v>6298</v>
      </c>
      <c r="H4801" s="14" t="s">
        <v>5601</v>
      </c>
      <c r="I4801" s="14" t="s">
        <v>2458</v>
      </c>
      <c r="J4801" s="33" t="s">
        <v>7110</v>
      </c>
      <c r="K4801" s="33" t="s">
        <v>13184</v>
      </c>
      <c r="L4801" s="53" t="s">
        <v>6054</v>
      </c>
      <c r="M4801" s="68" t="s">
        <v>8912</v>
      </c>
      <c r="N4801" s="53" t="s">
        <v>6285</v>
      </c>
      <c r="O4801" s="53">
        <v>55200</v>
      </c>
      <c r="P4801" s="198" t="s">
        <v>9783</v>
      </c>
    </row>
    <row r="4802" spans="1:16" ht="18.75" hidden="1">
      <c r="A4802" s="50" t="s">
        <v>13261</v>
      </c>
      <c r="B4802" s="50" t="s">
        <v>13182</v>
      </c>
      <c r="C4802" s="50" t="s">
        <v>13202</v>
      </c>
      <c r="D4802" s="12" t="s">
        <v>9715</v>
      </c>
      <c r="E4802" s="12">
        <v>96</v>
      </c>
      <c r="F4802" s="49">
        <v>307960</v>
      </c>
      <c r="G4802" s="77" t="s">
        <v>6454</v>
      </c>
      <c r="H4802" s="14" t="s">
        <v>5601</v>
      </c>
      <c r="I4802" s="14" t="s">
        <v>2458</v>
      </c>
      <c r="J4802" s="33" t="s">
        <v>7110</v>
      </c>
      <c r="K4802" s="33" t="s">
        <v>13184</v>
      </c>
      <c r="L4802" s="53" t="s">
        <v>6054</v>
      </c>
      <c r="M4802" s="68" t="s">
        <v>8913</v>
      </c>
      <c r="N4802" s="53" t="s">
        <v>6076</v>
      </c>
      <c r="O4802" s="53">
        <v>55301</v>
      </c>
      <c r="P4802" s="198" t="s">
        <v>8748</v>
      </c>
    </row>
    <row r="4803" spans="1:16" ht="18.75" hidden="1">
      <c r="A4803" s="50" t="s">
        <v>13262</v>
      </c>
      <c r="B4803" s="50" t="s">
        <v>13197</v>
      </c>
      <c r="C4803" s="50" t="s">
        <v>13207</v>
      </c>
      <c r="D4803" s="12" t="s">
        <v>10033</v>
      </c>
      <c r="E4803" s="12">
        <v>96</v>
      </c>
      <c r="F4803" s="49">
        <v>455820</v>
      </c>
      <c r="G4803" s="77" t="s">
        <v>6454</v>
      </c>
      <c r="H4803" s="14" t="s">
        <v>5601</v>
      </c>
      <c r="I4803" s="14" t="s">
        <v>2458</v>
      </c>
      <c r="J4803" s="33" t="s">
        <v>7110</v>
      </c>
      <c r="K4803" s="33" t="s">
        <v>13184</v>
      </c>
      <c r="L4803" s="53" t="s">
        <v>6054</v>
      </c>
      <c r="M4803" s="68" t="s">
        <v>8913</v>
      </c>
      <c r="N4803" s="53" t="s">
        <v>6076</v>
      </c>
      <c r="O4803" s="53">
        <v>55301</v>
      </c>
      <c r="P4803" s="198" t="s">
        <v>9789</v>
      </c>
    </row>
    <row r="4804" spans="1:16" ht="18.75" hidden="1">
      <c r="A4804" s="50" t="s">
        <v>13263</v>
      </c>
      <c r="B4804" s="50" t="s">
        <v>13197</v>
      </c>
      <c r="C4804" s="50" t="s">
        <v>13207</v>
      </c>
      <c r="D4804" s="12" t="s">
        <v>10033</v>
      </c>
      <c r="E4804" s="12">
        <v>96</v>
      </c>
      <c r="F4804" s="49">
        <v>50420</v>
      </c>
      <c r="G4804" s="77" t="s">
        <v>6454</v>
      </c>
      <c r="H4804" s="14" t="s">
        <v>5601</v>
      </c>
      <c r="I4804" s="14" t="s">
        <v>2458</v>
      </c>
      <c r="J4804" s="33" t="s">
        <v>7110</v>
      </c>
      <c r="K4804" s="33" t="s">
        <v>13184</v>
      </c>
      <c r="L4804" s="53" t="s">
        <v>6054</v>
      </c>
      <c r="M4804" s="68" t="s">
        <v>8912</v>
      </c>
      <c r="N4804" s="53" t="s">
        <v>6285</v>
      </c>
      <c r="O4804" s="53">
        <v>55200</v>
      </c>
      <c r="P4804" s="198" t="s">
        <v>9789</v>
      </c>
    </row>
    <row r="4805" spans="1:16" ht="18.75" hidden="1">
      <c r="A4805" s="50" t="s">
        <v>13242</v>
      </c>
      <c r="B4805" s="50" t="s">
        <v>12893</v>
      </c>
      <c r="C4805" s="50" t="s">
        <v>13208</v>
      </c>
      <c r="D4805" s="12" t="s">
        <v>10033</v>
      </c>
      <c r="E4805" s="12">
        <v>96</v>
      </c>
      <c r="F4805" s="49">
        <v>149790</v>
      </c>
      <c r="G4805" s="77" t="s">
        <v>6454</v>
      </c>
      <c r="H4805" s="14" t="s">
        <v>5601</v>
      </c>
      <c r="I4805" s="14" t="s">
        <v>2458</v>
      </c>
      <c r="J4805" s="33" t="s">
        <v>7110</v>
      </c>
      <c r="K4805" s="33" t="s">
        <v>13184</v>
      </c>
      <c r="L4805" s="53" t="s">
        <v>6054</v>
      </c>
      <c r="M4805" s="68" t="s">
        <v>8912</v>
      </c>
      <c r="N4805" s="53" t="s">
        <v>6285</v>
      </c>
      <c r="O4805" s="53">
        <v>55200</v>
      </c>
      <c r="P4805" s="198" t="s">
        <v>9797</v>
      </c>
    </row>
    <row r="4806" spans="1:16" ht="18.75" hidden="1">
      <c r="A4806" s="50" t="s">
        <v>13249</v>
      </c>
      <c r="B4806" s="50" t="s">
        <v>12893</v>
      </c>
      <c r="C4806" s="50" t="s">
        <v>13208</v>
      </c>
      <c r="D4806" s="12" t="s">
        <v>10033</v>
      </c>
      <c r="E4806" s="12">
        <v>96</v>
      </c>
      <c r="F4806" s="49">
        <v>115510</v>
      </c>
      <c r="G4806" s="77" t="s">
        <v>6454</v>
      </c>
      <c r="H4806" s="14" t="s">
        <v>5601</v>
      </c>
      <c r="I4806" s="14" t="s">
        <v>2458</v>
      </c>
      <c r="J4806" s="33" t="s">
        <v>7110</v>
      </c>
      <c r="K4806" s="33" t="s">
        <v>13184</v>
      </c>
      <c r="L4806" s="53" t="s">
        <v>6054</v>
      </c>
      <c r="M4806" s="68" t="s">
        <v>8912</v>
      </c>
      <c r="N4806" s="53" t="s">
        <v>6076</v>
      </c>
      <c r="O4806" s="53">
        <v>55301</v>
      </c>
      <c r="P4806" s="198" t="s">
        <v>9797</v>
      </c>
    </row>
    <row r="4807" spans="1:16" ht="18.75" hidden="1">
      <c r="A4807" s="50" t="s">
        <v>13250</v>
      </c>
      <c r="B4807" s="50" t="s">
        <v>12928</v>
      </c>
      <c r="C4807" s="50" t="s">
        <v>13209</v>
      </c>
      <c r="D4807" s="12" t="s">
        <v>9985</v>
      </c>
      <c r="E4807" s="12">
        <v>96</v>
      </c>
      <c r="F4807" s="49">
        <v>199290</v>
      </c>
      <c r="G4807" s="77" t="s">
        <v>6298</v>
      </c>
      <c r="H4807" s="14" t="s">
        <v>5601</v>
      </c>
      <c r="I4807" s="14" t="s">
        <v>2458</v>
      </c>
      <c r="J4807" s="33" t="s">
        <v>7110</v>
      </c>
      <c r="K4807" s="33" t="s">
        <v>13184</v>
      </c>
      <c r="L4807" s="53" t="s">
        <v>6054</v>
      </c>
      <c r="M4807" s="68" t="s">
        <v>8912</v>
      </c>
      <c r="N4807" s="53" t="s">
        <v>6285</v>
      </c>
      <c r="O4807" s="53">
        <v>55200</v>
      </c>
      <c r="P4807" s="198" t="s">
        <v>9783</v>
      </c>
    </row>
    <row r="4808" spans="1:16" ht="18.75" hidden="1">
      <c r="A4808" s="50" t="s">
        <v>13253</v>
      </c>
      <c r="B4808" s="50" t="s">
        <v>13197</v>
      </c>
      <c r="C4808" s="50" t="s">
        <v>13207</v>
      </c>
      <c r="D4808" s="12" t="s">
        <v>10033</v>
      </c>
      <c r="E4808" s="12">
        <v>96</v>
      </c>
      <c r="F4808" s="49">
        <v>350870</v>
      </c>
      <c r="G4808" s="77" t="s">
        <v>6454</v>
      </c>
      <c r="H4808" s="14" t="s">
        <v>5601</v>
      </c>
      <c r="I4808" s="14" t="s">
        <v>2458</v>
      </c>
      <c r="J4808" s="33" t="s">
        <v>7110</v>
      </c>
      <c r="K4808" s="33" t="s">
        <v>13184</v>
      </c>
      <c r="L4808" s="53" t="s">
        <v>6054</v>
      </c>
      <c r="M4808" s="68" t="s">
        <v>8912</v>
      </c>
      <c r="N4808" s="53" t="s">
        <v>6076</v>
      </c>
      <c r="O4808" s="53">
        <v>55301</v>
      </c>
      <c r="P4808" s="198" t="s">
        <v>9789</v>
      </c>
    </row>
    <row r="4809" spans="1:16" ht="18.75" hidden="1">
      <c r="A4809" s="50" t="s">
        <v>13256</v>
      </c>
      <c r="B4809" s="50" t="s">
        <v>13200</v>
      </c>
      <c r="C4809" s="50" t="s">
        <v>13210</v>
      </c>
      <c r="D4809" s="12" t="s">
        <v>10028</v>
      </c>
      <c r="E4809" s="12">
        <v>96</v>
      </c>
      <c r="F4809" s="49">
        <v>280000</v>
      </c>
      <c r="G4809" s="77" t="s">
        <v>6454</v>
      </c>
      <c r="H4809" s="14" t="s">
        <v>5601</v>
      </c>
      <c r="I4809" s="14" t="s">
        <v>2458</v>
      </c>
      <c r="J4809" s="33" t="s">
        <v>7110</v>
      </c>
      <c r="K4809" s="33" t="s">
        <v>13184</v>
      </c>
      <c r="L4809" s="53" t="s">
        <v>6054</v>
      </c>
      <c r="M4809" s="68" t="s">
        <v>8912</v>
      </c>
      <c r="N4809" s="53" t="s">
        <v>6285</v>
      </c>
      <c r="O4809" s="53">
        <v>55200</v>
      </c>
      <c r="P4809" s="198" t="s">
        <v>9789</v>
      </c>
    </row>
    <row r="4810" spans="1:16" ht="18.75" hidden="1">
      <c r="A4810" s="50" t="s">
        <v>13264</v>
      </c>
      <c r="B4810" s="50" t="s">
        <v>12928</v>
      </c>
      <c r="C4810" s="50" t="s">
        <v>13209</v>
      </c>
      <c r="D4810" s="12" t="s">
        <v>9985</v>
      </c>
      <c r="E4810" s="12">
        <v>96</v>
      </c>
      <c r="F4810" s="49">
        <v>164250</v>
      </c>
      <c r="G4810" s="77" t="s">
        <v>6298</v>
      </c>
      <c r="H4810" s="14" t="s">
        <v>5601</v>
      </c>
      <c r="I4810" s="14" t="s">
        <v>2458</v>
      </c>
      <c r="J4810" s="33" t="s">
        <v>7110</v>
      </c>
      <c r="K4810" s="33" t="s">
        <v>13184</v>
      </c>
      <c r="L4810" s="53" t="s">
        <v>6054</v>
      </c>
      <c r="M4810" s="68" t="s">
        <v>8912</v>
      </c>
      <c r="N4810" s="53" t="s">
        <v>6076</v>
      </c>
      <c r="O4810" s="53">
        <v>55301</v>
      </c>
      <c r="P4810" s="198" t="s">
        <v>9783</v>
      </c>
    </row>
    <row r="4811" spans="1:16" ht="18.75" hidden="1">
      <c r="A4811" s="50" t="s">
        <v>13258</v>
      </c>
      <c r="B4811" s="50" t="s">
        <v>13189</v>
      </c>
      <c r="C4811" s="50" t="s">
        <v>13211</v>
      </c>
      <c r="D4811" s="12" t="s">
        <v>12530</v>
      </c>
      <c r="E4811" s="12">
        <v>96</v>
      </c>
      <c r="F4811" s="49">
        <v>11960</v>
      </c>
      <c r="G4811" s="77" t="s">
        <v>6299</v>
      </c>
      <c r="H4811" s="14" t="s">
        <v>5601</v>
      </c>
      <c r="I4811" s="14" t="s">
        <v>2458</v>
      </c>
      <c r="J4811" s="33" t="s">
        <v>7110</v>
      </c>
      <c r="K4811" s="33" t="s">
        <v>13184</v>
      </c>
      <c r="L4811" s="53" t="s">
        <v>6054</v>
      </c>
      <c r="M4811" s="68" t="s">
        <v>8913</v>
      </c>
      <c r="N4811" s="53" t="s">
        <v>6076</v>
      </c>
      <c r="O4811" s="53">
        <v>55301</v>
      </c>
      <c r="P4811" s="198" t="s">
        <v>12676</v>
      </c>
    </row>
    <row r="4812" spans="1:16" ht="18.75" hidden="1">
      <c r="A4812" s="50" t="str">
        <f>"50100-9991242"</f>
        <v>50100-9991242</v>
      </c>
      <c r="B4812" s="50" t="str">
        <f>"96/12/19"</f>
        <v>96/12/19</v>
      </c>
      <c r="C4812" s="50" t="s">
        <v>13212</v>
      </c>
      <c r="D4812" s="12" t="str">
        <f>"96/09/21"</f>
        <v>96/09/21</v>
      </c>
      <c r="E4812" s="12">
        <v>96</v>
      </c>
      <c r="F4812" s="49">
        <v>222184</v>
      </c>
      <c r="G4812" s="77" t="str">
        <f>"DAXON PETROLEUM"</f>
        <v>DAXON PETROLEUM</v>
      </c>
      <c r="H4812" s="14" t="s">
        <v>5601</v>
      </c>
      <c r="I4812" s="14" t="s">
        <v>2458</v>
      </c>
      <c r="J4812" s="33" t="s">
        <v>7110</v>
      </c>
      <c r="K4812" s="33" t="s">
        <v>13184</v>
      </c>
      <c r="L4812" s="53" t="str">
        <f>"گينه"</f>
        <v>گينه</v>
      </c>
      <c r="M4812" s="68" t="str">
        <f>"بشكه"</f>
        <v>بشكه</v>
      </c>
      <c r="N4812" s="53" t="str">
        <f t="shared" ref="N4812:N4819" si="117">"منطقه ويژه اقتصادي شهيد رجايي"</f>
        <v>منطقه ويژه اقتصادي شهيد رجايي</v>
      </c>
      <c r="O4812" s="53">
        <v>50100</v>
      </c>
      <c r="P4812" s="198" t="s">
        <v>9797</v>
      </c>
    </row>
    <row r="4813" spans="1:16" ht="18.75" hidden="1">
      <c r="A4813" s="50" t="str">
        <f>"50100-10037013"</f>
        <v>50100-10037013</v>
      </c>
      <c r="B4813" s="50" t="str">
        <f>"96/12/27"</f>
        <v>96/12/27</v>
      </c>
      <c r="C4813" s="50" t="s">
        <v>13213</v>
      </c>
      <c r="D4813" s="12" t="str">
        <f>"96/12/22"</f>
        <v>96/12/22</v>
      </c>
      <c r="E4813" s="12">
        <v>96</v>
      </c>
      <c r="F4813" s="49">
        <v>495495</v>
      </c>
      <c r="G4813" s="77" t="str">
        <f>"AL MASAR PETROLUME L.L.C"</f>
        <v>AL MASAR PETROLUME L.L.C</v>
      </c>
      <c r="H4813" s="14" t="s">
        <v>5601</v>
      </c>
      <c r="I4813" s="14" t="s">
        <v>2458</v>
      </c>
      <c r="J4813" s="33" t="e">
        <f>VLOOKUP(C4813,شرکتها!A:B,2,FALSE)</f>
        <v>#N/A</v>
      </c>
      <c r="K4813" s="33" t="s">
        <v>13184</v>
      </c>
      <c r="L4813" s="53" t="str">
        <f>"کنيا"</f>
        <v>کنيا</v>
      </c>
      <c r="M4813" s="68" t="str">
        <f>"بشكه"</f>
        <v>بشكه</v>
      </c>
      <c r="N4813" s="53" t="str">
        <f t="shared" si="117"/>
        <v>منطقه ويژه اقتصادي شهيد رجايي</v>
      </c>
      <c r="O4813" s="53">
        <v>50100</v>
      </c>
      <c r="P4813" s="198" t="s">
        <v>12667</v>
      </c>
    </row>
    <row r="4814" spans="1:16" ht="18.75" hidden="1">
      <c r="A4814" s="50" t="str">
        <f>"50100-10036787"</f>
        <v>50100-10036787</v>
      </c>
      <c r="B4814" s="50" t="str">
        <f>"96/12/27"</f>
        <v>96/12/27</v>
      </c>
      <c r="C4814" s="50" t="s">
        <v>13214</v>
      </c>
      <c r="D4814" s="12" t="str">
        <f>"96/12/19"</f>
        <v>96/12/19</v>
      </c>
      <c r="E4814" s="12">
        <v>96</v>
      </c>
      <c r="F4814" s="49">
        <v>554954</v>
      </c>
      <c r="G4814" s="77" t="str">
        <f>"AL MASAR PETROLUME L.L.C"</f>
        <v>AL MASAR PETROLUME L.L.C</v>
      </c>
      <c r="H4814" s="14" t="s">
        <v>5601</v>
      </c>
      <c r="I4814" s="14" t="s">
        <v>2458</v>
      </c>
      <c r="J4814" s="33" t="e">
        <f>VLOOKUP(C4814,شرکتها!A:B,2,FALSE)</f>
        <v>#N/A</v>
      </c>
      <c r="K4814" s="33" t="s">
        <v>13184</v>
      </c>
      <c r="L4814" s="53" t="str">
        <f>"بنگلادش"</f>
        <v>بنگلادش</v>
      </c>
      <c r="M4814" s="68" t="str">
        <f>"بشكه"</f>
        <v>بشكه</v>
      </c>
      <c r="N4814" s="53" t="str">
        <f t="shared" si="117"/>
        <v>منطقه ويژه اقتصادي شهيد رجايي</v>
      </c>
      <c r="O4814" s="53">
        <v>50100</v>
      </c>
      <c r="P4814" s="198" t="s">
        <v>12667</v>
      </c>
    </row>
    <row r="4815" spans="1:16" ht="18.75" hidden="1">
      <c r="A4815" s="50" t="str">
        <f>"50100-10037517"</f>
        <v>50100-10037517</v>
      </c>
      <c r="B4815" s="50" t="str">
        <f>"96/12/27"</f>
        <v>96/12/27</v>
      </c>
      <c r="C4815" s="50" t="s">
        <v>13215</v>
      </c>
      <c r="D4815" s="12" t="str">
        <f>"96/12/22"</f>
        <v>96/12/22</v>
      </c>
      <c r="E4815" s="12">
        <v>96</v>
      </c>
      <c r="F4815" s="49">
        <v>6470</v>
      </c>
      <c r="G4815" s="77" t="str">
        <f>"BITUBIZ FZE"</f>
        <v>BITUBIZ FZE</v>
      </c>
      <c r="H4815" s="14" t="s">
        <v>5601</v>
      </c>
      <c r="I4815" s="14" t="s">
        <v>2458</v>
      </c>
      <c r="J4815" s="33" t="s">
        <v>7110</v>
      </c>
      <c r="K4815" s="33" t="s">
        <v>13184</v>
      </c>
      <c r="L4815" s="53" t="str">
        <f>"اتيوپي"</f>
        <v>اتيوپي</v>
      </c>
      <c r="M4815" s="68" t="str">
        <f>"بشكه"</f>
        <v>بشكه</v>
      </c>
      <c r="N4815" s="53" t="str">
        <f t="shared" si="117"/>
        <v>منطقه ويژه اقتصادي شهيد رجايي</v>
      </c>
      <c r="O4815" s="53">
        <v>50100</v>
      </c>
      <c r="P4815" s="198" t="s">
        <v>12675</v>
      </c>
    </row>
    <row r="4816" spans="1:16" ht="18.75" hidden="1">
      <c r="A4816" s="50" t="str">
        <f>"50100-9990647"</f>
        <v>50100-9990647</v>
      </c>
      <c r="B4816" s="50" t="str">
        <f>"96/12/19"</f>
        <v>96/12/19</v>
      </c>
      <c r="C4816" s="50" t="s">
        <v>13216</v>
      </c>
      <c r="D4816" s="12" t="str">
        <f>"96/12/19"</f>
        <v>96/12/19</v>
      </c>
      <c r="E4816" s="12">
        <v>96</v>
      </c>
      <c r="F4816" s="49">
        <v>1021044</v>
      </c>
      <c r="G4816" s="77" t="str">
        <f>"AL MASAR PETROLUME L.L.C"</f>
        <v>AL MASAR PETROLUME L.L.C</v>
      </c>
      <c r="H4816" s="14" t="s">
        <v>5601</v>
      </c>
      <c r="I4816" s="14" t="s">
        <v>2458</v>
      </c>
      <c r="J4816" s="33" t="e">
        <f>VLOOKUP(C4816,شرکتها!A:B,2,FALSE)</f>
        <v>#N/A</v>
      </c>
      <c r="K4816" s="33" t="s">
        <v>13184</v>
      </c>
      <c r="L4816" s="53" t="str">
        <f>"عمان"</f>
        <v>عمان</v>
      </c>
      <c r="M4816" s="68" t="str">
        <f>"فله"</f>
        <v>فله</v>
      </c>
      <c r="N4816" s="53" t="str">
        <f t="shared" si="117"/>
        <v>منطقه ويژه اقتصادي شهيد رجايي</v>
      </c>
      <c r="O4816" s="53">
        <v>50100</v>
      </c>
      <c r="P4816" s="198" t="s">
        <v>12664</v>
      </c>
    </row>
    <row r="4817" spans="1:16" ht="18.75" hidden="1">
      <c r="A4817" s="50" t="str">
        <f>"50100-10037517"</f>
        <v>50100-10037517</v>
      </c>
      <c r="B4817" s="50" t="str">
        <f>"96/12/27"</f>
        <v>96/12/27</v>
      </c>
      <c r="C4817" s="50" t="s">
        <v>13217</v>
      </c>
      <c r="D4817" s="12" t="str">
        <f>"96/12/20"</f>
        <v>96/12/20</v>
      </c>
      <c r="E4817" s="12">
        <v>96</v>
      </c>
      <c r="F4817" s="49">
        <v>298780</v>
      </c>
      <c r="G4817" s="77" t="str">
        <f>"BITUBIZ FZE"</f>
        <v>BITUBIZ FZE</v>
      </c>
      <c r="H4817" s="14" t="s">
        <v>5601</v>
      </c>
      <c r="I4817" s="14" t="s">
        <v>2458</v>
      </c>
      <c r="J4817" s="33" t="s">
        <v>7110</v>
      </c>
      <c r="K4817" s="33" t="s">
        <v>13184</v>
      </c>
      <c r="L4817" s="53" t="str">
        <f>"اتيوپي"</f>
        <v>اتيوپي</v>
      </c>
      <c r="M4817" s="68" t="str">
        <f>"بشكه"</f>
        <v>بشكه</v>
      </c>
      <c r="N4817" s="53" t="str">
        <f t="shared" si="117"/>
        <v>منطقه ويژه اقتصادي شهيد رجايي</v>
      </c>
      <c r="O4817" s="53">
        <v>50100</v>
      </c>
      <c r="P4817" s="198" t="s">
        <v>12675</v>
      </c>
    </row>
    <row r="4818" spans="1:16" ht="18.75" hidden="1">
      <c r="A4818" s="50" t="str">
        <f>"50100-9993748"</f>
        <v>50100-9993748</v>
      </c>
      <c r="B4818" s="50" t="str">
        <f>"96/12/19"</f>
        <v>96/12/19</v>
      </c>
      <c r="C4818" s="50" t="s">
        <v>13218</v>
      </c>
      <c r="D4818" s="12" t="str">
        <f>"96/12/12"</f>
        <v>96/12/12</v>
      </c>
      <c r="E4818" s="12">
        <v>96</v>
      </c>
      <c r="F4818" s="49">
        <v>46372</v>
      </c>
      <c r="G4818" s="77" t="str">
        <f>"Black Gold Traders FZE"</f>
        <v>Black Gold Traders FZE</v>
      </c>
      <c r="H4818" s="14" t="s">
        <v>5601</v>
      </c>
      <c r="I4818" s="14" t="s">
        <v>2458</v>
      </c>
      <c r="J4818" s="33" t="s">
        <v>7110</v>
      </c>
      <c r="K4818" s="33" t="s">
        <v>13184</v>
      </c>
      <c r="L4818" s="53" t="str">
        <f>"هند"</f>
        <v>هند</v>
      </c>
      <c r="M4818" s="68" t="str">
        <f>"بشكه"</f>
        <v>بشكه</v>
      </c>
      <c r="N4818" s="53" t="str">
        <f t="shared" si="117"/>
        <v>منطقه ويژه اقتصادي شهيد رجايي</v>
      </c>
      <c r="O4818" s="53">
        <v>50100</v>
      </c>
      <c r="P4818" s="198" t="s">
        <v>12942</v>
      </c>
    </row>
    <row r="4819" spans="1:16" ht="18.75" hidden="1">
      <c r="A4819" s="50" t="str">
        <f>"50100-9993748"</f>
        <v>50100-9993748</v>
      </c>
      <c r="B4819" s="50" t="str">
        <f>"96/12/19"</f>
        <v>96/12/19</v>
      </c>
      <c r="C4819" s="50" t="s">
        <v>13219</v>
      </c>
      <c r="D4819" s="12" t="str">
        <f>"96/12/09"</f>
        <v>96/12/09</v>
      </c>
      <c r="E4819" s="12">
        <v>96</v>
      </c>
      <c r="F4819" s="49">
        <v>95000</v>
      </c>
      <c r="G4819" s="77" t="str">
        <f>"Black Gold Traders FZE"</f>
        <v>Black Gold Traders FZE</v>
      </c>
      <c r="H4819" s="14" t="s">
        <v>5601</v>
      </c>
      <c r="I4819" s="14" t="s">
        <v>2458</v>
      </c>
      <c r="J4819" s="33" t="s">
        <v>7110</v>
      </c>
      <c r="K4819" s="33" t="s">
        <v>13184</v>
      </c>
      <c r="L4819" s="53" t="str">
        <f>"هند"</f>
        <v>هند</v>
      </c>
      <c r="M4819" s="68" t="str">
        <f>"بشكه"</f>
        <v>بشكه</v>
      </c>
      <c r="N4819" s="53" t="str">
        <f t="shared" si="117"/>
        <v>منطقه ويژه اقتصادي شهيد رجايي</v>
      </c>
      <c r="O4819" s="53">
        <v>50100</v>
      </c>
      <c r="P4819" s="198" t="s">
        <v>12685</v>
      </c>
    </row>
    <row r="4820" spans="1:16" ht="18.75" hidden="1">
      <c r="A4820" s="50" t="str">
        <f>"50100-10003222"</f>
        <v>50100-10003222</v>
      </c>
      <c r="B4820" s="50" t="str">
        <f>"96/12/21"</f>
        <v>96/12/21</v>
      </c>
      <c r="C4820" s="50" t="s">
        <v>13220</v>
      </c>
      <c r="D4820" s="12" t="str">
        <f>"96/12/22"</f>
        <v>96/12/22</v>
      </c>
      <c r="E4820" s="12">
        <v>96</v>
      </c>
      <c r="F4820" s="49">
        <v>2799230</v>
      </c>
      <c r="G4820" s="77" t="str">
        <f>"AL MASAR PETROLUME L.L.C"</f>
        <v>AL MASAR PETROLUME L.L.C</v>
      </c>
      <c r="H4820" s="14" t="s">
        <v>5601</v>
      </c>
      <c r="I4820" s="14" t="s">
        <v>2458</v>
      </c>
      <c r="J4820" s="33" t="e">
        <f>VLOOKUP(C4820,شرکتها!A:B,2,FALSE)</f>
        <v>#N/A</v>
      </c>
      <c r="K4820" s="33" t="s">
        <v>13184</v>
      </c>
      <c r="L4820" s="53" t="str">
        <f>"عمان"</f>
        <v>عمان</v>
      </c>
      <c r="M4820" s="68" t="str">
        <f>"فله"</f>
        <v>فله</v>
      </c>
      <c r="N4820" s="53" t="str">
        <f>"منطقه ويژه اقتصادي شهيد رجايي"</f>
        <v>منطقه ويژه اقتصادي شهيد رجايي</v>
      </c>
      <c r="O4820" s="53">
        <v>50100</v>
      </c>
      <c r="P4820" s="198" t="s">
        <v>12664</v>
      </c>
    </row>
    <row r="4821" spans="1:16" ht="18.75" hidden="1">
      <c r="A4821" s="50" t="str">
        <f>"50100-9991242"</f>
        <v>50100-9991242</v>
      </c>
      <c r="B4821" s="50" t="str">
        <f>"96/12/19"</f>
        <v>96/12/19</v>
      </c>
      <c r="C4821" s="50" t="s">
        <v>13221</v>
      </c>
      <c r="D4821" s="12" t="str">
        <f>"96/09/19"</f>
        <v>96/09/19</v>
      </c>
      <c r="E4821" s="12">
        <v>96</v>
      </c>
      <c r="F4821" s="49">
        <v>670000</v>
      </c>
      <c r="G4821" s="77" t="str">
        <f>"DAXON PETROLEUM"</f>
        <v>DAXON PETROLEUM</v>
      </c>
      <c r="H4821" s="14" t="s">
        <v>5601</v>
      </c>
      <c r="I4821" s="14" t="s">
        <v>2458</v>
      </c>
      <c r="J4821" s="33" t="s">
        <v>7110</v>
      </c>
      <c r="K4821" s="33" t="s">
        <v>13184</v>
      </c>
      <c r="L4821" s="53" t="str">
        <f>"گينه"</f>
        <v>گينه</v>
      </c>
      <c r="M4821" s="68" t="str">
        <f>"بشكه"</f>
        <v>بشكه</v>
      </c>
      <c r="N4821" s="53" t="str">
        <f>"منطقه ويژه اقتصادي شهيد رجايي"</f>
        <v>منطقه ويژه اقتصادي شهيد رجايي</v>
      </c>
      <c r="O4821" s="53">
        <v>50100</v>
      </c>
      <c r="P4821" s="198" t="s">
        <v>9784</v>
      </c>
    </row>
    <row r="4822" spans="1:16" ht="18.75" hidden="1">
      <c r="A4822" s="50" t="str">
        <f>"50100-9993748"</f>
        <v>50100-9993748</v>
      </c>
      <c r="B4822" s="50" t="str">
        <f>"96/12/19"</f>
        <v>96/12/19</v>
      </c>
      <c r="C4822" s="50" t="s">
        <v>13222</v>
      </c>
      <c r="D4822" s="12" t="str">
        <f>"96/12/13"</f>
        <v>96/12/13</v>
      </c>
      <c r="E4822" s="12">
        <v>96</v>
      </c>
      <c r="F4822" s="49">
        <v>80000</v>
      </c>
      <c r="G4822" s="77" t="str">
        <f>"Black Gold Traders FZE"</f>
        <v>Black Gold Traders FZE</v>
      </c>
      <c r="H4822" s="14" t="s">
        <v>5601</v>
      </c>
      <c r="I4822" s="14" t="s">
        <v>2458</v>
      </c>
      <c r="J4822" s="33" t="s">
        <v>7110</v>
      </c>
      <c r="K4822" s="33" t="s">
        <v>13184</v>
      </c>
      <c r="L4822" s="53" t="str">
        <f>"هند"</f>
        <v>هند</v>
      </c>
      <c r="M4822" s="68" t="str">
        <f>"بشكه"</f>
        <v>بشكه</v>
      </c>
      <c r="N4822" s="53" t="str">
        <f t="shared" ref="N4822:N4823" si="118">"منطقه ويژه اقتصادي شهيد رجايي"</f>
        <v>منطقه ويژه اقتصادي شهيد رجايي</v>
      </c>
      <c r="O4822" s="53">
        <v>50100</v>
      </c>
      <c r="P4822" s="198" t="s">
        <v>12685</v>
      </c>
    </row>
    <row r="4823" spans="1:16" ht="18.75" hidden="1">
      <c r="A4823" s="50" t="str">
        <f>"50100-9993748"</f>
        <v>50100-9993748</v>
      </c>
      <c r="B4823" s="50" t="str">
        <f>"96/12/19"</f>
        <v>96/12/19</v>
      </c>
      <c r="C4823" s="50" t="s">
        <v>13223</v>
      </c>
      <c r="D4823" s="12" t="str">
        <f>"96/12/12"</f>
        <v>96/12/12</v>
      </c>
      <c r="E4823" s="12">
        <v>96</v>
      </c>
      <c r="F4823" s="49">
        <v>51418</v>
      </c>
      <c r="G4823" s="77" t="str">
        <f>"Black Gold Traders FZE"</f>
        <v>Black Gold Traders FZE</v>
      </c>
      <c r="H4823" s="14" t="s">
        <v>5601</v>
      </c>
      <c r="I4823" s="14" t="s">
        <v>2458</v>
      </c>
      <c r="J4823" s="33" t="s">
        <v>7110</v>
      </c>
      <c r="K4823" s="33" t="s">
        <v>13184</v>
      </c>
      <c r="L4823" s="53" t="str">
        <f>"هند"</f>
        <v>هند</v>
      </c>
      <c r="M4823" s="68" t="str">
        <f>"بشكه"</f>
        <v>بشكه</v>
      </c>
      <c r="N4823" s="53" t="str">
        <f t="shared" si="118"/>
        <v>منطقه ويژه اقتصادي شهيد رجايي</v>
      </c>
      <c r="O4823" s="53">
        <v>50100</v>
      </c>
      <c r="P4823" s="198" t="s">
        <v>12685</v>
      </c>
    </row>
    <row r="4824" spans="1:16" ht="18.75" hidden="1">
      <c r="A4824" s="50" t="str">
        <f>"50100-10032783"</f>
        <v>50100-10032783</v>
      </c>
      <c r="B4824" s="50" t="str">
        <f>"96/12/26"</f>
        <v>96/12/26</v>
      </c>
      <c r="C4824" s="50" t="s">
        <v>13224</v>
      </c>
      <c r="D4824" s="12" t="str">
        <f>"96/12/28"</f>
        <v>96/12/28</v>
      </c>
      <c r="E4824" s="12">
        <v>96</v>
      </c>
      <c r="F4824" s="49">
        <v>951826</v>
      </c>
      <c r="G4824" s="77" t="str">
        <f>"AL MASAR PETROLUME L.L.C"</f>
        <v>AL MASAR PETROLUME L.L.C</v>
      </c>
      <c r="H4824" s="14" t="s">
        <v>5601</v>
      </c>
      <c r="I4824" s="14" t="s">
        <v>2458</v>
      </c>
      <c r="J4824" s="33" t="e">
        <f>VLOOKUP(C4824,شرکتها!A:B,2,FALSE)</f>
        <v>#N/A</v>
      </c>
      <c r="K4824" s="33" t="s">
        <v>13184</v>
      </c>
      <c r="L4824" s="53" t="str">
        <f>"عمان"</f>
        <v>عمان</v>
      </c>
      <c r="M4824" s="68" t="str">
        <f>"فله"</f>
        <v>فله</v>
      </c>
      <c r="N4824" s="53" t="str">
        <f>"منطقه ويژه اقتصادي شهيد رجايي"</f>
        <v>منطقه ويژه اقتصادي شهيد رجايي</v>
      </c>
      <c r="O4824" s="53">
        <v>50100</v>
      </c>
      <c r="P4824" s="198" t="s">
        <v>12930</v>
      </c>
    </row>
    <row r="4825" spans="1:16" ht="18.75" hidden="1">
      <c r="A4825" s="50" t="str">
        <f>"50100-9991242"</f>
        <v>50100-9991242</v>
      </c>
      <c r="B4825" s="50" t="str">
        <f>"96/12/19"</f>
        <v>96/12/19</v>
      </c>
      <c r="C4825" s="50" t="s">
        <v>12883</v>
      </c>
      <c r="D4825" s="12" t="str">
        <f>"96/09/20"</f>
        <v>96/09/20</v>
      </c>
      <c r="E4825" s="12">
        <v>96</v>
      </c>
      <c r="F4825" s="49">
        <v>107816</v>
      </c>
      <c r="G4825" s="77" t="str">
        <f>"DAXON PETROLEUM"</f>
        <v>DAXON PETROLEUM</v>
      </c>
      <c r="H4825" s="14" t="s">
        <v>5601</v>
      </c>
      <c r="I4825" s="14" t="s">
        <v>2458</v>
      </c>
      <c r="J4825" s="33" t="s">
        <v>7110</v>
      </c>
      <c r="K4825" s="33" t="s">
        <v>13184</v>
      </c>
      <c r="L4825" s="53" t="str">
        <f>"گينه"</f>
        <v>گينه</v>
      </c>
      <c r="M4825" s="68" t="str">
        <f t="shared" ref="M4825:M4841" si="119">"بشكه"</f>
        <v>بشكه</v>
      </c>
      <c r="N4825" s="53" t="str">
        <f>"منطقه ويژه اقتصادي شهيد رجايي"</f>
        <v>منطقه ويژه اقتصادي شهيد رجايي</v>
      </c>
      <c r="O4825" s="53">
        <v>50100</v>
      </c>
      <c r="P4825" s="198" t="s">
        <v>9789</v>
      </c>
    </row>
    <row r="4826" spans="1:16" ht="18.75" hidden="1">
      <c r="A4826" s="50" t="str">
        <f>"50100-10017681"</f>
        <v>50100-10017681</v>
      </c>
      <c r="B4826" s="50" t="str">
        <f>"96/12/23"</f>
        <v>96/12/23</v>
      </c>
      <c r="C4826" s="50" t="s">
        <v>13225</v>
      </c>
      <c r="D4826" s="12" t="str">
        <f>"96/09/26"</f>
        <v>96/09/26</v>
      </c>
      <c r="E4826" s="12">
        <v>96</v>
      </c>
      <c r="F4826" s="49">
        <v>492066</v>
      </c>
      <c r="G4826" s="77" t="str">
        <f>"Black Gold Traders FZE"</f>
        <v>Black Gold Traders FZE</v>
      </c>
      <c r="H4826" s="14" t="s">
        <v>5601</v>
      </c>
      <c r="I4826" s="14" t="s">
        <v>2458</v>
      </c>
      <c r="J4826" s="33" t="s">
        <v>7110</v>
      </c>
      <c r="K4826" s="33" t="s">
        <v>13184</v>
      </c>
      <c r="L4826" s="53" t="str">
        <f>"هند"</f>
        <v>هند</v>
      </c>
      <c r="M4826" s="68" t="str">
        <f t="shared" si="119"/>
        <v>بشكه</v>
      </c>
      <c r="N4826" s="53" t="str">
        <f>"منطقه ويژه اقتصادي شهيد رجايي"</f>
        <v>منطقه ويژه اقتصادي شهيد رجايي</v>
      </c>
      <c r="O4826" s="53">
        <v>50100</v>
      </c>
      <c r="P4826" s="198" t="s">
        <v>12217</v>
      </c>
    </row>
    <row r="4827" spans="1:16" ht="18.75" hidden="1">
      <c r="A4827" s="50" t="str">
        <f>"50100-9993748"</f>
        <v>50100-9993748</v>
      </c>
      <c r="B4827" s="50" t="str">
        <f>"96/12/19"</f>
        <v>96/12/19</v>
      </c>
      <c r="C4827" s="50" t="s">
        <v>13226</v>
      </c>
      <c r="D4827" s="12" t="str">
        <f>"96/08/27"</f>
        <v>96/08/27</v>
      </c>
      <c r="E4827" s="12">
        <v>96</v>
      </c>
      <c r="F4827" s="49">
        <v>140000</v>
      </c>
      <c r="G4827" s="77" t="str">
        <f>"Black Gold Traders FZE"</f>
        <v>Black Gold Traders FZE</v>
      </c>
      <c r="H4827" s="14" t="s">
        <v>5601</v>
      </c>
      <c r="I4827" s="14" t="s">
        <v>2458</v>
      </c>
      <c r="J4827" s="33" t="s">
        <v>7110</v>
      </c>
      <c r="K4827" s="33" t="s">
        <v>13184</v>
      </c>
      <c r="L4827" s="53" t="str">
        <f>"هند"</f>
        <v>هند</v>
      </c>
      <c r="M4827" s="68" t="str">
        <f t="shared" si="119"/>
        <v>بشكه</v>
      </c>
      <c r="N4827" s="53" t="str">
        <f t="shared" ref="N4827:N4853" si="120">"منطقه ويژه اقتصادي شهيد رجايي"</f>
        <v>منطقه ويژه اقتصادي شهيد رجايي</v>
      </c>
      <c r="O4827" s="53">
        <v>50100</v>
      </c>
      <c r="P4827" s="198" t="s">
        <v>9785</v>
      </c>
    </row>
    <row r="4828" spans="1:16" ht="18.75" hidden="1">
      <c r="A4828" s="50" t="str">
        <f>"50100-10036908"</f>
        <v>50100-10036908</v>
      </c>
      <c r="B4828" s="50" t="str">
        <f>"96/12/27"</f>
        <v>96/12/27</v>
      </c>
      <c r="C4828" s="50" t="s">
        <v>13214</v>
      </c>
      <c r="D4828" s="12" t="str">
        <f>"96/12/19"</f>
        <v>96/12/19</v>
      </c>
      <c r="E4828" s="12">
        <v>96</v>
      </c>
      <c r="F4828" s="49">
        <v>436035</v>
      </c>
      <c r="G4828" s="77" t="str">
        <f>"AL MASAR PETROLUME L.L.C"</f>
        <v>AL MASAR PETROLUME L.L.C</v>
      </c>
      <c r="H4828" s="14" t="s">
        <v>5601</v>
      </c>
      <c r="I4828" s="14" t="s">
        <v>2458</v>
      </c>
      <c r="J4828" s="33" t="e">
        <f>VLOOKUP(C4828,شرکتها!A:B,2,FALSE)</f>
        <v>#N/A</v>
      </c>
      <c r="K4828" s="33" t="s">
        <v>13184</v>
      </c>
      <c r="L4828" s="53" t="str">
        <f>"بنگلادش"</f>
        <v>بنگلادش</v>
      </c>
      <c r="M4828" s="68" t="str">
        <f t="shared" si="119"/>
        <v>بشكه</v>
      </c>
      <c r="N4828" s="53" t="str">
        <f t="shared" si="120"/>
        <v>منطقه ويژه اقتصادي شهيد رجايي</v>
      </c>
      <c r="O4828" s="53">
        <v>50100</v>
      </c>
      <c r="P4828" s="198" t="s">
        <v>12667</v>
      </c>
    </row>
    <row r="4829" spans="1:16" ht="18.75" hidden="1">
      <c r="A4829" s="50" t="str">
        <f>"50100-9989252"</f>
        <v>50100-9989252</v>
      </c>
      <c r="B4829" s="50" t="str">
        <f>"96/12/19"</f>
        <v>96/12/19</v>
      </c>
      <c r="C4829" s="50" t="s">
        <v>12870</v>
      </c>
      <c r="D4829" s="12" t="str">
        <f>"96/08/17"</f>
        <v>96/08/17</v>
      </c>
      <c r="E4829" s="12">
        <v>96</v>
      </c>
      <c r="F4829" s="49">
        <v>502500</v>
      </c>
      <c r="G4829" s="77" t="str">
        <f>"SHINING GREEN STAR FZE"</f>
        <v>SHINING GREEN STAR FZE</v>
      </c>
      <c r="H4829" s="14" t="s">
        <v>5601</v>
      </c>
      <c r="I4829" s="14" t="s">
        <v>2458</v>
      </c>
      <c r="J4829" s="33" t="e">
        <f>VLOOKUP(C4829,شرکتها!A:B,2,FALSE)</f>
        <v>#N/A</v>
      </c>
      <c r="K4829" s="33" t="s">
        <v>13184</v>
      </c>
      <c r="L4829" s="53" t="str">
        <f>"کنيا"</f>
        <v>کنيا</v>
      </c>
      <c r="M4829" s="68" t="str">
        <f t="shared" si="119"/>
        <v>بشكه</v>
      </c>
      <c r="N4829" s="53" t="str">
        <f t="shared" si="120"/>
        <v>منطقه ويژه اقتصادي شهيد رجايي</v>
      </c>
      <c r="O4829" s="53">
        <v>50100</v>
      </c>
      <c r="P4829" s="198" t="s">
        <v>9770</v>
      </c>
    </row>
    <row r="4830" spans="1:16" ht="18.75" hidden="1">
      <c r="A4830" s="50" t="str">
        <f>"50100-10018094"</f>
        <v>50100-10018094</v>
      </c>
      <c r="B4830" s="50" t="str">
        <f>"96/12/23"</f>
        <v>96/12/23</v>
      </c>
      <c r="C4830" s="50" t="s">
        <v>12915</v>
      </c>
      <c r="D4830" s="12" t="str">
        <f>"96/12/02"</f>
        <v>96/12/02</v>
      </c>
      <c r="E4830" s="12">
        <v>96</v>
      </c>
      <c r="F4830" s="49">
        <v>22019</v>
      </c>
      <c r="G4830" s="77" t="str">
        <f>"AL MASAR PETROLUME L.L.C"</f>
        <v>AL MASAR PETROLUME L.L.C</v>
      </c>
      <c r="H4830" s="14" t="s">
        <v>5601</v>
      </c>
      <c r="I4830" s="14" t="s">
        <v>2458</v>
      </c>
      <c r="J4830" s="33" t="e">
        <f>VLOOKUP(C4830,شرکتها!A:B,2,FALSE)</f>
        <v>#N/A</v>
      </c>
      <c r="K4830" s="33" t="s">
        <v>13184</v>
      </c>
      <c r="L4830" s="53" t="str">
        <f>"کنيا"</f>
        <v>کنيا</v>
      </c>
      <c r="M4830" s="68" t="str">
        <f t="shared" si="119"/>
        <v>بشكه</v>
      </c>
      <c r="N4830" s="53" t="str">
        <f t="shared" si="120"/>
        <v>منطقه ويژه اقتصادي شهيد رجايي</v>
      </c>
      <c r="O4830" s="53">
        <v>50100</v>
      </c>
      <c r="P4830" s="198" t="s">
        <v>12667</v>
      </c>
    </row>
    <row r="4831" spans="1:16" ht="18.75" hidden="1">
      <c r="A4831" s="50" t="str">
        <f>"50100-9996272"</f>
        <v>50100-9996272</v>
      </c>
      <c r="B4831" s="50" t="str">
        <f>"96/12/20"</f>
        <v>96/12/20</v>
      </c>
      <c r="C4831" s="50" t="s">
        <v>13227</v>
      </c>
      <c r="D4831" s="12" t="str">
        <f>"96/08/22"</f>
        <v>96/08/22</v>
      </c>
      <c r="E4831" s="12">
        <v>96</v>
      </c>
      <c r="F4831" s="49">
        <v>100000</v>
      </c>
      <c r="G4831" s="77" t="str">
        <f>"LLC Sebco Bitumen"</f>
        <v>LLC Sebco Bitumen</v>
      </c>
      <c r="H4831" s="14" t="s">
        <v>5601</v>
      </c>
      <c r="I4831" s="14" t="s">
        <v>2458</v>
      </c>
      <c r="J4831" s="33" t="s">
        <v>7110</v>
      </c>
      <c r="K4831" s="33" t="s">
        <v>13184</v>
      </c>
      <c r="L4831" s="53" t="str">
        <f>"چين"</f>
        <v>چين</v>
      </c>
      <c r="M4831" s="68" t="str">
        <f t="shared" si="119"/>
        <v>بشكه</v>
      </c>
      <c r="N4831" s="53" t="str">
        <f t="shared" si="120"/>
        <v>منطقه ويژه اقتصادي شهيد رجايي</v>
      </c>
      <c r="O4831" s="53">
        <v>50100</v>
      </c>
      <c r="P4831" s="198" t="s">
        <v>9763</v>
      </c>
    </row>
    <row r="4832" spans="1:16" ht="18.75" hidden="1">
      <c r="A4832" s="50" t="str">
        <f>"50100-9996272"</f>
        <v>50100-9996272</v>
      </c>
      <c r="B4832" s="50" t="str">
        <f>"96/12/20"</f>
        <v>96/12/20</v>
      </c>
      <c r="C4832" s="50" t="s">
        <v>12885</v>
      </c>
      <c r="D4832" s="12" t="str">
        <f>"96/09/07"</f>
        <v>96/09/07</v>
      </c>
      <c r="E4832" s="12">
        <v>96</v>
      </c>
      <c r="F4832" s="49">
        <v>85622</v>
      </c>
      <c r="G4832" s="77" t="str">
        <f>"LLC Sebco Bitumen"</f>
        <v>LLC Sebco Bitumen</v>
      </c>
      <c r="H4832" s="14" t="s">
        <v>5601</v>
      </c>
      <c r="I4832" s="14" t="s">
        <v>2458</v>
      </c>
      <c r="J4832" s="33" t="s">
        <v>7110</v>
      </c>
      <c r="K4832" s="33" t="s">
        <v>13184</v>
      </c>
      <c r="L4832" s="53" t="str">
        <f>"چين"</f>
        <v>چين</v>
      </c>
      <c r="M4832" s="68" t="str">
        <f t="shared" si="119"/>
        <v>بشكه</v>
      </c>
      <c r="N4832" s="53" t="str">
        <f t="shared" si="120"/>
        <v>منطقه ويژه اقتصادي شهيد رجايي</v>
      </c>
      <c r="O4832" s="53">
        <v>50100</v>
      </c>
      <c r="P4832" s="198" t="s">
        <v>9783</v>
      </c>
    </row>
    <row r="4833" spans="1:16" ht="18.75" hidden="1">
      <c r="A4833" s="50" t="str">
        <f>"50100-10018094"</f>
        <v>50100-10018094</v>
      </c>
      <c r="B4833" s="50" t="str">
        <f>"96/12/23"</f>
        <v>96/12/23</v>
      </c>
      <c r="C4833" s="50" t="s">
        <v>13214</v>
      </c>
      <c r="D4833" s="12" t="str">
        <f>"96/12/19"</f>
        <v>96/12/19</v>
      </c>
      <c r="E4833" s="12">
        <v>96</v>
      </c>
      <c r="F4833" s="49">
        <v>422843</v>
      </c>
      <c r="G4833" s="77" t="str">
        <f>"AL MASAR PETROLUME L.L.C"</f>
        <v>AL MASAR PETROLUME L.L.C</v>
      </c>
      <c r="H4833" s="14" t="s">
        <v>5601</v>
      </c>
      <c r="I4833" s="14" t="s">
        <v>2458</v>
      </c>
      <c r="J4833" s="33" t="e">
        <f>VLOOKUP(C4833,شرکتها!A:B,2,FALSE)</f>
        <v>#N/A</v>
      </c>
      <c r="K4833" s="33" t="s">
        <v>13184</v>
      </c>
      <c r="L4833" s="53" t="str">
        <f>"کنيا"</f>
        <v>کنيا</v>
      </c>
      <c r="M4833" s="68" t="str">
        <f t="shared" si="119"/>
        <v>بشكه</v>
      </c>
      <c r="N4833" s="53" t="str">
        <f t="shared" si="120"/>
        <v>منطقه ويژه اقتصادي شهيد رجايي</v>
      </c>
      <c r="O4833" s="53">
        <v>50100</v>
      </c>
      <c r="P4833" s="198" t="s">
        <v>12667</v>
      </c>
    </row>
    <row r="4834" spans="1:16" ht="18.75" hidden="1">
      <c r="A4834" s="50" t="str">
        <f>"50100-9996272"</f>
        <v>50100-9996272</v>
      </c>
      <c r="B4834" s="50" t="str">
        <f>"96/12/20"</f>
        <v>96/12/20</v>
      </c>
      <c r="C4834" s="50" t="s">
        <v>13228</v>
      </c>
      <c r="D4834" s="12" t="str">
        <f>"96/08/21"</f>
        <v>96/08/21</v>
      </c>
      <c r="E4834" s="12">
        <v>96</v>
      </c>
      <c r="F4834" s="49">
        <v>180000</v>
      </c>
      <c r="G4834" s="77" t="str">
        <f>"LLC Sebco Bitumen"</f>
        <v>LLC Sebco Bitumen</v>
      </c>
      <c r="H4834" s="14" t="s">
        <v>5601</v>
      </c>
      <c r="I4834" s="14" t="s">
        <v>2458</v>
      </c>
      <c r="J4834" s="33" t="s">
        <v>7110</v>
      </c>
      <c r="K4834" s="33" t="s">
        <v>13184</v>
      </c>
      <c r="L4834" s="53" t="str">
        <f>"چين"</f>
        <v>چين</v>
      </c>
      <c r="M4834" s="68" t="str">
        <f t="shared" si="119"/>
        <v>بشكه</v>
      </c>
      <c r="N4834" s="53" t="str">
        <f t="shared" si="120"/>
        <v>منطقه ويژه اقتصادي شهيد رجايي</v>
      </c>
      <c r="O4834" s="53">
        <v>50100</v>
      </c>
      <c r="P4834" s="198" t="s">
        <v>9769</v>
      </c>
    </row>
    <row r="4835" spans="1:16" ht="18.75" hidden="1">
      <c r="A4835" s="50" t="str">
        <f>"50100-9996272"</f>
        <v>50100-9996272</v>
      </c>
      <c r="B4835" s="50" t="str">
        <f>"96/12/20"</f>
        <v>96/12/20</v>
      </c>
      <c r="C4835" s="50" t="s">
        <v>12900</v>
      </c>
      <c r="D4835" s="12" t="str">
        <f>"96/08/15"</f>
        <v>96/08/15</v>
      </c>
      <c r="E4835" s="12">
        <v>96</v>
      </c>
      <c r="F4835" s="49">
        <v>15958</v>
      </c>
      <c r="G4835" s="77" t="str">
        <f>"LLC Sebco Bitumen"</f>
        <v>LLC Sebco Bitumen</v>
      </c>
      <c r="H4835" s="14" t="s">
        <v>5601</v>
      </c>
      <c r="I4835" s="14" t="s">
        <v>2458</v>
      </c>
      <c r="J4835" s="33" t="s">
        <v>7110</v>
      </c>
      <c r="K4835" s="33" t="s">
        <v>13184</v>
      </c>
      <c r="L4835" s="53" t="str">
        <f>"چين"</f>
        <v>چين</v>
      </c>
      <c r="M4835" s="68" t="str">
        <f t="shared" si="119"/>
        <v>بشكه</v>
      </c>
      <c r="N4835" s="53" t="str">
        <f t="shared" si="120"/>
        <v>منطقه ويژه اقتصادي شهيد رجايي</v>
      </c>
      <c r="O4835" s="53">
        <v>50100</v>
      </c>
      <c r="P4835" s="198" t="s">
        <v>8698</v>
      </c>
    </row>
    <row r="4836" spans="1:16" ht="18.75" hidden="1">
      <c r="A4836" s="50" t="str">
        <f>"50100-9996272"</f>
        <v>50100-9996272</v>
      </c>
      <c r="B4836" s="50" t="str">
        <f>"96/12/20"</f>
        <v>96/12/20</v>
      </c>
      <c r="C4836" s="50" t="s">
        <v>12730</v>
      </c>
      <c r="D4836" s="12" t="str">
        <f>"96/08/20"</f>
        <v>96/08/20</v>
      </c>
      <c r="E4836" s="12">
        <v>96</v>
      </c>
      <c r="F4836" s="49">
        <v>44520</v>
      </c>
      <c r="G4836" s="77" t="str">
        <f>"LLC Sebco Bitumen"</f>
        <v>LLC Sebco Bitumen</v>
      </c>
      <c r="H4836" s="14" t="s">
        <v>5601</v>
      </c>
      <c r="I4836" s="14" t="s">
        <v>2458</v>
      </c>
      <c r="J4836" s="33" t="s">
        <v>7110</v>
      </c>
      <c r="K4836" s="33" t="s">
        <v>13184</v>
      </c>
      <c r="L4836" s="53" t="str">
        <f>"چين"</f>
        <v>چين</v>
      </c>
      <c r="M4836" s="68" t="str">
        <f t="shared" si="119"/>
        <v>بشكه</v>
      </c>
      <c r="N4836" s="53" t="str">
        <f t="shared" si="120"/>
        <v>منطقه ويژه اقتصادي شهيد رجايي</v>
      </c>
      <c r="O4836" s="53">
        <v>50100</v>
      </c>
      <c r="P4836" s="198" t="s">
        <v>8698</v>
      </c>
    </row>
    <row r="4837" spans="1:16" ht="18.75" hidden="1">
      <c r="A4837" s="50" t="str">
        <f>"50100-10018094"</f>
        <v>50100-10018094</v>
      </c>
      <c r="B4837" s="50" t="str">
        <f>"96/12/23"</f>
        <v>96/12/23</v>
      </c>
      <c r="C4837" s="50" t="s">
        <v>12876</v>
      </c>
      <c r="D4837" s="12" t="str">
        <f>"96/11/24"</f>
        <v>96/11/24</v>
      </c>
      <c r="E4837" s="12">
        <v>96</v>
      </c>
      <c r="F4837" s="49">
        <v>129912</v>
      </c>
      <c r="G4837" s="77" t="str">
        <f>"AL MASAR PETROLUME L.L.C"</f>
        <v>AL MASAR PETROLUME L.L.C</v>
      </c>
      <c r="H4837" s="14" t="s">
        <v>5601</v>
      </c>
      <c r="I4837" s="14" t="s">
        <v>2458</v>
      </c>
      <c r="J4837" s="33" t="e">
        <f>VLOOKUP(C4837,شرکتها!A:B,2,FALSE)</f>
        <v>#N/A</v>
      </c>
      <c r="K4837" s="33" t="s">
        <v>13184</v>
      </c>
      <c r="L4837" s="53" t="str">
        <f>"کنيا"</f>
        <v>کنيا</v>
      </c>
      <c r="M4837" s="68" t="str">
        <f t="shared" si="119"/>
        <v>بشكه</v>
      </c>
      <c r="N4837" s="53" t="str">
        <f t="shared" si="120"/>
        <v>منطقه ويژه اقتصادي شهيد رجايي</v>
      </c>
      <c r="O4837" s="53">
        <v>50100</v>
      </c>
      <c r="P4837" s="198" t="s">
        <v>12684</v>
      </c>
    </row>
    <row r="4838" spans="1:16" ht="18.75" hidden="1">
      <c r="A4838" s="50" t="str">
        <f>"50100-10037124"</f>
        <v>50100-10037124</v>
      </c>
      <c r="B4838" s="50" t="str">
        <f>"96/12/27"</f>
        <v>96/12/27</v>
      </c>
      <c r="C4838" s="50" t="s">
        <v>13213</v>
      </c>
      <c r="D4838" s="12" t="str">
        <f>"96/12/22"</f>
        <v>96/12/22</v>
      </c>
      <c r="E4838" s="12">
        <v>96</v>
      </c>
      <c r="F4838" s="49">
        <v>297297</v>
      </c>
      <c r="G4838" s="77" t="str">
        <f>"AL MASAR PETROLUME L.L.C"</f>
        <v>AL MASAR PETROLUME L.L.C</v>
      </c>
      <c r="H4838" s="14" t="s">
        <v>5601</v>
      </c>
      <c r="I4838" s="14" t="s">
        <v>2458</v>
      </c>
      <c r="J4838" s="33" t="e">
        <f>VLOOKUP(C4838,شرکتها!A:B,2,FALSE)</f>
        <v>#N/A</v>
      </c>
      <c r="K4838" s="33" t="s">
        <v>13184</v>
      </c>
      <c r="L4838" s="53" t="str">
        <f>"اوگاندا"</f>
        <v>اوگاندا</v>
      </c>
      <c r="M4838" s="68" t="str">
        <f t="shared" si="119"/>
        <v>بشكه</v>
      </c>
      <c r="N4838" s="53" t="str">
        <f t="shared" si="120"/>
        <v>منطقه ويژه اقتصادي شهيد رجايي</v>
      </c>
      <c r="O4838" s="53">
        <v>50100</v>
      </c>
      <c r="P4838" s="198" t="s">
        <v>12667</v>
      </c>
    </row>
    <row r="4839" spans="1:16" ht="18.75" hidden="1">
      <c r="A4839" s="50" t="str">
        <f>"50100-9986337"</f>
        <v>50100-9986337</v>
      </c>
      <c r="B4839" s="50" t="str">
        <f>"96/12/17"</f>
        <v>96/12/17</v>
      </c>
      <c r="C4839" s="50" t="s">
        <v>13218</v>
      </c>
      <c r="D4839" s="12" t="str">
        <f>"96/12/12"</f>
        <v>96/12/12</v>
      </c>
      <c r="E4839" s="12">
        <v>96</v>
      </c>
      <c r="F4839" s="49">
        <v>3571</v>
      </c>
      <c r="G4839" s="77" t="str">
        <f>"Black Gold Traders FZE"</f>
        <v>Black Gold Traders FZE</v>
      </c>
      <c r="H4839" s="14" t="s">
        <v>5601</v>
      </c>
      <c r="I4839" s="14" t="s">
        <v>2458</v>
      </c>
      <c r="J4839" s="33" t="s">
        <v>7110</v>
      </c>
      <c r="K4839" s="33" t="s">
        <v>13184</v>
      </c>
      <c r="L4839" s="53" t="str">
        <f>"هند"</f>
        <v>هند</v>
      </c>
      <c r="M4839" s="68" t="str">
        <f t="shared" si="119"/>
        <v>بشكه</v>
      </c>
      <c r="N4839" s="53" t="str">
        <f t="shared" si="120"/>
        <v>منطقه ويژه اقتصادي شهيد رجايي</v>
      </c>
      <c r="O4839" s="53">
        <v>50100</v>
      </c>
      <c r="P4839" s="198" t="s">
        <v>12942</v>
      </c>
    </row>
    <row r="4840" spans="1:16" ht="18.75" hidden="1">
      <c r="A4840" s="50" t="str">
        <f>"50100-10009181"</f>
        <v>50100-10009181</v>
      </c>
      <c r="B4840" s="50" t="str">
        <f>"96/12/22"</f>
        <v>96/12/22</v>
      </c>
      <c r="C4840" s="50" t="s">
        <v>12885</v>
      </c>
      <c r="D4840" s="12" t="str">
        <f>"96/09/07"</f>
        <v>96/09/07</v>
      </c>
      <c r="E4840" s="12">
        <v>96</v>
      </c>
      <c r="F4840" s="49">
        <v>249691</v>
      </c>
      <c r="G4840" s="77" t="str">
        <f>"LLC Sebco Bitumen"</f>
        <v>LLC Sebco Bitumen</v>
      </c>
      <c r="H4840" s="14" t="s">
        <v>5601</v>
      </c>
      <c r="I4840" s="14" t="s">
        <v>2458</v>
      </c>
      <c r="J4840" s="33" t="s">
        <v>7110</v>
      </c>
      <c r="K4840" s="33" t="s">
        <v>13184</v>
      </c>
      <c r="L4840" s="53" t="str">
        <f>"جيبوتي"</f>
        <v>جيبوتي</v>
      </c>
      <c r="M4840" s="68" t="str">
        <f t="shared" si="119"/>
        <v>بشكه</v>
      </c>
      <c r="N4840" s="53" t="str">
        <f t="shared" si="120"/>
        <v>منطقه ويژه اقتصادي شهيد رجايي</v>
      </c>
      <c r="O4840" s="53">
        <v>50100</v>
      </c>
      <c r="P4840" s="198" t="s">
        <v>9783</v>
      </c>
    </row>
    <row r="4841" spans="1:16" ht="18.75" hidden="1">
      <c r="A4841" s="50" t="str">
        <f>"50100-10009181"</f>
        <v>50100-10009181</v>
      </c>
      <c r="B4841" s="50" t="str">
        <f>"96/12/22"</f>
        <v>96/12/22</v>
      </c>
      <c r="C4841" s="50" t="s">
        <v>13229</v>
      </c>
      <c r="D4841" s="12" t="str">
        <f>"96/08/17"</f>
        <v>96/08/17</v>
      </c>
      <c r="E4841" s="12">
        <v>96</v>
      </c>
      <c r="F4841" s="49">
        <v>16870</v>
      </c>
      <c r="G4841" s="77" t="str">
        <f>"LLC Sebco Bitumen"</f>
        <v>LLC Sebco Bitumen</v>
      </c>
      <c r="H4841" s="14" t="s">
        <v>5601</v>
      </c>
      <c r="I4841" s="14" t="s">
        <v>2458</v>
      </c>
      <c r="J4841" s="33" t="s">
        <v>7110</v>
      </c>
      <c r="K4841" s="33" t="s">
        <v>13184</v>
      </c>
      <c r="L4841" s="53" t="str">
        <f>"جيبوتي"</f>
        <v>جيبوتي</v>
      </c>
      <c r="M4841" s="68" t="str">
        <f t="shared" si="119"/>
        <v>بشكه</v>
      </c>
      <c r="N4841" s="53" t="str">
        <f t="shared" si="120"/>
        <v>منطقه ويژه اقتصادي شهيد رجايي</v>
      </c>
      <c r="O4841" s="53">
        <v>50100</v>
      </c>
      <c r="P4841" s="198" t="s">
        <v>8698</v>
      </c>
    </row>
    <row r="4842" spans="1:16" ht="18.75" hidden="1">
      <c r="A4842" s="50" t="str">
        <f>"50100-10025301"</f>
        <v>50100-10025301</v>
      </c>
      <c r="B4842" s="50" t="str">
        <f>"96/12/24"</f>
        <v>96/12/24</v>
      </c>
      <c r="C4842" s="50" t="s">
        <v>13230</v>
      </c>
      <c r="D4842" s="12" t="str">
        <f>"96/12/24"</f>
        <v>96/12/24</v>
      </c>
      <c r="E4842" s="12">
        <v>96</v>
      </c>
      <c r="F4842" s="49">
        <v>995288</v>
      </c>
      <c r="G4842" s="77" t="str">
        <f>"AL MASAR PETROLUME L.L.C"</f>
        <v>AL MASAR PETROLUME L.L.C</v>
      </c>
      <c r="H4842" s="14" t="s">
        <v>5601</v>
      </c>
      <c r="I4842" s="14" t="s">
        <v>2458</v>
      </c>
      <c r="J4842" s="33" t="e">
        <f>VLOOKUP(C4842,شرکتها!A:B,2,FALSE)</f>
        <v>#N/A</v>
      </c>
      <c r="K4842" s="33" t="s">
        <v>13184</v>
      </c>
      <c r="L4842" s="53" t="str">
        <f>"قطر"</f>
        <v>قطر</v>
      </c>
      <c r="M4842" s="68" t="str">
        <f>"فله"</f>
        <v>فله</v>
      </c>
      <c r="N4842" s="53" t="str">
        <f t="shared" si="120"/>
        <v>منطقه ويژه اقتصادي شهيد رجايي</v>
      </c>
      <c r="O4842" s="53">
        <v>50100</v>
      </c>
      <c r="P4842" s="198" t="s">
        <v>12930</v>
      </c>
    </row>
    <row r="4843" spans="1:16" ht="18.75" hidden="1">
      <c r="A4843" s="50" t="str">
        <f>"50100-9986337"</f>
        <v>50100-9986337</v>
      </c>
      <c r="B4843" s="50" t="str">
        <f>"96/12/17"</f>
        <v>96/12/17</v>
      </c>
      <c r="C4843" s="50" t="s">
        <v>12873</v>
      </c>
      <c r="D4843" s="12" t="str">
        <f>"96/11/28"</f>
        <v>96/11/28</v>
      </c>
      <c r="E4843" s="12">
        <v>96</v>
      </c>
      <c r="F4843" s="49">
        <v>489389</v>
      </c>
      <c r="G4843" s="77" t="str">
        <f>"Black Gold Traders FZE"</f>
        <v>Black Gold Traders FZE</v>
      </c>
      <c r="H4843" s="14" t="s">
        <v>5601</v>
      </c>
      <c r="I4843" s="14" t="s">
        <v>2458</v>
      </c>
      <c r="J4843" s="33" t="s">
        <v>7110</v>
      </c>
      <c r="K4843" s="33" t="s">
        <v>13184</v>
      </c>
      <c r="L4843" s="53" t="str">
        <f>"هند"</f>
        <v>هند</v>
      </c>
      <c r="M4843" s="68" t="str">
        <f>"بشكه"</f>
        <v>بشكه</v>
      </c>
      <c r="N4843" s="53" t="str">
        <f t="shared" si="120"/>
        <v>منطقه ويژه اقتصادي شهيد رجايي</v>
      </c>
      <c r="O4843" s="53">
        <v>50100</v>
      </c>
      <c r="P4843" s="198" t="s">
        <v>12685</v>
      </c>
    </row>
    <row r="4844" spans="1:16" ht="18.75" hidden="1">
      <c r="A4844" s="50" t="str">
        <f>"50100-9996978"</f>
        <v>50100-9996978</v>
      </c>
      <c r="B4844" s="50" t="str">
        <f>"96/12/20"</f>
        <v>96/12/20</v>
      </c>
      <c r="C4844" s="50" t="s">
        <v>13231</v>
      </c>
      <c r="D4844" s="12" t="str">
        <f>"96/12/20"</f>
        <v>96/12/20</v>
      </c>
      <c r="E4844" s="12">
        <v>96</v>
      </c>
      <c r="F4844" s="49">
        <v>965076</v>
      </c>
      <c r="G4844" s="77" t="str">
        <f>"AL MASAR PETROLUME L.L.C"</f>
        <v>AL MASAR PETROLUME L.L.C</v>
      </c>
      <c r="H4844" s="14" t="s">
        <v>5601</v>
      </c>
      <c r="I4844" s="14" t="s">
        <v>2458</v>
      </c>
      <c r="J4844" s="33" t="e">
        <f>VLOOKUP(C4844,شرکتها!A:B,2,FALSE)</f>
        <v>#N/A</v>
      </c>
      <c r="K4844" s="33" t="s">
        <v>13184</v>
      </c>
      <c r="L4844" s="53" t="str">
        <f>"عمان"</f>
        <v>عمان</v>
      </c>
      <c r="M4844" s="68" t="str">
        <f>"فله"</f>
        <v>فله</v>
      </c>
      <c r="N4844" s="53" t="str">
        <f t="shared" si="120"/>
        <v>منطقه ويژه اقتصادي شهيد رجايي</v>
      </c>
      <c r="O4844" s="53">
        <v>50100</v>
      </c>
      <c r="P4844" s="198" t="s">
        <v>12664</v>
      </c>
    </row>
    <row r="4845" spans="1:16" ht="18.75" hidden="1">
      <c r="A4845" s="50" t="str">
        <f>"50100-10014908"</f>
        <v>50100-10014908</v>
      </c>
      <c r="B4845" s="50" t="str">
        <f>"96/12/22"</f>
        <v>96/12/22</v>
      </c>
      <c r="C4845" s="50" t="s">
        <v>13232</v>
      </c>
      <c r="D4845" s="12" t="str">
        <f>"96/12/23"</f>
        <v>96/12/23</v>
      </c>
      <c r="E4845" s="12">
        <v>96</v>
      </c>
      <c r="F4845" s="49">
        <v>2718742</v>
      </c>
      <c r="G4845" s="77" t="str">
        <f>"AL MASAR PETROLUME L.L.C"</f>
        <v>AL MASAR PETROLUME L.L.C</v>
      </c>
      <c r="H4845" s="14" t="s">
        <v>5601</v>
      </c>
      <c r="I4845" s="14" t="s">
        <v>2458</v>
      </c>
      <c r="J4845" s="33" t="e">
        <f>VLOOKUP(C4845,شرکتها!A:B,2,FALSE)</f>
        <v>#N/A</v>
      </c>
      <c r="K4845" s="33" t="s">
        <v>13184</v>
      </c>
      <c r="L4845" s="53" t="str">
        <f>"عمان"</f>
        <v>عمان</v>
      </c>
      <c r="M4845" s="68" t="str">
        <f>"فله"</f>
        <v>فله</v>
      </c>
      <c r="N4845" s="53" t="str">
        <f t="shared" si="120"/>
        <v>منطقه ويژه اقتصادي شهيد رجايي</v>
      </c>
      <c r="O4845" s="53">
        <v>50100</v>
      </c>
      <c r="P4845" s="198" t="s">
        <v>12930</v>
      </c>
    </row>
    <row r="4846" spans="1:16" ht="18.75" hidden="1">
      <c r="A4846" s="50" t="str">
        <f>"50100-9990135"</f>
        <v>50100-9990135</v>
      </c>
      <c r="B4846" s="50" t="str">
        <f>"96/12/19"</f>
        <v>96/12/19</v>
      </c>
      <c r="C4846" s="50" t="s">
        <v>13233</v>
      </c>
      <c r="D4846" s="12" t="str">
        <f>"96/09/12"</f>
        <v>96/09/12</v>
      </c>
      <c r="E4846" s="12">
        <v>96</v>
      </c>
      <c r="F4846" s="49">
        <v>983500</v>
      </c>
      <c r="G4846" s="77" t="str">
        <f>"SHINING GREEN STAR FZE"</f>
        <v>SHINING GREEN STAR FZE</v>
      </c>
      <c r="H4846" s="14" t="s">
        <v>5601</v>
      </c>
      <c r="I4846" s="14" t="s">
        <v>2458</v>
      </c>
      <c r="J4846" s="33" t="e">
        <f>VLOOKUP(C4846,شرکتها!A:B,2,FALSE)</f>
        <v>#N/A</v>
      </c>
      <c r="K4846" s="33" t="s">
        <v>13184</v>
      </c>
      <c r="L4846" s="53" t="str">
        <f>"بنگلادش"</f>
        <v>بنگلادش</v>
      </c>
      <c r="M4846" s="68" t="str">
        <f>"بشكه"</f>
        <v>بشكه</v>
      </c>
      <c r="N4846" s="53" t="str">
        <f t="shared" si="120"/>
        <v>منطقه ويژه اقتصادي شهيد رجايي</v>
      </c>
      <c r="O4846" s="53">
        <v>50100</v>
      </c>
      <c r="P4846" s="198" t="s">
        <v>9770</v>
      </c>
    </row>
    <row r="4847" spans="1:16" ht="18.75" hidden="1">
      <c r="A4847" s="50" t="str">
        <f>"50100-9980169"</f>
        <v>50100-9980169</v>
      </c>
      <c r="B4847" s="50" t="str">
        <f>"96/12/16"</f>
        <v>96/12/16</v>
      </c>
      <c r="C4847" s="50" t="s">
        <v>13234</v>
      </c>
      <c r="D4847" s="12" t="str">
        <f>"96/12/17"</f>
        <v>96/12/17</v>
      </c>
      <c r="E4847" s="12">
        <v>96</v>
      </c>
      <c r="F4847" s="49">
        <v>1734052</v>
      </c>
      <c r="G4847" s="77" t="str">
        <f>"AL MASAR PETROLUME L.L.C"</f>
        <v>AL MASAR PETROLUME L.L.C</v>
      </c>
      <c r="H4847" s="14" t="s">
        <v>5601</v>
      </c>
      <c r="I4847" s="14" t="s">
        <v>2458</v>
      </c>
      <c r="J4847" s="33" t="e">
        <f>VLOOKUP(C4847,شرکتها!A:B,2,FALSE)</f>
        <v>#N/A</v>
      </c>
      <c r="K4847" s="33" t="s">
        <v>13184</v>
      </c>
      <c r="L4847" s="53" t="str">
        <f>"عمان"</f>
        <v>عمان</v>
      </c>
      <c r="M4847" s="68" t="str">
        <f>"فله"</f>
        <v>فله</v>
      </c>
      <c r="N4847" s="53" t="str">
        <f t="shared" si="120"/>
        <v>منطقه ويژه اقتصادي شهيد رجايي</v>
      </c>
      <c r="O4847" s="53">
        <v>50100</v>
      </c>
      <c r="P4847" s="198" t="s">
        <v>12664</v>
      </c>
    </row>
    <row r="4848" spans="1:16" ht="18.75" hidden="1">
      <c r="A4848" s="50" t="str">
        <f>"50100-10020943"</f>
        <v>50100-10020943</v>
      </c>
      <c r="B4848" s="50" t="str">
        <f>"96/12/24"</f>
        <v>96/12/24</v>
      </c>
      <c r="C4848" s="50" t="s">
        <v>13235</v>
      </c>
      <c r="D4848" s="12" t="str">
        <f>"96/12/23"</f>
        <v>96/12/23</v>
      </c>
      <c r="E4848" s="12">
        <v>96</v>
      </c>
      <c r="F4848" s="49">
        <v>887488</v>
      </c>
      <c r="G4848" s="77" t="str">
        <f>"AL MASAR PETROLUME L.L.C"</f>
        <v>AL MASAR PETROLUME L.L.C</v>
      </c>
      <c r="H4848" s="14" t="s">
        <v>5601</v>
      </c>
      <c r="I4848" s="14" t="s">
        <v>2458</v>
      </c>
      <c r="J4848" s="33" t="e">
        <f>VLOOKUP(C4848,شرکتها!A:B,2,FALSE)</f>
        <v>#N/A</v>
      </c>
      <c r="K4848" s="33" t="s">
        <v>13184</v>
      </c>
      <c r="L4848" s="53" t="str">
        <f>"عمان"</f>
        <v>عمان</v>
      </c>
      <c r="M4848" s="68" t="str">
        <f>"فله"</f>
        <v>فله</v>
      </c>
      <c r="N4848" s="53" t="str">
        <f t="shared" si="120"/>
        <v>منطقه ويژه اقتصادي شهيد رجايي</v>
      </c>
      <c r="O4848" s="53">
        <v>50100</v>
      </c>
      <c r="P4848" s="198" t="s">
        <v>12930</v>
      </c>
    </row>
    <row r="4849" spans="1:16" ht="18.75" hidden="1">
      <c r="A4849" s="50" t="str">
        <f>"50100-9989814"</f>
        <v>50100-9989814</v>
      </c>
      <c r="B4849" s="50" t="str">
        <f>"96/12/19"</f>
        <v>96/12/19</v>
      </c>
      <c r="C4849" s="50" t="s">
        <v>12913</v>
      </c>
      <c r="D4849" s="12" t="str">
        <f>"96/08/24"</f>
        <v>96/08/24</v>
      </c>
      <c r="E4849" s="12">
        <v>96</v>
      </c>
      <c r="F4849" s="49">
        <v>491280</v>
      </c>
      <c r="G4849" s="77" t="str">
        <f>"Black Gold Traders FZE"</f>
        <v>Black Gold Traders FZE</v>
      </c>
      <c r="H4849" s="14" t="s">
        <v>5601</v>
      </c>
      <c r="I4849" s="14" t="s">
        <v>2458</v>
      </c>
      <c r="J4849" s="33" t="s">
        <v>7110</v>
      </c>
      <c r="K4849" s="33" t="s">
        <v>13184</v>
      </c>
      <c r="L4849" s="53" t="str">
        <f>"تايوان"</f>
        <v>تايوان</v>
      </c>
      <c r="M4849" s="68" t="str">
        <f>"بشكه"</f>
        <v>بشكه</v>
      </c>
      <c r="N4849" s="53" t="str">
        <f t="shared" si="120"/>
        <v>منطقه ويژه اقتصادي شهيد رجايي</v>
      </c>
      <c r="O4849" s="53">
        <v>50100</v>
      </c>
      <c r="P4849" s="198" t="s">
        <v>8753</v>
      </c>
    </row>
    <row r="4850" spans="1:16" ht="18.75" hidden="1">
      <c r="A4850" s="50" t="str">
        <f>"50100-10025131"</f>
        <v>50100-10025131</v>
      </c>
      <c r="B4850" s="50" t="str">
        <f>"96/12/24"</f>
        <v>96/12/24</v>
      </c>
      <c r="C4850" s="50" t="s">
        <v>13236</v>
      </c>
      <c r="D4850" s="12" t="str">
        <f>"96/12/26"</f>
        <v>96/12/26</v>
      </c>
      <c r="E4850" s="12">
        <v>96</v>
      </c>
      <c r="F4850" s="49">
        <v>1734889</v>
      </c>
      <c r="G4850" s="77" t="str">
        <f>"AL MASAR PETROLUME L.L.C"</f>
        <v>AL MASAR PETROLUME L.L.C</v>
      </c>
      <c r="H4850" s="14" t="s">
        <v>5601</v>
      </c>
      <c r="I4850" s="14" t="s">
        <v>2458</v>
      </c>
      <c r="J4850" s="33" t="e">
        <f>VLOOKUP(C4850,شرکتها!A:B,2,FALSE)</f>
        <v>#N/A</v>
      </c>
      <c r="K4850" s="33" t="s">
        <v>13184</v>
      </c>
      <c r="L4850" s="53" t="str">
        <f>"عمان"</f>
        <v>عمان</v>
      </c>
      <c r="M4850" s="68" t="str">
        <f>"فله"</f>
        <v>فله</v>
      </c>
      <c r="N4850" s="53" t="str">
        <f t="shared" si="120"/>
        <v>منطقه ويژه اقتصادي شهيد رجايي</v>
      </c>
      <c r="O4850" s="53">
        <v>50100</v>
      </c>
      <c r="P4850" s="198" t="s">
        <v>12930</v>
      </c>
    </row>
    <row r="4851" spans="1:16" ht="18.75" hidden="1">
      <c r="A4851" s="50" t="str">
        <f>"50100-10009181"</f>
        <v>50100-10009181</v>
      </c>
      <c r="B4851" s="50" t="str">
        <f>"96/12/22"</f>
        <v>96/12/22</v>
      </c>
      <c r="C4851" s="50" t="s">
        <v>13237</v>
      </c>
      <c r="D4851" s="12" t="str">
        <f>"96/10/05"</f>
        <v>96/10/05</v>
      </c>
      <c r="E4851" s="12">
        <v>96</v>
      </c>
      <c r="F4851" s="49">
        <v>242420</v>
      </c>
      <c r="G4851" s="77" t="str">
        <f>"LLC Sebco Bitumen"</f>
        <v>LLC Sebco Bitumen</v>
      </c>
      <c r="H4851" s="14" t="s">
        <v>5601</v>
      </c>
      <c r="I4851" s="14" t="s">
        <v>2458</v>
      </c>
      <c r="J4851" s="33" t="s">
        <v>7110</v>
      </c>
      <c r="K4851" s="33" t="s">
        <v>13184</v>
      </c>
      <c r="L4851" s="53" t="str">
        <f>"جيبوتي"</f>
        <v>جيبوتي</v>
      </c>
      <c r="M4851" s="68" t="str">
        <f t="shared" ref="M4851:M4857" si="121">"بشكه"</f>
        <v>بشكه</v>
      </c>
      <c r="N4851" s="53" t="str">
        <f t="shared" si="120"/>
        <v>منطقه ويژه اقتصادي شهيد رجايي</v>
      </c>
      <c r="O4851" s="53">
        <v>50100</v>
      </c>
      <c r="P4851" s="198" t="s">
        <v>9763</v>
      </c>
    </row>
    <row r="4852" spans="1:16" ht="18.75" hidden="1">
      <c r="A4852" s="50" t="str">
        <f>"50100-10009181"</f>
        <v>50100-10009181</v>
      </c>
      <c r="B4852" s="50" t="str">
        <f>"96/12/22"</f>
        <v>96/12/22</v>
      </c>
      <c r="C4852" s="50" t="s">
        <v>13238</v>
      </c>
      <c r="D4852" s="12" t="str">
        <f>"96/10/03"</f>
        <v>96/10/03</v>
      </c>
      <c r="E4852" s="12">
        <v>96</v>
      </c>
      <c r="F4852" s="49">
        <v>395000</v>
      </c>
      <c r="G4852" s="77" t="str">
        <f>"LLC Sebco Bitumen"</f>
        <v>LLC Sebco Bitumen</v>
      </c>
      <c r="H4852" s="14" t="s">
        <v>5601</v>
      </c>
      <c r="I4852" s="14" t="s">
        <v>2458</v>
      </c>
      <c r="J4852" s="33" t="s">
        <v>7110</v>
      </c>
      <c r="K4852" s="33" t="s">
        <v>13184</v>
      </c>
      <c r="L4852" s="53" t="str">
        <f>"جيبوتي"</f>
        <v>جيبوتي</v>
      </c>
      <c r="M4852" s="68" t="str">
        <f t="shared" si="121"/>
        <v>بشكه</v>
      </c>
      <c r="N4852" s="53" t="str">
        <f t="shared" si="120"/>
        <v>منطقه ويژه اقتصادي شهيد رجايي</v>
      </c>
      <c r="O4852" s="53">
        <v>50100</v>
      </c>
      <c r="P4852" s="198" t="s">
        <v>9763</v>
      </c>
    </row>
    <row r="4853" spans="1:16" ht="18.75" hidden="1">
      <c r="A4853" s="50" t="str">
        <f>"50100-9993748"</f>
        <v>50100-9993748</v>
      </c>
      <c r="B4853" s="50" t="str">
        <f>"96/12/19"</f>
        <v>96/12/19</v>
      </c>
      <c r="C4853" s="50" t="s">
        <v>12913</v>
      </c>
      <c r="D4853" s="12" t="str">
        <f>"96/08/24"</f>
        <v>96/08/24</v>
      </c>
      <c r="E4853" s="12">
        <v>96</v>
      </c>
      <c r="F4853" s="49">
        <v>79460</v>
      </c>
      <c r="G4853" s="77" t="str">
        <f>"Black Gold Traders FZE"</f>
        <v>Black Gold Traders FZE</v>
      </c>
      <c r="H4853" s="14" t="s">
        <v>5601</v>
      </c>
      <c r="I4853" s="14" t="s">
        <v>2458</v>
      </c>
      <c r="J4853" s="33" t="s">
        <v>7110</v>
      </c>
      <c r="K4853" s="33" t="s">
        <v>13184</v>
      </c>
      <c r="L4853" s="53" t="str">
        <f>"هند"</f>
        <v>هند</v>
      </c>
      <c r="M4853" s="68" t="str">
        <f t="shared" si="121"/>
        <v>بشكه</v>
      </c>
      <c r="N4853" s="53" t="str">
        <f t="shared" si="120"/>
        <v>منطقه ويژه اقتصادي شهيد رجايي</v>
      </c>
      <c r="O4853" s="53">
        <v>50100</v>
      </c>
      <c r="P4853" s="198" t="s">
        <v>8753</v>
      </c>
    </row>
    <row r="4854" spans="1:16" ht="18.75" hidden="1">
      <c r="A4854" s="50" t="str">
        <f>"50100-10031310"</f>
        <v>50100-10031310</v>
      </c>
      <c r="B4854" s="50" t="str">
        <f>"96/12/26"</f>
        <v>96/12/26</v>
      </c>
      <c r="C4854" s="50" t="s">
        <v>13239</v>
      </c>
      <c r="D4854" s="12" t="str">
        <f>"96/09/18"</f>
        <v>96/09/18</v>
      </c>
      <c r="E4854" s="12">
        <v>96</v>
      </c>
      <c r="F4854" s="49">
        <v>499950</v>
      </c>
      <c r="G4854" s="77" t="str">
        <f>"LLC Sebco Bitumen"</f>
        <v>LLC Sebco Bitumen</v>
      </c>
      <c r="H4854" s="14" t="s">
        <v>5601</v>
      </c>
      <c r="I4854" s="14" t="s">
        <v>2458</v>
      </c>
      <c r="J4854" s="33" t="s">
        <v>7110</v>
      </c>
      <c r="K4854" s="33" t="s">
        <v>13184</v>
      </c>
      <c r="L4854" s="53" t="str">
        <f>"سودان"</f>
        <v>سودان</v>
      </c>
      <c r="M4854" s="68" t="str">
        <f t="shared" si="121"/>
        <v>بشكه</v>
      </c>
      <c r="N4854" s="53" t="str">
        <f>"منطقه ويژه اقتصادي شهيد رجايي"</f>
        <v>منطقه ويژه اقتصادي شهيد رجايي</v>
      </c>
      <c r="O4854" s="53">
        <v>50100</v>
      </c>
      <c r="P4854" s="198" t="s">
        <v>9769</v>
      </c>
    </row>
    <row r="4855" spans="1:16" ht="18.75" hidden="1">
      <c r="A4855" s="50" t="str">
        <f>"50100-9996272"</f>
        <v>50100-9996272</v>
      </c>
      <c r="B4855" s="50" t="str">
        <f>"96/12/20"</f>
        <v>96/12/20</v>
      </c>
      <c r="C4855" s="50" t="s">
        <v>12742</v>
      </c>
      <c r="D4855" s="12" t="str">
        <f>"96/08/09"</f>
        <v>96/08/09</v>
      </c>
      <c r="E4855" s="12">
        <v>96</v>
      </c>
      <c r="F4855" s="49">
        <v>70000</v>
      </c>
      <c r="G4855" s="77" t="str">
        <f>"LLC Sebco Bitumen"</f>
        <v>LLC Sebco Bitumen</v>
      </c>
      <c r="H4855" s="14" t="s">
        <v>5601</v>
      </c>
      <c r="I4855" s="14" t="s">
        <v>2458</v>
      </c>
      <c r="J4855" s="33" t="s">
        <v>7110</v>
      </c>
      <c r="K4855" s="33" t="s">
        <v>13184</v>
      </c>
      <c r="L4855" s="53" t="str">
        <f>"چين"</f>
        <v>چين</v>
      </c>
      <c r="M4855" s="68" t="str">
        <f t="shared" si="121"/>
        <v>بشكه</v>
      </c>
      <c r="N4855" s="53" t="str">
        <f>"منطقه ويژه اقتصادي شهيد رجايي"</f>
        <v>منطقه ويژه اقتصادي شهيد رجايي</v>
      </c>
      <c r="O4855" s="53">
        <v>50100</v>
      </c>
      <c r="P4855" s="198" t="s">
        <v>8698</v>
      </c>
    </row>
    <row r="4856" spans="1:16" ht="18.75" hidden="1">
      <c r="A4856" s="50" t="str">
        <f>"50100-10031685"</f>
        <v>50100-10031685</v>
      </c>
      <c r="B4856" s="50" t="str">
        <f>"96/12/26"</f>
        <v>96/12/26</v>
      </c>
      <c r="C4856" s="50" t="s">
        <v>13233</v>
      </c>
      <c r="D4856" s="12" t="str">
        <f>"96/09/12"</f>
        <v>96/09/12</v>
      </c>
      <c r="E4856" s="12">
        <v>96</v>
      </c>
      <c r="F4856" s="49">
        <v>692330</v>
      </c>
      <c r="G4856" s="77" t="str">
        <f>"SHINING GREEN STAR FZE"</f>
        <v>SHINING GREEN STAR FZE</v>
      </c>
      <c r="H4856" s="14" t="s">
        <v>5601</v>
      </c>
      <c r="I4856" s="14" t="s">
        <v>2458</v>
      </c>
      <c r="J4856" s="33" t="e">
        <f>VLOOKUP(C4856,شرکتها!A:B,2,FALSE)</f>
        <v>#N/A</v>
      </c>
      <c r="K4856" s="33" t="s">
        <v>13184</v>
      </c>
      <c r="L4856" s="53" t="str">
        <f>"ويتنام"</f>
        <v>ويتنام</v>
      </c>
      <c r="M4856" s="68" t="str">
        <f t="shared" si="121"/>
        <v>بشكه</v>
      </c>
      <c r="N4856" s="53" t="str">
        <f>"منطقه ويژه اقتصادي شهيد رجايي"</f>
        <v>منطقه ويژه اقتصادي شهيد رجايي</v>
      </c>
      <c r="O4856" s="53">
        <v>50100</v>
      </c>
      <c r="P4856" s="198" t="s">
        <v>9770</v>
      </c>
    </row>
    <row r="4857" spans="1:16" ht="18.75" hidden="1">
      <c r="A4857" s="50" t="str">
        <f>"50100-10009181"</f>
        <v>50100-10009181</v>
      </c>
      <c r="B4857" s="50" t="str">
        <f>"96/12/22"</f>
        <v>96/12/22</v>
      </c>
      <c r="C4857" s="50" t="s">
        <v>13240</v>
      </c>
      <c r="D4857" s="12" t="str">
        <f>"96/10/05"</f>
        <v>96/10/05</v>
      </c>
      <c r="E4857" s="12">
        <v>96</v>
      </c>
      <c r="F4857" s="49">
        <v>99989</v>
      </c>
      <c r="G4857" s="77" t="str">
        <f>"LLC Sebco Bitumen"</f>
        <v>LLC Sebco Bitumen</v>
      </c>
      <c r="H4857" s="14" t="s">
        <v>5601</v>
      </c>
      <c r="I4857" s="14" t="s">
        <v>2458</v>
      </c>
      <c r="J4857" s="33" t="s">
        <v>7110</v>
      </c>
      <c r="K4857" s="33" t="s">
        <v>13184</v>
      </c>
      <c r="L4857" s="53" t="str">
        <f>"جيبوتي"</f>
        <v>جيبوتي</v>
      </c>
      <c r="M4857" s="68" t="str">
        <f t="shared" si="121"/>
        <v>بشكه</v>
      </c>
      <c r="N4857" s="53" t="str">
        <f>"منطقه ويژه اقتصادي شهيد رجايي"</f>
        <v>منطقه ويژه اقتصادي شهيد رجايي</v>
      </c>
      <c r="O4857" s="53">
        <v>50100</v>
      </c>
      <c r="P4857" s="198" t="s">
        <v>9763</v>
      </c>
    </row>
    <row r="4858" spans="1:16" ht="18.75" hidden="1">
      <c r="A4858" s="50" t="s">
        <v>13274</v>
      </c>
      <c r="B4858" s="50" t="s">
        <v>12953</v>
      </c>
      <c r="C4858" s="50" t="s">
        <v>12979</v>
      </c>
      <c r="D4858" s="12" t="s">
        <v>12701</v>
      </c>
      <c r="E4858" s="12" t="s">
        <v>4971</v>
      </c>
      <c r="F4858" s="49">
        <v>364050</v>
      </c>
      <c r="G4858" s="77" t="s">
        <v>6453</v>
      </c>
      <c r="H4858" s="14" t="s">
        <v>5601</v>
      </c>
      <c r="I4858" s="14" t="s">
        <v>2458</v>
      </c>
      <c r="J4858" s="33" t="s">
        <v>7110</v>
      </c>
      <c r="K4858" s="33" t="s">
        <v>13331</v>
      </c>
      <c r="L4858" s="53" t="s">
        <v>6054</v>
      </c>
      <c r="M4858" s="68" t="s">
        <v>8913</v>
      </c>
      <c r="N4858" s="53" t="s">
        <v>6076</v>
      </c>
      <c r="O4858" s="53">
        <v>55301</v>
      </c>
      <c r="P4858" s="198" t="s">
        <v>12673</v>
      </c>
    </row>
    <row r="4859" spans="1:16" ht="18.75" hidden="1">
      <c r="A4859" s="50" t="s">
        <v>13275</v>
      </c>
      <c r="B4859" s="50" t="s">
        <v>12898</v>
      </c>
      <c r="C4859" s="50" t="s">
        <v>13276</v>
      </c>
      <c r="D4859" s="12" t="s">
        <v>12734</v>
      </c>
      <c r="E4859" s="12" t="s">
        <v>4971</v>
      </c>
      <c r="F4859" s="49">
        <v>200000</v>
      </c>
      <c r="G4859" s="77" t="s">
        <v>6300</v>
      </c>
      <c r="H4859" s="14" t="s">
        <v>5601</v>
      </c>
      <c r="I4859" s="14" t="s">
        <v>2458</v>
      </c>
      <c r="J4859" s="33" t="s">
        <v>7110</v>
      </c>
      <c r="K4859" s="33" t="s">
        <v>13331</v>
      </c>
      <c r="L4859" s="53" t="s">
        <v>6054</v>
      </c>
      <c r="M4859" s="68" t="s">
        <v>8913</v>
      </c>
      <c r="N4859" s="53" t="s">
        <v>6076</v>
      </c>
      <c r="O4859" s="53">
        <v>55301</v>
      </c>
      <c r="P4859" s="198" t="s">
        <v>12678</v>
      </c>
    </row>
    <row r="4860" spans="1:16" ht="18.75" hidden="1">
      <c r="A4860" s="50" t="s">
        <v>13277</v>
      </c>
      <c r="B4860" s="50" t="s">
        <v>13278</v>
      </c>
      <c r="C4860" s="50" t="s">
        <v>12997</v>
      </c>
      <c r="D4860" s="12" t="s">
        <v>12530</v>
      </c>
      <c r="E4860" s="12" t="s">
        <v>4971</v>
      </c>
      <c r="F4860" s="49">
        <v>24680</v>
      </c>
      <c r="G4860" s="77" t="s">
        <v>6299</v>
      </c>
      <c r="H4860" s="14" t="s">
        <v>5601</v>
      </c>
      <c r="I4860" s="14" t="s">
        <v>2458</v>
      </c>
      <c r="J4860" s="33" t="s">
        <v>7110</v>
      </c>
      <c r="K4860" s="33" t="s">
        <v>13331</v>
      </c>
      <c r="L4860" s="53" t="s">
        <v>6054</v>
      </c>
      <c r="M4860" s="68" t="s">
        <v>8913</v>
      </c>
      <c r="N4860" s="53" t="s">
        <v>6076</v>
      </c>
      <c r="O4860" s="53">
        <v>55301</v>
      </c>
      <c r="P4860" s="198" t="s">
        <v>12670</v>
      </c>
    </row>
    <row r="4861" spans="1:16" ht="18.75" hidden="1">
      <c r="A4861" s="50" t="s">
        <v>13279</v>
      </c>
      <c r="B4861" s="50" t="s">
        <v>13278</v>
      </c>
      <c r="C4861" s="50" t="s">
        <v>12948</v>
      </c>
      <c r="D4861" s="12" t="s">
        <v>12734</v>
      </c>
      <c r="E4861" s="12" t="s">
        <v>4971</v>
      </c>
      <c r="F4861" s="49">
        <v>17890</v>
      </c>
      <c r="G4861" s="77" t="s">
        <v>6454</v>
      </c>
      <c r="H4861" s="14" t="s">
        <v>5601</v>
      </c>
      <c r="I4861" s="14" t="s">
        <v>2458</v>
      </c>
      <c r="J4861" s="33" t="s">
        <v>7110</v>
      </c>
      <c r="K4861" s="33" t="s">
        <v>13331</v>
      </c>
      <c r="L4861" s="53" t="s">
        <v>6054</v>
      </c>
      <c r="M4861" s="68" t="s">
        <v>8912</v>
      </c>
      <c r="N4861" s="53" t="s">
        <v>6286</v>
      </c>
      <c r="O4861" s="53">
        <v>55107</v>
      </c>
      <c r="P4861" s="198" t="s">
        <v>12414</v>
      </c>
    </row>
    <row r="4862" spans="1:16" ht="18.75" hidden="1">
      <c r="A4862" s="50" t="s">
        <v>13274</v>
      </c>
      <c r="B4862" s="50" t="s">
        <v>12953</v>
      </c>
      <c r="C4862" s="50" t="s">
        <v>12985</v>
      </c>
      <c r="D4862" s="12" t="s">
        <v>12662</v>
      </c>
      <c r="E4862" s="12" t="s">
        <v>4971</v>
      </c>
      <c r="F4862" s="49">
        <v>39810</v>
      </c>
      <c r="G4862" s="77" t="s">
        <v>12608</v>
      </c>
      <c r="H4862" s="14" t="s">
        <v>5601</v>
      </c>
      <c r="I4862" s="14" t="s">
        <v>2458</v>
      </c>
      <c r="J4862" s="33" t="s">
        <v>7110</v>
      </c>
      <c r="K4862" s="33" t="s">
        <v>13331</v>
      </c>
      <c r="L4862" s="53" t="s">
        <v>6054</v>
      </c>
      <c r="M4862" s="68" t="s">
        <v>8913</v>
      </c>
      <c r="N4862" s="53" t="s">
        <v>6076</v>
      </c>
      <c r="O4862" s="53">
        <v>55301</v>
      </c>
      <c r="P4862" s="198" t="s">
        <v>12677</v>
      </c>
    </row>
    <row r="4863" spans="1:16" ht="18.75" hidden="1">
      <c r="A4863" s="50" t="s">
        <v>13274</v>
      </c>
      <c r="B4863" s="50" t="s">
        <v>12953</v>
      </c>
      <c r="C4863" s="50" t="s">
        <v>12951</v>
      </c>
      <c r="D4863" s="12" t="s">
        <v>12601</v>
      </c>
      <c r="E4863" s="12" t="s">
        <v>4971</v>
      </c>
      <c r="F4863" s="49">
        <v>109710</v>
      </c>
      <c r="G4863" s="77" t="s">
        <v>6453</v>
      </c>
      <c r="H4863" s="14" t="s">
        <v>5601</v>
      </c>
      <c r="I4863" s="14" t="s">
        <v>2458</v>
      </c>
      <c r="J4863" s="33" t="s">
        <v>7110</v>
      </c>
      <c r="K4863" s="33" t="s">
        <v>13331</v>
      </c>
      <c r="L4863" s="53" t="s">
        <v>6054</v>
      </c>
      <c r="M4863" s="68" t="s">
        <v>8913</v>
      </c>
      <c r="N4863" s="53" t="s">
        <v>6076</v>
      </c>
      <c r="O4863" s="53">
        <v>55301</v>
      </c>
      <c r="P4863" s="198" t="s">
        <v>12673</v>
      </c>
    </row>
    <row r="4864" spans="1:16" ht="18.75" hidden="1">
      <c r="A4864" s="50" t="s">
        <v>13275</v>
      </c>
      <c r="B4864" s="50" t="s">
        <v>12898</v>
      </c>
      <c r="C4864" s="50" t="s">
        <v>13280</v>
      </c>
      <c r="D4864" s="12" t="s">
        <v>12717</v>
      </c>
      <c r="E4864" s="12" t="s">
        <v>4971</v>
      </c>
      <c r="F4864" s="49">
        <v>254400</v>
      </c>
      <c r="G4864" s="77" t="s">
        <v>6300</v>
      </c>
      <c r="H4864" s="14" t="s">
        <v>5601</v>
      </c>
      <c r="I4864" s="14" t="s">
        <v>2458</v>
      </c>
      <c r="J4864" s="33" t="s">
        <v>7110</v>
      </c>
      <c r="K4864" s="33" t="s">
        <v>13331</v>
      </c>
      <c r="L4864" s="53" t="s">
        <v>6054</v>
      </c>
      <c r="M4864" s="68" t="s">
        <v>8913</v>
      </c>
      <c r="N4864" s="53" t="s">
        <v>6076</v>
      </c>
      <c r="O4864" s="53">
        <v>55301</v>
      </c>
      <c r="P4864" s="198" t="s">
        <v>12674</v>
      </c>
    </row>
    <row r="4865" spans="1:16" ht="18.75" hidden="1">
      <c r="A4865" s="50" t="s">
        <v>13277</v>
      </c>
      <c r="B4865" s="50" t="s">
        <v>13278</v>
      </c>
      <c r="C4865" s="50" t="s">
        <v>13211</v>
      </c>
      <c r="D4865" s="12" t="s">
        <v>12530</v>
      </c>
      <c r="E4865" s="12" t="s">
        <v>4971</v>
      </c>
      <c r="F4865" s="49">
        <v>138040</v>
      </c>
      <c r="G4865" s="77" t="s">
        <v>6299</v>
      </c>
      <c r="H4865" s="14" t="s">
        <v>5601</v>
      </c>
      <c r="I4865" s="14" t="s">
        <v>2458</v>
      </c>
      <c r="J4865" s="33" t="s">
        <v>7110</v>
      </c>
      <c r="K4865" s="33" t="s">
        <v>13331</v>
      </c>
      <c r="L4865" s="53" t="s">
        <v>6054</v>
      </c>
      <c r="M4865" s="68" t="s">
        <v>8913</v>
      </c>
      <c r="N4865" s="53" t="s">
        <v>6076</v>
      </c>
      <c r="O4865" s="53">
        <v>55301</v>
      </c>
      <c r="P4865" s="198" t="s">
        <v>12676</v>
      </c>
    </row>
    <row r="4866" spans="1:16" ht="18.75" hidden="1">
      <c r="A4866" s="50" t="s">
        <v>13279</v>
      </c>
      <c r="B4866" s="50" t="s">
        <v>13278</v>
      </c>
      <c r="C4866" s="50" t="s">
        <v>13281</v>
      </c>
      <c r="D4866" s="12" t="s">
        <v>12533</v>
      </c>
      <c r="E4866" s="12" t="s">
        <v>4971</v>
      </c>
      <c r="F4866" s="49">
        <v>79420</v>
      </c>
      <c r="G4866" s="77" t="s">
        <v>6298</v>
      </c>
      <c r="H4866" s="14" t="s">
        <v>5601</v>
      </c>
      <c r="I4866" s="14" t="s">
        <v>2458</v>
      </c>
      <c r="J4866" s="33" t="s">
        <v>7110</v>
      </c>
      <c r="K4866" s="33" t="s">
        <v>13331</v>
      </c>
      <c r="L4866" s="53" t="s">
        <v>6054</v>
      </c>
      <c r="M4866" s="68" t="s">
        <v>8912</v>
      </c>
      <c r="N4866" s="53" t="s">
        <v>6286</v>
      </c>
      <c r="O4866" s="53">
        <v>55107</v>
      </c>
      <c r="P4866" s="198" t="s">
        <v>12260</v>
      </c>
    </row>
    <row r="4867" spans="1:16" ht="18.75" hidden="1">
      <c r="A4867" s="50" t="s">
        <v>13282</v>
      </c>
      <c r="B4867" s="50" t="s">
        <v>13278</v>
      </c>
      <c r="C4867" s="50" t="s">
        <v>13281</v>
      </c>
      <c r="D4867" s="12" t="s">
        <v>12533</v>
      </c>
      <c r="E4867" s="12" t="s">
        <v>4971</v>
      </c>
      <c r="F4867" s="49">
        <v>35580</v>
      </c>
      <c r="G4867" s="77" t="s">
        <v>6298</v>
      </c>
      <c r="H4867" s="14" t="s">
        <v>5601</v>
      </c>
      <c r="I4867" s="14" t="s">
        <v>2458</v>
      </c>
      <c r="J4867" s="33" t="s">
        <v>7110</v>
      </c>
      <c r="K4867" s="33" t="s">
        <v>13331</v>
      </c>
      <c r="L4867" s="53" t="s">
        <v>6054</v>
      </c>
      <c r="M4867" s="68" t="s">
        <v>8912</v>
      </c>
      <c r="N4867" s="53" t="s">
        <v>6076</v>
      </c>
      <c r="O4867" s="53">
        <v>55301</v>
      </c>
      <c r="P4867" s="198" t="s">
        <v>12260</v>
      </c>
    </row>
    <row r="4868" spans="1:16" ht="18.75" hidden="1">
      <c r="A4868" s="50" t="s">
        <v>13274</v>
      </c>
      <c r="B4868" s="50" t="s">
        <v>12953</v>
      </c>
      <c r="C4868" s="50" t="s">
        <v>12963</v>
      </c>
      <c r="D4868" s="12" t="s">
        <v>12964</v>
      </c>
      <c r="E4868" s="12" t="s">
        <v>4971</v>
      </c>
      <c r="F4868" s="49">
        <v>58610</v>
      </c>
      <c r="G4868" s="77" t="s">
        <v>12608</v>
      </c>
      <c r="H4868" s="14" t="s">
        <v>5601</v>
      </c>
      <c r="I4868" s="14" t="s">
        <v>2458</v>
      </c>
      <c r="J4868" s="33" t="s">
        <v>7110</v>
      </c>
      <c r="K4868" s="33" t="s">
        <v>13331</v>
      </c>
      <c r="L4868" s="53" t="s">
        <v>6054</v>
      </c>
      <c r="M4868" s="68" t="s">
        <v>8913</v>
      </c>
      <c r="N4868" s="53" t="s">
        <v>6076</v>
      </c>
      <c r="O4868" s="53">
        <v>55301</v>
      </c>
      <c r="P4868" s="198" t="s">
        <v>12677</v>
      </c>
    </row>
    <row r="4869" spans="1:16" ht="18.75" hidden="1">
      <c r="A4869" s="50" t="s">
        <v>13274</v>
      </c>
      <c r="B4869" s="50" t="s">
        <v>12953</v>
      </c>
      <c r="C4869" s="50" t="s">
        <v>12961</v>
      </c>
      <c r="D4869" s="12" t="s">
        <v>12627</v>
      </c>
      <c r="E4869" s="12" t="s">
        <v>4971</v>
      </c>
      <c r="F4869" s="49">
        <v>45300</v>
      </c>
      <c r="G4869" s="77" t="s">
        <v>6300</v>
      </c>
      <c r="H4869" s="14" t="s">
        <v>5601</v>
      </c>
      <c r="I4869" s="14" t="s">
        <v>2458</v>
      </c>
      <c r="J4869" s="33" t="s">
        <v>7110</v>
      </c>
      <c r="K4869" s="33" t="s">
        <v>13331</v>
      </c>
      <c r="L4869" s="53" t="s">
        <v>6054</v>
      </c>
      <c r="M4869" s="68" t="s">
        <v>8913</v>
      </c>
      <c r="N4869" s="53" t="s">
        <v>6076</v>
      </c>
      <c r="O4869" s="53">
        <v>55301</v>
      </c>
      <c r="P4869" s="198" t="s">
        <v>12674</v>
      </c>
    </row>
    <row r="4870" spans="1:16" ht="18.75" hidden="1">
      <c r="A4870" s="50" t="s">
        <v>13275</v>
      </c>
      <c r="B4870" s="50" t="s">
        <v>12898</v>
      </c>
      <c r="C4870" s="50" t="s">
        <v>12961</v>
      </c>
      <c r="D4870" s="12" t="s">
        <v>12627</v>
      </c>
      <c r="E4870" s="12" t="s">
        <v>4971</v>
      </c>
      <c r="F4870" s="49">
        <v>53140</v>
      </c>
      <c r="G4870" s="77" t="s">
        <v>6300</v>
      </c>
      <c r="H4870" s="14" t="s">
        <v>5601</v>
      </c>
      <c r="I4870" s="14" t="s">
        <v>2458</v>
      </c>
      <c r="J4870" s="33" t="s">
        <v>7110</v>
      </c>
      <c r="K4870" s="33" t="s">
        <v>13331</v>
      </c>
      <c r="L4870" s="53" t="s">
        <v>6054</v>
      </c>
      <c r="M4870" s="68" t="s">
        <v>8913</v>
      </c>
      <c r="N4870" s="53" t="s">
        <v>6076</v>
      </c>
      <c r="O4870" s="53">
        <v>55301</v>
      </c>
      <c r="P4870" s="198" t="s">
        <v>12674</v>
      </c>
    </row>
    <row r="4871" spans="1:16" ht="18.75" hidden="1">
      <c r="A4871" s="50" t="s">
        <v>13282</v>
      </c>
      <c r="B4871" s="50" t="s">
        <v>13278</v>
      </c>
      <c r="C4871" s="50" t="s">
        <v>12972</v>
      </c>
      <c r="D4871" s="12" t="s">
        <v>12542</v>
      </c>
      <c r="E4871" s="12" t="s">
        <v>4971</v>
      </c>
      <c r="F4871" s="49">
        <v>35130</v>
      </c>
      <c r="G4871" s="77" t="s">
        <v>6298</v>
      </c>
      <c r="H4871" s="14" t="s">
        <v>5601</v>
      </c>
      <c r="I4871" s="14" t="s">
        <v>2458</v>
      </c>
      <c r="J4871" s="33" t="s">
        <v>7110</v>
      </c>
      <c r="K4871" s="33" t="s">
        <v>13331</v>
      </c>
      <c r="L4871" s="53" t="s">
        <v>6054</v>
      </c>
      <c r="M4871" s="68" t="s">
        <v>8912</v>
      </c>
      <c r="N4871" s="53" t="s">
        <v>6076</v>
      </c>
      <c r="O4871" s="53">
        <v>55301</v>
      </c>
      <c r="P4871" s="198" t="s">
        <v>12429</v>
      </c>
    </row>
    <row r="4872" spans="1:16" ht="18.75" hidden="1">
      <c r="A4872" s="50" t="s">
        <v>13283</v>
      </c>
      <c r="B4872" s="50" t="s">
        <v>12898</v>
      </c>
      <c r="C4872" s="50" t="s">
        <v>13284</v>
      </c>
      <c r="D4872" s="12" t="s">
        <v>12701</v>
      </c>
      <c r="E4872" s="12" t="s">
        <v>4971</v>
      </c>
      <c r="F4872" s="49">
        <v>22800</v>
      </c>
      <c r="G4872" s="77" t="s">
        <v>6454</v>
      </c>
      <c r="H4872" s="14" t="s">
        <v>5601</v>
      </c>
      <c r="I4872" s="14" t="s">
        <v>2458</v>
      </c>
      <c r="J4872" s="33" t="s">
        <v>7110</v>
      </c>
      <c r="K4872" s="33" t="s">
        <v>13331</v>
      </c>
      <c r="L4872" s="53" t="s">
        <v>6054</v>
      </c>
      <c r="M4872" s="68" t="s">
        <v>8913</v>
      </c>
      <c r="N4872" s="53" t="s">
        <v>9836</v>
      </c>
      <c r="O4872" s="53">
        <v>55112</v>
      </c>
      <c r="P4872" s="198" t="s">
        <v>12414</v>
      </c>
    </row>
    <row r="4873" spans="1:16" ht="18.75" hidden="1">
      <c r="A4873" s="50" t="s">
        <v>13285</v>
      </c>
      <c r="B4873" s="50" t="s">
        <v>13278</v>
      </c>
      <c r="C4873" s="50" t="s">
        <v>13199</v>
      </c>
      <c r="D4873" s="12" t="s">
        <v>12560</v>
      </c>
      <c r="E4873" s="12" t="s">
        <v>4971</v>
      </c>
      <c r="F4873" s="49">
        <v>96660</v>
      </c>
      <c r="G4873" s="77" t="s">
        <v>6298</v>
      </c>
      <c r="H4873" s="14" t="s">
        <v>5601</v>
      </c>
      <c r="I4873" s="14" t="s">
        <v>2458</v>
      </c>
      <c r="J4873" s="33" t="s">
        <v>7110</v>
      </c>
      <c r="K4873" s="33" t="s">
        <v>13331</v>
      </c>
      <c r="L4873" s="53" t="s">
        <v>6054</v>
      </c>
      <c r="M4873" s="68" t="s">
        <v>8912</v>
      </c>
      <c r="N4873" s="53" t="s">
        <v>6285</v>
      </c>
      <c r="O4873" s="53">
        <v>55200</v>
      </c>
      <c r="P4873" s="198" t="s">
        <v>12429</v>
      </c>
    </row>
    <row r="4874" spans="1:16" ht="18.75" hidden="1">
      <c r="A4874" s="50" t="s">
        <v>13275</v>
      </c>
      <c r="B4874" s="50" t="s">
        <v>12898</v>
      </c>
      <c r="C4874" s="50" t="s">
        <v>13286</v>
      </c>
      <c r="D4874" s="12" t="s">
        <v>12699</v>
      </c>
      <c r="E4874" s="12" t="s">
        <v>4971</v>
      </c>
      <c r="F4874" s="49">
        <v>152660</v>
      </c>
      <c r="G4874" s="77" t="s">
        <v>6453</v>
      </c>
      <c r="H4874" s="14" t="s">
        <v>5601</v>
      </c>
      <c r="I4874" s="14" t="s">
        <v>2458</v>
      </c>
      <c r="J4874" s="33" t="s">
        <v>7110</v>
      </c>
      <c r="K4874" s="33" t="s">
        <v>13331</v>
      </c>
      <c r="L4874" s="53" t="s">
        <v>6054</v>
      </c>
      <c r="M4874" s="68" t="s">
        <v>8913</v>
      </c>
      <c r="N4874" s="53" t="s">
        <v>6076</v>
      </c>
      <c r="O4874" s="53">
        <v>55301</v>
      </c>
      <c r="P4874" s="198" t="s">
        <v>12673</v>
      </c>
    </row>
    <row r="4875" spans="1:16" ht="18.75" hidden="1">
      <c r="A4875" s="50" t="s">
        <v>13283</v>
      </c>
      <c r="B4875" s="50" t="s">
        <v>12898</v>
      </c>
      <c r="C4875" s="50" t="s">
        <v>13280</v>
      </c>
      <c r="D4875" s="12" t="s">
        <v>12717</v>
      </c>
      <c r="E4875" s="12" t="s">
        <v>4971</v>
      </c>
      <c r="F4875" s="49">
        <v>45600</v>
      </c>
      <c r="G4875" s="77" t="s">
        <v>6300</v>
      </c>
      <c r="H4875" s="14" t="s">
        <v>5601</v>
      </c>
      <c r="I4875" s="14" t="s">
        <v>2458</v>
      </c>
      <c r="J4875" s="33" t="s">
        <v>7110</v>
      </c>
      <c r="K4875" s="33" t="s">
        <v>13331</v>
      </c>
      <c r="L4875" s="53" t="s">
        <v>6054</v>
      </c>
      <c r="M4875" s="68" t="s">
        <v>8913</v>
      </c>
      <c r="N4875" s="53" t="s">
        <v>9836</v>
      </c>
      <c r="O4875" s="53">
        <v>55112</v>
      </c>
      <c r="P4875" s="198" t="s">
        <v>12674</v>
      </c>
    </row>
    <row r="4876" spans="1:16" ht="18.75" hidden="1">
      <c r="A4876" s="50" t="s">
        <v>13275</v>
      </c>
      <c r="B4876" s="50" t="s">
        <v>12898</v>
      </c>
      <c r="C4876" s="50" t="s">
        <v>12976</v>
      </c>
      <c r="D4876" s="12" t="s">
        <v>12705</v>
      </c>
      <c r="E4876" s="12" t="s">
        <v>4971</v>
      </c>
      <c r="F4876" s="49">
        <v>285500</v>
      </c>
      <c r="G4876" s="77" t="s">
        <v>6453</v>
      </c>
      <c r="H4876" s="14" t="s">
        <v>5601</v>
      </c>
      <c r="I4876" s="14" t="s">
        <v>2458</v>
      </c>
      <c r="J4876" s="33" t="s">
        <v>7110</v>
      </c>
      <c r="K4876" s="33" t="s">
        <v>13331</v>
      </c>
      <c r="L4876" s="53" t="s">
        <v>6054</v>
      </c>
      <c r="M4876" s="68" t="s">
        <v>8913</v>
      </c>
      <c r="N4876" s="53" t="s">
        <v>6076</v>
      </c>
      <c r="O4876" s="53">
        <v>55301</v>
      </c>
      <c r="P4876" s="198" t="s">
        <v>12673</v>
      </c>
    </row>
    <row r="4877" spans="1:16" ht="18.75" hidden="1">
      <c r="A4877" s="50" t="s">
        <v>13277</v>
      </c>
      <c r="B4877" s="50" t="s">
        <v>13278</v>
      </c>
      <c r="C4877" s="50" t="s">
        <v>12973</v>
      </c>
      <c r="D4877" s="12" t="s">
        <v>12895</v>
      </c>
      <c r="E4877" s="12" t="s">
        <v>4971</v>
      </c>
      <c r="F4877" s="49">
        <v>142460</v>
      </c>
      <c r="G4877" s="77" t="s">
        <v>6453</v>
      </c>
      <c r="H4877" s="14" t="s">
        <v>5601</v>
      </c>
      <c r="I4877" s="14" t="s">
        <v>2458</v>
      </c>
      <c r="J4877" s="33" t="s">
        <v>7110</v>
      </c>
      <c r="K4877" s="33" t="s">
        <v>13331</v>
      </c>
      <c r="L4877" s="53" t="s">
        <v>6054</v>
      </c>
      <c r="M4877" s="68" t="s">
        <v>8913</v>
      </c>
      <c r="N4877" s="53" t="s">
        <v>6076</v>
      </c>
      <c r="O4877" s="53">
        <v>55301</v>
      </c>
      <c r="P4877" s="198" t="s">
        <v>12673</v>
      </c>
    </row>
    <row r="4878" spans="1:16" ht="18.75" hidden="1">
      <c r="A4878" s="50" t="s">
        <v>13277</v>
      </c>
      <c r="B4878" s="50" t="s">
        <v>13278</v>
      </c>
      <c r="C4878" s="50" t="s">
        <v>12974</v>
      </c>
      <c r="D4878" s="12" t="s">
        <v>12921</v>
      </c>
      <c r="E4878" s="12" t="s">
        <v>4971</v>
      </c>
      <c r="F4878" s="49">
        <v>49840</v>
      </c>
      <c r="G4878" s="77" t="s">
        <v>12608</v>
      </c>
      <c r="H4878" s="14" t="s">
        <v>5601</v>
      </c>
      <c r="I4878" s="14" t="s">
        <v>2458</v>
      </c>
      <c r="J4878" s="33" t="s">
        <v>7110</v>
      </c>
      <c r="K4878" s="33" t="s">
        <v>13331</v>
      </c>
      <c r="L4878" s="53" t="s">
        <v>6054</v>
      </c>
      <c r="M4878" s="68" t="s">
        <v>8913</v>
      </c>
      <c r="N4878" s="53" t="s">
        <v>6076</v>
      </c>
      <c r="O4878" s="53">
        <v>55301</v>
      </c>
      <c r="P4878" s="198" t="s">
        <v>12677</v>
      </c>
    </row>
    <row r="4879" spans="1:16" ht="18.75" hidden="1">
      <c r="A4879" s="50" t="s">
        <v>13287</v>
      </c>
      <c r="B4879" s="50" t="s">
        <v>12824</v>
      </c>
      <c r="C4879" s="50" t="s">
        <v>12966</v>
      </c>
      <c r="D4879" s="12" t="s">
        <v>12964</v>
      </c>
      <c r="E4879" s="12" t="s">
        <v>4971</v>
      </c>
      <c r="F4879" s="49">
        <v>50720</v>
      </c>
      <c r="G4879" s="77" t="s">
        <v>6453</v>
      </c>
      <c r="H4879" s="14" t="s">
        <v>5601</v>
      </c>
      <c r="I4879" s="14" t="s">
        <v>2458</v>
      </c>
      <c r="J4879" s="33" t="s">
        <v>7110</v>
      </c>
      <c r="K4879" s="33" t="s">
        <v>13331</v>
      </c>
      <c r="L4879" s="53" t="s">
        <v>6054</v>
      </c>
      <c r="M4879" s="68" t="s">
        <v>8912</v>
      </c>
      <c r="N4879" s="53" t="s">
        <v>6285</v>
      </c>
      <c r="O4879" s="53">
        <v>55200</v>
      </c>
      <c r="P4879" s="198" t="s">
        <v>12673</v>
      </c>
    </row>
    <row r="4880" spans="1:16" ht="18.75" hidden="1">
      <c r="A4880" s="50" t="s">
        <v>13288</v>
      </c>
      <c r="B4880" s="50" t="s">
        <v>12824</v>
      </c>
      <c r="C4880" s="50" t="s">
        <v>12799</v>
      </c>
      <c r="D4880" s="12" t="s">
        <v>10052</v>
      </c>
      <c r="E4880" s="12" t="s">
        <v>4971</v>
      </c>
      <c r="F4880" s="49">
        <v>17100</v>
      </c>
      <c r="G4880" s="77" t="s">
        <v>6298</v>
      </c>
      <c r="H4880" s="14" t="s">
        <v>5601</v>
      </c>
      <c r="I4880" s="14" t="s">
        <v>2458</v>
      </c>
      <c r="J4880" s="33" t="s">
        <v>7110</v>
      </c>
      <c r="K4880" s="33" t="s">
        <v>13331</v>
      </c>
      <c r="L4880" s="53" t="s">
        <v>6054</v>
      </c>
      <c r="M4880" s="68" t="s">
        <v>8913</v>
      </c>
      <c r="N4880" s="53" t="s">
        <v>6076</v>
      </c>
      <c r="O4880" s="53">
        <v>55301</v>
      </c>
      <c r="P4880" s="198" t="s">
        <v>9769</v>
      </c>
    </row>
    <row r="4881" spans="1:16" ht="18.75" hidden="1">
      <c r="A4881" s="50" t="s">
        <v>13288</v>
      </c>
      <c r="B4881" s="50" t="s">
        <v>12824</v>
      </c>
      <c r="C4881" s="50" t="s">
        <v>12974</v>
      </c>
      <c r="D4881" s="12" t="s">
        <v>12921</v>
      </c>
      <c r="E4881" s="12" t="s">
        <v>4971</v>
      </c>
      <c r="F4881" s="49">
        <v>27060</v>
      </c>
      <c r="G4881" s="77" t="s">
        <v>12608</v>
      </c>
      <c r="H4881" s="14" t="s">
        <v>5601</v>
      </c>
      <c r="I4881" s="14" t="s">
        <v>2458</v>
      </c>
      <c r="J4881" s="33" t="s">
        <v>7110</v>
      </c>
      <c r="K4881" s="33" t="s">
        <v>13331</v>
      </c>
      <c r="L4881" s="53" t="s">
        <v>6054</v>
      </c>
      <c r="M4881" s="68" t="s">
        <v>8913</v>
      </c>
      <c r="N4881" s="53" t="s">
        <v>6076</v>
      </c>
      <c r="O4881" s="53">
        <v>55301</v>
      </c>
      <c r="P4881" s="198" t="s">
        <v>12677</v>
      </c>
    </row>
    <row r="4882" spans="1:16" ht="18.75" hidden="1">
      <c r="A4882" s="50" t="s">
        <v>13277</v>
      </c>
      <c r="B4882" s="50" t="s">
        <v>13278</v>
      </c>
      <c r="C4882" s="50" t="s">
        <v>13289</v>
      </c>
      <c r="D4882" s="12" t="s">
        <v>12481</v>
      </c>
      <c r="E4882" s="12" t="s">
        <v>4971</v>
      </c>
      <c r="F4882" s="49">
        <v>130690</v>
      </c>
      <c r="G4882" s="77" t="s">
        <v>6298</v>
      </c>
      <c r="H4882" s="14" t="s">
        <v>5601</v>
      </c>
      <c r="I4882" s="14" t="s">
        <v>2458</v>
      </c>
      <c r="J4882" s="33" t="s">
        <v>7110</v>
      </c>
      <c r="K4882" s="33" t="s">
        <v>13331</v>
      </c>
      <c r="L4882" s="53" t="s">
        <v>6054</v>
      </c>
      <c r="M4882" s="68" t="s">
        <v>8913</v>
      </c>
      <c r="N4882" s="53" t="s">
        <v>6076</v>
      </c>
      <c r="O4882" s="53">
        <v>55301</v>
      </c>
      <c r="P4882" s="198" t="s">
        <v>12260</v>
      </c>
    </row>
    <row r="4883" spans="1:16" ht="18.75" hidden="1">
      <c r="A4883" s="50" t="s">
        <v>13288</v>
      </c>
      <c r="B4883" s="50" t="s">
        <v>12824</v>
      </c>
      <c r="C4883" s="50" t="s">
        <v>12978</v>
      </c>
      <c r="D4883" s="12" t="s">
        <v>10036</v>
      </c>
      <c r="E4883" s="12" t="s">
        <v>4971</v>
      </c>
      <c r="F4883" s="49">
        <v>14660</v>
      </c>
      <c r="G4883" s="77" t="s">
        <v>6298</v>
      </c>
      <c r="H4883" s="14" t="s">
        <v>5601</v>
      </c>
      <c r="I4883" s="14" t="s">
        <v>2458</v>
      </c>
      <c r="J4883" s="33" t="s">
        <v>7110</v>
      </c>
      <c r="K4883" s="33" t="s">
        <v>13331</v>
      </c>
      <c r="L4883" s="53" t="s">
        <v>6054</v>
      </c>
      <c r="M4883" s="68" t="s">
        <v>8913</v>
      </c>
      <c r="N4883" s="53" t="s">
        <v>6076</v>
      </c>
      <c r="O4883" s="53">
        <v>55301</v>
      </c>
      <c r="P4883" s="198" t="s">
        <v>9763</v>
      </c>
    </row>
    <row r="4884" spans="1:16" ht="18.75" hidden="1">
      <c r="A4884" s="50" t="s">
        <v>13288</v>
      </c>
      <c r="B4884" s="50" t="s">
        <v>12824</v>
      </c>
      <c r="C4884" s="50" t="s">
        <v>12966</v>
      </c>
      <c r="D4884" s="12" t="s">
        <v>12964</v>
      </c>
      <c r="E4884" s="12" t="s">
        <v>4971</v>
      </c>
      <c r="F4884" s="49">
        <v>190700</v>
      </c>
      <c r="G4884" s="77" t="s">
        <v>6453</v>
      </c>
      <c r="H4884" s="14" t="s">
        <v>5601</v>
      </c>
      <c r="I4884" s="14" t="s">
        <v>2458</v>
      </c>
      <c r="J4884" s="33" t="s">
        <v>7110</v>
      </c>
      <c r="K4884" s="33" t="s">
        <v>13331</v>
      </c>
      <c r="L4884" s="53" t="s">
        <v>6054</v>
      </c>
      <c r="M4884" s="68" t="s">
        <v>8913</v>
      </c>
      <c r="N4884" s="53" t="s">
        <v>6076</v>
      </c>
      <c r="O4884" s="53">
        <v>55301</v>
      </c>
      <c r="P4884" s="198" t="s">
        <v>12673</v>
      </c>
    </row>
    <row r="4885" spans="1:16" ht="18.75" hidden="1">
      <c r="A4885" s="50" t="s">
        <v>13290</v>
      </c>
      <c r="B4885" s="50" t="s">
        <v>12878</v>
      </c>
      <c r="C4885" s="50" t="s">
        <v>13291</v>
      </c>
      <c r="D4885" s="12" t="s">
        <v>12499</v>
      </c>
      <c r="E4885" s="12" t="s">
        <v>4971</v>
      </c>
      <c r="F4885" s="49">
        <v>130000</v>
      </c>
      <c r="G4885" s="77" t="s">
        <v>6298</v>
      </c>
      <c r="H4885" s="14" t="s">
        <v>5601</v>
      </c>
      <c r="I4885" s="14" t="s">
        <v>2458</v>
      </c>
      <c r="J4885" s="33" t="s">
        <v>7110</v>
      </c>
      <c r="K4885" s="33" t="s">
        <v>13331</v>
      </c>
      <c r="L4885" s="53" t="s">
        <v>6054</v>
      </c>
      <c r="M4885" s="68" t="s">
        <v>8912</v>
      </c>
      <c r="N4885" s="53" t="s">
        <v>6076</v>
      </c>
      <c r="O4885" s="53">
        <v>55301</v>
      </c>
      <c r="P4885" s="198" t="s">
        <v>12260</v>
      </c>
    </row>
    <row r="4886" spans="1:16" ht="18.75" hidden="1">
      <c r="A4886" s="50" t="s">
        <v>13292</v>
      </c>
      <c r="B4886" s="50" t="s">
        <v>12878</v>
      </c>
      <c r="C4886" s="50" t="s">
        <v>12973</v>
      </c>
      <c r="D4886" s="12" t="s">
        <v>12895</v>
      </c>
      <c r="E4886" s="12" t="s">
        <v>4971</v>
      </c>
      <c r="F4886" s="49">
        <v>150350</v>
      </c>
      <c r="G4886" s="77" t="s">
        <v>6453</v>
      </c>
      <c r="H4886" s="14" t="s">
        <v>5601</v>
      </c>
      <c r="I4886" s="14" t="s">
        <v>2458</v>
      </c>
      <c r="J4886" s="33" t="s">
        <v>7110</v>
      </c>
      <c r="K4886" s="33" t="s">
        <v>13331</v>
      </c>
      <c r="L4886" s="53" t="s">
        <v>6054</v>
      </c>
      <c r="M4886" s="68" t="s">
        <v>8912</v>
      </c>
      <c r="N4886" s="53" t="s">
        <v>6285</v>
      </c>
      <c r="O4886" s="53">
        <v>55200</v>
      </c>
      <c r="P4886" s="198" t="s">
        <v>12673</v>
      </c>
    </row>
    <row r="4887" spans="1:16" ht="18.75" hidden="1">
      <c r="A4887" s="50" t="s">
        <v>13288</v>
      </c>
      <c r="B4887" s="50" t="s">
        <v>12824</v>
      </c>
      <c r="C4887" s="50" t="s">
        <v>13293</v>
      </c>
      <c r="D4887" s="12" t="s">
        <v>12374</v>
      </c>
      <c r="E4887" s="12" t="s">
        <v>4971</v>
      </c>
      <c r="F4887" s="49">
        <v>499100</v>
      </c>
      <c r="G4887" s="77" t="s">
        <v>6298</v>
      </c>
      <c r="H4887" s="14" t="s">
        <v>5601</v>
      </c>
      <c r="I4887" s="14" t="s">
        <v>2458</v>
      </c>
      <c r="J4887" s="33" t="s">
        <v>7110</v>
      </c>
      <c r="K4887" s="33" t="s">
        <v>13331</v>
      </c>
      <c r="L4887" s="53" t="s">
        <v>6054</v>
      </c>
      <c r="M4887" s="68" t="s">
        <v>8913</v>
      </c>
      <c r="N4887" s="53" t="s">
        <v>6076</v>
      </c>
      <c r="O4887" s="53">
        <v>55301</v>
      </c>
      <c r="P4887" s="198" t="s">
        <v>9763</v>
      </c>
    </row>
    <row r="4888" spans="1:16" ht="18.75" hidden="1">
      <c r="A4888" s="50" t="s">
        <v>13294</v>
      </c>
      <c r="B4888" s="50" t="s">
        <v>12824</v>
      </c>
      <c r="C4888" s="50" t="s">
        <v>12969</v>
      </c>
      <c r="D4888" s="12" t="s">
        <v>9998</v>
      </c>
      <c r="E4888" s="12" t="s">
        <v>4971</v>
      </c>
      <c r="F4888" s="49">
        <v>190230</v>
      </c>
      <c r="G4888" s="77" t="s">
        <v>6298</v>
      </c>
      <c r="H4888" s="14" t="s">
        <v>5601</v>
      </c>
      <c r="I4888" s="14" t="s">
        <v>2458</v>
      </c>
      <c r="J4888" s="33" t="s">
        <v>7110</v>
      </c>
      <c r="K4888" s="33" t="s">
        <v>13331</v>
      </c>
      <c r="L4888" s="53" t="s">
        <v>6054</v>
      </c>
      <c r="M4888" s="68" t="s">
        <v>8912</v>
      </c>
      <c r="N4888" s="53" t="s">
        <v>6076</v>
      </c>
      <c r="O4888" s="53">
        <v>55301</v>
      </c>
      <c r="P4888" s="198" t="s">
        <v>12260</v>
      </c>
    </row>
    <row r="4889" spans="1:16" ht="18.75" hidden="1">
      <c r="A4889" s="50" t="s">
        <v>13290</v>
      </c>
      <c r="B4889" s="50" t="s">
        <v>12878</v>
      </c>
      <c r="C4889" s="50" t="s">
        <v>13289</v>
      </c>
      <c r="D4889" s="12" t="s">
        <v>12481</v>
      </c>
      <c r="E4889" s="12" t="s">
        <v>4971</v>
      </c>
      <c r="F4889" s="49">
        <v>84310</v>
      </c>
      <c r="G4889" s="77" t="s">
        <v>6298</v>
      </c>
      <c r="H4889" s="14" t="s">
        <v>5601</v>
      </c>
      <c r="I4889" s="14" t="s">
        <v>2458</v>
      </c>
      <c r="J4889" s="33" t="s">
        <v>7110</v>
      </c>
      <c r="K4889" s="33" t="s">
        <v>13331</v>
      </c>
      <c r="L4889" s="53" t="s">
        <v>6054</v>
      </c>
      <c r="M4889" s="68" t="s">
        <v>8912</v>
      </c>
      <c r="N4889" s="53" t="s">
        <v>6076</v>
      </c>
      <c r="O4889" s="53">
        <v>55301</v>
      </c>
      <c r="P4889" s="198" t="s">
        <v>12260</v>
      </c>
    </row>
    <row r="4890" spans="1:16" ht="18.75" hidden="1">
      <c r="A4890" s="50" t="s">
        <v>13274</v>
      </c>
      <c r="B4890" s="50" t="s">
        <v>12953</v>
      </c>
      <c r="C4890" s="50" t="s">
        <v>12959</v>
      </c>
      <c r="D4890" s="12" t="s">
        <v>12691</v>
      </c>
      <c r="E4890" s="12" t="s">
        <v>4971</v>
      </c>
      <c r="F4890" s="49">
        <v>99740</v>
      </c>
      <c r="G4890" s="77" t="s">
        <v>6300</v>
      </c>
      <c r="H4890" s="14" t="s">
        <v>5601</v>
      </c>
      <c r="I4890" s="14" t="s">
        <v>2458</v>
      </c>
      <c r="J4890" s="33" t="s">
        <v>7110</v>
      </c>
      <c r="K4890" s="33" t="s">
        <v>13331</v>
      </c>
      <c r="L4890" s="53" t="s">
        <v>6054</v>
      </c>
      <c r="M4890" s="68" t="s">
        <v>8913</v>
      </c>
      <c r="N4890" s="53" t="s">
        <v>6076</v>
      </c>
      <c r="O4890" s="53">
        <v>55301</v>
      </c>
      <c r="P4890" s="198" t="s">
        <v>12424</v>
      </c>
    </row>
    <row r="4891" spans="1:16" ht="18.75" hidden="1">
      <c r="A4891" s="50" t="s">
        <v>13277</v>
      </c>
      <c r="B4891" s="50" t="s">
        <v>13278</v>
      </c>
      <c r="C4891" s="50" t="s">
        <v>13205</v>
      </c>
      <c r="D4891" s="12" t="s">
        <v>12530</v>
      </c>
      <c r="E4891" s="12" t="s">
        <v>4971</v>
      </c>
      <c r="F4891" s="49">
        <v>153810</v>
      </c>
      <c r="G4891" s="77" t="s">
        <v>6298</v>
      </c>
      <c r="H4891" s="14" t="s">
        <v>5601</v>
      </c>
      <c r="I4891" s="14" t="s">
        <v>2458</v>
      </c>
      <c r="J4891" s="33" t="s">
        <v>7110</v>
      </c>
      <c r="K4891" s="33" t="s">
        <v>13331</v>
      </c>
      <c r="L4891" s="53" t="s">
        <v>6054</v>
      </c>
      <c r="M4891" s="68" t="s">
        <v>8913</v>
      </c>
      <c r="N4891" s="53" t="s">
        <v>6076</v>
      </c>
      <c r="O4891" s="53">
        <v>55301</v>
      </c>
      <c r="P4891" s="198" t="s">
        <v>12260</v>
      </c>
    </row>
    <row r="4892" spans="1:16" ht="18.75" hidden="1">
      <c r="A4892" s="50" t="s">
        <v>13283</v>
      </c>
      <c r="B4892" s="50" t="s">
        <v>12898</v>
      </c>
      <c r="C4892" s="50" t="s">
        <v>13286</v>
      </c>
      <c r="D4892" s="12" t="s">
        <v>12699</v>
      </c>
      <c r="E4892" s="12" t="s">
        <v>4971</v>
      </c>
      <c r="F4892" s="49">
        <v>145680</v>
      </c>
      <c r="G4892" s="77" t="s">
        <v>6453</v>
      </c>
      <c r="H4892" s="14" t="s">
        <v>5601</v>
      </c>
      <c r="I4892" s="14" t="s">
        <v>2458</v>
      </c>
      <c r="J4892" s="33" t="s">
        <v>7110</v>
      </c>
      <c r="K4892" s="33" t="s">
        <v>13331</v>
      </c>
      <c r="L4892" s="53" t="s">
        <v>6054</v>
      </c>
      <c r="M4892" s="68" t="s">
        <v>8913</v>
      </c>
      <c r="N4892" s="53" t="s">
        <v>9836</v>
      </c>
      <c r="O4892" s="53">
        <v>55112</v>
      </c>
      <c r="P4892" s="198" t="s">
        <v>12673</v>
      </c>
    </row>
    <row r="4893" spans="1:16" ht="18.75" hidden="1">
      <c r="A4893" s="50" t="s">
        <v>13288</v>
      </c>
      <c r="B4893" s="50" t="s">
        <v>12824</v>
      </c>
      <c r="C4893" s="50" t="s">
        <v>13286</v>
      </c>
      <c r="D4893" s="12" t="s">
        <v>12699</v>
      </c>
      <c r="E4893" s="12" t="s">
        <v>4971</v>
      </c>
      <c r="F4893" s="49">
        <v>101660</v>
      </c>
      <c r="G4893" s="77" t="s">
        <v>6453</v>
      </c>
      <c r="H4893" s="14" t="s">
        <v>5601</v>
      </c>
      <c r="I4893" s="14" t="s">
        <v>2458</v>
      </c>
      <c r="J4893" s="33" t="s">
        <v>7110</v>
      </c>
      <c r="K4893" s="33" t="s">
        <v>13331</v>
      </c>
      <c r="L4893" s="53" t="s">
        <v>6054</v>
      </c>
      <c r="M4893" s="68" t="s">
        <v>8913</v>
      </c>
      <c r="N4893" s="53" t="s">
        <v>6076</v>
      </c>
      <c r="O4893" s="53">
        <v>55301</v>
      </c>
      <c r="P4893" s="198" t="s">
        <v>12673</v>
      </c>
    </row>
    <row r="4894" spans="1:16" ht="18.75" hidden="1">
      <c r="A4894" s="50" t="s">
        <v>13282</v>
      </c>
      <c r="B4894" s="50" t="s">
        <v>13278</v>
      </c>
      <c r="C4894" s="50" t="s">
        <v>13192</v>
      </c>
      <c r="D4894" s="12" t="s">
        <v>12898</v>
      </c>
      <c r="E4894" s="12" t="s">
        <v>4971</v>
      </c>
      <c r="F4894" s="49">
        <v>95130</v>
      </c>
      <c r="G4894" s="77" t="s">
        <v>12608</v>
      </c>
      <c r="H4894" s="14" t="s">
        <v>5601</v>
      </c>
      <c r="I4894" s="14" t="s">
        <v>2458</v>
      </c>
      <c r="J4894" s="33" t="s">
        <v>7110</v>
      </c>
      <c r="K4894" s="33" t="s">
        <v>13331</v>
      </c>
      <c r="L4894" s="53" t="s">
        <v>6054</v>
      </c>
      <c r="M4894" s="68" t="s">
        <v>8912</v>
      </c>
      <c r="N4894" s="53" t="s">
        <v>6076</v>
      </c>
      <c r="O4894" s="53">
        <v>55301</v>
      </c>
      <c r="P4894" s="198" t="s">
        <v>12677</v>
      </c>
    </row>
    <row r="4895" spans="1:16" ht="18.75" hidden="1">
      <c r="A4895" s="50" t="s">
        <v>13295</v>
      </c>
      <c r="B4895" s="50" t="s">
        <v>12893</v>
      </c>
      <c r="C4895" s="50" t="s">
        <v>13206</v>
      </c>
      <c r="D4895" s="12" t="s">
        <v>12736</v>
      </c>
      <c r="E4895" s="12" t="s">
        <v>4971</v>
      </c>
      <c r="F4895" s="49">
        <v>22020</v>
      </c>
      <c r="G4895" s="77" t="s">
        <v>6299</v>
      </c>
      <c r="H4895" s="14" t="s">
        <v>5601</v>
      </c>
      <c r="I4895" s="14" t="s">
        <v>2458</v>
      </c>
      <c r="J4895" s="33" t="s">
        <v>7110</v>
      </c>
      <c r="K4895" s="33" t="s">
        <v>13331</v>
      </c>
      <c r="L4895" s="53" t="s">
        <v>6054</v>
      </c>
      <c r="M4895" s="68" t="s">
        <v>8913</v>
      </c>
      <c r="N4895" s="53" t="s">
        <v>6076</v>
      </c>
      <c r="O4895" s="53">
        <v>55301</v>
      </c>
      <c r="P4895" s="198" t="s">
        <v>12676</v>
      </c>
    </row>
    <row r="4896" spans="1:16" ht="18.75" hidden="1">
      <c r="A4896" s="50" t="s">
        <v>13295</v>
      </c>
      <c r="B4896" s="50" t="s">
        <v>12893</v>
      </c>
      <c r="C4896" s="50" t="s">
        <v>13194</v>
      </c>
      <c r="D4896" s="12" t="s">
        <v>12824</v>
      </c>
      <c r="E4896" s="12" t="s">
        <v>4971</v>
      </c>
      <c r="F4896" s="49">
        <v>70160</v>
      </c>
      <c r="G4896" s="77" t="s">
        <v>12608</v>
      </c>
      <c r="H4896" s="14" t="s">
        <v>5601</v>
      </c>
      <c r="I4896" s="14" t="s">
        <v>2458</v>
      </c>
      <c r="J4896" s="33" t="s">
        <v>7110</v>
      </c>
      <c r="K4896" s="33" t="s">
        <v>13331</v>
      </c>
      <c r="L4896" s="53" t="s">
        <v>6054</v>
      </c>
      <c r="M4896" s="68" t="s">
        <v>8913</v>
      </c>
      <c r="N4896" s="53" t="s">
        <v>6076</v>
      </c>
      <c r="O4896" s="53">
        <v>55301</v>
      </c>
      <c r="P4896" s="198" t="s">
        <v>12677</v>
      </c>
    </row>
    <row r="4897" spans="1:16" ht="18.75" hidden="1">
      <c r="A4897" s="50" t="s">
        <v>13296</v>
      </c>
      <c r="B4897" s="50" t="s">
        <v>13200</v>
      </c>
      <c r="C4897" s="50" t="s">
        <v>13297</v>
      </c>
      <c r="D4897" s="12" t="s">
        <v>8616</v>
      </c>
      <c r="E4897" s="12" t="s">
        <v>4971</v>
      </c>
      <c r="F4897" s="49">
        <v>50000</v>
      </c>
      <c r="G4897" s="77" t="s">
        <v>6454</v>
      </c>
      <c r="H4897" s="14" t="s">
        <v>5601</v>
      </c>
      <c r="I4897" s="14" t="s">
        <v>2458</v>
      </c>
      <c r="J4897" s="33" t="s">
        <v>7110</v>
      </c>
      <c r="K4897" s="33" t="s">
        <v>13331</v>
      </c>
      <c r="L4897" s="53" t="s">
        <v>6054</v>
      </c>
      <c r="M4897" s="68" t="s">
        <v>8913</v>
      </c>
      <c r="N4897" s="53" t="s">
        <v>6076</v>
      </c>
      <c r="O4897" s="53">
        <v>55301</v>
      </c>
      <c r="P4897" s="198" t="s">
        <v>7121</v>
      </c>
    </row>
    <row r="4898" spans="1:16" ht="18.75" hidden="1">
      <c r="A4898" s="50" t="s">
        <v>13296</v>
      </c>
      <c r="B4898" s="50" t="s">
        <v>13200</v>
      </c>
      <c r="C4898" s="50" t="s">
        <v>13202</v>
      </c>
      <c r="D4898" s="12" t="s">
        <v>9715</v>
      </c>
      <c r="E4898" s="12" t="s">
        <v>4971</v>
      </c>
      <c r="F4898" s="49">
        <v>91500</v>
      </c>
      <c r="G4898" s="77" t="s">
        <v>6454</v>
      </c>
      <c r="H4898" s="14" t="s">
        <v>5601</v>
      </c>
      <c r="I4898" s="14" t="s">
        <v>2458</v>
      </c>
      <c r="J4898" s="33" t="s">
        <v>7110</v>
      </c>
      <c r="K4898" s="33" t="s">
        <v>13331</v>
      </c>
      <c r="L4898" s="53" t="s">
        <v>6054</v>
      </c>
      <c r="M4898" s="68" t="s">
        <v>8913</v>
      </c>
      <c r="N4898" s="53" t="s">
        <v>6076</v>
      </c>
      <c r="O4898" s="53">
        <v>55301</v>
      </c>
      <c r="P4898" s="198" t="s">
        <v>8748</v>
      </c>
    </row>
    <row r="4899" spans="1:16" ht="18.75" hidden="1">
      <c r="A4899" s="50" t="s">
        <v>13295</v>
      </c>
      <c r="B4899" s="50" t="s">
        <v>12893</v>
      </c>
      <c r="C4899" s="50" t="s">
        <v>13207</v>
      </c>
      <c r="D4899" s="12" t="s">
        <v>10033</v>
      </c>
      <c r="E4899" s="12" t="s">
        <v>4971</v>
      </c>
      <c r="F4899" s="49">
        <v>192890</v>
      </c>
      <c r="G4899" s="77" t="s">
        <v>6454</v>
      </c>
      <c r="H4899" s="14" t="s">
        <v>5601</v>
      </c>
      <c r="I4899" s="14" t="s">
        <v>2458</v>
      </c>
      <c r="J4899" s="33" t="s">
        <v>7110</v>
      </c>
      <c r="K4899" s="33" t="s">
        <v>13331</v>
      </c>
      <c r="L4899" s="53" t="s">
        <v>6054</v>
      </c>
      <c r="M4899" s="68" t="s">
        <v>8913</v>
      </c>
      <c r="N4899" s="53" t="s">
        <v>6076</v>
      </c>
      <c r="O4899" s="53">
        <v>55301</v>
      </c>
      <c r="P4899" s="198" t="s">
        <v>9789</v>
      </c>
    </row>
    <row r="4900" spans="1:16" ht="18.75" hidden="1">
      <c r="A4900" s="50" t="s">
        <v>13295</v>
      </c>
      <c r="B4900" s="50" t="s">
        <v>12893</v>
      </c>
      <c r="C4900" s="50" t="s">
        <v>13208</v>
      </c>
      <c r="D4900" s="12" t="s">
        <v>10033</v>
      </c>
      <c r="E4900" s="12" t="s">
        <v>4971</v>
      </c>
      <c r="F4900" s="49">
        <v>646870</v>
      </c>
      <c r="G4900" s="77" t="s">
        <v>6454</v>
      </c>
      <c r="H4900" s="14" t="s">
        <v>5601</v>
      </c>
      <c r="I4900" s="14" t="s">
        <v>2458</v>
      </c>
      <c r="J4900" s="33" t="s">
        <v>7110</v>
      </c>
      <c r="K4900" s="33" t="s">
        <v>13331</v>
      </c>
      <c r="L4900" s="53" t="s">
        <v>6054</v>
      </c>
      <c r="M4900" s="68" t="s">
        <v>8913</v>
      </c>
      <c r="N4900" s="53" t="s">
        <v>6076</v>
      </c>
      <c r="O4900" s="53">
        <v>55301</v>
      </c>
      <c r="P4900" s="198" t="s">
        <v>9797</v>
      </c>
    </row>
    <row r="4901" spans="1:16" ht="18.75" hidden="1">
      <c r="A4901" s="50" t="s">
        <v>13298</v>
      </c>
      <c r="B4901" s="50" t="s">
        <v>12893</v>
      </c>
      <c r="C4901" s="50" t="s">
        <v>13208</v>
      </c>
      <c r="D4901" s="12" t="s">
        <v>10033</v>
      </c>
      <c r="E4901" s="12" t="s">
        <v>4971</v>
      </c>
      <c r="F4901" s="49">
        <v>76780</v>
      </c>
      <c r="G4901" s="77" t="s">
        <v>6454</v>
      </c>
      <c r="H4901" s="14" t="s">
        <v>5601</v>
      </c>
      <c r="I4901" s="14" t="s">
        <v>2458</v>
      </c>
      <c r="J4901" s="33" t="s">
        <v>7110</v>
      </c>
      <c r="K4901" s="33" t="s">
        <v>13331</v>
      </c>
      <c r="L4901" s="53" t="s">
        <v>6054</v>
      </c>
      <c r="M4901" s="68" t="s">
        <v>8912</v>
      </c>
      <c r="N4901" s="53" t="s">
        <v>6286</v>
      </c>
      <c r="O4901" s="53">
        <v>55107</v>
      </c>
      <c r="P4901" s="198" t="s">
        <v>9797</v>
      </c>
    </row>
    <row r="4902" spans="1:16" ht="18.75" hidden="1">
      <c r="A4902" s="50" t="s">
        <v>13299</v>
      </c>
      <c r="B4902" s="50" t="s">
        <v>13300</v>
      </c>
      <c r="C4902" s="50" t="s">
        <v>13301</v>
      </c>
      <c r="D4902" s="12" t="s">
        <v>12878</v>
      </c>
      <c r="E4902" s="12" t="s">
        <v>4971</v>
      </c>
      <c r="F4902" s="49">
        <v>115600</v>
      </c>
      <c r="G4902" s="77" t="s">
        <v>6453</v>
      </c>
      <c r="H4902" s="14" t="s">
        <v>5601</v>
      </c>
      <c r="I4902" s="14" t="s">
        <v>2458</v>
      </c>
      <c r="J4902" s="33" t="s">
        <v>7110</v>
      </c>
      <c r="K4902" s="33" t="s">
        <v>13331</v>
      </c>
      <c r="L4902" s="53" t="s">
        <v>6054</v>
      </c>
      <c r="M4902" s="68" t="s">
        <v>8913</v>
      </c>
      <c r="N4902" s="53" t="s">
        <v>6076</v>
      </c>
      <c r="O4902" s="53">
        <v>55301</v>
      </c>
      <c r="P4902" s="198" t="s">
        <v>12673</v>
      </c>
    </row>
    <row r="4903" spans="1:16" ht="18.75" hidden="1">
      <c r="A4903" s="50" t="s">
        <v>13302</v>
      </c>
      <c r="B4903" s="50" t="s">
        <v>13303</v>
      </c>
      <c r="C4903" s="50" t="s">
        <v>13304</v>
      </c>
      <c r="D4903" s="12" t="s">
        <v>9985</v>
      </c>
      <c r="E4903" s="12" t="s">
        <v>4971</v>
      </c>
      <c r="F4903" s="49">
        <v>63505</v>
      </c>
      <c r="G4903" s="77" t="s">
        <v>6298</v>
      </c>
      <c r="H4903" s="14" t="s">
        <v>5601</v>
      </c>
      <c r="I4903" s="14" t="s">
        <v>2458</v>
      </c>
      <c r="J4903" s="33" t="s">
        <v>7110</v>
      </c>
      <c r="K4903" s="33" t="s">
        <v>13331</v>
      </c>
      <c r="L4903" s="53" t="s">
        <v>6054</v>
      </c>
      <c r="M4903" s="68" t="s">
        <v>8912</v>
      </c>
      <c r="N4903" s="53" t="s">
        <v>6076</v>
      </c>
      <c r="O4903" s="53">
        <v>55301</v>
      </c>
      <c r="P4903" s="198" t="s">
        <v>9783</v>
      </c>
    </row>
    <row r="4904" spans="1:16" ht="18.75" hidden="1">
      <c r="A4904" s="50" t="s">
        <v>13299</v>
      </c>
      <c r="B4904" s="50" t="s">
        <v>13300</v>
      </c>
      <c r="C4904" s="50" t="s">
        <v>13305</v>
      </c>
      <c r="D4904" s="12" t="s">
        <v>12705</v>
      </c>
      <c r="E4904" s="12" t="s">
        <v>4971</v>
      </c>
      <c r="F4904" s="49">
        <v>71720</v>
      </c>
      <c r="G4904" s="77" t="s">
        <v>6454</v>
      </c>
      <c r="H4904" s="14" t="s">
        <v>5601</v>
      </c>
      <c r="I4904" s="14" t="s">
        <v>2458</v>
      </c>
      <c r="J4904" s="33" t="s">
        <v>7110</v>
      </c>
      <c r="K4904" s="33" t="s">
        <v>13331</v>
      </c>
      <c r="L4904" s="53" t="s">
        <v>6054</v>
      </c>
      <c r="M4904" s="68" t="s">
        <v>8913</v>
      </c>
      <c r="N4904" s="53" t="s">
        <v>6076</v>
      </c>
      <c r="O4904" s="53">
        <v>55301</v>
      </c>
      <c r="P4904" s="198" t="s">
        <v>12414</v>
      </c>
    </row>
    <row r="4905" spans="1:16" ht="18.75" hidden="1">
      <c r="A4905" s="50" t="s">
        <v>13302</v>
      </c>
      <c r="B4905" s="50" t="s">
        <v>13303</v>
      </c>
      <c r="C4905" s="50" t="s">
        <v>13306</v>
      </c>
      <c r="D4905" s="12" t="s">
        <v>9952</v>
      </c>
      <c r="E4905" s="12" t="s">
        <v>4971</v>
      </c>
      <c r="F4905" s="49">
        <v>72215</v>
      </c>
      <c r="G4905" s="77" t="s">
        <v>6298</v>
      </c>
      <c r="H4905" s="14" t="s">
        <v>5601</v>
      </c>
      <c r="I4905" s="14" t="s">
        <v>2458</v>
      </c>
      <c r="J4905" s="33" t="s">
        <v>7110</v>
      </c>
      <c r="K4905" s="33" t="s">
        <v>13331</v>
      </c>
      <c r="L4905" s="53" t="s">
        <v>6054</v>
      </c>
      <c r="M4905" s="68" t="s">
        <v>8912</v>
      </c>
      <c r="N4905" s="53" t="s">
        <v>6076</v>
      </c>
      <c r="O4905" s="53">
        <v>55301</v>
      </c>
      <c r="P4905" s="198" t="s">
        <v>9783</v>
      </c>
    </row>
    <row r="4906" spans="1:16" ht="18.75" hidden="1">
      <c r="A4906" s="50" t="s">
        <v>13307</v>
      </c>
      <c r="B4906" s="50" t="s">
        <v>13308</v>
      </c>
      <c r="C4906" s="50" t="s">
        <v>13306</v>
      </c>
      <c r="D4906" s="12" t="s">
        <v>9952</v>
      </c>
      <c r="E4906" s="12" t="s">
        <v>4971</v>
      </c>
      <c r="F4906" s="49">
        <v>260260</v>
      </c>
      <c r="G4906" s="77" t="s">
        <v>6298</v>
      </c>
      <c r="H4906" s="14" t="s">
        <v>5601</v>
      </c>
      <c r="I4906" s="14" t="s">
        <v>2458</v>
      </c>
      <c r="J4906" s="33" t="s">
        <v>7110</v>
      </c>
      <c r="K4906" s="33" t="s">
        <v>13331</v>
      </c>
      <c r="L4906" s="53" t="s">
        <v>6054</v>
      </c>
      <c r="M4906" s="68" t="s">
        <v>8912</v>
      </c>
      <c r="N4906" s="53" t="s">
        <v>6076</v>
      </c>
      <c r="O4906" s="53">
        <v>55301</v>
      </c>
      <c r="P4906" s="198" t="s">
        <v>9783</v>
      </c>
    </row>
    <row r="4907" spans="1:16" ht="18.75" hidden="1">
      <c r="A4907" s="50" t="s">
        <v>13309</v>
      </c>
      <c r="B4907" s="50" t="s">
        <v>13310</v>
      </c>
      <c r="C4907" s="50" t="s">
        <v>13305</v>
      </c>
      <c r="D4907" s="12" t="s">
        <v>12705</v>
      </c>
      <c r="E4907" s="12" t="s">
        <v>4971</v>
      </c>
      <c r="F4907" s="49">
        <v>42350</v>
      </c>
      <c r="G4907" s="77" t="s">
        <v>6454</v>
      </c>
      <c r="H4907" s="14" t="s">
        <v>5601</v>
      </c>
      <c r="I4907" s="14" t="s">
        <v>2458</v>
      </c>
      <c r="J4907" s="33" t="s">
        <v>7110</v>
      </c>
      <c r="K4907" s="33" t="s">
        <v>13331</v>
      </c>
      <c r="L4907" s="53" t="s">
        <v>6054</v>
      </c>
      <c r="M4907" s="68" t="s">
        <v>8912</v>
      </c>
      <c r="N4907" s="53" t="s">
        <v>6285</v>
      </c>
      <c r="O4907" s="53">
        <v>55200</v>
      </c>
      <c r="P4907" s="198" t="s">
        <v>12414</v>
      </c>
    </row>
    <row r="4908" spans="1:16" ht="18.75" hidden="1">
      <c r="A4908" s="50" t="s">
        <v>13309</v>
      </c>
      <c r="B4908" s="50" t="s">
        <v>13310</v>
      </c>
      <c r="C4908" s="50" t="s">
        <v>13311</v>
      </c>
      <c r="D4908" s="12" t="s">
        <v>12734</v>
      </c>
      <c r="E4908" s="12" t="s">
        <v>4971</v>
      </c>
      <c r="F4908" s="49">
        <v>280000</v>
      </c>
      <c r="G4908" s="77" t="s">
        <v>6298</v>
      </c>
      <c r="H4908" s="14" t="s">
        <v>5601</v>
      </c>
      <c r="I4908" s="14" t="s">
        <v>2458</v>
      </c>
      <c r="J4908" s="33" t="s">
        <v>7110</v>
      </c>
      <c r="K4908" s="33" t="s">
        <v>13331</v>
      </c>
      <c r="L4908" s="53" t="s">
        <v>6054</v>
      </c>
      <c r="M4908" s="68" t="s">
        <v>8912</v>
      </c>
      <c r="N4908" s="53" t="s">
        <v>6285</v>
      </c>
      <c r="O4908" s="53">
        <v>55200</v>
      </c>
      <c r="P4908" s="198" t="s">
        <v>12429</v>
      </c>
    </row>
    <row r="4909" spans="1:16" ht="18.75" hidden="1">
      <c r="A4909" s="50" t="s">
        <v>13309</v>
      </c>
      <c r="B4909" s="50" t="s">
        <v>13310</v>
      </c>
      <c r="C4909" s="50" t="s">
        <v>13312</v>
      </c>
      <c r="D4909" s="12" t="s">
        <v>12695</v>
      </c>
      <c r="E4909" s="12" t="s">
        <v>4971</v>
      </c>
      <c r="F4909" s="49">
        <v>960</v>
      </c>
      <c r="G4909" s="77" t="s">
        <v>6298</v>
      </c>
      <c r="H4909" s="14" t="s">
        <v>5601</v>
      </c>
      <c r="I4909" s="14" t="s">
        <v>2458</v>
      </c>
      <c r="J4909" s="33" t="s">
        <v>7110</v>
      </c>
      <c r="K4909" s="33" t="s">
        <v>13331</v>
      </c>
      <c r="L4909" s="53" t="s">
        <v>6054</v>
      </c>
      <c r="M4909" s="68" t="s">
        <v>8912</v>
      </c>
      <c r="N4909" s="53" t="s">
        <v>6285</v>
      </c>
      <c r="O4909" s="53">
        <v>55200</v>
      </c>
      <c r="P4909" s="198" t="s">
        <v>12429</v>
      </c>
    </row>
    <row r="4910" spans="1:16" ht="18.75" hidden="1">
      <c r="A4910" s="50" t="s">
        <v>13313</v>
      </c>
      <c r="B4910" s="50" t="s">
        <v>13308</v>
      </c>
      <c r="C4910" s="50" t="s">
        <v>13314</v>
      </c>
      <c r="D4910" s="12" t="s">
        <v>9835</v>
      </c>
      <c r="E4910" s="12" t="s">
        <v>4971</v>
      </c>
      <c r="F4910" s="49">
        <v>62805</v>
      </c>
      <c r="G4910" s="77" t="s">
        <v>6298</v>
      </c>
      <c r="H4910" s="14" t="s">
        <v>5601</v>
      </c>
      <c r="I4910" s="14" t="s">
        <v>2458</v>
      </c>
      <c r="J4910" s="33" t="s">
        <v>7110</v>
      </c>
      <c r="K4910" s="33" t="s">
        <v>13331</v>
      </c>
      <c r="L4910" s="53" t="s">
        <v>6054</v>
      </c>
      <c r="M4910" s="68" t="s">
        <v>8913</v>
      </c>
      <c r="N4910" s="53" t="s">
        <v>6076</v>
      </c>
      <c r="O4910" s="53">
        <v>55301</v>
      </c>
      <c r="P4910" s="198" t="s">
        <v>9783</v>
      </c>
    </row>
    <row r="4911" spans="1:16" ht="18.75" hidden="1">
      <c r="A4911" s="50" t="s">
        <v>13313</v>
      </c>
      <c r="B4911" s="50" t="s">
        <v>13308</v>
      </c>
      <c r="C4911" s="50" t="s">
        <v>13315</v>
      </c>
      <c r="D4911" s="12" t="s">
        <v>12824</v>
      </c>
      <c r="E4911" s="12" t="s">
        <v>4971</v>
      </c>
      <c r="F4911" s="49">
        <v>246720</v>
      </c>
      <c r="G4911" s="77" t="s">
        <v>6453</v>
      </c>
      <c r="H4911" s="14" t="s">
        <v>5601</v>
      </c>
      <c r="I4911" s="14" t="s">
        <v>2458</v>
      </c>
      <c r="J4911" s="33" t="s">
        <v>7110</v>
      </c>
      <c r="K4911" s="33" t="s">
        <v>13331</v>
      </c>
      <c r="L4911" s="53" t="s">
        <v>6054</v>
      </c>
      <c r="M4911" s="68" t="s">
        <v>8913</v>
      </c>
      <c r="N4911" s="53" t="s">
        <v>6076</v>
      </c>
      <c r="O4911" s="53">
        <v>55301</v>
      </c>
      <c r="P4911" s="198" t="s">
        <v>12673</v>
      </c>
    </row>
    <row r="4912" spans="1:16" ht="18.75" hidden="1">
      <c r="A4912" s="50" t="s">
        <v>13313</v>
      </c>
      <c r="B4912" s="50" t="s">
        <v>13308</v>
      </c>
      <c r="C4912" s="50" t="s">
        <v>13316</v>
      </c>
      <c r="D4912" s="12" t="s">
        <v>9835</v>
      </c>
      <c r="E4912" s="12" t="s">
        <v>4971</v>
      </c>
      <c r="F4912" s="49">
        <v>200000</v>
      </c>
      <c r="G4912" s="77" t="s">
        <v>6298</v>
      </c>
      <c r="H4912" s="14" t="s">
        <v>5601</v>
      </c>
      <c r="I4912" s="14" t="s">
        <v>2458</v>
      </c>
      <c r="J4912" s="33" t="s">
        <v>7110</v>
      </c>
      <c r="K4912" s="33" t="s">
        <v>13331</v>
      </c>
      <c r="L4912" s="53" t="s">
        <v>6054</v>
      </c>
      <c r="M4912" s="68" t="s">
        <v>8913</v>
      </c>
      <c r="N4912" s="53" t="s">
        <v>6076</v>
      </c>
      <c r="O4912" s="53">
        <v>55301</v>
      </c>
      <c r="P4912" s="198" t="s">
        <v>9783</v>
      </c>
    </row>
    <row r="4913" spans="1:16" ht="18.75" hidden="1">
      <c r="A4913" s="50" t="s">
        <v>13313</v>
      </c>
      <c r="B4913" s="50" t="s">
        <v>13308</v>
      </c>
      <c r="C4913" s="50" t="s">
        <v>13196</v>
      </c>
      <c r="D4913" s="12" t="s">
        <v>12824</v>
      </c>
      <c r="E4913" s="12" t="s">
        <v>4971</v>
      </c>
      <c r="F4913" s="49">
        <v>70740</v>
      </c>
      <c r="G4913" s="77" t="s">
        <v>6299</v>
      </c>
      <c r="H4913" s="14" t="s">
        <v>5601</v>
      </c>
      <c r="I4913" s="14" t="s">
        <v>2458</v>
      </c>
      <c r="J4913" s="33" t="s">
        <v>7110</v>
      </c>
      <c r="K4913" s="33" t="s">
        <v>13331</v>
      </c>
      <c r="L4913" s="53" t="s">
        <v>6054</v>
      </c>
      <c r="M4913" s="68" t="s">
        <v>8913</v>
      </c>
      <c r="N4913" s="53" t="s">
        <v>6076</v>
      </c>
      <c r="O4913" s="53">
        <v>55301</v>
      </c>
      <c r="P4913" s="198" t="s">
        <v>12936</v>
      </c>
    </row>
    <row r="4914" spans="1:16" ht="18.75" hidden="1">
      <c r="A4914" s="50" t="s">
        <v>13317</v>
      </c>
      <c r="B4914" s="50" t="s">
        <v>13318</v>
      </c>
      <c r="C4914" s="50" t="s">
        <v>13319</v>
      </c>
      <c r="D4914" s="12" t="s">
        <v>12736</v>
      </c>
      <c r="E4914" s="12" t="s">
        <v>4971</v>
      </c>
      <c r="F4914" s="49">
        <v>96880</v>
      </c>
      <c r="G4914" s="77" t="s">
        <v>6298</v>
      </c>
      <c r="H4914" s="14" t="s">
        <v>5601</v>
      </c>
      <c r="I4914" s="14" t="s">
        <v>2458</v>
      </c>
      <c r="J4914" s="33" t="s">
        <v>7110</v>
      </c>
      <c r="K4914" s="33" t="s">
        <v>13331</v>
      </c>
      <c r="L4914" s="53" t="s">
        <v>6054</v>
      </c>
      <c r="M4914" s="68" t="s">
        <v>8913</v>
      </c>
      <c r="N4914" s="53" t="s">
        <v>6285</v>
      </c>
      <c r="O4914" s="53">
        <v>55200</v>
      </c>
      <c r="P4914" s="198" t="s">
        <v>12429</v>
      </c>
    </row>
    <row r="4915" spans="1:16" ht="18.75" hidden="1">
      <c r="A4915" s="50" t="s">
        <v>13320</v>
      </c>
      <c r="B4915" s="50" t="s">
        <v>13321</v>
      </c>
      <c r="C4915" s="50" t="s">
        <v>13315</v>
      </c>
      <c r="D4915" s="12" t="s">
        <v>12824</v>
      </c>
      <c r="E4915" s="12" t="s">
        <v>4971</v>
      </c>
      <c r="F4915" s="49">
        <v>20320</v>
      </c>
      <c r="G4915" s="77" t="s">
        <v>6453</v>
      </c>
      <c r="H4915" s="14" t="s">
        <v>5601</v>
      </c>
      <c r="I4915" s="14" t="s">
        <v>2458</v>
      </c>
      <c r="J4915" s="33" t="s">
        <v>7110</v>
      </c>
      <c r="K4915" s="33" t="s">
        <v>13331</v>
      </c>
      <c r="L4915" s="53" t="s">
        <v>6054</v>
      </c>
      <c r="M4915" s="68" t="s">
        <v>8913</v>
      </c>
      <c r="N4915" s="53" t="s">
        <v>6076</v>
      </c>
      <c r="O4915" s="53">
        <v>55301</v>
      </c>
      <c r="P4915" s="198" t="s">
        <v>12673</v>
      </c>
    </row>
    <row r="4916" spans="1:16" ht="18.75" hidden="1">
      <c r="A4916" s="50" t="s">
        <v>13322</v>
      </c>
      <c r="B4916" s="50" t="s">
        <v>13300</v>
      </c>
      <c r="C4916" s="50" t="s">
        <v>13319</v>
      </c>
      <c r="D4916" s="12" t="s">
        <v>12736</v>
      </c>
      <c r="E4916" s="12" t="s">
        <v>4971</v>
      </c>
      <c r="F4916" s="49">
        <v>113500</v>
      </c>
      <c r="G4916" s="77" t="s">
        <v>6298</v>
      </c>
      <c r="H4916" s="14" t="s">
        <v>5601</v>
      </c>
      <c r="I4916" s="14" t="s">
        <v>2458</v>
      </c>
      <c r="J4916" s="33" t="s">
        <v>7110</v>
      </c>
      <c r="K4916" s="33" t="s">
        <v>13331</v>
      </c>
      <c r="L4916" s="53" t="s">
        <v>6054</v>
      </c>
      <c r="M4916" s="68" t="s">
        <v>8912</v>
      </c>
      <c r="N4916" s="53" t="s">
        <v>6076</v>
      </c>
      <c r="O4916" s="53">
        <v>55301</v>
      </c>
      <c r="P4916" s="198" t="s">
        <v>12429</v>
      </c>
    </row>
    <row r="4917" spans="1:16" ht="18.75" hidden="1">
      <c r="A4917" s="50" t="s">
        <v>13320</v>
      </c>
      <c r="B4917" s="50" t="s">
        <v>13321</v>
      </c>
      <c r="C4917" s="50" t="s">
        <v>13323</v>
      </c>
      <c r="D4917" s="12" t="s">
        <v>9995</v>
      </c>
      <c r="E4917" s="12" t="s">
        <v>4971</v>
      </c>
      <c r="F4917" s="49">
        <v>150000</v>
      </c>
      <c r="G4917" s="77" t="s">
        <v>6300</v>
      </c>
      <c r="H4917" s="14" t="s">
        <v>5601</v>
      </c>
      <c r="I4917" s="14" t="s">
        <v>2458</v>
      </c>
      <c r="J4917" s="33" t="s">
        <v>7110</v>
      </c>
      <c r="K4917" s="33" t="s">
        <v>13331</v>
      </c>
      <c r="L4917" s="53" t="s">
        <v>6054</v>
      </c>
      <c r="M4917" s="68" t="s">
        <v>8913</v>
      </c>
      <c r="N4917" s="53" t="s">
        <v>6076</v>
      </c>
      <c r="O4917" s="53">
        <v>55301</v>
      </c>
      <c r="P4917" s="198" t="s">
        <v>12217</v>
      </c>
    </row>
    <row r="4918" spans="1:16" ht="18.75" hidden="1">
      <c r="A4918" s="50" t="s">
        <v>13320</v>
      </c>
      <c r="B4918" s="50" t="s">
        <v>13321</v>
      </c>
      <c r="C4918" s="50" t="s">
        <v>13324</v>
      </c>
      <c r="D4918" s="12" t="s">
        <v>12765</v>
      </c>
      <c r="E4918" s="12" t="s">
        <v>4971</v>
      </c>
      <c r="F4918" s="49">
        <v>350000</v>
      </c>
      <c r="G4918" s="77" t="s">
        <v>6453</v>
      </c>
      <c r="H4918" s="14" t="s">
        <v>5601</v>
      </c>
      <c r="I4918" s="14" t="s">
        <v>2458</v>
      </c>
      <c r="J4918" s="33" t="s">
        <v>7110</v>
      </c>
      <c r="K4918" s="33" t="s">
        <v>13331</v>
      </c>
      <c r="L4918" s="53" t="s">
        <v>6054</v>
      </c>
      <c r="M4918" s="68" t="s">
        <v>8913</v>
      </c>
      <c r="N4918" s="53" t="s">
        <v>6076</v>
      </c>
      <c r="O4918" s="53">
        <v>55301</v>
      </c>
      <c r="P4918" s="198" t="s">
        <v>12673</v>
      </c>
    </row>
    <row r="4919" spans="1:16" ht="18.75" hidden="1">
      <c r="A4919" s="50" t="s">
        <v>13325</v>
      </c>
      <c r="B4919" s="50" t="s">
        <v>13326</v>
      </c>
      <c r="C4919" s="50" t="s">
        <v>13304</v>
      </c>
      <c r="D4919" s="12" t="s">
        <v>9985</v>
      </c>
      <c r="E4919" s="12" t="s">
        <v>4971</v>
      </c>
      <c r="F4919" s="49">
        <v>70190</v>
      </c>
      <c r="G4919" s="77" t="s">
        <v>6298</v>
      </c>
      <c r="H4919" s="14" t="s">
        <v>5601</v>
      </c>
      <c r="I4919" s="14" t="s">
        <v>2458</v>
      </c>
      <c r="J4919" s="33" t="s">
        <v>7110</v>
      </c>
      <c r="K4919" s="33" t="s">
        <v>13331</v>
      </c>
      <c r="L4919" s="53" t="s">
        <v>6054</v>
      </c>
      <c r="M4919" s="68" t="s">
        <v>8912</v>
      </c>
      <c r="N4919" s="53" t="s">
        <v>6076</v>
      </c>
      <c r="O4919" s="53">
        <v>55301</v>
      </c>
      <c r="P4919" s="198" t="s">
        <v>9783</v>
      </c>
    </row>
    <row r="4920" spans="1:16" ht="18.75" hidden="1">
      <c r="A4920" s="50" t="s">
        <v>13320</v>
      </c>
      <c r="B4920" s="50" t="s">
        <v>13321</v>
      </c>
      <c r="C4920" s="50" t="s">
        <v>13188</v>
      </c>
      <c r="D4920" s="12" t="s">
        <v>9952</v>
      </c>
      <c r="E4920" s="12" t="s">
        <v>4971</v>
      </c>
      <c r="F4920" s="49">
        <v>83730</v>
      </c>
      <c r="G4920" s="77" t="s">
        <v>6298</v>
      </c>
      <c r="H4920" s="14" t="s">
        <v>5601</v>
      </c>
      <c r="I4920" s="14" t="s">
        <v>2458</v>
      </c>
      <c r="J4920" s="33" t="s">
        <v>7110</v>
      </c>
      <c r="K4920" s="33" t="s">
        <v>13331</v>
      </c>
      <c r="L4920" s="53" t="s">
        <v>6054</v>
      </c>
      <c r="M4920" s="68" t="s">
        <v>8913</v>
      </c>
      <c r="N4920" s="53" t="s">
        <v>6076</v>
      </c>
      <c r="O4920" s="53">
        <v>55301</v>
      </c>
      <c r="P4920" s="198" t="s">
        <v>9783</v>
      </c>
    </row>
    <row r="4921" spans="1:16" ht="18.75" hidden="1">
      <c r="A4921" s="50" t="s">
        <v>13320</v>
      </c>
      <c r="B4921" s="50" t="s">
        <v>13321</v>
      </c>
      <c r="C4921" s="50" t="s">
        <v>12910</v>
      </c>
      <c r="D4921" s="12" t="s">
        <v>9835</v>
      </c>
      <c r="E4921" s="12" t="s">
        <v>4971</v>
      </c>
      <c r="F4921" s="49">
        <v>293825</v>
      </c>
      <c r="G4921" s="77" t="s">
        <v>6300</v>
      </c>
      <c r="H4921" s="14" t="s">
        <v>5601</v>
      </c>
      <c r="I4921" s="14" t="s">
        <v>2458</v>
      </c>
      <c r="J4921" s="33" t="s">
        <v>7110</v>
      </c>
      <c r="K4921" s="33" t="s">
        <v>13331</v>
      </c>
      <c r="L4921" s="53" t="s">
        <v>6054</v>
      </c>
      <c r="M4921" s="68" t="s">
        <v>8913</v>
      </c>
      <c r="N4921" s="53" t="s">
        <v>6076</v>
      </c>
      <c r="O4921" s="53">
        <v>55301</v>
      </c>
      <c r="P4921" s="198" t="s">
        <v>9762</v>
      </c>
    </row>
    <row r="4922" spans="1:16" ht="18.75" hidden="1">
      <c r="A4922" s="50" t="s">
        <v>13320</v>
      </c>
      <c r="B4922" s="50" t="s">
        <v>13321</v>
      </c>
      <c r="C4922" s="50" t="s">
        <v>13327</v>
      </c>
      <c r="D4922" s="12" t="s">
        <v>9935</v>
      </c>
      <c r="E4922" s="12" t="s">
        <v>4971</v>
      </c>
      <c r="F4922" s="49">
        <v>200000</v>
      </c>
      <c r="G4922" s="77" t="s">
        <v>6300</v>
      </c>
      <c r="H4922" s="14" t="s">
        <v>5601</v>
      </c>
      <c r="I4922" s="14" t="s">
        <v>2458</v>
      </c>
      <c r="J4922" s="33" t="s">
        <v>7110</v>
      </c>
      <c r="K4922" s="33" t="s">
        <v>13331</v>
      </c>
      <c r="L4922" s="53" t="s">
        <v>6054</v>
      </c>
      <c r="M4922" s="68" t="s">
        <v>8913</v>
      </c>
      <c r="N4922" s="53" t="s">
        <v>6076</v>
      </c>
      <c r="O4922" s="53">
        <v>55301</v>
      </c>
      <c r="P4922" s="198" t="s">
        <v>12217</v>
      </c>
    </row>
    <row r="4923" spans="1:16" ht="18.75" hidden="1">
      <c r="A4923" s="50" t="s">
        <v>13320</v>
      </c>
      <c r="B4923" s="50" t="s">
        <v>13321</v>
      </c>
      <c r="C4923" s="50" t="s">
        <v>13183</v>
      </c>
      <c r="D4923" s="12" t="s">
        <v>12867</v>
      </c>
      <c r="E4923" s="12" t="s">
        <v>4971</v>
      </c>
      <c r="F4923" s="49">
        <v>117980</v>
      </c>
      <c r="G4923" s="77" t="s">
        <v>6453</v>
      </c>
      <c r="H4923" s="14" t="s">
        <v>5601</v>
      </c>
      <c r="I4923" s="14" t="s">
        <v>2458</v>
      </c>
      <c r="J4923" s="33" t="s">
        <v>7110</v>
      </c>
      <c r="K4923" s="33" t="s">
        <v>13331</v>
      </c>
      <c r="L4923" s="53" t="s">
        <v>6054</v>
      </c>
      <c r="M4923" s="68" t="s">
        <v>8913</v>
      </c>
      <c r="N4923" s="53" t="s">
        <v>6076</v>
      </c>
      <c r="O4923" s="53">
        <v>55301</v>
      </c>
      <c r="P4923" s="198" t="s">
        <v>12673</v>
      </c>
    </row>
    <row r="4924" spans="1:16" ht="18.75" hidden="1">
      <c r="A4924" s="50" t="s">
        <v>13328</v>
      </c>
      <c r="B4924" s="50" t="s">
        <v>13326</v>
      </c>
      <c r="C4924" s="50" t="s">
        <v>13304</v>
      </c>
      <c r="D4924" s="12" t="s">
        <v>9985</v>
      </c>
      <c r="E4924" s="12" t="s">
        <v>4971</v>
      </c>
      <c r="F4924" s="49">
        <v>31305</v>
      </c>
      <c r="G4924" s="77" t="s">
        <v>6298</v>
      </c>
      <c r="H4924" s="14" t="s">
        <v>5601</v>
      </c>
      <c r="I4924" s="14" t="s">
        <v>2458</v>
      </c>
      <c r="J4924" s="33" t="s">
        <v>7110</v>
      </c>
      <c r="K4924" s="33" t="s">
        <v>13331</v>
      </c>
      <c r="L4924" s="53" t="s">
        <v>6054</v>
      </c>
      <c r="M4924" s="68" t="s">
        <v>8912</v>
      </c>
      <c r="N4924" s="53" t="s">
        <v>6285</v>
      </c>
      <c r="O4924" s="53">
        <v>55200</v>
      </c>
      <c r="P4924" s="198" t="s">
        <v>9783</v>
      </c>
    </row>
    <row r="4925" spans="1:16" ht="18.75" hidden="1">
      <c r="A4925" s="50" t="s">
        <v>13302</v>
      </c>
      <c r="B4925" s="50" t="s">
        <v>13303</v>
      </c>
      <c r="C4925" s="50" t="s">
        <v>13329</v>
      </c>
      <c r="D4925" s="12" t="s">
        <v>9835</v>
      </c>
      <c r="E4925" s="12" t="s">
        <v>4971</v>
      </c>
      <c r="F4925" s="49">
        <v>149700</v>
      </c>
      <c r="G4925" s="77" t="s">
        <v>6298</v>
      </c>
      <c r="H4925" s="14" t="s">
        <v>5601</v>
      </c>
      <c r="I4925" s="14" t="s">
        <v>2458</v>
      </c>
      <c r="J4925" s="33" t="s">
        <v>7110</v>
      </c>
      <c r="K4925" s="33" t="s">
        <v>13331</v>
      </c>
      <c r="L4925" s="53" t="s">
        <v>6054</v>
      </c>
      <c r="M4925" s="68" t="s">
        <v>8912</v>
      </c>
      <c r="N4925" s="53" t="s">
        <v>6076</v>
      </c>
      <c r="O4925" s="53">
        <v>55301</v>
      </c>
      <c r="P4925" s="198" t="s">
        <v>9783</v>
      </c>
    </row>
    <row r="4926" spans="1:16" ht="18.75" hidden="1">
      <c r="A4926" s="50" t="s">
        <v>13328</v>
      </c>
      <c r="B4926" s="50" t="s">
        <v>13326</v>
      </c>
      <c r="C4926" s="50" t="s">
        <v>13305</v>
      </c>
      <c r="D4926" s="12" t="s">
        <v>12705</v>
      </c>
      <c r="E4926" s="12" t="s">
        <v>4971</v>
      </c>
      <c r="F4926" s="49">
        <v>245555</v>
      </c>
      <c r="G4926" s="77" t="s">
        <v>6454</v>
      </c>
      <c r="H4926" s="14" t="s">
        <v>5601</v>
      </c>
      <c r="I4926" s="14" t="s">
        <v>2458</v>
      </c>
      <c r="J4926" s="33" t="s">
        <v>7110</v>
      </c>
      <c r="K4926" s="33" t="s">
        <v>13331</v>
      </c>
      <c r="L4926" s="53" t="s">
        <v>6054</v>
      </c>
      <c r="M4926" s="68" t="s">
        <v>8912</v>
      </c>
      <c r="N4926" s="53" t="s">
        <v>6285</v>
      </c>
      <c r="O4926" s="53">
        <v>55200</v>
      </c>
      <c r="P4926" s="198" t="s">
        <v>12414</v>
      </c>
    </row>
    <row r="4927" spans="1:16" ht="18.75" hidden="1">
      <c r="A4927" s="50" t="s">
        <v>13313</v>
      </c>
      <c r="B4927" s="50" t="s">
        <v>13308</v>
      </c>
      <c r="C4927" s="50" t="s">
        <v>13209</v>
      </c>
      <c r="D4927" s="12" t="s">
        <v>9985</v>
      </c>
      <c r="E4927" s="12" t="s">
        <v>4971</v>
      </c>
      <c r="F4927" s="49">
        <v>109355</v>
      </c>
      <c r="G4927" s="77" t="s">
        <v>6298</v>
      </c>
      <c r="H4927" s="14" t="s">
        <v>5601</v>
      </c>
      <c r="I4927" s="14" t="s">
        <v>2458</v>
      </c>
      <c r="J4927" s="33" t="s">
        <v>7110</v>
      </c>
      <c r="K4927" s="33" t="s">
        <v>13331</v>
      </c>
      <c r="L4927" s="53" t="s">
        <v>6054</v>
      </c>
      <c r="M4927" s="68" t="s">
        <v>8913</v>
      </c>
      <c r="N4927" s="53" t="s">
        <v>6076</v>
      </c>
      <c r="O4927" s="53">
        <v>55301</v>
      </c>
      <c r="P4927" s="198" t="s">
        <v>9783</v>
      </c>
    </row>
    <row r="4928" spans="1:16" ht="18.75" hidden="1">
      <c r="A4928" s="50" t="s">
        <v>13320</v>
      </c>
      <c r="B4928" s="50" t="s">
        <v>13321</v>
      </c>
      <c r="C4928" s="50" t="s">
        <v>13209</v>
      </c>
      <c r="D4928" s="12" t="s">
        <v>9985</v>
      </c>
      <c r="E4928" s="12" t="s">
        <v>4971</v>
      </c>
      <c r="F4928" s="49">
        <v>50405</v>
      </c>
      <c r="G4928" s="77" t="s">
        <v>6298</v>
      </c>
      <c r="H4928" s="14" t="s">
        <v>5601</v>
      </c>
      <c r="I4928" s="14" t="s">
        <v>2458</v>
      </c>
      <c r="J4928" s="33" t="s">
        <v>7110</v>
      </c>
      <c r="K4928" s="33" t="s">
        <v>13331</v>
      </c>
      <c r="L4928" s="53" t="s">
        <v>6054</v>
      </c>
      <c r="M4928" s="68" t="s">
        <v>8913</v>
      </c>
      <c r="N4928" s="53" t="s">
        <v>6076</v>
      </c>
      <c r="O4928" s="53">
        <v>55301</v>
      </c>
      <c r="P4928" s="198" t="s">
        <v>9783</v>
      </c>
    </row>
    <row r="4929" spans="1:16" ht="18.75" hidden="1">
      <c r="A4929" s="50" t="s">
        <v>13330</v>
      </c>
      <c r="B4929" s="50" t="s">
        <v>13321</v>
      </c>
      <c r="C4929" s="50" t="s">
        <v>13209</v>
      </c>
      <c r="D4929" s="12" t="s">
        <v>9985</v>
      </c>
      <c r="E4929" s="12" t="s">
        <v>4971</v>
      </c>
      <c r="F4929" s="49">
        <v>74800</v>
      </c>
      <c r="G4929" s="77" t="s">
        <v>6298</v>
      </c>
      <c r="H4929" s="14" t="s">
        <v>5601</v>
      </c>
      <c r="I4929" s="14" t="s">
        <v>2458</v>
      </c>
      <c r="J4929" s="33" t="s">
        <v>7110</v>
      </c>
      <c r="K4929" s="33" t="s">
        <v>13331</v>
      </c>
      <c r="L4929" s="53" t="s">
        <v>6054</v>
      </c>
      <c r="M4929" s="68" t="s">
        <v>8913</v>
      </c>
      <c r="N4929" s="53" t="s">
        <v>6285</v>
      </c>
      <c r="O4929" s="53">
        <v>55200</v>
      </c>
      <c r="P4929" s="198" t="s">
        <v>9783</v>
      </c>
    </row>
    <row r="4930" spans="1:16" ht="18.75" hidden="1">
      <c r="A4930" s="50" t="s">
        <v>13265</v>
      </c>
      <c r="B4930" s="50" t="s">
        <v>13266</v>
      </c>
      <c r="C4930" s="50" t="s">
        <v>12865</v>
      </c>
      <c r="D4930" s="12" t="s">
        <v>10012</v>
      </c>
      <c r="E4930" s="12">
        <v>96</v>
      </c>
      <c r="F4930" s="49">
        <v>991370</v>
      </c>
      <c r="G4930" s="77" t="s">
        <v>5631</v>
      </c>
      <c r="H4930" s="14" t="s">
        <v>5601</v>
      </c>
      <c r="I4930" s="14" t="s">
        <v>2458</v>
      </c>
      <c r="J4930" s="33" t="s">
        <v>7110</v>
      </c>
      <c r="K4930" s="33" t="s">
        <v>13273</v>
      </c>
      <c r="L4930" s="53" t="s">
        <v>13267</v>
      </c>
      <c r="M4930" s="68" t="s">
        <v>8913</v>
      </c>
      <c r="N4930" s="53" t="s">
        <v>13268</v>
      </c>
      <c r="O4930" s="53">
        <v>45100</v>
      </c>
      <c r="P4930" s="198" t="s">
        <v>12217</v>
      </c>
    </row>
    <row r="4931" spans="1:16" ht="18.75" hidden="1">
      <c r="A4931" s="50" t="s">
        <v>13269</v>
      </c>
      <c r="B4931" s="50" t="s">
        <v>12717</v>
      </c>
      <c r="C4931" s="50" t="s">
        <v>13270</v>
      </c>
      <c r="D4931" s="12" t="s">
        <v>9827</v>
      </c>
      <c r="E4931" s="12">
        <v>96</v>
      </c>
      <c r="F4931" s="49">
        <v>1000000</v>
      </c>
      <c r="G4931" s="77" t="s">
        <v>13271</v>
      </c>
      <c r="H4931" s="14" t="s">
        <v>5601</v>
      </c>
      <c r="I4931" s="14" t="s">
        <v>2458</v>
      </c>
      <c r="J4931" s="33" t="s">
        <v>7110</v>
      </c>
      <c r="K4931" s="33" t="s">
        <v>13273</v>
      </c>
      <c r="L4931" s="53" t="s">
        <v>8669</v>
      </c>
      <c r="M4931" s="68" t="s">
        <v>9999</v>
      </c>
      <c r="N4931" s="53" t="s">
        <v>6056</v>
      </c>
      <c r="O4931" s="53">
        <v>60503</v>
      </c>
      <c r="P4931" s="198" t="s">
        <v>9798</v>
      </c>
    </row>
    <row r="4932" spans="1:16" ht="18.75" hidden="1">
      <c r="A4932" s="50" t="s">
        <v>13269</v>
      </c>
      <c r="B4932" s="50" t="s">
        <v>12717</v>
      </c>
      <c r="C4932" s="50" t="s">
        <v>13272</v>
      </c>
      <c r="D4932" s="12" t="s">
        <v>9962</v>
      </c>
      <c r="E4932" s="12">
        <v>96</v>
      </c>
      <c r="F4932" s="49">
        <v>100000</v>
      </c>
      <c r="G4932" s="77" t="s">
        <v>13271</v>
      </c>
      <c r="H4932" s="14" t="s">
        <v>5601</v>
      </c>
      <c r="I4932" s="14" t="s">
        <v>2458</v>
      </c>
      <c r="J4932" s="33" t="s">
        <v>7110</v>
      </c>
      <c r="K4932" s="33" t="s">
        <v>13273</v>
      </c>
      <c r="L4932" s="53" t="s">
        <v>8669</v>
      </c>
      <c r="M4932" s="68" t="s">
        <v>9999</v>
      </c>
      <c r="N4932" s="53" t="s">
        <v>6056</v>
      </c>
      <c r="O4932" s="53">
        <v>60504</v>
      </c>
      <c r="P4932" s="198" t="s">
        <v>9798</v>
      </c>
    </row>
    <row r="4933" spans="1:16" ht="18.75" hidden="1">
      <c r="A4933" s="50" t="str">
        <f>"50100-10054401"</f>
        <v>50100-10054401</v>
      </c>
      <c r="B4933" s="50" t="str">
        <f>"97/01/14"</f>
        <v>97/01/14</v>
      </c>
      <c r="C4933" s="50" t="s">
        <v>13332</v>
      </c>
      <c r="D4933" s="12" t="s">
        <v>13318</v>
      </c>
      <c r="E4933" s="12" t="s">
        <v>13333</v>
      </c>
      <c r="F4933" s="49">
        <v>2798513</v>
      </c>
      <c r="G4933" s="77" t="s">
        <v>6452</v>
      </c>
      <c r="H4933" s="14" t="s">
        <v>5601</v>
      </c>
      <c r="I4933" s="14" t="s">
        <v>2458</v>
      </c>
      <c r="J4933" s="33" t="e">
        <f>VLOOKUP(C4933,شرکتها!A:B,2,FALSE)</f>
        <v>#N/A</v>
      </c>
      <c r="K4933" s="33" t="s">
        <v>13400</v>
      </c>
      <c r="L4933" s="53" t="str">
        <f>"قطر"</f>
        <v>قطر</v>
      </c>
      <c r="M4933" s="68" t="str">
        <f>"فله"</f>
        <v>فله</v>
      </c>
      <c r="N4933" s="53" t="str">
        <f t="shared" ref="N4933:N4996" si="122">"منطقه ويژه اقتصادي شهيد رجايي"</f>
        <v>منطقه ويژه اقتصادي شهيد رجايي</v>
      </c>
      <c r="O4933" s="53">
        <v>50100</v>
      </c>
      <c r="P4933" s="198" t="s">
        <v>12930</v>
      </c>
    </row>
    <row r="4934" spans="1:16" ht="18.75" hidden="1">
      <c r="A4934" s="50" t="str">
        <f>"50100-10044346"</f>
        <v>50100-10044346</v>
      </c>
      <c r="B4934" s="50" t="str">
        <f>"97/01/06"</f>
        <v>97/01/06</v>
      </c>
      <c r="C4934" s="50" t="s">
        <v>13334</v>
      </c>
      <c r="D4934" s="12" t="s">
        <v>12880</v>
      </c>
      <c r="E4934" s="12" t="s">
        <v>4971</v>
      </c>
      <c r="F4934" s="49">
        <v>538000</v>
      </c>
      <c r="G4934" s="77" t="str">
        <f>"BITUBIZ FZE"</f>
        <v>BITUBIZ FZE</v>
      </c>
      <c r="H4934" s="14" t="s">
        <v>5601</v>
      </c>
      <c r="I4934" s="14" t="s">
        <v>2458</v>
      </c>
      <c r="J4934" s="33" t="s">
        <v>7110</v>
      </c>
      <c r="K4934" s="33" t="s">
        <v>13400</v>
      </c>
      <c r="L4934" s="53" t="str">
        <f>"اتيوپي"</f>
        <v>اتيوپي</v>
      </c>
      <c r="M4934" s="68" t="str">
        <f>"بشكه"</f>
        <v>بشكه</v>
      </c>
      <c r="N4934" s="53" t="str">
        <f t="shared" si="122"/>
        <v>منطقه ويژه اقتصادي شهيد رجايي</v>
      </c>
      <c r="O4934" s="53">
        <v>50100</v>
      </c>
      <c r="P4934" s="198" t="s">
        <v>12675</v>
      </c>
    </row>
    <row r="4935" spans="1:16" ht="18.75" hidden="1">
      <c r="A4935" s="50" t="str">
        <f>"50100-10044346"</f>
        <v>50100-10044346</v>
      </c>
      <c r="B4935" s="50" t="str">
        <f>"97/01/06"</f>
        <v>97/01/06</v>
      </c>
      <c r="C4935" s="50" t="s">
        <v>12702</v>
      </c>
      <c r="D4935" s="12" t="s">
        <v>12542</v>
      </c>
      <c r="E4935" s="12" t="s">
        <v>4971</v>
      </c>
      <c r="F4935" s="49">
        <v>179200</v>
      </c>
      <c r="G4935" s="77" t="str">
        <f>"BITUBIZ FZE"</f>
        <v>BITUBIZ FZE</v>
      </c>
      <c r="H4935" s="14" t="s">
        <v>5601</v>
      </c>
      <c r="I4935" s="14" t="s">
        <v>2458</v>
      </c>
      <c r="J4935" s="33" t="s">
        <v>7110</v>
      </c>
      <c r="K4935" s="33" t="s">
        <v>13400</v>
      </c>
      <c r="L4935" s="53" t="str">
        <f>"اتيوپي"</f>
        <v>اتيوپي</v>
      </c>
      <c r="M4935" s="68" t="str">
        <f>"بشكه"</f>
        <v>بشكه</v>
      </c>
      <c r="N4935" s="53" t="str">
        <f t="shared" si="122"/>
        <v>منطقه ويژه اقتصادي شهيد رجايي</v>
      </c>
      <c r="O4935" s="53">
        <v>50100</v>
      </c>
      <c r="P4935" s="198" t="s">
        <v>12675</v>
      </c>
    </row>
    <row r="4936" spans="1:16" ht="18.75" hidden="1">
      <c r="A4936" s="50" t="str">
        <f>"50100-10044346"</f>
        <v>50100-10044346</v>
      </c>
      <c r="B4936" s="50" t="str">
        <f>"97/01/06"</f>
        <v>97/01/06</v>
      </c>
      <c r="C4936" s="50" t="s">
        <v>13335</v>
      </c>
      <c r="D4936" s="12" t="s">
        <v>13195</v>
      </c>
      <c r="E4936" s="12" t="s">
        <v>4971</v>
      </c>
      <c r="F4936" s="49">
        <v>287000</v>
      </c>
      <c r="G4936" s="77" t="str">
        <f>"BITUBIZ FZE"</f>
        <v>BITUBIZ FZE</v>
      </c>
      <c r="H4936" s="14" t="s">
        <v>5601</v>
      </c>
      <c r="I4936" s="14" t="s">
        <v>2458</v>
      </c>
      <c r="J4936" s="33" t="s">
        <v>7110</v>
      </c>
      <c r="K4936" s="33" t="s">
        <v>13400</v>
      </c>
      <c r="L4936" s="53" t="str">
        <f>"اتيوپي"</f>
        <v>اتيوپي</v>
      </c>
      <c r="M4936" s="68" t="str">
        <f>"بشكه"</f>
        <v>بشكه</v>
      </c>
      <c r="N4936" s="53" t="str">
        <f t="shared" si="122"/>
        <v>منطقه ويژه اقتصادي شهيد رجايي</v>
      </c>
      <c r="O4936" s="53">
        <v>50100</v>
      </c>
      <c r="P4936" s="198" t="s">
        <v>12675</v>
      </c>
    </row>
    <row r="4937" spans="1:16" ht="18.75" hidden="1">
      <c r="A4937" s="50" t="str">
        <f>"50100-10043008"</f>
        <v>50100-10043008</v>
      </c>
      <c r="B4937" s="50" t="str">
        <f>"97/01/05"</f>
        <v>97/01/05</v>
      </c>
      <c r="C4937" s="50" t="s">
        <v>13336</v>
      </c>
      <c r="D4937" s="12" t="s">
        <v>13303</v>
      </c>
      <c r="E4937" s="12" t="s">
        <v>13333</v>
      </c>
      <c r="F4937" s="49">
        <v>951565</v>
      </c>
      <c r="G4937" s="77" t="s">
        <v>6452</v>
      </c>
      <c r="H4937" s="14" t="s">
        <v>5601</v>
      </c>
      <c r="I4937" s="14" t="s">
        <v>2458</v>
      </c>
      <c r="J4937" s="33" t="e">
        <f>VLOOKUP(C4937,شرکتها!A:B,2,FALSE)</f>
        <v>#N/A</v>
      </c>
      <c r="K4937" s="33" t="s">
        <v>13400</v>
      </c>
      <c r="L4937" s="53" t="str">
        <f>"عمان"</f>
        <v>عمان</v>
      </c>
      <c r="M4937" s="68" t="str">
        <f>"فله"</f>
        <v>فله</v>
      </c>
      <c r="N4937" s="53" t="str">
        <f t="shared" si="122"/>
        <v>منطقه ويژه اقتصادي شهيد رجايي</v>
      </c>
      <c r="O4937" s="53">
        <v>50100</v>
      </c>
      <c r="P4937" s="198" t="s">
        <v>12930</v>
      </c>
    </row>
    <row r="4938" spans="1:16" ht="18.75" hidden="1">
      <c r="A4938" s="50" t="str">
        <f>"50100-10044346"</f>
        <v>50100-10044346</v>
      </c>
      <c r="B4938" s="50" t="str">
        <f>"97/01/06"</f>
        <v>97/01/06</v>
      </c>
      <c r="C4938" s="50" t="s">
        <v>12696</v>
      </c>
      <c r="D4938" s="12" t="s">
        <v>12530</v>
      </c>
      <c r="E4938" s="12" t="s">
        <v>4971</v>
      </c>
      <c r="F4938" s="49">
        <v>2300</v>
      </c>
      <c r="G4938" s="77" t="str">
        <f>"BITUBIZ FZE"</f>
        <v>BITUBIZ FZE</v>
      </c>
      <c r="H4938" s="14" t="s">
        <v>5601</v>
      </c>
      <c r="I4938" s="14" t="s">
        <v>2458</v>
      </c>
      <c r="J4938" s="33" t="s">
        <v>7110</v>
      </c>
      <c r="K4938" s="33" t="s">
        <v>13400</v>
      </c>
      <c r="L4938" s="53" t="str">
        <f>"اتيوپي"</f>
        <v>اتيوپي</v>
      </c>
      <c r="M4938" s="68" t="str">
        <f>"بشكه"</f>
        <v>بشكه</v>
      </c>
      <c r="N4938" s="53" t="str">
        <f t="shared" si="122"/>
        <v>منطقه ويژه اقتصادي شهيد رجايي</v>
      </c>
      <c r="O4938" s="53">
        <v>50100</v>
      </c>
      <c r="P4938" s="198" t="s">
        <v>12675</v>
      </c>
    </row>
    <row r="4939" spans="1:16" ht="18.75" hidden="1">
      <c r="A4939" s="50" t="str">
        <f>"50100-10059925"</f>
        <v>50100-10059925</v>
      </c>
      <c r="B4939" s="50" t="str">
        <f>"97/01/15"</f>
        <v>97/01/15</v>
      </c>
      <c r="C4939" s="50" t="s">
        <v>13337</v>
      </c>
      <c r="D4939" s="12" t="s">
        <v>13273</v>
      </c>
      <c r="E4939" s="12" t="s">
        <v>13333</v>
      </c>
      <c r="F4939" s="49">
        <v>1049168</v>
      </c>
      <c r="G4939" s="77" t="s">
        <v>6452</v>
      </c>
      <c r="H4939" s="14" t="s">
        <v>5601</v>
      </c>
      <c r="I4939" s="14" t="s">
        <v>2458</v>
      </c>
      <c r="J4939" s="33" t="e">
        <f>VLOOKUP(C4939,شرکتها!A:B,2,FALSE)</f>
        <v>#N/A</v>
      </c>
      <c r="K4939" s="33" t="s">
        <v>13400</v>
      </c>
      <c r="L4939" s="53" t="str">
        <f>"پاکستان"</f>
        <v>پاکستان</v>
      </c>
      <c r="M4939" s="68" t="str">
        <f>"فله"</f>
        <v>فله</v>
      </c>
      <c r="N4939" s="53" t="str">
        <f t="shared" si="122"/>
        <v>منطقه ويژه اقتصادي شهيد رجايي</v>
      </c>
      <c r="O4939" s="53">
        <v>50100</v>
      </c>
      <c r="P4939" s="198" t="s">
        <v>13338</v>
      </c>
    </row>
    <row r="4940" spans="1:16" ht="18.75" hidden="1">
      <c r="A4940" s="50" t="str">
        <f>"50100-10059779"</f>
        <v>50100-10059779</v>
      </c>
      <c r="B4940" s="50" t="str">
        <f>"97/01/15"</f>
        <v>97/01/15</v>
      </c>
      <c r="C4940" s="50" t="s">
        <v>13339</v>
      </c>
      <c r="D4940" s="12" t="s">
        <v>13318</v>
      </c>
      <c r="E4940" s="12" t="s">
        <v>13333</v>
      </c>
      <c r="F4940" s="49">
        <v>992125</v>
      </c>
      <c r="G4940" s="77" t="s">
        <v>6452</v>
      </c>
      <c r="H4940" s="14" t="s">
        <v>5601</v>
      </c>
      <c r="I4940" s="14" t="s">
        <v>2458</v>
      </c>
      <c r="J4940" s="33" t="e">
        <f>VLOOKUP(C4940,شرکتها!A:B,2,FALSE)</f>
        <v>#N/A</v>
      </c>
      <c r="K4940" s="33" t="s">
        <v>13400</v>
      </c>
      <c r="L4940" s="53" t="str">
        <f>"قطر"</f>
        <v>قطر</v>
      </c>
      <c r="M4940" s="68" t="str">
        <f>"فله"</f>
        <v>فله</v>
      </c>
      <c r="N4940" s="53" t="str">
        <f t="shared" si="122"/>
        <v>منطقه ويژه اقتصادي شهيد رجايي</v>
      </c>
      <c r="O4940" s="53">
        <v>50100</v>
      </c>
      <c r="P4940" s="198" t="s">
        <v>12930</v>
      </c>
    </row>
    <row r="4941" spans="1:16" ht="18.75" hidden="1">
      <c r="A4941" s="50" t="str">
        <f>"50100-10059685"</f>
        <v>50100-10059685</v>
      </c>
      <c r="B4941" s="50" t="str">
        <f>"97/01/15"</f>
        <v>97/01/15</v>
      </c>
      <c r="C4941" s="50" t="s">
        <v>13340</v>
      </c>
      <c r="D4941" s="12" t="s">
        <v>13318</v>
      </c>
      <c r="E4941" s="12" t="s">
        <v>13333</v>
      </c>
      <c r="F4941" s="49">
        <v>958134</v>
      </c>
      <c r="G4941" s="77" t="s">
        <v>6452</v>
      </c>
      <c r="H4941" s="14" t="s">
        <v>5601</v>
      </c>
      <c r="I4941" s="14" t="s">
        <v>2458</v>
      </c>
      <c r="J4941" s="33" t="e">
        <f>VLOOKUP(C4941,شرکتها!A:B,2,FALSE)</f>
        <v>#N/A</v>
      </c>
      <c r="K4941" s="33" t="s">
        <v>13400</v>
      </c>
      <c r="L4941" s="53" t="str">
        <f>"عمان"</f>
        <v>عمان</v>
      </c>
      <c r="M4941" s="68" t="str">
        <f>"فله"</f>
        <v>فله</v>
      </c>
      <c r="N4941" s="53" t="str">
        <f t="shared" si="122"/>
        <v>منطقه ويژه اقتصادي شهيد رجايي</v>
      </c>
      <c r="O4941" s="53">
        <v>50100</v>
      </c>
      <c r="P4941" s="198" t="s">
        <v>12930</v>
      </c>
    </row>
    <row r="4942" spans="1:16" ht="18.75" hidden="1">
      <c r="A4942" s="50" t="str">
        <f>"50100-10052023"</f>
        <v>50100-10052023</v>
      </c>
      <c r="B4942" s="50" t="str">
        <f>"97/01/09"</f>
        <v>97/01/09</v>
      </c>
      <c r="C4942" s="50" t="s">
        <v>13341</v>
      </c>
      <c r="D4942" s="12" t="s">
        <v>12711</v>
      </c>
      <c r="E4942" s="12" t="s">
        <v>4971</v>
      </c>
      <c r="F4942" s="49">
        <v>844000</v>
      </c>
      <c r="G4942" s="77" t="str">
        <f>"LLC Sebco Bitumen"</f>
        <v>LLC Sebco Bitumen</v>
      </c>
      <c r="H4942" s="14" t="s">
        <v>5601</v>
      </c>
      <c r="I4942" s="14" t="s">
        <v>2458</v>
      </c>
      <c r="J4942" s="33" t="s">
        <v>7110</v>
      </c>
      <c r="K4942" s="33" t="s">
        <v>13400</v>
      </c>
      <c r="L4942" s="53" t="str">
        <f>"سودان"</f>
        <v>سودان</v>
      </c>
      <c r="M4942" s="68" t="str">
        <f>"بشكه"</f>
        <v>بشكه</v>
      </c>
      <c r="N4942" s="53" t="str">
        <f t="shared" si="122"/>
        <v>منطقه ويژه اقتصادي شهيد رجايي</v>
      </c>
      <c r="O4942" s="53">
        <v>50100</v>
      </c>
      <c r="P4942" s="198" t="s">
        <v>12668</v>
      </c>
    </row>
    <row r="4943" spans="1:16" ht="18.75" hidden="1">
      <c r="A4943" s="50" t="str">
        <f>"50100-10054216"</f>
        <v>50100-10054216</v>
      </c>
      <c r="B4943" s="50" t="str">
        <f>"97/01/14"</f>
        <v>97/01/14</v>
      </c>
      <c r="C4943" s="50" t="s">
        <v>13342</v>
      </c>
      <c r="D4943" s="12" t="s">
        <v>13343</v>
      </c>
      <c r="E4943" s="12" t="s">
        <v>13333</v>
      </c>
      <c r="F4943" s="49">
        <v>295931</v>
      </c>
      <c r="G4943" s="77" t="s">
        <v>6298</v>
      </c>
      <c r="H4943" s="14" t="s">
        <v>5601</v>
      </c>
      <c r="I4943" s="14" t="s">
        <v>2458</v>
      </c>
      <c r="J4943" s="33" t="s">
        <v>7110</v>
      </c>
      <c r="K4943" s="33" t="s">
        <v>13400</v>
      </c>
      <c r="L4943" s="53" t="str">
        <f>"هند"</f>
        <v>هند</v>
      </c>
      <c r="M4943" s="68" t="str">
        <f>"بشكه"</f>
        <v>بشكه</v>
      </c>
      <c r="N4943" s="53" t="str">
        <f t="shared" si="122"/>
        <v>منطقه ويژه اقتصادي شهيد رجايي</v>
      </c>
      <c r="O4943" s="53">
        <v>50100</v>
      </c>
      <c r="P4943" s="198" t="s">
        <v>12668</v>
      </c>
    </row>
    <row r="4944" spans="1:16" ht="18.75" hidden="1">
      <c r="A4944" s="50" t="str">
        <f>"50100-10052188"</f>
        <v>50100-10052188</v>
      </c>
      <c r="B4944" s="50" t="str">
        <f>"97/01/09"</f>
        <v>97/01/09</v>
      </c>
      <c r="C4944" s="50" t="s">
        <v>13344</v>
      </c>
      <c r="D4944" s="12" t="s">
        <v>13200</v>
      </c>
      <c r="E4944" s="12" t="s">
        <v>4971</v>
      </c>
      <c r="F4944" s="49">
        <v>1009250</v>
      </c>
      <c r="G4944" s="77" t="str">
        <f>"BITUBIZ FZE"</f>
        <v>BITUBIZ FZE</v>
      </c>
      <c r="H4944" s="14" t="s">
        <v>5601</v>
      </c>
      <c r="I4944" s="14" t="s">
        <v>2458</v>
      </c>
      <c r="J4944" s="33" t="s">
        <v>7110</v>
      </c>
      <c r="K4944" s="33" t="s">
        <v>13400</v>
      </c>
      <c r="L4944" s="53" t="str">
        <f>"اتيوپي"</f>
        <v>اتيوپي</v>
      </c>
      <c r="M4944" s="68" t="str">
        <f>"بشكه"</f>
        <v>بشكه</v>
      </c>
      <c r="N4944" s="53" t="str">
        <f t="shared" si="122"/>
        <v>منطقه ويژه اقتصادي شهيد رجايي</v>
      </c>
      <c r="O4944" s="53">
        <v>50100</v>
      </c>
      <c r="P4944" s="198" t="s">
        <v>12675</v>
      </c>
    </row>
    <row r="4945" spans="1:16" ht="18.75" hidden="1">
      <c r="A4945" s="50" t="str">
        <f>"50100-10052023"</f>
        <v>50100-10052023</v>
      </c>
      <c r="B4945" s="50" t="str">
        <f>"97/01/09"</f>
        <v>97/01/09</v>
      </c>
      <c r="C4945" s="50" t="s">
        <v>13345</v>
      </c>
      <c r="D4945" s="12" t="s">
        <v>10036</v>
      </c>
      <c r="E4945" s="12" t="s">
        <v>4971</v>
      </c>
      <c r="F4945" s="49">
        <v>154800</v>
      </c>
      <c r="G4945" s="77" t="str">
        <f>"LLC Sebco Bitumen"</f>
        <v>LLC Sebco Bitumen</v>
      </c>
      <c r="H4945" s="14" t="s">
        <v>5601</v>
      </c>
      <c r="I4945" s="14" t="s">
        <v>2458</v>
      </c>
      <c r="J4945" s="33" t="s">
        <v>7110</v>
      </c>
      <c r="K4945" s="33" t="s">
        <v>13400</v>
      </c>
      <c r="L4945" s="53" t="str">
        <f>"سودان"</f>
        <v>سودان</v>
      </c>
      <c r="M4945" s="68" t="str">
        <f>"بشكه"</f>
        <v>بشكه</v>
      </c>
      <c r="N4945" s="53" t="str">
        <f t="shared" si="122"/>
        <v>منطقه ويژه اقتصادي شهيد رجايي</v>
      </c>
      <c r="O4945" s="53">
        <v>50100</v>
      </c>
      <c r="P4945" s="198" t="s">
        <v>9763</v>
      </c>
    </row>
    <row r="4946" spans="1:16" ht="18.75" hidden="1">
      <c r="A4946" s="50" t="str">
        <f>"50100-10073983"</f>
        <v>50100-10073983</v>
      </c>
      <c r="B4946" s="50" t="str">
        <f>"97/01/19"</f>
        <v>97/01/19</v>
      </c>
      <c r="C4946" s="50" t="s">
        <v>13215</v>
      </c>
      <c r="D4946" s="12" t="s">
        <v>13189</v>
      </c>
      <c r="E4946" s="12" t="s">
        <v>4971</v>
      </c>
      <c r="F4946" s="49">
        <v>156530</v>
      </c>
      <c r="G4946" s="77" t="str">
        <f>"BITUBIZ FZE"</f>
        <v>BITUBIZ FZE</v>
      </c>
      <c r="H4946" s="14" t="s">
        <v>5601</v>
      </c>
      <c r="I4946" s="14" t="s">
        <v>2458</v>
      </c>
      <c r="J4946" s="33" t="s">
        <v>7110</v>
      </c>
      <c r="K4946" s="33" t="s">
        <v>13400</v>
      </c>
      <c r="L4946" s="53" t="str">
        <f>"اتيوپي"</f>
        <v>اتيوپي</v>
      </c>
      <c r="M4946" s="68" t="str">
        <f t="shared" ref="M4946:M4952" si="123">"بشكه"</f>
        <v>بشكه</v>
      </c>
      <c r="N4946" s="53" t="str">
        <f t="shared" si="122"/>
        <v>منطقه ويژه اقتصادي شهيد رجايي</v>
      </c>
      <c r="O4946" s="53">
        <v>50100</v>
      </c>
      <c r="P4946" s="198" t="s">
        <v>12675</v>
      </c>
    </row>
    <row r="4947" spans="1:16" ht="18.75" hidden="1">
      <c r="A4947" s="50" t="str">
        <f>"50100-10073983"</f>
        <v>50100-10073983</v>
      </c>
      <c r="B4947" s="50" t="str">
        <f>"97/01/19"</f>
        <v>97/01/19</v>
      </c>
      <c r="C4947" s="50" t="s">
        <v>13346</v>
      </c>
      <c r="D4947" s="12" t="s">
        <v>13189</v>
      </c>
      <c r="E4947" s="12" t="s">
        <v>4971</v>
      </c>
      <c r="F4947" s="49">
        <v>108000</v>
      </c>
      <c r="G4947" s="77" t="str">
        <f>"BITUBIZ FZE"</f>
        <v>BITUBIZ FZE</v>
      </c>
      <c r="H4947" s="14" t="s">
        <v>5601</v>
      </c>
      <c r="I4947" s="14" t="s">
        <v>2458</v>
      </c>
      <c r="J4947" s="33" t="s">
        <v>7110</v>
      </c>
      <c r="K4947" s="33" t="s">
        <v>13400</v>
      </c>
      <c r="L4947" s="53" t="str">
        <f>"اتيوپي"</f>
        <v>اتيوپي</v>
      </c>
      <c r="M4947" s="68" t="str">
        <f t="shared" si="123"/>
        <v>بشكه</v>
      </c>
      <c r="N4947" s="53" t="str">
        <f t="shared" si="122"/>
        <v>منطقه ويژه اقتصادي شهيد رجايي</v>
      </c>
      <c r="O4947" s="53">
        <v>50100</v>
      </c>
      <c r="P4947" s="198" t="s">
        <v>12675</v>
      </c>
    </row>
    <row r="4948" spans="1:16" ht="18.75" hidden="1">
      <c r="A4948" s="50" t="str">
        <f>"50100-10113745"</f>
        <v>50100-10113745</v>
      </c>
      <c r="B4948" s="50" t="str">
        <f>"97/01/28"</f>
        <v>97/01/28</v>
      </c>
      <c r="C4948" s="50" t="s">
        <v>13347</v>
      </c>
      <c r="D4948" s="12" t="s">
        <v>9819</v>
      </c>
      <c r="E4948" s="12" t="s">
        <v>4971</v>
      </c>
      <c r="F4948" s="49">
        <v>240740</v>
      </c>
      <c r="G4948" s="77" t="str">
        <f>"PETRO HUB ENERGY FZE"</f>
        <v>PETRO HUB ENERGY FZE</v>
      </c>
      <c r="H4948" s="14" t="s">
        <v>5601</v>
      </c>
      <c r="I4948" s="14" t="s">
        <v>2458</v>
      </c>
      <c r="J4948" s="33" t="s">
        <v>7110</v>
      </c>
      <c r="K4948" s="33" t="s">
        <v>13400</v>
      </c>
      <c r="L4948" s="53" t="str">
        <f>"ويتنام"</f>
        <v>ويتنام</v>
      </c>
      <c r="M4948" s="68" t="str">
        <f t="shared" si="123"/>
        <v>بشكه</v>
      </c>
      <c r="N4948" s="53" t="str">
        <f t="shared" si="122"/>
        <v>منطقه ويژه اقتصادي شهيد رجايي</v>
      </c>
      <c r="O4948" s="53">
        <v>50100</v>
      </c>
      <c r="P4948" s="198" t="s">
        <v>8717</v>
      </c>
    </row>
    <row r="4949" spans="1:16" ht="18.75" hidden="1">
      <c r="A4949" s="50" t="str">
        <f>"50100-10072252"</f>
        <v>50100-10072252</v>
      </c>
      <c r="B4949" s="50" t="str">
        <f>"97/01/19"</f>
        <v>97/01/19</v>
      </c>
      <c r="C4949" s="50" t="s">
        <v>13213</v>
      </c>
      <c r="D4949" s="12" t="s">
        <v>13189</v>
      </c>
      <c r="E4949" s="12" t="s">
        <v>4971</v>
      </c>
      <c r="F4949" s="49">
        <v>196993</v>
      </c>
      <c r="G4949" s="77" t="str">
        <f>"AL MASAR PETROLUME L.L.C"</f>
        <v>AL MASAR PETROLUME L.L.C</v>
      </c>
      <c r="H4949" s="14" t="s">
        <v>5601</v>
      </c>
      <c r="I4949" s="14" t="s">
        <v>2458</v>
      </c>
      <c r="J4949" s="33" t="e">
        <f>VLOOKUP(C4949,شرکتها!A:B,2,FALSE)</f>
        <v>#N/A</v>
      </c>
      <c r="K4949" s="33" t="s">
        <v>13400</v>
      </c>
      <c r="L4949" s="53" t="str">
        <f>"اوگاندا"</f>
        <v>اوگاندا</v>
      </c>
      <c r="M4949" s="68" t="str">
        <f t="shared" si="123"/>
        <v>بشكه</v>
      </c>
      <c r="N4949" s="53" t="str">
        <f t="shared" si="122"/>
        <v>منطقه ويژه اقتصادي شهيد رجايي</v>
      </c>
      <c r="O4949" s="53">
        <v>50100</v>
      </c>
      <c r="P4949" s="198" t="s">
        <v>12667</v>
      </c>
    </row>
    <row r="4950" spans="1:16" ht="18.75" hidden="1">
      <c r="A4950" s="50" t="str">
        <f>"50100-10073983"</f>
        <v>50100-10073983</v>
      </c>
      <c r="B4950" s="50" t="str">
        <f>"97/01/19"</f>
        <v>97/01/19</v>
      </c>
      <c r="C4950" s="50" t="s">
        <v>12702</v>
      </c>
      <c r="D4950" s="12" t="s">
        <v>12542</v>
      </c>
      <c r="E4950" s="12" t="s">
        <v>4971</v>
      </c>
      <c r="F4950" s="49">
        <v>182150</v>
      </c>
      <c r="G4950" s="77" t="str">
        <f>"BITUBIZ FZE"</f>
        <v>BITUBIZ FZE</v>
      </c>
      <c r="H4950" s="14" t="s">
        <v>5601</v>
      </c>
      <c r="I4950" s="14" t="s">
        <v>2458</v>
      </c>
      <c r="J4950" s="33" t="s">
        <v>7110</v>
      </c>
      <c r="K4950" s="33" t="s">
        <v>13400</v>
      </c>
      <c r="L4950" s="53" t="str">
        <f>"اتيوپي"</f>
        <v>اتيوپي</v>
      </c>
      <c r="M4950" s="68" t="str">
        <f t="shared" si="123"/>
        <v>بشكه</v>
      </c>
      <c r="N4950" s="53" t="str">
        <f t="shared" si="122"/>
        <v>منطقه ويژه اقتصادي شهيد رجايي</v>
      </c>
      <c r="O4950" s="53">
        <v>50100</v>
      </c>
      <c r="P4950" s="198" t="s">
        <v>12675</v>
      </c>
    </row>
    <row r="4951" spans="1:16" ht="18.75" hidden="1">
      <c r="A4951" s="50" t="str">
        <f>"50100-10089303"</f>
        <v>50100-10089303</v>
      </c>
      <c r="B4951" s="50" t="str">
        <f>"97/01/22"</f>
        <v>97/01/22</v>
      </c>
      <c r="C4951" s="50" t="s">
        <v>13348</v>
      </c>
      <c r="D4951" s="12" t="s">
        <v>12867</v>
      </c>
      <c r="E4951" s="12" t="s">
        <v>4971</v>
      </c>
      <c r="F4951" s="49">
        <v>495900</v>
      </c>
      <c r="G4951" s="77" t="str">
        <f>"Black Gold Traders FZE"</f>
        <v>Black Gold Traders FZE</v>
      </c>
      <c r="H4951" s="14" t="s">
        <v>5601</v>
      </c>
      <c r="I4951" s="14" t="s">
        <v>2458</v>
      </c>
      <c r="J4951" s="33" t="s">
        <v>7110</v>
      </c>
      <c r="K4951" s="33" t="s">
        <v>13400</v>
      </c>
      <c r="L4951" s="53" t="str">
        <f>"هند"</f>
        <v>هند</v>
      </c>
      <c r="M4951" s="68" t="str">
        <f t="shared" si="123"/>
        <v>بشكه</v>
      </c>
      <c r="N4951" s="53" t="str">
        <f t="shared" si="122"/>
        <v>منطقه ويژه اقتصادي شهيد رجايي</v>
      </c>
      <c r="O4951" s="53">
        <v>50100</v>
      </c>
      <c r="P4951" s="198" t="s">
        <v>12685</v>
      </c>
    </row>
    <row r="4952" spans="1:16" ht="18.75" hidden="1">
      <c r="A4952" s="50" t="str">
        <f>"50100-10088744"</f>
        <v>50100-10088744</v>
      </c>
      <c r="B4952" s="50" t="str">
        <f>"97/01/22"</f>
        <v>97/01/22</v>
      </c>
      <c r="C4952" s="50" t="s">
        <v>13349</v>
      </c>
      <c r="D4952" s="12" t="s">
        <v>12765</v>
      </c>
      <c r="E4952" s="12" t="s">
        <v>4971</v>
      </c>
      <c r="F4952" s="49">
        <v>201340</v>
      </c>
      <c r="G4952" s="77" t="str">
        <f>"Black Gold Traders FZE"</f>
        <v>Black Gold Traders FZE</v>
      </c>
      <c r="H4952" s="14" t="s">
        <v>5601</v>
      </c>
      <c r="I4952" s="14" t="s">
        <v>2458</v>
      </c>
      <c r="J4952" s="33" t="s">
        <v>7110</v>
      </c>
      <c r="K4952" s="33" t="s">
        <v>13400</v>
      </c>
      <c r="L4952" s="53" t="str">
        <f>"تانزانيا"</f>
        <v>تانزانيا</v>
      </c>
      <c r="M4952" s="68" t="str">
        <f t="shared" si="123"/>
        <v>بشكه</v>
      </c>
      <c r="N4952" s="53" t="str">
        <f t="shared" si="122"/>
        <v>منطقه ويژه اقتصادي شهيد رجايي</v>
      </c>
      <c r="O4952" s="53">
        <v>50100</v>
      </c>
      <c r="P4952" s="198" t="s">
        <v>12685</v>
      </c>
    </row>
    <row r="4953" spans="1:16" ht="18.75" hidden="1">
      <c r="A4953" s="50" t="str">
        <f t="shared" ref="A4953:A4954" si="124">"50100-10088969"</f>
        <v>50100-10088969</v>
      </c>
      <c r="B4953" s="50" t="str">
        <f t="shared" ref="B4953:B4954" si="125">"97/01/22"</f>
        <v>97/01/22</v>
      </c>
      <c r="C4953" s="50" t="s">
        <v>13350</v>
      </c>
      <c r="D4953" s="12" t="s">
        <v>13351</v>
      </c>
      <c r="E4953" s="12" t="s">
        <v>13333</v>
      </c>
      <c r="F4953" s="49">
        <v>1450000</v>
      </c>
      <c r="G4953" s="77" t="s">
        <v>6452</v>
      </c>
      <c r="H4953" s="14" t="s">
        <v>5601</v>
      </c>
      <c r="I4953" s="14" t="s">
        <v>2458</v>
      </c>
      <c r="J4953" s="33" t="e">
        <f>VLOOKUP(C4953,شرکتها!A:B,2,FALSE)</f>
        <v>#N/A</v>
      </c>
      <c r="K4953" s="33" t="s">
        <v>13400</v>
      </c>
      <c r="L4953" s="53" t="str">
        <f t="shared" ref="L4953:L4954" si="126">"قطر"</f>
        <v>قطر</v>
      </c>
      <c r="M4953" s="68" t="str">
        <f t="shared" ref="M4953:M4954" si="127">"فله"</f>
        <v>فله</v>
      </c>
      <c r="N4953" s="53" t="str">
        <f t="shared" si="122"/>
        <v>منطقه ويژه اقتصادي شهيد رجايي</v>
      </c>
      <c r="O4953" s="53">
        <v>50100</v>
      </c>
      <c r="P4953" s="198" t="s">
        <v>12930</v>
      </c>
    </row>
    <row r="4954" spans="1:16" ht="18.75" hidden="1">
      <c r="A4954" s="50" t="str">
        <f t="shared" si="124"/>
        <v>50100-10088969</v>
      </c>
      <c r="B4954" s="50" t="str">
        <f t="shared" si="125"/>
        <v>97/01/22</v>
      </c>
      <c r="C4954" s="50" t="s">
        <v>13352</v>
      </c>
      <c r="D4954" s="12" t="s">
        <v>13351</v>
      </c>
      <c r="E4954" s="12" t="s">
        <v>13333</v>
      </c>
      <c r="F4954" s="49">
        <v>2000000</v>
      </c>
      <c r="G4954" s="77" t="s">
        <v>6452</v>
      </c>
      <c r="H4954" s="14" t="s">
        <v>5601</v>
      </c>
      <c r="I4954" s="14" t="s">
        <v>2458</v>
      </c>
      <c r="J4954" s="33" t="e">
        <f>VLOOKUP(C4954,شرکتها!A:B,2,FALSE)</f>
        <v>#N/A</v>
      </c>
      <c r="K4954" s="33" t="s">
        <v>13400</v>
      </c>
      <c r="L4954" s="53" t="str">
        <f t="shared" si="126"/>
        <v>قطر</v>
      </c>
      <c r="M4954" s="68" t="str">
        <f t="shared" si="127"/>
        <v>فله</v>
      </c>
      <c r="N4954" s="53" t="str">
        <f t="shared" si="122"/>
        <v>منطقه ويژه اقتصادي شهيد رجايي</v>
      </c>
      <c r="O4954" s="53">
        <v>50100</v>
      </c>
      <c r="P4954" s="198" t="s">
        <v>13353</v>
      </c>
    </row>
    <row r="4955" spans="1:16" ht="18.75" hidden="1">
      <c r="A4955" s="50" t="str">
        <f>"50100-10088969"</f>
        <v>50100-10088969</v>
      </c>
      <c r="B4955" s="50" t="str">
        <f>"97/01/22"</f>
        <v>97/01/22</v>
      </c>
      <c r="C4955" s="50" t="s">
        <v>13354</v>
      </c>
      <c r="D4955" s="12" t="s">
        <v>13351</v>
      </c>
      <c r="E4955" s="12" t="s">
        <v>13333</v>
      </c>
      <c r="F4955" s="49">
        <v>349159</v>
      </c>
      <c r="G4955" s="77" t="s">
        <v>6452</v>
      </c>
      <c r="H4955" s="14" t="s">
        <v>5601</v>
      </c>
      <c r="I4955" s="14" t="s">
        <v>2458</v>
      </c>
      <c r="J4955" s="33" t="e">
        <f>VLOOKUP(C4955,شرکتها!A:B,2,FALSE)</f>
        <v>#N/A</v>
      </c>
      <c r="K4955" s="33" t="s">
        <v>13400</v>
      </c>
      <c r="L4955" s="53" t="str">
        <f>"قطر"</f>
        <v>قطر</v>
      </c>
      <c r="M4955" s="68" t="str">
        <f>"فله"</f>
        <v>فله</v>
      </c>
      <c r="N4955" s="53" t="str">
        <f t="shared" si="122"/>
        <v>منطقه ويژه اقتصادي شهيد رجايي</v>
      </c>
      <c r="O4955" s="53">
        <v>50100</v>
      </c>
      <c r="P4955" s="198" t="s">
        <v>12664</v>
      </c>
    </row>
    <row r="4956" spans="1:16" ht="18.75" hidden="1">
      <c r="A4956" s="50" t="str">
        <f>"50100-10101440"</f>
        <v>50100-10101440</v>
      </c>
      <c r="B4956" s="50" t="str">
        <f>"97/01/26"</f>
        <v>97/01/26</v>
      </c>
      <c r="C4956" s="50" t="s">
        <v>13355</v>
      </c>
      <c r="D4956" s="12" t="s">
        <v>13356</v>
      </c>
      <c r="E4956" s="12" t="s">
        <v>13333</v>
      </c>
      <c r="F4956" s="49">
        <v>984826</v>
      </c>
      <c r="G4956" s="77" t="s">
        <v>6298</v>
      </c>
      <c r="H4956" s="14" t="s">
        <v>5601</v>
      </c>
      <c r="I4956" s="14" t="s">
        <v>2458</v>
      </c>
      <c r="J4956" s="33" t="s">
        <v>7110</v>
      </c>
      <c r="K4956" s="33" t="s">
        <v>13400</v>
      </c>
      <c r="L4956" s="53" t="str">
        <f>"چين"</f>
        <v>چين</v>
      </c>
      <c r="M4956" s="68" t="str">
        <f t="shared" ref="M4956:M4977" si="128">"بشكه"</f>
        <v>بشكه</v>
      </c>
      <c r="N4956" s="53" t="str">
        <f t="shared" si="122"/>
        <v>منطقه ويژه اقتصادي شهيد رجايي</v>
      </c>
      <c r="O4956" s="53">
        <v>50100</v>
      </c>
      <c r="P4956" s="198" t="s">
        <v>12934</v>
      </c>
    </row>
    <row r="4957" spans="1:16" ht="18.75" hidden="1">
      <c r="A4957" s="50" t="str">
        <f>"50100-10121576"</f>
        <v>50100-10121576</v>
      </c>
      <c r="B4957" s="50" t="str">
        <f>"97/01/30"</f>
        <v>97/01/30</v>
      </c>
      <c r="C4957" s="50" t="s">
        <v>13357</v>
      </c>
      <c r="D4957" s="12" t="s">
        <v>9827</v>
      </c>
      <c r="E4957" s="12" t="s">
        <v>4971</v>
      </c>
      <c r="F4957" s="49">
        <v>1500</v>
      </c>
      <c r="G4957" s="77" t="str">
        <f>"LLC Sebco Bitumen"</f>
        <v>LLC Sebco Bitumen</v>
      </c>
      <c r="H4957" s="14" t="s">
        <v>5601</v>
      </c>
      <c r="I4957" s="14" t="s">
        <v>2458</v>
      </c>
      <c r="J4957" s="33" t="s">
        <v>7110</v>
      </c>
      <c r="K4957" s="33" t="s">
        <v>13400</v>
      </c>
      <c r="L4957" s="53" t="str">
        <f>"جيبوتي"</f>
        <v>جيبوتي</v>
      </c>
      <c r="M4957" s="68" t="str">
        <f t="shared" si="128"/>
        <v>بشكه</v>
      </c>
      <c r="N4957" s="53" t="str">
        <f t="shared" si="122"/>
        <v>منطقه ويژه اقتصادي شهيد رجايي</v>
      </c>
      <c r="O4957" s="53">
        <v>50100</v>
      </c>
      <c r="P4957" s="198" t="s">
        <v>9769</v>
      </c>
    </row>
    <row r="4958" spans="1:16" ht="18.75" hidden="1">
      <c r="A4958" s="50" t="str">
        <f>"50100-10093368"</f>
        <v>50100-10093368</v>
      </c>
      <c r="B4958" s="50" t="str">
        <f>"97/01/23"</f>
        <v>97/01/23</v>
      </c>
      <c r="C4958" s="50" t="s">
        <v>13358</v>
      </c>
      <c r="D4958" s="12" t="s">
        <v>12481</v>
      </c>
      <c r="E4958" s="12" t="s">
        <v>4971</v>
      </c>
      <c r="F4958" s="49">
        <v>990780</v>
      </c>
      <c r="G4958" s="77" t="str">
        <f>"DAXON PETROLEUM"</f>
        <v>DAXON PETROLEUM</v>
      </c>
      <c r="H4958" s="14" t="s">
        <v>5601</v>
      </c>
      <c r="I4958" s="14" t="s">
        <v>2458</v>
      </c>
      <c r="J4958" s="33" t="s">
        <v>7110</v>
      </c>
      <c r="K4958" s="33" t="s">
        <v>13400</v>
      </c>
      <c r="L4958" s="53" t="str">
        <f>"سريلانکا"</f>
        <v>سريلانکا</v>
      </c>
      <c r="M4958" s="68" t="str">
        <f t="shared" si="128"/>
        <v>بشكه</v>
      </c>
      <c r="N4958" s="53" t="str">
        <f t="shared" si="122"/>
        <v>منطقه ويژه اقتصادي شهيد رجايي</v>
      </c>
      <c r="O4958" s="53">
        <v>50100</v>
      </c>
      <c r="P4958" s="198" t="s">
        <v>12221</v>
      </c>
    </row>
    <row r="4959" spans="1:16" ht="18.75" hidden="1">
      <c r="A4959" s="50" t="str">
        <f>"50100-10121576"</f>
        <v>50100-10121576</v>
      </c>
      <c r="B4959" s="50" t="str">
        <f>"97/01/30"</f>
        <v>97/01/30</v>
      </c>
      <c r="C4959" s="50" t="s">
        <v>13359</v>
      </c>
      <c r="D4959" s="12" t="s">
        <v>9832</v>
      </c>
      <c r="E4959" s="12" t="s">
        <v>4971</v>
      </c>
      <c r="F4959" s="49">
        <v>498215</v>
      </c>
      <c r="G4959" s="77" t="str">
        <f>"GLOBUS INTERNATIONAL FZE"</f>
        <v>GLOBUS INTERNATIONAL FZE</v>
      </c>
      <c r="H4959" s="14" t="s">
        <v>5601</v>
      </c>
      <c r="I4959" s="14" t="s">
        <v>2458</v>
      </c>
      <c r="J4959" s="33" t="e">
        <f>VLOOKUP(C4959,شرکتها!A:B,2,FALSE)</f>
        <v>#N/A</v>
      </c>
      <c r="K4959" s="33" t="s">
        <v>13400</v>
      </c>
      <c r="L4959" s="53" t="str">
        <f>"جيبوتي"</f>
        <v>جيبوتي</v>
      </c>
      <c r="M4959" s="68" t="str">
        <f t="shared" si="128"/>
        <v>بشكه</v>
      </c>
      <c r="N4959" s="53" t="str">
        <f t="shared" si="122"/>
        <v>منطقه ويژه اقتصادي شهيد رجايي</v>
      </c>
      <c r="O4959" s="53">
        <v>50100</v>
      </c>
      <c r="P4959" s="198" t="s">
        <v>9779</v>
      </c>
    </row>
    <row r="4960" spans="1:16" ht="18.75" hidden="1">
      <c r="A4960" s="50" t="str">
        <f>"50100-10096490"</f>
        <v>50100-10096490</v>
      </c>
      <c r="B4960" s="50" t="str">
        <f>"97/01/26"</f>
        <v>97/01/26</v>
      </c>
      <c r="C4960" s="50" t="s">
        <v>13348</v>
      </c>
      <c r="D4960" s="12" t="s">
        <v>12867</v>
      </c>
      <c r="E4960" s="12" t="s">
        <v>4971</v>
      </c>
      <c r="F4960" s="49">
        <v>97920</v>
      </c>
      <c r="G4960" s="77" t="str">
        <f>"Black Gold Traders FZE"</f>
        <v>Black Gold Traders FZE</v>
      </c>
      <c r="H4960" s="14" t="s">
        <v>5601</v>
      </c>
      <c r="I4960" s="14" t="s">
        <v>2458</v>
      </c>
      <c r="J4960" s="33" t="s">
        <v>7110</v>
      </c>
      <c r="K4960" s="33" t="s">
        <v>13400</v>
      </c>
      <c r="L4960" s="53" t="str">
        <f>"بنگلادش"</f>
        <v>بنگلادش</v>
      </c>
      <c r="M4960" s="68" t="str">
        <f t="shared" si="128"/>
        <v>بشكه</v>
      </c>
      <c r="N4960" s="53" t="str">
        <f t="shared" si="122"/>
        <v>منطقه ويژه اقتصادي شهيد رجايي</v>
      </c>
      <c r="O4960" s="53">
        <v>50100</v>
      </c>
      <c r="P4960" s="198" t="s">
        <v>12685</v>
      </c>
    </row>
    <row r="4961" spans="1:16" ht="18.75" hidden="1">
      <c r="A4961" s="50" t="str">
        <f>"50100-10096490"</f>
        <v>50100-10096490</v>
      </c>
      <c r="B4961" s="50" t="str">
        <f>"97/01/26"</f>
        <v>97/01/26</v>
      </c>
      <c r="C4961" s="50" t="s">
        <v>13349</v>
      </c>
      <c r="D4961" s="12" t="s">
        <v>12765</v>
      </c>
      <c r="E4961" s="12" t="s">
        <v>4971</v>
      </c>
      <c r="F4961" s="49">
        <v>83660</v>
      </c>
      <c r="G4961" s="77" t="str">
        <f>"Black Gold Traders FZE"</f>
        <v>Black Gold Traders FZE</v>
      </c>
      <c r="H4961" s="14" t="s">
        <v>5601</v>
      </c>
      <c r="I4961" s="14" t="s">
        <v>2458</v>
      </c>
      <c r="J4961" s="33" t="s">
        <v>7110</v>
      </c>
      <c r="K4961" s="33" t="s">
        <v>13400</v>
      </c>
      <c r="L4961" s="53" t="str">
        <f>"بنگلادش"</f>
        <v>بنگلادش</v>
      </c>
      <c r="M4961" s="68" t="str">
        <f t="shared" si="128"/>
        <v>بشكه</v>
      </c>
      <c r="N4961" s="53" t="str">
        <f t="shared" si="122"/>
        <v>منطقه ويژه اقتصادي شهيد رجايي</v>
      </c>
      <c r="O4961" s="53">
        <v>50100</v>
      </c>
      <c r="P4961" s="198" t="s">
        <v>12685</v>
      </c>
    </row>
    <row r="4962" spans="1:16" ht="18.75" hidden="1">
      <c r="A4962" s="50" t="str">
        <f>"50100-10101023"</f>
        <v>50100-10101023</v>
      </c>
      <c r="B4962" s="50" t="str">
        <f>"97/01/26"</f>
        <v>97/01/26</v>
      </c>
      <c r="C4962" s="50" t="s">
        <v>13360</v>
      </c>
      <c r="D4962" s="12" t="s">
        <v>12583</v>
      </c>
      <c r="E4962" s="12" t="s">
        <v>4971</v>
      </c>
      <c r="F4962" s="49">
        <v>499275</v>
      </c>
      <c r="G4962" s="77" t="str">
        <f>"DAXON PETROLEUM"</f>
        <v>DAXON PETROLEUM</v>
      </c>
      <c r="H4962" s="14" t="s">
        <v>5601</v>
      </c>
      <c r="I4962" s="14" t="s">
        <v>2458</v>
      </c>
      <c r="J4962" s="33" t="s">
        <v>7110</v>
      </c>
      <c r="K4962" s="33" t="s">
        <v>13400</v>
      </c>
      <c r="L4962" s="53" t="str">
        <f>"هند"</f>
        <v>هند</v>
      </c>
      <c r="M4962" s="68" t="str">
        <f t="shared" si="128"/>
        <v>بشكه</v>
      </c>
      <c r="N4962" s="53" t="str">
        <f t="shared" si="122"/>
        <v>منطقه ويژه اقتصادي شهيد رجايي</v>
      </c>
      <c r="O4962" s="53">
        <v>50100</v>
      </c>
      <c r="P4962" s="198" t="s">
        <v>12221</v>
      </c>
    </row>
    <row r="4963" spans="1:16" ht="18.75" hidden="1">
      <c r="A4963" s="50" t="str">
        <f>"50100-10100212"</f>
        <v>50100-10100212</v>
      </c>
      <c r="B4963" s="50" t="str">
        <f>"97/01/26"</f>
        <v>97/01/26</v>
      </c>
      <c r="C4963" s="50" t="s">
        <v>13361</v>
      </c>
      <c r="D4963" s="12" t="s">
        <v>12880</v>
      </c>
      <c r="E4963" s="12" t="s">
        <v>4971</v>
      </c>
      <c r="F4963" s="49">
        <v>500000</v>
      </c>
      <c r="G4963" s="77" t="str">
        <f>"Black Gold Traders FZE"</f>
        <v>Black Gold Traders FZE</v>
      </c>
      <c r="H4963" s="14" t="s">
        <v>5601</v>
      </c>
      <c r="I4963" s="14" t="s">
        <v>2458</v>
      </c>
      <c r="J4963" s="33" t="s">
        <v>7110</v>
      </c>
      <c r="K4963" s="33" t="s">
        <v>13400</v>
      </c>
      <c r="L4963" s="53" t="str">
        <f>"اندونزي"</f>
        <v>اندونزي</v>
      </c>
      <c r="M4963" s="68" t="str">
        <f t="shared" si="128"/>
        <v>بشكه</v>
      </c>
      <c r="N4963" s="53" t="str">
        <f t="shared" si="122"/>
        <v>منطقه ويژه اقتصادي شهيد رجايي</v>
      </c>
      <c r="O4963" s="53">
        <v>50100</v>
      </c>
      <c r="P4963" s="198" t="s">
        <v>12942</v>
      </c>
    </row>
    <row r="4964" spans="1:16" ht="18.75" hidden="1">
      <c r="A4964" s="50" t="str">
        <f>"50100-10122287"</f>
        <v>50100-10122287</v>
      </c>
      <c r="B4964" s="50" t="str">
        <f>"97/01/30"</f>
        <v>97/01/30</v>
      </c>
      <c r="C4964" s="50" t="s">
        <v>13362</v>
      </c>
      <c r="D4964" s="12" t="s">
        <v>12649</v>
      </c>
      <c r="E4964" s="12" t="s">
        <v>4971</v>
      </c>
      <c r="F4964" s="49">
        <v>225000</v>
      </c>
      <c r="G4964" s="77" t="str">
        <f>"LLC Sebco Bitumen"</f>
        <v>LLC Sebco Bitumen</v>
      </c>
      <c r="H4964" s="14" t="s">
        <v>5601</v>
      </c>
      <c r="I4964" s="14" t="s">
        <v>2458</v>
      </c>
      <c r="J4964" s="33" t="s">
        <v>7110</v>
      </c>
      <c r="K4964" s="33" t="s">
        <v>13400</v>
      </c>
      <c r="L4964" s="53" t="str">
        <f>"کنيا"</f>
        <v>کنيا</v>
      </c>
      <c r="M4964" s="68" t="str">
        <f t="shared" si="128"/>
        <v>بشكه</v>
      </c>
      <c r="N4964" s="53" t="str">
        <f t="shared" si="122"/>
        <v>منطقه ويژه اقتصادي شهيد رجايي</v>
      </c>
      <c r="O4964" s="53">
        <v>50100</v>
      </c>
      <c r="P4964" s="198" t="s">
        <v>12429</v>
      </c>
    </row>
    <row r="4965" spans="1:16" ht="18.75" hidden="1">
      <c r="A4965" s="50" t="str">
        <f>"50100-10122146"</f>
        <v>50100-10122146</v>
      </c>
      <c r="B4965" s="50" t="str">
        <f>"97/01/30"</f>
        <v>97/01/30</v>
      </c>
      <c r="C4965" s="50" t="s">
        <v>13363</v>
      </c>
      <c r="D4965" s="12" t="s">
        <v>12583</v>
      </c>
      <c r="E4965" s="12" t="s">
        <v>4971</v>
      </c>
      <c r="F4965" s="49">
        <v>97160</v>
      </c>
      <c r="G4965" s="77" t="str">
        <f>"GLOBUS INTERNATIONAL FZE"</f>
        <v>GLOBUS INTERNATIONAL FZE</v>
      </c>
      <c r="H4965" s="14" t="s">
        <v>5601</v>
      </c>
      <c r="I4965" s="14" t="s">
        <v>2458</v>
      </c>
      <c r="J4965" s="33" t="s">
        <v>7110</v>
      </c>
      <c r="K4965" s="33" t="s">
        <v>13400</v>
      </c>
      <c r="L4965" s="53" t="str">
        <f>"تانزانيا"</f>
        <v>تانزانيا</v>
      </c>
      <c r="M4965" s="68" t="str">
        <f t="shared" si="128"/>
        <v>بشكه</v>
      </c>
      <c r="N4965" s="53" t="str">
        <f t="shared" si="122"/>
        <v>منطقه ويژه اقتصادي شهيد رجايي</v>
      </c>
      <c r="O4965" s="53">
        <v>50100</v>
      </c>
      <c r="P4965" s="198" t="s">
        <v>12426</v>
      </c>
    </row>
    <row r="4966" spans="1:16" ht="18.75" hidden="1">
      <c r="A4966" s="50" t="str">
        <f>"50100-10100874"</f>
        <v>50100-10100874</v>
      </c>
      <c r="B4966" s="50" t="str">
        <f>"97/01/26"</f>
        <v>97/01/26</v>
      </c>
      <c r="C4966" s="50" t="s">
        <v>13357</v>
      </c>
      <c r="D4966" s="12" t="s">
        <v>9827</v>
      </c>
      <c r="E4966" s="12" t="s">
        <v>4971</v>
      </c>
      <c r="F4966" s="49">
        <v>300300</v>
      </c>
      <c r="G4966" s="77" t="str">
        <f>"LLC Sebco Bitumen"</f>
        <v>LLC Sebco Bitumen</v>
      </c>
      <c r="H4966" s="14" t="s">
        <v>5601</v>
      </c>
      <c r="I4966" s="14" t="s">
        <v>2458</v>
      </c>
      <c r="J4966" s="33" t="s">
        <v>7110</v>
      </c>
      <c r="K4966" s="33" t="s">
        <v>13400</v>
      </c>
      <c r="L4966" s="53" t="str">
        <f>"تانزانيا"</f>
        <v>تانزانيا</v>
      </c>
      <c r="M4966" s="68" t="str">
        <f t="shared" si="128"/>
        <v>بشكه</v>
      </c>
      <c r="N4966" s="53" t="str">
        <f t="shared" si="122"/>
        <v>منطقه ويژه اقتصادي شهيد رجايي</v>
      </c>
      <c r="O4966" s="53">
        <v>50100</v>
      </c>
      <c r="P4966" s="198" t="s">
        <v>9769</v>
      </c>
    </row>
    <row r="4967" spans="1:16" ht="18.75" hidden="1">
      <c r="A4967" s="50" t="str">
        <f>"50100-10122287"</f>
        <v>50100-10122287</v>
      </c>
      <c r="B4967" s="50" t="str">
        <f>"97/01/30"</f>
        <v>97/01/30</v>
      </c>
      <c r="C4967" s="50" t="s">
        <v>13364</v>
      </c>
      <c r="D4967" s="12" t="s">
        <v>12560</v>
      </c>
      <c r="E4967" s="12" t="s">
        <v>4971</v>
      </c>
      <c r="F4967" s="49">
        <v>150000</v>
      </c>
      <c r="G4967" s="77" t="str">
        <f>"LLC Sebco Bitumen"</f>
        <v>LLC Sebco Bitumen</v>
      </c>
      <c r="H4967" s="14" t="s">
        <v>5601</v>
      </c>
      <c r="I4967" s="14" t="s">
        <v>2458</v>
      </c>
      <c r="J4967" s="33" t="s">
        <v>7110</v>
      </c>
      <c r="K4967" s="33" t="s">
        <v>13400</v>
      </c>
      <c r="L4967" s="53" t="str">
        <f>"کنيا"</f>
        <v>کنيا</v>
      </c>
      <c r="M4967" s="68" t="str">
        <f t="shared" si="128"/>
        <v>بشكه</v>
      </c>
      <c r="N4967" s="53" t="str">
        <f t="shared" si="122"/>
        <v>منطقه ويژه اقتصادي شهيد رجايي</v>
      </c>
      <c r="O4967" s="53">
        <v>50100</v>
      </c>
      <c r="P4967" s="198" t="s">
        <v>12429</v>
      </c>
    </row>
    <row r="4968" spans="1:16" ht="18.75" hidden="1">
      <c r="A4968" s="50" t="str">
        <f>"50100-10087814"</f>
        <v>50100-10087814</v>
      </c>
      <c r="B4968" s="50" t="str">
        <f>"97/01/22"</f>
        <v>97/01/22</v>
      </c>
      <c r="C4968" s="50" t="s">
        <v>13365</v>
      </c>
      <c r="D4968" s="12" t="s">
        <v>13351</v>
      </c>
      <c r="E4968" s="12" t="s">
        <v>13333</v>
      </c>
      <c r="F4968" s="49">
        <v>494711</v>
      </c>
      <c r="G4968" s="77" t="s">
        <v>6298</v>
      </c>
      <c r="H4968" s="14" t="s">
        <v>5601</v>
      </c>
      <c r="I4968" s="14" t="s">
        <v>2458</v>
      </c>
      <c r="J4968" s="33" t="s">
        <v>7110</v>
      </c>
      <c r="K4968" s="33" t="s">
        <v>13400</v>
      </c>
      <c r="L4968" s="53" t="str">
        <f>"هند"</f>
        <v>هند</v>
      </c>
      <c r="M4968" s="68" t="str">
        <f t="shared" si="128"/>
        <v>بشكه</v>
      </c>
      <c r="N4968" s="53" t="str">
        <f t="shared" si="122"/>
        <v>منطقه ويژه اقتصادي شهيد رجايي</v>
      </c>
      <c r="O4968" s="53">
        <v>50100</v>
      </c>
      <c r="P4968" s="198" t="s">
        <v>12934</v>
      </c>
    </row>
    <row r="4969" spans="1:16" ht="18.75" hidden="1">
      <c r="A4969" s="50" t="str">
        <f>"50100-10073477"</f>
        <v>50100-10073477</v>
      </c>
      <c r="B4969" s="50" t="str">
        <f>"97/01/19"</f>
        <v>97/01/19</v>
      </c>
      <c r="C4969" s="50" t="s">
        <v>13363</v>
      </c>
      <c r="D4969" s="12" t="s">
        <v>12583</v>
      </c>
      <c r="E4969" s="12" t="s">
        <v>4971</v>
      </c>
      <c r="F4969" s="49">
        <v>216302</v>
      </c>
      <c r="G4969" s="77" t="str">
        <f>"GLOBUS INTERNATIONAL FZE"</f>
        <v>GLOBUS INTERNATIONAL FZE</v>
      </c>
      <c r="H4969" s="14" t="s">
        <v>5601</v>
      </c>
      <c r="I4969" s="14" t="s">
        <v>2458</v>
      </c>
      <c r="J4969" s="33" t="s">
        <v>7110</v>
      </c>
      <c r="K4969" s="33" t="s">
        <v>13400</v>
      </c>
      <c r="L4969" s="53" t="str">
        <f>"ويتنام"</f>
        <v>ويتنام</v>
      </c>
      <c r="M4969" s="68" t="str">
        <f t="shared" si="128"/>
        <v>بشكه</v>
      </c>
      <c r="N4969" s="53" t="str">
        <f t="shared" si="122"/>
        <v>منطقه ويژه اقتصادي شهيد رجايي</v>
      </c>
      <c r="O4969" s="53">
        <v>50100</v>
      </c>
      <c r="P4969" s="198" t="s">
        <v>12426</v>
      </c>
    </row>
    <row r="4970" spans="1:16" ht="18.75" hidden="1">
      <c r="A4970" s="50" t="str">
        <f>"50100-10101212"</f>
        <v>50100-10101212</v>
      </c>
      <c r="B4970" s="50" t="str">
        <f>"97/01/26"</f>
        <v>97/01/26</v>
      </c>
      <c r="C4970" s="50" t="s">
        <v>13360</v>
      </c>
      <c r="D4970" s="12" t="s">
        <v>12583</v>
      </c>
      <c r="E4970" s="12" t="s">
        <v>4971</v>
      </c>
      <c r="F4970" s="49">
        <v>725</v>
      </c>
      <c r="G4970" s="77" t="str">
        <f>"DAXON PETROLEUM"</f>
        <v>DAXON PETROLEUM</v>
      </c>
      <c r="H4970" s="14" t="s">
        <v>5601</v>
      </c>
      <c r="I4970" s="14" t="s">
        <v>2458</v>
      </c>
      <c r="J4970" s="33" t="s">
        <v>7110</v>
      </c>
      <c r="K4970" s="33" t="s">
        <v>13400</v>
      </c>
      <c r="L4970" s="53" t="str">
        <f>"هند"</f>
        <v>هند</v>
      </c>
      <c r="M4970" s="68" t="str">
        <f t="shared" si="128"/>
        <v>بشكه</v>
      </c>
      <c r="N4970" s="53" t="str">
        <f t="shared" si="122"/>
        <v>منطقه ويژه اقتصادي شهيد رجايي</v>
      </c>
      <c r="O4970" s="53">
        <v>50100</v>
      </c>
      <c r="P4970" s="198" t="s">
        <v>12221</v>
      </c>
    </row>
    <row r="4971" spans="1:16" ht="18.75" hidden="1">
      <c r="A4971" s="50" t="str">
        <f>"50100-10101212"</f>
        <v>50100-10101212</v>
      </c>
      <c r="B4971" s="50" t="str">
        <f>"97/01/26"</f>
        <v>97/01/26</v>
      </c>
      <c r="C4971" s="50" t="s">
        <v>13366</v>
      </c>
      <c r="D4971" s="12" t="s">
        <v>9997</v>
      </c>
      <c r="E4971" s="12" t="s">
        <v>4971</v>
      </c>
      <c r="F4971" s="49">
        <v>193296</v>
      </c>
      <c r="G4971" s="77" t="str">
        <f>"DAXON PETROLEUM"</f>
        <v>DAXON PETROLEUM</v>
      </c>
      <c r="H4971" s="14" t="s">
        <v>5601</v>
      </c>
      <c r="I4971" s="14" t="s">
        <v>2458</v>
      </c>
      <c r="J4971" s="33" t="s">
        <v>7110</v>
      </c>
      <c r="K4971" s="33" t="s">
        <v>13400</v>
      </c>
      <c r="L4971" s="53" t="str">
        <f>"هند"</f>
        <v>هند</v>
      </c>
      <c r="M4971" s="68" t="str">
        <f t="shared" si="128"/>
        <v>بشكه</v>
      </c>
      <c r="N4971" s="53" t="str">
        <f t="shared" si="122"/>
        <v>منطقه ويژه اقتصادي شهيد رجايي</v>
      </c>
      <c r="O4971" s="53">
        <v>50100</v>
      </c>
      <c r="P4971" s="198" t="s">
        <v>9796</v>
      </c>
    </row>
    <row r="4972" spans="1:16" ht="18.75" hidden="1">
      <c r="A4972" s="50" t="str">
        <f>"50100-10101212"</f>
        <v>50100-10101212</v>
      </c>
      <c r="B4972" s="50" t="str">
        <f>"97/01/26"</f>
        <v>97/01/26</v>
      </c>
      <c r="C4972" s="50" t="s">
        <v>13358</v>
      </c>
      <c r="D4972" s="12" t="s">
        <v>12481</v>
      </c>
      <c r="E4972" s="12" t="s">
        <v>4971</v>
      </c>
      <c r="F4972" s="49">
        <v>8340</v>
      </c>
      <c r="G4972" s="77" t="str">
        <f>"DAXON PETROLEUM"</f>
        <v>DAXON PETROLEUM</v>
      </c>
      <c r="H4972" s="14" t="s">
        <v>5601</v>
      </c>
      <c r="I4972" s="14" t="s">
        <v>2458</v>
      </c>
      <c r="J4972" s="33" t="s">
        <v>7110</v>
      </c>
      <c r="K4972" s="33" t="s">
        <v>13400</v>
      </c>
      <c r="L4972" s="53" t="str">
        <f>"هند"</f>
        <v>هند</v>
      </c>
      <c r="M4972" s="68" t="str">
        <f t="shared" si="128"/>
        <v>بشكه</v>
      </c>
      <c r="N4972" s="53" t="str">
        <f t="shared" si="122"/>
        <v>منطقه ويژه اقتصادي شهيد رجايي</v>
      </c>
      <c r="O4972" s="53">
        <v>50100</v>
      </c>
      <c r="P4972" s="198" t="s">
        <v>12221</v>
      </c>
    </row>
    <row r="4973" spans="1:16" ht="18.75" hidden="1">
      <c r="A4973" s="50" t="str">
        <f>"50100-10113667"</f>
        <v>50100-10113667</v>
      </c>
      <c r="B4973" s="50" t="str">
        <f>"97/01/28"</f>
        <v>97/01/28</v>
      </c>
      <c r="C4973" s="50" t="s">
        <v>13359</v>
      </c>
      <c r="D4973" s="12" t="s">
        <v>9832</v>
      </c>
      <c r="E4973" s="12" t="s">
        <v>4971</v>
      </c>
      <c r="F4973" s="49">
        <v>599280</v>
      </c>
      <c r="G4973" s="77" t="str">
        <f>"GLOBUS INTERNATIONAL FZE"</f>
        <v>GLOBUS INTERNATIONAL FZE</v>
      </c>
      <c r="H4973" s="14" t="s">
        <v>5601</v>
      </c>
      <c r="I4973" s="14" t="s">
        <v>2458</v>
      </c>
      <c r="J4973" s="33" t="e">
        <f>VLOOKUP(C4973,شرکتها!A:B,2,FALSE)</f>
        <v>#N/A</v>
      </c>
      <c r="K4973" s="33" t="s">
        <v>13400</v>
      </c>
      <c r="L4973" s="53" t="str">
        <f>"کنيا"</f>
        <v>کنيا</v>
      </c>
      <c r="M4973" s="68" t="str">
        <f t="shared" si="128"/>
        <v>بشكه</v>
      </c>
      <c r="N4973" s="53" t="str">
        <f t="shared" si="122"/>
        <v>منطقه ويژه اقتصادي شهيد رجايي</v>
      </c>
      <c r="O4973" s="53">
        <v>50100</v>
      </c>
      <c r="P4973" s="198" t="s">
        <v>9779</v>
      </c>
    </row>
    <row r="4974" spans="1:16" ht="18.75" hidden="1">
      <c r="A4974" s="50" t="str">
        <f>"50100-10100608"</f>
        <v>50100-10100608</v>
      </c>
      <c r="B4974" s="50" t="str">
        <f>"97/01/26"</f>
        <v>97/01/26</v>
      </c>
      <c r="C4974" s="50" t="s">
        <v>13367</v>
      </c>
      <c r="D4974" s="12" t="s">
        <v>12824</v>
      </c>
      <c r="E4974" s="12" t="s">
        <v>4971</v>
      </c>
      <c r="F4974" s="49">
        <v>8867</v>
      </c>
      <c r="G4974" s="77" t="str">
        <f>"Black Gold Traders FZE"</f>
        <v>Black Gold Traders FZE</v>
      </c>
      <c r="H4974" s="14" t="s">
        <v>5601</v>
      </c>
      <c r="I4974" s="14" t="s">
        <v>2458</v>
      </c>
      <c r="J4974" s="33" t="s">
        <v>7110</v>
      </c>
      <c r="K4974" s="33" t="s">
        <v>13400</v>
      </c>
      <c r="L4974" s="53" t="str">
        <f>"هند"</f>
        <v>هند</v>
      </c>
      <c r="M4974" s="68" t="str">
        <f t="shared" si="128"/>
        <v>بشكه</v>
      </c>
      <c r="N4974" s="53" t="str">
        <f t="shared" si="122"/>
        <v>منطقه ويژه اقتصادي شهيد رجايي</v>
      </c>
      <c r="O4974" s="53">
        <v>50100</v>
      </c>
      <c r="P4974" s="198" t="s">
        <v>12685</v>
      </c>
    </row>
    <row r="4975" spans="1:16" ht="18.75" hidden="1">
      <c r="A4975" s="50" t="str">
        <f>"50100-10100608"</f>
        <v>50100-10100608</v>
      </c>
      <c r="B4975" s="50" t="str">
        <f>"97/01/26"</f>
        <v>97/01/26</v>
      </c>
      <c r="C4975" s="50" t="s">
        <v>13368</v>
      </c>
      <c r="D4975" s="12" t="s">
        <v>13186</v>
      </c>
      <c r="E4975" s="12" t="s">
        <v>4971</v>
      </c>
      <c r="F4975" s="49">
        <v>104987</v>
      </c>
      <c r="G4975" s="77" t="str">
        <f>"Black Gold Traders FZE"</f>
        <v>Black Gold Traders FZE</v>
      </c>
      <c r="H4975" s="14" t="s">
        <v>5601</v>
      </c>
      <c r="I4975" s="14" t="s">
        <v>2458</v>
      </c>
      <c r="J4975" s="33" t="s">
        <v>7110</v>
      </c>
      <c r="K4975" s="33" t="s">
        <v>13400</v>
      </c>
      <c r="L4975" s="53" t="str">
        <f>"هند"</f>
        <v>هند</v>
      </c>
      <c r="M4975" s="68" t="str">
        <f t="shared" si="128"/>
        <v>بشكه</v>
      </c>
      <c r="N4975" s="53" t="str">
        <f t="shared" si="122"/>
        <v>منطقه ويژه اقتصادي شهيد رجايي</v>
      </c>
      <c r="O4975" s="53">
        <v>50100</v>
      </c>
      <c r="P4975" s="198" t="s">
        <v>12942</v>
      </c>
    </row>
    <row r="4976" spans="1:16" ht="18.75" hidden="1">
      <c r="A4976" s="50" t="str">
        <f>"50100-10100608"</f>
        <v>50100-10100608</v>
      </c>
      <c r="B4976" s="50" t="str">
        <f>"97/01/26"</f>
        <v>97/01/26</v>
      </c>
      <c r="C4976" s="50" t="s">
        <v>13369</v>
      </c>
      <c r="D4976" s="12" t="s">
        <v>13343</v>
      </c>
      <c r="E4976" s="12" t="s">
        <v>13333</v>
      </c>
      <c r="F4976" s="49">
        <v>376663</v>
      </c>
      <c r="G4976" s="77" t="str">
        <f>"Black Gold Traders FZE"</f>
        <v>Black Gold Traders FZE</v>
      </c>
      <c r="H4976" s="14" t="s">
        <v>5601</v>
      </c>
      <c r="I4976" s="14" t="s">
        <v>2458</v>
      </c>
      <c r="J4976" s="33" t="s">
        <v>7110</v>
      </c>
      <c r="K4976" s="33" t="s">
        <v>13400</v>
      </c>
      <c r="L4976" s="53" t="str">
        <f>"هند"</f>
        <v>هند</v>
      </c>
      <c r="M4976" s="68" t="str">
        <f t="shared" si="128"/>
        <v>بشكه</v>
      </c>
      <c r="N4976" s="53" t="str">
        <f t="shared" si="122"/>
        <v>منطقه ويژه اقتصادي شهيد رجايي</v>
      </c>
      <c r="O4976" s="53">
        <v>50100</v>
      </c>
      <c r="P4976" s="198" t="s">
        <v>12942</v>
      </c>
    </row>
    <row r="4977" spans="1:16" ht="18.75" hidden="1">
      <c r="A4977" s="50" t="str">
        <f>"50100-10072876"</f>
        <v>50100-10072876</v>
      </c>
      <c r="B4977" s="50" t="str">
        <f>"97/01/19"</f>
        <v>97/01/19</v>
      </c>
      <c r="C4977" s="50" t="s">
        <v>13370</v>
      </c>
      <c r="D4977" s="12" t="s">
        <v>13266</v>
      </c>
      <c r="E4977" s="12" t="s">
        <v>13333</v>
      </c>
      <c r="F4977" s="49">
        <v>495385</v>
      </c>
      <c r="G4977" s="77" t="s">
        <v>6298</v>
      </c>
      <c r="H4977" s="14" t="s">
        <v>5601</v>
      </c>
      <c r="I4977" s="14" t="s">
        <v>2458</v>
      </c>
      <c r="J4977" s="33" t="s">
        <v>7110</v>
      </c>
      <c r="K4977" s="33" t="s">
        <v>13400</v>
      </c>
      <c r="L4977" s="53" t="str">
        <f>"هند"</f>
        <v>هند</v>
      </c>
      <c r="M4977" s="68" t="str">
        <f t="shared" si="128"/>
        <v>بشكه</v>
      </c>
      <c r="N4977" s="53" t="str">
        <f t="shared" si="122"/>
        <v>منطقه ويژه اقتصادي شهيد رجايي</v>
      </c>
      <c r="O4977" s="53">
        <v>50100</v>
      </c>
      <c r="P4977" s="198" t="s">
        <v>12934</v>
      </c>
    </row>
    <row r="4978" spans="1:16" ht="18.75" hidden="1">
      <c r="A4978" s="50" t="str">
        <f>"50100-10099425"</f>
        <v>50100-10099425</v>
      </c>
      <c r="B4978" s="50" t="str">
        <f>"97/01/26"</f>
        <v>97/01/26</v>
      </c>
      <c r="C4978" s="50" t="s">
        <v>13371</v>
      </c>
      <c r="D4978" s="12" t="s">
        <v>13273</v>
      </c>
      <c r="E4978" s="12" t="s">
        <v>13333</v>
      </c>
      <c r="F4978" s="49">
        <v>3095852</v>
      </c>
      <c r="G4978" s="77" t="s">
        <v>6452</v>
      </c>
      <c r="H4978" s="14" t="s">
        <v>5601</v>
      </c>
      <c r="I4978" s="14" t="s">
        <v>2458</v>
      </c>
      <c r="J4978" s="33" t="e">
        <f>VLOOKUP(C4978,شرکتها!A:B,2,FALSE)</f>
        <v>#N/A</v>
      </c>
      <c r="K4978" s="33" t="s">
        <v>13400</v>
      </c>
      <c r="L4978" s="53" t="str">
        <f>"قطر"</f>
        <v>قطر</v>
      </c>
      <c r="M4978" s="68" t="str">
        <f>"فله"</f>
        <v>فله</v>
      </c>
      <c r="N4978" s="53" t="str">
        <f t="shared" si="122"/>
        <v>منطقه ويژه اقتصادي شهيد رجايي</v>
      </c>
      <c r="O4978" s="53">
        <v>50100</v>
      </c>
      <c r="P4978" s="198" t="s">
        <v>13338</v>
      </c>
    </row>
    <row r="4979" spans="1:16" ht="18.75" hidden="1">
      <c r="A4979" s="50" t="str">
        <f>"50100-10110005"</f>
        <v>50100-10110005</v>
      </c>
      <c r="B4979" s="50" t="str">
        <f>"97/01/28"</f>
        <v>97/01/28</v>
      </c>
      <c r="C4979" s="50" t="s">
        <v>13372</v>
      </c>
      <c r="D4979" s="12" t="s">
        <v>13373</v>
      </c>
      <c r="E4979" s="12" t="s">
        <v>13333</v>
      </c>
      <c r="F4979" s="49">
        <v>3798426</v>
      </c>
      <c r="G4979" s="77" t="s">
        <v>6452</v>
      </c>
      <c r="H4979" s="14" t="s">
        <v>5601</v>
      </c>
      <c r="I4979" s="14" t="s">
        <v>2458</v>
      </c>
      <c r="J4979" s="33" t="e">
        <f>VLOOKUP(C4979,شرکتها!A:B,2,FALSE)</f>
        <v>#N/A</v>
      </c>
      <c r="K4979" s="33" t="s">
        <v>13400</v>
      </c>
      <c r="L4979" s="53" t="str">
        <f>"قطر"</f>
        <v>قطر</v>
      </c>
      <c r="M4979" s="68" t="str">
        <f>"فله"</f>
        <v>فله</v>
      </c>
      <c r="N4979" s="53" t="str">
        <f t="shared" si="122"/>
        <v>منطقه ويژه اقتصادي شهيد رجايي</v>
      </c>
      <c r="O4979" s="53">
        <v>50100</v>
      </c>
      <c r="P4979" s="198" t="s">
        <v>13338</v>
      </c>
    </row>
    <row r="4980" spans="1:16" ht="18.75" hidden="1">
      <c r="A4980" s="50" t="str">
        <f>"50100-10100457"</f>
        <v>50100-10100457</v>
      </c>
      <c r="B4980" s="50" t="str">
        <f>"97/01/26"</f>
        <v>97/01/26</v>
      </c>
      <c r="C4980" s="50" t="s">
        <v>13367</v>
      </c>
      <c r="D4980" s="12" t="s">
        <v>12824</v>
      </c>
      <c r="E4980" s="12" t="s">
        <v>4971</v>
      </c>
      <c r="F4980" s="49">
        <v>490992</v>
      </c>
      <c r="G4980" s="77" t="str">
        <f>"Black Gold Traders FZE"</f>
        <v>Black Gold Traders FZE</v>
      </c>
      <c r="H4980" s="14" t="s">
        <v>5601</v>
      </c>
      <c r="I4980" s="14" t="s">
        <v>2458</v>
      </c>
      <c r="J4980" s="33" t="s">
        <v>7110</v>
      </c>
      <c r="K4980" s="33" t="s">
        <v>13400</v>
      </c>
      <c r="L4980" s="53" t="str">
        <f>"بنگلادش"</f>
        <v>بنگلادش</v>
      </c>
      <c r="M4980" s="68" t="str">
        <f t="shared" ref="M4980:M4989" si="129">"بشكه"</f>
        <v>بشكه</v>
      </c>
      <c r="N4980" s="53" t="str">
        <f t="shared" si="122"/>
        <v>منطقه ويژه اقتصادي شهيد رجايي</v>
      </c>
      <c r="O4980" s="53">
        <v>50100</v>
      </c>
      <c r="P4980" s="198" t="s">
        <v>12685</v>
      </c>
    </row>
    <row r="4981" spans="1:16" ht="18.75" hidden="1">
      <c r="A4981" s="50" t="str">
        <f>"50100-10100815"</f>
        <v>50100-10100815</v>
      </c>
      <c r="B4981" s="50" t="str">
        <f>"97/01/26"</f>
        <v>97/01/26</v>
      </c>
      <c r="C4981" s="50" t="s">
        <v>13357</v>
      </c>
      <c r="D4981" s="12" t="s">
        <v>9827</v>
      </c>
      <c r="E4981" s="12" t="s">
        <v>4971</v>
      </c>
      <c r="F4981" s="49">
        <v>398200</v>
      </c>
      <c r="G4981" s="77" t="str">
        <f>"LLC Sebco Bitumen"</f>
        <v>LLC Sebco Bitumen</v>
      </c>
      <c r="H4981" s="14" t="s">
        <v>5601</v>
      </c>
      <c r="I4981" s="14" t="s">
        <v>2458</v>
      </c>
      <c r="J4981" s="33" t="s">
        <v>7110</v>
      </c>
      <c r="K4981" s="33" t="s">
        <v>13400</v>
      </c>
      <c r="L4981" s="53" t="str">
        <f>"کنيا"</f>
        <v>کنيا</v>
      </c>
      <c r="M4981" s="68" t="str">
        <f t="shared" si="129"/>
        <v>بشكه</v>
      </c>
      <c r="N4981" s="53" t="str">
        <f t="shared" si="122"/>
        <v>منطقه ويژه اقتصادي شهيد رجايي</v>
      </c>
      <c r="O4981" s="53">
        <v>50100</v>
      </c>
      <c r="P4981" s="198" t="s">
        <v>9769</v>
      </c>
    </row>
    <row r="4982" spans="1:16" ht="18.75" hidden="1">
      <c r="A4982" s="50" t="str">
        <f>"50100-10072620"</f>
        <v>50100-10072620</v>
      </c>
      <c r="B4982" s="50" t="str">
        <f>"97/01/19"</f>
        <v>97/01/19</v>
      </c>
      <c r="C4982" s="50" t="s">
        <v>13374</v>
      </c>
      <c r="D4982" s="12" t="s">
        <v>13375</v>
      </c>
      <c r="E4982" s="12" t="s">
        <v>4971</v>
      </c>
      <c r="F4982" s="49">
        <v>492483</v>
      </c>
      <c r="G4982" s="77" t="str">
        <f>"AL MASAR PETROLUME L.L.C"</f>
        <v>AL MASAR PETROLUME L.L.C</v>
      </c>
      <c r="H4982" s="14" t="s">
        <v>5601</v>
      </c>
      <c r="I4982" s="14" t="s">
        <v>2458</v>
      </c>
      <c r="J4982" s="33" t="e">
        <f>VLOOKUP(C4982,شرکتها!A:B,2,FALSE)</f>
        <v>#N/A</v>
      </c>
      <c r="K4982" s="33" t="s">
        <v>13400</v>
      </c>
      <c r="L4982" s="53" t="str">
        <f>"بنگلادش"</f>
        <v>بنگلادش</v>
      </c>
      <c r="M4982" s="68" t="str">
        <f t="shared" si="129"/>
        <v>بشكه</v>
      </c>
      <c r="N4982" s="53" t="str">
        <f t="shared" si="122"/>
        <v>منطقه ويژه اقتصادي شهيد رجايي</v>
      </c>
      <c r="O4982" s="53">
        <v>50100</v>
      </c>
      <c r="P4982" s="198" t="s">
        <v>13092</v>
      </c>
    </row>
    <row r="4983" spans="1:16" ht="18.75" hidden="1">
      <c r="A4983" s="50" t="str">
        <f>"50100-10072426"</f>
        <v>50100-10072426</v>
      </c>
      <c r="B4983" s="50" t="str">
        <f>"97/01/19"</f>
        <v>97/01/19</v>
      </c>
      <c r="C4983" s="50" t="s">
        <v>13213</v>
      </c>
      <c r="D4983" s="12" t="s">
        <v>13189</v>
      </c>
      <c r="E4983" s="12" t="s">
        <v>4971</v>
      </c>
      <c r="F4983" s="49">
        <v>10094</v>
      </c>
      <c r="G4983" s="77" t="str">
        <f>"AL MASAR PETROLUME L.L.C"</f>
        <v>AL MASAR PETROLUME L.L.C</v>
      </c>
      <c r="H4983" s="14" t="s">
        <v>5601</v>
      </c>
      <c r="I4983" s="14" t="s">
        <v>2458</v>
      </c>
      <c r="J4983" s="33" t="e">
        <f>VLOOKUP(C4983,شرکتها!A:B,2,FALSE)</f>
        <v>#N/A</v>
      </c>
      <c r="K4983" s="33" t="s">
        <v>13400</v>
      </c>
      <c r="L4983" s="53" t="str">
        <f>"بنگلادش"</f>
        <v>بنگلادش</v>
      </c>
      <c r="M4983" s="68" t="str">
        <f t="shared" si="129"/>
        <v>بشكه</v>
      </c>
      <c r="N4983" s="53" t="str">
        <f t="shared" si="122"/>
        <v>منطقه ويژه اقتصادي شهيد رجايي</v>
      </c>
      <c r="O4983" s="53">
        <v>50100</v>
      </c>
      <c r="P4983" s="198" t="s">
        <v>12667</v>
      </c>
    </row>
    <row r="4984" spans="1:16" ht="18.75" hidden="1">
      <c r="A4984" s="50" t="str">
        <f>"50100-10072426"</f>
        <v>50100-10072426</v>
      </c>
      <c r="B4984" s="50" t="str">
        <f>"97/01/19"</f>
        <v>97/01/19</v>
      </c>
      <c r="C4984" s="50" t="s">
        <v>13374</v>
      </c>
      <c r="D4984" s="12" t="s">
        <v>13375</v>
      </c>
      <c r="E4984" s="12" t="s">
        <v>4971</v>
      </c>
      <c r="F4984" s="49">
        <v>484617</v>
      </c>
      <c r="G4984" s="77" t="str">
        <f>"AL MASAR PETROLUME L.L.C"</f>
        <v>AL MASAR PETROLUME L.L.C</v>
      </c>
      <c r="H4984" s="14" t="s">
        <v>5601</v>
      </c>
      <c r="I4984" s="14" t="s">
        <v>2458</v>
      </c>
      <c r="J4984" s="33" t="e">
        <f>VLOOKUP(C4984,شرکتها!A:B,2,FALSE)</f>
        <v>#N/A</v>
      </c>
      <c r="K4984" s="33" t="s">
        <v>13400</v>
      </c>
      <c r="L4984" s="53" t="str">
        <f>"بنگلادش"</f>
        <v>بنگلادش</v>
      </c>
      <c r="M4984" s="68" t="str">
        <f t="shared" si="129"/>
        <v>بشكه</v>
      </c>
      <c r="N4984" s="53" t="str">
        <f t="shared" si="122"/>
        <v>منطقه ويژه اقتصادي شهيد رجايي</v>
      </c>
      <c r="O4984" s="53">
        <v>50100</v>
      </c>
      <c r="P4984" s="198" t="s">
        <v>13092</v>
      </c>
    </row>
    <row r="4985" spans="1:16" ht="18.75" hidden="1">
      <c r="A4985" s="50" t="str">
        <f>"50100-10088371"</f>
        <v>50100-10088371</v>
      </c>
      <c r="B4985" s="50" t="str">
        <f>"97/01/22"</f>
        <v>97/01/22</v>
      </c>
      <c r="C4985" s="50" t="s">
        <v>13348</v>
      </c>
      <c r="D4985" s="12" t="s">
        <v>12867</v>
      </c>
      <c r="E4985" s="12" t="s">
        <v>4971</v>
      </c>
      <c r="F4985" s="49">
        <v>197620</v>
      </c>
      <c r="G4985" s="77" t="str">
        <f>"Black Gold Traders FZE"</f>
        <v>Black Gold Traders FZE</v>
      </c>
      <c r="H4985" s="14" t="s">
        <v>5601</v>
      </c>
      <c r="I4985" s="14" t="s">
        <v>2458</v>
      </c>
      <c r="J4985" s="33" t="s">
        <v>7110</v>
      </c>
      <c r="K4985" s="33" t="s">
        <v>13400</v>
      </c>
      <c r="L4985" s="53" t="str">
        <f>"تانزانيا"</f>
        <v>تانزانيا</v>
      </c>
      <c r="M4985" s="68" t="str">
        <f t="shared" si="129"/>
        <v>بشكه</v>
      </c>
      <c r="N4985" s="53" t="str">
        <f t="shared" si="122"/>
        <v>منطقه ويژه اقتصادي شهيد رجايي</v>
      </c>
      <c r="O4985" s="53">
        <v>50100</v>
      </c>
      <c r="P4985" s="198" t="s">
        <v>12685</v>
      </c>
    </row>
    <row r="4986" spans="1:16" ht="18.75" hidden="1">
      <c r="A4986" s="50" t="str">
        <f>"50100-10113697"</f>
        <v>50100-10113697</v>
      </c>
      <c r="B4986" s="50" t="str">
        <f>"97/01/28"</f>
        <v>97/01/28</v>
      </c>
      <c r="C4986" s="50" t="s">
        <v>13359</v>
      </c>
      <c r="D4986" s="12" t="s">
        <v>9832</v>
      </c>
      <c r="E4986" s="12" t="s">
        <v>4971</v>
      </c>
      <c r="F4986" s="49">
        <v>245850</v>
      </c>
      <c r="G4986" s="77" t="str">
        <f>"GLOBUS INTERNATIONAL FZE"</f>
        <v>GLOBUS INTERNATIONAL FZE</v>
      </c>
      <c r="H4986" s="14" t="s">
        <v>5601</v>
      </c>
      <c r="I4986" s="14" t="s">
        <v>2458</v>
      </c>
      <c r="J4986" s="33" t="e">
        <f>VLOOKUP(C4986,شرکتها!A:B,2,FALSE)</f>
        <v>#N/A</v>
      </c>
      <c r="K4986" s="33" t="s">
        <v>13400</v>
      </c>
      <c r="L4986" s="53" t="str">
        <f>"بنگلادش"</f>
        <v>بنگلادش</v>
      </c>
      <c r="M4986" s="68" t="str">
        <f t="shared" si="129"/>
        <v>بشكه</v>
      </c>
      <c r="N4986" s="53" t="str">
        <f t="shared" si="122"/>
        <v>منطقه ويژه اقتصادي شهيد رجايي</v>
      </c>
      <c r="O4986" s="53">
        <v>50100</v>
      </c>
      <c r="P4986" s="198" t="s">
        <v>9779</v>
      </c>
    </row>
    <row r="4987" spans="1:16" ht="18.75" hidden="1">
      <c r="A4987" s="50" t="str">
        <f>"50100-10122293"</f>
        <v>50100-10122293</v>
      </c>
      <c r="B4987" s="50" t="str">
        <f>"97/01/30"</f>
        <v>97/01/30</v>
      </c>
      <c r="C4987" s="50" t="s">
        <v>13376</v>
      </c>
      <c r="D4987" s="12" t="s">
        <v>9997</v>
      </c>
      <c r="E4987" s="12" t="s">
        <v>4971</v>
      </c>
      <c r="F4987" s="49">
        <v>494985</v>
      </c>
      <c r="G4987" s="77" t="str">
        <f>"SHINING GREEN STAR FZE"</f>
        <v>SHINING GREEN STAR FZE</v>
      </c>
      <c r="H4987" s="14" t="s">
        <v>5601</v>
      </c>
      <c r="I4987" s="14" t="s">
        <v>2458</v>
      </c>
      <c r="J4987" s="33" t="e">
        <f>VLOOKUP(C4987,شرکتها!A:B,2,FALSE)</f>
        <v>#N/A</v>
      </c>
      <c r="K4987" s="33" t="s">
        <v>13400</v>
      </c>
      <c r="L4987" s="53" t="str">
        <f>" ميانمار"</f>
        <v xml:space="preserve"> ميانمار</v>
      </c>
      <c r="M4987" s="68" t="str">
        <f t="shared" si="129"/>
        <v>بشكه</v>
      </c>
      <c r="N4987" s="53" t="str">
        <f t="shared" si="122"/>
        <v>منطقه ويژه اقتصادي شهيد رجايي</v>
      </c>
      <c r="O4987" s="53">
        <v>50100</v>
      </c>
      <c r="P4987" s="198" t="s">
        <v>9770</v>
      </c>
    </row>
    <row r="4988" spans="1:16" ht="18.75" hidden="1">
      <c r="A4988" s="50" t="str">
        <f>"50100-10101212"</f>
        <v>50100-10101212</v>
      </c>
      <c r="B4988" s="50" t="str">
        <f>"97/01/26"</f>
        <v>97/01/26</v>
      </c>
      <c r="C4988" s="50" t="s">
        <v>13377</v>
      </c>
      <c r="D4988" s="12" t="s">
        <v>12477</v>
      </c>
      <c r="E4988" s="12" t="s">
        <v>4971</v>
      </c>
      <c r="F4988" s="49">
        <v>296514</v>
      </c>
      <c r="G4988" s="77" t="str">
        <f>"DAXON PETROLEUM"</f>
        <v>DAXON PETROLEUM</v>
      </c>
      <c r="H4988" s="14" t="s">
        <v>5601</v>
      </c>
      <c r="I4988" s="14" t="s">
        <v>2458</v>
      </c>
      <c r="J4988" s="33" t="s">
        <v>7110</v>
      </c>
      <c r="K4988" s="33" t="s">
        <v>13400</v>
      </c>
      <c r="L4988" s="53" t="str">
        <f>"هند"</f>
        <v>هند</v>
      </c>
      <c r="M4988" s="68" t="str">
        <f t="shared" si="129"/>
        <v>بشكه</v>
      </c>
      <c r="N4988" s="53" t="str">
        <f t="shared" si="122"/>
        <v>منطقه ويژه اقتصادي شهيد رجايي</v>
      </c>
      <c r="O4988" s="53">
        <v>50100</v>
      </c>
      <c r="P4988" s="198" t="s">
        <v>12221</v>
      </c>
    </row>
    <row r="4989" spans="1:16" ht="18.75" hidden="1">
      <c r="A4989" s="50" t="str">
        <f>"50100-10089119"</f>
        <v>50100-10089119</v>
      </c>
      <c r="B4989" s="50" t="str">
        <f>"97/01/22"</f>
        <v>97/01/22</v>
      </c>
      <c r="C4989" s="50" t="s">
        <v>13378</v>
      </c>
      <c r="D4989" s="12" t="s">
        <v>9995</v>
      </c>
      <c r="E4989" s="12" t="s">
        <v>4971</v>
      </c>
      <c r="F4989" s="49">
        <v>111640</v>
      </c>
      <c r="G4989" s="77" t="str">
        <f>"LLC Sebco Bitumen"</f>
        <v>LLC Sebco Bitumen</v>
      </c>
      <c r="H4989" s="14" t="s">
        <v>5601</v>
      </c>
      <c r="I4989" s="14" t="s">
        <v>2458</v>
      </c>
      <c r="J4989" s="33" t="s">
        <v>7110</v>
      </c>
      <c r="K4989" s="33" t="s">
        <v>13400</v>
      </c>
      <c r="L4989" s="53" t="str">
        <f>"کنيا"</f>
        <v>کنيا</v>
      </c>
      <c r="M4989" s="68" t="str">
        <f t="shared" si="129"/>
        <v>بشكه</v>
      </c>
      <c r="N4989" s="53" t="str">
        <f t="shared" si="122"/>
        <v>منطقه ويژه اقتصادي شهيد رجايي</v>
      </c>
      <c r="O4989" s="53">
        <v>50100</v>
      </c>
      <c r="P4989" s="198" t="s">
        <v>9763</v>
      </c>
    </row>
    <row r="4990" spans="1:16" ht="18.75" hidden="1">
      <c r="A4990" s="50" t="str">
        <f>"50100-10073044"</f>
        <v>50100-10073044</v>
      </c>
      <c r="B4990" s="50" t="str">
        <f>"97/01/19"</f>
        <v>97/01/19</v>
      </c>
      <c r="C4990" s="50" t="s">
        <v>13379</v>
      </c>
      <c r="D4990" s="12" t="s">
        <v>13380</v>
      </c>
      <c r="E4990" s="12" t="s">
        <v>13333</v>
      </c>
      <c r="F4990" s="49">
        <v>2798431</v>
      </c>
      <c r="G4990" s="77" t="s">
        <v>6452</v>
      </c>
      <c r="H4990" s="14" t="s">
        <v>5601</v>
      </c>
      <c r="I4990" s="14" t="s">
        <v>2458</v>
      </c>
      <c r="J4990" s="33" t="e">
        <f>VLOOKUP(C4990,شرکتها!A:B,2,FALSE)</f>
        <v>#N/A</v>
      </c>
      <c r="K4990" s="33" t="s">
        <v>13400</v>
      </c>
      <c r="L4990" s="53" t="str">
        <f>"پاکستان"</f>
        <v>پاکستان</v>
      </c>
      <c r="M4990" s="68" t="str">
        <f>"فله"</f>
        <v>فله</v>
      </c>
      <c r="N4990" s="53" t="str">
        <f t="shared" si="122"/>
        <v>منطقه ويژه اقتصادي شهيد رجايي</v>
      </c>
      <c r="O4990" s="53">
        <v>50100</v>
      </c>
      <c r="P4990" s="198" t="s">
        <v>12930</v>
      </c>
    </row>
    <row r="4991" spans="1:16" ht="18.75" hidden="1">
      <c r="A4991" s="50" t="str">
        <f>"50100-10100212"</f>
        <v>50100-10100212</v>
      </c>
      <c r="B4991" s="50" t="str">
        <f>"97/01/26"</f>
        <v>97/01/26</v>
      </c>
      <c r="C4991" s="50" t="s">
        <v>13381</v>
      </c>
      <c r="D4991" s="12" t="s">
        <v>12893</v>
      </c>
      <c r="E4991" s="12" t="s">
        <v>4971</v>
      </c>
      <c r="F4991" s="49">
        <v>200000</v>
      </c>
      <c r="G4991" s="77" t="str">
        <f>"Black Gold Traders FZE"</f>
        <v>Black Gold Traders FZE</v>
      </c>
      <c r="H4991" s="14" t="s">
        <v>5601</v>
      </c>
      <c r="I4991" s="14" t="s">
        <v>2458</v>
      </c>
      <c r="J4991" s="33" t="s">
        <v>7110</v>
      </c>
      <c r="K4991" s="33" t="s">
        <v>13400</v>
      </c>
      <c r="L4991" s="53" t="str">
        <f>"اندونزي"</f>
        <v>اندونزي</v>
      </c>
      <c r="M4991" s="68" t="str">
        <f t="shared" ref="M4991:M5001" si="130">"بشكه"</f>
        <v>بشكه</v>
      </c>
      <c r="N4991" s="53" t="str">
        <f t="shared" si="122"/>
        <v>منطقه ويژه اقتصادي شهيد رجايي</v>
      </c>
      <c r="O4991" s="53">
        <v>50100</v>
      </c>
      <c r="P4991" s="198" t="s">
        <v>12942</v>
      </c>
    </row>
    <row r="4992" spans="1:16" ht="18.75" hidden="1">
      <c r="A4992" s="50" t="str">
        <f>"50100-10091329"</f>
        <v>50100-10091329</v>
      </c>
      <c r="B4992" s="50" t="str">
        <f>"97/01/23"</f>
        <v>97/01/23</v>
      </c>
      <c r="C4992" s="50" t="s">
        <v>13378</v>
      </c>
      <c r="D4992" s="12" t="s">
        <v>9995</v>
      </c>
      <c r="E4992" s="12" t="s">
        <v>4971</v>
      </c>
      <c r="F4992" s="49">
        <v>117490</v>
      </c>
      <c r="G4992" s="77" t="str">
        <f>"LLC Sebco Bitumen"</f>
        <v>LLC Sebco Bitumen</v>
      </c>
      <c r="H4992" s="14" t="s">
        <v>5601</v>
      </c>
      <c r="I4992" s="14" t="s">
        <v>2458</v>
      </c>
      <c r="J4992" s="33" t="s">
        <v>7110</v>
      </c>
      <c r="K4992" s="33" t="s">
        <v>13400</v>
      </c>
      <c r="L4992" s="53" t="str">
        <f>"هند"</f>
        <v>هند</v>
      </c>
      <c r="M4992" s="68" t="str">
        <f t="shared" si="130"/>
        <v>بشكه</v>
      </c>
      <c r="N4992" s="53" t="str">
        <f t="shared" si="122"/>
        <v>منطقه ويژه اقتصادي شهيد رجايي</v>
      </c>
      <c r="O4992" s="53">
        <v>50100</v>
      </c>
      <c r="P4992" s="198" t="s">
        <v>9763</v>
      </c>
    </row>
    <row r="4993" spans="1:16" ht="18.75" hidden="1">
      <c r="A4993" s="50" t="str">
        <f>"50100-10108264"</f>
        <v>50100-10108264</v>
      </c>
      <c r="B4993" s="50" t="str">
        <f>"97/01/28"</f>
        <v>97/01/28</v>
      </c>
      <c r="C4993" s="50" t="s">
        <v>13382</v>
      </c>
      <c r="D4993" s="12" t="s">
        <v>12691</v>
      </c>
      <c r="E4993" s="12" t="s">
        <v>4971</v>
      </c>
      <c r="F4993" s="49">
        <v>500000</v>
      </c>
      <c r="G4993" s="77" t="str">
        <f>"DAXON PETROLEUM"</f>
        <v>DAXON PETROLEUM</v>
      </c>
      <c r="H4993" s="14" t="s">
        <v>5601</v>
      </c>
      <c r="I4993" s="14" t="s">
        <v>2458</v>
      </c>
      <c r="J4993" s="33" t="s">
        <v>7110</v>
      </c>
      <c r="K4993" s="33" t="s">
        <v>13400</v>
      </c>
      <c r="L4993" s="53" t="str">
        <f>"شيلي"</f>
        <v>شيلي</v>
      </c>
      <c r="M4993" s="68" t="str">
        <f t="shared" si="130"/>
        <v>بشكه</v>
      </c>
      <c r="N4993" s="53" t="str">
        <f t="shared" si="122"/>
        <v>منطقه ويژه اقتصادي شهيد رجايي</v>
      </c>
      <c r="O4993" s="53">
        <v>50100</v>
      </c>
      <c r="P4993" s="198" t="s">
        <v>12444</v>
      </c>
    </row>
    <row r="4994" spans="1:16" ht="18.75" hidden="1">
      <c r="A4994" s="50" t="str">
        <f>"50100-10074394"</f>
        <v>50100-10074394</v>
      </c>
      <c r="B4994" s="50" t="str">
        <f>"97/01/19"</f>
        <v>97/01/19</v>
      </c>
      <c r="C4994" s="50" t="s">
        <v>9722</v>
      </c>
      <c r="D4994" s="12" t="s">
        <v>9723</v>
      </c>
      <c r="E4994" s="12" t="s">
        <v>4971</v>
      </c>
      <c r="F4994" s="49">
        <v>510940</v>
      </c>
      <c r="G4994" s="77" t="str">
        <f>"DAXON PETROLEUM"</f>
        <v>DAXON PETROLEUM</v>
      </c>
      <c r="H4994" s="14" t="s">
        <v>5601</v>
      </c>
      <c r="I4994" s="14" t="s">
        <v>2458</v>
      </c>
      <c r="J4994" s="33" t="s">
        <v>7110</v>
      </c>
      <c r="K4994" s="33" t="s">
        <v>13400</v>
      </c>
      <c r="L4994" s="53" t="str">
        <f>"جيبوتي"</f>
        <v>جيبوتي</v>
      </c>
      <c r="M4994" s="68" t="str">
        <f t="shared" si="130"/>
        <v>بشكه</v>
      </c>
      <c r="N4994" s="53" t="str">
        <f t="shared" si="122"/>
        <v>منطقه ويژه اقتصادي شهيد رجايي</v>
      </c>
      <c r="O4994" s="53">
        <v>50100</v>
      </c>
      <c r="P4994" s="198" t="s">
        <v>8726</v>
      </c>
    </row>
    <row r="4995" spans="1:16" ht="18.75" hidden="1">
      <c r="A4995" s="50" t="str">
        <f>"50100-10108264"</f>
        <v>50100-10108264</v>
      </c>
      <c r="B4995" s="50" t="str">
        <f>"97/01/28"</f>
        <v>97/01/28</v>
      </c>
      <c r="C4995" s="50" t="s">
        <v>13383</v>
      </c>
      <c r="D4995" s="12" t="s">
        <v>12525</v>
      </c>
      <c r="E4995" s="12" t="s">
        <v>4971</v>
      </c>
      <c r="F4995" s="49">
        <v>220000</v>
      </c>
      <c r="G4995" s="77" t="str">
        <f>"DAXON PETROLEUM"</f>
        <v>DAXON PETROLEUM</v>
      </c>
      <c r="H4995" s="14" t="s">
        <v>5601</v>
      </c>
      <c r="I4995" s="14" t="s">
        <v>2458</v>
      </c>
      <c r="J4995" s="33" t="s">
        <v>7110</v>
      </c>
      <c r="K4995" s="33" t="s">
        <v>13400</v>
      </c>
      <c r="L4995" s="53" t="str">
        <f>"شيلي"</f>
        <v>شيلي</v>
      </c>
      <c r="M4995" s="68" t="str">
        <f t="shared" si="130"/>
        <v>بشكه</v>
      </c>
      <c r="N4995" s="53" t="str">
        <f t="shared" si="122"/>
        <v>منطقه ويژه اقتصادي شهيد رجايي</v>
      </c>
      <c r="O4995" s="53">
        <v>50100</v>
      </c>
      <c r="P4995" s="198" t="s">
        <v>12414</v>
      </c>
    </row>
    <row r="4996" spans="1:16" ht="18.75" hidden="1">
      <c r="A4996" s="50" t="str">
        <f>"50100-10088555"</f>
        <v>50100-10088555</v>
      </c>
      <c r="B4996" s="50" t="str">
        <f>"97/01/22"</f>
        <v>97/01/22</v>
      </c>
      <c r="C4996" s="50" t="s">
        <v>13348</v>
      </c>
      <c r="D4996" s="12" t="s">
        <v>12867</v>
      </c>
      <c r="E4996" s="12" t="s">
        <v>4971</v>
      </c>
      <c r="F4996" s="49">
        <v>298560</v>
      </c>
      <c r="G4996" s="77" t="str">
        <f>"Black Gold Traders FZE"</f>
        <v>Black Gold Traders FZE</v>
      </c>
      <c r="H4996" s="14" t="s">
        <v>5601</v>
      </c>
      <c r="I4996" s="14" t="s">
        <v>2458</v>
      </c>
      <c r="J4996" s="33" t="s">
        <v>7110</v>
      </c>
      <c r="K4996" s="33" t="s">
        <v>13400</v>
      </c>
      <c r="L4996" s="53" t="str">
        <f>"تانزانيا"</f>
        <v>تانزانيا</v>
      </c>
      <c r="M4996" s="68" t="str">
        <f t="shared" si="130"/>
        <v>بشكه</v>
      </c>
      <c r="N4996" s="53" t="str">
        <f t="shared" si="122"/>
        <v>منطقه ويژه اقتصادي شهيد رجايي</v>
      </c>
      <c r="O4996" s="53">
        <v>50100</v>
      </c>
      <c r="P4996" s="198" t="s">
        <v>12685</v>
      </c>
    </row>
    <row r="4997" spans="1:16" ht="18.75" hidden="1">
      <c r="A4997" s="50" t="str">
        <f>"50100-10122233"</f>
        <v>50100-10122233</v>
      </c>
      <c r="B4997" s="50" t="str">
        <f>"97/01/30"</f>
        <v>97/01/30</v>
      </c>
      <c r="C4997" s="50" t="s">
        <v>13363</v>
      </c>
      <c r="D4997" s="12" t="s">
        <v>12583</v>
      </c>
      <c r="E4997" s="12" t="s">
        <v>4971</v>
      </c>
      <c r="F4997" s="49">
        <v>99589</v>
      </c>
      <c r="G4997" s="77" t="str">
        <f>"GLOBUS INTERNATIONAL FZE"</f>
        <v>GLOBUS INTERNATIONAL FZE</v>
      </c>
      <c r="H4997" s="14" t="s">
        <v>5601</v>
      </c>
      <c r="I4997" s="14" t="s">
        <v>2458</v>
      </c>
      <c r="J4997" s="33" t="s">
        <v>7110</v>
      </c>
      <c r="K4997" s="33" t="s">
        <v>13400</v>
      </c>
      <c r="L4997" s="53" t="str">
        <f>"پاکستان"</f>
        <v>پاکستان</v>
      </c>
      <c r="M4997" s="68" t="str">
        <f t="shared" si="130"/>
        <v>بشكه</v>
      </c>
      <c r="N4997" s="53" t="str">
        <f t="shared" ref="N4997:N5020" si="131">"منطقه ويژه اقتصادي شهيد رجايي"</f>
        <v>منطقه ويژه اقتصادي شهيد رجايي</v>
      </c>
      <c r="O4997" s="53">
        <v>50100</v>
      </c>
      <c r="P4997" s="198" t="s">
        <v>12426</v>
      </c>
    </row>
    <row r="4998" spans="1:16" ht="18.75" hidden="1">
      <c r="A4998" s="50" t="str">
        <f>"50100-10100931"</f>
        <v>50100-10100931</v>
      </c>
      <c r="B4998" s="50" t="str">
        <f>"97/01/26"</f>
        <v>97/01/26</v>
      </c>
      <c r="C4998" s="50" t="s">
        <v>13378</v>
      </c>
      <c r="D4998" s="12" t="s">
        <v>9995</v>
      </c>
      <c r="E4998" s="12" t="s">
        <v>4971</v>
      </c>
      <c r="F4998" s="49">
        <v>99070</v>
      </c>
      <c r="G4998" s="77" t="str">
        <f>"LLC Sebco Bitumen"</f>
        <v>LLC Sebco Bitumen</v>
      </c>
      <c r="H4998" s="14" t="s">
        <v>5601</v>
      </c>
      <c r="I4998" s="14" t="s">
        <v>2458</v>
      </c>
      <c r="J4998" s="33" t="s">
        <v>7110</v>
      </c>
      <c r="K4998" s="33" t="s">
        <v>13400</v>
      </c>
      <c r="L4998" s="53" t="str">
        <f>"مالزي"</f>
        <v>مالزي</v>
      </c>
      <c r="M4998" s="68" t="str">
        <f t="shared" si="130"/>
        <v>بشكه</v>
      </c>
      <c r="N4998" s="53" t="str">
        <f t="shared" si="131"/>
        <v>منطقه ويژه اقتصادي شهيد رجايي</v>
      </c>
      <c r="O4998" s="53">
        <v>50100</v>
      </c>
      <c r="P4998" s="198" t="s">
        <v>9763</v>
      </c>
    </row>
    <row r="4999" spans="1:16" ht="18.75" hidden="1">
      <c r="A4999" s="50" t="str">
        <f>"50100-10074394"</f>
        <v>50100-10074394</v>
      </c>
      <c r="B4999" s="50" t="str">
        <f>"97/01/19"</f>
        <v>97/01/19</v>
      </c>
      <c r="C4999" s="50" t="s">
        <v>13212</v>
      </c>
      <c r="D4999" s="12" t="s">
        <v>10033</v>
      </c>
      <c r="E4999" s="12" t="s">
        <v>4971</v>
      </c>
      <c r="F4999" s="49">
        <v>277816</v>
      </c>
      <c r="G4999" s="77" t="str">
        <f>"DAXON PETROLEUM"</f>
        <v>DAXON PETROLEUM</v>
      </c>
      <c r="H4999" s="14" t="s">
        <v>5601</v>
      </c>
      <c r="I4999" s="14" t="s">
        <v>2458</v>
      </c>
      <c r="J4999" s="33" t="s">
        <v>7110</v>
      </c>
      <c r="K4999" s="33" t="s">
        <v>13400</v>
      </c>
      <c r="L4999" s="53" t="str">
        <f>"جيبوتي"</f>
        <v>جيبوتي</v>
      </c>
      <c r="M4999" s="68" t="str">
        <f t="shared" si="130"/>
        <v>بشكه</v>
      </c>
      <c r="N4999" s="53" t="str">
        <f t="shared" si="131"/>
        <v>منطقه ويژه اقتصادي شهيد رجايي</v>
      </c>
      <c r="O4999" s="53">
        <v>50100</v>
      </c>
      <c r="P4999" s="198" t="s">
        <v>9797</v>
      </c>
    </row>
    <row r="5000" spans="1:16" ht="18.75" hidden="1">
      <c r="A5000" s="50" t="str">
        <f>"50100-10074394"</f>
        <v>50100-10074394</v>
      </c>
      <c r="B5000" s="50" t="str">
        <f>"97/01/19"</f>
        <v>97/01/19</v>
      </c>
      <c r="C5000" s="50" t="s">
        <v>13366</v>
      </c>
      <c r="D5000" s="12" t="s">
        <v>9997</v>
      </c>
      <c r="E5000" s="12" t="s">
        <v>4971</v>
      </c>
      <c r="F5000" s="49">
        <v>206704</v>
      </c>
      <c r="G5000" s="77" t="str">
        <f>"DAXON PETROLEUM"</f>
        <v>DAXON PETROLEUM</v>
      </c>
      <c r="H5000" s="14" t="s">
        <v>5601</v>
      </c>
      <c r="I5000" s="14" t="s">
        <v>2458</v>
      </c>
      <c r="J5000" s="33" t="s">
        <v>7110</v>
      </c>
      <c r="K5000" s="33" t="s">
        <v>13400</v>
      </c>
      <c r="L5000" s="53" t="str">
        <f>"جيبوتي"</f>
        <v>جيبوتي</v>
      </c>
      <c r="M5000" s="68" t="str">
        <f t="shared" si="130"/>
        <v>بشكه</v>
      </c>
      <c r="N5000" s="53" t="str">
        <f t="shared" si="131"/>
        <v>منطقه ويژه اقتصادي شهيد رجايي</v>
      </c>
      <c r="O5000" s="53">
        <v>50100</v>
      </c>
      <c r="P5000" s="198" t="s">
        <v>9796</v>
      </c>
    </row>
    <row r="5001" spans="1:16" ht="18.75" hidden="1">
      <c r="A5001" s="50" t="str">
        <f>"50100-10121258"</f>
        <v>50100-10121258</v>
      </c>
      <c r="B5001" s="50" t="str">
        <f>"97/01/30"</f>
        <v>97/01/30</v>
      </c>
      <c r="C5001" s="50" t="s">
        <v>13384</v>
      </c>
      <c r="D5001" s="12" t="s">
        <v>13385</v>
      </c>
      <c r="E5001" s="12" t="s">
        <v>13333</v>
      </c>
      <c r="F5001" s="49">
        <v>981116</v>
      </c>
      <c r="G5001" s="77" t="s">
        <v>6298</v>
      </c>
      <c r="H5001" s="14" t="s">
        <v>5601</v>
      </c>
      <c r="I5001" s="14" t="s">
        <v>2458</v>
      </c>
      <c r="J5001" s="33" t="s">
        <v>7110</v>
      </c>
      <c r="K5001" s="33" t="s">
        <v>13400</v>
      </c>
      <c r="L5001" s="53" t="str">
        <f>"چين"</f>
        <v>چين</v>
      </c>
      <c r="M5001" s="68" t="str">
        <f t="shared" si="130"/>
        <v>بشكه</v>
      </c>
      <c r="N5001" s="53" t="str">
        <f t="shared" si="131"/>
        <v>منطقه ويژه اقتصادي شهيد رجايي</v>
      </c>
      <c r="O5001" s="53">
        <v>50100</v>
      </c>
      <c r="P5001" s="198" t="s">
        <v>12934</v>
      </c>
    </row>
    <row r="5002" spans="1:16" ht="18.75" hidden="1">
      <c r="A5002" s="50" t="str">
        <f>"50100-10063812"</f>
        <v>50100-10063812</v>
      </c>
      <c r="B5002" s="50" t="str">
        <f>"97/01/16"</f>
        <v>97/01/16</v>
      </c>
      <c r="C5002" s="50" t="s">
        <v>13386</v>
      </c>
      <c r="D5002" s="12" t="s">
        <v>13343</v>
      </c>
      <c r="E5002" s="12" t="s">
        <v>13333</v>
      </c>
      <c r="F5002" s="49">
        <v>3793999</v>
      </c>
      <c r="G5002" s="77" t="s">
        <v>6452</v>
      </c>
      <c r="H5002" s="14" t="s">
        <v>5601</v>
      </c>
      <c r="I5002" s="14" t="s">
        <v>2458</v>
      </c>
      <c r="J5002" s="33" t="e">
        <f>VLOOKUP(C5002,شرکتها!A:B,2,FALSE)</f>
        <v>#N/A</v>
      </c>
      <c r="K5002" s="33" t="s">
        <v>13400</v>
      </c>
      <c r="L5002" s="53" t="str">
        <f>"هند"</f>
        <v>هند</v>
      </c>
      <c r="M5002" s="68" t="str">
        <f>"فله"</f>
        <v>فله</v>
      </c>
      <c r="N5002" s="53" t="str">
        <f t="shared" si="131"/>
        <v>منطقه ويژه اقتصادي شهيد رجايي</v>
      </c>
      <c r="O5002" s="53">
        <v>50100</v>
      </c>
      <c r="P5002" s="198" t="s">
        <v>12930</v>
      </c>
    </row>
    <row r="5003" spans="1:16" ht="18.75" hidden="1">
      <c r="A5003" s="50" t="str">
        <f>"50100-10075480"</f>
        <v>50100-10075480</v>
      </c>
      <c r="B5003" s="50" t="str">
        <f>"97/01/19"</f>
        <v>97/01/19</v>
      </c>
      <c r="C5003" s="50" t="s">
        <v>13387</v>
      </c>
      <c r="D5003" s="12" t="s">
        <v>13380</v>
      </c>
      <c r="E5003" s="12" t="s">
        <v>13333</v>
      </c>
      <c r="F5003" s="49">
        <v>496300</v>
      </c>
      <c r="G5003" s="77" t="s">
        <v>6298</v>
      </c>
      <c r="H5003" s="14" t="s">
        <v>5601</v>
      </c>
      <c r="I5003" s="14" t="s">
        <v>2458</v>
      </c>
      <c r="J5003" s="33" t="s">
        <v>7110</v>
      </c>
      <c r="K5003" s="33" t="s">
        <v>13400</v>
      </c>
      <c r="L5003" s="53" t="str">
        <f>"هند"</f>
        <v>هند</v>
      </c>
      <c r="M5003" s="68" t="str">
        <f t="shared" ref="M5003:M5031" si="132">"بشكه"</f>
        <v>بشكه</v>
      </c>
      <c r="N5003" s="53" t="str">
        <f t="shared" si="131"/>
        <v>منطقه ويژه اقتصادي شهيد رجايي</v>
      </c>
      <c r="O5003" s="53">
        <v>50100</v>
      </c>
      <c r="P5003" s="198" t="s">
        <v>12934</v>
      </c>
    </row>
    <row r="5004" spans="1:16" ht="18.75" hidden="1">
      <c r="A5004" s="50" t="str">
        <f>"50100-10101374"</f>
        <v>50100-10101374</v>
      </c>
      <c r="B5004" s="50" t="str">
        <f>"97/01/26"</f>
        <v>97/01/26</v>
      </c>
      <c r="C5004" s="50" t="s">
        <v>13388</v>
      </c>
      <c r="D5004" s="12" t="s">
        <v>13373</v>
      </c>
      <c r="E5004" s="12" t="s">
        <v>13333</v>
      </c>
      <c r="F5004" s="49">
        <v>492413</v>
      </c>
      <c r="G5004" s="77" t="s">
        <v>6298</v>
      </c>
      <c r="H5004" s="14" t="s">
        <v>5601</v>
      </c>
      <c r="I5004" s="14" t="s">
        <v>2458</v>
      </c>
      <c r="J5004" s="33" t="s">
        <v>7110</v>
      </c>
      <c r="K5004" s="33" t="s">
        <v>13400</v>
      </c>
      <c r="L5004" s="53" t="str">
        <f>"هند"</f>
        <v>هند</v>
      </c>
      <c r="M5004" s="68" t="str">
        <f t="shared" si="132"/>
        <v>بشكه</v>
      </c>
      <c r="N5004" s="53" t="str">
        <f t="shared" si="131"/>
        <v>منطقه ويژه اقتصادي شهيد رجايي</v>
      </c>
      <c r="O5004" s="53">
        <v>50100</v>
      </c>
      <c r="P5004" s="198" t="s">
        <v>12934</v>
      </c>
    </row>
    <row r="5005" spans="1:16" ht="18.75" hidden="1">
      <c r="A5005" s="50" t="str">
        <f>"50100-10101488"</f>
        <v>50100-10101488</v>
      </c>
      <c r="B5005" s="50" t="str">
        <f>"97/01/26"</f>
        <v>97/01/26</v>
      </c>
      <c r="C5005" s="50" t="s">
        <v>13389</v>
      </c>
      <c r="D5005" s="12" t="s">
        <v>13390</v>
      </c>
      <c r="E5005" s="12" t="s">
        <v>13333</v>
      </c>
      <c r="F5005" s="49">
        <v>196965</v>
      </c>
      <c r="G5005" s="77" t="s">
        <v>6298</v>
      </c>
      <c r="H5005" s="14" t="s">
        <v>5601</v>
      </c>
      <c r="I5005" s="14" t="s">
        <v>2458</v>
      </c>
      <c r="J5005" s="33" t="s">
        <v>7110</v>
      </c>
      <c r="K5005" s="33" t="s">
        <v>13400</v>
      </c>
      <c r="L5005" s="53" t="str">
        <f>"هند"</f>
        <v>هند</v>
      </c>
      <c r="M5005" s="68" t="str">
        <f t="shared" si="132"/>
        <v>بشكه</v>
      </c>
      <c r="N5005" s="53" t="str">
        <f t="shared" si="131"/>
        <v>منطقه ويژه اقتصادي شهيد رجايي</v>
      </c>
      <c r="O5005" s="53">
        <v>50100</v>
      </c>
      <c r="P5005" s="198" t="s">
        <v>12934</v>
      </c>
    </row>
    <row r="5006" spans="1:16" ht="18.75" hidden="1">
      <c r="A5006" s="50" t="str">
        <f>"50100-10108264"</f>
        <v>50100-10108264</v>
      </c>
      <c r="B5006" s="50" t="str">
        <f>"97/01/28"</f>
        <v>97/01/28</v>
      </c>
      <c r="C5006" s="50" t="s">
        <v>13391</v>
      </c>
      <c r="D5006" s="12" t="s">
        <v>12477</v>
      </c>
      <c r="E5006" s="12" t="s">
        <v>4971</v>
      </c>
      <c r="F5006" s="49">
        <v>280000</v>
      </c>
      <c r="G5006" s="77" t="str">
        <f>"DAXON PETROLEUM"</f>
        <v>DAXON PETROLEUM</v>
      </c>
      <c r="H5006" s="14" t="s">
        <v>5601</v>
      </c>
      <c r="I5006" s="14" t="s">
        <v>2458</v>
      </c>
      <c r="J5006" s="33" t="s">
        <v>7110</v>
      </c>
      <c r="K5006" s="33" t="s">
        <v>13400</v>
      </c>
      <c r="L5006" s="53" t="str">
        <f>"شيلي"</f>
        <v>شيلي</v>
      </c>
      <c r="M5006" s="68" t="str">
        <f t="shared" si="132"/>
        <v>بشكه</v>
      </c>
      <c r="N5006" s="53" t="str">
        <f t="shared" si="131"/>
        <v>منطقه ويژه اقتصادي شهيد رجايي</v>
      </c>
      <c r="O5006" s="53">
        <v>50100</v>
      </c>
      <c r="P5006" s="198" t="s">
        <v>12414</v>
      </c>
    </row>
    <row r="5007" spans="1:16" ht="18.75" hidden="1">
      <c r="A5007" s="50" t="str">
        <f>"50100-10074394"</f>
        <v>50100-10074394</v>
      </c>
      <c r="B5007" s="50" t="str">
        <f>"97/01/19"</f>
        <v>97/01/19</v>
      </c>
      <c r="C5007" s="50" t="s">
        <v>12550</v>
      </c>
      <c r="D5007" s="12" t="s">
        <v>9715</v>
      </c>
      <c r="E5007" s="12" t="s">
        <v>4971</v>
      </c>
      <c r="F5007" s="49">
        <v>2190</v>
      </c>
      <c r="G5007" s="77" t="str">
        <f>"DAXON PETROLEUM"</f>
        <v>DAXON PETROLEUM</v>
      </c>
      <c r="H5007" s="14" t="s">
        <v>5601</v>
      </c>
      <c r="I5007" s="14" t="s">
        <v>2458</v>
      </c>
      <c r="J5007" s="33" t="s">
        <v>7110</v>
      </c>
      <c r="K5007" s="33" t="s">
        <v>13400</v>
      </c>
      <c r="L5007" s="53" t="str">
        <f>"جيبوتي"</f>
        <v>جيبوتي</v>
      </c>
      <c r="M5007" s="68" t="str">
        <f t="shared" si="132"/>
        <v>بشكه</v>
      </c>
      <c r="N5007" s="53" t="str">
        <f t="shared" si="131"/>
        <v>منطقه ويژه اقتصادي شهيد رجايي</v>
      </c>
      <c r="O5007" s="53">
        <v>50100</v>
      </c>
      <c r="P5007" s="198" t="s">
        <v>8724</v>
      </c>
    </row>
    <row r="5008" spans="1:16" ht="18.75" hidden="1">
      <c r="A5008" s="50" t="str">
        <f>"50100-10073983"</f>
        <v>50100-10073983</v>
      </c>
      <c r="B5008" s="50" t="str">
        <f>"97/01/19"</f>
        <v>97/01/19</v>
      </c>
      <c r="C5008" s="50" t="s">
        <v>13344</v>
      </c>
      <c r="D5008" s="12" t="s">
        <v>13200</v>
      </c>
      <c r="E5008" s="12" t="s">
        <v>4971</v>
      </c>
      <c r="F5008" s="49">
        <v>59320</v>
      </c>
      <c r="G5008" s="77" t="str">
        <f>"BITUBIZ FZE"</f>
        <v>BITUBIZ FZE</v>
      </c>
      <c r="H5008" s="14" t="s">
        <v>5601</v>
      </c>
      <c r="I5008" s="14" t="s">
        <v>2458</v>
      </c>
      <c r="J5008" s="33" t="s">
        <v>7110</v>
      </c>
      <c r="K5008" s="33" t="s">
        <v>13400</v>
      </c>
      <c r="L5008" s="53" t="str">
        <f>"اتيوپي"</f>
        <v>اتيوپي</v>
      </c>
      <c r="M5008" s="68" t="str">
        <f t="shared" si="132"/>
        <v>بشكه</v>
      </c>
      <c r="N5008" s="53" t="str">
        <f t="shared" si="131"/>
        <v>منطقه ويژه اقتصادي شهيد رجايي</v>
      </c>
      <c r="O5008" s="53">
        <v>50100</v>
      </c>
      <c r="P5008" s="198" t="s">
        <v>12675</v>
      </c>
    </row>
    <row r="5009" spans="1:16" ht="18.75" hidden="1">
      <c r="A5009" s="50" t="str">
        <f>"50100-10062186"</f>
        <v>50100-10062186</v>
      </c>
      <c r="B5009" s="50" t="str">
        <f>"97/01/16"</f>
        <v>97/01/16</v>
      </c>
      <c r="C5009" s="50" t="s">
        <v>13344</v>
      </c>
      <c r="D5009" s="12" t="s">
        <v>13200</v>
      </c>
      <c r="E5009" s="12" t="s">
        <v>4971</v>
      </c>
      <c r="F5009" s="49">
        <v>564872</v>
      </c>
      <c r="G5009" s="77" t="str">
        <f>"BITUBIZ FZE"</f>
        <v>BITUBIZ FZE</v>
      </c>
      <c r="H5009" s="14" t="s">
        <v>5601</v>
      </c>
      <c r="I5009" s="14" t="s">
        <v>2458</v>
      </c>
      <c r="J5009" s="33" t="s">
        <v>7110</v>
      </c>
      <c r="K5009" s="33" t="s">
        <v>13400</v>
      </c>
      <c r="L5009" s="53" t="str">
        <f>"اتيوپي"</f>
        <v>اتيوپي</v>
      </c>
      <c r="M5009" s="68" t="str">
        <f t="shared" si="132"/>
        <v>بشكه</v>
      </c>
      <c r="N5009" s="53" t="str">
        <f t="shared" si="131"/>
        <v>منطقه ويژه اقتصادي شهيد رجايي</v>
      </c>
      <c r="O5009" s="53">
        <v>50100</v>
      </c>
      <c r="P5009" s="198" t="s">
        <v>12675</v>
      </c>
    </row>
    <row r="5010" spans="1:16" ht="18.75" hidden="1">
      <c r="A5010" s="50" t="str">
        <f>"50100-10122287"</f>
        <v>50100-10122287</v>
      </c>
      <c r="B5010" s="50" t="str">
        <f>"97/01/30"</f>
        <v>97/01/30</v>
      </c>
      <c r="C5010" s="50" t="s">
        <v>13392</v>
      </c>
      <c r="D5010" s="12" t="s">
        <v>12736</v>
      </c>
      <c r="E5010" s="12" t="s">
        <v>4971</v>
      </c>
      <c r="F5010" s="49">
        <v>623250</v>
      </c>
      <c r="G5010" s="77" t="str">
        <f>"LLC Sebco Bitumen"</f>
        <v>LLC Sebco Bitumen</v>
      </c>
      <c r="H5010" s="14" t="s">
        <v>5601</v>
      </c>
      <c r="I5010" s="14" t="s">
        <v>2458</v>
      </c>
      <c r="J5010" s="33" t="s">
        <v>7110</v>
      </c>
      <c r="K5010" s="33" t="s">
        <v>13400</v>
      </c>
      <c r="L5010" s="53" t="str">
        <f>"کنيا"</f>
        <v>کنيا</v>
      </c>
      <c r="M5010" s="68" t="str">
        <f t="shared" si="132"/>
        <v>بشكه</v>
      </c>
      <c r="N5010" s="53" t="str">
        <f t="shared" si="131"/>
        <v>منطقه ويژه اقتصادي شهيد رجايي</v>
      </c>
      <c r="O5010" s="53">
        <v>50100</v>
      </c>
      <c r="P5010" s="198" t="s">
        <v>12429</v>
      </c>
    </row>
    <row r="5011" spans="1:16" ht="18.75" hidden="1">
      <c r="A5011" s="50" t="str">
        <f>"50100-10100212"</f>
        <v>50100-10100212</v>
      </c>
      <c r="B5011" s="50" t="str">
        <f>"97/01/26"</f>
        <v>97/01/26</v>
      </c>
      <c r="C5011" s="50" t="s">
        <v>13223</v>
      </c>
      <c r="D5011" s="12" t="s">
        <v>12898</v>
      </c>
      <c r="E5011" s="12" t="s">
        <v>4971</v>
      </c>
      <c r="F5011" s="49">
        <v>290000</v>
      </c>
      <c r="G5011" s="77" t="str">
        <f>"Black Gold Traders FZE"</f>
        <v>Black Gold Traders FZE</v>
      </c>
      <c r="H5011" s="14" t="s">
        <v>5601</v>
      </c>
      <c r="I5011" s="14" t="s">
        <v>2458</v>
      </c>
      <c r="J5011" s="33" t="s">
        <v>7110</v>
      </c>
      <c r="K5011" s="33" t="s">
        <v>13400</v>
      </c>
      <c r="L5011" s="53" t="str">
        <f>"اندونزي"</f>
        <v>اندونزي</v>
      </c>
      <c r="M5011" s="68" t="str">
        <f t="shared" si="132"/>
        <v>بشكه</v>
      </c>
      <c r="N5011" s="53" t="str">
        <f t="shared" si="131"/>
        <v>منطقه ويژه اقتصادي شهيد رجايي</v>
      </c>
      <c r="O5011" s="53">
        <v>50100</v>
      </c>
      <c r="P5011" s="198" t="s">
        <v>12685</v>
      </c>
    </row>
    <row r="5012" spans="1:16" ht="18.75" hidden="1">
      <c r="A5012" s="50" t="str">
        <f>"50100-10118180"</f>
        <v>50100-10118180</v>
      </c>
      <c r="B5012" s="50" t="str">
        <f>"97/01/29"</f>
        <v>97/01/29</v>
      </c>
      <c r="C5012" s="50" t="s">
        <v>13344</v>
      </c>
      <c r="D5012" s="12" t="s">
        <v>13200</v>
      </c>
      <c r="E5012" s="12" t="s">
        <v>4971</v>
      </c>
      <c r="F5012" s="49">
        <v>154349</v>
      </c>
      <c r="G5012" s="77" t="str">
        <f>"BITUBIZ FZE"</f>
        <v>BITUBIZ FZE</v>
      </c>
      <c r="H5012" s="14" t="s">
        <v>5601</v>
      </c>
      <c r="I5012" s="14" t="s">
        <v>2458</v>
      </c>
      <c r="J5012" s="33" t="s">
        <v>7110</v>
      </c>
      <c r="K5012" s="33" t="s">
        <v>13400</v>
      </c>
      <c r="L5012" s="53" t="str">
        <f>"سودان"</f>
        <v>سودان</v>
      </c>
      <c r="M5012" s="68" t="str">
        <f t="shared" si="132"/>
        <v>بشكه</v>
      </c>
      <c r="N5012" s="53" t="str">
        <f t="shared" si="131"/>
        <v>منطقه ويژه اقتصادي شهيد رجايي</v>
      </c>
      <c r="O5012" s="53">
        <v>50100</v>
      </c>
      <c r="P5012" s="198" t="s">
        <v>12675</v>
      </c>
    </row>
    <row r="5013" spans="1:16" ht="18.75" hidden="1">
      <c r="A5013" s="50" t="str">
        <f>"50100-10096490"</f>
        <v>50100-10096490</v>
      </c>
      <c r="B5013" s="50" t="str">
        <f>"97/01/26"</f>
        <v>97/01/26</v>
      </c>
      <c r="C5013" s="50" t="s">
        <v>13223</v>
      </c>
      <c r="D5013" s="12" t="s">
        <v>12898</v>
      </c>
      <c r="E5013" s="12" t="s">
        <v>4971</v>
      </c>
      <c r="F5013" s="49">
        <v>95206</v>
      </c>
      <c r="G5013" s="77" t="str">
        <f>"Black Gold Traders FZE"</f>
        <v>Black Gold Traders FZE</v>
      </c>
      <c r="H5013" s="14" t="s">
        <v>5601</v>
      </c>
      <c r="I5013" s="14" t="s">
        <v>2458</v>
      </c>
      <c r="J5013" s="33" t="s">
        <v>7110</v>
      </c>
      <c r="K5013" s="33" t="s">
        <v>13400</v>
      </c>
      <c r="L5013" s="53" t="str">
        <f>"بنگلادش"</f>
        <v>بنگلادش</v>
      </c>
      <c r="M5013" s="68" t="str">
        <f t="shared" si="132"/>
        <v>بشكه</v>
      </c>
      <c r="N5013" s="53" t="str">
        <f t="shared" si="131"/>
        <v>منطقه ويژه اقتصادي شهيد رجايي</v>
      </c>
      <c r="O5013" s="53">
        <v>50100</v>
      </c>
      <c r="P5013" s="198" t="s">
        <v>12685</v>
      </c>
    </row>
    <row r="5014" spans="1:16" ht="18.75" hidden="1">
      <c r="A5014" s="50" t="str">
        <f>"50100-10121860"</f>
        <v>50100-10121860</v>
      </c>
      <c r="B5014" s="50" t="str">
        <f>"97/01/30"</f>
        <v>97/01/30</v>
      </c>
      <c r="C5014" s="50" t="s">
        <v>13378</v>
      </c>
      <c r="D5014" s="12" t="s">
        <v>9995</v>
      </c>
      <c r="E5014" s="12" t="s">
        <v>4971</v>
      </c>
      <c r="F5014" s="49">
        <v>159384</v>
      </c>
      <c r="G5014" s="77" t="str">
        <f>"LLC Sebco Bitumen"</f>
        <v>LLC Sebco Bitumen</v>
      </c>
      <c r="H5014" s="14" t="s">
        <v>5601</v>
      </c>
      <c r="I5014" s="14" t="s">
        <v>2458</v>
      </c>
      <c r="J5014" s="33" t="s">
        <v>7110</v>
      </c>
      <c r="K5014" s="33" t="s">
        <v>13400</v>
      </c>
      <c r="L5014" s="53" t="str">
        <f>"جيبوتي"</f>
        <v>جيبوتي</v>
      </c>
      <c r="M5014" s="68" t="str">
        <f t="shared" si="132"/>
        <v>بشكه</v>
      </c>
      <c r="N5014" s="53" t="str">
        <f t="shared" si="131"/>
        <v>منطقه ويژه اقتصادي شهيد رجايي</v>
      </c>
      <c r="O5014" s="53">
        <v>50100</v>
      </c>
      <c r="P5014" s="198" t="s">
        <v>9763</v>
      </c>
    </row>
    <row r="5015" spans="1:16" ht="18.75" hidden="1">
      <c r="A5015" s="50" t="str">
        <f>"50100-10121860"</f>
        <v>50100-10121860</v>
      </c>
      <c r="B5015" s="50" t="str">
        <f>"97/01/30"</f>
        <v>97/01/30</v>
      </c>
      <c r="C5015" s="50" t="s">
        <v>13363</v>
      </c>
      <c r="D5015" s="12" t="s">
        <v>12583</v>
      </c>
      <c r="E5015" s="12" t="s">
        <v>4971</v>
      </c>
      <c r="F5015" s="49">
        <v>169725</v>
      </c>
      <c r="G5015" s="77" t="str">
        <f>"GLOBUS INTERNATIONAL FZE"</f>
        <v>GLOBUS INTERNATIONAL FZE</v>
      </c>
      <c r="H5015" s="14" t="s">
        <v>5601</v>
      </c>
      <c r="I5015" s="14" t="s">
        <v>2458</v>
      </c>
      <c r="J5015" s="33" t="s">
        <v>7110</v>
      </c>
      <c r="K5015" s="33" t="s">
        <v>13400</v>
      </c>
      <c r="L5015" s="53" t="str">
        <f>"جيبوتي"</f>
        <v>جيبوتي</v>
      </c>
      <c r="M5015" s="68" t="str">
        <f t="shared" si="132"/>
        <v>بشكه</v>
      </c>
      <c r="N5015" s="53" t="str">
        <f t="shared" si="131"/>
        <v>منطقه ويژه اقتصادي شهيد رجايي</v>
      </c>
      <c r="O5015" s="53">
        <v>50100</v>
      </c>
      <c r="P5015" s="198" t="s">
        <v>12426</v>
      </c>
    </row>
    <row r="5016" spans="1:16" ht="18.75" hidden="1">
      <c r="A5016" s="50" t="str">
        <f>"50100-10121860"</f>
        <v>50100-10121860</v>
      </c>
      <c r="B5016" s="50" t="str">
        <f>"97/01/30"</f>
        <v>97/01/30</v>
      </c>
      <c r="C5016" s="50" t="s">
        <v>9938</v>
      </c>
      <c r="D5016" s="12" t="s">
        <v>9819</v>
      </c>
      <c r="E5016" s="12" t="s">
        <v>4971</v>
      </c>
      <c r="F5016" s="49">
        <v>14171</v>
      </c>
      <c r="G5016" s="77" t="str">
        <f>"Elixir General Trading FZE"</f>
        <v>Elixir General Trading FZE</v>
      </c>
      <c r="H5016" s="14" t="s">
        <v>5601</v>
      </c>
      <c r="I5016" s="14" t="s">
        <v>2458</v>
      </c>
      <c r="J5016" s="33" t="s">
        <v>7110</v>
      </c>
      <c r="K5016" s="33" t="s">
        <v>13400</v>
      </c>
      <c r="L5016" s="53" t="str">
        <f>"جيبوتي"</f>
        <v>جيبوتي</v>
      </c>
      <c r="M5016" s="68" t="str">
        <f t="shared" si="132"/>
        <v>بشكه</v>
      </c>
      <c r="N5016" s="53" t="str">
        <f t="shared" si="131"/>
        <v>منطقه ويژه اقتصادي شهيد رجايي</v>
      </c>
      <c r="O5016" s="53">
        <v>50100</v>
      </c>
      <c r="P5016" s="198" t="s">
        <v>5858</v>
      </c>
    </row>
    <row r="5017" spans="1:16" ht="18.75" hidden="1">
      <c r="A5017" s="50" t="str">
        <f>"50100-10121860"</f>
        <v>50100-10121860</v>
      </c>
      <c r="B5017" s="50" t="str">
        <f>"97/01/30"</f>
        <v>97/01/30</v>
      </c>
      <c r="C5017" s="50" t="s">
        <v>13359</v>
      </c>
      <c r="D5017" s="12" t="s">
        <v>9832</v>
      </c>
      <c r="E5017" s="12" t="s">
        <v>4971</v>
      </c>
      <c r="F5017" s="49">
        <v>156435</v>
      </c>
      <c r="G5017" s="77" t="str">
        <f>"GLOBUS INTERNATIONAL FZE"</f>
        <v>GLOBUS INTERNATIONAL FZE</v>
      </c>
      <c r="H5017" s="14" t="s">
        <v>5601</v>
      </c>
      <c r="I5017" s="14" t="s">
        <v>2458</v>
      </c>
      <c r="J5017" s="33" t="e">
        <f>VLOOKUP(C5017,شرکتها!A:B,2,FALSE)</f>
        <v>#N/A</v>
      </c>
      <c r="K5017" s="33" t="s">
        <v>13400</v>
      </c>
      <c r="L5017" s="53" t="str">
        <f>"جيبوتي"</f>
        <v>جيبوتي</v>
      </c>
      <c r="M5017" s="68" t="str">
        <f t="shared" si="132"/>
        <v>بشكه</v>
      </c>
      <c r="N5017" s="53" t="str">
        <f t="shared" si="131"/>
        <v>منطقه ويژه اقتصادي شهيد رجايي</v>
      </c>
      <c r="O5017" s="53">
        <v>50100</v>
      </c>
      <c r="P5017" s="198" t="s">
        <v>9779</v>
      </c>
    </row>
    <row r="5018" spans="1:16" ht="18.75" hidden="1">
      <c r="A5018" s="50" t="str">
        <f>"50100-10073477"</f>
        <v>50100-10073477</v>
      </c>
      <c r="B5018" s="50" t="str">
        <f>"97/01/19"</f>
        <v>97/01/19</v>
      </c>
      <c r="C5018" s="50" t="s">
        <v>13229</v>
      </c>
      <c r="D5018" s="12" t="s">
        <v>9813</v>
      </c>
      <c r="E5018" s="12" t="s">
        <v>4971</v>
      </c>
      <c r="F5018" s="49">
        <v>281998</v>
      </c>
      <c r="G5018" s="77" t="str">
        <f>"LLC Sebco Bitumen"</f>
        <v>LLC Sebco Bitumen</v>
      </c>
      <c r="H5018" s="14" t="s">
        <v>5601</v>
      </c>
      <c r="I5018" s="14" t="s">
        <v>2458</v>
      </c>
      <c r="J5018" s="33" t="s">
        <v>7110</v>
      </c>
      <c r="K5018" s="33" t="s">
        <v>13400</v>
      </c>
      <c r="L5018" s="53" t="str">
        <f>"ويتنام"</f>
        <v>ويتنام</v>
      </c>
      <c r="M5018" s="68" t="str">
        <f t="shared" si="132"/>
        <v>بشكه</v>
      </c>
      <c r="N5018" s="53" t="str">
        <f t="shared" si="131"/>
        <v>منطقه ويژه اقتصادي شهيد رجايي</v>
      </c>
      <c r="O5018" s="53">
        <v>50100</v>
      </c>
      <c r="P5018" s="198" t="s">
        <v>8698</v>
      </c>
    </row>
    <row r="5019" spans="1:16" ht="18.75" hidden="1">
      <c r="A5019" s="50" t="str">
        <f>"50100-10089119"</f>
        <v>50100-10089119</v>
      </c>
      <c r="B5019" s="50" t="str">
        <f>"97/01/22"</f>
        <v>97/01/22</v>
      </c>
      <c r="C5019" s="50" t="s">
        <v>13345</v>
      </c>
      <c r="D5019" s="12" t="s">
        <v>10036</v>
      </c>
      <c r="E5019" s="12" t="s">
        <v>4971</v>
      </c>
      <c r="F5019" s="49">
        <v>345011</v>
      </c>
      <c r="G5019" s="77" t="str">
        <f>"LLC Sebco Bitumen"</f>
        <v>LLC Sebco Bitumen</v>
      </c>
      <c r="H5019" s="14" t="s">
        <v>5601</v>
      </c>
      <c r="I5019" s="14" t="s">
        <v>2458</v>
      </c>
      <c r="J5019" s="33" t="s">
        <v>7110</v>
      </c>
      <c r="K5019" s="33" t="s">
        <v>13400</v>
      </c>
      <c r="L5019" s="53" t="str">
        <f>"کنيا"</f>
        <v>کنيا</v>
      </c>
      <c r="M5019" s="68" t="str">
        <f t="shared" si="132"/>
        <v>بشكه</v>
      </c>
      <c r="N5019" s="53" t="str">
        <f t="shared" si="131"/>
        <v>منطقه ويژه اقتصادي شهيد رجايي</v>
      </c>
      <c r="O5019" s="53">
        <v>50100</v>
      </c>
      <c r="P5019" s="198" t="s">
        <v>9763</v>
      </c>
    </row>
    <row r="5020" spans="1:16" ht="18.75" hidden="1">
      <c r="A5020" s="50" t="str">
        <f>"50100-10100457"</f>
        <v>50100-10100457</v>
      </c>
      <c r="B5020" s="50" t="str">
        <f>"97/01/26"</f>
        <v>97/01/26</v>
      </c>
      <c r="C5020" s="50" t="s">
        <v>13223</v>
      </c>
      <c r="D5020" s="12" t="s">
        <v>12898</v>
      </c>
      <c r="E5020" s="12" t="s">
        <v>4971</v>
      </c>
      <c r="F5020" s="49">
        <v>13376</v>
      </c>
      <c r="G5020" s="77" t="str">
        <f>"Black Gold Traders FZE"</f>
        <v>Black Gold Traders FZE</v>
      </c>
      <c r="H5020" s="14" t="s">
        <v>5601</v>
      </c>
      <c r="I5020" s="14" t="s">
        <v>2458</v>
      </c>
      <c r="J5020" s="33" t="s">
        <v>7110</v>
      </c>
      <c r="K5020" s="33" t="s">
        <v>13400</v>
      </c>
      <c r="L5020" s="53" t="str">
        <f>"بنگلادش"</f>
        <v>بنگلادش</v>
      </c>
      <c r="M5020" s="68" t="str">
        <f t="shared" si="132"/>
        <v>بشكه</v>
      </c>
      <c r="N5020" s="53" t="str">
        <f t="shared" si="131"/>
        <v>منطقه ويژه اقتصادي شهيد رجايي</v>
      </c>
      <c r="O5020" s="53">
        <v>50100</v>
      </c>
      <c r="P5020" s="198" t="s">
        <v>12685</v>
      </c>
    </row>
    <row r="5021" spans="1:16" ht="18.75" hidden="1">
      <c r="A5021" s="50" t="str">
        <f>"50100-10134255"</f>
        <v>50100-10134255</v>
      </c>
      <c r="B5021" s="50" t="str">
        <f>"97/02/02"</f>
        <v>97/02/02</v>
      </c>
      <c r="C5021" s="50" t="s">
        <v>13347</v>
      </c>
      <c r="D5021" s="12" t="s">
        <v>9819</v>
      </c>
      <c r="E5021" s="12" t="s">
        <v>4971</v>
      </c>
      <c r="F5021" s="49">
        <v>259260</v>
      </c>
      <c r="G5021" s="77" t="str">
        <f>"PETRO HUB ENERGY FZE"</f>
        <v>PETRO HUB ENERGY FZE</v>
      </c>
      <c r="H5021" s="14" t="s">
        <v>5601</v>
      </c>
      <c r="I5021" s="14" t="s">
        <v>2458</v>
      </c>
      <c r="J5021" s="33" t="s">
        <v>7110</v>
      </c>
      <c r="K5021" s="33" t="s">
        <v>13400</v>
      </c>
      <c r="L5021" s="53" t="str">
        <f>"بنگلادش"</f>
        <v>بنگلادش</v>
      </c>
      <c r="M5021" s="68" t="str">
        <f t="shared" si="132"/>
        <v>بشكه</v>
      </c>
      <c r="N5021" s="53" t="str">
        <f>"منطقه ويژه اقتصادي شهيد رجايي"</f>
        <v>منطقه ويژه اقتصادي شهيد رجايي</v>
      </c>
      <c r="O5021" s="53">
        <v>50100</v>
      </c>
      <c r="P5021" s="198" t="s">
        <v>8717</v>
      </c>
    </row>
    <row r="5022" spans="1:16" ht="18.75" hidden="1">
      <c r="A5022" s="50" t="str">
        <f>"50100-10137261"</f>
        <v>50100-10137261</v>
      </c>
      <c r="B5022" s="50" t="str">
        <f>"97/02/03"</f>
        <v>97/02/03</v>
      </c>
      <c r="C5022" s="50" t="s">
        <v>13376</v>
      </c>
      <c r="D5022" s="12" t="s">
        <v>9997</v>
      </c>
      <c r="E5022" s="12" t="s">
        <v>4971</v>
      </c>
      <c r="F5022" s="49">
        <v>504680</v>
      </c>
      <c r="G5022" s="77" t="str">
        <f>"SHINING GREEN STAR FZE"</f>
        <v>SHINING GREEN STAR FZE</v>
      </c>
      <c r="H5022" s="14" t="s">
        <v>5601</v>
      </c>
      <c r="I5022" s="14" t="s">
        <v>2458</v>
      </c>
      <c r="J5022" s="33" t="e">
        <f>VLOOKUP(C5022,شرکتها!A:B,2,FALSE)</f>
        <v>#N/A</v>
      </c>
      <c r="K5022" s="33" t="s">
        <v>13400</v>
      </c>
      <c r="L5022" s="53" t="str">
        <f>"بنگلادش"</f>
        <v>بنگلادش</v>
      </c>
      <c r="M5022" s="68" t="str">
        <f t="shared" si="132"/>
        <v>بشكه</v>
      </c>
      <c r="N5022" s="53" t="str">
        <f>"منطقه ويژه اقتصادي شهيد رجايي"</f>
        <v>منطقه ويژه اقتصادي شهيد رجايي</v>
      </c>
      <c r="O5022" s="53">
        <v>50100</v>
      </c>
      <c r="P5022" s="198" t="s">
        <v>9770</v>
      </c>
    </row>
    <row r="5023" spans="1:16" ht="18.75" hidden="1">
      <c r="A5023" s="50" t="str">
        <f>"60503-191873"</f>
        <v>60503-191873</v>
      </c>
      <c r="B5023" s="50" t="str">
        <f>"97/01/16"</f>
        <v>97/01/16</v>
      </c>
      <c r="C5023" s="50" t="s">
        <v>13393</v>
      </c>
      <c r="D5023" s="12" t="s">
        <v>12734</v>
      </c>
      <c r="E5023" s="12" t="s">
        <v>4971</v>
      </c>
      <c r="F5023" s="49">
        <v>230000</v>
      </c>
      <c r="G5023" s="77" t="str">
        <f>"T.K.S TRADING"</f>
        <v>T.K.S TRADING</v>
      </c>
      <c r="H5023" s="14" t="s">
        <v>5601</v>
      </c>
      <c r="I5023" s="14" t="s">
        <v>2458</v>
      </c>
      <c r="J5023" s="33" t="s">
        <v>7110</v>
      </c>
      <c r="K5023" s="33" t="s">
        <v>13400</v>
      </c>
      <c r="L5023" s="53" t="str">
        <f>" افغانستان"</f>
        <v xml:space="preserve"> افغانستان</v>
      </c>
      <c r="M5023" s="68" t="str">
        <f t="shared" si="132"/>
        <v>بشكه</v>
      </c>
      <c r="N5023" s="53" t="str">
        <f>"منطقه ويژه دوغارون"</f>
        <v>منطقه ويژه دوغارون</v>
      </c>
      <c r="O5023" s="53">
        <v>60503</v>
      </c>
      <c r="P5023" s="198" t="s">
        <v>12427</v>
      </c>
    </row>
    <row r="5024" spans="1:16" ht="18.75" hidden="1">
      <c r="A5024" s="50" t="str">
        <f>"50100-10123553"</f>
        <v>50100-10123553</v>
      </c>
      <c r="B5024" s="50" t="str">
        <f>"97/02/01"</f>
        <v>97/02/01</v>
      </c>
      <c r="C5024" s="50" t="s">
        <v>13376</v>
      </c>
      <c r="D5024" s="12" t="s">
        <v>9997</v>
      </c>
      <c r="E5024" s="12" t="s">
        <v>4971</v>
      </c>
      <c r="F5024" s="49">
        <v>496175</v>
      </c>
      <c r="G5024" s="77" t="str">
        <f>"SHINING GREEN STAR FZE"</f>
        <v>SHINING GREEN STAR FZE</v>
      </c>
      <c r="H5024" s="14" t="s">
        <v>5601</v>
      </c>
      <c r="I5024" s="14" t="s">
        <v>2458</v>
      </c>
      <c r="J5024" s="33" t="e">
        <f>VLOOKUP(C5024,شرکتها!A:B,2,FALSE)</f>
        <v>#N/A</v>
      </c>
      <c r="K5024" s="33" t="s">
        <v>13400</v>
      </c>
      <c r="L5024" s="53" t="str">
        <f>"تانزانيا"</f>
        <v>تانزانيا</v>
      </c>
      <c r="M5024" s="68" t="str">
        <f t="shared" si="132"/>
        <v>بشكه</v>
      </c>
      <c r="N5024" s="53" t="str">
        <f>"منطقه ويژه اقتصادي شهيد رجايي"</f>
        <v>منطقه ويژه اقتصادي شهيد رجايي</v>
      </c>
      <c r="O5024" s="53">
        <v>50100</v>
      </c>
      <c r="P5024" s="198" t="s">
        <v>9770</v>
      </c>
    </row>
    <row r="5025" spans="1:17" ht="18.75" hidden="1">
      <c r="A5025" s="50" t="str">
        <f>"60503-191873"</f>
        <v>60503-191873</v>
      </c>
      <c r="B5025" s="50" t="str">
        <f>"97/01/16"</f>
        <v>97/01/16</v>
      </c>
      <c r="C5025" s="50" t="s">
        <v>13394</v>
      </c>
      <c r="D5025" s="12" t="s">
        <v>12525</v>
      </c>
      <c r="E5025" s="12" t="s">
        <v>4971</v>
      </c>
      <c r="F5025" s="49">
        <v>400000</v>
      </c>
      <c r="G5025" s="77" t="str">
        <f>"T.K.S TRADING"</f>
        <v>T.K.S TRADING</v>
      </c>
      <c r="H5025" s="14" t="s">
        <v>5601</v>
      </c>
      <c r="I5025" s="14" t="s">
        <v>2458</v>
      </c>
      <c r="J5025" s="33" t="s">
        <v>7110</v>
      </c>
      <c r="K5025" s="33" t="s">
        <v>13400</v>
      </c>
      <c r="L5025" s="53" t="str">
        <f>" افغانستان"</f>
        <v xml:space="preserve"> افغانستان</v>
      </c>
      <c r="M5025" s="68" t="str">
        <f t="shared" si="132"/>
        <v>بشكه</v>
      </c>
      <c r="N5025" s="53" t="str">
        <f>"منطقه ويژه دوغارون"</f>
        <v>منطقه ويژه دوغارون</v>
      </c>
      <c r="O5025" s="53">
        <v>60503</v>
      </c>
      <c r="P5025" s="198" t="s">
        <v>12427</v>
      </c>
    </row>
    <row r="5026" spans="1:17" ht="18.75" hidden="1">
      <c r="A5026" s="50" t="str">
        <f>"60503-191873"</f>
        <v>60503-191873</v>
      </c>
      <c r="B5026" s="50" t="str">
        <f>"97/01/16"</f>
        <v>97/01/16</v>
      </c>
      <c r="C5026" s="50" t="s">
        <v>13395</v>
      </c>
      <c r="D5026" s="12" t="s">
        <v>12601</v>
      </c>
      <c r="E5026" s="12" t="s">
        <v>4971</v>
      </c>
      <c r="F5026" s="49">
        <v>150000</v>
      </c>
      <c r="G5026" s="77" t="str">
        <f>"T.K.S TRADING"</f>
        <v>T.K.S TRADING</v>
      </c>
      <c r="H5026" s="14" t="s">
        <v>5601</v>
      </c>
      <c r="I5026" s="14" t="s">
        <v>2458</v>
      </c>
      <c r="J5026" s="33" t="s">
        <v>7110</v>
      </c>
      <c r="K5026" s="33" t="s">
        <v>13400</v>
      </c>
      <c r="L5026" s="53" t="str">
        <f>" افغانستان"</f>
        <v xml:space="preserve"> افغانستان</v>
      </c>
      <c r="M5026" s="68" t="str">
        <f t="shared" si="132"/>
        <v>بشكه</v>
      </c>
      <c r="N5026" s="53" t="str">
        <f>"منطقه ويژه دوغارون"</f>
        <v>منطقه ويژه دوغارون</v>
      </c>
      <c r="O5026" s="53">
        <v>60503</v>
      </c>
      <c r="P5026" s="198" t="s">
        <v>12427</v>
      </c>
    </row>
    <row r="5027" spans="1:17" ht="18.75" hidden="1">
      <c r="A5027" s="50" t="str">
        <f>"50100-10141336"</f>
        <v>50100-10141336</v>
      </c>
      <c r="B5027" s="50" t="str">
        <f>"97/02/04"</f>
        <v>97/02/04</v>
      </c>
      <c r="C5027" s="50" t="s">
        <v>13396</v>
      </c>
      <c r="D5027" s="12" t="s">
        <v>9997</v>
      </c>
      <c r="E5027" s="12" t="s">
        <v>4971</v>
      </c>
      <c r="F5027" s="49">
        <v>593040</v>
      </c>
      <c r="G5027" s="77" t="str">
        <f>"SHINING GREEN STAR FZE"</f>
        <v>SHINING GREEN STAR FZE</v>
      </c>
      <c r="H5027" s="14" t="s">
        <v>5601</v>
      </c>
      <c r="I5027" s="14" t="s">
        <v>2458</v>
      </c>
      <c r="J5027" s="33" t="e">
        <f>VLOOKUP(C5027,شرکتها!A:B,2,FALSE)</f>
        <v>#N/A</v>
      </c>
      <c r="K5027" s="33" t="s">
        <v>13400</v>
      </c>
      <c r="L5027" s="53" t="str">
        <f>"جيبوتي"</f>
        <v>جيبوتي</v>
      </c>
      <c r="M5027" s="68" t="str">
        <f t="shared" si="132"/>
        <v>بشكه</v>
      </c>
      <c r="N5027" s="53" t="str">
        <f>"منطقه ويژه اقتصادي شهيد رجايي"</f>
        <v>منطقه ويژه اقتصادي شهيد رجايي</v>
      </c>
      <c r="O5027" s="53">
        <v>50100</v>
      </c>
      <c r="P5027" s="198" t="s">
        <v>9770</v>
      </c>
    </row>
    <row r="5028" spans="1:17" ht="18.75" hidden="1">
      <c r="A5028" s="50" t="str">
        <f>"60503-191873"</f>
        <v>60503-191873</v>
      </c>
      <c r="B5028" s="50" t="str">
        <f>"97/01/16"</f>
        <v>97/01/16</v>
      </c>
      <c r="C5028" s="50" t="s">
        <v>13397</v>
      </c>
      <c r="D5028" s="12" t="s">
        <v>12525</v>
      </c>
      <c r="E5028" s="12" t="s">
        <v>4971</v>
      </c>
      <c r="F5028" s="49">
        <v>220000</v>
      </c>
      <c r="G5028" s="77" t="str">
        <f>"T.K.S TRADING"</f>
        <v>T.K.S TRADING</v>
      </c>
      <c r="H5028" s="14" t="s">
        <v>5601</v>
      </c>
      <c r="I5028" s="14" t="s">
        <v>2458</v>
      </c>
      <c r="J5028" s="33" t="s">
        <v>7110</v>
      </c>
      <c r="K5028" s="33" t="s">
        <v>13400</v>
      </c>
      <c r="L5028" s="53" t="str">
        <f>" افغانستان"</f>
        <v xml:space="preserve"> افغانستان</v>
      </c>
      <c r="M5028" s="68" t="str">
        <f t="shared" si="132"/>
        <v>بشكه</v>
      </c>
      <c r="N5028" s="53" t="str">
        <f>"منطقه ويژه دوغارون"</f>
        <v>منطقه ويژه دوغارون</v>
      </c>
      <c r="O5028" s="53">
        <v>60503</v>
      </c>
      <c r="P5028" s="198" t="s">
        <v>12427</v>
      </c>
    </row>
    <row r="5029" spans="1:17" ht="18.75" hidden="1">
      <c r="A5029" s="50" t="str">
        <f>"50100-10141336"</f>
        <v>50100-10141336</v>
      </c>
      <c r="B5029" s="50" t="str">
        <f>"97/02/04"</f>
        <v>97/02/04</v>
      </c>
      <c r="C5029" s="50" t="s">
        <v>13233</v>
      </c>
      <c r="D5029" s="12" t="s">
        <v>9934</v>
      </c>
      <c r="E5029" s="12" t="s">
        <v>4971</v>
      </c>
      <c r="F5029" s="49">
        <v>124170</v>
      </c>
      <c r="G5029" s="77" t="str">
        <f>"SHINING GREEN STAR FZE"</f>
        <v>SHINING GREEN STAR FZE</v>
      </c>
      <c r="H5029" s="14" t="s">
        <v>5601</v>
      </c>
      <c r="I5029" s="14" t="s">
        <v>2458</v>
      </c>
      <c r="J5029" s="33" t="e">
        <f>VLOOKUP(C5029,شرکتها!A:B,2,FALSE)</f>
        <v>#N/A</v>
      </c>
      <c r="K5029" s="33" t="s">
        <v>13400</v>
      </c>
      <c r="L5029" s="53" t="str">
        <f>"جيبوتي"</f>
        <v>جيبوتي</v>
      </c>
      <c r="M5029" s="68" t="str">
        <f t="shared" si="132"/>
        <v>بشكه</v>
      </c>
      <c r="N5029" s="53" t="str">
        <f>"منطقه ويژه اقتصادي شهيد رجايي"</f>
        <v>منطقه ويژه اقتصادي شهيد رجايي</v>
      </c>
      <c r="O5029" s="53">
        <v>50100</v>
      </c>
      <c r="P5029" s="198" t="s">
        <v>9770</v>
      </c>
    </row>
    <row r="5030" spans="1:17" ht="18.75" hidden="1">
      <c r="A5030" s="50" t="str">
        <f>"50100-10141336"</f>
        <v>50100-10141336</v>
      </c>
      <c r="B5030" s="50" t="str">
        <f>"97/02/04"</f>
        <v>97/02/04</v>
      </c>
      <c r="C5030" s="50" t="s">
        <v>13398</v>
      </c>
      <c r="D5030" s="12" t="s">
        <v>12829</v>
      </c>
      <c r="E5030" s="12" t="s">
        <v>4971</v>
      </c>
      <c r="F5030" s="49">
        <v>377930</v>
      </c>
      <c r="G5030" s="77" t="str">
        <f>"SHINING GREEN STAR FZE"</f>
        <v>SHINING GREEN STAR FZE</v>
      </c>
      <c r="H5030" s="14" t="s">
        <v>5601</v>
      </c>
      <c r="I5030" s="14" t="s">
        <v>2458</v>
      </c>
      <c r="J5030" s="33" t="s">
        <v>7110</v>
      </c>
      <c r="K5030" s="33" t="s">
        <v>13400</v>
      </c>
      <c r="L5030" s="53" t="str">
        <f>"جيبوتي"</f>
        <v>جيبوتي</v>
      </c>
      <c r="M5030" s="68" t="str">
        <f t="shared" si="132"/>
        <v>بشكه</v>
      </c>
      <c r="N5030" s="53" t="str">
        <f>"منطقه ويژه اقتصادي شهيد رجايي"</f>
        <v>منطقه ويژه اقتصادي شهيد رجايي</v>
      </c>
      <c r="O5030" s="53">
        <v>50100</v>
      </c>
      <c r="P5030" s="198" t="s">
        <v>12306</v>
      </c>
    </row>
    <row r="5031" spans="1:17" ht="18.75" hidden="1">
      <c r="A5031" s="50" t="str">
        <f>"50100-10134255"</f>
        <v>50100-10134255</v>
      </c>
      <c r="B5031" s="50" t="str">
        <f>"97/02/02"</f>
        <v>97/02/02</v>
      </c>
      <c r="C5031" s="50" t="s">
        <v>13399</v>
      </c>
      <c r="D5031" s="12" t="s">
        <v>9819</v>
      </c>
      <c r="E5031" s="12" t="s">
        <v>4971</v>
      </c>
      <c r="F5031" s="49">
        <v>245378</v>
      </c>
      <c r="G5031" s="77" t="str">
        <f>"PETRO HUB ENERGY FZE"</f>
        <v>PETRO HUB ENERGY FZE</v>
      </c>
      <c r="H5031" s="14" t="s">
        <v>5601</v>
      </c>
      <c r="I5031" s="14" t="s">
        <v>2458</v>
      </c>
      <c r="J5031" s="33" t="s">
        <v>7110</v>
      </c>
      <c r="K5031" s="33" t="s">
        <v>13400</v>
      </c>
      <c r="L5031" s="53" t="str">
        <f>"بنگلادش"</f>
        <v>بنگلادش</v>
      </c>
      <c r="M5031" s="68" t="str">
        <f t="shared" si="132"/>
        <v>بشكه</v>
      </c>
      <c r="N5031" s="53" t="str">
        <f>"منطقه ويژه اقتصادي شهيد رجايي"</f>
        <v>منطقه ويژه اقتصادي شهيد رجايي</v>
      </c>
      <c r="O5031" s="53">
        <v>50100</v>
      </c>
      <c r="P5031" s="198" t="s">
        <v>8717</v>
      </c>
    </row>
    <row r="5032" spans="1:17" ht="18.75" hidden="1">
      <c r="A5032" s="50" t="s">
        <v>13401</v>
      </c>
      <c r="B5032" s="50" t="s">
        <v>12689</v>
      </c>
      <c r="C5032" s="50" t="s">
        <v>12843</v>
      </c>
      <c r="D5032" s="12" t="s">
        <v>12717</v>
      </c>
      <c r="E5032" s="12" t="s">
        <v>4971</v>
      </c>
      <c r="F5032" s="49">
        <v>279840</v>
      </c>
      <c r="G5032" s="77" t="s">
        <v>6453</v>
      </c>
      <c r="H5032" s="14" t="s">
        <v>5601</v>
      </c>
      <c r="I5032" s="14" t="s">
        <v>2458</v>
      </c>
      <c r="J5032" s="33" t="s">
        <v>7110</v>
      </c>
      <c r="K5032" s="33" t="s">
        <v>13402</v>
      </c>
      <c r="L5032" s="53" t="s">
        <v>6054</v>
      </c>
      <c r="M5032" s="68" t="s">
        <v>8913</v>
      </c>
      <c r="N5032" s="53" t="s">
        <v>6076</v>
      </c>
      <c r="O5032" s="53">
        <v>55301</v>
      </c>
      <c r="P5032" s="198" t="s">
        <v>12673</v>
      </c>
      <c r="Q5032" s="17" t="s">
        <v>14284</v>
      </c>
    </row>
    <row r="5033" spans="1:17" ht="18.75" hidden="1">
      <c r="A5033" s="50" t="s">
        <v>13403</v>
      </c>
      <c r="B5033" s="50" t="s">
        <v>13182</v>
      </c>
      <c r="C5033" s="50" t="s">
        <v>12910</v>
      </c>
      <c r="D5033" s="12" t="s">
        <v>9835</v>
      </c>
      <c r="E5033" s="12" t="s">
        <v>4971</v>
      </c>
      <c r="F5033" s="49">
        <v>211660</v>
      </c>
      <c r="G5033" s="77" t="s">
        <v>6300</v>
      </c>
      <c r="H5033" s="14" t="s">
        <v>5601</v>
      </c>
      <c r="I5033" s="14" t="s">
        <v>2458</v>
      </c>
      <c r="J5033" s="33" t="s">
        <v>7110</v>
      </c>
      <c r="K5033" s="33" t="s">
        <v>13402</v>
      </c>
      <c r="L5033" s="53" t="s">
        <v>6054</v>
      </c>
      <c r="M5033" s="68" t="s">
        <v>8913</v>
      </c>
      <c r="N5033" s="53" t="s">
        <v>9836</v>
      </c>
      <c r="O5033" s="53">
        <v>55112</v>
      </c>
      <c r="P5033" s="198" t="s">
        <v>9762</v>
      </c>
    </row>
    <row r="5034" spans="1:17" ht="18.75" hidden="1">
      <c r="A5034" s="50" t="s">
        <v>13403</v>
      </c>
      <c r="B5034" s="50" t="s">
        <v>13182</v>
      </c>
      <c r="C5034" s="50" t="s">
        <v>13185</v>
      </c>
      <c r="D5034" s="12" t="s">
        <v>9830</v>
      </c>
      <c r="E5034" s="12" t="s">
        <v>4971</v>
      </c>
      <c r="F5034" s="49">
        <v>26660</v>
      </c>
      <c r="G5034" s="77" t="s">
        <v>6300</v>
      </c>
      <c r="H5034" s="14" t="s">
        <v>5601</v>
      </c>
      <c r="I5034" s="14" t="s">
        <v>2458</v>
      </c>
      <c r="J5034" s="33" t="s">
        <v>7110</v>
      </c>
      <c r="K5034" s="33" t="s">
        <v>13402</v>
      </c>
      <c r="L5034" s="53" t="s">
        <v>6054</v>
      </c>
      <c r="M5034" s="68" t="s">
        <v>8913</v>
      </c>
      <c r="N5034" s="53" t="s">
        <v>9836</v>
      </c>
      <c r="O5034" s="53">
        <v>55112</v>
      </c>
      <c r="P5034" s="198" t="s">
        <v>9762</v>
      </c>
    </row>
    <row r="5035" spans="1:17" ht="18.75" hidden="1">
      <c r="A5035" s="50" t="s">
        <v>13404</v>
      </c>
      <c r="B5035" s="50" t="s">
        <v>13186</v>
      </c>
      <c r="C5035" s="50" t="s">
        <v>13405</v>
      </c>
      <c r="D5035" s="12" t="s">
        <v>12944</v>
      </c>
      <c r="E5035" s="12" t="s">
        <v>4971</v>
      </c>
      <c r="F5035" s="49">
        <v>86070</v>
      </c>
      <c r="G5035" s="77" t="s">
        <v>6453</v>
      </c>
      <c r="H5035" s="14" t="s">
        <v>5601</v>
      </c>
      <c r="I5035" s="14" t="s">
        <v>2458</v>
      </c>
      <c r="J5035" s="33" t="s">
        <v>7110</v>
      </c>
      <c r="K5035" s="33" t="s">
        <v>13402</v>
      </c>
      <c r="L5035" s="53" t="s">
        <v>6054</v>
      </c>
      <c r="M5035" s="68" t="s">
        <v>8913</v>
      </c>
      <c r="N5035" s="53" t="s">
        <v>9836</v>
      </c>
      <c r="O5035" s="53">
        <v>55112</v>
      </c>
      <c r="P5035" s="198" t="s">
        <v>12673</v>
      </c>
    </row>
    <row r="5036" spans="1:17" ht="18.75" hidden="1">
      <c r="A5036" s="50" t="s">
        <v>13404</v>
      </c>
      <c r="B5036" s="50" t="s">
        <v>13186</v>
      </c>
      <c r="C5036" s="50" t="s">
        <v>13193</v>
      </c>
      <c r="D5036" s="12" t="s">
        <v>9952</v>
      </c>
      <c r="E5036" s="12" t="s">
        <v>4971</v>
      </c>
      <c r="F5036" s="49">
        <v>196620</v>
      </c>
      <c r="G5036" s="77" t="s">
        <v>6298</v>
      </c>
      <c r="H5036" s="14" t="s">
        <v>5601</v>
      </c>
      <c r="I5036" s="14" t="s">
        <v>2458</v>
      </c>
      <c r="J5036" s="33" t="s">
        <v>7110</v>
      </c>
      <c r="K5036" s="33" t="s">
        <v>13402</v>
      </c>
      <c r="L5036" s="53" t="s">
        <v>6054</v>
      </c>
      <c r="M5036" s="68" t="s">
        <v>8913</v>
      </c>
      <c r="N5036" s="53" t="s">
        <v>9836</v>
      </c>
      <c r="O5036" s="53">
        <v>55112</v>
      </c>
      <c r="P5036" s="198" t="s">
        <v>9783</v>
      </c>
    </row>
    <row r="5037" spans="1:17" ht="18.75" hidden="1">
      <c r="A5037" s="50" t="s">
        <v>13404</v>
      </c>
      <c r="B5037" s="50" t="s">
        <v>13186</v>
      </c>
      <c r="C5037" s="50" t="s">
        <v>13187</v>
      </c>
      <c r="D5037" s="12" t="s">
        <v>12953</v>
      </c>
      <c r="E5037" s="12" t="s">
        <v>4971</v>
      </c>
      <c r="F5037" s="49">
        <v>56930</v>
      </c>
      <c r="G5037" s="77" t="s">
        <v>6453</v>
      </c>
      <c r="H5037" s="14" t="s">
        <v>5601</v>
      </c>
      <c r="I5037" s="14" t="s">
        <v>2458</v>
      </c>
      <c r="J5037" s="33" t="s">
        <v>7110</v>
      </c>
      <c r="K5037" s="33" t="s">
        <v>13402</v>
      </c>
      <c r="L5037" s="53" t="s">
        <v>6054</v>
      </c>
      <c r="M5037" s="68" t="s">
        <v>8913</v>
      </c>
      <c r="N5037" s="53" t="s">
        <v>9836</v>
      </c>
      <c r="O5037" s="53">
        <v>55112</v>
      </c>
      <c r="P5037" s="198" t="s">
        <v>12673</v>
      </c>
    </row>
    <row r="5038" spans="1:17" ht="18.75" hidden="1">
      <c r="A5038" s="50" t="s">
        <v>13406</v>
      </c>
      <c r="B5038" s="50" t="s">
        <v>13310</v>
      </c>
      <c r="C5038" s="50" t="s">
        <v>13284</v>
      </c>
      <c r="D5038" s="12" t="s">
        <v>12701</v>
      </c>
      <c r="E5038" s="12" t="s">
        <v>4971</v>
      </c>
      <c r="F5038" s="49">
        <v>284375</v>
      </c>
      <c r="G5038" s="77" t="s">
        <v>6454</v>
      </c>
      <c r="H5038" s="14" t="s">
        <v>5601</v>
      </c>
      <c r="I5038" s="14" t="s">
        <v>2458</v>
      </c>
      <c r="J5038" s="33" t="s">
        <v>7110</v>
      </c>
      <c r="K5038" s="33" t="s">
        <v>13402</v>
      </c>
      <c r="L5038" s="53" t="s">
        <v>6054</v>
      </c>
      <c r="M5038" s="68" t="s">
        <v>8913</v>
      </c>
      <c r="N5038" s="53" t="s">
        <v>6076</v>
      </c>
      <c r="O5038" s="53">
        <v>55301</v>
      </c>
      <c r="P5038" s="198" t="s">
        <v>12414</v>
      </c>
    </row>
    <row r="5039" spans="1:17" ht="18.75" hidden="1">
      <c r="A5039" s="50" t="s">
        <v>13407</v>
      </c>
      <c r="B5039" s="50" t="s">
        <v>13318</v>
      </c>
      <c r="C5039" s="50" t="s">
        <v>13319</v>
      </c>
      <c r="D5039" s="12" t="s">
        <v>12736</v>
      </c>
      <c r="E5039" s="12" t="s">
        <v>4971</v>
      </c>
      <c r="F5039" s="49">
        <v>213660</v>
      </c>
      <c r="G5039" s="77" t="s">
        <v>6298</v>
      </c>
      <c r="H5039" s="14" t="s">
        <v>5601</v>
      </c>
      <c r="I5039" s="14" t="s">
        <v>2458</v>
      </c>
      <c r="J5039" s="33" t="s">
        <v>7110</v>
      </c>
      <c r="K5039" s="33" t="s">
        <v>13402</v>
      </c>
      <c r="L5039" s="53" t="s">
        <v>6054</v>
      </c>
      <c r="M5039" s="68" t="s">
        <v>8913</v>
      </c>
      <c r="N5039" s="53" t="s">
        <v>9836</v>
      </c>
      <c r="O5039" s="53">
        <v>55112</v>
      </c>
      <c r="P5039" s="198" t="s">
        <v>12429</v>
      </c>
    </row>
    <row r="5040" spans="1:17" ht="18.75" hidden="1">
      <c r="A5040" s="50" t="s">
        <v>13406</v>
      </c>
      <c r="B5040" s="50" t="s">
        <v>13310</v>
      </c>
      <c r="C5040" s="50" t="s">
        <v>13305</v>
      </c>
      <c r="D5040" s="12" t="s">
        <v>12705</v>
      </c>
      <c r="E5040" s="12" t="s">
        <v>4971</v>
      </c>
      <c r="F5040" s="49">
        <v>140375</v>
      </c>
      <c r="G5040" s="77" t="s">
        <v>6454</v>
      </c>
      <c r="H5040" s="14" t="s">
        <v>5601</v>
      </c>
      <c r="I5040" s="14" t="s">
        <v>2458</v>
      </c>
      <c r="J5040" s="33" t="s">
        <v>7110</v>
      </c>
      <c r="K5040" s="33" t="s">
        <v>13402</v>
      </c>
      <c r="L5040" s="53" t="s">
        <v>6054</v>
      </c>
      <c r="M5040" s="68" t="s">
        <v>8913</v>
      </c>
      <c r="N5040" s="53" t="s">
        <v>6076</v>
      </c>
      <c r="O5040" s="53">
        <v>55301</v>
      </c>
      <c r="P5040" s="198" t="s">
        <v>12414</v>
      </c>
    </row>
    <row r="5041" spans="1:16" ht="18.75" hidden="1">
      <c r="A5041" s="50" t="s">
        <v>13406</v>
      </c>
      <c r="B5041" s="50" t="s">
        <v>13310</v>
      </c>
      <c r="C5041" s="50" t="s">
        <v>13408</v>
      </c>
      <c r="D5041" s="12" t="s">
        <v>12893</v>
      </c>
      <c r="E5041" s="12" t="s">
        <v>4971</v>
      </c>
      <c r="F5041" s="49">
        <v>61380</v>
      </c>
      <c r="G5041" s="77" t="s">
        <v>6453</v>
      </c>
      <c r="H5041" s="14" t="s">
        <v>5601</v>
      </c>
      <c r="I5041" s="14" t="s">
        <v>2458</v>
      </c>
      <c r="J5041" s="33" t="s">
        <v>7110</v>
      </c>
      <c r="K5041" s="33" t="s">
        <v>13402</v>
      </c>
      <c r="L5041" s="53" t="s">
        <v>6054</v>
      </c>
      <c r="M5041" s="68" t="s">
        <v>8913</v>
      </c>
      <c r="N5041" s="53" t="s">
        <v>6076</v>
      </c>
      <c r="O5041" s="53">
        <v>55301</v>
      </c>
      <c r="P5041" s="198" t="s">
        <v>12673</v>
      </c>
    </row>
    <row r="5042" spans="1:16" ht="18.75" hidden="1">
      <c r="A5042" s="50" t="s">
        <v>13409</v>
      </c>
      <c r="B5042" s="50" t="s">
        <v>13303</v>
      </c>
      <c r="C5042" s="50" t="s">
        <v>13315</v>
      </c>
      <c r="D5042" s="12" t="s">
        <v>12824</v>
      </c>
      <c r="E5042" s="12" t="s">
        <v>4971</v>
      </c>
      <c r="F5042" s="49">
        <v>82960</v>
      </c>
      <c r="G5042" s="77" t="s">
        <v>6453</v>
      </c>
      <c r="H5042" s="14" t="s">
        <v>5601</v>
      </c>
      <c r="I5042" s="14" t="s">
        <v>2458</v>
      </c>
      <c r="J5042" s="33" t="s">
        <v>7110</v>
      </c>
      <c r="K5042" s="33" t="s">
        <v>13402</v>
      </c>
      <c r="L5042" s="53" t="s">
        <v>6054</v>
      </c>
      <c r="M5042" s="68" t="s">
        <v>8913</v>
      </c>
      <c r="N5042" s="53" t="s">
        <v>6076</v>
      </c>
      <c r="O5042" s="53">
        <v>55301</v>
      </c>
      <c r="P5042" s="198" t="s">
        <v>12673</v>
      </c>
    </row>
    <row r="5043" spans="1:16" ht="18.75" hidden="1">
      <c r="A5043" s="50" t="s">
        <v>13410</v>
      </c>
      <c r="B5043" s="50" t="s">
        <v>13310</v>
      </c>
      <c r="C5043" s="50" t="s">
        <v>13408</v>
      </c>
      <c r="D5043" s="12" t="s">
        <v>12893</v>
      </c>
      <c r="E5043" s="12" t="s">
        <v>4971</v>
      </c>
      <c r="F5043" s="49">
        <v>147540</v>
      </c>
      <c r="G5043" s="77" t="s">
        <v>6453</v>
      </c>
      <c r="H5043" s="14" t="s">
        <v>5601</v>
      </c>
      <c r="I5043" s="14" t="s">
        <v>2458</v>
      </c>
      <c r="J5043" s="33" t="s">
        <v>7110</v>
      </c>
      <c r="K5043" s="33" t="s">
        <v>13402</v>
      </c>
      <c r="L5043" s="53" t="s">
        <v>6054</v>
      </c>
      <c r="M5043" s="68" t="s">
        <v>8913</v>
      </c>
      <c r="N5043" s="53" t="s">
        <v>9836</v>
      </c>
      <c r="O5043" s="53">
        <v>55112</v>
      </c>
      <c r="P5043" s="198" t="s">
        <v>12673</v>
      </c>
    </row>
    <row r="5044" spans="1:16" ht="18.75" hidden="1">
      <c r="A5044" s="50" t="s">
        <v>13409</v>
      </c>
      <c r="B5044" s="50" t="s">
        <v>13303</v>
      </c>
      <c r="C5044" s="50" t="s">
        <v>13301</v>
      </c>
      <c r="D5044" s="12" t="s">
        <v>12878</v>
      </c>
      <c r="E5044" s="12" t="s">
        <v>4971</v>
      </c>
      <c r="F5044" s="49">
        <v>7680</v>
      </c>
      <c r="G5044" s="77" t="s">
        <v>6453</v>
      </c>
      <c r="H5044" s="14" t="s">
        <v>5601</v>
      </c>
      <c r="I5044" s="14" t="s">
        <v>2458</v>
      </c>
      <c r="J5044" s="33" t="s">
        <v>7110</v>
      </c>
      <c r="K5044" s="33" t="s">
        <v>13402</v>
      </c>
      <c r="L5044" s="53" t="s">
        <v>6054</v>
      </c>
      <c r="M5044" s="68" t="s">
        <v>8913</v>
      </c>
      <c r="N5044" s="53" t="s">
        <v>6076</v>
      </c>
      <c r="O5044" s="53">
        <v>55301</v>
      </c>
      <c r="P5044" s="198" t="s">
        <v>12673</v>
      </c>
    </row>
    <row r="5045" spans="1:16" ht="18.75" hidden="1">
      <c r="A5045" s="50" t="s">
        <v>13406</v>
      </c>
      <c r="B5045" s="50" t="s">
        <v>13310</v>
      </c>
      <c r="C5045" s="50" t="s">
        <v>13411</v>
      </c>
      <c r="D5045" s="12" t="s">
        <v>13189</v>
      </c>
      <c r="E5045" s="12" t="s">
        <v>4971</v>
      </c>
      <c r="F5045" s="49">
        <v>43390</v>
      </c>
      <c r="G5045" s="77" t="s">
        <v>12608</v>
      </c>
      <c r="H5045" s="14" t="s">
        <v>5601</v>
      </c>
      <c r="I5045" s="14" t="s">
        <v>2458</v>
      </c>
      <c r="J5045" s="33" t="s">
        <v>7110</v>
      </c>
      <c r="K5045" s="33" t="s">
        <v>13402</v>
      </c>
      <c r="L5045" s="53" t="s">
        <v>6054</v>
      </c>
      <c r="M5045" s="68" t="s">
        <v>8913</v>
      </c>
      <c r="N5045" s="53" t="s">
        <v>6076</v>
      </c>
      <c r="O5045" s="53">
        <v>55301</v>
      </c>
      <c r="P5045" s="198" t="s">
        <v>12939</v>
      </c>
    </row>
    <row r="5046" spans="1:16" ht="18.75" hidden="1">
      <c r="A5046" s="50" t="s">
        <v>13406</v>
      </c>
      <c r="B5046" s="50" t="s">
        <v>13310</v>
      </c>
      <c r="C5046" s="50" t="s">
        <v>13412</v>
      </c>
      <c r="D5046" s="12" t="s">
        <v>13195</v>
      </c>
      <c r="E5046" s="12" t="s">
        <v>4971</v>
      </c>
      <c r="F5046" s="49">
        <v>451520</v>
      </c>
      <c r="G5046" s="77" t="s">
        <v>6453</v>
      </c>
      <c r="H5046" s="14" t="s">
        <v>5601</v>
      </c>
      <c r="I5046" s="14" t="s">
        <v>2458</v>
      </c>
      <c r="J5046" s="33" t="s">
        <v>7110</v>
      </c>
      <c r="K5046" s="33" t="s">
        <v>13402</v>
      </c>
      <c r="L5046" s="53" t="s">
        <v>6054</v>
      </c>
      <c r="M5046" s="68" t="s">
        <v>8913</v>
      </c>
      <c r="N5046" s="53" t="s">
        <v>6076</v>
      </c>
      <c r="O5046" s="53">
        <v>55301</v>
      </c>
      <c r="P5046" s="198" t="s">
        <v>12673</v>
      </c>
    </row>
    <row r="5047" spans="1:16" ht="18.75" hidden="1">
      <c r="A5047" s="50" t="s">
        <v>13413</v>
      </c>
      <c r="B5047" s="50" t="s">
        <v>13308</v>
      </c>
      <c r="C5047" s="50" t="s">
        <v>13314</v>
      </c>
      <c r="D5047" s="12" t="s">
        <v>9835</v>
      </c>
      <c r="E5047" s="12" t="s">
        <v>4971</v>
      </c>
      <c r="F5047" s="49">
        <v>62195</v>
      </c>
      <c r="G5047" s="77" t="s">
        <v>6298</v>
      </c>
      <c r="H5047" s="14" t="s">
        <v>5601</v>
      </c>
      <c r="I5047" s="14" t="s">
        <v>2458</v>
      </c>
      <c r="J5047" s="33" t="s">
        <v>7110</v>
      </c>
      <c r="K5047" s="33" t="s">
        <v>13402</v>
      </c>
      <c r="L5047" s="53" t="s">
        <v>6054</v>
      </c>
      <c r="M5047" s="68" t="s">
        <v>8913</v>
      </c>
      <c r="N5047" s="53" t="s">
        <v>9836</v>
      </c>
      <c r="O5047" s="53">
        <v>55112</v>
      </c>
      <c r="P5047" s="198" t="s">
        <v>9783</v>
      </c>
    </row>
    <row r="5048" spans="1:16" ht="18.75" hidden="1">
      <c r="A5048" s="50" t="s">
        <v>13414</v>
      </c>
      <c r="B5048" s="50" t="s">
        <v>13300</v>
      </c>
      <c r="C5048" s="50" t="s">
        <v>13319</v>
      </c>
      <c r="D5048" s="12" t="s">
        <v>12736</v>
      </c>
      <c r="E5048" s="12" t="s">
        <v>4971</v>
      </c>
      <c r="F5048" s="49">
        <v>20010</v>
      </c>
      <c r="G5048" s="77" t="s">
        <v>6298</v>
      </c>
      <c r="H5048" s="14" t="s">
        <v>5601</v>
      </c>
      <c r="I5048" s="14" t="s">
        <v>2458</v>
      </c>
      <c r="J5048" s="33" t="s">
        <v>7110</v>
      </c>
      <c r="K5048" s="33" t="s">
        <v>13402</v>
      </c>
      <c r="L5048" s="53" t="s">
        <v>6054</v>
      </c>
      <c r="M5048" s="68" t="s">
        <v>8913</v>
      </c>
      <c r="N5048" s="53" t="s">
        <v>9836</v>
      </c>
      <c r="O5048" s="53">
        <v>55112</v>
      </c>
      <c r="P5048" s="198" t="s">
        <v>12429</v>
      </c>
    </row>
    <row r="5049" spans="1:16" ht="18.75" hidden="1">
      <c r="A5049" s="50" t="s">
        <v>13415</v>
      </c>
      <c r="B5049" s="50" t="s">
        <v>13318</v>
      </c>
      <c r="C5049" s="50" t="s">
        <v>13408</v>
      </c>
      <c r="D5049" s="12" t="s">
        <v>12893</v>
      </c>
      <c r="E5049" s="12" t="s">
        <v>4971</v>
      </c>
      <c r="F5049" s="49">
        <v>291080</v>
      </c>
      <c r="G5049" s="77" t="s">
        <v>6453</v>
      </c>
      <c r="H5049" s="14" t="s">
        <v>5601</v>
      </c>
      <c r="I5049" s="14" t="s">
        <v>2458</v>
      </c>
      <c r="J5049" s="33" t="s">
        <v>7110</v>
      </c>
      <c r="K5049" s="33" t="s">
        <v>13402</v>
      </c>
      <c r="L5049" s="53" t="s">
        <v>6054</v>
      </c>
      <c r="M5049" s="68" t="s">
        <v>8912</v>
      </c>
      <c r="N5049" s="53" t="s">
        <v>6285</v>
      </c>
      <c r="O5049" s="53">
        <v>55200</v>
      </c>
      <c r="P5049" s="198" t="s">
        <v>12673</v>
      </c>
    </row>
    <row r="5050" spans="1:16" ht="18.75" hidden="1">
      <c r="A5050" s="50" t="s">
        <v>13414</v>
      </c>
      <c r="B5050" s="50" t="s">
        <v>13300</v>
      </c>
      <c r="C5050" s="50" t="s">
        <v>13203</v>
      </c>
      <c r="D5050" s="12" t="s">
        <v>12649</v>
      </c>
      <c r="E5050" s="12" t="s">
        <v>4971</v>
      </c>
      <c r="F5050" s="49">
        <v>78510</v>
      </c>
      <c r="G5050" s="77" t="s">
        <v>6298</v>
      </c>
      <c r="H5050" s="14" t="s">
        <v>5601</v>
      </c>
      <c r="I5050" s="14" t="s">
        <v>2458</v>
      </c>
      <c r="J5050" s="33" t="s">
        <v>7110</v>
      </c>
      <c r="K5050" s="33" t="s">
        <v>13402</v>
      </c>
      <c r="L5050" s="53" t="s">
        <v>6054</v>
      </c>
      <c r="M5050" s="68" t="s">
        <v>8913</v>
      </c>
      <c r="N5050" s="53" t="s">
        <v>9836</v>
      </c>
      <c r="O5050" s="53">
        <v>55112</v>
      </c>
      <c r="P5050" s="198" t="s">
        <v>12429</v>
      </c>
    </row>
    <row r="5051" spans="1:16" ht="18.75" hidden="1">
      <c r="A5051" s="50" t="s">
        <v>13415</v>
      </c>
      <c r="B5051" s="50" t="s">
        <v>13318</v>
      </c>
      <c r="C5051" s="50" t="s">
        <v>13416</v>
      </c>
      <c r="D5051" s="12" t="s">
        <v>12893</v>
      </c>
      <c r="E5051" s="12" t="s">
        <v>4971</v>
      </c>
      <c r="F5051" s="49">
        <v>29490</v>
      </c>
      <c r="G5051" s="77" t="s">
        <v>6453</v>
      </c>
      <c r="H5051" s="14" t="s">
        <v>5601</v>
      </c>
      <c r="I5051" s="14" t="s">
        <v>2458</v>
      </c>
      <c r="J5051" s="33" t="s">
        <v>7110</v>
      </c>
      <c r="K5051" s="33" t="s">
        <v>13402</v>
      </c>
      <c r="L5051" s="53" t="s">
        <v>6054</v>
      </c>
      <c r="M5051" s="68" t="s">
        <v>8912</v>
      </c>
      <c r="N5051" s="53" t="s">
        <v>6285</v>
      </c>
      <c r="O5051" s="53">
        <v>55200</v>
      </c>
      <c r="P5051" s="198" t="s">
        <v>12673</v>
      </c>
    </row>
    <row r="5052" spans="1:16" ht="18.75" hidden="1">
      <c r="A5052" s="50" t="s">
        <v>13415</v>
      </c>
      <c r="B5052" s="50" t="s">
        <v>13318</v>
      </c>
      <c r="C5052" s="50" t="s">
        <v>13312</v>
      </c>
      <c r="D5052" s="12" t="s">
        <v>12695</v>
      </c>
      <c r="E5052" s="12" t="s">
        <v>4971</v>
      </c>
      <c r="F5052" s="49">
        <v>174320</v>
      </c>
      <c r="G5052" s="77" t="s">
        <v>6298</v>
      </c>
      <c r="H5052" s="14" t="s">
        <v>5601</v>
      </c>
      <c r="I5052" s="14" t="s">
        <v>2458</v>
      </c>
      <c r="J5052" s="33" t="s">
        <v>7110</v>
      </c>
      <c r="K5052" s="33" t="s">
        <v>13402</v>
      </c>
      <c r="L5052" s="53" t="s">
        <v>6054</v>
      </c>
      <c r="M5052" s="68" t="s">
        <v>8912</v>
      </c>
      <c r="N5052" s="53" t="s">
        <v>6285</v>
      </c>
      <c r="O5052" s="53">
        <v>55200</v>
      </c>
      <c r="P5052" s="198" t="s">
        <v>12429</v>
      </c>
    </row>
    <row r="5053" spans="1:16" ht="18.75" hidden="1">
      <c r="A5053" s="50" t="s">
        <v>13413</v>
      </c>
      <c r="B5053" s="50" t="s">
        <v>13308</v>
      </c>
      <c r="C5053" s="50" t="s">
        <v>13306</v>
      </c>
      <c r="D5053" s="12" t="s">
        <v>9952</v>
      </c>
      <c r="E5053" s="12" t="s">
        <v>4971</v>
      </c>
      <c r="F5053" s="49">
        <v>7425</v>
      </c>
      <c r="G5053" s="77" t="s">
        <v>6298</v>
      </c>
      <c r="H5053" s="14" t="s">
        <v>5601</v>
      </c>
      <c r="I5053" s="14" t="s">
        <v>2458</v>
      </c>
      <c r="J5053" s="33" t="s">
        <v>7110</v>
      </c>
      <c r="K5053" s="33" t="s">
        <v>13402</v>
      </c>
      <c r="L5053" s="53" t="s">
        <v>6054</v>
      </c>
      <c r="M5053" s="68" t="s">
        <v>8913</v>
      </c>
      <c r="N5053" s="53" t="s">
        <v>9836</v>
      </c>
      <c r="O5053" s="53">
        <v>55112</v>
      </c>
      <c r="P5053" s="198" t="s">
        <v>9783</v>
      </c>
    </row>
    <row r="5054" spans="1:16" ht="18.75" hidden="1">
      <c r="A5054" s="50" t="s">
        <v>13417</v>
      </c>
      <c r="B5054" s="50" t="s">
        <v>13318</v>
      </c>
      <c r="C5054" s="50" t="s">
        <v>13301</v>
      </c>
      <c r="D5054" s="12" t="s">
        <v>12878</v>
      </c>
      <c r="E5054" s="12" t="s">
        <v>4971</v>
      </c>
      <c r="F5054" s="49">
        <v>176720</v>
      </c>
      <c r="G5054" s="77" t="s">
        <v>6453</v>
      </c>
      <c r="H5054" s="14" t="s">
        <v>5601</v>
      </c>
      <c r="I5054" s="14" t="s">
        <v>2458</v>
      </c>
      <c r="J5054" s="33" t="s">
        <v>7110</v>
      </c>
      <c r="K5054" s="33" t="s">
        <v>13402</v>
      </c>
      <c r="L5054" s="53" t="s">
        <v>6054</v>
      </c>
      <c r="M5054" s="68" t="s">
        <v>8913</v>
      </c>
      <c r="N5054" s="53" t="s">
        <v>6076</v>
      </c>
      <c r="O5054" s="53">
        <v>55301</v>
      </c>
      <c r="P5054" s="198" t="s">
        <v>12673</v>
      </c>
    </row>
    <row r="5055" spans="1:16" ht="18.75" hidden="1">
      <c r="A5055" s="50" t="s">
        <v>13417</v>
      </c>
      <c r="B5055" s="50" t="s">
        <v>13318</v>
      </c>
      <c r="C5055" s="50" t="s">
        <v>13312</v>
      </c>
      <c r="D5055" s="12" t="s">
        <v>12695</v>
      </c>
      <c r="E5055" s="12" t="s">
        <v>4971</v>
      </c>
      <c r="F5055" s="49">
        <v>212590</v>
      </c>
      <c r="G5055" s="77" t="s">
        <v>6298</v>
      </c>
      <c r="H5055" s="14" t="s">
        <v>5601</v>
      </c>
      <c r="I5055" s="14" t="s">
        <v>2458</v>
      </c>
      <c r="J5055" s="33" t="s">
        <v>7110</v>
      </c>
      <c r="K5055" s="33" t="s">
        <v>13402</v>
      </c>
      <c r="L5055" s="53" t="s">
        <v>6054</v>
      </c>
      <c r="M5055" s="68" t="s">
        <v>8913</v>
      </c>
      <c r="N5055" s="53" t="s">
        <v>6076</v>
      </c>
      <c r="O5055" s="53">
        <v>55301</v>
      </c>
      <c r="P5055" s="198" t="s">
        <v>12429</v>
      </c>
    </row>
    <row r="5056" spans="1:16" ht="18.75" hidden="1">
      <c r="A5056" s="50" t="s">
        <v>13417</v>
      </c>
      <c r="B5056" s="50" t="s">
        <v>13318</v>
      </c>
      <c r="C5056" s="50" t="s">
        <v>13191</v>
      </c>
      <c r="D5056" s="12" t="s">
        <v>12880</v>
      </c>
      <c r="E5056" s="12" t="s">
        <v>4971</v>
      </c>
      <c r="F5056" s="49">
        <v>91400</v>
      </c>
      <c r="G5056" s="77" t="s">
        <v>12608</v>
      </c>
      <c r="H5056" s="14" t="s">
        <v>5601</v>
      </c>
      <c r="I5056" s="14" t="s">
        <v>2458</v>
      </c>
      <c r="J5056" s="33" t="s">
        <v>7110</v>
      </c>
      <c r="K5056" s="33" t="s">
        <v>13402</v>
      </c>
      <c r="L5056" s="53" t="s">
        <v>6054</v>
      </c>
      <c r="M5056" s="68" t="s">
        <v>8913</v>
      </c>
      <c r="N5056" s="53" t="s">
        <v>6076</v>
      </c>
      <c r="O5056" s="53">
        <v>55301</v>
      </c>
      <c r="P5056" s="198" t="s">
        <v>12677</v>
      </c>
    </row>
    <row r="5057" spans="1:16" ht="18.75" hidden="1">
      <c r="A5057" s="50" t="s">
        <v>13417</v>
      </c>
      <c r="B5057" s="50" t="s">
        <v>13318</v>
      </c>
      <c r="C5057" s="50" t="s">
        <v>13319</v>
      </c>
      <c r="D5057" s="12" t="s">
        <v>12736</v>
      </c>
      <c r="E5057" s="12" t="s">
        <v>4971</v>
      </c>
      <c r="F5057" s="49">
        <v>55950</v>
      </c>
      <c r="G5057" s="77" t="s">
        <v>6298</v>
      </c>
      <c r="H5057" s="14" t="s">
        <v>5601</v>
      </c>
      <c r="I5057" s="14" t="s">
        <v>2458</v>
      </c>
      <c r="J5057" s="33" t="s">
        <v>7110</v>
      </c>
      <c r="K5057" s="33" t="s">
        <v>13402</v>
      </c>
      <c r="L5057" s="53" t="s">
        <v>6054</v>
      </c>
      <c r="M5057" s="68" t="s">
        <v>8913</v>
      </c>
      <c r="N5057" s="53" t="s">
        <v>6076</v>
      </c>
      <c r="O5057" s="53">
        <v>55301</v>
      </c>
      <c r="P5057" s="198" t="s">
        <v>12429</v>
      </c>
    </row>
    <row r="5058" spans="1:16" ht="18.75" hidden="1">
      <c r="A5058" s="50" t="s">
        <v>13417</v>
      </c>
      <c r="B5058" s="50" t="s">
        <v>13318</v>
      </c>
      <c r="C5058" s="50" t="s">
        <v>13416</v>
      </c>
      <c r="D5058" s="12" t="s">
        <v>12893</v>
      </c>
      <c r="E5058" s="12" t="s">
        <v>4971</v>
      </c>
      <c r="F5058" s="49">
        <v>400510</v>
      </c>
      <c r="G5058" s="77" t="s">
        <v>6453</v>
      </c>
      <c r="H5058" s="14" t="s">
        <v>5601</v>
      </c>
      <c r="I5058" s="14" t="s">
        <v>2458</v>
      </c>
      <c r="J5058" s="33" t="s">
        <v>7110</v>
      </c>
      <c r="K5058" s="33" t="s">
        <v>13402</v>
      </c>
      <c r="L5058" s="53" t="s">
        <v>6054</v>
      </c>
      <c r="M5058" s="68" t="s">
        <v>8913</v>
      </c>
      <c r="N5058" s="53" t="s">
        <v>6076</v>
      </c>
      <c r="O5058" s="53">
        <v>55301</v>
      </c>
      <c r="P5058" s="198" t="s">
        <v>12673</v>
      </c>
    </row>
    <row r="5059" spans="1:16" ht="18.75" hidden="1">
      <c r="A5059" s="50" t="s">
        <v>13418</v>
      </c>
      <c r="B5059" s="50" t="s">
        <v>13318</v>
      </c>
      <c r="C5059" s="50" t="s">
        <v>13312</v>
      </c>
      <c r="D5059" s="12" t="s">
        <v>12695</v>
      </c>
      <c r="E5059" s="12" t="s">
        <v>4971</v>
      </c>
      <c r="F5059" s="49">
        <v>212130</v>
      </c>
      <c r="G5059" s="77" t="s">
        <v>6298</v>
      </c>
      <c r="H5059" s="14" t="s">
        <v>5601</v>
      </c>
      <c r="I5059" s="14" t="s">
        <v>2458</v>
      </c>
      <c r="J5059" s="33" t="s">
        <v>7110</v>
      </c>
      <c r="K5059" s="33" t="s">
        <v>13402</v>
      </c>
      <c r="L5059" s="53" t="s">
        <v>6054</v>
      </c>
      <c r="M5059" s="68" t="s">
        <v>8912</v>
      </c>
      <c r="N5059" s="53" t="s">
        <v>6076</v>
      </c>
      <c r="O5059" s="53">
        <v>55301</v>
      </c>
      <c r="P5059" s="198" t="s">
        <v>12429</v>
      </c>
    </row>
    <row r="5060" spans="1:16" ht="18.75" hidden="1">
      <c r="A5060" s="50" t="s">
        <v>13418</v>
      </c>
      <c r="B5060" s="50" t="s">
        <v>13318</v>
      </c>
      <c r="C5060" s="50" t="s">
        <v>13191</v>
      </c>
      <c r="D5060" s="12" t="s">
        <v>12880</v>
      </c>
      <c r="E5060" s="12" t="s">
        <v>4971</v>
      </c>
      <c r="F5060" s="49">
        <v>20430</v>
      </c>
      <c r="G5060" s="77" t="s">
        <v>12608</v>
      </c>
      <c r="H5060" s="14" t="s">
        <v>5601</v>
      </c>
      <c r="I5060" s="14" t="s">
        <v>2458</v>
      </c>
      <c r="J5060" s="33" t="s">
        <v>7110</v>
      </c>
      <c r="K5060" s="33" t="s">
        <v>13402</v>
      </c>
      <c r="L5060" s="53" t="s">
        <v>6054</v>
      </c>
      <c r="M5060" s="68" t="s">
        <v>8912</v>
      </c>
      <c r="N5060" s="53" t="s">
        <v>6076</v>
      </c>
      <c r="O5060" s="53">
        <v>55301</v>
      </c>
      <c r="P5060" s="198" t="s">
        <v>12677</v>
      </c>
    </row>
    <row r="5061" spans="1:16" ht="18.75" hidden="1">
      <c r="A5061" s="50" t="s">
        <v>13419</v>
      </c>
      <c r="B5061" s="50" t="s">
        <v>13321</v>
      </c>
      <c r="C5061" s="50" t="s">
        <v>13209</v>
      </c>
      <c r="D5061" s="12" t="s">
        <v>9985</v>
      </c>
      <c r="E5061" s="12" t="s">
        <v>4971</v>
      </c>
      <c r="F5061" s="49">
        <v>401660</v>
      </c>
      <c r="G5061" s="77" t="s">
        <v>6298</v>
      </c>
      <c r="H5061" s="14" t="s">
        <v>5601</v>
      </c>
      <c r="I5061" s="14" t="s">
        <v>2458</v>
      </c>
      <c r="J5061" s="33" t="s">
        <v>7110</v>
      </c>
      <c r="K5061" s="33" t="s">
        <v>13402</v>
      </c>
      <c r="L5061" s="53" t="s">
        <v>6054</v>
      </c>
      <c r="M5061" s="68" t="s">
        <v>8913</v>
      </c>
      <c r="N5061" s="53" t="s">
        <v>9836</v>
      </c>
      <c r="O5061" s="53">
        <v>55112</v>
      </c>
      <c r="P5061" s="198" t="s">
        <v>9783</v>
      </c>
    </row>
    <row r="5062" spans="1:16" ht="18.75" hidden="1">
      <c r="A5062" s="50" t="s">
        <v>13409</v>
      </c>
      <c r="B5062" s="50" t="s">
        <v>13303</v>
      </c>
      <c r="C5062" s="50" t="s">
        <v>13329</v>
      </c>
      <c r="D5062" s="12" t="s">
        <v>9835</v>
      </c>
      <c r="E5062" s="12" t="s">
        <v>4971</v>
      </c>
      <c r="F5062" s="49">
        <v>49640</v>
      </c>
      <c r="G5062" s="77" t="s">
        <v>6298</v>
      </c>
      <c r="H5062" s="14" t="s">
        <v>5601</v>
      </c>
      <c r="I5062" s="14" t="s">
        <v>2458</v>
      </c>
      <c r="J5062" s="33" t="s">
        <v>7110</v>
      </c>
      <c r="K5062" s="33" t="s">
        <v>13402</v>
      </c>
      <c r="L5062" s="53" t="s">
        <v>6054</v>
      </c>
      <c r="M5062" s="68" t="s">
        <v>8913</v>
      </c>
      <c r="N5062" s="53" t="s">
        <v>6076</v>
      </c>
      <c r="O5062" s="53">
        <v>55301</v>
      </c>
      <c r="P5062" s="198" t="s">
        <v>9783</v>
      </c>
    </row>
    <row r="5063" spans="1:16" ht="18.75" hidden="1">
      <c r="A5063" s="50" t="s">
        <v>13418</v>
      </c>
      <c r="B5063" s="50" t="s">
        <v>13318</v>
      </c>
      <c r="C5063" s="50" t="s">
        <v>13411</v>
      </c>
      <c r="D5063" s="12" t="s">
        <v>13189</v>
      </c>
      <c r="E5063" s="12" t="s">
        <v>4971</v>
      </c>
      <c r="F5063" s="49">
        <v>30610</v>
      </c>
      <c r="G5063" s="77" t="s">
        <v>12608</v>
      </c>
      <c r="H5063" s="14" t="s">
        <v>5601</v>
      </c>
      <c r="I5063" s="14" t="s">
        <v>2458</v>
      </c>
      <c r="J5063" s="33" t="s">
        <v>7110</v>
      </c>
      <c r="K5063" s="33" t="s">
        <v>13402</v>
      </c>
      <c r="L5063" s="53" t="s">
        <v>6054</v>
      </c>
      <c r="M5063" s="68" t="s">
        <v>8912</v>
      </c>
      <c r="N5063" s="53" t="s">
        <v>6076</v>
      </c>
      <c r="O5063" s="53">
        <v>55301</v>
      </c>
      <c r="P5063" s="198" t="s">
        <v>12939</v>
      </c>
    </row>
    <row r="5064" spans="1:16" ht="18.75" hidden="1">
      <c r="A5064" s="50" t="s">
        <v>13418</v>
      </c>
      <c r="B5064" s="50" t="s">
        <v>13318</v>
      </c>
      <c r="C5064" s="50" t="s">
        <v>13420</v>
      </c>
      <c r="D5064" s="12" t="s">
        <v>12893</v>
      </c>
      <c r="E5064" s="12" t="s">
        <v>4971</v>
      </c>
      <c r="F5064" s="49">
        <v>92000</v>
      </c>
      <c r="G5064" s="77" t="s">
        <v>12608</v>
      </c>
      <c r="H5064" s="14" t="s">
        <v>5601</v>
      </c>
      <c r="I5064" s="14" t="s">
        <v>2458</v>
      </c>
      <c r="J5064" s="33" t="s">
        <v>7110</v>
      </c>
      <c r="K5064" s="33" t="s">
        <v>13402</v>
      </c>
      <c r="L5064" s="53" t="s">
        <v>6054</v>
      </c>
      <c r="M5064" s="68" t="s">
        <v>8912</v>
      </c>
      <c r="N5064" s="53" t="s">
        <v>6076</v>
      </c>
      <c r="O5064" s="53">
        <v>55301</v>
      </c>
      <c r="P5064" s="198" t="s">
        <v>12939</v>
      </c>
    </row>
    <row r="5065" spans="1:16" ht="18.75" hidden="1">
      <c r="A5065" s="50" t="str">
        <f>"15100-569355"</f>
        <v>15100-569355</v>
      </c>
      <c r="B5065" s="50" t="str">
        <f>"97/01/27"</f>
        <v>97/01/27</v>
      </c>
      <c r="C5065" s="50" t="s">
        <v>13421</v>
      </c>
      <c r="D5065" s="12" t="s">
        <v>13343</v>
      </c>
      <c r="E5065" s="12" t="s">
        <v>13333</v>
      </c>
      <c r="F5065" s="49">
        <v>87560</v>
      </c>
      <c r="G5065" s="77" t="str">
        <f>"SHINING GREEN STAR FZE"</f>
        <v>SHINING GREEN STAR FZE</v>
      </c>
      <c r="H5065" s="14" t="s">
        <v>5601</v>
      </c>
      <c r="I5065" s="14" t="s">
        <v>2458</v>
      </c>
      <c r="J5065" s="33" t="e">
        <f>VLOOKUP(C5065,شرکتها!A:B,2,FALSE)</f>
        <v>#N/A</v>
      </c>
      <c r="K5065" s="33" t="s">
        <v>13422</v>
      </c>
      <c r="L5065" s="53" t="str">
        <f t="shared" ref="L5065:L5128" si="133">"پاکستان"</f>
        <v>پاکستان</v>
      </c>
      <c r="M5065" s="68" t="str">
        <f>"فله"</f>
        <v>فله</v>
      </c>
      <c r="N5065" s="53" t="str">
        <f>"پيشين"</f>
        <v>پيشين</v>
      </c>
      <c r="O5065" s="53">
        <v>55301</v>
      </c>
      <c r="P5065" s="198" t="str">
        <f>"1396548703001"</f>
        <v>1396548703001</v>
      </c>
    </row>
    <row r="5066" spans="1:16" ht="18.75" hidden="1">
      <c r="A5066" s="50" t="str">
        <f>"15100-569409"</f>
        <v>15100-569409</v>
      </c>
      <c r="B5066" s="50" t="str">
        <f>"97/01/27"</f>
        <v>97/01/27</v>
      </c>
      <c r="C5066" s="50" t="s">
        <v>13423</v>
      </c>
      <c r="D5066" s="12" t="s">
        <v>12898</v>
      </c>
      <c r="E5066" s="12" t="s">
        <v>4971</v>
      </c>
      <c r="F5066" s="49">
        <v>158650</v>
      </c>
      <c r="G5066" s="77" t="str">
        <f>"LLC Sebco Bitumen"</f>
        <v>LLC Sebco Bitumen</v>
      </c>
      <c r="H5066" s="14" t="s">
        <v>5601</v>
      </c>
      <c r="I5066" s="14" t="s">
        <v>2458</v>
      </c>
      <c r="J5066" s="33" t="s">
        <v>7110</v>
      </c>
      <c r="K5066" s="33" t="s">
        <v>13422</v>
      </c>
      <c r="L5066" s="53" t="str">
        <f t="shared" si="133"/>
        <v>پاکستان</v>
      </c>
      <c r="M5066" s="68" t="str">
        <f>"بشكه"</f>
        <v>بشكه</v>
      </c>
      <c r="N5066" s="53" t="str">
        <f>"پيشين"</f>
        <v>پيشين</v>
      </c>
      <c r="O5066" s="53">
        <v>55301</v>
      </c>
      <c r="P5066" s="198" t="str">
        <f>"1396548704001"</f>
        <v>1396548704001</v>
      </c>
    </row>
    <row r="5067" spans="1:16" ht="18.75" hidden="1">
      <c r="A5067" s="50" t="str">
        <f>"15100-570670"</f>
        <v>15100-570670</v>
      </c>
      <c r="B5067" s="50" t="str">
        <f>"97/01/29"</f>
        <v>97/01/29</v>
      </c>
      <c r="C5067" s="50" t="s">
        <v>13424</v>
      </c>
      <c r="D5067" s="12" t="s">
        <v>12944</v>
      </c>
      <c r="E5067" s="12" t="s">
        <v>4971</v>
      </c>
      <c r="F5067" s="49">
        <v>73500</v>
      </c>
      <c r="G5067" s="77" t="str">
        <f>"DAXON PETROLEUM"</f>
        <v>DAXON PETROLEUM</v>
      </c>
      <c r="H5067" s="14" t="s">
        <v>5601</v>
      </c>
      <c r="I5067" s="14" t="s">
        <v>2458</v>
      </c>
      <c r="J5067" s="33" t="s">
        <v>7110</v>
      </c>
      <c r="K5067" s="33" t="s">
        <v>13422</v>
      </c>
      <c r="L5067" s="53" t="str">
        <f t="shared" si="133"/>
        <v>پاکستان</v>
      </c>
      <c r="M5067" s="68" t="str">
        <f>"فله"</f>
        <v>فله</v>
      </c>
      <c r="N5067" s="53" t="str">
        <f>"پيشين"</f>
        <v>پيشين</v>
      </c>
      <c r="O5067" s="53">
        <v>55301</v>
      </c>
      <c r="P5067" s="198" t="str">
        <f>"1396538726001"</f>
        <v>1396538726001</v>
      </c>
    </row>
    <row r="5068" spans="1:16" ht="18.75" hidden="1">
      <c r="A5068" s="50" t="str">
        <f>"15100-570670"</f>
        <v>15100-570670</v>
      </c>
      <c r="B5068" s="50" t="str">
        <f>"97/01/29"</f>
        <v>97/01/29</v>
      </c>
      <c r="C5068" s="50" t="s">
        <v>13425</v>
      </c>
      <c r="D5068" s="12" t="s">
        <v>12944</v>
      </c>
      <c r="E5068" s="12" t="s">
        <v>4971</v>
      </c>
      <c r="F5068" s="49">
        <v>15200</v>
      </c>
      <c r="G5068" s="77" t="str">
        <f>"LLC Sebco Bitumen"</f>
        <v>LLC Sebco Bitumen</v>
      </c>
      <c r="H5068" s="14" t="s">
        <v>5601</v>
      </c>
      <c r="I5068" s="14" t="s">
        <v>2458</v>
      </c>
      <c r="J5068" s="33" t="s">
        <v>7110</v>
      </c>
      <c r="K5068" s="33" t="s">
        <v>13422</v>
      </c>
      <c r="L5068" s="53" t="str">
        <f t="shared" si="133"/>
        <v>پاکستان</v>
      </c>
      <c r="M5068" s="68" t="str">
        <f>"فله"</f>
        <v>فله</v>
      </c>
      <c r="N5068" s="53" t="str">
        <f>"پيشين"</f>
        <v>پيشين</v>
      </c>
      <c r="O5068" s="53">
        <v>55301</v>
      </c>
      <c r="P5068" s="198" t="str">
        <f>"1396546618001"</f>
        <v>1396546618001</v>
      </c>
    </row>
    <row r="5069" spans="1:16" ht="18.75" hidden="1">
      <c r="A5069" s="50" t="str">
        <f>"15100-570670"</f>
        <v>15100-570670</v>
      </c>
      <c r="B5069" s="50" t="str">
        <f>"97/01/29"</f>
        <v>97/01/29</v>
      </c>
      <c r="C5069" s="50" t="s">
        <v>13426</v>
      </c>
      <c r="D5069" s="12" t="s">
        <v>13308</v>
      </c>
      <c r="E5069" s="12" t="s">
        <v>13333</v>
      </c>
      <c r="F5069" s="49">
        <v>44480</v>
      </c>
      <c r="G5069" s="77" t="str">
        <f>"West Asia Sun LLC"</f>
        <v>West Asia Sun LLC</v>
      </c>
      <c r="H5069" s="14" t="s">
        <v>5601</v>
      </c>
      <c r="I5069" s="14" t="s">
        <v>2458</v>
      </c>
      <c r="J5069" s="33" t="s">
        <v>7110</v>
      </c>
      <c r="K5069" s="33" t="s">
        <v>13422</v>
      </c>
      <c r="L5069" s="53" t="str">
        <f t="shared" si="133"/>
        <v>پاکستان</v>
      </c>
      <c r="M5069" s="68" t="str">
        <f>"فله"</f>
        <v>فله</v>
      </c>
      <c r="N5069" s="53" t="str">
        <f>"پيشين"</f>
        <v>پيشين</v>
      </c>
      <c r="O5069" s="53">
        <v>55301</v>
      </c>
      <c r="P5069" s="198" t="str">
        <f>"1396548706001"</f>
        <v>1396548706001</v>
      </c>
    </row>
    <row r="5070" spans="1:16" ht="18.75" hidden="1">
      <c r="A5070" s="50" t="str">
        <f>"15100-569382"</f>
        <v>15100-569382</v>
      </c>
      <c r="B5070" s="50" t="str">
        <f>"97/01/27"</f>
        <v>97/01/27</v>
      </c>
      <c r="C5070" s="50" t="s">
        <v>13427</v>
      </c>
      <c r="D5070" s="12" t="s">
        <v>12662</v>
      </c>
      <c r="E5070" s="12" t="s">
        <v>4971</v>
      </c>
      <c r="F5070" s="49">
        <v>4480</v>
      </c>
      <c r="G5070" s="77" t="str">
        <f>"HERAT GHORBAND CONSTRUCTION COMPANY"</f>
        <v>HERAT GHORBAND CONSTRUCTION COMPANY</v>
      </c>
      <c r="H5070" s="14" t="s">
        <v>5601</v>
      </c>
      <c r="I5070" s="14" t="s">
        <v>2458</v>
      </c>
      <c r="J5070" s="33" t="s">
        <v>7110</v>
      </c>
      <c r="K5070" s="33" t="s">
        <v>13422</v>
      </c>
      <c r="L5070" s="53" t="str">
        <f t="shared" si="133"/>
        <v>پاکستان</v>
      </c>
      <c r="M5070" s="68" t="str">
        <f>"فله"</f>
        <v>فله</v>
      </c>
      <c r="N5070" s="53" t="str">
        <f>"تفتان (ميرجاوه)"</f>
        <v>تفتان (ميرجاوه)</v>
      </c>
      <c r="O5070" s="53">
        <v>55200</v>
      </c>
      <c r="P5070" s="198" t="str">
        <f>"1396534629001"</f>
        <v>1396534629001</v>
      </c>
    </row>
    <row r="5071" spans="1:16" ht="18.75" hidden="1">
      <c r="A5071" s="50" t="str">
        <f>"15100-569409"</f>
        <v>15100-569409</v>
      </c>
      <c r="B5071" s="50" t="str">
        <f>"97/01/27"</f>
        <v>97/01/27</v>
      </c>
      <c r="C5071" s="50" t="s">
        <v>13428</v>
      </c>
      <c r="D5071" s="12" t="s">
        <v>13184</v>
      </c>
      <c r="E5071" s="12" t="s">
        <v>13333</v>
      </c>
      <c r="F5071" s="49">
        <v>70175</v>
      </c>
      <c r="G5071" s="77" t="str">
        <f>"SHINING GREEN STAR FZE"</f>
        <v>SHINING GREEN STAR FZE</v>
      </c>
      <c r="H5071" s="14" t="s">
        <v>5601</v>
      </c>
      <c r="I5071" s="14" t="s">
        <v>2458</v>
      </c>
      <c r="J5071" s="33" t="e">
        <f>VLOOKUP(C5071,شرکتها!A:B,2,FALSE)</f>
        <v>#N/A</v>
      </c>
      <c r="K5071" s="33" t="s">
        <v>13422</v>
      </c>
      <c r="L5071" s="53" t="str">
        <f t="shared" si="133"/>
        <v>پاکستان</v>
      </c>
      <c r="M5071" s="68" t="str">
        <f>"بشكه"</f>
        <v>بشكه</v>
      </c>
      <c r="N5071" s="53" t="str">
        <f>"پيشين"</f>
        <v>پيشين</v>
      </c>
      <c r="O5071" s="53">
        <v>55301</v>
      </c>
      <c r="P5071" s="198" t="str">
        <f>"1396548703001"</f>
        <v>1396548703001</v>
      </c>
    </row>
    <row r="5072" spans="1:16" ht="18.75" hidden="1">
      <c r="A5072" s="50" t="str">
        <f>"15100-569409"</f>
        <v>15100-569409</v>
      </c>
      <c r="B5072" s="50" t="str">
        <f>"97/01/27"</f>
        <v>97/01/27</v>
      </c>
      <c r="C5072" s="50" t="s">
        <v>13429</v>
      </c>
      <c r="D5072" s="12" t="s">
        <v>13184</v>
      </c>
      <c r="E5072" s="12" t="s">
        <v>13333</v>
      </c>
      <c r="F5072" s="49">
        <v>116055</v>
      </c>
      <c r="G5072" s="77" t="str">
        <f>"West Asia Sun LLC"</f>
        <v>West Asia Sun LLC</v>
      </c>
      <c r="H5072" s="14" t="s">
        <v>5601</v>
      </c>
      <c r="I5072" s="14" t="s">
        <v>2458</v>
      </c>
      <c r="J5072" s="33" t="s">
        <v>7110</v>
      </c>
      <c r="K5072" s="33" t="s">
        <v>13422</v>
      </c>
      <c r="L5072" s="53" t="str">
        <f t="shared" si="133"/>
        <v>پاکستان</v>
      </c>
      <c r="M5072" s="68" t="str">
        <f>"بشكه"</f>
        <v>بشكه</v>
      </c>
      <c r="N5072" s="53" t="str">
        <f>"پيشين"</f>
        <v>پيشين</v>
      </c>
      <c r="O5072" s="53">
        <v>55301</v>
      </c>
      <c r="P5072" s="198" t="str">
        <f>"1396548706001"</f>
        <v>1396548706001</v>
      </c>
    </row>
    <row r="5073" spans="1:16" ht="18.75" hidden="1">
      <c r="A5073" s="50" t="str">
        <f>"15100-569409"</f>
        <v>15100-569409</v>
      </c>
      <c r="B5073" s="50" t="str">
        <f>"97/01/27"</f>
        <v>97/01/27</v>
      </c>
      <c r="C5073" s="50" t="s">
        <v>13430</v>
      </c>
      <c r="D5073" s="12" t="s">
        <v>13266</v>
      </c>
      <c r="E5073" s="12" t="s">
        <v>13333</v>
      </c>
      <c r="F5073" s="49">
        <v>23210</v>
      </c>
      <c r="G5073" s="77" t="str">
        <f>"Black Gold Traders FZE"</f>
        <v>Black Gold Traders FZE</v>
      </c>
      <c r="H5073" s="14" t="s">
        <v>5601</v>
      </c>
      <c r="I5073" s="14" t="s">
        <v>2458</v>
      </c>
      <c r="J5073" s="33" t="s">
        <v>7110</v>
      </c>
      <c r="K5073" s="33" t="s">
        <v>13422</v>
      </c>
      <c r="L5073" s="53" t="str">
        <f t="shared" si="133"/>
        <v>پاکستان</v>
      </c>
      <c r="M5073" s="68" t="str">
        <f>"بشكه"</f>
        <v>بشكه</v>
      </c>
      <c r="N5073" s="53" t="str">
        <f>"پيشين"</f>
        <v>پيشين</v>
      </c>
      <c r="O5073" s="53">
        <v>55301</v>
      </c>
      <c r="P5073" s="198" t="str">
        <f>"1396529909001"</f>
        <v>1396529909001</v>
      </c>
    </row>
    <row r="5074" spans="1:16" ht="18.75" hidden="1">
      <c r="A5074" s="50" t="str">
        <f>"15100-570670"</f>
        <v>15100-570670</v>
      </c>
      <c r="B5074" s="50" t="str">
        <f>"97/01/29"</f>
        <v>97/01/29</v>
      </c>
      <c r="C5074" s="50" t="s">
        <v>13431</v>
      </c>
      <c r="D5074" s="12" t="s">
        <v>13266</v>
      </c>
      <c r="E5074" s="12" t="s">
        <v>13333</v>
      </c>
      <c r="F5074" s="49">
        <v>128820</v>
      </c>
      <c r="G5074" s="77" t="str">
        <f>"SHINING GREEN STAR FZE"</f>
        <v>SHINING GREEN STAR FZE</v>
      </c>
      <c r="H5074" s="14" t="s">
        <v>5601</v>
      </c>
      <c r="I5074" s="14" t="s">
        <v>2458</v>
      </c>
      <c r="J5074" s="33" t="e">
        <f>VLOOKUP(C5074,شرکتها!A:B,2,FALSE)</f>
        <v>#N/A</v>
      </c>
      <c r="K5074" s="33" t="s">
        <v>13422</v>
      </c>
      <c r="L5074" s="53" t="str">
        <f t="shared" si="133"/>
        <v>پاکستان</v>
      </c>
      <c r="M5074" s="68" t="str">
        <f>"فله"</f>
        <v>فله</v>
      </c>
      <c r="N5074" s="53" t="str">
        <f>"پيشين"</f>
        <v>پيشين</v>
      </c>
      <c r="O5074" s="53">
        <v>55301</v>
      </c>
      <c r="P5074" s="198" t="str">
        <f>"1396548703001"</f>
        <v>1396548703001</v>
      </c>
    </row>
    <row r="5075" spans="1:16" ht="18.75" hidden="1">
      <c r="A5075" s="50" t="str">
        <f>"15100-569382"</f>
        <v>15100-569382</v>
      </c>
      <c r="B5075" s="50" t="str">
        <f>"97/01/27"</f>
        <v>97/01/27</v>
      </c>
      <c r="C5075" s="50" t="s">
        <v>13432</v>
      </c>
      <c r="D5075" s="12" t="s">
        <v>12898</v>
      </c>
      <c r="E5075" s="12" t="s">
        <v>4971</v>
      </c>
      <c r="F5075" s="49">
        <v>135000</v>
      </c>
      <c r="G5075" s="77" t="str">
        <f>"HERAT GHORBAND CONSTRUCTION COMPANY"</f>
        <v>HERAT GHORBAND CONSTRUCTION COMPANY</v>
      </c>
      <c r="H5075" s="14" t="s">
        <v>5601</v>
      </c>
      <c r="I5075" s="14" t="s">
        <v>2458</v>
      </c>
      <c r="J5075" s="33" t="s">
        <v>7110</v>
      </c>
      <c r="K5075" s="33" t="s">
        <v>13422</v>
      </c>
      <c r="L5075" s="53" t="str">
        <f t="shared" si="133"/>
        <v>پاکستان</v>
      </c>
      <c r="M5075" s="68" t="str">
        <f>"فله"</f>
        <v>فله</v>
      </c>
      <c r="N5075" s="53" t="str">
        <f>"تفتان (ميرجاوه)"</f>
        <v>تفتان (ميرجاوه)</v>
      </c>
      <c r="O5075" s="53">
        <v>55200</v>
      </c>
      <c r="P5075" s="198" t="str">
        <f>"1396548701001"</f>
        <v>1396548701001</v>
      </c>
    </row>
    <row r="5076" spans="1:16" ht="18.75" hidden="1">
      <c r="A5076" s="50" t="str">
        <f>"15100-569382"</f>
        <v>15100-569382</v>
      </c>
      <c r="B5076" s="50" t="str">
        <f>"97/01/27"</f>
        <v>97/01/27</v>
      </c>
      <c r="C5076" s="50" t="s">
        <v>13433</v>
      </c>
      <c r="D5076" s="12" t="s">
        <v>12964</v>
      </c>
      <c r="E5076" s="12" t="s">
        <v>4971</v>
      </c>
      <c r="F5076" s="49">
        <v>56180</v>
      </c>
      <c r="G5076" s="77" t="str">
        <f>"HERAT GHORBAND CONSTRUCTION COMPANY"</f>
        <v>HERAT GHORBAND CONSTRUCTION COMPANY</v>
      </c>
      <c r="H5076" s="14" t="s">
        <v>5601</v>
      </c>
      <c r="I5076" s="14" t="s">
        <v>2458</v>
      </c>
      <c r="J5076" s="33" t="s">
        <v>7110</v>
      </c>
      <c r="K5076" s="33" t="s">
        <v>13422</v>
      </c>
      <c r="L5076" s="53" t="str">
        <f t="shared" si="133"/>
        <v>پاکستان</v>
      </c>
      <c r="M5076" s="68" t="str">
        <f>"فله"</f>
        <v>فله</v>
      </c>
      <c r="N5076" s="53" t="str">
        <f>"تفتان (ميرجاوه)"</f>
        <v>تفتان (ميرجاوه)</v>
      </c>
      <c r="O5076" s="53">
        <v>55200</v>
      </c>
      <c r="P5076" s="198" t="str">
        <f>"1396548701001"</f>
        <v>1396548701001</v>
      </c>
    </row>
    <row r="5077" spans="1:16" ht="18.75" hidden="1">
      <c r="A5077" s="50" t="str">
        <f>"15100-570079"</f>
        <v>15100-570079</v>
      </c>
      <c r="B5077" s="50" t="str">
        <f>"97/01/28"</f>
        <v>97/01/28</v>
      </c>
      <c r="C5077" s="50" t="s">
        <v>13423</v>
      </c>
      <c r="D5077" s="12" t="s">
        <v>12898</v>
      </c>
      <c r="E5077" s="12" t="s">
        <v>4971</v>
      </c>
      <c r="F5077" s="49">
        <v>88175</v>
      </c>
      <c r="G5077" s="77" t="str">
        <f>"LLC Sebco Bitumen"</f>
        <v>LLC Sebco Bitumen</v>
      </c>
      <c r="H5077" s="14" t="s">
        <v>5601</v>
      </c>
      <c r="I5077" s="14" t="s">
        <v>2458</v>
      </c>
      <c r="J5077" s="33" t="s">
        <v>7110</v>
      </c>
      <c r="K5077" s="33" t="s">
        <v>13422</v>
      </c>
      <c r="L5077" s="53" t="str">
        <f t="shared" si="133"/>
        <v>پاکستان</v>
      </c>
      <c r="M5077" s="68" t="str">
        <f>"فله"</f>
        <v>فله</v>
      </c>
      <c r="N5077" s="53" t="str">
        <f>"پيشين"</f>
        <v>پيشين</v>
      </c>
      <c r="O5077" s="53">
        <v>55301</v>
      </c>
      <c r="P5077" s="198" t="str">
        <f>"1396548704001"</f>
        <v>1396548704001</v>
      </c>
    </row>
    <row r="5078" spans="1:16" ht="18.75" hidden="1">
      <c r="A5078" s="50" t="str">
        <f>"15100-569382"</f>
        <v>15100-569382</v>
      </c>
      <c r="B5078" s="50" t="str">
        <f>"97/01/27"</f>
        <v>97/01/27</v>
      </c>
      <c r="C5078" s="50" t="s">
        <v>13434</v>
      </c>
      <c r="D5078" s="12" t="s">
        <v>13343</v>
      </c>
      <c r="E5078" s="12" t="s">
        <v>13333</v>
      </c>
      <c r="F5078" s="49">
        <v>43260</v>
      </c>
      <c r="G5078" s="77" t="str">
        <f>"PETRO FOLIO"</f>
        <v>PETRO FOLIO</v>
      </c>
      <c r="H5078" s="14" t="s">
        <v>5601</v>
      </c>
      <c r="I5078" s="14" t="s">
        <v>2458</v>
      </c>
      <c r="J5078" s="33" t="s">
        <v>7110</v>
      </c>
      <c r="K5078" s="33" t="s">
        <v>13422</v>
      </c>
      <c r="L5078" s="53" t="str">
        <f t="shared" si="133"/>
        <v>پاکستان</v>
      </c>
      <c r="M5078" s="68" t="str">
        <f>"فله"</f>
        <v>فله</v>
      </c>
      <c r="N5078" s="53" t="str">
        <f>"تفتان (ميرجاوه)"</f>
        <v>تفتان (ميرجاوه)</v>
      </c>
      <c r="O5078" s="53">
        <v>55200</v>
      </c>
      <c r="P5078" s="198" t="str">
        <f>"1396552140001"</f>
        <v>1396552140001</v>
      </c>
    </row>
    <row r="5079" spans="1:16" ht="18.75" hidden="1">
      <c r="A5079" s="50" t="str">
        <f>"15100-570115"</f>
        <v>15100-570115</v>
      </c>
      <c r="B5079" s="50" t="str">
        <f>"97/01/28"</f>
        <v>97/01/28</v>
      </c>
      <c r="C5079" s="50" t="s">
        <v>13435</v>
      </c>
      <c r="D5079" s="12" t="s">
        <v>12765</v>
      </c>
      <c r="E5079" s="12" t="s">
        <v>4971</v>
      </c>
      <c r="F5079" s="49">
        <v>73850</v>
      </c>
      <c r="G5079" s="77" t="str">
        <f>"HERAT GHORBAND CONSTRUCTION COMPANY"</f>
        <v>HERAT GHORBAND CONSTRUCTION COMPANY</v>
      </c>
      <c r="H5079" s="14" t="s">
        <v>5601</v>
      </c>
      <c r="I5079" s="14" t="s">
        <v>2458</v>
      </c>
      <c r="J5079" s="33" t="s">
        <v>7110</v>
      </c>
      <c r="K5079" s="33" t="s">
        <v>13422</v>
      </c>
      <c r="L5079" s="53" t="str">
        <f t="shared" si="133"/>
        <v>پاکستان</v>
      </c>
      <c r="M5079" s="68" t="str">
        <f>"بشكه"</f>
        <v>بشكه</v>
      </c>
      <c r="N5079" s="53" t="str">
        <f>"تفتان (ميرجاوه)"</f>
        <v>تفتان (ميرجاوه)</v>
      </c>
      <c r="O5079" s="53">
        <v>55200</v>
      </c>
      <c r="P5079" s="198" t="str">
        <f>"1396548701001"</f>
        <v>1396548701001</v>
      </c>
    </row>
    <row r="5080" spans="1:16" ht="18.75" hidden="1">
      <c r="A5080" s="50" t="str">
        <f>"15100-570079"</f>
        <v>15100-570079</v>
      </c>
      <c r="B5080" s="50" t="str">
        <f>"97/01/28"</f>
        <v>97/01/28</v>
      </c>
      <c r="C5080" s="50" t="s">
        <v>13428</v>
      </c>
      <c r="D5080" s="12" t="s">
        <v>13184</v>
      </c>
      <c r="E5080" s="12" t="s">
        <v>13333</v>
      </c>
      <c r="F5080" s="49">
        <v>183700</v>
      </c>
      <c r="G5080" s="77" t="str">
        <f>"SHINING GREEN STAR FZE"</f>
        <v>SHINING GREEN STAR FZE</v>
      </c>
      <c r="H5080" s="14" t="s">
        <v>5601</v>
      </c>
      <c r="I5080" s="14" t="s">
        <v>2458</v>
      </c>
      <c r="J5080" s="33" t="e">
        <f>VLOOKUP(C5080,شرکتها!A:B,2,FALSE)</f>
        <v>#N/A</v>
      </c>
      <c r="K5080" s="33" t="s">
        <v>13422</v>
      </c>
      <c r="L5080" s="53" t="str">
        <f t="shared" si="133"/>
        <v>پاکستان</v>
      </c>
      <c r="M5080" s="68" t="str">
        <f>"فله"</f>
        <v>فله</v>
      </c>
      <c r="N5080" s="53" t="str">
        <f>"پيشين"</f>
        <v>پيشين</v>
      </c>
      <c r="O5080" s="53">
        <v>55301</v>
      </c>
      <c r="P5080" s="198" t="str">
        <f>"1396548703001"</f>
        <v>1396548703001</v>
      </c>
    </row>
    <row r="5081" spans="1:16" ht="18.75" hidden="1">
      <c r="A5081" s="50" t="str">
        <f>"15100-570079"</f>
        <v>15100-570079</v>
      </c>
      <c r="B5081" s="50" t="str">
        <f>"97/01/28"</f>
        <v>97/01/28</v>
      </c>
      <c r="C5081" s="50" t="s">
        <v>13429</v>
      </c>
      <c r="D5081" s="12" t="s">
        <v>13184</v>
      </c>
      <c r="E5081" s="12" t="s">
        <v>13333</v>
      </c>
      <c r="F5081" s="49">
        <v>76365</v>
      </c>
      <c r="G5081" s="77" t="str">
        <f>"West Asia Sun LLC"</f>
        <v>West Asia Sun LLC</v>
      </c>
      <c r="H5081" s="14" t="s">
        <v>5601</v>
      </c>
      <c r="I5081" s="14" t="s">
        <v>2458</v>
      </c>
      <c r="J5081" s="33" t="s">
        <v>7110</v>
      </c>
      <c r="K5081" s="33" t="s">
        <v>13422</v>
      </c>
      <c r="L5081" s="53" t="str">
        <f t="shared" si="133"/>
        <v>پاکستان</v>
      </c>
      <c r="M5081" s="68" t="str">
        <f>"فله"</f>
        <v>فله</v>
      </c>
      <c r="N5081" s="53" t="str">
        <f>"پيشين"</f>
        <v>پيشين</v>
      </c>
      <c r="O5081" s="53">
        <v>55301</v>
      </c>
      <c r="P5081" s="198" t="str">
        <f>"1396548706001"</f>
        <v>1396548706001</v>
      </c>
    </row>
    <row r="5082" spans="1:16" ht="18.75" hidden="1">
      <c r="A5082" s="50" t="str">
        <f>"15100-569430"</f>
        <v>15100-569430</v>
      </c>
      <c r="B5082" s="50" t="str">
        <f>"97/01/27"</f>
        <v>97/01/27</v>
      </c>
      <c r="C5082" s="50" t="s">
        <v>13433</v>
      </c>
      <c r="D5082" s="12" t="s">
        <v>12964</v>
      </c>
      <c r="E5082" s="12" t="s">
        <v>4971</v>
      </c>
      <c r="F5082" s="49">
        <v>73820</v>
      </c>
      <c r="G5082" s="77" t="str">
        <f>"HERAT GHORBAND CONSTRUCTION COMPANY"</f>
        <v>HERAT GHORBAND CONSTRUCTION COMPANY</v>
      </c>
      <c r="H5082" s="14" t="s">
        <v>5601</v>
      </c>
      <c r="I5082" s="14" t="s">
        <v>2458</v>
      </c>
      <c r="J5082" s="33" t="s">
        <v>7110</v>
      </c>
      <c r="K5082" s="33" t="s">
        <v>13422</v>
      </c>
      <c r="L5082" s="53" t="str">
        <f t="shared" si="133"/>
        <v>پاکستان</v>
      </c>
      <c r="M5082" s="68" t="str">
        <f>"بشكه"</f>
        <v>بشكه</v>
      </c>
      <c r="N5082" s="53" t="str">
        <f>"تفتان (ميرجاوه)"</f>
        <v>تفتان (ميرجاوه)</v>
      </c>
      <c r="O5082" s="53">
        <v>55200</v>
      </c>
      <c r="P5082" s="198" t="str">
        <f>"1396548701001"</f>
        <v>1396548701001</v>
      </c>
    </row>
    <row r="5083" spans="1:16" ht="18.75" hidden="1">
      <c r="A5083" s="50" t="str">
        <f>"15100-569010"</f>
        <v>15100-569010</v>
      </c>
      <c r="B5083" s="50" t="str">
        <f>"97/01/26"</f>
        <v>97/01/26</v>
      </c>
      <c r="C5083" s="50" t="s">
        <v>13430</v>
      </c>
      <c r="D5083" s="12" t="s">
        <v>13266</v>
      </c>
      <c r="E5083" s="12" t="s">
        <v>13333</v>
      </c>
      <c r="F5083" s="49">
        <v>123520</v>
      </c>
      <c r="G5083" s="77" t="str">
        <f>"Black Gold Traders FZE"</f>
        <v>Black Gold Traders FZE</v>
      </c>
      <c r="H5083" s="14" t="s">
        <v>5601</v>
      </c>
      <c r="I5083" s="14" t="s">
        <v>2458</v>
      </c>
      <c r="J5083" s="33" t="s">
        <v>7110</v>
      </c>
      <c r="K5083" s="33" t="s">
        <v>13422</v>
      </c>
      <c r="L5083" s="53" t="str">
        <f t="shared" si="133"/>
        <v>پاکستان</v>
      </c>
      <c r="M5083" s="68" t="str">
        <f>"بشكه"</f>
        <v>بشكه</v>
      </c>
      <c r="N5083" s="53" t="str">
        <f>"تفتان (ميرجاوه)"</f>
        <v>تفتان (ميرجاوه)</v>
      </c>
      <c r="O5083" s="53">
        <v>55200</v>
      </c>
      <c r="P5083" s="198" t="str">
        <f>"1396529909001"</f>
        <v>1396529909001</v>
      </c>
    </row>
    <row r="5084" spans="1:16" ht="18.75" hidden="1">
      <c r="A5084" s="50" t="str">
        <f>"15100-569355"</f>
        <v>15100-569355</v>
      </c>
      <c r="B5084" s="50" t="str">
        <f t="shared" ref="B5084:B5089" si="134">"97/01/27"</f>
        <v>97/01/27</v>
      </c>
      <c r="C5084" s="50" t="s">
        <v>13423</v>
      </c>
      <c r="D5084" s="12" t="s">
        <v>12898</v>
      </c>
      <c r="E5084" s="12" t="s">
        <v>4971</v>
      </c>
      <c r="F5084" s="49">
        <v>135860</v>
      </c>
      <c r="G5084" s="77" t="str">
        <f>"LLC Sebco Bitumen"</f>
        <v>LLC Sebco Bitumen</v>
      </c>
      <c r="H5084" s="14" t="s">
        <v>5601</v>
      </c>
      <c r="I5084" s="14" t="s">
        <v>2458</v>
      </c>
      <c r="J5084" s="33" t="s">
        <v>7110</v>
      </c>
      <c r="K5084" s="33" t="s">
        <v>13422</v>
      </c>
      <c r="L5084" s="53" t="str">
        <f t="shared" si="133"/>
        <v>پاکستان</v>
      </c>
      <c r="M5084" s="68" t="str">
        <f>"فله"</f>
        <v>فله</v>
      </c>
      <c r="N5084" s="53" t="str">
        <f>"پيشين"</f>
        <v>پيشين</v>
      </c>
      <c r="O5084" s="53">
        <v>55301</v>
      </c>
      <c r="P5084" s="198" t="str">
        <f>"1396548704001"</f>
        <v>1396548704001</v>
      </c>
    </row>
    <row r="5085" spans="1:16" ht="18.75" hidden="1">
      <c r="A5085" s="50" t="str">
        <f>"15100-569364"</f>
        <v>15100-569364</v>
      </c>
      <c r="B5085" s="50" t="str">
        <f t="shared" si="134"/>
        <v>97/01/27</v>
      </c>
      <c r="C5085" s="50" t="s">
        <v>13423</v>
      </c>
      <c r="D5085" s="12" t="s">
        <v>12898</v>
      </c>
      <c r="E5085" s="12" t="s">
        <v>4971</v>
      </c>
      <c r="F5085" s="49">
        <v>93140</v>
      </c>
      <c r="G5085" s="77" t="str">
        <f>"LLC Sebco Bitumen"</f>
        <v>LLC Sebco Bitumen</v>
      </c>
      <c r="H5085" s="14" t="s">
        <v>5601</v>
      </c>
      <c r="I5085" s="14" t="s">
        <v>2458</v>
      </c>
      <c r="J5085" s="33" t="s">
        <v>7110</v>
      </c>
      <c r="K5085" s="33" t="s">
        <v>13422</v>
      </c>
      <c r="L5085" s="53" t="str">
        <f t="shared" si="133"/>
        <v>پاکستان</v>
      </c>
      <c r="M5085" s="68" t="str">
        <f>"فله"</f>
        <v>فله</v>
      </c>
      <c r="N5085" s="53" t="str">
        <f>"بازارچه کوهک سراوان"</f>
        <v>بازارچه کوهک سراوان</v>
      </c>
      <c r="O5085" s="53">
        <v>55107</v>
      </c>
      <c r="P5085" s="198" t="str">
        <f>"1396548704001"</f>
        <v>1396548704001</v>
      </c>
    </row>
    <row r="5086" spans="1:16" ht="18.75" hidden="1">
      <c r="A5086" s="50" t="str">
        <f>"15100-569355"</f>
        <v>15100-569355</v>
      </c>
      <c r="B5086" s="50" t="str">
        <f t="shared" si="134"/>
        <v>97/01/27</v>
      </c>
      <c r="C5086" s="50" t="s">
        <v>13429</v>
      </c>
      <c r="D5086" s="12" t="s">
        <v>13184</v>
      </c>
      <c r="E5086" s="12" t="s">
        <v>13333</v>
      </c>
      <c r="F5086" s="49">
        <v>45980</v>
      </c>
      <c r="G5086" s="77" t="str">
        <f>"West Asia Sun LLC"</f>
        <v>West Asia Sun LLC</v>
      </c>
      <c r="H5086" s="14" t="s">
        <v>5601</v>
      </c>
      <c r="I5086" s="14" t="s">
        <v>2458</v>
      </c>
      <c r="J5086" s="33" t="s">
        <v>7110</v>
      </c>
      <c r="K5086" s="33" t="s">
        <v>13422</v>
      </c>
      <c r="L5086" s="53" t="str">
        <f t="shared" si="133"/>
        <v>پاکستان</v>
      </c>
      <c r="M5086" s="68" t="str">
        <f>"فله"</f>
        <v>فله</v>
      </c>
      <c r="N5086" s="53" t="str">
        <f>"پيشين"</f>
        <v>پيشين</v>
      </c>
      <c r="O5086" s="53">
        <v>55301</v>
      </c>
      <c r="P5086" s="198" t="str">
        <f>"1396548706001"</f>
        <v>1396548706001</v>
      </c>
    </row>
    <row r="5087" spans="1:16" ht="18.75" hidden="1">
      <c r="A5087" s="50" t="str">
        <f>"15100-569355"</f>
        <v>15100-569355</v>
      </c>
      <c r="B5087" s="50" t="str">
        <f t="shared" si="134"/>
        <v>97/01/27</v>
      </c>
      <c r="C5087" s="50" t="s">
        <v>13428</v>
      </c>
      <c r="D5087" s="12" t="s">
        <v>13184</v>
      </c>
      <c r="E5087" s="12" t="s">
        <v>13333</v>
      </c>
      <c r="F5087" s="49">
        <v>91070</v>
      </c>
      <c r="G5087" s="77" t="str">
        <f>"SHINING GREEN STAR FZE"</f>
        <v>SHINING GREEN STAR FZE</v>
      </c>
      <c r="H5087" s="14" t="s">
        <v>5601</v>
      </c>
      <c r="I5087" s="14" t="s">
        <v>2458</v>
      </c>
      <c r="J5087" s="33" t="e">
        <f>VLOOKUP(C5087,شرکتها!A:B,2,FALSE)</f>
        <v>#N/A</v>
      </c>
      <c r="K5087" s="33" t="s">
        <v>13422</v>
      </c>
      <c r="L5087" s="53" t="str">
        <f t="shared" si="133"/>
        <v>پاکستان</v>
      </c>
      <c r="M5087" s="68" t="str">
        <f>"فله"</f>
        <v>فله</v>
      </c>
      <c r="N5087" s="53" t="str">
        <f>"پيشين"</f>
        <v>پيشين</v>
      </c>
      <c r="O5087" s="53">
        <v>55301</v>
      </c>
      <c r="P5087" s="198" t="str">
        <f>"1396548703001"</f>
        <v>1396548703001</v>
      </c>
    </row>
    <row r="5088" spans="1:16" ht="18.75" hidden="1">
      <c r="A5088" s="50" t="str">
        <f>"15100-569430"</f>
        <v>15100-569430</v>
      </c>
      <c r="B5088" s="50" t="str">
        <f t="shared" si="134"/>
        <v>97/01/27</v>
      </c>
      <c r="C5088" s="50" t="s">
        <v>13428</v>
      </c>
      <c r="D5088" s="12" t="s">
        <v>13184</v>
      </c>
      <c r="E5088" s="12" t="s">
        <v>13333</v>
      </c>
      <c r="F5088" s="49">
        <v>100500</v>
      </c>
      <c r="G5088" s="77" t="str">
        <f>"SHINING GREEN STAR FZE"</f>
        <v>SHINING GREEN STAR FZE</v>
      </c>
      <c r="H5088" s="14" t="s">
        <v>5601</v>
      </c>
      <c r="I5088" s="14" t="s">
        <v>2458</v>
      </c>
      <c r="J5088" s="33" t="e">
        <f>VLOOKUP(C5088,شرکتها!A:B,2,FALSE)</f>
        <v>#N/A</v>
      </c>
      <c r="K5088" s="33" t="s">
        <v>13422</v>
      </c>
      <c r="L5088" s="53" t="str">
        <f t="shared" si="133"/>
        <v>پاکستان</v>
      </c>
      <c r="M5088" s="68" t="str">
        <f>"بشكه"</f>
        <v>بشكه</v>
      </c>
      <c r="N5088" s="53" t="str">
        <f>"تفتان (ميرجاوه)"</f>
        <v>تفتان (ميرجاوه)</v>
      </c>
      <c r="O5088" s="53">
        <v>55200</v>
      </c>
      <c r="P5088" s="198" t="str">
        <f>"1396548703001"</f>
        <v>1396548703001</v>
      </c>
    </row>
    <row r="5089" spans="1:16" ht="18.75" hidden="1">
      <c r="A5089" s="50" t="str">
        <f>"15100-569430"</f>
        <v>15100-569430</v>
      </c>
      <c r="B5089" s="50" t="str">
        <f t="shared" si="134"/>
        <v>97/01/27</v>
      </c>
      <c r="C5089" s="50" t="s">
        <v>13436</v>
      </c>
      <c r="D5089" s="12" t="s">
        <v>12765</v>
      </c>
      <c r="E5089" s="12" t="s">
        <v>4971</v>
      </c>
      <c r="F5089" s="49">
        <v>24770</v>
      </c>
      <c r="G5089" s="77" t="str">
        <f>"DAXON PETROLEUM"</f>
        <v>DAXON PETROLEUM</v>
      </c>
      <c r="H5089" s="14" t="s">
        <v>5601</v>
      </c>
      <c r="I5089" s="14" t="s">
        <v>2458</v>
      </c>
      <c r="J5089" s="33" t="s">
        <v>7110</v>
      </c>
      <c r="K5089" s="33" t="s">
        <v>13422</v>
      </c>
      <c r="L5089" s="53" t="str">
        <f t="shared" si="133"/>
        <v>پاکستان</v>
      </c>
      <c r="M5089" s="68" t="str">
        <f>"بشكه"</f>
        <v>بشكه</v>
      </c>
      <c r="N5089" s="53" t="str">
        <f>"تفتان (ميرجاوه)"</f>
        <v>تفتان (ميرجاوه)</v>
      </c>
      <c r="O5089" s="53">
        <v>55200</v>
      </c>
      <c r="P5089" s="198" t="str">
        <f>"1396543100001"</f>
        <v>1396543100001</v>
      </c>
    </row>
    <row r="5090" spans="1:16" ht="18.75" hidden="1">
      <c r="A5090" s="50" t="str">
        <f>"15100-570677"</f>
        <v>15100-570677</v>
      </c>
      <c r="B5090" s="50" t="str">
        <f>"97/01/29"</f>
        <v>97/01/29</v>
      </c>
      <c r="C5090" s="50" t="s">
        <v>13425</v>
      </c>
      <c r="D5090" s="12" t="s">
        <v>12944</v>
      </c>
      <c r="E5090" s="12" t="s">
        <v>4971</v>
      </c>
      <c r="F5090" s="49">
        <v>46000</v>
      </c>
      <c r="G5090" s="77" t="str">
        <f>"LLC Sebco Bitumen"</f>
        <v>LLC Sebco Bitumen</v>
      </c>
      <c r="H5090" s="14" t="s">
        <v>5601</v>
      </c>
      <c r="I5090" s="14" t="s">
        <v>2458</v>
      </c>
      <c r="J5090" s="33" t="s">
        <v>7110</v>
      </c>
      <c r="K5090" s="33" t="s">
        <v>13422</v>
      </c>
      <c r="L5090" s="53" t="str">
        <f t="shared" si="133"/>
        <v>پاکستان</v>
      </c>
      <c r="M5090" s="68" t="str">
        <f>"فله"</f>
        <v>فله</v>
      </c>
      <c r="N5090" s="53" t="str">
        <f>"بازارچه کوهک سراوان"</f>
        <v>بازارچه کوهک سراوان</v>
      </c>
      <c r="O5090" s="53">
        <v>55107</v>
      </c>
      <c r="P5090" s="198" t="str">
        <f>"1396546618001"</f>
        <v>1396546618001</v>
      </c>
    </row>
    <row r="5091" spans="1:16" ht="18.75" hidden="1">
      <c r="A5091" s="50" t="str">
        <f>"15100-570815"</f>
        <v>15100-570815</v>
      </c>
      <c r="B5091" s="50" t="str">
        <f>"97/01/29"</f>
        <v>97/01/29</v>
      </c>
      <c r="C5091" s="50" t="s">
        <v>13434</v>
      </c>
      <c r="D5091" s="12" t="s">
        <v>13343</v>
      </c>
      <c r="E5091" s="12" t="s">
        <v>13333</v>
      </c>
      <c r="F5091" s="49">
        <v>46170</v>
      </c>
      <c r="G5091" s="77" t="str">
        <f>"PETRO FOLIO"</f>
        <v>PETRO FOLIO</v>
      </c>
      <c r="H5091" s="14" t="s">
        <v>5601</v>
      </c>
      <c r="I5091" s="14" t="s">
        <v>2458</v>
      </c>
      <c r="J5091" s="33" t="s">
        <v>7110</v>
      </c>
      <c r="K5091" s="33" t="s">
        <v>13422</v>
      </c>
      <c r="L5091" s="53" t="str">
        <f t="shared" si="133"/>
        <v>پاکستان</v>
      </c>
      <c r="M5091" s="68" t="str">
        <f t="shared" ref="M5091:M5096" si="135">"بشكه"</f>
        <v>بشكه</v>
      </c>
      <c r="N5091" s="53" t="str">
        <f>"پيشين"</f>
        <v>پيشين</v>
      </c>
      <c r="O5091" s="53">
        <v>55301</v>
      </c>
      <c r="P5091" s="198" t="str">
        <f>"1396552140001"</f>
        <v>1396552140001</v>
      </c>
    </row>
    <row r="5092" spans="1:16" ht="18.75" hidden="1">
      <c r="A5092" s="50" t="str">
        <f>"15100-569010"</f>
        <v>15100-569010</v>
      </c>
      <c r="B5092" s="50" t="str">
        <f>"97/01/26"</f>
        <v>97/01/26</v>
      </c>
      <c r="C5092" s="50" t="s">
        <v>13437</v>
      </c>
      <c r="D5092" s="12" t="s">
        <v>13184</v>
      </c>
      <c r="E5092" s="12" t="s">
        <v>13333</v>
      </c>
      <c r="F5092" s="49">
        <v>39540</v>
      </c>
      <c r="G5092" s="77" t="str">
        <f>"PETRO FOLIO"</f>
        <v>PETRO FOLIO</v>
      </c>
      <c r="H5092" s="14" t="s">
        <v>5601</v>
      </c>
      <c r="I5092" s="14" t="s">
        <v>2458</v>
      </c>
      <c r="J5092" s="33" t="s">
        <v>7110</v>
      </c>
      <c r="K5092" s="33" t="s">
        <v>13422</v>
      </c>
      <c r="L5092" s="53" t="str">
        <f t="shared" si="133"/>
        <v>پاکستان</v>
      </c>
      <c r="M5092" s="68" t="str">
        <f t="shared" si="135"/>
        <v>بشكه</v>
      </c>
      <c r="N5092" s="53" t="str">
        <f>"تفتان (ميرجاوه)"</f>
        <v>تفتان (ميرجاوه)</v>
      </c>
      <c r="O5092" s="53">
        <v>55200</v>
      </c>
      <c r="P5092" s="198" t="str">
        <f>"1396552140001"</f>
        <v>1396552140001</v>
      </c>
    </row>
    <row r="5093" spans="1:16" ht="18.75" hidden="1">
      <c r="A5093" s="50" t="str">
        <f>"15100-569010"</f>
        <v>15100-569010</v>
      </c>
      <c r="B5093" s="50" t="str">
        <f>"97/01/26"</f>
        <v>97/01/26</v>
      </c>
      <c r="C5093" s="50" t="s">
        <v>13438</v>
      </c>
      <c r="D5093" s="12" t="s">
        <v>12824</v>
      </c>
      <c r="E5093" s="12" t="s">
        <v>4971</v>
      </c>
      <c r="F5093" s="49">
        <v>120890</v>
      </c>
      <c r="G5093" s="77" t="str">
        <f>"LLC Sebco Bitumen"</f>
        <v>LLC Sebco Bitumen</v>
      </c>
      <c r="H5093" s="14" t="s">
        <v>5601</v>
      </c>
      <c r="I5093" s="14" t="s">
        <v>2458</v>
      </c>
      <c r="J5093" s="33" t="s">
        <v>7110</v>
      </c>
      <c r="K5093" s="33" t="s">
        <v>13422</v>
      </c>
      <c r="L5093" s="53" t="str">
        <f t="shared" si="133"/>
        <v>پاکستان</v>
      </c>
      <c r="M5093" s="68" t="str">
        <f t="shared" si="135"/>
        <v>بشكه</v>
      </c>
      <c r="N5093" s="53" t="str">
        <f>"تفتان (ميرجاوه)"</f>
        <v>تفتان (ميرجاوه)</v>
      </c>
      <c r="O5093" s="53">
        <v>55200</v>
      </c>
      <c r="P5093" s="198" t="str">
        <f>"1396548704001"</f>
        <v>1396548704001</v>
      </c>
    </row>
    <row r="5094" spans="1:16" ht="18.75" hidden="1">
      <c r="A5094" s="50" t="str">
        <f>"15100-569010"</f>
        <v>15100-569010</v>
      </c>
      <c r="B5094" s="50" t="str">
        <f>"97/01/26"</f>
        <v>97/01/26</v>
      </c>
      <c r="C5094" s="50" t="s">
        <v>13439</v>
      </c>
      <c r="D5094" s="12" t="s">
        <v>13343</v>
      </c>
      <c r="E5094" s="12" t="s">
        <v>13333</v>
      </c>
      <c r="F5094" s="49">
        <v>252100</v>
      </c>
      <c r="G5094" s="77" t="str">
        <f>"PETRO FOLIO"</f>
        <v>PETRO FOLIO</v>
      </c>
      <c r="H5094" s="14" t="s">
        <v>5601</v>
      </c>
      <c r="I5094" s="14" t="s">
        <v>2458</v>
      </c>
      <c r="J5094" s="33" t="s">
        <v>7110</v>
      </c>
      <c r="K5094" s="33" t="s">
        <v>13422</v>
      </c>
      <c r="L5094" s="53" t="str">
        <f t="shared" si="133"/>
        <v>پاکستان</v>
      </c>
      <c r="M5094" s="68" t="str">
        <f t="shared" si="135"/>
        <v>بشكه</v>
      </c>
      <c r="N5094" s="53" t="str">
        <f>"تفتان (ميرجاوه)"</f>
        <v>تفتان (ميرجاوه)</v>
      </c>
      <c r="O5094" s="53">
        <v>55200</v>
      </c>
      <c r="P5094" s="198" t="str">
        <f>"1396552140001"</f>
        <v>1396552140001</v>
      </c>
    </row>
    <row r="5095" spans="1:16" ht="18.75" hidden="1">
      <c r="A5095" s="50" t="str">
        <f>"15100-562825"</f>
        <v>15100-562825</v>
      </c>
      <c r="B5095" s="50" t="str">
        <f>"97/01/18"</f>
        <v>97/01/18</v>
      </c>
      <c r="C5095" s="50" t="s">
        <v>13440</v>
      </c>
      <c r="D5095" s="12" t="s">
        <v>12765</v>
      </c>
      <c r="E5095" s="12" t="s">
        <v>4971</v>
      </c>
      <c r="F5095" s="49">
        <v>166400</v>
      </c>
      <c r="G5095" s="77" t="str">
        <f>"DAXON PETROLEUM"</f>
        <v>DAXON PETROLEUM</v>
      </c>
      <c r="H5095" s="14" t="s">
        <v>5601</v>
      </c>
      <c r="I5095" s="14" t="s">
        <v>2458</v>
      </c>
      <c r="J5095" s="33" t="s">
        <v>7110</v>
      </c>
      <c r="K5095" s="33" t="s">
        <v>13422</v>
      </c>
      <c r="L5095" s="53" t="str">
        <f t="shared" si="133"/>
        <v>پاکستان</v>
      </c>
      <c r="M5095" s="68" t="str">
        <f t="shared" si="135"/>
        <v>بشكه</v>
      </c>
      <c r="N5095" s="53" t="str">
        <f>"تفتان (ميرجاوه)"</f>
        <v>تفتان (ميرجاوه)</v>
      </c>
      <c r="O5095" s="53">
        <v>55200</v>
      </c>
      <c r="P5095" s="198" t="str">
        <f>"1396543100001"</f>
        <v>1396543100001</v>
      </c>
    </row>
    <row r="5096" spans="1:16" ht="18.75" hidden="1">
      <c r="A5096" s="50" t="str">
        <f>"15100-562789"</f>
        <v>15100-562789</v>
      </c>
      <c r="B5096" s="50" t="str">
        <f>"97/01/18"</f>
        <v>97/01/18</v>
      </c>
      <c r="C5096" s="50" t="s">
        <v>13441</v>
      </c>
      <c r="D5096" s="12" t="s">
        <v>13318</v>
      </c>
      <c r="E5096" s="12" t="s">
        <v>13333</v>
      </c>
      <c r="F5096" s="49">
        <v>95460</v>
      </c>
      <c r="G5096" s="77" t="str">
        <f>"West Asia Sun LLC"</f>
        <v>West Asia Sun LLC</v>
      </c>
      <c r="H5096" s="14" t="s">
        <v>5601</v>
      </c>
      <c r="I5096" s="14" t="s">
        <v>2458</v>
      </c>
      <c r="J5096" s="33" t="s">
        <v>7110</v>
      </c>
      <c r="K5096" s="33" t="s">
        <v>13422</v>
      </c>
      <c r="L5096" s="53" t="str">
        <f t="shared" si="133"/>
        <v>پاکستان</v>
      </c>
      <c r="M5096" s="68" t="str">
        <f t="shared" si="135"/>
        <v>بشكه</v>
      </c>
      <c r="N5096" s="53" t="str">
        <f>"پيشين"</f>
        <v>پيشين</v>
      </c>
      <c r="O5096" s="53">
        <v>55301</v>
      </c>
      <c r="P5096" s="198" t="str">
        <f>"1396548706001"</f>
        <v>1396548706001</v>
      </c>
    </row>
    <row r="5097" spans="1:16" ht="18.75" hidden="1">
      <c r="A5097" s="50" t="str">
        <f>"15100-568354"</f>
        <v>15100-568354</v>
      </c>
      <c r="B5097" s="50" t="str">
        <f>"97/01/23"</f>
        <v>97/01/23</v>
      </c>
      <c r="C5097" s="50" t="s">
        <v>13434</v>
      </c>
      <c r="D5097" s="12" t="s">
        <v>13343</v>
      </c>
      <c r="E5097" s="12" t="s">
        <v>13333</v>
      </c>
      <c r="F5097" s="49">
        <v>21100</v>
      </c>
      <c r="G5097" s="77" t="str">
        <f>"PETRO FOLIO"</f>
        <v>PETRO FOLIO</v>
      </c>
      <c r="H5097" s="14" t="s">
        <v>5601</v>
      </c>
      <c r="I5097" s="14" t="s">
        <v>2458</v>
      </c>
      <c r="J5097" s="33" t="s">
        <v>7110</v>
      </c>
      <c r="K5097" s="33" t="s">
        <v>13422</v>
      </c>
      <c r="L5097" s="53" t="str">
        <f t="shared" si="133"/>
        <v>پاکستان</v>
      </c>
      <c r="M5097" s="68" t="str">
        <f>"فله"</f>
        <v>فله</v>
      </c>
      <c r="N5097" s="53" t="str">
        <f>"تفتان (ميرجاوه)"</f>
        <v>تفتان (ميرجاوه)</v>
      </c>
      <c r="O5097" s="53">
        <v>55200</v>
      </c>
      <c r="P5097" s="198" t="str">
        <f>"1396552140001"</f>
        <v>1396552140001</v>
      </c>
    </row>
    <row r="5098" spans="1:16" ht="18.75" hidden="1">
      <c r="A5098" s="50" t="str">
        <f>"15100-562789"</f>
        <v>15100-562789</v>
      </c>
      <c r="B5098" s="50" t="str">
        <f>"97/01/18"</f>
        <v>97/01/18</v>
      </c>
      <c r="C5098" s="50" t="s">
        <v>13442</v>
      </c>
      <c r="D5098" s="12" t="s">
        <v>12898</v>
      </c>
      <c r="E5098" s="12" t="s">
        <v>4971</v>
      </c>
      <c r="F5098" s="49">
        <v>141670</v>
      </c>
      <c r="G5098" s="77" t="str">
        <f>"DAXON PETROLEUM"</f>
        <v>DAXON PETROLEUM</v>
      </c>
      <c r="H5098" s="14" t="s">
        <v>5601</v>
      </c>
      <c r="I5098" s="14" t="s">
        <v>2458</v>
      </c>
      <c r="J5098" s="33" t="s">
        <v>7110</v>
      </c>
      <c r="K5098" s="33" t="s">
        <v>13422</v>
      </c>
      <c r="L5098" s="53" t="str">
        <f t="shared" si="133"/>
        <v>پاکستان</v>
      </c>
      <c r="M5098" s="68" t="str">
        <f>"بشكه"</f>
        <v>بشكه</v>
      </c>
      <c r="N5098" s="53" t="str">
        <f>"پيشين"</f>
        <v>پيشين</v>
      </c>
      <c r="O5098" s="53">
        <v>55301</v>
      </c>
      <c r="P5098" s="198" t="str">
        <f>"1396543100001"</f>
        <v>1396543100001</v>
      </c>
    </row>
    <row r="5099" spans="1:16" ht="18.75" hidden="1">
      <c r="A5099" s="50" t="str">
        <f>"15100-568429"</f>
        <v>15100-568429</v>
      </c>
      <c r="B5099" s="50" t="str">
        <f>"97/01/23"</f>
        <v>97/01/23</v>
      </c>
      <c r="C5099" s="50" t="s">
        <v>13443</v>
      </c>
      <c r="D5099" s="12" t="s">
        <v>12880</v>
      </c>
      <c r="E5099" s="12" t="s">
        <v>4971</v>
      </c>
      <c r="F5099" s="49">
        <v>45780</v>
      </c>
      <c r="G5099" s="77" t="str">
        <f>"Black Gold Traders FZE"</f>
        <v>Black Gold Traders FZE</v>
      </c>
      <c r="H5099" s="14" t="s">
        <v>5601</v>
      </c>
      <c r="I5099" s="14" t="s">
        <v>2458</v>
      </c>
      <c r="J5099" s="33" t="s">
        <v>7110</v>
      </c>
      <c r="K5099" s="33" t="s">
        <v>13422</v>
      </c>
      <c r="L5099" s="53" t="str">
        <f t="shared" si="133"/>
        <v>پاکستان</v>
      </c>
      <c r="M5099" s="68" t="str">
        <f>"بشكه"</f>
        <v>بشكه</v>
      </c>
      <c r="N5099" s="53" t="str">
        <f>"بازارچه کوهک سراوان"</f>
        <v>بازارچه کوهک سراوان</v>
      </c>
      <c r="O5099" s="53">
        <v>55107</v>
      </c>
      <c r="P5099" s="198" t="str">
        <f>"1396529909001"</f>
        <v>1396529909001</v>
      </c>
    </row>
    <row r="5100" spans="1:16" ht="18.75" hidden="1">
      <c r="A5100" s="50" t="str">
        <f>"15100-562789"</f>
        <v>15100-562789</v>
      </c>
      <c r="B5100" s="50" t="str">
        <f>"97/01/18"</f>
        <v>97/01/18</v>
      </c>
      <c r="C5100" s="50" t="s">
        <v>13444</v>
      </c>
      <c r="D5100" s="12" t="s">
        <v>12895</v>
      </c>
      <c r="E5100" s="12" t="s">
        <v>4971</v>
      </c>
      <c r="F5100" s="49">
        <v>63440</v>
      </c>
      <c r="G5100" s="77" t="str">
        <f>"DAXON PETROLEUM"</f>
        <v>DAXON PETROLEUM</v>
      </c>
      <c r="H5100" s="14" t="s">
        <v>5601</v>
      </c>
      <c r="I5100" s="14" t="s">
        <v>2458</v>
      </c>
      <c r="J5100" s="33" t="s">
        <v>7110</v>
      </c>
      <c r="K5100" s="33" t="s">
        <v>13422</v>
      </c>
      <c r="L5100" s="53" t="str">
        <f t="shared" si="133"/>
        <v>پاکستان</v>
      </c>
      <c r="M5100" s="68" t="str">
        <f>"بشكه"</f>
        <v>بشكه</v>
      </c>
      <c r="N5100" s="53" t="str">
        <f>"پيشين"</f>
        <v>پيشين</v>
      </c>
      <c r="O5100" s="53">
        <v>55301</v>
      </c>
      <c r="P5100" s="198" t="str">
        <f>"1396548700001"</f>
        <v>1396548700001</v>
      </c>
    </row>
    <row r="5101" spans="1:16" ht="18.75" hidden="1">
      <c r="A5101" s="50" t="str">
        <f>"15100-562233"</f>
        <v>15100-562233</v>
      </c>
      <c r="B5101" s="50" t="str">
        <f>"97/01/16"</f>
        <v>97/01/16</v>
      </c>
      <c r="C5101" s="50" t="s">
        <v>13445</v>
      </c>
      <c r="D5101" s="12" t="s">
        <v>12880</v>
      </c>
      <c r="E5101" s="12" t="s">
        <v>4971</v>
      </c>
      <c r="F5101" s="49">
        <v>120000</v>
      </c>
      <c r="G5101" s="77" t="str">
        <f>"SHINING GREEN STAR FZE"</f>
        <v>SHINING GREEN STAR FZE</v>
      </c>
      <c r="H5101" s="14" t="s">
        <v>5601</v>
      </c>
      <c r="I5101" s="14" t="s">
        <v>2458</v>
      </c>
      <c r="J5101" s="33" t="s">
        <v>7110</v>
      </c>
      <c r="K5101" s="33" t="s">
        <v>13422</v>
      </c>
      <c r="L5101" s="53" t="str">
        <f t="shared" si="133"/>
        <v>پاکستان</v>
      </c>
      <c r="M5101" s="68" t="str">
        <f>"بشكه"</f>
        <v>بشكه</v>
      </c>
      <c r="N5101" s="53" t="str">
        <f>"تفتان (ميرجاوه)"</f>
        <v>تفتان (ميرجاوه)</v>
      </c>
      <c r="O5101" s="53">
        <v>55200</v>
      </c>
      <c r="P5101" s="198" t="str">
        <f>"1396540543001"</f>
        <v>1396540543001</v>
      </c>
    </row>
    <row r="5102" spans="1:16" ht="18.75" hidden="1">
      <c r="A5102" s="50" t="str">
        <f>"15100-562233"</f>
        <v>15100-562233</v>
      </c>
      <c r="B5102" s="50" t="str">
        <f>"97/01/16"</f>
        <v>97/01/16</v>
      </c>
      <c r="C5102" s="50" t="s">
        <v>13436</v>
      </c>
      <c r="D5102" s="12" t="s">
        <v>12765</v>
      </c>
      <c r="E5102" s="12" t="s">
        <v>4971</v>
      </c>
      <c r="F5102" s="49">
        <v>67925</v>
      </c>
      <c r="G5102" s="77" t="str">
        <f>"DAXON PETROLEUM"</f>
        <v>DAXON PETROLEUM</v>
      </c>
      <c r="H5102" s="14" t="s">
        <v>5601</v>
      </c>
      <c r="I5102" s="14" t="s">
        <v>2458</v>
      </c>
      <c r="J5102" s="33" t="s">
        <v>7110</v>
      </c>
      <c r="K5102" s="33" t="s">
        <v>13422</v>
      </c>
      <c r="L5102" s="53" t="str">
        <f t="shared" si="133"/>
        <v>پاکستان</v>
      </c>
      <c r="M5102" s="68" t="str">
        <f>"بشكه"</f>
        <v>بشكه</v>
      </c>
      <c r="N5102" s="53" t="str">
        <f>"تفتان (ميرجاوه)"</f>
        <v>تفتان (ميرجاوه)</v>
      </c>
      <c r="O5102" s="53">
        <v>55200</v>
      </c>
      <c r="P5102" s="198" t="str">
        <f>"1396543100001"</f>
        <v>1396543100001</v>
      </c>
    </row>
    <row r="5103" spans="1:16" ht="18.75" hidden="1">
      <c r="A5103" s="50" t="str">
        <f>"15100-566412"</f>
        <v>15100-566412</v>
      </c>
      <c r="B5103" s="50" t="str">
        <f>"97/01/20"</f>
        <v>97/01/20</v>
      </c>
      <c r="C5103" s="50" t="s">
        <v>13446</v>
      </c>
      <c r="D5103" s="12" t="s">
        <v>12928</v>
      </c>
      <c r="E5103" s="12" t="s">
        <v>4971</v>
      </c>
      <c r="F5103" s="49">
        <v>25820</v>
      </c>
      <c r="G5103" s="77" t="str">
        <f>"SHINING GREEN STAR FZE"</f>
        <v>SHINING GREEN STAR FZE</v>
      </c>
      <c r="H5103" s="14" t="s">
        <v>5601</v>
      </c>
      <c r="I5103" s="14" t="s">
        <v>2458</v>
      </c>
      <c r="J5103" s="33" t="e">
        <f>VLOOKUP(C5103,شرکتها!A:B,2,FALSE)</f>
        <v>#N/A</v>
      </c>
      <c r="K5103" s="33" t="s">
        <v>13422</v>
      </c>
      <c r="L5103" s="53" t="str">
        <f t="shared" si="133"/>
        <v>پاکستان</v>
      </c>
      <c r="M5103" s="68" t="str">
        <f>"فله"</f>
        <v>فله</v>
      </c>
      <c r="N5103" s="53" t="str">
        <f>"پيشين"</f>
        <v>پيشين</v>
      </c>
      <c r="O5103" s="53">
        <v>55301</v>
      </c>
      <c r="P5103" s="198" t="str">
        <f>"1396548703001"</f>
        <v>1396548703001</v>
      </c>
    </row>
    <row r="5104" spans="1:16" ht="18.75" hidden="1">
      <c r="A5104" s="50" t="str">
        <f>"15100-566412"</f>
        <v>15100-566412</v>
      </c>
      <c r="B5104" s="50" t="str">
        <f>"97/01/20"</f>
        <v>97/01/20</v>
      </c>
      <c r="C5104" s="50" t="s">
        <v>13447</v>
      </c>
      <c r="D5104" s="12" t="s">
        <v>13318</v>
      </c>
      <c r="E5104" s="12" t="s">
        <v>13333</v>
      </c>
      <c r="F5104" s="49">
        <v>85840</v>
      </c>
      <c r="G5104" s="77" t="str">
        <f>"SHINING GREEN STAR FZE"</f>
        <v>SHINING GREEN STAR FZE</v>
      </c>
      <c r="H5104" s="14" t="s">
        <v>5601</v>
      </c>
      <c r="I5104" s="14" t="s">
        <v>2458</v>
      </c>
      <c r="J5104" s="33" t="e">
        <f>VLOOKUP(C5104,شرکتها!A:B,2,FALSE)</f>
        <v>#N/A</v>
      </c>
      <c r="K5104" s="33" t="s">
        <v>13422</v>
      </c>
      <c r="L5104" s="53" t="str">
        <f t="shared" si="133"/>
        <v>پاکستان</v>
      </c>
      <c r="M5104" s="68" t="str">
        <f>"فله"</f>
        <v>فله</v>
      </c>
      <c r="N5104" s="53" t="str">
        <f>"پيشين"</f>
        <v>پيشين</v>
      </c>
      <c r="O5104" s="53">
        <v>55301</v>
      </c>
      <c r="P5104" s="198" t="str">
        <f>"1396548703001"</f>
        <v>1396548703001</v>
      </c>
    </row>
    <row r="5105" spans="1:16" ht="18.75" hidden="1">
      <c r="A5105" s="50" t="str">
        <f>"15100-562711"</f>
        <v>15100-562711</v>
      </c>
      <c r="B5105" s="50" t="str">
        <f>"97/01/18"</f>
        <v>97/01/18</v>
      </c>
      <c r="C5105" s="50" t="s">
        <v>13444</v>
      </c>
      <c r="D5105" s="12" t="s">
        <v>12895</v>
      </c>
      <c r="E5105" s="12" t="s">
        <v>4971</v>
      </c>
      <c r="F5105" s="49">
        <v>49640</v>
      </c>
      <c r="G5105" s="77" t="str">
        <f>"DAXON PETROLEUM"</f>
        <v>DAXON PETROLEUM</v>
      </c>
      <c r="H5105" s="14" t="s">
        <v>5601</v>
      </c>
      <c r="I5105" s="14" t="s">
        <v>2458</v>
      </c>
      <c r="J5105" s="33" t="s">
        <v>7110</v>
      </c>
      <c r="K5105" s="33" t="s">
        <v>13422</v>
      </c>
      <c r="L5105" s="53" t="str">
        <f t="shared" si="133"/>
        <v>پاکستان</v>
      </c>
      <c r="M5105" s="68" t="str">
        <f>"فله"</f>
        <v>فله</v>
      </c>
      <c r="N5105" s="53" t="str">
        <f>"تفتان (ميرجاوه)"</f>
        <v>تفتان (ميرجاوه)</v>
      </c>
      <c r="O5105" s="53">
        <v>55200</v>
      </c>
      <c r="P5105" s="198" t="str">
        <f>"1396548700001"</f>
        <v>1396548700001</v>
      </c>
    </row>
    <row r="5106" spans="1:16" ht="18.75" hidden="1">
      <c r="A5106" s="50" t="str">
        <f>"15100-566412"</f>
        <v>15100-566412</v>
      </c>
      <c r="B5106" s="50" t="str">
        <f>"97/01/20"</f>
        <v>97/01/20</v>
      </c>
      <c r="C5106" s="50" t="s">
        <v>13448</v>
      </c>
      <c r="D5106" s="12" t="s">
        <v>13186</v>
      </c>
      <c r="E5106" s="12" t="s">
        <v>4971</v>
      </c>
      <c r="F5106" s="49">
        <v>24680</v>
      </c>
      <c r="G5106" s="77" t="str">
        <f>"M/S J.K. Khan Group"</f>
        <v>M/S J.K. Khan Group</v>
      </c>
      <c r="H5106" s="14" t="s">
        <v>5601</v>
      </c>
      <c r="I5106" s="14" t="s">
        <v>2458</v>
      </c>
      <c r="J5106" s="33" t="s">
        <v>7110</v>
      </c>
      <c r="K5106" s="33" t="s">
        <v>13422</v>
      </c>
      <c r="L5106" s="53" t="str">
        <f t="shared" si="133"/>
        <v>پاکستان</v>
      </c>
      <c r="M5106" s="68" t="str">
        <f>"فله"</f>
        <v>فله</v>
      </c>
      <c r="N5106" s="53" t="str">
        <f>"پيشين"</f>
        <v>پيشين</v>
      </c>
      <c r="O5106" s="53">
        <v>55301</v>
      </c>
      <c r="P5106" s="198" t="str">
        <f>"1396544239001"</f>
        <v>1396544239001</v>
      </c>
    </row>
    <row r="5107" spans="1:16" ht="18.75" hidden="1">
      <c r="A5107" s="50" t="str">
        <f>"15100-562233"</f>
        <v>15100-562233</v>
      </c>
      <c r="B5107" s="50" t="str">
        <f>"97/01/16"</f>
        <v>97/01/16</v>
      </c>
      <c r="C5107" s="50" t="s">
        <v>13449</v>
      </c>
      <c r="D5107" s="12" t="s">
        <v>12689</v>
      </c>
      <c r="E5107" s="12" t="s">
        <v>4971</v>
      </c>
      <c r="F5107" s="49">
        <v>6615</v>
      </c>
      <c r="G5107" s="77" t="str">
        <f>"DAXON PETROLEUM"</f>
        <v>DAXON PETROLEUM</v>
      </c>
      <c r="H5107" s="14" t="s">
        <v>5601</v>
      </c>
      <c r="I5107" s="14" t="s">
        <v>2458</v>
      </c>
      <c r="J5107" s="33" t="s">
        <v>7110</v>
      </c>
      <c r="K5107" s="33" t="s">
        <v>13422</v>
      </c>
      <c r="L5107" s="53" t="str">
        <f t="shared" si="133"/>
        <v>پاکستان</v>
      </c>
      <c r="M5107" s="68" t="str">
        <f>"بشكه"</f>
        <v>بشكه</v>
      </c>
      <c r="N5107" s="53" t="str">
        <f>"تفتان (ميرجاوه)"</f>
        <v>تفتان (ميرجاوه)</v>
      </c>
      <c r="O5107" s="53">
        <v>55200</v>
      </c>
      <c r="P5107" s="198" t="str">
        <f>"1396538724001"</f>
        <v>1396538724001</v>
      </c>
    </row>
    <row r="5108" spans="1:16" ht="18.75" hidden="1">
      <c r="A5108" s="50" t="str">
        <f>"15100-566412"</f>
        <v>15100-566412</v>
      </c>
      <c r="B5108" s="50" t="str">
        <f>"97/01/20"</f>
        <v>97/01/20</v>
      </c>
      <c r="C5108" s="50" t="s">
        <v>13450</v>
      </c>
      <c r="D5108" s="12" t="s">
        <v>12898</v>
      </c>
      <c r="E5108" s="12" t="s">
        <v>4971</v>
      </c>
      <c r="F5108" s="49">
        <v>75000</v>
      </c>
      <c r="G5108" s="77" t="str">
        <f>"Black Gold Traders FZE"</f>
        <v>Black Gold Traders FZE</v>
      </c>
      <c r="H5108" s="14" t="s">
        <v>5601</v>
      </c>
      <c r="I5108" s="14" t="s">
        <v>2458</v>
      </c>
      <c r="J5108" s="33" t="s">
        <v>7110</v>
      </c>
      <c r="K5108" s="33" t="s">
        <v>13422</v>
      </c>
      <c r="L5108" s="53" t="str">
        <f t="shared" si="133"/>
        <v>پاکستان</v>
      </c>
      <c r="M5108" s="68" t="str">
        <f>"فله"</f>
        <v>فله</v>
      </c>
      <c r="N5108" s="53" t="str">
        <f>"پيشين"</f>
        <v>پيشين</v>
      </c>
      <c r="O5108" s="53">
        <v>55301</v>
      </c>
      <c r="P5108" s="198" t="str">
        <f>"1396548707001"</f>
        <v>1396548707001</v>
      </c>
    </row>
    <row r="5109" spans="1:16" ht="18.75" hidden="1">
      <c r="A5109" s="50" t="str">
        <f>"15100-565510"</f>
        <v>15100-565510</v>
      </c>
      <c r="B5109" s="50" t="str">
        <f>"97/01/19"</f>
        <v>97/01/19</v>
      </c>
      <c r="C5109" s="50" t="s">
        <v>13451</v>
      </c>
      <c r="D5109" s="12" t="s">
        <v>12705</v>
      </c>
      <c r="E5109" s="12" t="s">
        <v>4971</v>
      </c>
      <c r="F5109" s="49">
        <v>143650</v>
      </c>
      <c r="G5109" s="77" t="str">
        <f>"LLC Sebco Bitumen"</f>
        <v>LLC Sebco Bitumen</v>
      </c>
      <c r="H5109" s="14" t="s">
        <v>5601</v>
      </c>
      <c r="I5109" s="14" t="s">
        <v>2458</v>
      </c>
      <c r="J5109" s="33" t="s">
        <v>7110</v>
      </c>
      <c r="K5109" s="33" t="s">
        <v>13422</v>
      </c>
      <c r="L5109" s="53" t="str">
        <f t="shared" si="133"/>
        <v>پاکستان</v>
      </c>
      <c r="M5109" s="68" t="str">
        <f>"بشكه"</f>
        <v>بشكه</v>
      </c>
      <c r="N5109" s="53" t="str">
        <f>"تفتان (ميرجاوه)"</f>
        <v>تفتان (ميرجاوه)</v>
      </c>
      <c r="O5109" s="53">
        <v>55200</v>
      </c>
      <c r="P5109" s="198" t="str">
        <f>"1396540546001"</f>
        <v>1396540546001</v>
      </c>
    </row>
    <row r="5110" spans="1:16" ht="18.75" hidden="1">
      <c r="A5110" s="50" t="str">
        <f>"15100-562233"</f>
        <v>15100-562233</v>
      </c>
      <c r="B5110" s="50" t="str">
        <f>"97/01/16"</f>
        <v>97/01/16</v>
      </c>
      <c r="C5110" s="50" t="s">
        <v>13452</v>
      </c>
      <c r="D5110" s="12" t="s">
        <v>12689</v>
      </c>
      <c r="E5110" s="12" t="s">
        <v>4971</v>
      </c>
      <c r="F5110" s="49">
        <v>250580</v>
      </c>
      <c r="G5110" s="77" t="str">
        <f>"DAXON PETROLEUM"</f>
        <v>DAXON PETROLEUM</v>
      </c>
      <c r="H5110" s="14" t="s">
        <v>5601</v>
      </c>
      <c r="I5110" s="14" t="s">
        <v>2458</v>
      </c>
      <c r="J5110" s="33" t="s">
        <v>7110</v>
      </c>
      <c r="K5110" s="33" t="s">
        <v>13422</v>
      </c>
      <c r="L5110" s="53" t="str">
        <f t="shared" si="133"/>
        <v>پاکستان</v>
      </c>
      <c r="M5110" s="68" t="str">
        <f>"بشكه"</f>
        <v>بشكه</v>
      </c>
      <c r="N5110" s="53" t="str">
        <f>"تفتان (ميرجاوه)"</f>
        <v>تفتان (ميرجاوه)</v>
      </c>
      <c r="O5110" s="53">
        <v>55200</v>
      </c>
      <c r="P5110" s="198" t="str">
        <f>"1396538724001"</f>
        <v>1396538724001</v>
      </c>
    </row>
    <row r="5111" spans="1:16" ht="18.75" hidden="1">
      <c r="A5111" s="50" t="str">
        <f>"15100-562233"</f>
        <v>15100-562233</v>
      </c>
      <c r="B5111" s="50" t="str">
        <f>"97/01/16"</f>
        <v>97/01/16</v>
      </c>
      <c r="C5111" s="50" t="s">
        <v>13453</v>
      </c>
      <c r="D5111" s="12" t="s">
        <v>13375</v>
      </c>
      <c r="E5111" s="12" t="s">
        <v>4971</v>
      </c>
      <c r="F5111" s="49">
        <v>97740</v>
      </c>
      <c r="G5111" s="77" t="str">
        <f>"PETRO FOLIO"</f>
        <v>PETRO FOLIO</v>
      </c>
      <c r="H5111" s="14" t="s">
        <v>5601</v>
      </c>
      <c r="I5111" s="14" t="s">
        <v>2458</v>
      </c>
      <c r="J5111" s="33" t="s">
        <v>7110</v>
      </c>
      <c r="K5111" s="33" t="s">
        <v>13422</v>
      </c>
      <c r="L5111" s="53" t="str">
        <f t="shared" si="133"/>
        <v>پاکستان</v>
      </c>
      <c r="M5111" s="68" t="str">
        <f>"بشكه"</f>
        <v>بشكه</v>
      </c>
      <c r="N5111" s="53" t="str">
        <f>"تفتان (ميرجاوه)"</f>
        <v>تفتان (ميرجاوه)</v>
      </c>
      <c r="O5111" s="53">
        <v>55200</v>
      </c>
      <c r="P5111" s="198" t="str">
        <f>"1396552140001"</f>
        <v>1396552140001</v>
      </c>
    </row>
    <row r="5112" spans="1:16" ht="18.75" hidden="1">
      <c r="A5112" s="50" t="str">
        <f>"15100-562683"</f>
        <v>15100-562683</v>
      </c>
      <c r="B5112" s="50" t="str">
        <f>"97/01/18"</f>
        <v>97/01/18</v>
      </c>
      <c r="C5112" s="50" t="s">
        <v>13448</v>
      </c>
      <c r="D5112" s="12" t="s">
        <v>13186</v>
      </c>
      <c r="E5112" s="12" t="s">
        <v>4971</v>
      </c>
      <c r="F5112" s="49">
        <v>46940</v>
      </c>
      <c r="G5112" s="77" t="str">
        <f>"M/S J.K. Khan Group"</f>
        <v>M/S J.K. Khan Group</v>
      </c>
      <c r="H5112" s="14" t="s">
        <v>5601</v>
      </c>
      <c r="I5112" s="14" t="s">
        <v>2458</v>
      </c>
      <c r="J5112" s="33" t="s">
        <v>7110</v>
      </c>
      <c r="K5112" s="33" t="s">
        <v>13422</v>
      </c>
      <c r="L5112" s="53" t="str">
        <f t="shared" si="133"/>
        <v>پاکستان</v>
      </c>
      <c r="M5112" s="68" t="str">
        <f>"فله"</f>
        <v>فله</v>
      </c>
      <c r="N5112" s="53" t="str">
        <f>"پيشين"</f>
        <v>پيشين</v>
      </c>
      <c r="O5112" s="53">
        <v>55301</v>
      </c>
      <c r="P5112" s="198" t="str">
        <f>"1396544239001"</f>
        <v>1396544239001</v>
      </c>
    </row>
    <row r="5113" spans="1:16" ht="18.75" hidden="1">
      <c r="A5113" s="50" t="str">
        <f>"15100-562683"</f>
        <v>15100-562683</v>
      </c>
      <c r="B5113" s="50" t="str">
        <f>"97/01/18"</f>
        <v>97/01/18</v>
      </c>
      <c r="C5113" s="50" t="s">
        <v>13454</v>
      </c>
      <c r="D5113" s="12" t="s">
        <v>12895</v>
      </c>
      <c r="E5113" s="12" t="s">
        <v>4971</v>
      </c>
      <c r="F5113" s="49">
        <v>200000</v>
      </c>
      <c r="G5113" s="77" t="str">
        <f>"DAXON PETROLEUM"</f>
        <v>DAXON PETROLEUM</v>
      </c>
      <c r="H5113" s="14" t="s">
        <v>5601</v>
      </c>
      <c r="I5113" s="14" t="s">
        <v>2458</v>
      </c>
      <c r="J5113" s="33" t="s">
        <v>7110</v>
      </c>
      <c r="K5113" s="33" t="s">
        <v>13422</v>
      </c>
      <c r="L5113" s="53" t="str">
        <f t="shared" si="133"/>
        <v>پاکستان</v>
      </c>
      <c r="M5113" s="68" t="str">
        <f>"فله"</f>
        <v>فله</v>
      </c>
      <c r="N5113" s="53" t="str">
        <f>"پيشين"</f>
        <v>پيشين</v>
      </c>
      <c r="O5113" s="53">
        <v>55301</v>
      </c>
      <c r="P5113" s="198" t="str">
        <f>"1396548700001"</f>
        <v>1396548700001</v>
      </c>
    </row>
    <row r="5114" spans="1:16" ht="18.75" hidden="1">
      <c r="A5114" s="50" t="str">
        <f>"15100-562683"</f>
        <v>15100-562683</v>
      </c>
      <c r="B5114" s="50" t="str">
        <f>"97/01/18"</f>
        <v>97/01/18</v>
      </c>
      <c r="C5114" s="50" t="s">
        <v>13444</v>
      </c>
      <c r="D5114" s="12" t="s">
        <v>12895</v>
      </c>
      <c r="E5114" s="12" t="s">
        <v>4971</v>
      </c>
      <c r="F5114" s="49">
        <v>63300</v>
      </c>
      <c r="G5114" s="77" t="str">
        <f>"DAXON PETROLEUM"</f>
        <v>DAXON PETROLEUM</v>
      </c>
      <c r="H5114" s="14" t="s">
        <v>5601</v>
      </c>
      <c r="I5114" s="14" t="s">
        <v>2458</v>
      </c>
      <c r="J5114" s="33" t="s">
        <v>7110</v>
      </c>
      <c r="K5114" s="33" t="s">
        <v>13422</v>
      </c>
      <c r="L5114" s="53" t="str">
        <f t="shared" si="133"/>
        <v>پاکستان</v>
      </c>
      <c r="M5114" s="68" t="str">
        <f>"فله"</f>
        <v>فله</v>
      </c>
      <c r="N5114" s="53" t="str">
        <f>"پيشين"</f>
        <v>پيشين</v>
      </c>
      <c r="O5114" s="53">
        <v>55301</v>
      </c>
      <c r="P5114" s="198" t="str">
        <f>"1396548700001"</f>
        <v>1396548700001</v>
      </c>
    </row>
    <row r="5115" spans="1:16" ht="18.75" hidden="1">
      <c r="A5115" s="50" t="str">
        <f>"15100-562683"</f>
        <v>15100-562683</v>
      </c>
      <c r="B5115" s="50" t="str">
        <f>"97/01/18"</f>
        <v>97/01/18</v>
      </c>
      <c r="C5115" s="50" t="s">
        <v>13455</v>
      </c>
      <c r="D5115" s="12" t="s">
        <v>13002</v>
      </c>
      <c r="E5115" s="12" t="s">
        <v>4971</v>
      </c>
      <c r="F5115" s="49">
        <v>205820</v>
      </c>
      <c r="G5115" s="77" t="str">
        <f>"SHINING GREEN STAR FZE"</f>
        <v>SHINING GREEN STAR FZE</v>
      </c>
      <c r="H5115" s="14" t="s">
        <v>5601</v>
      </c>
      <c r="I5115" s="14" t="s">
        <v>2458</v>
      </c>
      <c r="J5115" s="33" t="e">
        <f>VLOOKUP(C5115,شرکتها!A:B,2,FALSE)</f>
        <v>#N/A</v>
      </c>
      <c r="K5115" s="33" t="s">
        <v>13422</v>
      </c>
      <c r="L5115" s="53" t="str">
        <f t="shared" si="133"/>
        <v>پاکستان</v>
      </c>
      <c r="M5115" s="68" t="str">
        <f>"فله"</f>
        <v>فله</v>
      </c>
      <c r="N5115" s="53" t="str">
        <f>"پيشين"</f>
        <v>پيشين</v>
      </c>
      <c r="O5115" s="53">
        <v>55301</v>
      </c>
      <c r="P5115" s="198" t="str">
        <f>"1396548703001"</f>
        <v>1396548703001</v>
      </c>
    </row>
    <row r="5116" spans="1:16" ht="18.75" hidden="1">
      <c r="A5116" s="50" t="str">
        <f>"15100-567599"</f>
        <v>15100-567599</v>
      </c>
      <c r="B5116" s="50" t="str">
        <f>"97/01/22"</f>
        <v>97/01/22</v>
      </c>
      <c r="C5116" s="50" t="s">
        <v>13456</v>
      </c>
      <c r="D5116" s="12" t="s">
        <v>12717</v>
      </c>
      <c r="E5116" s="12" t="s">
        <v>4971</v>
      </c>
      <c r="F5116" s="49">
        <v>47230</v>
      </c>
      <c r="G5116" s="77" t="str">
        <f>"HERAT GHORBAND CONSTRUCTION COMPANY"</f>
        <v>HERAT GHORBAND CONSTRUCTION COMPANY</v>
      </c>
      <c r="H5116" s="14" t="s">
        <v>5601</v>
      </c>
      <c r="I5116" s="14" t="s">
        <v>2458</v>
      </c>
      <c r="J5116" s="33" t="s">
        <v>7110</v>
      </c>
      <c r="K5116" s="33" t="s">
        <v>13422</v>
      </c>
      <c r="L5116" s="53" t="str">
        <f t="shared" si="133"/>
        <v>پاکستان</v>
      </c>
      <c r="M5116" s="68" t="str">
        <f>"بشكه"</f>
        <v>بشكه</v>
      </c>
      <c r="N5116" s="53" t="str">
        <f>"تفتان (ميرجاوه)"</f>
        <v>تفتان (ميرجاوه)</v>
      </c>
      <c r="O5116" s="53">
        <v>55200</v>
      </c>
      <c r="P5116" s="198" t="str">
        <f>"1396534629001"</f>
        <v>1396534629001</v>
      </c>
    </row>
    <row r="5117" spans="1:16" ht="18.75" hidden="1">
      <c r="A5117" s="50" t="str">
        <f>"15100-568390"</f>
        <v>15100-568390</v>
      </c>
      <c r="B5117" s="50" t="str">
        <f>"97/01/23"</f>
        <v>97/01/23</v>
      </c>
      <c r="C5117" s="50" t="s">
        <v>13457</v>
      </c>
      <c r="D5117" s="12" t="s">
        <v>12944</v>
      </c>
      <c r="E5117" s="12" t="s">
        <v>4971</v>
      </c>
      <c r="F5117" s="49">
        <v>46450</v>
      </c>
      <c r="G5117" s="77" t="str">
        <f>"LLC Sebco Bitumen"</f>
        <v>LLC Sebco Bitumen</v>
      </c>
      <c r="H5117" s="14" t="s">
        <v>5601</v>
      </c>
      <c r="I5117" s="14" t="s">
        <v>2458</v>
      </c>
      <c r="J5117" s="33" t="s">
        <v>7110</v>
      </c>
      <c r="K5117" s="33" t="s">
        <v>13422</v>
      </c>
      <c r="L5117" s="53" t="str">
        <f t="shared" si="133"/>
        <v>پاکستان</v>
      </c>
      <c r="M5117" s="68" t="str">
        <f>"بشكه"</f>
        <v>بشكه</v>
      </c>
      <c r="N5117" s="53" t="str">
        <f>"تفتان (ميرجاوه)"</f>
        <v>تفتان (ميرجاوه)</v>
      </c>
      <c r="O5117" s="53">
        <v>55200</v>
      </c>
      <c r="P5117" s="198" t="str">
        <f>"1396546618001"</f>
        <v>1396546618001</v>
      </c>
    </row>
    <row r="5118" spans="1:16" ht="18.75" hidden="1">
      <c r="A5118" s="50" t="str">
        <f>"15100-562683"</f>
        <v>15100-562683</v>
      </c>
      <c r="B5118" s="50" t="str">
        <f>"97/01/18"</f>
        <v>97/01/18</v>
      </c>
      <c r="C5118" s="50" t="s">
        <v>13441</v>
      </c>
      <c r="D5118" s="12" t="s">
        <v>13318</v>
      </c>
      <c r="E5118" s="12" t="s">
        <v>13333</v>
      </c>
      <c r="F5118" s="49">
        <v>65280</v>
      </c>
      <c r="G5118" s="77" t="str">
        <f>"West Asia Sun LLC"</f>
        <v>West Asia Sun LLC</v>
      </c>
      <c r="H5118" s="14" t="s">
        <v>5601</v>
      </c>
      <c r="I5118" s="14" t="s">
        <v>2458</v>
      </c>
      <c r="J5118" s="33" t="s">
        <v>7110</v>
      </c>
      <c r="K5118" s="33" t="s">
        <v>13422</v>
      </c>
      <c r="L5118" s="53" t="str">
        <f t="shared" si="133"/>
        <v>پاکستان</v>
      </c>
      <c r="M5118" s="68" t="str">
        <f>"فله"</f>
        <v>فله</v>
      </c>
      <c r="N5118" s="53" t="str">
        <f>"پيشين"</f>
        <v>پيشين</v>
      </c>
      <c r="O5118" s="53">
        <v>55301</v>
      </c>
      <c r="P5118" s="198" t="str">
        <f>"1396548706001"</f>
        <v>1396548706001</v>
      </c>
    </row>
    <row r="5119" spans="1:16" ht="18.75" hidden="1">
      <c r="A5119" s="50" t="str">
        <f>"15100-562683"</f>
        <v>15100-562683</v>
      </c>
      <c r="B5119" s="50" t="str">
        <f>"97/01/18"</f>
        <v>97/01/18</v>
      </c>
      <c r="C5119" s="50" t="s">
        <v>13196</v>
      </c>
      <c r="D5119" s="12" t="s">
        <v>12824</v>
      </c>
      <c r="E5119" s="12" t="s">
        <v>4971</v>
      </c>
      <c r="F5119" s="49">
        <v>24680</v>
      </c>
      <c r="G5119" s="77" t="str">
        <f>"M/S J.K. Khan Group"</f>
        <v>M/S J.K. Khan Group</v>
      </c>
      <c r="H5119" s="14" t="s">
        <v>5601</v>
      </c>
      <c r="I5119" s="14" t="s">
        <v>2458</v>
      </c>
      <c r="J5119" s="33" t="s">
        <v>7110</v>
      </c>
      <c r="K5119" s="33" t="s">
        <v>13422</v>
      </c>
      <c r="L5119" s="53" t="str">
        <f t="shared" si="133"/>
        <v>پاکستان</v>
      </c>
      <c r="M5119" s="68" t="str">
        <f>"فله"</f>
        <v>فله</v>
      </c>
      <c r="N5119" s="53" t="str">
        <f>"پيشين"</f>
        <v>پيشين</v>
      </c>
      <c r="O5119" s="53">
        <v>55301</v>
      </c>
      <c r="P5119" s="198" t="str">
        <f>"1396552142001"</f>
        <v>1396552142001</v>
      </c>
    </row>
    <row r="5120" spans="1:16" ht="18.75" hidden="1">
      <c r="A5120" s="50" t="str">
        <f>"15100-562233"</f>
        <v>15100-562233</v>
      </c>
      <c r="B5120" s="50" t="str">
        <f>"97/01/16"</f>
        <v>97/01/16</v>
      </c>
      <c r="C5120" s="50" t="s">
        <v>13412</v>
      </c>
      <c r="D5120" s="12" t="s">
        <v>13195</v>
      </c>
      <c r="E5120" s="12" t="s">
        <v>4971</v>
      </c>
      <c r="F5120" s="49">
        <v>25710</v>
      </c>
      <c r="G5120" s="77" t="str">
        <f>"SHINING GREEN STAR FZE"</f>
        <v>SHINING GREEN STAR FZE</v>
      </c>
      <c r="H5120" s="14" t="s">
        <v>5601</v>
      </c>
      <c r="I5120" s="14" t="s">
        <v>2458</v>
      </c>
      <c r="J5120" s="33" t="s">
        <v>7110</v>
      </c>
      <c r="K5120" s="33" t="s">
        <v>13422</v>
      </c>
      <c r="L5120" s="53" t="str">
        <f t="shared" si="133"/>
        <v>پاکستان</v>
      </c>
      <c r="M5120" s="68" t="str">
        <f>"بشكه"</f>
        <v>بشكه</v>
      </c>
      <c r="N5120" s="53" t="str">
        <f>"تفتان (ميرجاوه)"</f>
        <v>تفتان (ميرجاوه)</v>
      </c>
      <c r="O5120" s="53">
        <v>55200</v>
      </c>
      <c r="P5120" s="198" t="str">
        <f>"1396540543001"</f>
        <v>1396540543001</v>
      </c>
    </row>
    <row r="5121" spans="1:16" ht="18.75" hidden="1">
      <c r="A5121" s="50" t="str">
        <f>"15100-562683"</f>
        <v>15100-562683</v>
      </c>
      <c r="B5121" s="50" t="str">
        <f>"97/01/18"</f>
        <v>97/01/18</v>
      </c>
      <c r="C5121" s="50" t="s">
        <v>13412</v>
      </c>
      <c r="D5121" s="12" t="s">
        <v>13195</v>
      </c>
      <c r="E5121" s="12" t="s">
        <v>4971</v>
      </c>
      <c r="F5121" s="49">
        <v>2330</v>
      </c>
      <c r="G5121" s="77" t="str">
        <f>"SHINING GREEN STAR FZE"</f>
        <v>SHINING GREEN STAR FZE</v>
      </c>
      <c r="H5121" s="14" t="s">
        <v>5601</v>
      </c>
      <c r="I5121" s="14" t="s">
        <v>2458</v>
      </c>
      <c r="J5121" s="33" t="s">
        <v>7110</v>
      </c>
      <c r="K5121" s="33" t="s">
        <v>13422</v>
      </c>
      <c r="L5121" s="53" t="str">
        <f t="shared" si="133"/>
        <v>پاکستان</v>
      </c>
      <c r="M5121" s="68" t="str">
        <f>"فله"</f>
        <v>فله</v>
      </c>
      <c r="N5121" s="53" t="str">
        <f>"پيشين"</f>
        <v>پيشين</v>
      </c>
      <c r="O5121" s="53">
        <v>55301</v>
      </c>
      <c r="P5121" s="198" t="str">
        <f>"1396540543001"</f>
        <v>1396540543001</v>
      </c>
    </row>
    <row r="5122" spans="1:16" ht="18.75" hidden="1">
      <c r="A5122" s="50" t="str">
        <f>"15100-568390"</f>
        <v>15100-568390</v>
      </c>
      <c r="B5122" s="50" t="str">
        <f>"97/01/23"</f>
        <v>97/01/23</v>
      </c>
      <c r="C5122" s="50" t="s">
        <v>13428</v>
      </c>
      <c r="D5122" s="12" t="s">
        <v>13184</v>
      </c>
      <c r="E5122" s="12" t="s">
        <v>13333</v>
      </c>
      <c r="F5122" s="49">
        <v>122700</v>
      </c>
      <c r="G5122" s="77" t="str">
        <f>"SHINING GREEN STAR FZE"</f>
        <v>SHINING GREEN STAR FZE</v>
      </c>
      <c r="H5122" s="14" t="s">
        <v>5601</v>
      </c>
      <c r="I5122" s="14" t="s">
        <v>2458</v>
      </c>
      <c r="J5122" s="33" t="e">
        <f>VLOOKUP(C5122,شرکتها!A:B,2,FALSE)</f>
        <v>#N/A</v>
      </c>
      <c r="K5122" s="33" t="s">
        <v>13422</v>
      </c>
      <c r="L5122" s="53" t="str">
        <f t="shared" si="133"/>
        <v>پاکستان</v>
      </c>
      <c r="M5122" s="68" t="str">
        <f>"بشكه"</f>
        <v>بشكه</v>
      </c>
      <c r="N5122" s="53" t="str">
        <f>"تفتان (ميرجاوه)"</f>
        <v>تفتان (ميرجاوه)</v>
      </c>
      <c r="O5122" s="53">
        <v>55200</v>
      </c>
      <c r="P5122" s="198" t="str">
        <f>"1396548703001"</f>
        <v>1396548703001</v>
      </c>
    </row>
    <row r="5123" spans="1:16" ht="18.75" hidden="1">
      <c r="A5123" s="50" t="str">
        <f>"15100-565510"</f>
        <v>15100-565510</v>
      </c>
      <c r="B5123" s="50" t="str">
        <f>"97/01/19"</f>
        <v>97/01/19</v>
      </c>
      <c r="C5123" s="50" t="s">
        <v>13458</v>
      </c>
      <c r="D5123" s="12" t="s">
        <v>12734</v>
      </c>
      <c r="E5123" s="12" t="s">
        <v>4971</v>
      </c>
      <c r="F5123" s="49">
        <v>31120</v>
      </c>
      <c r="G5123" s="77" t="str">
        <f>"LLC Sebco Bitumen"</f>
        <v>LLC Sebco Bitumen</v>
      </c>
      <c r="H5123" s="14" t="s">
        <v>5601</v>
      </c>
      <c r="I5123" s="14" t="s">
        <v>2458</v>
      </c>
      <c r="J5123" s="33" t="s">
        <v>7110</v>
      </c>
      <c r="K5123" s="33" t="s">
        <v>13422</v>
      </c>
      <c r="L5123" s="53" t="str">
        <f t="shared" si="133"/>
        <v>پاکستان</v>
      </c>
      <c r="M5123" s="68" t="str">
        <f>"بشكه"</f>
        <v>بشكه</v>
      </c>
      <c r="N5123" s="53" t="str">
        <f>"تفتان (ميرجاوه)"</f>
        <v>تفتان (ميرجاوه)</v>
      </c>
      <c r="O5123" s="53">
        <v>55200</v>
      </c>
      <c r="P5123" s="198" t="str">
        <f>"1396540546001"</f>
        <v>1396540546001</v>
      </c>
    </row>
    <row r="5124" spans="1:16" ht="18.75" hidden="1">
      <c r="A5124" s="50" t="str">
        <f>"15100-565510"</f>
        <v>15100-565510</v>
      </c>
      <c r="B5124" s="50" t="str">
        <f>"97/01/19"</f>
        <v>97/01/19</v>
      </c>
      <c r="C5124" s="50" t="s">
        <v>13459</v>
      </c>
      <c r="D5124" s="12" t="s">
        <v>12705</v>
      </c>
      <c r="E5124" s="12" t="s">
        <v>4971</v>
      </c>
      <c r="F5124" s="49">
        <v>218820</v>
      </c>
      <c r="G5124" s="77" t="str">
        <f>"LLC Sebco Bitumen"</f>
        <v>LLC Sebco Bitumen</v>
      </c>
      <c r="H5124" s="14" t="s">
        <v>5601</v>
      </c>
      <c r="I5124" s="14" t="s">
        <v>2458</v>
      </c>
      <c r="J5124" s="33" t="s">
        <v>7110</v>
      </c>
      <c r="K5124" s="33" t="s">
        <v>13422</v>
      </c>
      <c r="L5124" s="53" t="str">
        <f t="shared" si="133"/>
        <v>پاکستان</v>
      </c>
      <c r="M5124" s="68" t="str">
        <f>"بشكه"</f>
        <v>بشكه</v>
      </c>
      <c r="N5124" s="53" t="str">
        <f>"تفتان (ميرجاوه)"</f>
        <v>تفتان (ميرجاوه)</v>
      </c>
      <c r="O5124" s="53">
        <v>55200</v>
      </c>
      <c r="P5124" s="198" t="str">
        <f>"1396546618001"</f>
        <v>1396546618001</v>
      </c>
    </row>
    <row r="5125" spans="1:16" ht="18.75" hidden="1">
      <c r="A5125" s="50" t="str">
        <f>"15100-562218"</f>
        <v>15100-562218</v>
      </c>
      <c r="B5125" s="50" t="str">
        <f>"97/01/16"</f>
        <v>97/01/16</v>
      </c>
      <c r="C5125" s="50" t="s">
        <v>13460</v>
      </c>
      <c r="D5125" s="12" t="s">
        <v>13375</v>
      </c>
      <c r="E5125" s="12" t="s">
        <v>4971</v>
      </c>
      <c r="F5125" s="49">
        <v>119080</v>
      </c>
      <c r="G5125" s="77" t="str">
        <f>"West Asia Sun LLC"</f>
        <v>West Asia Sun LLC</v>
      </c>
      <c r="H5125" s="14" t="s">
        <v>5601</v>
      </c>
      <c r="I5125" s="14" t="s">
        <v>2458</v>
      </c>
      <c r="J5125" s="33" t="s">
        <v>7110</v>
      </c>
      <c r="K5125" s="33" t="s">
        <v>13422</v>
      </c>
      <c r="L5125" s="53" t="str">
        <f t="shared" si="133"/>
        <v>پاکستان</v>
      </c>
      <c r="M5125" s="68" t="str">
        <f>"فله"</f>
        <v>فله</v>
      </c>
      <c r="N5125" s="53" t="str">
        <f>"پيشين"</f>
        <v>پيشين</v>
      </c>
      <c r="O5125" s="53">
        <v>55301</v>
      </c>
      <c r="P5125" s="198" t="str">
        <f>"1396548706001"</f>
        <v>1396548706001</v>
      </c>
    </row>
    <row r="5126" spans="1:16" ht="18.75" hidden="1">
      <c r="A5126" s="50" t="str">
        <f>"15100-562218"</f>
        <v>15100-562218</v>
      </c>
      <c r="B5126" s="50" t="str">
        <f>"97/01/16"</f>
        <v>97/01/16</v>
      </c>
      <c r="C5126" s="50" t="s">
        <v>13284</v>
      </c>
      <c r="D5126" s="12" t="s">
        <v>12701</v>
      </c>
      <c r="E5126" s="12" t="s">
        <v>4971</v>
      </c>
      <c r="F5126" s="49">
        <v>247825</v>
      </c>
      <c r="G5126" s="77" t="str">
        <f>"DAXON PETROLEUM"</f>
        <v>DAXON PETROLEUM</v>
      </c>
      <c r="H5126" s="14" t="s">
        <v>5601</v>
      </c>
      <c r="I5126" s="14" t="s">
        <v>2458</v>
      </c>
      <c r="J5126" s="33" t="s">
        <v>7110</v>
      </c>
      <c r="K5126" s="33" t="s">
        <v>13422</v>
      </c>
      <c r="L5126" s="53" t="str">
        <f t="shared" si="133"/>
        <v>پاکستان</v>
      </c>
      <c r="M5126" s="68" t="str">
        <f>"فله"</f>
        <v>فله</v>
      </c>
      <c r="N5126" s="53" t="str">
        <f>"پيشين"</f>
        <v>پيشين</v>
      </c>
      <c r="O5126" s="53">
        <v>55301</v>
      </c>
      <c r="P5126" s="198" t="str">
        <f>"1396538724001"</f>
        <v>1396538724001</v>
      </c>
    </row>
    <row r="5127" spans="1:16" ht="18.75" hidden="1">
      <c r="A5127" s="50" t="str">
        <f>"15100-562218"</f>
        <v>15100-562218</v>
      </c>
      <c r="B5127" s="50" t="str">
        <f>"97/01/16"</f>
        <v>97/01/16</v>
      </c>
      <c r="C5127" s="50" t="s">
        <v>13449</v>
      </c>
      <c r="D5127" s="12" t="s">
        <v>12689</v>
      </c>
      <c r="E5127" s="12" t="s">
        <v>4971</v>
      </c>
      <c r="F5127" s="49">
        <v>93385</v>
      </c>
      <c r="G5127" s="77" t="str">
        <f>"DAXON PETROLEUM"</f>
        <v>DAXON PETROLEUM</v>
      </c>
      <c r="H5127" s="14" t="s">
        <v>5601</v>
      </c>
      <c r="I5127" s="14" t="s">
        <v>2458</v>
      </c>
      <c r="J5127" s="33" t="s">
        <v>7110</v>
      </c>
      <c r="K5127" s="33" t="s">
        <v>13422</v>
      </c>
      <c r="L5127" s="53" t="str">
        <f t="shared" si="133"/>
        <v>پاکستان</v>
      </c>
      <c r="M5127" s="68" t="str">
        <f>"فله"</f>
        <v>فله</v>
      </c>
      <c r="N5127" s="53" t="str">
        <f>"پيشين"</f>
        <v>پيشين</v>
      </c>
      <c r="O5127" s="53">
        <v>55301</v>
      </c>
      <c r="P5127" s="198" t="str">
        <f>"1396538724001"</f>
        <v>1396538724001</v>
      </c>
    </row>
    <row r="5128" spans="1:16" ht="18.75" hidden="1">
      <c r="A5128" s="50" t="str">
        <f>"15100-562218"</f>
        <v>15100-562218</v>
      </c>
      <c r="B5128" s="50" t="str">
        <f>"97/01/16"</f>
        <v>97/01/16</v>
      </c>
      <c r="C5128" s="50" t="s">
        <v>12948</v>
      </c>
      <c r="D5128" s="12" t="s">
        <v>12734</v>
      </c>
      <c r="E5128" s="12" t="s">
        <v>4971</v>
      </c>
      <c r="F5128" s="49">
        <v>18790</v>
      </c>
      <c r="G5128" s="77" t="str">
        <f>"DAXON PETROLEUM"</f>
        <v>DAXON PETROLEUM</v>
      </c>
      <c r="H5128" s="14" t="s">
        <v>5601</v>
      </c>
      <c r="I5128" s="14" t="s">
        <v>2458</v>
      </c>
      <c r="J5128" s="33" t="s">
        <v>7110</v>
      </c>
      <c r="K5128" s="33" t="s">
        <v>13422</v>
      </c>
      <c r="L5128" s="53" t="str">
        <f t="shared" si="133"/>
        <v>پاکستان</v>
      </c>
      <c r="M5128" s="68" t="str">
        <f>"فله"</f>
        <v>فله</v>
      </c>
      <c r="N5128" s="53" t="str">
        <f>"پيشين"</f>
        <v>پيشين</v>
      </c>
      <c r="O5128" s="53">
        <v>55301</v>
      </c>
      <c r="P5128" s="198" t="str">
        <f>"1396538724001"</f>
        <v>1396538724001</v>
      </c>
    </row>
    <row r="5129" spans="1:16" ht="18.75" hidden="1">
      <c r="A5129" s="50" t="str">
        <f>"15100-566981"</f>
        <v>15100-566981</v>
      </c>
      <c r="B5129" s="50" t="str">
        <f>"97/01/21"</f>
        <v>97/01/21</v>
      </c>
      <c r="C5129" s="50" t="s">
        <v>13461</v>
      </c>
      <c r="D5129" s="12" t="s">
        <v>12765</v>
      </c>
      <c r="E5129" s="12" t="s">
        <v>4971</v>
      </c>
      <c r="F5129" s="49">
        <v>47400</v>
      </c>
      <c r="G5129" s="77" t="str">
        <f>"LLC Sebco Bitumen"</f>
        <v>LLC Sebco Bitumen</v>
      </c>
      <c r="H5129" s="14" t="s">
        <v>5601</v>
      </c>
      <c r="I5129" s="14" t="s">
        <v>2458</v>
      </c>
      <c r="J5129" s="33" t="s">
        <v>7110</v>
      </c>
      <c r="K5129" s="33" t="s">
        <v>13422</v>
      </c>
      <c r="L5129" s="53" t="str">
        <f t="shared" ref="L5129:L5186" si="136">"پاکستان"</f>
        <v>پاکستان</v>
      </c>
      <c r="M5129" s="68" t="str">
        <f>"بشكه"</f>
        <v>بشكه</v>
      </c>
      <c r="N5129" s="53" t="str">
        <f>"تفتان (ميرجاوه)"</f>
        <v>تفتان (ميرجاوه)</v>
      </c>
      <c r="O5129" s="53">
        <v>55200</v>
      </c>
      <c r="P5129" s="198" t="str">
        <f>"1396546618001"</f>
        <v>1396546618001</v>
      </c>
    </row>
    <row r="5130" spans="1:16" ht="18.75" hidden="1">
      <c r="A5130" s="50" t="str">
        <f>"15100-567042"</f>
        <v>15100-567042</v>
      </c>
      <c r="B5130" s="50" t="str">
        <f>"97/01/21"</f>
        <v>97/01/21</v>
      </c>
      <c r="C5130" s="50" t="s">
        <v>13461</v>
      </c>
      <c r="D5130" s="12" t="s">
        <v>12765</v>
      </c>
      <c r="E5130" s="12" t="s">
        <v>4971</v>
      </c>
      <c r="F5130" s="49">
        <v>133380</v>
      </c>
      <c r="G5130" s="77" t="str">
        <f>"LLC Sebco Bitumen"</f>
        <v>LLC Sebco Bitumen</v>
      </c>
      <c r="H5130" s="14" t="s">
        <v>5601</v>
      </c>
      <c r="I5130" s="14" t="s">
        <v>2458</v>
      </c>
      <c r="J5130" s="33" t="s">
        <v>7110</v>
      </c>
      <c r="K5130" s="33" t="s">
        <v>13422</v>
      </c>
      <c r="L5130" s="53" t="str">
        <f t="shared" si="136"/>
        <v>پاکستان</v>
      </c>
      <c r="M5130" s="68" t="str">
        <f>"فله"</f>
        <v>فله</v>
      </c>
      <c r="N5130" s="53" t="str">
        <f>"بازارچه کوهک سراوان"</f>
        <v>بازارچه کوهک سراوان</v>
      </c>
      <c r="O5130" s="53">
        <v>55107</v>
      </c>
      <c r="P5130" s="198" t="str">
        <f>"1396546618001"</f>
        <v>1396546618001</v>
      </c>
    </row>
    <row r="5131" spans="1:16" ht="18.75" hidden="1">
      <c r="A5131" s="50" t="str">
        <f>"15100-565528"</f>
        <v>15100-565528</v>
      </c>
      <c r="B5131" s="50" t="str">
        <f>"97/01/19"</f>
        <v>97/01/19</v>
      </c>
      <c r="C5131" s="50" t="s">
        <v>13442</v>
      </c>
      <c r="D5131" s="12" t="s">
        <v>12898</v>
      </c>
      <c r="E5131" s="12" t="s">
        <v>4971</v>
      </c>
      <c r="F5131" s="49">
        <v>11010</v>
      </c>
      <c r="G5131" s="77" t="str">
        <f>"DAXON PETROLEUM"</f>
        <v>DAXON PETROLEUM</v>
      </c>
      <c r="H5131" s="14" t="s">
        <v>5601</v>
      </c>
      <c r="I5131" s="14" t="s">
        <v>2458</v>
      </c>
      <c r="J5131" s="33" t="s">
        <v>7110</v>
      </c>
      <c r="K5131" s="33" t="s">
        <v>13422</v>
      </c>
      <c r="L5131" s="53" t="str">
        <f t="shared" si="136"/>
        <v>پاکستان</v>
      </c>
      <c r="M5131" s="68" t="str">
        <f>"بشكه"</f>
        <v>بشكه</v>
      </c>
      <c r="N5131" s="53" t="str">
        <f>"پيشين"</f>
        <v>پيشين</v>
      </c>
      <c r="O5131" s="53">
        <v>55301</v>
      </c>
      <c r="P5131" s="198" t="str">
        <f>"1396543100001"</f>
        <v>1396543100001</v>
      </c>
    </row>
    <row r="5132" spans="1:16" ht="18.75" hidden="1">
      <c r="A5132" s="50" t="str">
        <f>"15100-562218"</f>
        <v>15100-562218</v>
      </c>
      <c r="B5132" s="50" t="str">
        <f>"97/01/16"</f>
        <v>97/01/16</v>
      </c>
      <c r="C5132" s="50" t="s">
        <v>13412</v>
      </c>
      <c r="D5132" s="12" t="s">
        <v>13195</v>
      </c>
      <c r="E5132" s="12" t="s">
        <v>4971</v>
      </c>
      <c r="F5132" s="49">
        <v>620440</v>
      </c>
      <c r="G5132" s="77" t="str">
        <f>"SHINING GREEN STAR FZE"</f>
        <v>SHINING GREEN STAR FZE</v>
      </c>
      <c r="H5132" s="14" t="s">
        <v>5601</v>
      </c>
      <c r="I5132" s="14" t="s">
        <v>2458</v>
      </c>
      <c r="J5132" s="33" t="s">
        <v>7110</v>
      </c>
      <c r="K5132" s="33" t="s">
        <v>13422</v>
      </c>
      <c r="L5132" s="53" t="str">
        <f t="shared" si="136"/>
        <v>پاکستان</v>
      </c>
      <c r="M5132" s="68" t="str">
        <f t="shared" ref="M5132:M5139" si="137">"فله"</f>
        <v>فله</v>
      </c>
      <c r="N5132" s="53" t="str">
        <f>"پيشين"</f>
        <v>پيشين</v>
      </c>
      <c r="O5132" s="53">
        <v>55301</v>
      </c>
      <c r="P5132" s="198" t="str">
        <f>"1396540543001"</f>
        <v>1396540543001</v>
      </c>
    </row>
    <row r="5133" spans="1:16" ht="18.75" hidden="1">
      <c r="A5133" s="50" t="str">
        <f>"15100-567672"</f>
        <v>15100-567672</v>
      </c>
      <c r="B5133" s="50" t="str">
        <f>"97/01/22"</f>
        <v>97/01/22</v>
      </c>
      <c r="C5133" s="50" t="s">
        <v>13434</v>
      </c>
      <c r="D5133" s="12" t="s">
        <v>13343</v>
      </c>
      <c r="E5133" s="12" t="s">
        <v>13333</v>
      </c>
      <c r="F5133" s="49">
        <v>23220</v>
      </c>
      <c r="G5133" s="77" t="str">
        <f>"PETRO FOLIO"</f>
        <v>PETRO FOLIO</v>
      </c>
      <c r="H5133" s="14" t="s">
        <v>5601</v>
      </c>
      <c r="I5133" s="14" t="s">
        <v>2458</v>
      </c>
      <c r="J5133" s="33" t="s">
        <v>7110</v>
      </c>
      <c r="K5133" s="33" t="s">
        <v>13422</v>
      </c>
      <c r="L5133" s="53" t="str">
        <f t="shared" si="136"/>
        <v>پاکستان</v>
      </c>
      <c r="M5133" s="68" t="str">
        <f t="shared" si="137"/>
        <v>فله</v>
      </c>
      <c r="N5133" s="53" t="str">
        <f>"تفتان (ميرجاوه)"</f>
        <v>تفتان (ميرجاوه)</v>
      </c>
      <c r="O5133" s="53">
        <v>55200</v>
      </c>
      <c r="P5133" s="198" t="str">
        <f>"1396552140001"</f>
        <v>1396552140001</v>
      </c>
    </row>
    <row r="5134" spans="1:16" ht="18.75" hidden="1">
      <c r="A5134" s="50" t="str">
        <f>"15100-562218"</f>
        <v>15100-562218</v>
      </c>
      <c r="B5134" s="50" t="str">
        <f>"97/01/16"</f>
        <v>97/01/16</v>
      </c>
      <c r="C5134" s="50" t="s">
        <v>13462</v>
      </c>
      <c r="D5134" s="12" t="s">
        <v>12711</v>
      </c>
      <c r="E5134" s="12" t="s">
        <v>4971</v>
      </c>
      <c r="F5134" s="49">
        <v>200000</v>
      </c>
      <c r="G5134" s="77" t="str">
        <f>"DAXON PETROLEUM"</f>
        <v>DAXON PETROLEUM</v>
      </c>
      <c r="H5134" s="14" t="s">
        <v>5601</v>
      </c>
      <c r="I5134" s="14" t="s">
        <v>2458</v>
      </c>
      <c r="J5134" s="33" t="s">
        <v>7110</v>
      </c>
      <c r="K5134" s="33" t="s">
        <v>13422</v>
      </c>
      <c r="L5134" s="53" t="str">
        <f t="shared" si="136"/>
        <v>پاکستان</v>
      </c>
      <c r="M5134" s="68" t="str">
        <f t="shared" si="137"/>
        <v>فله</v>
      </c>
      <c r="N5134" s="53" t="str">
        <f t="shared" ref="N5134:N5143" si="138">"پيشين"</f>
        <v>پيشين</v>
      </c>
      <c r="O5134" s="53">
        <v>55301</v>
      </c>
      <c r="P5134" s="198" t="str">
        <f>"1396538724001"</f>
        <v>1396538724001</v>
      </c>
    </row>
    <row r="5135" spans="1:16" ht="18.75" hidden="1">
      <c r="A5135" s="50" t="str">
        <f>"15100-568225"</f>
        <v>15100-568225</v>
      </c>
      <c r="B5135" s="50" t="str">
        <f>"97/01/23"</f>
        <v>97/01/23</v>
      </c>
      <c r="C5135" s="50" t="s">
        <v>13447</v>
      </c>
      <c r="D5135" s="12" t="s">
        <v>13318</v>
      </c>
      <c r="E5135" s="12" t="s">
        <v>13333</v>
      </c>
      <c r="F5135" s="49">
        <v>221680</v>
      </c>
      <c r="G5135" s="77" t="str">
        <f>"SHINING GREEN STAR FZE"</f>
        <v>SHINING GREEN STAR FZE</v>
      </c>
      <c r="H5135" s="14" t="s">
        <v>5601</v>
      </c>
      <c r="I5135" s="14" t="s">
        <v>2458</v>
      </c>
      <c r="J5135" s="33" t="e">
        <f>VLOOKUP(C5135,شرکتها!A:B,2,FALSE)</f>
        <v>#N/A</v>
      </c>
      <c r="K5135" s="33" t="s">
        <v>13422</v>
      </c>
      <c r="L5135" s="53" t="str">
        <f t="shared" si="136"/>
        <v>پاکستان</v>
      </c>
      <c r="M5135" s="68" t="str">
        <f t="shared" si="137"/>
        <v>فله</v>
      </c>
      <c r="N5135" s="53" t="str">
        <f t="shared" si="138"/>
        <v>پيشين</v>
      </c>
      <c r="O5135" s="53">
        <v>55301</v>
      </c>
      <c r="P5135" s="198" t="str">
        <f>"1396548703001"</f>
        <v>1396548703001</v>
      </c>
    </row>
    <row r="5136" spans="1:16" ht="18.75" hidden="1">
      <c r="A5136" s="50" t="str">
        <f>"15100-565495"</f>
        <v>15100-565495</v>
      </c>
      <c r="B5136" s="50" t="str">
        <f>"97/01/19"</f>
        <v>97/01/19</v>
      </c>
      <c r="C5136" s="50" t="s">
        <v>13448</v>
      </c>
      <c r="D5136" s="12" t="s">
        <v>13186</v>
      </c>
      <c r="E5136" s="12" t="s">
        <v>4971</v>
      </c>
      <c r="F5136" s="49">
        <v>49580</v>
      </c>
      <c r="G5136" s="77" t="str">
        <f>"M/S J.K. Khan Group"</f>
        <v>M/S J.K. Khan Group</v>
      </c>
      <c r="H5136" s="14" t="s">
        <v>5601</v>
      </c>
      <c r="I5136" s="14" t="s">
        <v>2458</v>
      </c>
      <c r="J5136" s="33" t="s">
        <v>7110</v>
      </c>
      <c r="K5136" s="33" t="s">
        <v>13422</v>
      </c>
      <c r="L5136" s="53" t="str">
        <f t="shared" si="136"/>
        <v>پاکستان</v>
      </c>
      <c r="M5136" s="68" t="str">
        <f t="shared" si="137"/>
        <v>فله</v>
      </c>
      <c r="N5136" s="53" t="str">
        <f t="shared" si="138"/>
        <v>پيشين</v>
      </c>
      <c r="O5136" s="53">
        <v>55301</v>
      </c>
      <c r="P5136" s="198" t="str">
        <f>"1396544239001"</f>
        <v>1396544239001</v>
      </c>
    </row>
    <row r="5137" spans="1:16" ht="18.75" hidden="1">
      <c r="A5137" s="50" t="str">
        <f t="shared" ref="A5137:A5138" si="139">"15100-568225"</f>
        <v>15100-568225</v>
      </c>
      <c r="B5137" s="50" t="str">
        <f>"97/01/23"</f>
        <v>97/01/23</v>
      </c>
      <c r="C5137" s="50" t="s">
        <v>13463</v>
      </c>
      <c r="D5137" s="12" t="s">
        <v>12898</v>
      </c>
      <c r="E5137" s="12" t="s">
        <v>4971</v>
      </c>
      <c r="F5137" s="49">
        <v>11540</v>
      </c>
      <c r="G5137" s="77" t="str">
        <f>"Black Gold Traders FZE"</f>
        <v>Black Gold Traders FZE</v>
      </c>
      <c r="H5137" s="14" t="s">
        <v>5601</v>
      </c>
      <c r="I5137" s="14" t="s">
        <v>2458</v>
      </c>
      <c r="J5137" s="33" t="s">
        <v>7110</v>
      </c>
      <c r="K5137" s="33" t="s">
        <v>13422</v>
      </c>
      <c r="L5137" s="53" t="str">
        <f t="shared" si="136"/>
        <v>پاکستان</v>
      </c>
      <c r="M5137" s="68" t="str">
        <f t="shared" si="137"/>
        <v>فله</v>
      </c>
      <c r="N5137" s="53" t="str">
        <f t="shared" si="138"/>
        <v>پيشين</v>
      </c>
      <c r="O5137" s="53">
        <v>55301</v>
      </c>
      <c r="P5137" s="198" t="str">
        <f>"1396548895001"</f>
        <v>1396548895001</v>
      </c>
    </row>
    <row r="5138" spans="1:16" ht="18.75" hidden="1">
      <c r="A5138" s="50" t="str">
        <f t="shared" si="139"/>
        <v>15100-568225</v>
      </c>
      <c r="B5138" s="50" t="str">
        <f>"97/01/23"</f>
        <v>97/01/23</v>
      </c>
      <c r="C5138" s="50" t="s">
        <v>13428</v>
      </c>
      <c r="D5138" s="12" t="s">
        <v>13184</v>
      </c>
      <c r="E5138" s="12" t="s">
        <v>13333</v>
      </c>
      <c r="F5138" s="49">
        <v>204800</v>
      </c>
      <c r="G5138" s="77" t="str">
        <f>"SHINING GREEN STAR FZE"</f>
        <v>SHINING GREEN STAR FZE</v>
      </c>
      <c r="H5138" s="14" t="s">
        <v>5601</v>
      </c>
      <c r="I5138" s="14" t="s">
        <v>2458</v>
      </c>
      <c r="J5138" s="33" t="e">
        <f>VLOOKUP(C5138,شرکتها!A:B,2,FALSE)</f>
        <v>#N/A</v>
      </c>
      <c r="K5138" s="33" t="s">
        <v>13422</v>
      </c>
      <c r="L5138" s="53" t="str">
        <f t="shared" si="136"/>
        <v>پاکستان</v>
      </c>
      <c r="M5138" s="68" t="str">
        <f t="shared" si="137"/>
        <v>فله</v>
      </c>
      <c r="N5138" s="53" t="str">
        <f t="shared" si="138"/>
        <v>پيشين</v>
      </c>
      <c r="O5138" s="53">
        <v>55301</v>
      </c>
      <c r="P5138" s="198" t="str">
        <f>"1396548703001"</f>
        <v>1396548703001</v>
      </c>
    </row>
    <row r="5139" spans="1:16" ht="18.75" hidden="1">
      <c r="A5139" s="50" t="str">
        <f>"15100-567027"</f>
        <v>15100-567027</v>
      </c>
      <c r="B5139" s="50" t="str">
        <f>"97/01/21"</f>
        <v>97/01/21</v>
      </c>
      <c r="C5139" s="50" t="s">
        <v>13447</v>
      </c>
      <c r="D5139" s="12" t="s">
        <v>13318</v>
      </c>
      <c r="E5139" s="12" t="s">
        <v>13333</v>
      </c>
      <c r="F5139" s="49">
        <v>120400</v>
      </c>
      <c r="G5139" s="77" t="str">
        <f>"SHINING GREEN STAR FZE"</f>
        <v>SHINING GREEN STAR FZE</v>
      </c>
      <c r="H5139" s="14" t="s">
        <v>5601</v>
      </c>
      <c r="I5139" s="14" t="s">
        <v>2458</v>
      </c>
      <c r="J5139" s="33" t="e">
        <f>VLOOKUP(C5139,شرکتها!A:B,2,FALSE)</f>
        <v>#N/A</v>
      </c>
      <c r="K5139" s="33" t="s">
        <v>13422</v>
      </c>
      <c r="L5139" s="53" t="str">
        <f t="shared" si="136"/>
        <v>پاکستان</v>
      </c>
      <c r="M5139" s="68" t="str">
        <f t="shared" si="137"/>
        <v>فله</v>
      </c>
      <c r="N5139" s="53" t="str">
        <f t="shared" si="138"/>
        <v>پيشين</v>
      </c>
      <c r="O5139" s="53">
        <v>55301</v>
      </c>
      <c r="P5139" s="198" t="str">
        <f>"1396548703001"</f>
        <v>1396548703001</v>
      </c>
    </row>
    <row r="5140" spans="1:16" ht="18.75" hidden="1">
      <c r="A5140" s="50" t="str">
        <f>"15100-565528"</f>
        <v>15100-565528</v>
      </c>
      <c r="B5140" s="50" t="str">
        <f>"97/01/19"</f>
        <v>97/01/19</v>
      </c>
      <c r="C5140" s="50" t="s">
        <v>13458</v>
      </c>
      <c r="D5140" s="12" t="s">
        <v>12734</v>
      </c>
      <c r="E5140" s="12" t="s">
        <v>4971</v>
      </c>
      <c r="F5140" s="49">
        <v>83760</v>
      </c>
      <c r="G5140" s="77" t="str">
        <f>"LLC Sebco Bitumen"</f>
        <v>LLC Sebco Bitumen</v>
      </c>
      <c r="H5140" s="14" t="s">
        <v>5601</v>
      </c>
      <c r="I5140" s="14" t="s">
        <v>2458</v>
      </c>
      <c r="J5140" s="33" t="s">
        <v>7110</v>
      </c>
      <c r="K5140" s="33" t="s">
        <v>13422</v>
      </c>
      <c r="L5140" s="53" t="str">
        <f t="shared" si="136"/>
        <v>پاکستان</v>
      </c>
      <c r="M5140" s="68" t="str">
        <f>"بشكه"</f>
        <v>بشكه</v>
      </c>
      <c r="N5140" s="53" t="str">
        <f t="shared" si="138"/>
        <v>پيشين</v>
      </c>
      <c r="O5140" s="53">
        <v>55301</v>
      </c>
      <c r="P5140" s="198" t="str">
        <f>"1396540546001"</f>
        <v>1396540546001</v>
      </c>
    </row>
    <row r="5141" spans="1:16" ht="18.75" hidden="1">
      <c r="A5141" s="50" t="str">
        <f>"15100-565495"</f>
        <v>15100-565495</v>
      </c>
      <c r="B5141" s="50" t="str">
        <f>"97/01/19"</f>
        <v>97/01/19</v>
      </c>
      <c r="C5141" s="50" t="s">
        <v>13442</v>
      </c>
      <c r="D5141" s="12" t="s">
        <v>12898</v>
      </c>
      <c r="E5141" s="12" t="s">
        <v>4971</v>
      </c>
      <c r="F5141" s="49">
        <v>375880</v>
      </c>
      <c r="G5141" s="77" t="str">
        <f>"DAXON PETROLEUM"</f>
        <v>DAXON PETROLEUM</v>
      </c>
      <c r="H5141" s="14" t="s">
        <v>5601</v>
      </c>
      <c r="I5141" s="14" t="s">
        <v>2458</v>
      </c>
      <c r="J5141" s="33" t="s">
        <v>7110</v>
      </c>
      <c r="K5141" s="33" t="s">
        <v>13422</v>
      </c>
      <c r="L5141" s="53" t="str">
        <f t="shared" si="136"/>
        <v>پاکستان</v>
      </c>
      <c r="M5141" s="68" t="str">
        <f t="shared" ref="M5141:M5147" si="140">"فله"</f>
        <v>فله</v>
      </c>
      <c r="N5141" s="53" t="str">
        <f t="shared" si="138"/>
        <v>پيشين</v>
      </c>
      <c r="O5141" s="53">
        <v>55301</v>
      </c>
      <c r="P5141" s="198" t="str">
        <f>"1396543100001"</f>
        <v>1396543100001</v>
      </c>
    </row>
    <row r="5142" spans="1:16" ht="18.75" hidden="1">
      <c r="A5142" s="50" t="str">
        <f t="shared" ref="A5142:A5143" si="141">"15100-568225"</f>
        <v>15100-568225</v>
      </c>
      <c r="B5142" s="50" t="str">
        <f>"97/01/23"</f>
        <v>97/01/23</v>
      </c>
      <c r="C5142" s="50" t="s">
        <v>13443</v>
      </c>
      <c r="D5142" s="12" t="s">
        <v>12880</v>
      </c>
      <c r="E5142" s="12" t="s">
        <v>4971</v>
      </c>
      <c r="F5142" s="49">
        <v>63880</v>
      </c>
      <c r="G5142" s="77" t="str">
        <f>"Black Gold Traders FZE"</f>
        <v>Black Gold Traders FZE</v>
      </c>
      <c r="H5142" s="14" t="s">
        <v>5601</v>
      </c>
      <c r="I5142" s="14" t="s">
        <v>2458</v>
      </c>
      <c r="J5142" s="33" t="s">
        <v>7110</v>
      </c>
      <c r="K5142" s="33" t="s">
        <v>13422</v>
      </c>
      <c r="L5142" s="53" t="str">
        <f t="shared" si="136"/>
        <v>پاکستان</v>
      </c>
      <c r="M5142" s="68" t="str">
        <f t="shared" si="140"/>
        <v>فله</v>
      </c>
      <c r="N5142" s="53" t="str">
        <f t="shared" si="138"/>
        <v>پيشين</v>
      </c>
      <c r="O5142" s="53">
        <v>55301</v>
      </c>
      <c r="P5142" s="198" t="str">
        <f>"1396529909001"</f>
        <v>1396529909001</v>
      </c>
    </row>
    <row r="5143" spans="1:16" ht="18.75" hidden="1">
      <c r="A5143" s="50" t="str">
        <f t="shared" si="141"/>
        <v>15100-568225</v>
      </c>
      <c r="B5143" s="50" t="str">
        <f>"97/01/23"</f>
        <v>97/01/23</v>
      </c>
      <c r="C5143" s="50" t="s">
        <v>13464</v>
      </c>
      <c r="D5143" s="12" t="s">
        <v>12895</v>
      </c>
      <c r="E5143" s="12" t="s">
        <v>4971</v>
      </c>
      <c r="F5143" s="49">
        <v>647590</v>
      </c>
      <c r="G5143" s="77" t="str">
        <f>"DAXON PETROLEUM"</f>
        <v>DAXON PETROLEUM</v>
      </c>
      <c r="H5143" s="14" t="s">
        <v>5601</v>
      </c>
      <c r="I5143" s="14" t="s">
        <v>2458</v>
      </c>
      <c r="J5143" s="33" t="s">
        <v>7110</v>
      </c>
      <c r="K5143" s="33" t="s">
        <v>13422</v>
      </c>
      <c r="L5143" s="53" t="str">
        <f t="shared" si="136"/>
        <v>پاکستان</v>
      </c>
      <c r="M5143" s="68" t="str">
        <f t="shared" si="140"/>
        <v>فله</v>
      </c>
      <c r="N5143" s="53" t="str">
        <f t="shared" si="138"/>
        <v>پيشين</v>
      </c>
      <c r="O5143" s="53">
        <v>55301</v>
      </c>
      <c r="P5143" s="198" t="str">
        <f>"1396543100001"</f>
        <v>1396543100001</v>
      </c>
    </row>
    <row r="5144" spans="1:16" ht="18.75" hidden="1">
      <c r="A5144" s="50" t="str">
        <f>"15100-562200"</f>
        <v>15100-562200</v>
      </c>
      <c r="B5144" s="50" t="str">
        <f>"97/01/16"</f>
        <v>97/01/16</v>
      </c>
      <c r="C5144" s="50" t="s">
        <v>13452</v>
      </c>
      <c r="D5144" s="12" t="s">
        <v>12689</v>
      </c>
      <c r="E5144" s="12" t="s">
        <v>4971</v>
      </c>
      <c r="F5144" s="49">
        <v>139420</v>
      </c>
      <c r="G5144" s="77" t="str">
        <f>"DAXON PETROLEUM"</f>
        <v>DAXON PETROLEUM</v>
      </c>
      <c r="H5144" s="14" t="s">
        <v>5601</v>
      </c>
      <c r="I5144" s="14" t="s">
        <v>2458</v>
      </c>
      <c r="J5144" s="33" t="s">
        <v>7110</v>
      </c>
      <c r="K5144" s="33" t="s">
        <v>13422</v>
      </c>
      <c r="L5144" s="53" t="str">
        <f t="shared" si="136"/>
        <v>پاکستان</v>
      </c>
      <c r="M5144" s="68" t="str">
        <f t="shared" si="140"/>
        <v>فله</v>
      </c>
      <c r="N5144" s="53" t="str">
        <f>"تفتان (ميرجاوه)"</f>
        <v>تفتان (ميرجاوه)</v>
      </c>
      <c r="O5144" s="53">
        <v>55200</v>
      </c>
      <c r="P5144" s="198" t="str">
        <f>"1396538724001"</f>
        <v>1396538724001</v>
      </c>
    </row>
    <row r="5145" spans="1:16" ht="18.75" hidden="1">
      <c r="A5145" s="50" t="str">
        <f>"15100-568965"</f>
        <v>15100-568965</v>
      </c>
      <c r="B5145" s="50" t="str">
        <f>"97/01/26"</f>
        <v>97/01/26</v>
      </c>
      <c r="C5145" s="50" t="s">
        <v>13427</v>
      </c>
      <c r="D5145" s="12" t="s">
        <v>12662</v>
      </c>
      <c r="E5145" s="12" t="s">
        <v>4971</v>
      </c>
      <c r="F5145" s="49">
        <v>95520</v>
      </c>
      <c r="G5145" s="77" t="str">
        <f>"HERAT GHORBAND CONSTRUCTION COMPANY"</f>
        <v>HERAT GHORBAND CONSTRUCTION COMPANY</v>
      </c>
      <c r="H5145" s="14" t="s">
        <v>5601</v>
      </c>
      <c r="I5145" s="14" t="s">
        <v>2458</v>
      </c>
      <c r="J5145" s="33" t="s">
        <v>7110</v>
      </c>
      <c r="K5145" s="33" t="s">
        <v>13422</v>
      </c>
      <c r="L5145" s="53" t="str">
        <f t="shared" si="136"/>
        <v>پاکستان</v>
      </c>
      <c r="M5145" s="68" t="str">
        <f t="shared" si="140"/>
        <v>فله</v>
      </c>
      <c r="N5145" s="53" t="str">
        <f>"تفتان (ميرجاوه)"</f>
        <v>تفتان (ميرجاوه)</v>
      </c>
      <c r="O5145" s="53">
        <v>55200</v>
      </c>
      <c r="P5145" s="198" t="str">
        <f>"1396534629001"</f>
        <v>1396534629001</v>
      </c>
    </row>
    <row r="5146" spans="1:16" ht="18.75" hidden="1">
      <c r="A5146" s="50" t="str">
        <f>"15100-568965"</f>
        <v>15100-568965</v>
      </c>
      <c r="B5146" s="50" t="str">
        <f>"97/01/26"</f>
        <v>97/01/26</v>
      </c>
      <c r="C5146" s="50" t="s">
        <v>13438</v>
      </c>
      <c r="D5146" s="12" t="s">
        <v>12824</v>
      </c>
      <c r="E5146" s="12" t="s">
        <v>4971</v>
      </c>
      <c r="F5146" s="49">
        <v>44120</v>
      </c>
      <c r="G5146" s="77" t="str">
        <f>"LLC Sebco Bitumen"</f>
        <v>LLC Sebco Bitumen</v>
      </c>
      <c r="H5146" s="14" t="s">
        <v>5601</v>
      </c>
      <c r="I5146" s="14" t="s">
        <v>2458</v>
      </c>
      <c r="J5146" s="33" t="s">
        <v>7110</v>
      </c>
      <c r="K5146" s="33" t="s">
        <v>13422</v>
      </c>
      <c r="L5146" s="53" t="str">
        <f t="shared" si="136"/>
        <v>پاکستان</v>
      </c>
      <c r="M5146" s="68" t="str">
        <f t="shared" si="140"/>
        <v>فله</v>
      </c>
      <c r="N5146" s="53" t="str">
        <f>"تفتان (ميرجاوه)"</f>
        <v>تفتان (ميرجاوه)</v>
      </c>
      <c r="O5146" s="53">
        <v>55200</v>
      </c>
      <c r="P5146" s="198" t="str">
        <f>"1396548704001"</f>
        <v>1396548704001</v>
      </c>
    </row>
    <row r="5147" spans="1:16" ht="18.75" hidden="1">
      <c r="A5147" s="50" t="str">
        <f>"15100-568225"</f>
        <v>15100-568225</v>
      </c>
      <c r="B5147" s="50" t="str">
        <f>"97/01/23"</f>
        <v>97/01/23</v>
      </c>
      <c r="C5147" s="50" t="s">
        <v>13465</v>
      </c>
      <c r="D5147" s="12" t="s">
        <v>13310</v>
      </c>
      <c r="E5147" s="12" t="s">
        <v>13333</v>
      </c>
      <c r="F5147" s="49">
        <v>44300</v>
      </c>
      <c r="G5147" s="77" t="str">
        <f>"West Asia Sun LLC"</f>
        <v>West Asia Sun LLC</v>
      </c>
      <c r="H5147" s="14" t="s">
        <v>5601</v>
      </c>
      <c r="I5147" s="14" t="s">
        <v>2458</v>
      </c>
      <c r="J5147" s="33" t="s">
        <v>7110</v>
      </c>
      <c r="K5147" s="33" t="s">
        <v>13422</v>
      </c>
      <c r="L5147" s="53" t="str">
        <f t="shared" si="136"/>
        <v>پاکستان</v>
      </c>
      <c r="M5147" s="68" t="str">
        <f t="shared" si="140"/>
        <v>فله</v>
      </c>
      <c r="N5147" s="53" t="str">
        <f>"پيشين"</f>
        <v>پيشين</v>
      </c>
      <c r="O5147" s="53">
        <v>55301</v>
      </c>
      <c r="P5147" s="198" t="str">
        <f>"1396548706001"</f>
        <v>1396548706001</v>
      </c>
    </row>
    <row r="5148" spans="1:16" ht="18.75" hidden="1">
      <c r="A5148" s="50" t="str">
        <f>"15100-566451"</f>
        <v>15100-566451</v>
      </c>
      <c r="B5148" s="50" t="str">
        <f>"97/01/20"</f>
        <v>97/01/20</v>
      </c>
      <c r="C5148" s="50" t="s">
        <v>13440</v>
      </c>
      <c r="D5148" s="12" t="s">
        <v>12765</v>
      </c>
      <c r="E5148" s="12" t="s">
        <v>4971</v>
      </c>
      <c r="F5148" s="49">
        <v>33600</v>
      </c>
      <c r="G5148" s="77" t="str">
        <f>"DAXON PETROLEUM"</f>
        <v>DAXON PETROLEUM</v>
      </c>
      <c r="H5148" s="14" t="s">
        <v>5601</v>
      </c>
      <c r="I5148" s="14" t="s">
        <v>2458</v>
      </c>
      <c r="J5148" s="33" t="s">
        <v>7110</v>
      </c>
      <c r="K5148" s="33" t="s">
        <v>13422</v>
      </c>
      <c r="L5148" s="53" t="str">
        <f t="shared" si="136"/>
        <v>پاکستان</v>
      </c>
      <c r="M5148" s="68" t="str">
        <f>"بشكه"</f>
        <v>بشكه</v>
      </c>
      <c r="N5148" s="53" t="str">
        <f>"بازارچه ريمدان"</f>
        <v>بازارچه ريمدان</v>
      </c>
      <c r="O5148" s="53">
        <v>55112</v>
      </c>
      <c r="P5148" s="198" t="str">
        <f>"1396543100001"</f>
        <v>1396543100001</v>
      </c>
    </row>
    <row r="5149" spans="1:16" ht="18.75" hidden="1">
      <c r="A5149" s="50" t="str">
        <f>"15100-567027"</f>
        <v>15100-567027</v>
      </c>
      <c r="B5149" s="50" t="str">
        <f>"97/01/21"</f>
        <v>97/01/21</v>
      </c>
      <c r="C5149" s="50" t="s">
        <v>13441</v>
      </c>
      <c r="D5149" s="12" t="s">
        <v>13318</v>
      </c>
      <c r="E5149" s="12" t="s">
        <v>13333</v>
      </c>
      <c r="F5149" s="49">
        <v>24320</v>
      </c>
      <c r="G5149" s="77" t="str">
        <f>"West Asia Sun LLC"</f>
        <v>West Asia Sun LLC</v>
      </c>
      <c r="H5149" s="14" t="s">
        <v>5601</v>
      </c>
      <c r="I5149" s="14" t="s">
        <v>2458</v>
      </c>
      <c r="J5149" s="33" t="s">
        <v>7110</v>
      </c>
      <c r="K5149" s="33" t="s">
        <v>13422</v>
      </c>
      <c r="L5149" s="53" t="str">
        <f t="shared" si="136"/>
        <v>پاکستان</v>
      </c>
      <c r="M5149" s="68" t="str">
        <f>"فله"</f>
        <v>فله</v>
      </c>
      <c r="N5149" s="53" t="str">
        <f>"پيشين"</f>
        <v>پيشين</v>
      </c>
      <c r="O5149" s="53">
        <v>55301</v>
      </c>
      <c r="P5149" s="198" t="str">
        <f>"1396548706001"</f>
        <v>1396548706001</v>
      </c>
    </row>
    <row r="5150" spans="1:16" ht="18.75" hidden="1">
      <c r="A5150" s="50" t="str">
        <f>"15100-567605"</f>
        <v>15100-567605</v>
      </c>
      <c r="B5150" s="50" t="str">
        <f>"97/01/22"</f>
        <v>97/01/22</v>
      </c>
      <c r="C5150" s="50" t="s">
        <v>13463</v>
      </c>
      <c r="D5150" s="12" t="s">
        <v>12898</v>
      </c>
      <c r="E5150" s="12" t="s">
        <v>4971</v>
      </c>
      <c r="F5150" s="49">
        <v>66830</v>
      </c>
      <c r="G5150" s="77" t="str">
        <f>"Black Gold Traders FZE"</f>
        <v>Black Gold Traders FZE</v>
      </c>
      <c r="H5150" s="14" t="s">
        <v>5601</v>
      </c>
      <c r="I5150" s="14" t="s">
        <v>2458</v>
      </c>
      <c r="J5150" s="33" t="s">
        <v>7110</v>
      </c>
      <c r="K5150" s="33" t="s">
        <v>13422</v>
      </c>
      <c r="L5150" s="53" t="str">
        <f t="shared" si="136"/>
        <v>پاکستان</v>
      </c>
      <c r="M5150" s="68" t="str">
        <f>"بشكه"</f>
        <v>بشكه</v>
      </c>
      <c r="N5150" s="53" t="str">
        <f>"تفتان (ميرجاوه)"</f>
        <v>تفتان (ميرجاوه)</v>
      </c>
      <c r="O5150" s="53">
        <v>55200</v>
      </c>
      <c r="P5150" s="198" t="str">
        <f>"1396548895001"</f>
        <v>1396548895001</v>
      </c>
    </row>
    <row r="5151" spans="1:16" ht="18.75" hidden="1">
      <c r="A5151" s="50" t="str">
        <f>"15100-567605"</f>
        <v>15100-567605</v>
      </c>
      <c r="B5151" s="50" t="str">
        <f>"97/01/22"</f>
        <v>97/01/22</v>
      </c>
      <c r="C5151" s="50" t="s">
        <v>13456</v>
      </c>
      <c r="D5151" s="12" t="s">
        <v>12717</v>
      </c>
      <c r="E5151" s="12" t="s">
        <v>4971</v>
      </c>
      <c r="F5151" s="49">
        <v>141900</v>
      </c>
      <c r="G5151" s="77" t="str">
        <f>"HERAT GHORBAND CONSTRUCTION COMPANY"</f>
        <v>HERAT GHORBAND CONSTRUCTION COMPANY</v>
      </c>
      <c r="H5151" s="14" t="s">
        <v>5601</v>
      </c>
      <c r="I5151" s="14" t="s">
        <v>2458</v>
      </c>
      <c r="J5151" s="33" t="s">
        <v>7110</v>
      </c>
      <c r="K5151" s="33" t="s">
        <v>13422</v>
      </c>
      <c r="L5151" s="53" t="str">
        <f t="shared" si="136"/>
        <v>پاکستان</v>
      </c>
      <c r="M5151" s="68" t="str">
        <f>"بشكه"</f>
        <v>بشكه</v>
      </c>
      <c r="N5151" s="53" t="str">
        <f>"تفتان (ميرجاوه)"</f>
        <v>تفتان (ميرجاوه)</v>
      </c>
      <c r="O5151" s="53">
        <v>55200</v>
      </c>
      <c r="P5151" s="198" t="str">
        <f>"1396534629001"</f>
        <v>1396534629001</v>
      </c>
    </row>
    <row r="5152" spans="1:16" ht="18.75" hidden="1">
      <c r="A5152" s="50" t="str">
        <f>"15100-567642"</f>
        <v>15100-567642</v>
      </c>
      <c r="B5152" s="50" t="str">
        <f>"97/01/22"</f>
        <v>97/01/22</v>
      </c>
      <c r="C5152" s="50" t="s">
        <v>13463</v>
      </c>
      <c r="D5152" s="12" t="s">
        <v>12898</v>
      </c>
      <c r="E5152" s="12" t="s">
        <v>4971</v>
      </c>
      <c r="F5152" s="49">
        <v>46630</v>
      </c>
      <c r="G5152" s="77" t="str">
        <f>"Black Gold Traders FZE"</f>
        <v>Black Gold Traders FZE</v>
      </c>
      <c r="H5152" s="14" t="s">
        <v>5601</v>
      </c>
      <c r="I5152" s="14" t="s">
        <v>2458</v>
      </c>
      <c r="J5152" s="33" t="s">
        <v>7110</v>
      </c>
      <c r="K5152" s="33" t="s">
        <v>13422</v>
      </c>
      <c r="L5152" s="53" t="str">
        <f t="shared" si="136"/>
        <v>پاکستان</v>
      </c>
      <c r="M5152" s="68" t="str">
        <f>"بشكه"</f>
        <v>بشكه</v>
      </c>
      <c r="N5152" s="53" t="str">
        <f>"بازارچه کوهک سراوان"</f>
        <v>بازارچه کوهک سراوان</v>
      </c>
      <c r="O5152" s="53">
        <v>55107</v>
      </c>
      <c r="P5152" s="198" t="str">
        <f>"1396548895001"</f>
        <v>1396548895001</v>
      </c>
    </row>
    <row r="5153" spans="1:16" ht="18.75" hidden="1">
      <c r="A5153" s="50" t="str">
        <f>"15100-568381"</f>
        <v>15100-568381</v>
      </c>
      <c r="B5153" s="50" t="str">
        <f>"97/01/23"</f>
        <v>97/01/23</v>
      </c>
      <c r="C5153" s="50" t="s">
        <v>13428</v>
      </c>
      <c r="D5153" s="12" t="s">
        <v>13184</v>
      </c>
      <c r="E5153" s="12" t="s">
        <v>13333</v>
      </c>
      <c r="F5153" s="49">
        <v>49080</v>
      </c>
      <c r="G5153" s="77" t="str">
        <f>"SHINING GREEN STAR FZE"</f>
        <v>SHINING GREEN STAR FZE</v>
      </c>
      <c r="H5153" s="14" t="s">
        <v>5601</v>
      </c>
      <c r="I5153" s="14" t="s">
        <v>2458</v>
      </c>
      <c r="J5153" s="33" t="e">
        <f>VLOOKUP(C5153,شرکتها!A:B,2,FALSE)</f>
        <v>#N/A</v>
      </c>
      <c r="K5153" s="33" t="s">
        <v>13422</v>
      </c>
      <c r="L5153" s="53" t="str">
        <f t="shared" si="136"/>
        <v>پاکستان</v>
      </c>
      <c r="M5153" s="68" t="str">
        <f>"بشكه"</f>
        <v>بشكه</v>
      </c>
      <c r="N5153" s="53" t="str">
        <f>"پيشين"</f>
        <v>پيشين</v>
      </c>
      <c r="O5153" s="53">
        <v>55301</v>
      </c>
      <c r="P5153" s="198" t="str">
        <f>"1396548703001"</f>
        <v>1396548703001</v>
      </c>
    </row>
    <row r="5154" spans="1:16" ht="18.75" hidden="1">
      <c r="A5154" s="50" t="str">
        <f>"15100-568381"</f>
        <v>15100-568381</v>
      </c>
      <c r="B5154" s="50" t="str">
        <f>"97/01/23"</f>
        <v>97/01/23</v>
      </c>
      <c r="C5154" s="50" t="s">
        <v>13457</v>
      </c>
      <c r="D5154" s="12" t="s">
        <v>12944</v>
      </c>
      <c r="E5154" s="12" t="s">
        <v>4971</v>
      </c>
      <c r="F5154" s="49">
        <v>71790</v>
      </c>
      <c r="G5154" s="77" t="str">
        <f>"LLC Sebco Bitumen"</f>
        <v>LLC Sebco Bitumen</v>
      </c>
      <c r="H5154" s="14" t="s">
        <v>5601</v>
      </c>
      <c r="I5154" s="14" t="s">
        <v>2458</v>
      </c>
      <c r="J5154" s="33" t="s">
        <v>7110</v>
      </c>
      <c r="K5154" s="33" t="s">
        <v>13422</v>
      </c>
      <c r="L5154" s="53" t="str">
        <f t="shared" si="136"/>
        <v>پاکستان</v>
      </c>
      <c r="M5154" s="68" t="str">
        <f>"بشكه"</f>
        <v>بشكه</v>
      </c>
      <c r="N5154" s="53" t="str">
        <f>"پيشين"</f>
        <v>پيشين</v>
      </c>
      <c r="O5154" s="53">
        <v>55301</v>
      </c>
      <c r="P5154" s="198" t="str">
        <f>"1396546618001"</f>
        <v>1396546618001</v>
      </c>
    </row>
    <row r="5155" spans="1:16" ht="18.75" hidden="1">
      <c r="A5155" s="50" t="str">
        <f>"15100-567066"</f>
        <v>15100-567066</v>
      </c>
      <c r="B5155" s="50" t="str">
        <f>"97/01/21"</f>
        <v>97/01/21</v>
      </c>
      <c r="C5155" s="50" t="s">
        <v>13434</v>
      </c>
      <c r="D5155" s="12" t="s">
        <v>13343</v>
      </c>
      <c r="E5155" s="12" t="s">
        <v>13333</v>
      </c>
      <c r="F5155" s="49">
        <v>48780</v>
      </c>
      <c r="G5155" s="77" t="str">
        <f>"PETRO FOLIO"</f>
        <v>PETRO FOLIO</v>
      </c>
      <c r="H5155" s="14" t="s">
        <v>5601</v>
      </c>
      <c r="I5155" s="14" t="s">
        <v>2458</v>
      </c>
      <c r="J5155" s="33" t="s">
        <v>7110</v>
      </c>
      <c r="K5155" s="33" t="s">
        <v>13422</v>
      </c>
      <c r="L5155" s="53" t="str">
        <f t="shared" si="136"/>
        <v>پاکستان</v>
      </c>
      <c r="M5155" s="68" t="str">
        <f>"فله"</f>
        <v>فله</v>
      </c>
      <c r="N5155" s="53" t="str">
        <f>"تفتان (ميرجاوه)"</f>
        <v>تفتان (ميرجاوه)</v>
      </c>
      <c r="O5155" s="53">
        <v>55200</v>
      </c>
      <c r="P5155" s="198" t="str">
        <f>"1396552140001"</f>
        <v>1396552140001</v>
      </c>
    </row>
    <row r="5156" spans="1:16" ht="18.75" hidden="1">
      <c r="A5156" s="54" t="str">
        <f>"15100-568234"</f>
        <v>15100-568234</v>
      </c>
      <c r="B5156" s="54" t="str">
        <f>"97/01/23"</f>
        <v>97/01/23</v>
      </c>
      <c r="C5156" s="54" t="s">
        <v>4221</v>
      </c>
      <c r="D5156" s="55" t="s">
        <v>4184</v>
      </c>
      <c r="E5156" s="55" t="s">
        <v>3420</v>
      </c>
      <c r="F5156" s="56">
        <v>12849</v>
      </c>
      <c r="G5156" s="186" t="str">
        <f>"Ivera Holding LTD"</f>
        <v>Ivera Holding LTD</v>
      </c>
      <c r="H5156" s="57" t="s">
        <v>5601</v>
      </c>
      <c r="I5156" s="57" t="s">
        <v>2458</v>
      </c>
      <c r="J5156" s="57" t="s">
        <v>7110</v>
      </c>
      <c r="K5156" s="187" t="s">
        <v>13422</v>
      </c>
      <c r="L5156" s="188" t="str">
        <f t="shared" si="136"/>
        <v>پاکستان</v>
      </c>
      <c r="M5156" s="189" t="str">
        <f>"فله"</f>
        <v>فله</v>
      </c>
      <c r="N5156" s="188" t="str">
        <f>"بازارچه کوهک سراوان"</f>
        <v>بازارچه کوهک سراوان</v>
      </c>
      <c r="O5156" s="188">
        <v>55107</v>
      </c>
      <c r="P5156" s="200" t="str">
        <f>"1395447377001"</f>
        <v>1395447377001</v>
      </c>
    </row>
    <row r="5157" spans="1:16" ht="18.75" hidden="1">
      <c r="A5157" s="50" t="str">
        <f>"15100-568381"</f>
        <v>15100-568381</v>
      </c>
      <c r="B5157" s="50" t="str">
        <f>"97/01/23"</f>
        <v>97/01/23</v>
      </c>
      <c r="C5157" s="50" t="s">
        <v>13443</v>
      </c>
      <c r="D5157" s="12" t="s">
        <v>12880</v>
      </c>
      <c r="E5157" s="12" t="s">
        <v>4971</v>
      </c>
      <c r="F5157" s="49">
        <v>46570</v>
      </c>
      <c r="G5157" s="77" t="str">
        <f>"Black Gold Traders FZE"</f>
        <v>Black Gold Traders FZE</v>
      </c>
      <c r="H5157" s="14" t="s">
        <v>5601</v>
      </c>
      <c r="I5157" s="14" t="s">
        <v>2458</v>
      </c>
      <c r="J5157" s="33" t="s">
        <v>7110</v>
      </c>
      <c r="K5157" s="33" t="s">
        <v>13422</v>
      </c>
      <c r="L5157" s="53" t="str">
        <f t="shared" si="136"/>
        <v>پاکستان</v>
      </c>
      <c r="M5157" s="68" t="str">
        <f>"بشكه"</f>
        <v>بشكه</v>
      </c>
      <c r="N5157" s="53" t="str">
        <f>"پيشين"</f>
        <v>پيشين</v>
      </c>
      <c r="O5157" s="53">
        <v>55301</v>
      </c>
      <c r="P5157" s="198" t="str">
        <f>"1396529909001"</f>
        <v>1396529909001</v>
      </c>
    </row>
    <row r="5158" spans="1:16" ht="18.75" hidden="1">
      <c r="A5158" s="50" t="str">
        <f>"15100-568234"</f>
        <v>15100-568234</v>
      </c>
      <c r="B5158" s="50" t="str">
        <f>"97/01/23"</f>
        <v>97/01/23</v>
      </c>
      <c r="C5158" s="50" t="s">
        <v>13464</v>
      </c>
      <c r="D5158" s="12" t="s">
        <v>12895</v>
      </c>
      <c r="E5158" s="12" t="s">
        <v>4971</v>
      </c>
      <c r="F5158" s="49">
        <v>25446</v>
      </c>
      <c r="G5158" s="77" t="str">
        <f>"DAXON PETROLEUM"</f>
        <v>DAXON PETROLEUM</v>
      </c>
      <c r="H5158" s="14" t="s">
        <v>5601</v>
      </c>
      <c r="I5158" s="14" t="s">
        <v>2458</v>
      </c>
      <c r="J5158" s="33" t="s">
        <v>7110</v>
      </c>
      <c r="K5158" s="33" t="s">
        <v>13422</v>
      </c>
      <c r="L5158" s="53" t="str">
        <f t="shared" si="136"/>
        <v>پاکستان</v>
      </c>
      <c r="M5158" s="68" t="str">
        <f>"فله"</f>
        <v>فله</v>
      </c>
      <c r="N5158" s="53" t="str">
        <f>"بازارچه کوهک سراوان"</f>
        <v>بازارچه کوهک سراوان</v>
      </c>
      <c r="O5158" s="53">
        <v>55107</v>
      </c>
      <c r="P5158" s="198" t="str">
        <f>"1396543100001"</f>
        <v>1396543100001</v>
      </c>
    </row>
    <row r="5159" spans="1:16" ht="18.75" hidden="1">
      <c r="A5159" s="50" t="str">
        <f>"15100-568381"</f>
        <v>15100-568381</v>
      </c>
      <c r="B5159" s="50" t="str">
        <f>"97/01/23"</f>
        <v>97/01/23</v>
      </c>
      <c r="C5159" s="50" t="s">
        <v>13429</v>
      </c>
      <c r="D5159" s="12" t="s">
        <v>13184</v>
      </c>
      <c r="E5159" s="12" t="s">
        <v>13333</v>
      </c>
      <c r="F5159" s="49">
        <v>74210</v>
      </c>
      <c r="G5159" s="77" t="str">
        <f>"West Asia Sun LLC"</f>
        <v>West Asia Sun LLC</v>
      </c>
      <c r="H5159" s="14" t="s">
        <v>5601</v>
      </c>
      <c r="I5159" s="14" t="s">
        <v>2458</v>
      </c>
      <c r="J5159" s="33" t="s">
        <v>7110</v>
      </c>
      <c r="K5159" s="33" t="s">
        <v>13422</v>
      </c>
      <c r="L5159" s="53" t="str">
        <f t="shared" si="136"/>
        <v>پاکستان</v>
      </c>
      <c r="M5159" s="68" t="str">
        <f>"بشكه"</f>
        <v>بشكه</v>
      </c>
      <c r="N5159" s="53" t="str">
        <f>"پيشين"</f>
        <v>پيشين</v>
      </c>
      <c r="O5159" s="53">
        <v>55301</v>
      </c>
      <c r="P5159" s="198" t="str">
        <f>"1396548706001"</f>
        <v>1396548706001</v>
      </c>
    </row>
    <row r="5160" spans="1:16" ht="18.75" hidden="1">
      <c r="A5160" s="50" t="str">
        <f>"15100-567066"</f>
        <v>15100-567066</v>
      </c>
      <c r="B5160" s="50" t="str">
        <f>"97/01/21"</f>
        <v>97/01/21</v>
      </c>
      <c r="C5160" s="50" t="s">
        <v>13461</v>
      </c>
      <c r="D5160" s="12" t="s">
        <v>12765</v>
      </c>
      <c r="E5160" s="12" t="s">
        <v>4971</v>
      </c>
      <c r="F5160" s="49">
        <v>7510</v>
      </c>
      <c r="G5160" s="77" t="str">
        <f>"LLC Sebco Bitumen"</f>
        <v>LLC Sebco Bitumen</v>
      </c>
      <c r="H5160" s="14" t="s">
        <v>5601</v>
      </c>
      <c r="I5160" s="14" t="s">
        <v>2458</v>
      </c>
      <c r="J5160" s="33" t="s">
        <v>7110</v>
      </c>
      <c r="K5160" s="33" t="s">
        <v>13422</v>
      </c>
      <c r="L5160" s="53" t="str">
        <f t="shared" si="136"/>
        <v>پاکستان</v>
      </c>
      <c r="M5160" s="68" t="str">
        <f>"فله"</f>
        <v>فله</v>
      </c>
      <c r="N5160" s="53" t="str">
        <f>"تفتان (ميرجاوه)"</f>
        <v>تفتان (ميرجاوه)</v>
      </c>
      <c r="O5160" s="53">
        <v>55200</v>
      </c>
      <c r="P5160" s="198" t="str">
        <f>"1396546618001"</f>
        <v>1396546618001</v>
      </c>
    </row>
    <row r="5161" spans="1:16" ht="18.75" hidden="1">
      <c r="A5161" s="50" t="str">
        <f>"15100-567066"</f>
        <v>15100-567066</v>
      </c>
      <c r="B5161" s="50" t="str">
        <f>"97/01/21"</f>
        <v>97/01/21</v>
      </c>
      <c r="C5161" s="50" t="s">
        <v>13425</v>
      </c>
      <c r="D5161" s="12" t="s">
        <v>12944</v>
      </c>
      <c r="E5161" s="12" t="s">
        <v>4971</v>
      </c>
      <c r="F5161" s="49">
        <v>39950</v>
      </c>
      <c r="G5161" s="77" t="str">
        <f>"LLC Sebco Bitumen"</f>
        <v>LLC Sebco Bitumen</v>
      </c>
      <c r="H5161" s="14" t="s">
        <v>5601</v>
      </c>
      <c r="I5161" s="14" t="s">
        <v>2458</v>
      </c>
      <c r="J5161" s="33" t="s">
        <v>7110</v>
      </c>
      <c r="K5161" s="33" t="s">
        <v>13422</v>
      </c>
      <c r="L5161" s="53" t="str">
        <f t="shared" si="136"/>
        <v>پاکستان</v>
      </c>
      <c r="M5161" s="68" t="str">
        <f>"فله"</f>
        <v>فله</v>
      </c>
      <c r="N5161" s="53" t="str">
        <f>"تفتان (ميرجاوه)"</f>
        <v>تفتان (ميرجاوه)</v>
      </c>
      <c r="O5161" s="53">
        <v>55200</v>
      </c>
      <c r="P5161" s="198" t="str">
        <f>"1396546618001"</f>
        <v>1396546618001</v>
      </c>
    </row>
    <row r="5162" spans="1:16" ht="18.75" hidden="1">
      <c r="A5162" s="50" t="str">
        <f>"15100-567642"</f>
        <v>15100-567642</v>
      </c>
      <c r="B5162" s="50" t="str">
        <f>"97/01/22"</f>
        <v>97/01/22</v>
      </c>
      <c r="C5162" s="50" t="s">
        <v>13465</v>
      </c>
      <c r="D5162" s="12" t="s">
        <v>13310</v>
      </c>
      <c r="E5162" s="12" t="s">
        <v>13333</v>
      </c>
      <c r="F5162" s="49">
        <v>70460</v>
      </c>
      <c r="G5162" s="77" t="str">
        <f>"West Asia Sun LLC"</f>
        <v>West Asia Sun LLC</v>
      </c>
      <c r="H5162" s="14" t="s">
        <v>5601</v>
      </c>
      <c r="I5162" s="14" t="s">
        <v>2458</v>
      </c>
      <c r="J5162" s="33" t="s">
        <v>7110</v>
      </c>
      <c r="K5162" s="33" t="s">
        <v>13422</v>
      </c>
      <c r="L5162" s="53" t="str">
        <f t="shared" si="136"/>
        <v>پاکستان</v>
      </c>
      <c r="M5162" s="68" t="str">
        <f>"بشكه"</f>
        <v>بشكه</v>
      </c>
      <c r="N5162" s="53" t="str">
        <f>"بازارچه کوهک سراوان"</f>
        <v>بازارچه کوهک سراوان</v>
      </c>
      <c r="O5162" s="53">
        <v>55107</v>
      </c>
      <c r="P5162" s="198" t="str">
        <f>"1396548706001"</f>
        <v>1396548706001</v>
      </c>
    </row>
    <row r="5163" spans="1:16" ht="18.75" hidden="1">
      <c r="A5163" s="50" t="str">
        <f>"15100-568381"</f>
        <v>15100-568381</v>
      </c>
      <c r="B5163" s="50" t="str">
        <f>"97/01/23"</f>
        <v>97/01/23</v>
      </c>
      <c r="C5163" s="50" t="s">
        <v>13465</v>
      </c>
      <c r="D5163" s="12" t="s">
        <v>13310</v>
      </c>
      <c r="E5163" s="12" t="s">
        <v>13333</v>
      </c>
      <c r="F5163" s="49">
        <v>22110</v>
      </c>
      <c r="G5163" s="77" t="str">
        <f>"West Asia Sun LLC"</f>
        <v>West Asia Sun LLC</v>
      </c>
      <c r="H5163" s="14" t="s">
        <v>5601</v>
      </c>
      <c r="I5163" s="14" t="s">
        <v>2458</v>
      </c>
      <c r="J5163" s="33" t="s">
        <v>7110</v>
      </c>
      <c r="K5163" s="33" t="s">
        <v>13422</v>
      </c>
      <c r="L5163" s="53" t="str">
        <f t="shared" si="136"/>
        <v>پاکستان</v>
      </c>
      <c r="M5163" s="68" t="str">
        <f>"بشكه"</f>
        <v>بشكه</v>
      </c>
      <c r="N5163" s="53" t="str">
        <f>"پيشين"</f>
        <v>پيشين</v>
      </c>
      <c r="O5163" s="53">
        <v>55301</v>
      </c>
      <c r="P5163" s="198" t="str">
        <f>"1396548706001"</f>
        <v>1396548706001</v>
      </c>
    </row>
    <row r="5164" spans="1:16" ht="18.75" hidden="1">
      <c r="A5164" s="50" t="str">
        <f>"15100-569007"</f>
        <v>15100-569007</v>
      </c>
      <c r="B5164" s="50" t="str">
        <f>"97/01/26"</f>
        <v>97/01/26</v>
      </c>
      <c r="C5164" s="50" t="s">
        <v>13437</v>
      </c>
      <c r="D5164" s="12" t="s">
        <v>13184</v>
      </c>
      <c r="E5164" s="12" t="s">
        <v>13333</v>
      </c>
      <c r="F5164" s="49">
        <v>210460</v>
      </c>
      <c r="G5164" s="77" t="str">
        <f>"PETRO FOLIO"</f>
        <v>PETRO FOLIO</v>
      </c>
      <c r="H5164" s="14" t="s">
        <v>5601</v>
      </c>
      <c r="I5164" s="14" t="s">
        <v>2458</v>
      </c>
      <c r="J5164" s="33" t="s">
        <v>7110</v>
      </c>
      <c r="K5164" s="33" t="s">
        <v>13422</v>
      </c>
      <c r="L5164" s="53" t="str">
        <f t="shared" si="136"/>
        <v>پاکستان</v>
      </c>
      <c r="M5164" s="68" t="str">
        <f>"بشكه"</f>
        <v>بشكه</v>
      </c>
      <c r="N5164" s="53" t="str">
        <f>"تفتان (ميرجاوه)"</f>
        <v>تفتان (ميرجاوه)</v>
      </c>
      <c r="O5164" s="53">
        <v>55200</v>
      </c>
      <c r="P5164" s="198" t="str">
        <f>"1396552140001"</f>
        <v>1396552140001</v>
      </c>
    </row>
    <row r="5165" spans="1:16" ht="18.75" hidden="1">
      <c r="A5165" s="50" t="str">
        <f>"15100-566454"</f>
        <v>15100-566454</v>
      </c>
      <c r="B5165" s="50" t="str">
        <f>"97/01/20"</f>
        <v>97/01/20</v>
      </c>
      <c r="C5165" s="50" t="s">
        <v>13466</v>
      </c>
      <c r="D5165" s="12" t="s">
        <v>12717</v>
      </c>
      <c r="E5165" s="12" t="s">
        <v>4971</v>
      </c>
      <c r="F5165" s="49">
        <v>120000</v>
      </c>
      <c r="G5165" s="77" t="str">
        <f>"LLC Sebco Bitumen"</f>
        <v>LLC Sebco Bitumen</v>
      </c>
      <c r="H5165" s="14" t="s">
        <v>5601</v>
      </c>
      <c r="I5165" s="14" t="s">
        <v>2458</v>
      </c>
      <c r="J5165" s="33" t="s">
        <v>7110</v>
      </c>
      <c r="K5165" s="33" t="s">
        <v>13422</v>
      </c>
      <c r="L5165" s="53" t="str">
        <f t="shared" si="136"/>
        <v>پاکستان</v>
      </c>
      <c r="M5165" s="68" t="str">
        <f>"بشكه"</f>
        <v>بشكه</v>
      </c>
      <c r="N5165" s="53" t="str">
        <f>"تفتان (ميرجاوه)"</f>
        <v>تفتان (ميرجاوه)</v>
      </c>
      <c r="O5165" s="53">
        <v>55200</v>
      </c>
      <c r="P5165" s="198" t="str">
        <f>"1396540546001"</f>
        <v>1396540546001</v>
      </c>
    </row>
    <row r="5166" spans="1:16" ht="18.75" hidden="1">
      <c r="A5166" s="50" t="str">
        <f>"15100-566442"</f>
        <v>15100-566442</v>
      </c>
      <c r="B5166" s="50" t="str">
        <f>"97/01/20"</f>
        <v>97/01/20</v>
      </c>
      <c r="C5166" s="50" t="s">
        <v>13467</v>
      </c>
      <c r="D5166" s="12" t="s">
        <v>12689</v>
      </c>
      <c r="E5166" s="12" t="s">
        <v>4971</v>
      </c>
      <c r="F5166" s="49">
        <v>103720</v>
      </c>
      <c r="G5166" s="77" t="str">
        <f>"LLC Sebco Bitumen"</f>
        <v>LLC Sebco Bitumen</v>
      </c>
      <c r="H5166" s="14" t="s">
        <v>5601</v>
      </c>
      <c r="I5166" s="14" t="s">
        <v>2458</v>
      </c>
      <c r="J5166" s="33" t="s">
        <v>7110</v>
      </c>
      <c r="K5166" s="33" t="s">
        <v>13422</v>
      </c>
      <c r="L5166" s="53" t="str">
        <f t="shared" si="136"/>
        <v>پاکستان</v>
      </c>
      <c r="M5166" s="68" t="str">
        <f>"فله"</f>
        <v>فله</v>
      </c>
      <c r="N5166" s="53" t="str">
        <f>"بازارچه کوهک سراوان"</f>
        <v>بازارچه کوهک سراوان</v>
      </c>
      <c r="O5166" s="53">
        <v>55107</v>
      </c>
      <c r="P5166" s="198" t="str">
        <f>"1396546618001"</f>
        <v>1396546618001</v>
      </c>
    </row>
    <row r="5167" spans="1:16" ht="18.75" hidden="1">
      <c r="A5167" s="50" t="str">
        <f>"15100-568354"</f>
        <v>15100-568354</v>
      </c>
      <c r="B5167" s="50" t="str">
        <f>"97/01/23"</f>
        <v>97/01/23</v>
      </c>
      <c r="C5167" s="50" t="s">
        <v>13468</v>
      </c>
      <c r="D5167" s="12" t="s">
        <v>12734</v>
      </c>
      <c r="E5167" s="12" t="s">
        <v>4971</v>
      </c>
      <c r="F5167" s="49">
        <v>71240</v>
      </c>
      <c r="G5167" s="77" t="str">
        <f>"HERAT GHORBAND CONSTRUCTION COMPANY"</f>
        <v>HERAT GHORBAND CONSTRUCTION COMPANY</v>
      </c>
      <c r="H5167" s="14" t="s">
        <v>5601</v>
      </c>
      <c r="I5167" s="14" t="s">
        <v>2458</v>
      </c>
      <c r="J5167" s="33" t="s">
        <v>7110</v>
      </c>
      <c r="K5167" s="33" t="s">
        <v>13422</v>
      </c>
      <c r="L5167" s="53" t="str">
        <f t="shared" si="136"/>
        <v>پاکستان</v>
      </c>
      <c r="M5167" s="68" t="str">
        <f>"فله"</f>
        <v>فله</v>
      </c>
      <c r="N5167" s="53" t="str">
        <f>"تفتان (ميرجاوه)"</f>
        <v>تفتان (ميرجاوه)</v>
      </c>
      <c r="O5167" s="53">
        <v>55200</v>
      </c>
      <c r="P5167" s="198" t="str">
        <f>"1396534629001"</f>
        <v>1396534629001</v>
      </c>
    </row>
    <row r="5168" spans="1:16" ht="18.75" hidden="1">
      <c r="A5168" s="50" t="str">
        <f>"15100-562819"</f>
        <v>15100-562819</v>
      </c>
      <c r="B5168" s="50" t="str">
        <f>"97/01/18"</f>
        <v>97/01/18</v>
      </c>
      <c r="C5168" s="50" t="s">
        <v>13442</v>
      </c>
      <c r="D5168" s="12" t="s">
        <v>12898</v>
      </c>
      <c r="E5168" s="12" t="s">
        <v>4971</v>
      </c>
      <c r="F5168" s="49">
        <v>149100</v>
      </c>
      <c r="G5168" s="77" t="str">
        <f>"DAXON PETROLEUM"</f>
        <v>DAXON PETROLEUM</v>
      </c>
      <c r="H5168" s="14" t="s">
        <v>5601</v>
      </c>
      <c r="I5168" s="14" t="s">
        <v>2458</v>
      </c>
      <c r="J5168" s="33" t="s">
        <v>7110</v>
      </c>
      <c r="K5168" s="33" t="s">
        <v>13422</v>
      </c>
      <c r="L5168" s="53" t="str">
        <f t="shared" si="136"/>
        <v>پاکستان</v>
      </c>
      <c r="M5168" s="68" t="str">
        <f t="shared" ref="M5168:M5179" si="142">"بشكه"</f>
        <v>بشكه</v>
      </c>
      <c r="N5168" s="53" t="str">
        <f t="shared" ref="N5168:N5172" si="143">"تفتان (ميرجاوه)"</f>
        <v>تفتان (ميرجاوه)</v>
      </c>
      <c r="O5168" s="53">
        <v>55200</v>
      </c>
      <c r="P5168" s="198" t="str">
        <f>"1396543100001"</f>
        <v>1396543100001</v>
      </c>
    </row>
    <row r="5169" spans="1:16" ht="18.75" hidden="1">
      <c r="A5169" s="50" t="str">
        <f>"15100-569007"</f>
        <v>15100-569007</v>
      </c>
      <c r="B5169" s="50" t="str">
        <f>"97/01/26"</f>
        <v>97/01/26</v>
      </c>
      <c r="C5169" s="50" t="s">
        <v>13423</v>
      </c>
      <c r="D5169" s="12" t="s">
        <v>12898</v>
      </c>
      <c r="E5169" s="12" t="s">
        <v>4971</v>
      </c>
      <c r="F5169" s="49">
        <v>24310</v>
      </c>
      <c r="G5169" s="77" t="str">
        <f>"LLC Sebco Bitumen"</f>
        <v>LLC Sebco Bitumen</v>
      </c>
      <c r="H5169" s="14" t="s">
        <v>5601</v>
      </c>
      <c r="I5169" s="14" t="s">
        <v>2458</v>
      </c>
      <c r="J5169" s="33" t="s">
        <v>7110</v>
      </c>
      <c r="K5169" s="33" t="s">
        <v>13422</v>
      </c>
      <c r="L5169" s="53" t="str">
        <f t="shared" si="136"/>
        <v>پاکستان</v>
      </c>
      <c r="M5169" s="68" t="str">
        <f t="shared" si="142"/>
        <v>بشكه</v>
      </c>
      <c r="N5169" s="53" t="str">
        <f t="shared" si="143"/>
        <v>تفتان (ميرجاوه)</v>
      </c>
      <c r="O5169" s="53">
        <v>55200</v>
      </c>
      <c r="P5169" s="198" t="str">
        <f>"1396548704001"</f>
        <v>1396548704001</v>
      </c>
    </row>
    <row r="5170" spans="1:16" ht="18.75" hidden="1">
      <c r="A5170" s="50" t="str">
        <f>"15100-566454"</f>
        <v>15100-566454</v>
      </c>
      <c r="B5170" s="50" t="str">
        <f>"97/01/20"</f>
        <v>97/01/20</v>
      </c>
      <c r="C5170" s="50" t="s">
        <v>13451</v>
      </c>
      <c r="D5170" s="12" t="s">
        <v>12705</v>
      </c>
      <c r="E5170" s="12" t="s">
        <v>4971</v>
      </c>
      <c r="F5170" s="49">
        <v>6350</v>
      </c>
      <c r="G5170" s="77" t="str">
        <f>"LLC Sebco Bitumen"</f>
        <v>LLC Sebco Bitumen</v>
      </c>
      <c r="H5170" s="14" t="s">
        <v>5601</v>
      </c>
      <c r="I5170" s="14" t="s">
        <v>2458</v>
      </c>
      <c r="J5170" s="33" t="s">
        <v>7110</v>
      </c>
      <c r="K5170" s="33" t="s">
        <v>13422</v>
      </c>
      <c r="L5170" s="53" t="str">
        <f t="shared" si="136"/>
        <v>پاکستان</v>
      </c>
      <c r="M5170" s="68" t="str">
        <f t="shared" si="142"/>
        <v>بشكه</v>
      </c>
      <c r="N5170" s="53" t="str">
        <f t="shared" si="143"/>
        <v>تفتان (ميرجاوه)</v>
      </c>
      <c r="O5170" s="53">
        <v>55200</v>
      </c>
      <c r="P5170" s="198" t="str">
        <f>"1396540546001"</f>
        <v>1396540546001</v>
      </c>
    </row>
    <row r="5171" spans="1:16" ht="18.75" hidden="1">
      <c r="A5171" s="50" t="str">
        <f>"15100-566454"</f>
        <v>15100-566454</v>
      </c>
      <c r="B5171" s="50" t="str">
        <f>"97/01/20"</f>
        <v>97/01/20</v>
      </c>
      <c r="C5171" s="50" t="s">
        <v>12948</v>
      </c>
      <c r="D5171" s="12" t="s">
        <v>12734</v>
      </c>
      <c r="E5171" s="12" t="s">
        <v>4971</v>
      </c>
      <c r="F5171" s="49">
        <v>24850</v>
      </c>
      <c r="G5171" s="77" t="str">
        <f>"DAXON PETROLEUM"</f>
        <v>DAXON PETROLEUM</v>
      </c>
      <c r="H5171" s="14" t="s">
        <v>5601</v>
      </c>
      <c r="I5171" s="14" t="s">
        <v>2458</v>
      </c>
      <c r="J5171" s="33" t="s">
        <v>7110</v>
      </c>
      <c r="K5171" s="33" t="s">
        <v>13422</v>
      </c>
      <c r="L5171" s="53" t="str">
        <f t="shared" si="136"/>
        <v>پاکستان</v>
      </c>
      <c r="M5171" s="68" t="str">
        <f t="shared" si="142"/>
        <v>بشكه</v>
      </c>
      <c r="N5171" s="53" t="str">
        <f t="shared" si="143"/>
        <v>تفتان (ميرجاوه)</v>
      </c>
      <c r="O5171" s="53">
        <v>55200</v>
      </c>
      <c r="P5171" s="198" t="str">
        <f>"1396538724001"</f>
        <v>1396538724001</v>
      </c>
    </row>
    <row r="5172" spans="1:16" ht="18.75" hidden="1">
      <c r="A5172" s="50" t="str">
        <f>"15100-566454"</f>
        <v>15100-566454</v>
      </c>
      <c r="B5172" s="50" t="str">
        <f>"97/01/20"</f>
        <v>97/01/20</v>
      </c>
      <c r="C5172" s="50" t="s">
        <v>13446</v>
      </c>
      <c r="D5172" s="12" t="s">
        <v>12928</v>
      </c>
      <c r="E5172" s="12" t="s">
        <v>4971</v>
      </c>
      <c r="F5172" s="49">
        <v>100460</v>
      </c>
      <c r="G5172" s="77" t="str">
        <f>"SHINING GREEN STAR FZE"</f>
        <v>SHINING GREEN STAR FZE</v>
      </c>
      <c r="H5172" s="14" t="s">
        <v>5601</v>
      </c>
      <c r="I5172" s="14" t="s">
        <v>2458</v>
      </c>
      <c r="J5172" s="33" t="e">
        <f>VLOOKUP(C5172,شرکتها!A:B,2,FALSE)</f>
        <v>#N/A</v>
      </c>
      <c r="K5172" s="33" t="s">
        <v>13422</v>
      </c>
      <c r="L5172" s="53" t="str">
        <f t="shared" si="136"/>
        <v>پاکستان</v>
      </c>
      <c r="M5172" s="68" t="str">
        <f t="shared" si="142"/>
        <v>بشكه</v>
      </c>
      <c r="N5172" s="53" t="str">
        <f t="shared" si="143"/>
        <v>تفتان (ميرجاوه)</v>
      </c>
      <c r="O5172" s="53">
        <v>55200</v>
      </c>
      <c r="P5172" s="198" t="str">
        <f>"1396548703001"</f>
        <v>1396548703001</v>
      </c>
    </row>
    <row r="5173" spans="1:16" ht="18.75" hidden="1">
      <c r="A5173" s="50" t="str">
        <f>"15100-567593"</f>
        <v>15100-567593</v>
      </c>
      <c r="B5173" s="50" t="str">
        <f>"97/01/22"</f>
        <v>97/01/22</v>
      </c>
      <c r="C5173" s="50" t="s">
        <v>13447</v>
      </c>
      <c r="D5173" s="12" t="s">
        <v>13318</v>
      </c>
      <c r="E5173" s="12" t="s">
        <v>13333</v>
      </c>
      <c r="F5173" s="49">
        <v>48070</v>
      </c>
      <c r="G5173" s="77" t="str">
        <f>"SHINING GREEN STAR FZE"</f>
        <v>SHINING GREEN STAR FZE</v>
      </c>
      <c r="H5173" s="14" t="s">
        <v>5601</v>
      </c>
      <c r="I5173" s="14" t="s">
        <v>2458</v>
      </c>
      <c r="J5173" s="33" t="e">
        <f>VLOOKUP(C5173,شرکتها!A:B,2,FALSE)</f>
        <v>#N/A</v>
      </c>
      <c r="K5173" s="33" t="s">
        <v>13422</v>
      </c>
      <c r="L5173" s="53" t="str">
        <f t="shared" si="136"/>
        <v>پاکستان</v>
      </c>
      <c r="M5173" s="68" t="str">
        <f t="shared" si="142"/>
        <v>بشكه</v>
      </c>
      <c r="N5173" s="53" t="str">
        <f>"پيشين"</f>
        <v>پيشين</v>
      </c>
      <c r="O5173" s="53">
        <v>55301</v>
      </c>
      <c r="P5173" s="198" t="str">
        <f>"1396548703001"</f>
        <v>1396548703001</v>
      </c>
    </row>
    <row r="5174" spans="1:16" ht="18.75" hidden="1">
      <c r="A5174" s="50" t="str">
        <f>"15100-569007"</f>
        <v>15100-569007</v>
      </c>
      <c r="B5174" s="50" t="str">
        <f>"97/01/26"</f>
        <v>97/01/26</v>
      </c>
      <c r="C5174" s="50" t="s">
        <v>13434</v>
      </c>
      <c r="D5174" s="12" t="s">
        <v>13343</v>
      </c>
      <c r="E5174" s="12" t="s">
        <v>13333</v>
      </c>
      <c r="F5174" s="49">
        <v>35130</v>
      </c>
      <c r="G5174" s="77" t="str">
        <f>"PETRO FOLIO"</f>
        <v>PETRO FOLIO</v>
      </c>
      <c r="H5174" s="14" t="s">
        <v>5601</v>
      </c>
      <c r="I5174" s="14" t="s">
        <v>2458</v>
      </c>
      <c r="J5174" s="33" t="s">
        <v>7110</v>
      </c>
      <c r="K5174" s="33" t="s">
        <v>13422</v>
      </c>
      <c r="L5174" s="53" t="str">
        <f t="shared" si="136"/>
        <v>پاکستان</v>
      </c>
      <c r="M5174" s="68" t="str">
        <f t="shared" si="142"/>
        <v>بشكه</v>
      </c>
      <c r="N5174" s="53" t="str">
        <f t="shared" ref="N5174:N5176" si="144">"تفتان (ميرجاوه)"</f>
        <v>تفتان (ميرجاوه)</v>
      </c>
      <c r="O5174" s="53">
        <v>55200</v>
      </c>
      <c r="P5174" s="198" t="str">
        <f>"1396552140001"</f>
        <v>1396552140001</v>
      </c>
    </row>
    <row r="5175" spans="1:16" ht="18.75" hidden="1">
      <c r="A5175" s="50" t="str">
        <f>"15100-569007"</f>
        <v>15100-569007</v>
      </c>
      <c r="B5175" s="50" t="str">
        <f>"97/01/26"</f>
        <v>97/01/26</v>
      </c>
      <c r="C5175" s="50" t="s">
        <v>13438</v>
      </c>
      <c r="D5175" s="12" t="s">
        <v>12824</v>
      </c>
      <c r="E5175" s="12" t="s">
        <v>4971</v>
      </c>
      <c r="F5175" s="49">
        <v>272360</v>
      </c>
      <c r="G5175" s="77" t="str">
        <f>"LLC Sebco Bitumen"</f>
        <v>LLC Sebco Bitumen</v>
      </c>
      <c r="H5175" s="14" t="s">
        <v>5601</v>
      </c>
      <c r="I5175" s="14" t="s">
        <v>2458</v>
      </c>
      <c r="J5175" s="33" t="s">
        <v>7110</v>
      </c>
      <c r="K5175" s="33" t="s">
        <v>13422</v>
      </c>
      <c r="L5175" s="53" t="str">
        <f t="shared" si="136"/>
        <v>پاکستان</v>
      </c>
      <c r="M5175" s="68" t="str">
        <f t="shared" si="142"/>
        <v>بشكه</v>
      </c>
      <c r="N5175" s="53" t="str">
        <f t="shared" si="144"/>
        <v>تفتان (ميرجاوه)</v>
      </c>
      <c r="O5175" s="53">
        <v>55200</v>
      </c>
      <c r="P5175" s="198" t="str">
        <f>"1396548704001"</f>
        <v>1396548704001</v>
      </c>
    </row>
    <row r="5176" spans="1:16" ht="18.75" hidden="1">
      <c r="A5176" s="50" t="str">
        <f>"15100-562819"</f>
        <v>15100-562819</v>
      </c>
      <c r="B5176" s="50" t="str">
        <f>"97/01/18"</f>
        <v>97/01/18</v>
      </c>
      <c r="C5176" s="50" t="s">
        <v>13455</v>
      </c>
      <c r="D5176" s="12" t="s">
        <v>13002</v>
      </c>
      <c r="E5176" s="12" t="s">
        <v>4971</v>
      </c>
      <c r="F5176" s="49">
        <v>50580</v>
      </c>
      <c r="G5176" s="77" t="str">
        <f>"SHINING GREEN STAR FZE"</f>
        <v>SHINING GREEN STAR FZE</v>
      </c>
      <c r="H5176" s="14" t="s">
        <v>5601</v>
      </c>
      <c r="I5176" s="14" t="s">
        <v>2458</v>
      </c>
      <c r="J5176" s="33" t="e">
        <f>VLOOKUP(C5176,شرکتها!A:B,2,FALSE)</f>
        <v>#N/A</v>
      </c>
      <c r="K5176" s="33" t="s">
        <v>13422</v>
      </c>
      <c r="L5176" s="53" t="str">
        <f t="shared" si="136"/>
        <v>پاکستان</v>
      </c>
      <c r="M5176" s="68" t="str">
        <f t="shared" si="142"/>
        <v>بشكه</v>
      </c>
      <c r="N5176" s="53" t="str">
        <f t="shared" si="144"/>
        <v>تفتان (ميرجاوه)</v>
      </c>
      <c r="O5176" s="53">
        <v>55200</v>
      </c>
      <c r="P5176" s="198" t="str">
        <f>"1396548703001"</f>
        <v>1396548703001</v>
      </c>
    </row>
    <row r="5177" spans="1:16" ht="18.75" hidden="1">
      <c r="A5177" s="50" t="str">
        <f>"15100-569007"</f>
        <v>15100-569007</v>
      </c>
      <c r="B5177" s="50" t="str">
        <f>"97/01/26"</f>
        <v>97/01/26</v>
      </c>
      <c r="C5177" s="50" t="s">
        <v>13469</v>
      </c>
      <c r="D5177" s="12" t="s">
        <v>13326</v>
      </c>
      <c r="E5177" s="12" t="s">
        <v>13333</v>
      </c>
      <c r="F5177" s="49">
        <v>118530</v>
      </c>
      <c r="G5177" s="77" t="str">
        <f>"SHINING GREEN STAR FZE"</f>
        <v>SHINING GREEN STAR FZE</v>
      </c>
      <c r="H5177" s="14" t="s">
        <v>5601</v>
      </c>
      <c r="I5177" s="14" t="s">
        <v>2458</v>
      </c>
      <c r="J5177" s="33" t="e">
        <f>VLOOKUP(C5177,شرکتها!A:B,2,FALSE)</f>
        <v>#N/A</v>
      </c>
      <c r="K5177" s="33" t="s">
        <v>13422</v>
      </c>
      <c r="L5177" s="53" t="str">
        <f t="shared" si="136"/>
        <v>پاکستان</v>
      </c>
      <c r="M5177" s="68" t="str">
        <f t="shared" si="142"/>
        <v>بشكه</v>
      </c>
      <c r="N5177" s="53" t="str">
        <f>"تفتان (ميرجاوه)"</f>
        <v>تفتان (ميرجاوه)</v>
      </c>
      <c r="O5177" s="53">
        <v>55200</v>
      </c>
      <c r="P5177" s="198" t="str">
        <f>"1396548703001"</f>
        <v>1396548703001</v>
      </c>
    </row>
    <row r="5178" spans="1:16" ht="18.75" hidden="1">
      <c r="A5178" s="50" t="str">
        <f>"15100-569007"</f>
        <v>15100-569007</v>
      </c>
      <c r="B5178" s="50" t="str">
        <f>"97/01/26"</f>
        <v>97/01/26</v>
      </c>
      <c r="C5178" s="50" t="s">
        <v>13470</v>
      </c>
      <c r="D5178" s="12" t="s">
        <v>13310</v>
      </c>
      <c r="E5178" s="12" t="s">
        <v>13333</v>
      </c>
      <c r="F5178" s="49">
        <v>151990</v>
      </c>
      <c r="G5178" s="77" t="str">
        <f>"SHINING GREEN STAR FZE"</f>
        <v>SHINING GREEN STAR FZE</v>
      </c>
      <c r="H5178" s="14" t="s">
        <v>5601</v>
      </c>
      <c r="I5178" s="14" t="s">
        <v>2458</v>
      </c>
      <c r="J5178" s="33" t="e">
        <f>VLOOKUP(C5178,شرکتها!A:B,2,FALSE)</f>
        <v>#N/A</v>
      </c>
      <c r="K5178" s="33" t="s">
        <v>13422</v>
      </c>
      <c r="L5178" s="53" t="str">
        <f t="shared" si="136"/>
        <v>پاکستان</v>
      </c>
      <c r="M5178" s="68" t="str">
        <f t="shared" si="142"/>
        <v>بشكه</v>
      </c>
      <c r="N5178" s="53" t="str">
        <f>"تفتان (ميرجاوه)"</f>
        <v>تفتان (ميرجاوه)</v>
      </c>
      <c r="O5178" s="53">
        <v>55200</v>
      </c>
      <c r="P5178" s="198" t="str">
        <f>"1396548703001"</f>
        <v>1396548703001</v>
      </c>
    </row>
    <row r="5179" spans="1:16" ht="18.75" hidden="1">
      <c r="A5179" s="50" t="str">
        <f>"15100-567593"</f>
        <v>15100-567593</v>
      </c>
      <c r="B5179" s="50" t="str">
        <f>"97/01/22"</f>
        <v>97/01/22</v>
      </c>
      <c r="C5179" s="50" t="s">
        <v>13465</v>
      </c>
      <c r="D5179" s="12" t="s">
        <v>13310</v>
      </c>
      <c r="E5179" s="12" t="s">
        <v>13333</v>
      </c>
      <c r="F5179" s="49">
        <v>23130</v>
      </c>
      <c r="G5179" s="77" t="str">
        <f>"West Asia Sun LLC"</f>
        <v>West Asia Sun LLC</v>
      </c>
      <c r="H5179" s="14" t="s">
        <v>5601</v>
      </c>
      <c r="I5179" s="14" t="s">
        <v>2458</v>
      </c>
      <c r="J5179" s="33" t="s">
        <v>7110</v>
      </c>
      <c r="K5179" s="33" t="s">
        <v>13422</v>
      </c>
      <c r="L5179" s="53" t="str">
        <f t="shared" si="136"/>
        <v>پاکستان</v>
      </c>
      <c r="M5179" s="68" t="str">
        <f t="shared" si="142"/>
        <v>بشكه</v>
      </c>
      <c r="N5179" s="53" t="str">
        <f>"پيشين"</f>
        <v>پيشين</v>
      </c>
      <c r="O5179" s="53">
        <v>55301</v>
      </c>
      <c r="P5179" s="198" t="str">
        <f>"1396548706001"</f>
        <v>1396548706001</v>
      </c>
    </row>
    <row r="5180" spans="1:16" ht="18.75" hidden="1">
      <c r="A5180" s="50" t="str">
        <f>"15100-562218"</f>
        <v>15100-562218</v>
      </c>
      <c r="B5180" s="50" t="str">
        <f>"97/01/16"</f>
        <v>97/01/16</v>
      </c>
      <c r="C5180" s="50" t="s">
        <v>13471</v>
      </c>
      <c r="D5180" s="12" t="s">
        <v>12734</v>
      </c>
      <c r="E5180" s="12" t="s">
        <v>4971</v>
      </c>
      <c r="F5180" s="49">
        <v>400000</v>
      </c>
      <c r="G5180" s="77" t="str">
        <f>"DAXON PETROLEUM"</f>
        <v>DAXON PETROLEUM</v>
      </c>
      <c r="H5180" s="14" t="s">
        <v>5601</v>
      </c>
      <c r="I5180" s="14" t="s">
        <v>2458</v>
      </c>
      <c r="J5180" s="33" t="s">
        <v>7110</v>
      </c>
      <c r="K5180" s="33" t="s">
        <v>13422</v>
      </c>
      <c r="L5180" s="53" t="str">
        <f t="shared" si="136"/>
        <v>پاکستان</v>
      </c>
      <c r="M5180" s="68" t="str">
        <f>"فله"</f>
        <v>فله</v>
      </c>
      <c r="N5180" s="53" t="str">
        <f>"پيشين"</f>
        <v>پيشين</v>
      </c>
      <c r="O5180" s="53">
        <v>55301</v>
      </c>
      <c r="P5180" s="198" t="str">
        <f>"1396538724001"</f>
        <v>1396538724001</v>
      </c>
    </row>
    <row r="5181" spans="1:16" ht="18.75" hidden="1">
      <c r="A5181" s="50" t="str">
        <f>"15100-567042"</f>
        <v>15100-567042</v>
      </c>
      <c r="B5181" s="50" t="str">
        <f>"97/01/21"</f>
        <v>97/01/21</v>
      </c>
      <c r="C5181" s="50" t="s">
        <v>13467</v>
      </c>
      <c r="D5181" s="12" t="s">
        <v>12689</v>
      </c>
      <c r="E5181" s="12" t="s">
        <v>4971</v>
      </c>
      <c r="F5181" s="49">
        <v>7540</v>
      </c>
      <c r="G5181" s="77" t="str">
        <f>"LLC Sebco Bitumen"</f>
        <v>LLC Sebco Bitumen</v>
      </c>
      <c r="H5181" s="14" t="s">
        <v>5601</v>
      </c>
      <c r="I5181" s="14" t="s">
        <v>2458</v>
      </c>
      <c r="J5181" s="33" t="s">
        <v>7110</v>
      </c>
      <c r="K5181" s="33" t="s">
        <v>13422</v>
      </c>
      <c r="L5181" s="53" t="str">
        <f t="shared" si="136"/>
        <v>پاکستان</v>
      </c>
      <c r="M5181" s="68" t="str">
        <f>"فله"</f>
        <v>فله</v>
      </c>
      <c r="N5181" s="53" t="str">
        <f>"بازارچه کوهک سراوان"</f>
        <v>بازارچه کوهک سراوان</v>
      </c>
      <c r="O5181" s="53">
        <v>55107</v>
      </c>
      <c r="P5181" s="198" t="str">
        <f>"1396546618001"</f>
        <v>1396546618001</v>
      </c>
    </row>
    <row r="5182" spans="1:16" ht="18.75" hidden="1">
      <c r="A5182" s="50" t="str">
        <f>"15100-566451"</f>
        <v>15100-566451</v>
      </c>
      <c r="B5182" s="50" t="str">
        <f>"97/01/20"</f>
        <v>97/01/20</v>
      </c>
      <c r="C5182" s="50" t="s">
        <v>13467</v>
      </c>
      <c r="D5182" s="12" t="s">
        <v>12689</v>
      </c>
      <c r="E5182" s="12" t="s">
        <v>4971</v>
      </c>
      <c r="F5182" s="49">
        <v>134110</v>
      </c>
      <c r="G5182" s="77" t="str">
        <f>"LLC Sebco Bitumen"</f>
        <v>LLC Sebco Bitumen</v>
      </c>
      <c r="H5182" s="14" t="s">
        <v>5601</v>
      </c>
      <c r="I5182" s="14" t="s">
        <v>2458</v>
      </c>
      <c r="J5182" s="33" t="s">
        <v>7110</v>
      </c>
      <c r="K5182" s="33" t="s">
        <v>13422</v>
      </c>
      <c r="L5182" s="53" t="str">
        <f t="shared" si="136"/>
        <v>پاکستان</v>
      </c>
      <c r="M5182" s="68" t="str">
        <f>"بشكه"</f>
        <v>بشكه</v>
      </c>
      <c r="N5182" s="53" t="str">
        <f>"بازارچه ريمدان"</f>
        <v>بازارچه ريمدان</v>
      </c>
      <c r="O5182" s="53">
        <v>55112</v>
      </c>
      <c r="P5182" s="198" t="str">
        <f>"1396546618001"</f>
        <v>1396546618001</v>
      </c>
    </row>
    <row r="5183" spans="1:16" ht="18.75" hidden="1">
      <c r="A5183" s="50" t="str">
        <f>"15100-567605"</f>
        <v>15100-567605</v>
      </c>
      <c r="B5183" s="50" t="str">
        <f>"97/01/22"</f>
        <v>97/01/22</v>
      </c>
      <c r="C5183" s="50" t="s">
        <v>13468</v>
      </c>
      <c r="D5183" s="12" t="s">
        <v>12734</v>
      </c>
      <c r="E5183" s="12" t="s">
        <v>4971</v>
      </c>
      <c r="F5183" s="49">
        <v>73310</v>
      </c>
      <c r="G5183" s="77" t="str">
        <f>"HERAT GHORBAND CONSTRUCTION COMPANY"</f>
        <v>HERAT GHORBAND CONSTRUCTION COMPANY</v>
      </c>
      <c r="H5183" s="14" t="s">
        <v>5601</v>
      </c>
      <c r="I5183" s="14" t="s">
        <v>2458</v>
      </c>
      <c r="J5183" s="33" t="s">
        <v>7110</v>
      </c>
      <c r="K5183" s="33" t="s">
        <v>13422</v>
      </c>
      <c r="L5183" s="53" t="str">
        <f t="shared" si="136"/>
        <v>پاکستان</v>
      </c>
      <c r="M5183" s="68" t="str">
        <f>"بشكه"</f>
        <v>بشكه</v>
      </c>
      <c r="N5183" s="53" t="str">
        <f>"تفتان (ميرجاوه)"</f>
        <v>تفتان (ميرجاوه)</v>
      </c>
      <c r="O5183" s="53">
        <v>55200</v>
      </c>
      <c r="P5183" s="198" t="str">
        <f>"1396534629001"</f>
        <v>1396534629001</v>
      </c>
    </row>
    <row r="5184" spans="1:16" ht="18.75" hidden="1">
      <c r="A5184" s="54" t="str">
        <f>"15100-568234"</f>
        <v>15100-568234</v>
      </c>
      <c r="B5184" s="54" t="str">
        <f>"97/01/23"</f>
        <v>97/01/23</v>
      </c>
      <c r="C5184" s="54" t="s">
        <v>4502</v>
      </c>
      <c r="D5184" s="55" t="s">
        <v>4183</v>
      </c>
      <c r="E5184" s="55" t="s">
        <v>3420</v>
      </c>
      <c r="F5184" s="56">
        <v>77025</v>
      </c>
      <c r="G5184" s="186" t="str">
        <f>"Ivera Holding LTD"</f>
        <v>Ivera Holding LTD</v>
      </c>
      <c r="H5184" s="57" t="s">
        <v>5601</v>
      </c>
      <c r="I5184" s="57" t="s">
        <v>2458</v>
      </c>
      <c r="J5184" s="57" t="s">
        <v>7110</v>
      </c>
      <c r="K5184" s="187" t="s">
        <v>13422</v>
      </c>
      <c r="L5184" s="188" t="str">
        <f t="shared" si="136"/>
        <v>پاکستان</v>
      </c>
      <c r="M5184" s="189" t="str">
        <f>"فله"</f>
        <v>فله</v>
      </c>
      <c r="N5184" s="188" t="str">
        <f>"بازارچه کوهک سراوان"</f>
        <v>بازارچه کوهک سراوان</v>
      </c>
      <c r="O5184" s="188">
        <v>55107</v>
      </c>
      <c r="P5184" s="200" t="str">
        <f>"1395451221001"</f>
        <v>1395451221001</v>
      </c>
    </row>
    <row r="5185" spans="1:16" ht="18.75" hidden="1">
      <c r="A5185" s="50" t="str">
        <f>"15100-566454"</f>
        <v>15100-566454</v>
      </c>
      <c r="B5185" s="50" t="str">
        <f>"97/01/20"</f>
        <v>97/01/20</v>
      </c>
      <c r="C5185" s="50" t="s">
        <v>13467</v>
      </c>
      <c r="D5185" s="12" t="s">
        <v>12689</v>
      </c>
      <c r="E5185" s="12" t="s">
        <v>4971</v>
      </c>
      <c r="F5185" s="49">
        <v>24310</v>
      </c>
      <c r="G5185" s="77" t="str">
        <f>"LLC Sebco Bitumen"</f>
        <v>LLC Sebco Bitumen</v>
      </c>
      <c r="H5185" s="14" t="s">
        <v>5601</v>
      </c>
      <c r="I5185" s="14" t="s">
        <v>2458</v>
      </c>
      <c r="J5185" s="33" t="s">
        <v>7110</v>
      </c>
      <c r="K5185" s="33" t="s">
        <v>13422</v>
      </c>
      <c r="L5185" s="53" t="str">
        <f t="shared" si="136"/>
        <v>پاکستان</v>
      </c>
      <c r="M5185" s="68" t="str">
        <f>"بشكه"</f>
        <v>بشكه</v>
      </c>
      <c r="N5185" s="53" t="str">
        <f>"تفتان (ميرجاوه)"</f>
        <v>تفتان (ميرجاوه)</v>
      </c>
      <c r="O5185" s="53">
        <v>55200</v>
      </c>
      <c r="P5185" s="198" t="str">
        <f>"1396546618001"</f>
        <v>1396546618001</v>
      </c>
    </row>
    <row r="5186" spans="1:16" ht="18.75" hidden="1">
      <c r="A5186" s="50" t="str">
        <f>"15100-567593"</f>
        <v>15100-567593</v>
      </c>
      <c r="B5186" s="50" t="str">
        <f>"97/01/22"</f>
        <v>97/01/22</v>
      </c>
      <c r="C5186" s="50" t="s">
        <v>13468</v>
      </c>
      <c r="D5186" s="12" t="s">
        <v>12734</v>
      </c>
      <c r="E5186" s="12" t="s">
        <v>4971</v>
      </c>
      <c r="F5186" s="49">
        <v>21920</v>
      </c>
      <c r="G5186" s="77" t="str">
        <f>"HERAT GHORBAND CONSTRUCTION COMPANY"</f>
        <v>HERAT GHORBAND CONSTRUCTION COMPANY</v>
      </c>
      <c r="H5186" s="14" t="s">
        <v>5601</v>
      </c>
      <c r="I5186" s="14" t="s">
        <v>2458</v>
      </c>
      <c r="J5186" s="33" t="s">
        <v>7110</v>
      </c>
      <c r="K5186" s="33" t="s">
        <v>13422</v>
      </c>
      <c r="L5186" s="53" t="str">
        <f t="shared" si="136"/>
        <v>پاکستان</v>
      </c>
      <c r="M5186" s="68" t="str">
        <f>"بشكه"</f>
        <v>بشكه</v>
      </c>
      <c r="N5186" s="53" t="str">
        <f>"پيشين"</f>
        <v>پيشين</v>
      </c>
      <c r="O5186" s="53">
        <v>55301</v>
      </c>
      <c r="P5186" s="198" t="str">
        <f>"1396534629001"</f>
        <v>1396534629001</v>
      </c>
    </row>
    <row r="5187" spans="1:16" ht="18.75" hidden="1">
      <c r="A5187" s="50" t="s">
        <v>13472</v>
      </c>
      <c r="B5187" s="50" t="s">
        <v>13195</v>
      </c>
      <c r="C5187" s="50" t="s">
        <v>12957</v>
      </c>
      <c r="D5187" s="12" t="s">
        <v>12717</v>
      </c>
      <c r="E5187" s="12" t="s">
        <v>4971</v>
      </c>
      <c r="F5187" s="49">
        <v>21110</v>
      </c>
      <c r="G5187" s="77" t="s">
        <v>6453</v>
      </c>
      <c r="H5187" s="14" t="s">
        <v>5601</v>
      </c>
      <c r="I5187" s="14" t="s">
        <v>2458</v>
      </c>
      <c r="J5187" s="33" t="s">
        <v>7110</v>
      </c>
      <c r="K5187" s="33" t="s">
        <v>13473</v>
      </c>
      <c r="L5187" s="53" t="s">
        <v>6054</v>
      </c>
      <c r="M5187" s="68" t="s">
        <v>8913</v>
      </c>
      <c r="N5187" s="53" t="s">
        <v>6061</v>
      </c>
      <c r="O5187" s="53">
        <v>55301</v>
      </c>
      <c r="P5187" s="198" t="s">
        <v>12673</v>
      </c>
    </row>
    <row r="5188" spans="1:16" ht="18.75" hidden="1">
      <c r="A5188" s="50" t="s">
        <v>13472</v>
      </c>
      <c r="B5188" s="50" t="s">
        <v>13195</v>
      </c>
      <c r="C5188" s="50" t="s">
        <v>13204</v>
      </c>
      <c r="D5188" s="12" t="s">
        <v>12824</v>
      </c>
      <c r="E5188" s="12" t="s">
        <v>4971</v>
      </c>
      <c r="F5188" s="49">
        <v>24900</v>
      </c>
      <c r="G5188" s="77" t="s">
        <v>12608</v>
      </c>
      <c r="H5188" s="14" t="s">
        <v>5601</v>
      </c>
      <c r="I5188" s="14" t="s">
        <v>2458</v>
      </c>
      <c r="J5188" s="33" t="s">
        <v>7110</v>
      </c>
      <c r="K5188" s="33" t="s">
        <v>13473</v>
      </c>
      <c r="L5188" s="53" t="s">
        <v>6054</v>
      </c>
      <c r="M5188" s="68" t="s">
        <v>8913</v>
      </c>
      <c r="N5188" s="53" t="s">
        <v>6061</v>
      </c>
      <c r="O5188" s="53">
        <v>55301</v>
      </c>
      <c r="P5188" s="198" t="s">
        <v>12677</v>
      </c>
    </row>
    <row r="5189" spans="1:16" ht="18.75" hidden="1">
      <c r="A5189" s="50" t="s">
        <v>13472</v>
      </c>
      <c r="B5189" s="50" t="s">
        <v>13195</v>
      </c>
      <c r="C5189" s="50" t="s">
        <v>12973</v>
      </c>
      <c r="D5189" s="12" t="s">
        <v>12895</v>
      </c>
      <c r="E5189" s="12" t="s">
        <v>4971</v>
      </c>
      <c r="F5189" s="49">
        <v>19290</v>
      </c>
      <c r="G5189" s="77" t="s">
        <v>6453</v>
      </c>
      <c r="H5189" s="14" t="s">
        <v>5601</v>
      </c>
      <c r="I5189" s="14" t="s">
        <v>2458</v>
      </c>
      <c r="J5189" s="33" t="s">
        <v>7110</v>
      </c>
      <c r="K5189" s="33" t="s">
        <v>13473</v>
      </c>
      <c r="L5189" s="53" t="s">
        <v>6054</v>
      </c>
      <c r="M5189" s="68" t="s">
        <v>8913</v>
      </c>
      <c r="N5189" s="53" t="s">
        <v>6061</v>
      </c>
      <c r="O5189" s="53">
        <v>55301</v>
      </c>
      <c r="P5189" s="198" t="s">
        <v>12673</v>
      </c>
    </row>
    <row r="5190" spans="1:16" ht="18.75" hidden="1">
      <c r="A5190" s="50" t="s">
        <v>13472</v>
      </c>
      <c r="B5190" s="50" t="s">
        <v>13195</v>
      </c>
      <c r="C5190" s="50" t="s">
        <v>13208</v>
      </c>
      <c r="D5190" s="12" t="s">
        <v>10033</v>
      </c>
      <c r="E5190" s="12" t="s">
        <v>4971</v>
      </c>
      <c r="F5190" s="49">
        <v>60110</v>
      </c>
      <c r="G5190" s="77" t="s">
        <v>6454</v>
      </c>
      <c r="H5190" s="14" t="s">
        <v>5601</v>
      </c>
      <c r="I5190" s="14" t="s">
        <v>2458</v>
      </c>
      <c r="J5190" s="33" t="s">
        <v>7110</v>
      </c>
      <c r="K5190" s="33" t="s">
        <v>13473</v>
      </c>
      <c r="L5190" s="53" t="s">
        <v>6054</v>
      </c>
      <c r="M5190" s="68" t="s">
        <v>8913</v>
      </c>
      <c r="N5190" s="53" t="s">
        <v>6061</v>
      </c>
      <c r="O5190" s="53">
        <v>55301</v>
      </c>
      <c r="P5190" s="198" t="s">
        <v>9797</v>
      </c>
    </row>
    <row r="5191" spans="1:16" ht="18.75" hidden="1">
      <c r="A5191" s="50" t="s">
        <v>13472</v>
      </c>
      <c r="B5191" s="50" t="s">
        <v>13195</v>
      </c>
      <c r="C5191" s="50" t="s">
        <v>13405</v>
      </c>
      <c r="D5191" s="12" t="s">
        <v>12944</v>
      </c>
      <c r="E5191" s="12" t="s">
        <v>4971</v>
      </c>
      <c r="F5191" s="49">
        <v>313930</v>
      </c>
      <c r="G5191" s="77" t="s">
        <v>6453</v>
      </c>
      <c r="H5191" s="14" t="s">
        <v>5601</v>
      </c>
      <c r="I5191" s="14" t="s">
        <v>2458</v>
      </c>
      <c r="J5191" s="33" t="s">
        <v>7110</v>
      </c>
      <c r="K5191" s="33" t="s">
        <v>13473</v>
      </c>
      <c r="L5191" s="53" t="s">
        <v>6054</v>
      </c>
      <c r="M5191" s="68" t="s">
        <v>8913</v>
      </c>
      <c r="N5191" s="53" t="s">
        <v>6061</v>
      </c>
      <c r="O5191" s="53">
        <v>55301</v>
      </c>
      <c r="P5191" s="198" t="s">
        <v>12673</v>
      </c>
    </row>
    <row r="5192" spans="1:16" ht="18.75" hidden="1">
      <c r="A5192" s="50" t="s">
        <v>13474</v>
      </c>
      <c r="B5192" s="50" t="s">
        <v>13475</v>
      </c>
      <c r="C5192" s="50" t="s">
        <v>13476</v>
      </c>
      <c r="D5192" s="12" t="s">
        <v>12880</v>
      </c>
      <c r="E5192" s="12" t="s">
        <v>4971</v>
      </c>
      <c r="F5192" s="49">
        <v>156800</v>
      </c>
      <c r="G5192" s="77" t="s">
        <v>6454</v>
      </c>
      <c r="H5192" s="14" t="s">
        <v>5601</v>
      </c>
      <c r="I5192" s="14" t="s">
        <v>2458</v>
      </c>
      <c r="J5192" s="33" t="s">
        <v>7110</v>
      </c>
      <c r="K5192" s="33" t="s">
        <v>13477</v>
      </c>
      <c r="L5192" s="53" t="s">
        <v>6054</v>
      </c>
      <c r="M5192" s="68" t="s">
        <v>8912</v>
      </c>
      <c r="N5192" s="53" t="s">
        <v>6076</v>
      </c>
      <c r="O5192" s="53">
        <v>55301</v>
      </c>
      <c r="P5192" s="198" t="s">
        <v>12669</v>
      </c>
    </row>
    <row r="5193" spans="1:16" ht="18.75" hidden="1">
      <c r="A5193" s="50" t="s">
        <v>13478</v>
      </c>
      <c r="B5193" s="50" t="s">
        <v>13273</v>
      </c>
      <c r="C5193" s="50" t="s">
        <v>13423</v>
      </c>
      <c r="D5193" s="12" t="s">
        <v>12898</v>
      </c>
      <c r="E5193" s="12" t="s">
        <v>4971</v>
      </c>
      <c r="F5193" s="49">
        <v>49860</v>
      </c>
      <c r="G5193" s="77" t="s">
        <v>6298</v>
      </c>
      <c r="H5193" s="14" t="s">
        <v>5601</v>
      </c>
      <c r="I5193" s="14" t="s">
        <v>2458</v>
      </c>
      <c r="J5193" s="33" t="s">
        <v>7110</v>
      </c>
      <c r="K5193" s="33" t="s">
        <v>13477</v>
      </c>
      <c r="L5193" s="53" t="s">
        <v>6054</v>
      </c>
      <c r="M5193" s="68" t="s">
        <v>8912</v>
      </c>
      <c r="N5193" s="53" t="s">
        <v>6286</v>
      </c>
      <c r="O5193" s="53">
        <v>55107</v>
      </c>
      <c r="P5193" s="198" t="s">
        <v>12934</v>
      </c>
    </row>
    <row r="5194" spans="1:16" ht="18.75" hidden="1">
      <c r="A5194" s="50" t="s">
        <v>13479</v>
      </c>
      <c r="B5194" s="50" t="s">
        <v>13373</v>
      </c>
      <c r="C5194" s="50" t="s">
        <v>13431</v>
      </c>
      <c r="D5194" s="12" t="s">
        <v>13266</v>
      </c>
      <c r="E5194" s="12" t="s">
        <v>13333</v>
      </c>
      <c r="F5194" s="49">
        <v>49480</v>
      </c>
      <c r="G5194" s="77" t="s">
        <v>6453</v>
      </c>
      <c r="H5194" s="14" t="s">
        <v>5601</v>
      </c>
      <c r="I5194" s="14" t="s">
        <v>2458</v>
      </c>
      <c r="J5194" s="33" t="e">
        <f>VLOOKUP(C5194,شرکتها!A:B,2,FALSE)</f>
        <v>#N/A</v>
      </c>
      <c r="K5194" s="33" t="s">
        <v>13477</v>
      </c>
      <c r="L5194" s="53" t="s">
        <v>6054</v>
      </c>
      <c r="M5194" s="68" t="s">
        <v>8912</v>
      </c>
      <c r="N5194" s="53" t="s">
        <v>6285</v>
      </c>
      <c r="O5194" s="53">
        <v>55200</v>
      </c>
      <c r="P5194" s="198" t="s">
        <v>12929</v>
      </c>
    </row>
    <row r="5195" spans="1:16" ht="18.75" hidden="1">
      <c r="A5195" s="50" t="s">
        <v>13480</v>
      </c>
      <c r="B5195" s="50" t="s">
        <v>13373</v>
      </c>
      <c r="C5195" s="50" t="s">
        <v>13481</v>
      </c>
      <c r="D5195" s="12" t="s">
        <v>13375</v>
      </c>
      <c r="E5195" s="12" t="s">
        <v>4971</v>
      </c>
      <c r="F5195" s="49">
        <v>134360</v>
      </c>
      <c r="G5195" s="77" t="s">
        <v>6454</v>
      </c>
      <c r="H5195" s="14" t="s">
        <v>5601</v>
      </c>
      <c r="I5195" s="14" t="s">
        <v>2458</v>
      </c>
      <c r="J5195" s="33" t="s">
        <v>7110</v>
      </c>
      <c r="K5195" s="33" t="s">
        <v>13477</v>
      </c>
      <c r="L5195" s="53" t="s">
        <v>6054</v>
      </c>
      <c r="M5195" s="68" t="s">
        <v>8913</v>
      </c>
      <c r="N5195" s="53" t="s">
        <v>9836</v>
      </c>
      <c r="O5195" s="53">
        <v>55112</v>
      </c>
      <c r="P5195" s="198" t="s">
        <v>12669</v>
      </c>
    </row>
    <row r="5196" spans="1:16" ht="18.75" hidden="1">
      <c r="A5196" s="50" t="s">
        <v>13479</v>
      </c>
      <c r="B5196" s="50" t="s">
        <v>13373</v>
      </c>
      <c r="C5196" s="50" t="s">
        <v>13481</v>
      </c>
      <c r="D5196" s="12" t="s">
        <v>13375</v>
      </c>
      <c r="E5196" s="12" t="s">
        <v>4971</v>
      </c>
      <c r="F5196" s="49">
        <v>340610</v>
      </c>
      <c r="G5196" s="77" t="s">
        <v>6454</v>
      </c>
      <c r="H5196" s="14" t="s">
        <v>5601</v>
      </c>
      <c r="I5196" s="14" t="s">
        <v>2458</v>
      </c>
      <c r="J5196" s="33" t="s">
        <v>7110</v>
      </c>
      <c r="K5196" s="33" t="s">
        <v>13477</v>
      </c>
      <c r="L5196" s="53" t="s">
        <v>6054</v>
      </c>
      <c r="M5196" s="68" t="s">
        <v>8912</v>
      </c>
      <c r="N5196" s="53" t="s">
        <v>6285</v>
      </c>
      <c r="O5196" s="53">
        <v>55200</v>
      </c>
      <c r="P5196" s="198" t="s">
        <v>12669</v>
      </c>
    </row>
    <row r="5197" spans="1:16" ht="18.75" hidden="1">
      <c r="A5197" s="50" t="s">
        <v>13474</v>
      </c>
      <c r="B5197" s="50" t="s">
        <v>13475</v>
      </c>
      <c r="C5197" s="50" t="s">
        <v>13426</v>
      </c>
      <c r="D5197" s="12" t="s">
        <v>13308</v>
      </c>
      <c r="E5197" s="12" t="s">
        <v>13333</v>
      </c>
      <c r="F5197" s="49">
        <v>69690</v>
      </c>
      <c r="G5197" s="77" t="s">
        <v>12608</v>
      </c>
      <c r="H5197" s="14" t="s">
        <v>5601</v>
      </c>
      <c r="I5197" s="14" t="s">
        <v>2458</v>
      </c>
      <c r="J5197" s="33" t="s">
        <v>7110</v>
      </c>
      <c r="K5197" s="33" t="s">
        <v>13477</v>
      </c>
      <c r="L5197" s="53" t="s">
        <v>6054</v>
      </c>
      <c r="M5197" s="68" t="s">
        <v>8912</v>
      </c>
      <c r="N5197" s="53" t="s">
        <v>6076</v>
      </c>
      <c r="O5197" s="53">
        <v>55301</v>
      </c>
      <c r="P5197" s="198" t="s">
        <v>12939</v>
      </c>
    </row>
    <row r="5198" spans="1:16" ht="18.75" hidden="1">
      <c r="A5198" s="50" t="s">
        <v>13474</v>
      </c>
      <c r="B5198" s="50" t="s">
        <v>13475</v>
      </c>
      <c r="C5198" s="50" t="s">
        <v>13430</v>
      </c>
      <c r="D5198" s="12" t="s">
        <v>13266</v>
      </c>
      <c r="E5198" s="12" t="s">
        <v>13333</v>
      </c>
      <c r="F5198" s="49">
        <v>45680</v>
      </c>
      <c r="G5198" s="77" t="s">
        <v>6300</v>
      </c>
      <c r="H5198" s="14" t="s">
        <v>5601</v>
      </c>
      <c r="I5198" s="14" t="s">
        <v>2458</v>
      </c>
      <c r="J5198" s="33" t="s">
        <v>7110</v>
      </c>
      <c r="K5198" s="33" t="s">
        <v>13477</v>
      </c>
      <c r="L5198" s="53" t="s">
        <v>6054</v>
      </c>
      <c r="M5198" s="68" t="s">
        <v>8912</v>
      </c>
      <c r="N5198" s="53" t="s">
        <v>6076</v>
      </c>
      <c r="O5198" s="53">
        <v>55301</v>
      </c>
      <c r="P5198" s="198" t="s">
        <v>12220</v>
      </c>
    </row>
    <row r="5199" spans="1:16" ht="18.75" hidden="1">
      <c r="A5199" s="50" t="s">
        <v>13482</v>
      </c>
      <c r="B5199" s="50" t="s">
        <v>13373</v>
      </c>
      <c r="C5199" s="50" t="s">
        <v>13430</v>
      </c>
      <c r="D5199" s="12" t="s">
        <v>13266</v>
      </c>
      <c r="E5199" s="12" t="s">
        <v>13333</v>
      </c>
      <c r="F5199" s="49">
        <v>46820</v>
      </c>
      <c r="G5199" s="77" t="s">
        <v>6300</v>
      </c>
      <c r="H5199" s="14" t="s">
        <v>5601</v>
      </c>
      <c r="I5199" s="14" t="s">
        <v>2458</v>
      </c>
      <c r="J5199" s="33" t="s">
        <v>7110</v>
      </c>
      <c r="K5199" s="33" t="s">
        <v>13477</v>
      </c>
      <c r="L5199" s="53" t="s">
        <v>6054</v>
      </c>
      <c r="M5199" s="68" t="s">
        <v>8912</v>
      </c>
      <c r="N5199" s="53" t="s">
        <v>6076</v>
      </c>
      <c r="O5199" s="53">
        <v>55301</v>
      </c>
      <c r="P5199" s="198" t="s">
        <v>12220</v>
      </c>
    </row>
    <row r="5200" spans="1:16" ht="18.75" hidden="1">
      <c r="A5200" s="50" t="s">
        <v>13483</v>
      </c>
      <c r="B5200" s="50" t="s">
        <v>13273</v>
      </c>
      <c r="C5200" s="50" t="s">
        <v>13423</v>
      </c>
      <c r="D5200" s="12" t="s">
        <v>12898</v>
      </c>
      <c r="E5200" s="12" t="s">
        <v>4971</v>
      </c>
      <c r="F5200" s="49">
        <v>47770</v>
      </c>
      <c r="G5200" s="77" t="s">
        <v>6298</v>
      </c>
      <c r="H5200" s="14" t="s">
        <v>5601</v>
      </c>
      <c r="I5200" s="14" t="s">
        <v>2458</v>
      </c>
      <c r="J5200" s="33" t="s">
        <v>7110</v>
      </c>
      <c r="K5200" s="33" t="s">
        <v>13477</v>
      </c>
      <c r="L5200" s="53" t="s">
        <v>6054</v>
      </c>
      <c r="M5200" s="68" t="s">
        <v>8912</v>
      </c>
      <c r="N5200" s="53" t="s">
        <v>9836</v>
      </c>
      <c r="O5200" s="53">
        <v>55112</v>
      </c>
      <c r="P5200" s="198" t="s">
        <v>12934</v>
      </c>
    </row>
    <row r="5201" spans="1:16" ht="18.75" hidden="1">
      <c r="A5201" s="50" t="s">
        <v>13484</v>
      </c>
      <c r="B5201" s="50" t="s">
        <v>13475</v>
      </c>
      <c r="C5201" s="50" t="s">
        <v>13485</v>
      </c>
      <c r="D5201" s="12" t="s">
        <v>12878</v>
      </c>
      <c r="E5201" s="12" t="s">
        <v>4971</v>
      </c>
      <c r="F5201" s="49">
        <v>221680</v>
      </c>
      <c r="G5201" s="77" t="s">
        <v>6454</v>
      </c>
      <c r="H5201" s="14" t="s">
        <v>5601</v>
      </c>
      <c r="I5201" s="14" t="s">
        <v>2458</v>
      </c>
      <c r="J5201" s="33" t="s">
        <v>7110</v>
      </c>
      <c r="K5201" s="33" t="s">
        <v>13477</v>
      </c>
      <c r="L5201" s="53" t="s">
        <v>6054</v>
      </c>
      <c r="M5201" s="68" t="s">
        <v>8912</v>
      </c>
      <c r="N5201" s="53" t="s">
        <v>6285</v>
      </c>
      <c r="O5201" s="53">
        <v>55200</v>
      </c>
      <c r="P5201" s="198" t="s">
        <v>12663</v>
      </c>
    </row>
    <row r="5202" spans="1:16" ht="18.75" hidden="1">
      <c r="A5202" s="50" t="s">
        <v>13486</v>
      </c>
      <c r="B5202" s="50" t="s">
        <v>13351</v>
      </c>
      <c r="C5202" s="50" t="s">
        <v>13487</v>
      </c>
      <c r="D5202" s="12" t="s">
        <v>12765</v>
      </c>
      <c r="E5202" s="12" t="s">
        <v>4971</v>
      </c>
      <c r="F5202" s="49">
        <v>57660</v>
      </c>
      <c r="G5202" s="77" t="s">
        <v>6298</v>
      </c>
      <c r="H5202" s="14" t="s">
        <v>5601</v>
      </c>
      <c r="I5202" s="14" t="s">
        <v>2458</v>
      </c>
      <c r="J5202" s="33" t="s">
        <v>7110</v>
      </c>
      <c r="K5202" s="33" t="s">
        <v>13477</v>
      </c>
      <c r="L5202" s="53" t="s">
        <v>6054</v>
      </c>
      <c r="M5202" s="68" t="s">
        <v>8913</v>
      </c>
      <c r="N5202" s="53" t="s">
        <v>6286</v>
      </c>
      <c r="O5202" s="53">
        <v>55107</v>
      </c>
      <c r="P5202" s="198" t="s">
        <v>12668</v>
      </c>
    </row>
    <row r="5203" spans="1:16" ht="18.75" hidden="1">
      <c r="A5203" s="50" t="s">
        <v>13486</v>
      </c>
      <c r="B5203" s="50" t="s">
        <v>13351</v>
      </c>
      <c r="C5203" s="50" t="s">
        <v>13423</v>
      </c>
      <c r="D5203" s="12" t="s">
        <v>12898</v>
      </c>
      <c r="E5203" s="12" t="s">
        <v>4971</v>
      </c>
      <c r="F5203" s="49">
        <v>45780</v>
      </c>
      <c r="G5203" s="77" t="s">
        <v>6298</v>
      </c>
      <c r="H5203" s="14" t="s">
        <v>5601</v>
      </c>
      <c r="I5203" s="14" t="s">
        <v>2458</v>
      </c>
      <c r="J5203" s="33" t="s">
        <v>7110</v>
      </c>
      <c r="K5203" s="33" t="s">
        <v>13477</v>
      </c>
      <c r="L5203" s="53" t="s">
        <v>6054</v>
      </c>
      <c r="M5203" s="68" t="s">
        <v>8913</v>
      </c>
      <c r="N5203" s="53" t="s">
        <v>6286</v>
      </c>
      <c r="O5203" s="53">
        <v>55107</v>
      </c>
      <c r="P5203" s="198" t="s">
        <v>12934</v>
      </c>
    </row>
    <row r="5204" spans="1:16" ht="18.75" hidden="1">
      <c r="A5204" s="50" t="s">
        <v>13474</v>
      </c>
      <c r="B5204" s="50" t="s">
        <v>13475</v>
      </c>
      <c r="C5204" s="50" t="s">
        <v>13485</v>
      </c>
      <c r="D5204" s="12" t="s">
        <v>12878</v>
      </c>
      <c r="E5204" s="12" t="s">
        <v>4971</v>
      </c>
      <c r="F5204" s="49">
        <v>78320</v>
      </c>
      <c r="G5204" s="77" t="s">
        <v>6454</v>
      </c>
      <c r="H5204" s="14" t="s">
        <v>5601</v>
      </c>
      <c r="I5204" s="14" t="s">
        <v>2458</v>
      </c>
      <c r="J5204" s="33" t="s">
        <v>7110</v>
      </c>
      <c r="K5204" s="33" t="s">
        <v>13477</v>
      </c>
      <c r="L5204" s="53" t="s">
        <v>6054</v>
      </c>
      <c r="M5204" s="68" t="s">
        <v>8912</v>
      </c>
      <c r="N5204" s="53" t="s">
        <v>6076</v>
      </c>
      <c r="O5204" s="53">
        <v>55301</v>
      </c>
      <c r="P5204" s="198" t="s">
        <v>12663</v>
      </c>
    </row>
    <row r="5205" spans="1:16" ht="18.75" hidden="1">
      <c r="A5205" s="50" t="s">
        <v>13484</v>
      </c>
      <c r="B5205" s="50" t="s">
        <v>13475</v>
      </c>
      <c r="C5205" s="50" t="s">
        <v>13488</v>
      </c>
      <c r="D5205" s="12" t="s">
        <v>12867</v>
      </c>
      <c r="E5205" s="12" t="s">
        <v>4971</v>
      </c>
      <c r="F5205" s="49">
        <v>28120</v>
      </c>
      <c r="G5205" s="77" t="s">
        <v>12823</v>
      </c>
      <c r="H5205" s="14" t="s">
        <v>5601</v>
      </c>
      <c r="I5205" s="14" t="s">
        <v>2458</v>
      </c>
      <c r="J5205" s="33" t="s">
        <v>7110</v>
      </c>
      <c r="K5205" s="33" t="s">
        <v>13477</v>
      </c>
      <c r="L5205" s="53" t="s">
        <v>6054</v>
      </c>
      <c r="M5205" s="68" t="s">
        <v>8912</v>
      </c>
      <c r="N5205" s="53" t="s">
        <v>6285</v>
      </c>
      <c r="O5205" s="53">
        <v>55200</v>
      </c>
      <c r="P5205" s="198" t="s">
        <v>12672</v>
      </c>
    </row>
    <row r="5206" spans="1:16" ht="18.75" hidden="1">
      <c r="A5206" s="50" t="s">
        <v>13489</v>
      </c>
      <c r="B5206" s="50" t="s">
        <v>13273</v>
      </c>
      <c r="C5206" s="50" t="s">
        <v>13423</v>
      </c>
      <c r="D5206" s="12" t="s">
        <v>12898</v>
      </c>
      <c r="E5206" s="12" t="s">
        <v>4971</v>
      </c>
      <c r="F5206" s="49">
        <v>39980</v>
      </c>
      <c r="G5206" s="77" t="s">
        <v>6298</v>
      </c>
      <c r="H5206" s="14" t="s">
        <v>5601</v>
      </c>
      <c r="I5206" s="14" t="s">
        <v>2458</v>
      </c>
      <c r="J5206" s="33" t="s">
        <v>7110</v>
      </c>
      <c r="K5206" s="33" t="s">
        <v>13477</v>
      </c>
      <c r="L5206" s="53" t="s">
        <v>6054</v>
      </c>
      <c r="M5206" s="68" t="s">
        <v>8913</v>
      </c>
      <c r="N5206" s="53" t="s">
        <v>9836</v>
      </c>
      <c r="O5206" s="53">
        <v>55112</v>
      </c>
      <c r="P5206" s="198" t="s">
        <v>12934</v>
      </c>
    </row>
    <row r="5207" spans="1:16" ht="18.75" hidden="1">
      <c r="A5207" s="50" t="s">
        <v>13490</v>
      </c>
      <c r="B5207" s="50" t="s">
        <v>13356</v>
      </c>
      <c r="C5207" s="50" t="s">
        <v>13423</v>
      </c>
      <c r="D5207" s="12" t="s">
        <v>12898</v>
      </c>
      <c r="E5207" s="12" t="s">
        <v>4971</v>
      </c>
      <c r="F5207" s="49">
        <v>200355</v>
      </c>
      <c r="G5207" s="77" t="s">
        <v>6298</v>
      </c>
      <c r="H5207" s="14" t="s">
        <v>5601</v>
      </c>
      <c r="I5207" s="14" t="s">
        <v>2458</v>
      </c>
      <c r="J5207" s="33" t="s">
        <v>7110</v>
      </c>
      <c r="K5207" s="33" t="s">
        <v>13477</v>
      </c>
      <c r="L5207" s="53" t="s">
        <v>6054</v>
      </c>
      <c r="M5207" s="68" t="s">
        <v>8912</v>
      </c>
      <c r="N5207" s="53" t="s">
        <v>6076</v>
      </c>
      <c r="O5207" s="53">
        <v>55301</v>
      </c>
      <c r="P5207" s="198" t="s">
        <v>12934</v>
      </c>
    </row>
    <row r="5208" spans="1:16" ht="18.75" hidden="1">
      <c r="A5208" s="50" t="s">
        <v>13490</v>
      </c>
      <c r="B5208" s="50" t="s">
        <v>13356</v>
      </c>
      <c r="C5208" s="50" t="s">
        <v>13431</v>
      </c>
      <c r="D5208" s="12" t="s">
        <v>13266</v>
      </c>
      <c r="E5208" s="12" t="s">
        <v>13333</v>
      </c>
      <c r="F5208" s="49">
        <v>61460</v>
      </c>
      <c r="G5208" s="77" t="s">
        <v>6453</v>
      </c>
      <c r="H5208" s="14" t="s">
        <v>5601</v>
      </c>
      <c r="I5208" s="14" t="s">
        <v>2458</v>
      </c>
      <c r="J5208" s="33" t="e">
        <f>VLOOKUP(C5208,شرکتها!A:B,2,FALSE)</f>
        <v>#N/A</v>
      </c>
      <c r="K5208" s="33" t="s">
        <v>13477</v>
      </c>
      <c r="L5208" s="53" t="s">
        <v>6054</v>
      </c>
      <c r="M5208" s="68" t="s">
        <v>8912</v>
      </c>
      <c r="N5208" s="53" t="s">
        <v>6076</v>
      </c>
      <c r="O5208" s="53">
        <v>55301</v>
      </c>
      <c r="P5208" s="198" t="s">
        <v>12929</v>
      </c>
    </row>
    <row r="5209" spans="1:16" ht="18.75" hidden="1">
      <c r="A5209" s="50" t="s">
        <v>13491</v>
      </c>
      <c r="B5209" s="50" t="s">
        <v>13356</v>
      </c>
      <c r="C5209" s="50" t="s">
        <v>13492</v>
      </c>
      <c r="D5209" s="12" t="s">
        <v>12944</v>
      </c>
      <c r="E5209" s="12" t="s">
        <v>4971</v>
      </c>
      <c r="F5209" s="49">
        <v>100000</v>
      </c>
      <c r="G5209" s="77" t="s">
        <v>6454</v>
      </c>
      <c r="H5209" s="14" t="s">
        <v>5601</v>
      </c>
      <c r="I5209" s="14" t="s">
        <v>2458</v>
      </c>
      <c r="J5209" s="33" t="s">
        <v>7110</v>
      </c>
      <c r="K5209" s="33" t="s">
        <v>13477</v>
      </c>
      <c r="L5209" s="53" t="s">
        <v>6054</v>
      </c>
      <c r="M5209" s="68" t="s">
        <v>8912</v>
      </c>
      <c r="N5209" s="53" t="s">
        <v>6286</v>
      </c>
      <c r="O5209" s="53">
        <v>55107</v>
      </c>
      <c r="P5209" s="198" t="s">
        <v>12940</v>
      </c>
    </row>
    <row r="5210" spans="1:16" ht="18.75" hidden="1">
      <c r="A5210" s="50" t="s">
        <v>13474</v>
      </c>
      <c r="B5210" s="50" t="s">
        <v>13475</v>
      </c>
      <c r="C5210" s="50" t="s">
        <v>13431</v>
      </c>
      <c r="D5210" s="12" t="s">
        <v>13266</v>
      </c>
      <c r="E5210" s="12" t="s">
        <v>13333</v>
      </c>
      <c r="F5210" s="49">
        <v>71130</v>
      </c>
      <c r="G5210" s="77" t="s">
        <v>6453</v>
      </c>
      <c r="H5210" s="14" t="s">
        <v>5601</v>
      </c>
      <c r="I5210" s="14" t="s">
        <v>2458</v>
      </c>
      <c r="J5210" s="33" t="e">
        <f>VLOOKUP(C5210,شرکتها!A:B,2,FALSE)</f>
        <v>#N/A</v>
      </c>
      <c r="K5210" s="33" t="s">
        <v>13477</v>
      </c>
      <c r="L5210" s="53" t="s">
        <v>6054</v>
      </c>
      <c r="M5210" s="68" t="s">
        <v>8912</v>
      </c>
      <c r="N5210" s="53" t="s">
        <v>6076</v>
      </c>
      <c r="O5210" s="53">
        <v>55301</v>
      </c>
      <c r="P5210" s="198" t="s">
        <v>12929</v>
      </c>
    </row>
    <row r="5211" spans="1:16" ht="18.75" hidden="1">
      <c r="A5211" s="50" t="s">
        <v>13482</v>
      </c>
      <c r="B5211" s="50" t="s">
        <v>13373</v>
      </c>
      <c r="C5211" s="50" t="s">
        <v>13481</v>
      </c>
      <c r="D5211" s="12" t="s">
        <v>13375</v>
      </c>
      <c r="E5211" s="12" t="s">
        <v>4971</v>
      </c>
      <c r="F5211" s="49">
        <v>96760</v>
      </c>
      <c r="G5211" s="77" t="s">
        <v>6454</v>
      </c>
      <c r="H5211" s="14" t="s">
        <v>5601</v>
      </c>
      <c r="I5211" s="14" t="s">
        <v>2458</v>
      </c>
      <c r="J5211" s="33" t="s">
        <v>7110</v>
      </c>
      <c r="K5211" s="33" t="s">
        <v>13477</v>
      </c>
      <c r="L5211" s="53" t="s">
        <v>6054</v>
      </c>
      <c r="M5211" s="68" t="s">
        <v>8912</v>
      </c>
      <c r="N5211" s="53" t="s">
        <v>6076</v>
      </c>
      <c r="O5211" s="53">
        <v>55301</v>
      </c>
      <c r="P5211" s="198" t="s">
        <v>12669</v>
      </c>
    </row>
    <row r="5212" spans="1:16" ht="18.75" hidden="1">
      <c r="A5212" s="50" t="s">
        <v>13484</v>
      </c>
      <c r="B5212" s="50" t="s">
        <v>13475</v>
      </c>
      <c r="C5212" s="50" t="s">
        <v>13431</v>
      </c>
      <c r="D5212" s="12" t="s">
        <v>13266</v>
      </c>
      <c r="E5212" s="12" t="s">
        <v>13333</v>
      </c>
      <c r="F5212" s="49">
        <v>23700</v>
      </c>
      <c r="G5212" s="77" t="s">
        <v>6453</v>
      </c>
      <c r="H5212" s="14" t="s">
        <v>5601</v>
      </c>
      <c r="I5212" s="14" t="s">
        <v>2458</v>
      </c>
      <c r="J5212" s="33" t="e">
        <f>VLOOKUP(C5212,شرکتها!A:B,2,FALSE)</f>
        <v>#N/A</v>
      </c>
      <c r="K5212" s="33" t="s">
        <v>13477</v>
      </c>
      <c r="L5212" s="53" t="s">
        <v>6054</v>
      </c>
      <c r="M5212" s="68" t="s">
        <v>8912</v>
      </c>
      <c r="N5212" s="53" t="s">
        <v>6285</v>
      </c>
      <c r="O5212" s="53">
        <v>55200</v>
      </c>
      <c r="P5212" s="198" t="s">
        <v>12929</v>
      </c>
    </row>
    <row r="5213" spans="1:16" ht="18.75" hidden="1">
      <c r="A5213" s="50" t="s">
        <v>13493</v>
      </c>
      <c r="B5213" s="50" t="s">
        <v>13475</v>
      </c>
      <c r="C5213" s="50" t="s">
        <v>13425</v>
      </c>
      <c r="D5213" s="12" t="s">
        <v>12944</v>
      </c>
      <c r="E5213" s="12" t="s">
        <v>4971</v>
      </c>
      <c r="F5213" s="49">
        <v>49090</v>
      </c>
      <c r="G5213" s="77" t="s">
        <v>6298</v>
      </c>
      <c r="H5213" s="14" t="s">
        <v>5601</v>
      </c>
      <c r="I5213" s="14" t="s">
        <v>2458</v>
      </c>
      <c r="J5213" s="33" t="s">
        <v>7110</v>
      </c>
      <c r="K5213" s="33" t="s">
        <v>13477</v>
      </c>
      <c r="L5213" s="53" t="s">
        <v>6054</v>
      </c>
      <c r="M5213" s="68" t="s">
        <v>8912</v>
      </c>
      <c r="N5213" s="53" t="s">
        <v>6286</v>
      </c>
      <c r="O5213" s="53">
        <v>55107</v>
      </c>
      <c r="P5213" s="198" t="s">
        <v>12668</v>
      </c>
    </row>
    <row r="5214" spans="1:16" ht="18.75" hidden="1">
      <c r="A5214" s="50" t="s">
        <v>13494</v>
      </c>
      <c r="B5214" s="50" t="s">
        <v>13475</v>
      </c>
      <c r="C5214" s="50" t="s">
        <v>13434</v>
      </c>
      <c r="D5214" s="12" t="s">
        <v>13343</v>
      </c>
      <c r="E5214" s="12" t="s">
        <v>13333</v>
      </c>
      <c r="F5214" s="49">
        <v>43760</v>
      </c>
      <c r="G5214" s="77" t="s">
        <v>13495</v>
      </c>
      <c r="H5214" s="14" t="s">
        <v>5601</v>
      </c>
      <c r="I5214" s="14" t="s">
        <v>2458</v>
      </c>
      <c r="J5214" s="33" t="s">
        <v>7110</v>
      </c>
      <c r="K5214" s="33" t="s">
        <v>13477</v>
      </c>
      <c r="L5214" s="53" t="s">
        <v>6054</v>
      </c>
      <c r="M5214" s="68" t="s">
        <v>8913</v>
      </c>
      <c r="N5214" s="53" t="s">
        <v>9836</v>
      </c>
      <c r="O5214" s="53">
        <v>55112</v>
      </c>
      <c r="P5214" s="198" t="s">
        <v>13069</v>
      </c>
    </row>
    <row r="5215" spans="1:16" ht="18.75" hidden="1">
      <c r="A5215" s="50" t="s">
        <v>13496</v>
      </c>
      <c r="B5215" s="50" t="s">
        <v>13373</v>
      </c>
      <c r="C5215" s="50" t="s">
        <v>13497</v>
      </c>
      <c r="D5215" s="12" t="s">
        <v>12893</v>
      </c>
      <c r="E5215" s="12" t="s">
        <v>4971</v>
      </c>
      <c r="F5215" s="49">
        <v>381140</v>
      </c>
      <c r="G5215" s="77" t="s">
        <v>6454</v>
      </c>
      <c r="H5215" s="14" t="s">
        <v>5601</v>
      </c>
      <c r="I5215" s="14" t="s">
        <v>2458</v>
      </c>
      <c r="J5215" s="33" t="s">
        <v>7110</v>
      </c>
      <c r="K5215" s="33" t="s">
        <v>13477</v>
      </c>
      <c r="L5215" s="53" t="s">
        <v>6054</v>
      </c>
      <c r="M5215" s="68" t="s">
        <v>8913</v>
      </c>
      <c r="N5215" s="53" t="s">
        <v>6076</v>
      </c>
      <c r="O5215" s="53">
        <v>55301</v>
      </c>
      <c r="P5215" s="198" t="s">
        <v>12669</v>
      </c>
    </row>
    <row r="5216" spans="1:16" ht="18.75" hidden="1">
      <c r="A5216" s="50" t="s">
        <v>13498</v>
      </c>
      <c r="B5216" s="50" t="s">
        <v>13373</v>
      </c>
      <c r="C5216" s="50" t="s">
        <v>13481</v>
      </c>
      <c r="D5216" s="12" t="s">
        <v>13375</v>
      </c>
      <c r="E5216" s="12" t="s">
        <v>4971</v>
      </c>
      <c r="F5216" s="49">
        <v>277600</v>
      </c>
      <c r="G5216" s="77" t="s">
        <v>6454</v>
      </c>
      <c r="H5216" s="14" t="s">
        <v>5601</v>
      </c>
      <c r="I5216" s="14" t="s">
        <v>2458</v>
      </c>
      <c r="J5216" s="33" t="s">
        <v>7110</v>
      </c>
      <c r="K5216" s="33" t="s">
        <v>13477</v>
      </c>
      <c r="L5216" s="53" t="s">
        <v>6054</v>
      </c>
      <c r="M5216" s="68" t="s">
        <v>8912</v>
      </c>
      <c r="N5216" s="53" t="s">
        <v>9836</v>
      </c>
      <c r="O5216" s="53">
        <v>55112</v>
      </c>
      <c r="P5216" s="198" t="s">
        <v>12669</v>
      </c>
    </row>
    <row r="5217" spans="1:16" ht="18.75" hidden="1">
      <c r="A5217" s="50" t="s">
        <v>13499</v>
      </c>
      <c r="B5217" s="50" t="s">
        <v>13475</v>
      </c>
      <c r="C5217" s="50" t="s">
        <v>13425</v>
      </c>
      <c r="D5217" s="12" t="s">
        <v>12944</v>
      </c>
      <c r="E5217" s="12" t="s">
        <v>4971</v>
      </c>
      <c r="F5217" s="49">
        <v>47120</v>
      </c>
      <c r="G5217" s="77" t="s">
        <v>6298</v>
      </c>
      <c r="H5217" s="14" t="s">
        <v>5601</v>
      </c>
      <c r="I5217" s="14" t="s">
        <v>2458</v>
      </c>
      <c r="J5217" s="33" t="s">
        <v>7110</v>
      </c>
      <c r="K5217" s="33" t="s">
        <v>13477</v>
      </c>
      <c r="L5217" s="53" t="s">
        <v>6054</v>
      </c>
      <c r="M5217" s="68" t="s">
        <v>8912</v>
      </c>
      <c r="N5217" s="53" t="s">
        <v>9836</v>
      </c>
      <c r="O5217" s="53">
        <v>55112</v>
      </c>
      <c r="P5217" s="198" t="s">
        <v>12668</v>
      </c>
    </row>
    <row r="5218" spans="1:16" ht="18.75" hidden="1">
      <c r="A5218" s="50" t="s">
        <v>13478</v>
      </c>
      <c r="B5218" s="50" t="s">
        <v>13273</v>
      </c>
      <c r="C5218" s="50" t="s">
        <v>13430</v>
      </c>
      <c r="D5218" s="12" t="s">
        <v>13266</v>
      </c>
      <c r="E5218" s="12" t="s">
        <v>13333</v>
      </c>
      <c r="F5218" s="49">
        <v>22780</v>
      </c>
      <c r="G5218" s="77" t="s">
        <v>6300</v>
      </c>
      <c r="H5218" s="14" t="s">
        <v>5601</v>
      </c>
      <c r="I5218" s="14" t="s">
        <v>2458</v>
      </c>
      <c r="J5218" s="33" t="s">
        <v>7110</v>
      </c>
      <c r="K5218" s="33" t="s">
        <v>13477</v>
      </c>
      <c r="L5218" s="53" t="s">
        <v>6054</v>
      </c>
      <c r="M5218" s="68" t="s">
        <v>8912</v>
      </c>
      <c r="N5218" s="53" t="s">
        <v>6286</v>
      </c>
      <c r="O5218" s="53">
        <v>55107</v>
      </c>
      <c r="P5218" s="198" t="s">
        <v>12220</v>
      </c>
    </row>
    <row r="5219" spans="1:16" ht="18.75" hidden="1">
      <c r="A5219" s="50" t="s">
        <v>13500</v>
      </c>
      <c r="B5219" s="50" t="s">
        <v>13356</v>
      </c>
      <c r="C5219" s="50" t="s">
        <v>13430</v>
      </c>
      <c r="D5219" s="12" t="s">
        <v>13266</v>
      </c>
      <c r="E5219" s="12" t="s">
        <v>13333</v>
      </c>
      <c r="F5219" s="49">
        <v>70380</v>
      </c>
      <c r="G5219" s="77" t="s">
        <v>6300</v>
      </c>
      <c r="H5219" s="14" t="s">
        <v>5601</v>
      </c>
      <c r="I5219" s="14" t="s">
        <v>2458</v>
      </c>
      <c r="J5219" s="33" t="s">
        <v>7110</v>
      </c>
      <c r="K5219" s="33" t="s">
        <v>13477</v>
      </c>
      <c r="L5219" s="53" t="s">
        <v>6054</v>
      </c>
      <c r="M5219" s="68" t="s">
        <v>8912</v>
      </c>
      <c r="N5219" s="53" t="s">
        <v>9836</v>
      </c>
      <c r="O5219" s="53">
        <v>55112</v>
      </c>
      <c r="P5219" s="198" t="s">
        <v>12220</v>
      </c>
    </row>
    <row r="5220" spans="1:16" ht="18.75" hidden="1">
      <c r="A5220" s="50" t="s">
        <v>13501</v>
      </c>
      <c r="B5220" s="50" t="s">
        <v>13475</v>
      </c>
      <c r="C5220" s="50" t="s">
        <v>13434</v>
      </c>
      <c r="D5220" s="12" t="s">
        <v>13343</v>
      </c>
      <c r="E5220" s="12" t="s">
        <v>13333</v>
      </c>
      <c r="F5220" s="49">
        <v>71790</v>
      </c>
      <c r="G5220" s="77" t="s">
        <v>13495</v>
      </c>
      <c r="H5220" s="14" t="s">
        <v>5601</v>
      </c>
      <c r="I5220" s="14" t="s">
        <v>2458</v>
      </c>
      <c r="J5220" s="33" t="s">
        <v>7110</v>
      </c>
      <c r="K5220" s="33" t="s">
        <v>13477</v>
      </c>
      <c r="L5220" s="53" t="s">
        <v>6054</v>
      </c>
      <c r="M5220" s="68" t="s">
        <v>8912</v>
      </c>
      <c r="N5220" s="53" t="s">
        <v>9836</v>
      </c>
      <c r="O5220" s="53">
        <v>55112</v>
      </c>
      <c r="P5220" s="198" t="s">
        <v>13069</v>
      </c>
    </row>
    <row r="5221" spans="1:16" ht="18.75" hidden="1">
      <c r="A5221" s="50" t="s">
        <v>13496</v>
      </c>
      <c r="B5221" s="50" t="s">
        <v>13373</v>
      </c>
      <c r="C5221" s="50" t="s">
        <v>13502</v>
      </c>
      <c r="D5221" s="12" t="s">
        <v>13380</v>
      </c>
      <c r="E5221" s="12" t="s">
        <v>13333</v>
      </c>
      <c r="F5221" s="49">
        <v>335200</v>
      </c>
      <c r="G5221" s="77" t="s">
        <v>6453</v>
      </c>
      <c r="H5221" s="14" t="s">
        <v>5601</v>
      </c>
      <c r="I5221" s="14" t="s">
        <v>2458</v>
      </c>
      <c r="J5221" s="33" t="e">
        <f>VLOOKUP(C5221,شرکتها!A:B,2,FALSE)</f>
        <v>#N/A</v>
      </c>
      <c r="K5221" s="33" t="s">
        <v>13477</v>
      </c>
      <c r="L5221" s="53" t="s">
        <v>6054</v>
      </c>
      <c r="M5221" s="68" t="s">
        <v>8913</v>
      </c>
      <c r="N5221" s="53" t="s">
        <v>6076</v>
      </c>
      <c r="O5221" s="53">
        <v>55301</v>
      </c>
      <c r="P5221" s="198" t="s">
        <v>12929</v>
      </c>
    </row>
    <row r="5222" spans="1:16" ht="18.75" hidden="1">
      <c r="A5222" s="50" t="s">
        <v>13480</v>
      </c>
      <c r="B5222" s="50" t="s">
        <v>13373</v>
      </c>
      <c r="C5222" s="50" t="s">
        <v>13434</v>
      </c>
      <c r="D5222" s="12" t="s">
        <v>13343</v>
      </c>
      <c r="E5222" s="12" t="s">
        <v>13333</v>
      </c>
      <c r="F5222" s="49">
        <v>69100</v>
      </c>
      <c r="G5222" s="77" t="s">
        <v>13495</v>
      </c>
      <c r="H5222" s="14" t="s">
        <v>5601</v>
      </c>
      <c r="I5222" s="14" t="s">
        <v>2458</v>
      </c>
      <c r="J5222" s="33" t="s">
        <v>7110</v>
      </c>
      <c r="K5222" s="33" t="s">
        <v>13477</v>
      </c>
      <c r="L5222" s="53" t="s">
        <v>6054</v>
      </c>
      <c r="M5222" s="68" t="s">
        <v>8913</v>
      </c>
      <c r="N5222" s="53" t="s">
        <v>9836</v>
      </c>
      <c r="O5222" s="53">
        <v>55112</v>
      </c>
      <c r="P5222" s="198" t="s">
        <v>13069</v>
      </c>
    </row>
    <row r="5223" spans="1:16" ht="18.75" hidden="1">
      <c r="A5223" s="50" t="s">
        <v>13484</v>
      </c>
      <c r="B5223" s="50" t="s">
        <v>13475</v>
      </c>
      <c r="C5223" s="50" t="s">
        <v>13435</v>
      </c>
      <c r="D5223" s="12" t="s">
        <v>12765</v>
      </c>
      <c r="E5223" s="12" t="s">
        <v>4971</v>
      </c>
      <c r="F5223" s="49">
        <v>21150</v>
      </c>
      <c r="G5223" s="77" t="s">
        <v>12823</v>
      </c>
      <c r="H5223" s="14" t="s">
        <v>5601</v>
      </c>
      <c r="I5223" s="14" t="s">
        <v>2458</v>
      </c>
      <c r="J5223" s="33" t="s">
        <v>7110</v>
      </c>
      <c r="K5223" s="33" t="s">
        <v>13477</v>
      </c>
      <c r="L5223" s="53" t="s">
        <v>6054</v>
      </c>
      <c r="M5223" s="68" t="s">
        <v>8912</v>
      </c>
      <c r="N5223" s="53" t="s">
        <v>6285</v>
      </c>
      <c r="O5223" s="53">
        <v>55200</v>
      </c>
      <c r="P5223" s="198" t="s">
        <v>12672</v>
      </c>
    </row>
    <row r="5224" spans="1:16" ht="18.75" hidden="1">
      <c r="A5224" s="50" t="s">
        <v>13499</v>
      </c>
      <c r="B5224" s="50" t="s">
        <v>13475</v>
      </c>
      <c r="C5224" s="50" t="s">
        <v>13430</v>
      </c>
      <c r="D5224" s="12" t="s">
        <v>13266</v>
      </c>
      <c r="E5224" s="12" t="s">
        <v>13333</v>
      </c>
      <c r="F5224" s="49">
        <v>22380</v>
      </c>
      <c r="G5224" s="77" t="s">
        <v>6300</v>
      </c>
      <c r="H5224" s="14" t="s">
        <v>5601</v>
      </c>
      <c r="I5224" s="14" t="s">
        <v>2458</v>
      </c>
      <c r="J5224" s="33" t="s">
        <v>7110</v>
      </c>
      <c r="K5224" s="33" t="s">
        <v>13477</v>
      </c>
      <c r="L5224" s="53" t="s">
        <v>6054</v>
      </c>
      <c r="M5224" s="68" t="s">
        <v>8912</v>
      </c>
      <c r="N5224" s="53" t="s">
        <v>9836</v>
      </c>
      <c r="O5224" s="53">
        <v>55112</v>
      </c>
      <c r="P5224" s="198" t="s">
        <v>12220</v>
      </c>
    </row>
    <row r="5225" spans="1:16" ht="18.75" hidden="1">
      <c r="A5225" s="50" t="s">
        <v>13478</v>
      </c>
      <c r="B5225" s="50" t="s">
        <v>13273</v>
      </c>
      <c r="C5225" s="50" t="s">
        <v>13434</v>
      </c>
      <c r="D5225" s="12" t="s">
        <v>13343</v>
      </c>
      <c r="E5225" s="12" t="s">
        <v>13333</v>
      </c>
      <c r="F5225" s="49">
        <v>48000</v>
      </c>
      <c r="G5225" s="77" t="s">
        <v>13495</v>
      </c>
      <c r="H5225" s="14" t="s">
        <v>5601</v>
      </c>
      <c r="I5225" s="14" t="s">
        <v>2458</v>
      </c>
      <c r="J5225" s="33" t="s">
        <v>7110</v>
      </c>
      <c r="K5225" s="33" t="s">
        <v>13477</v>
      </c>
      <c r="L5225" s="53" t="s">
        <v>6054</v>
      </c>
      <c r="M5225" s="68" t="s">
        <v>8912</v>
      </c>
      <c r="N5225" s="53" t="s">
        <v>6286</v>
      </c>
      <c r="O5225" s="53">
        <v>55107</v>
      </c>
      <c r="P5225" s="198" t="s">
        <v>13069</v>
      </c>
    </row>
    <row r="5226" spans="1:16" ht="18.75" hidden="1">
      <c r="A5226" s="50" t="s">
        <v>13503</v>
      </c>
      <c r="B5226" s="50" t="s">
        <v>13475</v>
      </c>
      <c r="C5226" s="50" t="s">
        <v>13430</v>
      </c>
      <c r="D5226" s="12" t="s">
        <v>13266</v>
      </c>
      <c r="E5226" s="12" t="s">
        <v>13333</v>
      </c>
      <c r="F5226" s="49">
        <v>47870</v>
      </c>
      <c r="G5226" s="77" t="s">
        <v>6300</v>
      </c>
      <c r="H5226" s="14" t="s">
        <v>5601</v>
      </c>
      <c r="I5226" s="14" t="s">
        <v>2458</v>
      </c>
      <c r="J5226" s="33" t="s">
        <v>7110</v>
      </c>
      <c r="K5226" s="33" t="s">
        <v>13477</v>
      </c>
      <c r="L5226" s="53" t="s">
        <v>6054</v>
      </c>
      <c r="M5226" s="68" t="s">
        <v>8912</v>
      </c>
      <c r="N5226" s="53" t="s">
        <v>6286</v>
      </c>
      <c r="O5226" s="53">
        <v>55107</v>
      </c>
      <c r="P5226" s="198" t="s">
        <v>12220</v>
      </c>
    </row>
    <row r="5227" spans="1:16" ht="18.75" hidden="1">
      <c r="A5227" s="50" t="s">
        <v>13498</v>
      </c>
      <c r="B5227" s="50" t="s">
        <v>13373</v>
      </c>
      <c r="C5227" s="50" t="s">
        <v>13430</v>
      </c>
      <c r="D5227" s="12" t="s">
        <v>13266</v>
      </c>
      <c r="E5227" s="12" t="s">
        <v>13333</v>
      </c>
      <c r="F5227" s="49">
        <v>22860</v>
      </c>
      <c r="G5227" s="77" t="s">
        <v>6300</v>
      </c>
      <c r="H5227" s="14" t="s">
        <v>5601</v>
      </c>
      <c r="I5227" s="14" t="s">
        <v>2458</v>
      </c>
      <c r="J5227" s="33" t="s">
        <v>7110</v>
      </c>
      <c r="K5227" s="33" t="s">
        <v>13477</v>
      </c>
      <c r="L5227" s="53" t="s">
        <v>6054</v>
      </c>
      <c r="M5227" s="68" t="s">
        <v>8912</v>
      </c>
      <c r="N5227" s="53" t="s">
        <v>9836</v>
      </c>
      <c r="O5227" s="53">
        <v>55112</v>
      </c>
      <c r="P5227" s="198" t="s">
        <v>12220</v>
      </c>
    </row>
    <row r="5228" spans="1:16" ht="18.75" hidden="1">
      <c r="A5228" s="50" t="s">
        <v>13496</v>
      </c>
      <c r="B5228" s="50" t="s">
        <v>13373</v>
      </c>
      <c r="C5228" s="50" t="s">
        <v>13426</v>
      </c>
      <c r="D5228" s="12" t="s">
        <v>13308</v>
      </c>
      <c r="E5228" s="12" t="s">
        <v>13333</v>
      </c>
      <c r="F5228" s="49">
        <v>45820</v>
      </c>
      <c r="G5228" s="77" t="s">
        <v>12608</v>
      </c>
      <c r="H5228" s="14" t="s">
        <v>5601</v>
      </c>
      <c r="I5228" s="14" t="s">
        <v>2458</v>
      </c>
      <c r="J5228" s="33" t="s">
        <v>7110</v>
      </c>
      <c r="K5228" s="33" t="s">
        <v>13477</v>
      </c>
      <c r="L5228" s="53" t="s">
        <v>6054</v>
      </c>
      <c r="M5228" s="68" t="s">
        <v>8913</v>
      </c>
      <c r="N5228" s="53" t="s">
        <v>6076</v>
      </c>
      <c r="O5228" s="53">
        <v>55301</v>
      </c>
      <c r="P5228" s="198" t="s">
        <v>12939</v>
      </c>
    </row>
    <row r="5229" spans="1:16" ht="18.75" hidden="1">
      <c r="A5229" s="50" t="s">
        <v>13491</v>
      </c>
      <c r="B5229" s="50" t="s">
        <v>13356</v>
      </c>
      <c r="C5229" s="50" t="s">
        <v>13424</v>
      </c>
      <c r="D5229" s="12" t="s">
        <v>12944</v>
      </c>
      <c r="E5229" s="12" t="s">
        <v>4971</v>
      </c>
      <c r="F5229" s="49">
        <v>56500</v>
      </c>
      <c r="G5229" s="77" t="s">
        <v>6454</v>
      </c>
      <c r="H5229" s="14" t="s">
        <v>5601</v>
      </c>
      <c r="I5229" s="14" t="s">
        <v>2458</v>
      </c>
      <c r="J5229" s="33" t="s">
        <v>7110</v>
      </c>
      <c r="K5229" s="33" t="s">
        <v>13477</v>
      </c>
      <c r="L5229" s="53" t="s">
        <v>6054</v>
      </c>
      <c r="M5229" s="68" t="s">
        <v>8912</v>
      </c>
      <c r="N5229" s="53" t="s">
        <v>6286</v>
      </c>
      <c r="O5229" s="53">
        <v>55107</v>
      </c>
      <c r="P5229" s="198" t="s">
        <v>12444</v>
      </c>
    </row>
    <row r="5230" spans="1:16" ht="18.75" hidden="1">
      <c r="A5230" s="50" t="s">
        <v>13503</v>
      </c>
      <c r="B5230" s="50" t="s">
        <v>13475</v>
      </c>
      <c r="C5230" s="50" t="s">
        <v>13426</v>
      </c>
      <c r="D5230" s="12" t="s">
        <v>13308</v>
      </c>
      <c r="E5230" s="12" t="s">
        <v>13333</v>
      </c>
      <c r="F5230" s="49">
        <v>46700</v>
      </c>
      <c r="G5230" s="77" t="s">
        <v>12608</v>
      </c>
      <c r="H5230" s="14" t="s">
        <v>5601</v>
      </c>
      <c r="I5230" s="14" t="s">
        <v>2458</v>
      </c>
      <c r="J5230" s="33" t="s">
        <v>7110</v>
      </c>
      <c r="K5230" s="33" t="s">
        <v>13477</v>
      </c>
      <c r="L5230" s="53" t="s">
        <v>6054</v>
      </c>
      <c r="M5230" s="68" t="s">
        <v>8912</v>
      </c>
      <c r="N5230" s="53" t="s">
        <v>6286</v>
      </c>
      <c r="O5230" s="53">
        <v>55107</v>
      </c>
      <c r="P5230" s="198" t="s">
        <v>12939</v>
      </c>
    </row>
    <row r="5231" spans="1:16" ht="18.75" hidden="1">
      <c r="A5231" s="50" t="s">
        <v>13500</v>
      </c>
      <c r="B5231" s="50" t="s">
        <v>13356</v>
      </c>
      <c r="C5231" s="50" t="s">
        <v>13457</v>
      </c>
      <c r="D5231" s="12" t="s">
        <v>12944</v>
      </c>
      <c r="E5231" s="12" t="s">
        <v>4971</v>
      </c>
      <c r="F5231" s="49">
        <v>51030</v>
      </c>
      <c r="G5231" s="77" t="s">
        <v>6298</v>
      </c>
      <c r="H5231" s="14" t="s">
        <v>5601</v>
      </c>
      <c r="I5231" s="14" t="s">
        <v>2458</v>
      </c>
      <c r="J5231" s="33" t="s">
        <v>7110</v>
      </c>
      <c r="K5231" s="33" t="s">
        <v>13477</v>
      </c>
      <c r="L5231" s="53" t="s">
        <v>6054</v>
      </c>
      <c r="M5231" s="68" t="s">
        <v>8912</v>
      </c>
      <c r="N5231" s="53" t="s">
        <v>9836</v>
      </c>
      <c r="O5231" s="53">
        <v>55112</v>
      </c>
      <c r="P5231" s="198" t="s">
        <v>12668</v>
      </c>
    </row>
    <row r="5232" spans="1:16" ht="18.75" hidden="1">
      <c r="A5232" s="50" t="s">
        <v>13489</v>
      </c>
      <c r="B5232" s="50" t="s">
        <v>13273</v>
      </c>
      <c r="C5232" s="50" t="s">
        <v>13428</v>
      </c>
      <c r="D5232" s="12" t="s">
        <v>13184</v>
      </c>
      <c r="E5232" s="12" t="s">
        <v>13333</v>
      </c>
      <c r="F5232" s="49">
        <v>71400</v>
      </c>
      <c r="G5232" s="77" t="s">
        <v>6453</v>
      </c>
      <c r="H5232" s="14" t="s">
        <v>5601</v>
      </c>
      <c r="I5232" s="14" t="s">
        <v>2458</v>
      </c>
      <c r="J5232" s="33" t="e">
        <f>VLOOKUP(C5232,شرکتها!A:B,2,FALSE)</f>
        <v>#N/A</v>
      </c>
      <c r="K5232" s="33" t="s">
        <v>13477</v>
      </c>
      <c r="L5232" s="53" t="s">
        <v>6054</v>
      </c>
      <c r="M5232" s="68" t="s">
        <v>8913</v>
      </c>
      <c r="N5232" s="53" t="s">
        <v>9836</v>
      </c>
      <c r="O5232" s="53">
        <v>55112</v>
      </c>
      <c r="P5232" s="198" t="s">
        <v>12929</v>
      </c>
    </row>
    <row r="5233" spans="1:16" ht="18.75" hidden="1">
      <c r="A5233" s="50" t="s">
        <v>13490</v>
      </c>
      <c r="B5233" s="50" t="s">
        <v>13356</v>
      </c>
      <c r="C5233" s="50" t="s">
        <v>13428</v>
      </c>
      <c r="D5233" s="12" t="s">
        <v>13184</v>
      </c>
      <c r="E5233" s="12" t="s">
        <v>13333</v>
      </c>
      <c r="F5233" s="49">
        <v>56595</v>
      </c>
      <c r="G5233" s="77" t="s">
        <v>6453</v>
      </c>
      <c r="H5233" s="14" t="s">
        <v>5601</v>
      </c>
      <c r="I5233" s="14" t="s">
        <v>2458</v>
      </c>
      <c r="J5233" s="33" t="e">
        <f>VLOOKUP(C5233,شرکتها!A:B,2,FALSE)</f>
        <v>#N/A</v>
      </c>
      <c r="K5233" s="33" t="s">
        <v>13477</v>
      </c>
      <c r="L5233" s="53" t="s">
        <v>6054</v>
      </c>
      <c r="M5233" s="68" t="s">
        <v>8912</v>
      </c>
      <c r="N5233" s="53" t="s">
        <v>6076</v>
      </c>
      <c r="O5233" s="53">
        <v>55301</v>
      </c>
      <c r="P5233" s="198" t="s">
        <v>12929</v>
      </c>
    </row>
    <row r="5234" spans="1:16" ht="18.75" hidden="1">
      <c r="A5234" s="50" t="s">
        <v>13491</v>
      </c>
      <c r="B5234" s="50" t="s">
        <v>13356</v>
      </c>
      <c r="C5234" s="50" t="s">
        <v>13457</v>
      </c>
      <c r="D5234" s="12" t="s">
        <v>12944</v>
      </c>
      <c r="E5234" s="12" t="s">
        <v>4971</v>
      </c>
      <c r="F5234" s="49">
        <v>10110</v>
      </c>
      <c r="G5234" s="77" t="s">
        <v>6298</v>
      </c>
      <c r="H5234" s="14" t="s">
        <v>5601</v>
      </c>
      <c r="I5234" s="14" t="s">
        <v>2458</v>
      </c>
      <c r="J5234" s="33" t="s">
        <v>7110</v>
      </c>
      <c r="K5234" s="33" t="s">
        <v>13477</v>
      </c>
      <c r="L5234" s="53" t="s">
        <v>6054</v>
      </c>
      <c r="M5234" s="68" t="s">
        <v>8912</v>
      </c>
      <c r="N5234" s="53" t="s">
        <v>6286</v>
      </c>
      <c r="O5234" s="53">
        <v>55107</v>
      </c>
      <c r="P5234" s="198" t="s">
        <v>12668</v>
      </c>
    </row>
    <row r="5235" spans="1:16" ht="18.75" hidden="1">
      <c r="A5235" s="50" t="s">
        <v>13504</v>
      </c>
      <c r="B5235" s="50" t="s">
        <v>13505</v>
      </c>
      <c r="C5235" s="50" t="s">
        <v>13468</v>
      </c>
      <c r="D5235" s="12" t="s">
        <v>12734</v>
      </c>
      <c r="E5235" s="12" t="s">
        <v>4971</v>
      </c>
      <c r="F5235" s="49">
        <v>28450</v>
      </c>
      <c r="G5235" s="77" t="s">
        <v>12823</v>
      </c>
      <c r="H5235" s="14" t="s">
        <v>5601</v>
      </c>
      <c r="I5235" s="14" t="s">
        <v>2458</v>
      </c>
      <c r="J5235" s="33" t="s">
        <v>7110</v>
      </c>
      <c r="K5235" s="33" t="s">
        <v>13477</v>
      </c>
      <c r="L5235" s="53" t="s">
        <v>6054</v>
      </c>
      <c r="M5235" s="68" t="s">
        <v>8912</v>
      </c>
      <c r="N5235" s="53" t="s">
        <v>6285</v>
      </c>
      <c r="O5235" s="53">
        <v>55200</v>
      </c>
      <c r="P5235" s="198" t="s">
        <v>12428</v>
      </c>
    </row>
    <row r="5236" spans="1:16" ht="18.75" hidden="1">
      <c r="A5236" s="50" t="s">
        <v>13506</v>
      </c>
      <c r="B5236" s="50" t="s">
        <v>13351</v>
      </c>
      <c r="C5236" s="50" t="s">
        <v>13507</v>
      </c>
      <c r="D5236" s="12" t="s">
        <v>12765</v>
      </c>
      <c r="E5236" s="12" t="s">
        <v>4971</v>
      </c>
      <c r="F5236" s="49">
        <v>350000</v>
      </c>
      <c r="G5236" s="77" t="s">
        <v>6298</v>
      </c>
      <c r="H5236" s="14" t="s">
        <v>5601</v>
      </c>
      <c r="I5236" s="14" t="s">
        <v>2458</v>
      </c>
      <c r="J5236" s="33" t="s">
        <v>7110</v>
      </c>
      <c r="K5236" s="33" t="s">
        <v>13477</v>
      </c>
      <c r="L5236" s="53" t="s">
        <v>6054</v>
      </c>
      <c r="M5236" s="68" t="s">
        <v>8913</v>
      </c>
      <c r="N5236" s="53" t="s">
        <v>6076</v>
      </c>
      <c r="O5236" s="53">
        <v>55301</v>
      </c>
      <c r="P5236" s="198" t="s">
        <v>12668</v>
      </c>
    </row>
    <row r="5237" spans="1:16" ht="18.75" hidden="1">
      <c r="A5237" s="50" t="s">
        <v>13504</v>
      </c>
      <c r="B5237" s="50" t="s">
        <v>13505</v>
      </c>
      <c r="C5237" s="50" t="s">
        <v>13508</v>
      </c>
      <c r="D5237" s="12" t="s">
        <v>12701</v>
      </c>
      <c r="E5237" s="12" t="s">
        <v>4971</v>
      </c>
      <c r="F5237" s="49">
        <v>228000</v>
      </c>
      <c r="G5237" s="77" t="s">
        <v>12823</v>
      </c>
      <c r="H5237" s="14" t="s">
        <v>5601</v>
      </c>
      <c r="I5237" s="14" t="s">
        <v>2458</v>
      </c>
      <c r="J5237" s="33" t="s">
        <v>7110</v>
      </c>
      <c r="K5237" s="33" t="s">
        <v>13477</v>
      </c>
      <c r="L5237" s="53" t="s">
        <v>6054</v>
      </c>
      <c r="M5237" s="68" t="s">
        <v>8912</v>
      </c>
      <c r="N5237" s="53" t="s">
        <v>6285</v>
      </c>
      <c r="O5237" s="53">
        <v>55200</v>
      </c>
      <c r="P5237" s="198" t="s">
        <v>12428</v>
      </c>
    </row>
    <row r="5238" spans="1:16" ht="18.75" hidden="1">
      <c r="A5238" s="50" t="s">
        <v>13506</v>
      </c>
      <c r="B5238" s="50" t="s">
        <v>13351</v>
      </c>
      <c r="C5238" s="50" t="s">
        <v>13509</v>
      </c>
      <c r="D5238" s="12" t="s">
        <v>12898</v>
      </c>
      <c r="E5238" s="12" t="s">
        <v>4971</v>
      </c>
      <c r="F5238" s="49">
        <v>232200</v>
      </c>
      <c r="G5238" s="77" t="s">
        <v>6298</v>
      </c>
      <c r="H5238" s="14" t="s">
        <v>5601</v>
      </c>
      <c r="I5238" s="14" t="s">
        <v>2458</v>
      </c>
      <c r="J5238" s="33" t="s">
        <v>7110</v>
      </c>
      <c r="K5238" s="33" t="s">
        <v>13477</v>
      </c>
      <c r="L5238" s="53" t="s">
        <v>6054</v>
      </c>
      <c r="M5238" s="68" t="s">
        <v>8913</v>
      </c>
      <c r="N5238" s="53" t="s">
        <v>6076</v>
      </c>
      <c r="O5238" s="53">
        <v>55301</v>
      </c>
      <c r="P5238" s="198" t="s">
        <v>12934</v>
      </c>
    </row>
    <row r="5239" spans="1:16" ht="18.75" hidden="1">
      <c r="A5239" s="50" t="s">
        <v>13506</v>
      </c>
      <c r="B5239" s="50" t="s">
        <v>13351</v>
      </c>
      <c r="C5239" s="50" t="s">
        <v>13510</v>
      </c>
      <c r="D5239" s="12" t="s">
        <v>13266</v>
      </c>
      <c r="E5239" s="12" t="s">
        <v>13333</v>
      </c>
      <c r="F5239" s="49">
        <v>76620</v>
      </c>
      <c r="G5239" s="77" t="s">
        <v>6300</v>
      </c>
      <c r="H5239" s="14" t="s">
        <v>5601</v>
      </c>
      <c r="I5239" s="14" t="s">
        <v>2458</v>
      </c>
      <c r="J5239" s="33" t="s">
        <v>7110</v>
      </c>
      <c r="K5239" s="33" t="s">
        <v>13477</v>
      </c>
      <c r="L5239" s="53" t="s">
        <v>6054</v>
      </c>
      <c r="M5239" s="68" t="s">
        <v>8913</v>
      </c>
      <c r="N5239" s="53" t="s">
        <v>6076</v>
      </c>
      <c r="O5239" s="53">
        <v>55301</v>
      </c>
      <c r="P5239" s="198" t="s">
        <v>9785</v>
      </c>
    </row>
    <row r="5240" spans="1:16" ht="18.75" hidden="1">
      <c r="A5240" s="50" t="s">
        <v>13511</v>
      </c>
      <c r="B5240" s="50" t="s">
        <v>13512</v>
      </c>
      <c r="C5240" s="50" t="s">
        <v>13453</v>
      </c>
      <c r="D5240" s="12" t="s">
        <v>13375</v>
      </c>
      <c r="E5240" s="12" t="s">
        <v>4971</v>
      </c>
      <c r="F5240" s="49">
        <v>332260</v>
      </c>
      <c r="G5240" s="77" t="s">
        <v>13495</v>
      </c>
      <c r="H5240" s="14" t="s">
        <v>5601</v>
      </c>
      <c r="I5240" s="14" t="s">
        <v>2458</v>
      </c>
      <c r="J5240" s="33" t="s">
        <v>7110</v>
      </c>
      <c r="K5240" s="33" t="s">
        <v>13477</v>
      </c>
      <c r="L5240" s="53" t="s">
        <v>6054</v>
      </c>
      <c r="M5240" s="68" t="s">
        <v>8912</v>
      </c>
      <c r="N5240" s="53" t="s">
        <v>6285</v>
      </c>
      <c r="O5240" s="53">
        <v>55200</v>
      </c>
      <c r="P5240" s="198" t="s">
        <v>13069</v>
      </c>
    </row>
    <row r="5241" spans="1:16" ht="18.75" hidden="1">
      <c r="A5241" s="50" t="s">
        <v>13513</v>
      </c>
      <c r="B5241" s="50" t="s">
        <v>13380</v>
      </c>
      <c r="C5241" s="50" t="s">
        <v>13461</v>
      </c>
      <c r="D5241" s="12" t="s">
        <v>12765</v>
      </c>
      <c r="E5241" s="12" t="s">
        <v>4971</v>
      </c>
      <c r="F5241" s="49">
        <v>265610</v>
      </c>
      <c r="G5241" s="77" t="s">
        <v>6298</v>
      </c>
      <c r="H5241" s="14" t="s">
        <v>5601</v>
      </c>
      <c r="I5241" s="14" t="s">
        <v>2458</v>
      </c>
      <c r="J5241" s="33" t="s">
        <v>7110</v>
      </c>
      <c r="K5241" s="33" t="s">
        <v>13477</v>
      </c>
      <c r="L5241" s="53" t="s">
        <v>6054</v>
      </c>
      <c r="M5241" s="68" t="s">
        <v>8912</v>
      </c>
      <c r="N5241" s="53" t="s">
        <v>9836</v>
      </c>
      <c r="O5241" s="53">
        <v>55112</v>
      </c>
      <c r="P5241" s="198" t="s">
        <v>12668</v>
      </c>
    </row>
    <row r="5242" spans="1:16" ht="18.75" hidden="1">
      <c r="A5242" s="50" t="s">
        <v>13514</v>
      </c>
      <c r="B5242" s="50" t="s">
        <v>13266</v>
      </c>
      <c r="C5242" s="50" t="s">
        <v>13446</v>
      </c>
      <c r="D5242" s="12" t="s">
        <v>12928</v>
      </c>
      <c r="E5242" s="12" t="s">
        <v>4971</v>
      </c>
      <c r="F5242" s="49">
        <v>44740</v>
      </c>
      <c r="G5242" s="77" t="s">
        <v>6453</v>
      </c>
      <c r="H5242" s="14" t="s">
        <v>5601</v>
      </c>
      <c r="I5242" s="14" t="s">
        <v>2458</v>
      </c>
      <c r="J5242" s="33" t="e">
        <f>VLOOKUP(C5242,شرکتها!A:B,2,FALSE)</f>
        <v>#N/A</v>
      </c>
      <c r="K5242" s="33" t="s">
        <v>13477</v>
      </c>
      <c r="L5242" s="53" t="s">
        <v>6054</v>
      </c>
      <c r="M5242" s="68" t="s">
        <v>8913</v>
      </c>
      <c r="N5242" s="53" t="s">
        <v>9836</v>
      </c>
      <c r="O5242" s="53">
        <v>55112</v>
      </c>
      <c r="P5242" s="198" t="s">
        <v>12929</v>
      </c>
    </row>
    <row r="5243" spans="1:16" ht="18.75" hidden="1">
      <c r="A5243" s="50" t="s">
        <v>13515</v>
      </c>
      <c r="B5243" s="50" t="s">
        <v>13380</v>
      </c>
      <c r="C5243" s="50" t="s">
        <v>13461</v>
      </c>
      <c r="D5243" s="12" t="s">
        <v>12765</v>
      </c>
      <c r="E5243" s="12" t="s">
        <v>4971</v>
      </c>
      <c r="F5243" s="49">
        <v>46100</v>
      </c>
      <c r="G5243" s="77" t="s">
        <v>6298</v>
      </c>
      <c r="H5243" s="14" t="s">
        <v>5601</v>
      </c>
      <c r="I5243" s="14" t="s">
        <v>2458</v>
      </c>
      <c r="J5243" s="33" t="s">
        <v>7110</v>
      </c>
      <c r="K5243" s="33" t="s">
        <v>13477</v>
      </c>
      <c r="L5243" s="53" t="s">
        <v>6054</v>
      </c>
      <c r="M5243" s="68" t="s">
        <v>8913</v>
      </c>
      <c r="N5243" s="53" t="s">
        <v>9836</v>
      </c>
      <c r="O5243" s="53">
        <v>55112</v>
      </c>
      <c r="P5243" s="198" t="s">
        <v>12668</v>
      </c>
    </row>
    <row r="5244" spans="1:16" ht="18.75" hidden="1">
      <c r="A5244" s="50" t="s">
        <v>13515</v>
      </c>
      <c r="B5244" s="50" t="s">
        <v>13380</v>
      </c>
      <c r="C5244" s="50" t="s">
        <v>13447</v>
      </c>
      <c r="D5244" s="12" t="s">
        <v>13318</v>
      </c>
      <c r="E5244" s="12" t="s">
        <v>13333</v>
      </c>
      <c r="F5244" s="49">
        <v>21840</v>
      </c>
      <c r="G5244" s="77" t="s">
        <v>6453</v>
      </c>
      <c r="H5244" s="14" t="s">
        <v>5601</v>
      </c>
      <c r="I5244" s="14" t="s">
        <v>2458</v>
      </c>
      <c r="J5244" s="33" t="e">
        <f>VLOOKUP(C5244,شرکتها!A:B,2,FALSE)</f>
        <v>#N/A</v>
      </c>
      <c r="K5244" s="33" t="s">
        <v>13477</v>
      </c>
      <c r="L5244" s="53" t="s">
        <v>6054</v>
      </c>
      <c r="M5244" s="68" t="s">
        <v>8913</v>
      </c>
      <c r="N5244" s="53" t="s">
        <v>9836</v>
      </c>
      <c r="O5244" s="53">
        <v>55112</v>
      </c>
      <c r="P5244" s="198" t="s">
        <v>12929</v>
      </c>
    </row>
    <row r="5245" spans="1:16" ht="18.75" hidden="1">
      <c r="A5245" s="50" t="s">
        <v>13516</v>
      </c>
      <c r="B5245" s="50" t="s">
        <v>13512</v>
      </c>
      <c r="C5245" s="50" t="s">
        <v>13517</v>
      </c>
      <c r="D5245" s="12" t="s">
        <v>12695</v>
      </c>
      <c r="E5245" s="12" t="s">
        <v>4971</v>
      </c>
      <c r="F5245" s="49">
        <v>124600</v>
      </c>
      <c r="G5245" s="77" t="s">
        <v>6454</v>
      </c>
      <c r="H5245" s="14" t="s">
        <v>5601</v>
      </c>
      <c r="I5245" s="14" t="s">
        <v>2458</v>
      </c>
      <c r="J5245" s="33" t="s">
        <v>7110</v>
      </c>
      <c r="K5245" s="33" t="s">
        <v>13477</v>
      </c>
      <c r="L5245" s="53" t="s">
        <v>6054</v>
      </c>
      <c r="M5245" s="68" t="s">
        <v>8913</v>
      </c>
      <c r="N5245" s="53" t="s">
        <v>9836</v>
      </c>
      <c r="O5245" s="53">
        <v>55112</v>
      </c>
      <c r="P5245" s="198" t="s">
        <v>12414</v>
      </c>
    </row>
    <row r="5246" spans="1:16" ht="18.75" hidden="1">
      <c r="A5246" s="50" t="s">
        <v>13516</v>
      </c>
      <c r="B5246" s="50" t="s">
        <v>13512</v>
      </c>
      <c r="C5246" s="50" t="s">
        <v>12948</v>
      </c>
      <c r="D5246" s="12" t="s">
        <v>12734</v>
      </c>
      <c r="E5246" s="12" t="s">
        <v>4971</v>
      </c>
      <c r="F5246" s="49">
        <v>88520</v>
      </c>
      <c r="G5246" s="77" t="s">
        <v>6454</v>
      </c>
      <c r="H5246" s="14" t="s">
        <v>5601</v>
      </c>
      <c r="I5246" s="14" t="s">
        <v>2458</v>
      </c>
      <c r="J5246" s="33" t="s">
        <v>7110</v>
      </c>
      <c r="K5246" s="33" t="s">
        <v>13477</v>
      </c>
      <c r="L5246" s="53" t="s">
        <v>6054</v>
      </c>
      <c r="M5246" s="68" t="s">
        <v>8913</v>
      </c>
      <c r="N5246" s="53" t="s">
        <v>9836</v>
      </c>
      <c r="O5246" s="53">
        <v>55112</v>
      </c>
      <c r="P5246" s="198" t="s">
        <v>12414</v>
      </c>
    </row>
    <row r="5247" spans="1:16" ht="18.75" hidden="1">
      <c r="A5247" s="50" t="s">
        <v>13504</v>
      </c>
      <c r="B5247" s="50" t="s">
        <v>13505</v>
      </c>
      <c r="C5247" s="50" t="s">
        <v>13518</v>
      </c>
      <c r="D5247" s="12" t="s">
        <v>12944</v>
      </c>
      <c r="E5247" s="12" t="s">
        <v>4971</v>
      </c>
      <c r="F5247" s="49">
        <v>126034</v>
      </c>
      <c r="G5247" s="77" t="s">
        <v>6454</v>
      </c>
      <c r="H5247" s="14" t="s">
        <v>5601</v>
      </c>
      <c r="I5247" s="14" t="s">
        <v>2458</v>
      </c>
      <c r="J5247" s="33" t="s">
        <v>7110</v>
      </c>
      <c r="K5247" s="33" t="s">
        <v>13477</v>
      </c>
      <c r="L5247" s="53" t="s">
        <v>6054</v>
      </c>
      <c r="M5247" s="68" t="s">
        <v>8912</v>
      </c>
      <c r="N5247" s="53" t="s">
        <v>6285</v>
      </c>
      <c r="O5247" s="53">
        <v>55200</v>
      </c>
      <c r="P5247" s="198" t="s">
        <v>12663</v>
      </c>
    </row>
    <row r="5248" spans="1:16" ht="18.75" hidden="1">
      <c r="A5248" s="50" t="s">
        <v>13506</v>
      </c>
      <c r="B5248" s="50" t="s">
        <v>13351</v>
      </c>
      <c r="C5248" s="50" t="s">
        <v>13519</v>
      </c>
      <c r="D5248" s="12" t="s">
        <v>13308</v>
      </c>
      <c r="E5248" s="12" t="s">
        <v>13333</v>
      </c>
      <c r="F5248" s="49">
        <v>400000</v>
      </c>
      <c r="G5248" s="77" t="s">
        <v>6453</v>
      </c>
      <c r="H5248" s="14" t="s">
        <v>5601</v>
      </c>
      <c r="I5248" s="14" t="s">
        <v>2458</v>
      </c>
      <c r="J5248" s="33" t="e">
        <f>VLOOKUP(C5248,شرکتها!A:B,2,FALSE)</f>
        <v>#N/A</v>
      </c>
      <c r="K5248" s="33" t="s">
        <v>13477</v>
      </c>
      <c r="L5248" s="53" t="s">
        <v>6054</v>
      </c>
      <c r="M5248" s="68" t="s">
        <v>8913</v>
      </c>
      <c r="N5248" s="53" t="s">
        <v>6076</v>
      </c>
      <c r="O5248" s="53">
        <v>55301</v>
      </c>
      <c r="P5248" s="198" t="s">
        <v>12929</v>
      </c>
    </row>
    <row r="5249" spans="1:16" ht="18.75" hidden="1">
      <c r="A5249" s="50" t="s">
        <v>13520</v>
      </c>
      <c r="B5249" s="50" t="s">
        <v>13266</v>
      </c>
      <c r="C5249" s="50" t="s">
        <v>13439</v>
      </c>
      <c r="D5249" s="12" t="s">
        <v>13343</v>
      </c>
      <c r="E5249" s="12" t="s">
        <v>13333</v>
      </c>
      <c r="F5249" s="49">
        <v>247900</v>
      </c>
      <c r="G5249" s="77" t="s">
        <v>13495</v>
      </c>
      <c r="H5249" s="14" t="s">
        <v>5601</v>
      </c>
      <c r="I5249" s="14" t="s">
        <v>2458</v>
      </c>
      <c r="J5249" s="33" t="s">
        <v>7110</v>
      </c>
      <c r="K5249" s="33" t="s">
        <v>13477</v>
      </c>
      <c r="L5249" s="53" t="s">
        <v>6054</v>
      </c>
      <c r="M5249" s="68" t="s">
        <v>8912</v>
      </c>
      <c r="N5249" s="53" t="s">
        <v>6285</v>
      </c>
      <c r="O5249" s="53">
        <v>55200</v>
      </c>
      <c r="P5249" s="198" t="s">
        <v>13069</v>
      </c>
    </row>
    <row r="5250" spans="1:16" ht="18.75" hidden="1">
      <c r="A5250" s="50" t="s">
        <v>13514</v>
      </c>
      <c r="B5250" s="50" t="s">
        <v>13266</v>
      </c>
      <c r="C5250" s="50" t="s">
        <v>13467</v>
      </c>
      <c r="D5250" s="12" t="s">
        <v>12689</v>
      </c>
      <c r="E5250" s="12" t="s">
        <v>4971</v>
      </c>
      <c r="F5250" s="49">
        <v>145320</v>
      </c>
      <c r="G5250" s="77" t="s">
        <v>6298</v>
      </c>
      <c r="H5250" s="14" t="s">
        <v>5601</v>
      </c>
      <c r="I5250" s="14" t="s">
        <v>2458</v>
      </c>
      <c r="J5250" s="33" t="s">
        <v>7110</v>
      </c>
      <c r="K5250" s="33" t="s">
        <v>13477</v>
      </c>
      <c r="L5250" s="53" t="s">
        <v>6054</v>
      </c>
      <c r="M5250" s="68" t="s">
        <v>8913</v>
      </c>
      <c r="N5250" s="53" t="s">
        <v>9836</v>
      </c>
      <c r="O5250" s="53">
        <v>55112</v>
      </c>
      <c r="P5250" s="198" t="s">
        <v>12668</v>
      </c>
    </row>
    <row r="5251" spans="1:16" ht="18.75" hidden="1">
      <c r="A5251" s="50" t="s">
        <v>13521</v>
      </c>
      <c r="B5251" s="50" t="s">
        <v>13351</v>
      </c>
      <c r="C5251" s="50" t="s">
        <v>13438</v>
      </c>
      <c r="D5251" s="12" t="s">
        <v>12824</v>
      </c>
      <c r="E5251" s="12" t="s">
        <v>4971</v>
      </c>
      <c r="F5251" s="49">
        <v>186300</v>
      </c>
      <c r="G5251" s="77" t="s">
        <v>6298</v>
      </c>
      <c r="H5251" s="14" t="s">
        <v>5601</v>
      </c>
      <c r="I5251" s="14" t="s">
        <v>2458</v>
      </c>
      <c r="J5251" s="33" t="s">
        <v>7110</v>
      </c>
      <c r="K5251" s="33" t="s">
        <v>13477</v>
      </c>
      <c r="L5251" s="53" t="s">
        <v>6054</v>
      </c>
      <c r="M5251" s="68" t="s">
        <v>8912</v>
      </c>
      <c r="N5251" s="53" t="s">
        <v>9836</v>
      </c>
      <c r="O5251" s="53">
        <v>55112</v>
      </c>
      <c r="P5251" s="198" t="s">
        <v>12934</v>
      </c>
    </row>
    <row r="5252" spans="1:16" ht="18.75" hidden="1">
      <c r="A5252" s="50" t="s">
        <v>13520</v>
      </c>
      <c r="B5252" s="50" t="s">
        <v>13266</v>
      </c>
      <c r="C5252" s="50" t="s">
        <v>13522</v>
      </c>
      <c r="D5252" s="12" t="s">
        <v>13318</v>
      </c>
      <c r="E5252" s="12" t="s">
        <v>13333</v>
      </c>
      <c r="F5252" s="49">
        <v>230560</v>
      </c>
      <c r="G5252" s="77" t="s">
        <v>13495</v>
      </c>
      <c r="H5252" s="14" t="s">
        <v>5601</v>
      </c>
      <c r="I5252" s="14" t="s">
        <v>2458</v>
      </c>
      <c r="J5252" s="33" t="s">
        <v>7110</v>
      </c>
      <c r="K5252" s="33" t="s">
        <v>13477</v>
      </c>
      <c r="L5252" s="53" t="s">
        <v>6054</v>
      </c>
      <c r="M5252" s="68" t="s">
        <v>8912</v>
      </c>
      <c r="N5252" s="53" t="s">
        <v>6285</v>
      </c>
      <c r="O5252" s="53">
        <v>55200</v>
      </c>
      <c r="P5252" s="198" t="s">
        <v>13069</v>
      </c>
    </row>
    <row r="5253" spans="1:16" ht="18.75" hidden="1">
      <c r="A5253" s="50" t="s">
        <v>13523</v>
      </c>
      <c r="B5253" s="50" t="s">
        <v>13505</v>
      </c>
      <c r="C5253" s="50" t="s">
        <v>13518</v>
      </c>
      <c r="D5253" s="12" t="s">
        <v>12944</v>
      </c>
      <c r="E5253" s="12" t="s">
        <v>4971</v>
      </c>
      <c r="F5253" s="49">
        <v>138430</v>
      </c>
      <c r="G5253" s="77" t="s">
        <v>6454</v>
      </c>
      <c r="H5253" s="14" t="s">
        <v>5601</v>
      </c>
      <c r="I5253" s="14" t="s">
        <v>2458</v>
      </c>
      <c r="J5253" s="33" t="s">
        <v>7110</v>
      </c>
      <c r="K5253" s="33" t="s">
        <v>13477</v>
      </c>
      <c r="L5253" s="53" t="s">
        <v>6054</v>
      </c>
      <c r="M5253" s="68" t="s">
        <v>8912</v>
      </c>
      <c r="N5253" s="53" t="s">
        <v>9836</v>
      </c>
      <c r="O5253" s="53">
        <v>55112</v>
      </c>
      <c r="P5253" s="198" t="s">
        <v>12663</v>
      </c>
    </row>
    <row r="5254" spans="1:16" ht="18.75" hidden="1">
      <c r="A5254" s="50" t="s">
        <v>13524</v>
      </c>
      <c r="B5254" s="50" t="s">
        <v>13331</v>
      </c>
      <c r="C5254" s="50" t="s">
        <v>13468</v>
      </c>
      <c r="D5254" s="12" t="s">
        <v>12734</v>
      </c>
      <c r="E5254" s="12" t="s">
        <v>4971</v>
      </c>
      <c r="F5254" s="49">
        <v>95080</v>
      </c>
      <c r="G5254" s="77" t="s">
        <v>12823</v>
      </c>
      <c r="H5254" s="14" t="s">
        <v>5601</v>
      </c>
      <c r="I5254" s="14" t="s">
        <v>2458</v>
      </c>
      <c r="J5254" s="33" t="s">
        <v>7110</v>
      </c>
      <c r="K5254" s="33" t="s">
        <v>13477</v>
      </c>
      <c r="L5254" s="53" t="s">
        <v>6054</v>
      </c>
      <c r="M5254" s="68" t="s">
        <v>8912</v>
      </c>
      <c r="N5254" s="53" t="s">
        <v>9836</v>
      </c>
      <c r="O5254" s="53">
        <v>55112</v>
      </c>
      <c r="P5254" s="198" t="s">
        <v>12428</v>
      </c>
    </row>
    <row r="5255" spans="1:16" ht="18.75" hidden="1">
      <c r="A5255" s="50" t="s">
        <v>13525</v>
      </c>
      <c r="B5255" s="50" t="s">
        <v>13380</v>
      </c>
      <c r="C5255" s="50" t="s">
        <v>13441</v>
      </c>
      <c r="D5255" s="12" t="s">
        <v>13318</v>
      </c>
      <c r="E5255" s="12" t="s">
        <v>13333</v>
      </c>
      <c r="F5255" s="49">
        <v>46340</v>
      </c>
      <c r="G5255" s="77" t="s">
        <v>12608</v>
      </c>
      <c r="H5255" s="14" t="s">
        <v>5601</v>
      </c>
      <c r="I5255" s="14" t="s">
        <v>2458</v>
      </c>
      <c r="J5255" s="33" t="s">
        <v>7110</v>
      </c>
      <c r="K5255" s="33" t="s">
        <v>13477</v>
      </c>
      <c r="L5255" s="53" t="s">
        <v>6054</v>
      </c>
      <c r="M5255" s="68" t="s">
        <v>8912</v>
      </c>
      <c r="N5255" s="53" t="s">
        <v>6076</v>
      </c>
      <c r="O5255" s="53">
        <v>55301</v>
      </c>
      <c r="P5255" s="198" t="s">
        <v>12939</v>
      </c>
    </row>
    <row r="5256" spans="1:16" ht="18.75" hidden="1">
      <c r="A5256" s="50" t="s">
        <v>13526</v>
      </c>
      <c r="B5256" s="50" t="s">
        <v>13184</v>
      </c>
      <c r="C5256" s="50" t="s">
        <v>13527</v>
      </c>
      <c r="D5256" s="12" t="s">
        <v>13318</v>
      </c>
      <c r="E5256" s="12" t="s">
        <v>13333</v>
      </c>
      <c r="F5256" s="49">
        <v>500000</v>
      </c>
      <c r="G5256" s="77" t="s">
        <v>13495</v>
      </c>
      <c r="H5256" s="14" t="s">
        <v>5601</v>
      </c>
      <c r="I5256" s="14" t="s">
        <v>2458</v>
      </c>
      <c r="J5256" s="33" t="s">
        <v>7110</v>
      </c>
      <c r="K5256" s="33" t="s">
        <v>13477</v>
      </c>
      <c r="L5256" s="53" t="s">
        <v>6054</v>
      </c>
      <c r="M5256" s="68" t="s">
        <v>8912</v>
      </c>
      <c r="N5256" s="53" t="s">
        <v>6285</v>
      </c>
      <c r="O5256" s="53">
        <v>55200</v>
      </c>
      <c r="P5256" s="198" t="s">
        <v>13069</v>
      </c>
    </row>
    <row r="5257" spans="1:16" ht="18.75" hidden="1">
      <c r="A5257" s="50" t="s">
        <v>13525</v>
      </c>
      <c r="B5257" s="50" t="s">
        <v>13380</v>
      </c>
      <c r="C5257" s="50" t="s">
        <v>13447</v>
      </c>
      <c r="D5257" s="12" t="s">
        <v>13318</v>
      </c>
      <c r="E5257" s="12" t="s">
        <v>13333</v>
      </c>
      <c r="F5257" s="49">
        <v>502170</v>
      </c>
      <c r="G5257" s="77" t="s">
        <v>6453</v>
      </c>
      <c r="H5257" s="14" t="s">
        <v>5601</v>
      </c>
      <c r="I5257" s="14" t="s">
        <v>2458</v>
      </c>
      <c r="J5257" s="33" t="e">
        <f>VLOOKUP(C5257,شرکتها!A:B,2,FALSE)</f>
        <v>#N/A</v>
      </c>
      <c r="K5257" s="33" t="s">
        <v>13477</v>
      </c>
      <c r="L5257" s="53" t="s">
        <v>6054</v>
      </c>
      <c r="M5257" s="68" t="s">
        <v>8912</v>
      </c>
      <c r="N5257" s="53" t="s">
        <v>6076</v>
      </c>
      <c r="O5257" s="53">
        <v>55301</v>
      </c>
      <c r="P5257" s="198" t="s">
        <v>12929</v>
      </c>
    </row>
    <row r="5258" spans="1:16" ht="18.75" hidden="1">
      <c r="A5258" s="50" t="s">
        <v>13528</v>
      </c>
      <c r="B5258" s="50" t="s">
        <v>13351</v>
      </c>
      <c r="C5258" s="50" t="s">
        <v>13423</v>
      </c>
      <c r="D5258" s="12" t="s">
        <v>12898</v>
      </c>
      <c r="E5258" s="12" t="s">
        <v>4971</v>
      </c>
      <c r="F5258" s="49">
        <v>216120</v>
      </c>
      <c r="G5258" s="77" t="s">
        <v>6298</v>
      </c>
      <c r="H5258" s="14" t="s">
        <v>5601</v>
      </c>
      <c r="I5258" s="14" t="s">
        <v>2458</v>
      </c>
      <c r="J5258" s="33" t="s">
        <v>7110</v>
      </c>
      <c r="K5258" s="33" t="s">
        <v>13477</v>
      </c>
      <c r="L5258" s="53" t="s">
        <v>6054</v>
      </c>
      <c r="M5258" s="68" t="s">
        <v>8912</v>
      </c>
      <c r="N5258" s="53" t="s">
        <v>6076</v>
      </c>
      <c r="O5258" s="53">
        <v>55301</v>
      </c>
      <c r="P5258" s="198" t="s">
        <v>12934</v>
      </c>
    </row>
    <row r="5259" spans="1:16" ht="18.75" hidden="1">
      <c r="A5259" s="50" t="s">
        <v>13528</v>
      </c>
      <c r="B5259" s="50" t="s">
        <v>13351</v>
      </c>
      <c r="C5259" s="50" t="s">
        <v>13421</v>
      </c>
      <c r="D5259" s="12" t="s">
        <v>13343</v>
      </c>
      <c r="E5259" s="12" t="s">
        <v>13333</v>
      </c>
      <c r="F5259" s="49">
        <v>312440</v>
      </c>
      <c r="G5259" s="77" t="s">
        <v>6453</v>
      </c>
      <c r="H5259" s="14" t="s">
        <v>5601</v>
      </c>
      <c r="I5259" s="14" t="s">
        <v>2458</v>
      </c>
      <c r="J5259" s="33" t="e">
        <f>VLOOKUP(C5259,شرکتها!A:B,2,FALSE)</f>
        <v>#N/A</v>
      </c>
      <c r="K5259" s="33" t="s">
        <v>13477</v>
      </c>
      <c r="L5259" s="53" t="s">
        <v>6054</v>
      </c>
      <c r="M5259" s="68" t="s">
        <v>8912</v>
      </c>
      <c r="N5259" s="53" t="s">
        <v>6076</v>
      </c>
      <c r="O5259" s="53">
        <v>55301</v>
      </c>
      <c r="P5259" s="198" t="s">
        <v>12929</v>
      </c>
    </row>
    <row r="5260" spans="1:16" ht="18.75" hidden="1">
      <c r="A5260" s="50" t="s">
        <v>13528</v>
      </c>
      <c r="B5260" s="50" t="s">
        <v>13351</v>
      </c>
      <c r="C5260" s="50" t="s">
        <v>13438</v>
      </c>
      <c r="D5260" s="12" t="s">
        <v>12824</v>
      </c>
      <c r="E5260" s="12" t="s">
        <v>4971</v>
      </c>
      <c r="F5260" s="49">
        <v>46330</v>
      </c>
      <c r="G5260" s="77" t="s">
        <v>6298</v>
      </c>
      <c r="H5260" s="14" t="s">
        <v>5601</v>
      </c>
      <c r="I5260" s="14" t="s">
        <v>2458</v>
      </c>
      <c r="J5260" s="33" t="s">
        <v>7110</v>
      </c>
      <c r="K5260" s="33" t="s">
        <v>13477</v>
      </c>
      <c r="L5260" s="53" t="s">
        <v>6054</v>
      </c>
      <c r="M5260" s="68" t="s">
        <v>8912</v>
      </c>
      <c r="N5260" s="53" t="s">
        <v>6076</v>
      </c>
      <c r="O5260" s="53">
        <v>55301</v>
      </c>
      <c r="P5260" s="198" t="s">
        <v>12934</v>
      </c>
    </row>
    <row r="5261" spans="1:16" ht="18.75" hidden="1">
      <c r="A5261" s="50" t="s">
        <v>13506</v>
      </c>
      <c r="B5261" s="50" t="s">
        <v>13351</v>
      </c>
      <c r="C5261" s="50" t="s">
        <v>13469</v>
      </c>
      <c r="D5261" s="12" t="s">
        <v>13326</v>
      </c>
      <c r="E5261" s="12" t="s">
        <v>13333</v>
      </c>
      <c r="F5261" s="49">
        <v>281470</v>
      </c>
      <c r="G5261" s="77" t="s">
        <v>6453</v>
      </c>
      <c r="H5261" s="14" t="s">
        <v>5601</v>
      </c>
      <c r="I5261" s="14" t="s">
        <v>2458</v>
      </c>
      <c r="J5261" s="33" t="e">
        <f>VLOOKUP(C5261,شرکتها!A:B,2,FALSE)</f>
        <v>#N/A</v>
      </c>
      <c r="K5261" s="33" t="s">
        <v>13477</v>
      </c>
      <c r="L5261" s="53" t="s">
        <v>6054</v>
      </c>
      <c r="M5261" s="68" t="s">
        <v>8913</v>
      </c>
      <c r="N5261" s="53" t="s">
        <v>6076</v>
      </c>
      <c r="O5261" s="53">
        <v>55301</v>
      </c>
      <c r="P5261" s="198" t="s">
        <v>12929</v>
      </c>
    </row>
    <row r="5262" spans="1:16" ht="18.75" hidden="1">
      <c r="A5262" s="50" t="s">
        <v>13529</v>
      </c>
      <c r="B5262" s="50" t="s">
        <v>13343</v>
      </c>
      <c r="C5262" s="50" t="s">
        <v>13444</v>
      </c>
      <c r="D5262" s="12" t="s">
        <v>12895</v>
      </c>
      <c r="E5262" s="12" t="s">
        <v>4971</v>
      </c>
      <c r="F5262" s="49">
        <v>123620</v>
      </c>
      <c r="G5262" s="77" t="s">
        <v>6454</v>
      </c>
      <c r="H5262" s="14" t="s">
        <v>5601</v>
      </c>
      <c r="I5262" s="14" t="s">
        <v>2458</v>
      </c>
      <c r="J5262" s="33" t="s">
        <v>7110</v>
      </c>
      <c r="K5262" s="33" t="s">
        <v>13477</v>
      </c>
      <c r="L5262" s="53" t="s">
        <v>6054</v>
      </c>
      <c r="M5262" s="68" t="s">
        <v>8913</v>
      </c>
      <c r="N5262" s="53" t="s">
        <v>9836</v>
      </c>
      <c r="O5262" s="53">
        <v>55112</v>
      </c>
      <c r="P5262" s="198" t="s">
        <v>12669</v>
      </c>
    </row>
    <row r="5263" spans="1:16" ht="18.75" hidden="1">
      <c r="A5263" s="50" t="s">
        <v>13528</v>
      </c>
      <c r="B5263" s="50" t="s">
        <v>13351</v>
      </c>
      <c r="C5263" s="50" t="s">
        <v>13470</v>
      </c>
      <c r="D5263" s="12" t="s">
        <v>13310</v>
      </c>
      <c r="E5263" s="12" t="s">
        <v>13333</v>
      </c>
      <c r="F5263" s="49">
        <v>348010</v>
      </c>
      <c r="G5263" s="77" t="s">
        <v>6453</v>
      </c>
      <c r="H5263" s="14" t="s">
        <v>5601</v>
      </c>
      <c r="I5263" s="14" t="s">
        <v>2458</v>
      </c>
      <c r="J5263" s="33" t="e">
        <f>VLOOKUP(C5263,شرکتها!A:B,2,FALSE)</f>
        <v>#N/A</v>
      </c>
      <c r="K5263" s="33" t="s">
        <v>13477</v>
      </c>
      <c r="L5263" s="53" t="s">
        <v>6054</v>
      </c>
      <c r="M5263" s="68" t="s">
        <v>8912</v>
      </c>
      <c r="N5263" s="53" t="s">
        <v>6076</v>
      </c>
      <c r="O5263" s="53">
        <v>55301</v>
      </c>
      <c r="P5263" s="198" t="s">
        <v>12929</v>
      </c>
    </row>
    <row r="5264" spans="1:16" ht="18.75" hidden="1">
      <c r="A5264" s="50" t="s">
        <v>13528</v>
      </c>
      <c r="B5264" s="50" t="s">
        <v>13351</v>
      </c>
      <c r="C5264" s="50" t="s">
        <v>13429</v>
      </c>
      <c r="D5264" s="12" t="s">
        <v>13184</v>
      </c>
      <c r="E5264" s="12" t="s">
        <v>13333</v>
      </c>
      <c r="F5264" s="49">
        <v>71390</v>
      </c>
      <c r="G5264" s="77" t="s">
        <v>12608</v>
      </c>
      <c r="H5264" s="14" t="s">
        <v>5601</v>
      </c>
      <c r="I5264" s="14" t="s">
        <v>2458</v>
      </c>
      <c r="J5264" s="33" t="s">
        <v>7110</v>
      </c>
      <c r="K5264" s="33" t="s">
        <v>13477</v>
      </c>
      <c r="L5264" s="53" t="s">
        <v>6054</v>
      </c>
      <c r="M5264" s="68" t="s">
        <v>8912</v>
      </c>
      <c r="N5264" s="53" t="s">
        <v>6076</v>
      </c>
      <c r="O5264" s="53">
        <v>55301</v>
      </c>
      <c r="P5264" s="198" t="s">
        <v>12939</v>
      </c>
    </row>
    <row r="5265" spans="1:16" ht="18.75" hidden="1">
      <c r="A5265" s="50" t="s">
        <v>13530</v>
      </c>
      <c r="B5265" s="50" t="s">
        <v>12765</v>
      </c>
      <c r="C5265" s="50" t="s">
        <v>13531</v>
      </c>
      <c r="D5265" s="12" t="s">
        <v>12928</v>
      </c>
      <c r="E5265" s="12" t="s">
        <v>4971</v>
      </c>
      <c r="F5265" s="49">
        <v>394701</v>
      </c>
      <c r="G5265" s="77" t="s">
        <v>6298</v>
      </c>
      <c r="H5265" s="14" t="s">
        <v>5601</v>
      </c>
      <c r="I5265" s="14" t="s">
        <v>2458</v>
      </c>
      <c r="J5265" s="33" t="s">
        <v>7110</v>
      </c>
      <c r="K5265" s="33" t="s">
        <v>13477</v>
      </c>
      <c r="L5265" s="53" t="s">
        <v>6283</v>
      </c>
      <c r="M5265" s="68" t="s">
        <v>8912</v>
      </c>
      <c r="N5265" s="53" t="s">
        <v>13532</v>
      </c>
      <c r="O5265" s="53">
        <v>50100</v>
      </c>
      <c r="P5265" s="198" t="s">
        <v>12668</v>
      </c>
    </row>
    <row r="5266" spans="1:16" ht="18.75" hidden="1">
      <c r="A5266" s="50" t="s">
        <v>13533</v>
      </c>
      <c r="B5266" s="50" t="s">
        <v>12893</v>
      </c>
      <c r="C5266" s="50" t="s">
        <v>13534</v>
      </c>
      <c r="D5266" s="12" t="s">
        <v>13200</v>
      </c>
      <c r="E5266" s="12" t="s">
        <v>4971</v>
      </c>
      <c r="F5266" s="49">
        <v>493908</v>
      </c>
      <c r="G5266" s="77" t="s">
        <v>6298</v>
      </c>
      <c r="H5266" s="14" t="s">
        <v>5601</v>
      </c>
      <c r="I5266" s="14" t="s">
        <v>2458</v>
      </c>
      <c r="J5266" s="33" t="s">
        <v>7110</v>
      </c>
      <c r="K5266" s="33" t="s">
        <v>13477</v>
      </c>
      <c r="L5266" s="53" t="s">
        <v>6283</v>
      </c>
      <c r="M5266" s="68" t="s">
        <v>8912</v>
      </c>
      <c r="N5266" s="53" t="s">
        <v>13532</v>
      </c>
      <c r="O5266" s="53">
        <v>50100</v>
      </c>
      <c r="P5266" s="198" t="s">
        <v>12429</v>
      </c>
    </row>
    <row r="5267" spans="1:16" ht="18.75" hidden="1">
      <c r="A5267" s="50" t="s">
        <v>13535</v>
      </c>
      <c r="B5267" s="50" t="s">
        <v>13195</v>
      </c>
      <c r="C5267" s="50" t="s">
        <v>13536</v>
      </c>
      <c r="D5267" s="12" t="s">
        <v>13318</v>
      </c>
      <c r="E5267" s="12" t="s">
        <v>13333</v>
      </c>
      <c r="F5267" s="49">
        <v>480000</v>
      </c>
      <c r="G5267" s="77" t="s">
        <v>6298</v>
      </c>
      <c r="H5267" s="14" t="s">
        <v>5601</v>
      </c>
      <c r="I5267" s="14" t="s">
        <v>2458</v>
      </c>
      <c r="J5267" s="33" t="s">
        <v>7110</v>
      </c>
      <c r="K5267" s="33" t="s">
        <v>13477</v>
      </c>
      <c r="L5267" s="53" t="s">
        <v>6283</v>
      </c>
      <c r="M5267" s="68" t="s">
        <v>8912</v>
      </c>
      <c r="N5267" s="53" t="s">
        <v>13532</v>
      </c>
      <c r="O5267" s="53">
        <v>50100</v>
      </c>
      <c r="P5267" s="198" t="s">
        <v>12934</v>
      </c>
    </row>
    <row r="5268" spans="1:16" ht="18.75" hidden="1">
      <c r="A5268" s="50" t="s">
        <v>13535</v>
      </c>
      <c r="B5268" s="50" t="s">
        <v>13195</v>
      </c>
      <c r="C5268" s="50" t="s">
        <v>13537</v>
      </c>
      <c r="D5268" s="12" t="s">
        <v>13380</v>
      </c>
      <c r="E5268" s="12" t="s">
        <v>13333</v>
      </c>
      <c r="F5268" s="49">
        <v>10627</v>
      </c>
      <c r="G5268" s="77" t="s">
        <v>6298</v>
      </c>
      <c r="H5268" s="14" t="s">
        <v>5601</v>
      </c>
      <c r="I5268" s="14" t="s">
        <v>2458</v>
      </c>
      <c r="J5268" s="33" t="s">
        <v>7110</v>
      </c>
      <c r="K5268" s="33" t="s">
        <v>13477</v>
      </c>
      <c r="L5268" s="53" t="s">
        <v>6283</v>
      </c>
      <c r="M5268" s="68" t="s">
        <v>8912</v>
      </c>
      <c r="N5268" s="53" t="s">
        <v>13532</v>
      </c>
      <c r="O5268" s="53">
        <v>50100</v>
      </c>
      <c r="P5268" s="198">
        <v>1396546618001</v>
      </c>
    </row>
    <row r="5269" spans="1:16" ht="18.75" hidden="1">
      <c r="A5269" s="50" t="s">
        <v>13538</v>
      </c>
      <c r="B5269" s="50" t="s">
        <v>13200</v>
      </c>
      <c r="C5269" s="50" t="s">
        <v>13539</v>
      </c>
      <c r="D5269" s="12" t="s">
        <v>13002</v>
      </c>
      <c r="E5269" s="12" t="s">
        <v>4971</v>
      </c>
      <c r="F5269" s="49">
        <v>996442</v>
      </c>
      <c r="G5269" s="77" t="s">
        <v>6452</v>
      </c>
      <c r="H5269" s="14" t="s">
        <v>5601</v>
      </c>
      <c r="I5269" s="14" t="s">
        <v>2458</v>
      </c>
      <c r="J5269" s="33" t="e">
        <f>VLOOKUP(C5269,شرکتها!A:B,2,FALSE)</f>
        <v>#N/A</v>
      </c>
      <c r="K5269" s="33" t="s">
        <v>13477</v>
      </c>
      <c r="L5269" s="53" t="s">
        <v>6054</v>
      </c>
      <c r="M5269" s="68" t="s">
        <v>8913</v>
      </c>
      <c r="N5269" s="53" t="s">
        <v>13532</v>
      </c>
      <c r="O5269" s="53">
        <v>50100</v>
      </c>
      <c r="P5269" s="198" t="s">
        <v>12930</v>
      </c>
    </row>
    <row r="5270" spans="1:16" ht="18.75" hidden="1">
      <c r="A5270" s="50" t="s">
        <v>13540</v>
      </c>
      <c r="B5270" s="50" t="s">
        <v>13200</v>
      </c>
      <c r="C5270" s="50" t="s">
        <v>13541</v>
      </c>
      <c r="D5270" s="12" t="s">
        <v>13308</v>
      </c>
      <c r="E5270" s="12" t="s">
        <v>13333</v>
      </c>
      <c r="F5270" s="49">
        <v>983872</v>
      </c>
      <c r="G5270" s="77" t="s">
        <v>6298</v>
      </c>
      <c r="H5270" s="14" t="s">
        <v>5601</v>
      </c>
      <c r="I5270" s="14" t="s">
        <v>2458</v>
      </c>
      <c r="J5270" s="33" t="s">
        <v>7110</v>
      </c>
      <c r="K5270" s="33" t="s">
        <v>13477</v>
      </c>
      <c r="L5270" s="53" t="s">
        <v>8680</v>
      </c>
      <c r="M5270" s="68" t="s">
        <v>8912</v>
      </c>
      <c r="N5270" s="53" t="s">
        <v>13532</v>
      </c>
      <c r="O5270" s="53">
        <v>50100</v>
      </c>
      <c r="P5270" s="198" t="s">
        <v>12934</v>
      </c>
    </row>
    <row r="5271" spans="1:16" ht="18.75" hidden="1">
      <c r="A5271" s="50" t="s">
        <v>13542</v>
      </c>
      <c r="B5271" s="50" t="s">
        <v>13200</v>
      </c>
      <c r="C5271" s="50" t="s">
        <v>13543</v>
      </c>
      <c r="D5271" s="12" t="s">
        <v>13321</v>
      </c>
      <c r="E5271" s="12" t="s">
        <v>13333</v>
      </c>
      <c r="F5271" s="49">
        <v>2799513</v>
      </c>
      <c r="G5271" s="77" t="s">
        <v>6452</v>
      </c>
      <c r="H5271" s="14" t="s">
        <v>5601</v>
      </c>
      <c r="I5271" s="14" t="s">
        <v>2458</v>
      </c>
      <c r="J5271" s="33" t="e">
        <f>VLOOKUP(C5271,شرکتها!A:B,2,FALSE)</f>
        <v>#N/A</v>
      </c>
      <c r="K5271" s="33" t="s">
        <v>13477</v>
      </c>
      <c r="L5271" s="53" t="s">
        <v>8683</v>
      </c>
      <c r="M5271" s="68" t="s">
        <v>8913</v>
      </c>
      <c r="N5271" s="53" t="s">
        <v>13532</v>
      </c>
      <c r="O5271" s="53">
        <v>50100</v>
      </c>
      <c r="P5271" s="198" t="s">
        <v>12930</v>
      </c>
    </row>
    <row r="5272" spans="1:16" ht="18.75" hidden="1">
      <c r="A5272" s="50" t="s">
        <v>13544</v>
      </c>
      <c r="B5272" s="50" t="s">
        <v>13200</v>
      </c>
      <c r="C5272" s="50" t="s">
        <v>13545</v>
      </c>
      <c r="D5272" s="12" t="s">
        <v>13310</v>
      </c>
      <c r="E5272" s="12" t="s">
        <v>13333</v>
      </c>
      <c r="F5272" s="49">
        <v>493905</v>
      </c>
      <c r="G5272" s="77" t="s">
        <v>13546</v>
      </c>
      <c r="H5272" s="14" t="s">
        <v>5601</v>
      </c>
      <c r="I5272" s="14" t="s">
        <v>2458</v>
      </c>
      <c r="J5272" s="33" t="s">
        <v>7110</v>
      </c>
      <c r="K5272" s="33" t="s">
        <v>13477</v>
      </c>
      <c r="L5272" s="53" t="s">
        <v>6283</v>
      </c>
      <c r="M5272" s="68" t="s">
        <v>8912</v>
      </c>
      <c r="N5272" s="53" t="s">
        <v>13532</v>
      </c>
      <c r="O5272" s="53">
        <v>50100</v>
      </c>
      <c r="P5272" s="198" t="s">
        <v>13023</v>
      </c>
    </row>
    <row r="5273" spans="1:16" ht="18.75" hidden="1">
      <c r="A5273" s="50" t="s">
        <v>13547</v>
      </c>
      <c r="B5273" s="50" t="s">
        <v>13351</v>
      </c>
      <c r="C5273" s="50" t="s">
        <v>13548</v>
      </c>
      <c r="D5273" s="12" t="s">
        <v>13549</v>
      </c>
      <c r="E5273" s="12" t="s">
        <v>13333</v>
      </c>
      <c r="F5273" s="49">
        <v>491012</v>
      </c>
      <c r="G5273" s="77" t="s">
        <v>6298</v>
      </c>
      <c r="H5273" s="14" t="s">
        <v>5601</v>
      </c>
      <c r="I5273" s="14" t="s">
        <v>2458</v>
      </c>
      <c r="J5273" s="33" t="s">
        <v>7110</v>
      </c>
      <c r="K5273" s="33" t="s">
        <v>13477</v>
      </c>
      <c r="L5273" s="53" t="s">
        <v>6283</v>
      </c>
      <c r="M5273" s="68" t="s">
        <v>8912</v>
      </c>
      <c r="N5273" s="53" t="s">
        <v>13532</v>
      </c>
      <c r="O5273" s="53">
        <v>50100</v>
      </c>
      <c r="P5273" s="198" t="s">
        <v>12934</v>
      </c>
    </row>
    <row r="5274" spans="1:16" ht="18.75" hidden="1">
      <c r="A5274" s="50" t="s">
        <v>13526</v>
      </c>
      <c r="B5274" s="50" t="s">
        <v>13184</v>
      </c>
      <c r="C5274" s="50" t="s">
        <v>13522</v>
      </c>
      <c r="D5274" s="12" t="s">
        <v>13318</v>
      </c>
      <c r="E5274" s="12" t="s">
        <v>13333</v>
      </c>
      <c r="F5274" s="49">
        <v>269440</v>
      </c>
      <c r="G5274" s="77" t="s">
        <v>13495</v>
      </c>
      <c r="H5274" s="14" t="str">
        <f t="shared" ref="H5274:H5337" si="145">IF(I5274="نامشخص",IF(E5274&gt;C5274,"false","true"),IF(E5274&gt;I5274,"false","true"))</f>
        <v>true</v>
      </c>
      <c r="I5274" s="14" t="s">
        <v>2458</v>
      </c>
      <c r="J5274" s="33" t="s">
        <v>7110</v>
      </c>
      <c r="K5274" s="33" t="s">
        <v>13477</v>
      </c>
      <c r="L5274" s="53" t="s">
        <v>6054</v>
      </c>
      <c r="M5274" s="68" t="s">
        <v>8912</v>
      </c>
      <c r="N5274" s="53" t="s">
        <v>6285</v>
      </c>
      <c r="O5274" s="53">
        <v>55200</v>
      </c>
      <c r="P5274" s="198" t="s">
        <v>13069</v>
      </c>
    </row>
    <row r="5275" spans="1:16" ht="18.75" hidden="1">
      <c r="A5275" s="50" t="str">
        <f>"50100-10178081"</f>
        <v>50100-10178081</v>
      </c>
      <c r="B5275" s="50" t="str">
        <f>"97/02/13"</f>
        <v>97/02/13</v>
      </c>
      <c r="C5275" s="50" t="s">
        <v>13551</v>
      </c>
      <c r="D5275" s="12" t="s">
        <v>13552</v>
      </c>
      <c r="E5275" s="12" t="s">
        <v>13333</v>
      </c>
      <c r="F5275" s="49">
        <v>491023</v>
      </c>
      <c r="G5275" s="77" t="s">
        <v>6300</v>
      </c>
      <c r="H5275" s="14" t="str">
        <f t="shared" si="145"/>
        <v>true</v>
      </c>
      <c r="I5275" s="14" t="s">
        <v>2458</v>
      </c>
      <c r="J5275" s="33" t="s">
        <v>7110</v>
      </c>
      <c r="K5275" s="33" t="s">
        <v>13553</v>
      </c>
      <c r="L5275" s="53" t="str">
        <f>"هند"</f>
        <v>هند</v>
      </c>
      <c r="M5275" s="68" t="str">
        <f t="shared" ref="M5275:M5287" si="146">"بشكه"</f>
        <v>بشكه</v>
      </c>
      <c r="N5275" s="53" t="str">
        <f t="shared" ref="N5275:N5338" si="147">"منطقه ويژه اقتصادي شهيد رجايي"</f>
        <v>منطقه ويژه اقتصادي شهيد رجايي</v>
      </c>
      <c r="O5275" s="53">
        <v>50100</v>
      </c>
      <c r="P5275" s="198" t="s">
        <v>12937</v>
      </c>
    </row>
    <row r="5276" spans="1:16" ht="18.75" hidden="1">
      <c r="A5276" s="50" t="str">
        <f>"50100-10178453"</f>
        <v>50100-10178453</v>
      </c>
      <c r="B5276" s="50" t="str">
        <f>"97/02/13"</f>
        <v>97/02/13</v>
      </c>
      <c r="C5276" s="50" t="s">
        <v>13554</v>
      </c>
      <c r="D5276" s="12" t="s">
        <v>13552</v>
      </c>
      <c r="E5276" s="12" t="s">
        <v>13333</v>
      </c>
      <c r="F5276" s="49">
        <v>982120</v>
      </c>
      <c r="G5276" s="77" t="s">
        <v>6298</v>
      </c>
      <c r="H5276" s="14" t="str">
        <f t="shared" si="145"/>
        <v>true</v>
      </c>
      <c r="I5276" s="14" t="s">
        <v>2458</v>
      </c>
      <c r="J5276" s="33" t="s">
        <v>7110</v>
      </c>
      <c r="K5276" s="33" t="s">
        <v>13553</v>
      </c>
      <c r="L5276" s="53" t="s">
        <v>13555</v>
      </c>
      <c r="M5276" s="68" t="str">
        <f t="shared" si="146"/>
        <v>بشكه</v>
      </c>
      <c r="N5276" s="53" t="str">
        <f t="shared" si="147"/>
        <v>منطقه ويژه اقتصادي شهيد رجايي</v>
      </c>
      <c r="O5276" s="53">
        <v>50101</v>
      </c>
      <c r="P5276" s="198" t="s">
        <v>12934</v>
      </c>
    </row>
    <row r="5277" spans="1:16" ht="18.75" hidden="1">
      <c r="A5277" s="50" t="str">
        <f>"50100-10164880"</f>
        <v>50100-10164880</v>
      </c>
      <c r="B5277" s="50" t="str">
        <f>"97/02/09"</f>
        <v>97/02/09</v>
      </c>
      <c r="C5277" s="50" t="s">
        <v>13556</v>
      </c>
      <c r="D5277" s="12" t="s">
        <v>13552</v>
      </c>
      <c r="E5277" s="12" t="s">
        <v>13333</v>
      </c>
      <c r="F5277" s="49">
        <v>494721</v>
      </c>
      <c r="G5277" s="77" t="s">
        <v>6298</v>
      </c>
      <c r="H5277" s="14" t="str">
        <f t="shared" si="145"/>
        <v>true</v>
      </c>
      <c r="I5277" s="14" t="s">
        <v>2458</v>
      </c>
      <c r="J5277" s="33" t="s">
        <v>7110</v>
      </c>
      <c r="K5277" s="33" t="s">
        <v>13553</v>
      </c>
      <c r="L5277" s="53" t="str">
        <f>"هند"</f>
        <v>هند</v>
      </c>
      <c r="M5277" s="68" t="str">
        <f t="shared" si="146"/>
        <v>بشكه</v>
      </c>
      <c r="N5277" s="53" t="str">
        <f t="shared" si="147"/>
        <v>منطقه ويژه اقتصادي شهيد رجايي</v>
      </c>
      <c r="O5277" s="53">
        <v>50100</v>
      </c>
      <c r="P5277" s="198" t="s">
        <v>12934</v>
      </c>
    </row>
    <row r="5278" spans="1:16" ht="18.75" hidden="1">
      <c r="A5278" s="50" t="str">
        <f>"50100-10177995"</f>
        <v>50100-10177995</v>
      </c>
      <c r="B5278" s="50" t="str">
        <f>"97/02/13"</f>
        <v>97/02/13</v>
      </c>
      <c r="C5278" s="50" t="s">
        <v>13557</v>
      </c>
      <c r="D5278" s="12" t="s">
        <v>13473</v>
      </c>
      <c r="E5278" s="12" t="s">
        <v>13333</v>
      </c>
      <c r="F5278" s="49">
        <v>981130</v>
      </c>
      <c r="G5278" s="77" t="s">
        <v>6298</v>
      </c>
      <c r="H5278" s="14" t="str">
        <f t="shared" si="145"/>
        <v>true</v>
      </c>
      <c r="I5278" s="14" t="s">
        <v>2458</v>
      </c>
      <c r="J5278" s="33" t="s">
        <v>7110</v>
      </c>
      <c r="K5278" s="33" t="s">
        <v>13553</v>
      </c>
      <c r="L5278" s="53" t="str">
        <f>"چين"</f>
        <v>چين</v>
      </c>
      <c r="M5278" s="68" t="str">
        <f t="shared" si="146"/>
        <v>بشكه</v>
      </c>
      <c r="N5278" s="53" t="str">
        <f t="shared" si="147"/>
        <v>منطقه ويژه اقتصادي شهيد رجايي</v>
      </c>
      <c r="O5278" s="53">
        <v>50100</v>
      </c>
      <c r="P5278" s="198" t="s">
        <v>12934</v>
      </c>
    </row>
    <row r="5279" spans="1:16" ht="18.75" hidden="1">
      <c r="A5279" s="50" t="str">
        <f>"50100-10144690"</f>
        <v>50100-10144690</v>
      </c>
      <c r="B5279" s="50" t="str">
        <f>"97/02/04"</f>
        <v>97/02/04</v>
      </c>
      <c r="C5279" s="50" t="s">
        <v>13558</v>
      </c>
      <c r="D5279" s="12" t="s">
        <v>12525</v>
      </c>
      <c r="E5279" s="12" t="s">
        <v>4971</v>
      </c>
      <c r="F5279" s="49">
        <v>118124</v>
      </c>
      <c r="G5279" s="77" t="str">
        <f>"DAXON PETROLEUM"</f>
        <v>DAXON PETROLEUM</v>
      </c>
      <c r="H5279" s="14" t="str">
        <f t="shared" si="145"/>
        <v>true</v>
      </c>
      <c r="I5279" s="14" t="s">
        <v>2458</v>
      </c>
      <c r="J5279" s="33" t="s">
        <v>7110</v>
      </c>
      <c r="K5279" s="33" t="s">
        <v>13553</v>
      </c>
      <c r="L5279" s="53" t="str">
        <f>"هند"</f>
        <v>هند</v>
      </c>
      <c r="M5279" s="68" t="str">
        <f t="shared" si="146"/>
        <v>بشكه</v>
      </c>
      <c r="N5279" s="53" t="str">
        <f t="shared" si="147"/>
        <v>منطقه ويژه اقتصادي شهيد رجايي</v>
      </c>
      <c r="O5279" s="53">
        <v>50100</v>
      </c>
      <c r="P5279" s="198" t="str">
        <f>"1396538726001"</f>
        <v>1396538726001</v>
      </c>
    </row>
    <row r="5280" spans="1:16" ht="18.75" hidden="1">
      <c r="A5280" s="50" t="str">
        <f>"50100-10144690"</f>
        <v>50100-10144690</v>
      </c>
      <c r="B5280" s="50" t="str">
        <f>"97/02/04"</f>
        <v>97/02/04</v>
      </c>
      <c r="C5280" s="50" t="s">
        <v>13559</v>
      </c>
      <c r="D5280" s="12" t="s">
        <v>12530</v>
      </c>
      <c r="E5280" s="12" t="s">
        <v>4971</v>
      </c>
      <c r="F5280" s="49">
        <v>203466</v>
      </c>
      <c r="G5280" s="77" t="str">
        <f>"DAXON PETROLEUM"</f>
        <v>DAXON PETROLEUM</v>
      </c>
      <c r="H5280" s="14" t="str">
        <f t="shared" si="145"/>
        <v>true</v>
      </c>
      <c r="I5280" s="14" t="s">
        <v>2458</v>
      </c>
      <c r="J5280" s="33" t="s">
        <v>7110</v>
      </c>
      <c r="K5280" s="33" t="s">
        <v>13553</v>
      </c>
      <c r="L5280" s="53" t="str">
        <f>"هند"</f>
        <v>هند</v>
      </c>
      <c r="M5280" s="68" t="str">
        <f t="shared" si="146"/>
        <v>بشكه</v>
      </c>
      <c r="N5280" s="53" t="str">
        <f t="shared" si="147"/>
        <v>منطقه ويژه اقتصادي شهيد رجايي</v>
      </c>
      <c r="O5280" s="53">
        <v>50100</v>
      </c>
      <c r="P5280" s="198" t="str">
        <f>"1396538726001"</f>
        <v>1396538726001</v>
      </c>
    </row>
    <row r="5281" spans="1:16" ht="18.75" hidden="1">
      <c r="A5281" s="50" t="str">
        <f>"50100-10164508"</f>
        <v>50100-10164508</v>
      </c>
      <c r="B5281" s="50" t="str">
        <f>"97/02/09"</f>
        <v>97/02/09</v>
      </c>
      <c r="C5281" s="50" t="s">
        <v>13560</v>
      </c>
      <c r="D5281" s="12" t="s">
        <v>12525</v>
      </c>
      <c r="E5281" s="12" t="s">
        <v>4971</v>
      </c>
      <c r="F5281" s="49">
        <v>249920</v>
      </c>
      <c r="G5281" s="77" t="str">
        <f>"SHINING GREEN STAR FZE"</f>
        <v>SHINING GREEN STAR FZE</v>
      </c>
      <c r="H5281" s="14" t="str">
        <f t="shared" si="145"/>
        <v>true</v>
      </c>
      <c r="I5281" s="14" t="s">
        <v>2458</v>
      </c>
      <c r="J5281" s="33" t="s">
        <v>7110</v>
      </c>
      <c r="K5281" s="33" t="s">
        <v>13553</v>
      </c>
      <c r="L5281" s="53" t="str">
        <f>" ميانمار"</f>
        <v xml:space="preserve"> ميانمار</v>
      </c>
      <c r="M5281" s="68" t="str">
        <f t="shared" si="146"/>
        <v>بشكه</v>
      </c>
      <c r="N5281" s="53" t="str">
        <f t="shared" si="147"/>
        <v>منطقه ويژه اقتصادي شهيد رجايي</v>
      </c>
      <c r="O5281" s="53">
        <v>50100</v>
      </c>
      <c r="P5281" s="198" t="str">
        <f>"1396534602001"</f>
        <v>1396534602001</v>
      </c>
    </row>
    <row r="5282" spans="1:16" ht="18.75" hidden="1">
      <c r="A5282" s="50" t="str">
        <f>"50100-10144690"</f>
        <v>50100-10144690</v>
      </c>
      <c r="B5282" s="50" t="str">
        <f>"97/02/04"</f>
        <v>97/02/04</v>
      </c>
      <c r="C5282" s="50" t="s">
        <v>13561</v>
      </c>
      <c r="D5282" s="12" t="s">
        <v>12695</v>
      </c>
      <c r="E5282" s="12" t="s">
        <v>4971</v>
      </c>
      <c r="F5282" s="49">
        <v>170000</v>
      </c>
      <c r="G5282" s="77" t="str">
        <f>"DAXON PETROLEUM"</f>
        <v>DAXON PETROLEUM</v>
      </c>
      <c r="H5282" s="14" t="str">
        <f t="shared" si="145"/>
        <v>true</v>
      </c>
      <c r="I5282" s="14" t="s">
        <v>2458</v>
      </c>
      <c r="J5282" s="33" t="s">
        <v>7110</v>
      </c>
      <c r="K5282" s="33" t="s">
        <v>13553</v>
      </c>
      <c r="L5282" s="53" t="str">
        <f>"هند"</f>
        <v>هند</v>
      </c>
      <c r="M5282" s="68" t="str">
        <f t="shared" si="146"/>
        <v>بشكه</v>
      </c>
      <c r="N5282" s="53" t="str">
        <f t="shared" si="147"/>
        <v>منطقه ويژه اقتصادي شهيد رجايي</v>
      </c>
      <c r="O5282" s="53">
        <v>50100</v>
      </c>
      <c r="P5282" s="198" t="str">
        <f>"1396538724001"</f>
        <v>1396538724001</v>
      </c>
    </row>
    <row r="5283" spans="1:16" ht="18.75" hidden="1">
      <c r="A5283" s="50" t="str">
        <f>"50100-10183002"</f>
        <v>50100-10183002</v>
      </c>
      <c r="B5283" s="50" t="str">
        <f>"97/02/15"</f>
        <v>97/02/15</v>
      </c>
      <c r="C5283" s="50" t="s">
        <v>13562</v>
      </c>
      <c r="D5283" s="12" t="s">
        <v>13563</v>
      </c>
      <c r="E5283" s="12" t="s">
        <v>13333</v>
      </c>
      <c r="F5283" s="49">
        <v>380000</v>
      </c>
      <c r="G5283" s="77" t="s">
        <v>6300</v>
      </c>
      <c r="H5283" s="14" t="str">
        <f t="shared" si="145"/>
        <v>true</v>
      </c>
      <c r="I5283" s="14" t="s">
        <v>2458</v>
      </c>
      <c r="J5283" s="33" t="s">
        <v>7110</v>
      </c>
      <c r="K5283" s="33" t="s">
        <v>13553</v>
      </c>
      <c r="L5283" s="53" t="str">
        <f>"سودان"</f>
        <v>سودان</v>
      </c>
      <c r="M5283" s="68" t="str">
        <f t="shared" si="146"/>
        <v>بشكه</v>
      </c>
      <c r="N5283" s="53" t="str">
        <f t="shared" si="147"/>
        <v>منطقه ويژه اقتصادي شهيد رجايي</v>
      </c>
      <c r="O5283" s="53">
        <v>50100</v>
      </c>
      <c r="P5283" s="198" t="s">
        <v>12678</v>
      </c>
    </row>
    <row r="5284" spans="1:16" ht="18.75" hidden="1">
      <c r="A5284" s="50" t="str">
        <f>"50100-10162563"</f>
        <v>50100-10162563</v>
      </c>
      <c r="B5284" s="50" t="str">
        <f>"97/02/09"</f>
        <v>97/02/09</v>
      </c>
      <c r="C5284" s="50" t="s">
        <v>13398</v>
      </c>
      <c r="D5284" s="12" t="s">
        <v>12829</v>
      </c>
      <c r="E5284" s="12" t="s">
        <v>4971</v>
      </c>
      <c r="F5284" s="49">
        <v>184834</v>
      </c>
      <c r="G5284" s="77" t="str">
        <f>"SHINING GREEN STAR FZE"</f>
        <v>SHINING GREEN STAR FZE</v>
      </c>
      <c r="H5284" s="14" t="str">
        <f t="shared" si="145"/>
        <v>true</v>
      </c>
      <c r="I5284" s="14" t="s">
        <v>2458</v>
      </c>
      <c r="J5284" s="33" t="s">
        <v>7110</v>
      </c>
      <c r="K5284" s="33" t="s">
        <v>13553</v>
      </c>
      <c r="L5284" s="53" t="str">
        <f>" ميانمار"</f>
        <v xml:space="preserve"> ميانمار</v>
      </c>
      <c r="M5284" s="68" t="str">
        <f t="shared" si="146"/>
        <v>بشكه</v>
      </c>
      <c r="N5284" s="53" t="str">
        <f t="shared" si="147"/>
        <v>منطقه ويژه اقتصادي شهيد رجايي</v>
      </c>
      <c r="O5284" s="53">
        <v>50100</v>
      </c>
      <c r="P5284" s="198" t="str">
        <f>"1396534602001"</f>
        <v>1396534602001</v>
      </c>
    </row>
    <row r="5285" spans="1:16" ht="18.75" hidden="1">
      <c r="A5285" s="50" t="str">
        <f>"50100-10162563"</f>
        <v>50100-10162563</v>
      </c>
      <c r="B5285" s="50" t="str">
        <f>"97/02/09"</f>
        <v>97/02/09</v>
      </c>
      <c r="C5285" s="50" t="s">
        <v>13564</v>
      </c>
      <c r="D5285" s="12" t="s">
        <v>12477</v>
      </c>
      <c r="E5285" s="12" t="s">
        <v>4971</v>
      </c>
      <c r="F5285" s="49">
        <v>113761</v>
      </c>
      <c r="G5285" s="77" t="str">
        <f>"SHINING GREEN STAR FZE"</f>
        <v>SHINING GREEN STAR FZE</v>
      </c>
      <c r="H5285" s="14" t="str">
        <f t="shared" si="145"/>
        <v>true</v>
      </c>
      <c r="I5285" s="14" t="s">
        <v>2458</v>
      </c>
      <c r="J5285" s="33" t="s">
        <v>7110</v>
      </c>
      <c r="K5285" s="33" t="s">
        <v>13553</v>
      </c>
      <c r="L5285" s="53" t="str">
        <f>" ميانمار"</f>
        <v xml:space="preserve"> ميانمار</v>
      </c>
      <c r="M5285" s="68" t="str">
        <f t="shared" si="146"/>
        <v>بشكه</v>
      </c>
      <c r="N5285" s="53" t="str">
        <f t="shared" si="147"/>
        <v>منطقه ويژه اقتصادي شهيد رجايي</v>
      </c>
      <c r="O5285" s="53">
        <v>50100</v>
      </c>
      <c r="P5285" s="198" t="str">
        <f>"1396534602001"</f>
        <v>1396534602001</v>
      </c>
    </row>
    <row r="5286" spans="1:16" ht="18.75" hidden="1">
      <c r="A5286" s="50" t="str">
        <f>"50100-10134659"</f>
        <v>50100-10134659</v>
      </c>
      <c r="B5286" s="50" t="str">
        <f>"97/02/02"</f>
        <v>97/02/02</v>
      </c>
      <c r="C5286" s="50" t="s">
        <v>13565</v>
      </c>
      <c r="D5286" s="12" t="s">
        <v>12542</v>
      </c>
      <c r="E5286" s="12" t="s">
        <v>4971</v>
      </c>
      <c r="F5286" s="49">
        <v>118240</v>
      </c>
      <c r="G5286" s="77" t="str">
        <f>"LLC Sebco Bitumen"</f>
        <v>LLC Sebco Bitumen</v>
      </c>
      <c r="H5286" s="14" t="str">
        <f t="shared" si="145"/>
        <v>true</v>
      </c>
      <c r="I5286" s="14" t="s">
        <v>2458</v>
      </c>
      <c r="J5286" s="33" t="s">
        <v>7110</v>
      </c>
      <c r="K5286" s="33" t="s">
        <v>13553</v>
      </c>
      <c r="L5286" s="53" t="str">
        <f>"تانزانيا"</f>
        <v>تانزانيا</v>
      </c>
      <c r="M5286" s="68" t="str">
        <f t="shared" si="146"/>
        <v>بشكه</v>
      </c>
      <c r="N5286" s="53" t="str">
        <f t="shared" si="147"/>
        <v>منطقه ويژه اقتصادي شهيد رجايي</v>
      </c>
      <c r="O5286" s="53">
        <v>50100</v>
      </c>
      <c r="P5286" s="198" t="str">
        <f>"1396540546001"</f>
        <v>1396540546001</v>
      </c>
    </row>
    <row r="5287" spans="1:16" ht="18.75" hidden="1">
      <c r="A5287" s="50" t="str">
        <f>"50100-10134659"</f>
        <v>50100-10134659</v>
      </c>
      <c r="B5287" s="50" t="str">
        <f>"97/02/02"</f>
        <v>97/02/02</v>
      </c>
      <c r="C5287" s="50" t="s">
        <v>13566</v>
      </c>
      <c r="D5287" s="12" t="s">
        <v>12695</v>
      </c>
      <c r="E5287" s="12" t="s">
        <v>4971</v>
      </c>
      <c r="F5287" s="49">
        <v>81960</v>
      </c>
      <c r="G5287" s="77" t="str">
        <f>"LLC Sebco Bitumen"</f>
        <v>LLC Sebco Bitumen</v>
      </c>
      <c r="H5287" s="14" t="str">
        <f t="shared" si="145"/>
        <v>true</v>
      </c>
      <c r="I5287" s="14" t="s">
        <v>2458</v>
      </c>
      <c r="J5287" s="33" t="s">
        <v>7110</v>
      </c>
      <c r="K5287" s="33" t="s">
        <v>13553</v>
      </c>
      <c r="L5287" s="53" t="str">
        <f>"تانزانيا"</f>
        <v>تانزانيا</v>
      </c>
      <c r="M5287" s="68" t="str">
        <f t="shared" si="146"/>
        <v>بشكه</v>
      </c>
      <c r="N5287" s="53" t="str">
        <f t="shared" si="147"/>
        <v>منطقه ويژه اقتصادي شهيد رجايي</v>
      </c>
      <c r="O5287" s="53">
        <v>50100</v>
      </c>
      <c r="P5287" s="198" t="str">
        <f>"1396540546001"</f>
        <v>1396540546001</v>
      </c>
    </row>
    <row r="5288" spans="1:16" ht="18.75" hidden="1">
      <c r="A5288" s="50" t="str">
        <f>"50100-10141029"</f>
        <v>50100-10141029</v>
      </c>
      <c r="B5288" s="50" t="str">
        <f>"97/02/04"</f>
        <v>97/02/04</v>
      </c>
      <c r="C5288" s="50" t="s">
        <v>13567</v>
      </c>
      <c r="D5288" s="12" t="s">
        <v>13568</v>
      </c>
      <c r="E5288" s="12" t="s">
        <v>13333</v>
      </c>
      <c r="F5288" s="49">
        <v>1493484</v>
      </c>
      <c r="G5288" s="77" t="str">
        <f>"PETRO HUB ENERGY FZE"</f>
        <v>PETRO HUB ENERGY FZE</v>
      </c>
      <c r="H5288" s="14" t="str">
        <f t="shared" si="145"/>
        <v>true</v>
      </c>
      <c r="I5288" s="14" t="s">
        <v>2458</v>
      </c>
      <c r="J5288" s="33" t="e">
        <f>VLOOKUP(C5288,شرکتها!A:B,2,FALSE)</f>
        <v>#N/A</v>
      </c>
      <c r="K5288" s="33" t="s">
        <v>13553</v>
      </c>
      <c r="L5288" s="53" t="str">
        <f>"قطر"</f>
        <v>قطر</v>
      </c>
      <c r="M5288" s="68" t="s">
        <v>8913</v>
      </c>
      <c r="N5288" s="53" t="str">
        <f t="shared" si="147"/>
        <v>منطقه ويژه اقتصادي شهيد رجايي</v>
      </c>
      <c r="O5288" s="53">
        <v>50100</v>
      </c>
      <c r="P5288" s="198" t="str">
        <f>"1397561874001"</f>
        <v>1397561874001</v>
      </c>
    </row>
    <row r="5289" spans="1:16" ht="18.75" hidden="1">
      <c r="A5289" s="50" t="str">
        <f>"50100-10164508"</f>
        <v>50100-10164508</v>
      </c>
      <c r="B5289" s="50" t="str">
        <f>"97/02/09"</f>
        <v>97/02/09</v>
      </c>
      <c r="C5289" s="50" t="s">
        <v>13569</v>
      </c>
      <c r="D5289" s="12" t="s">
        <v>13266</v>
      </c>
      <c r="E5289" s="12" t="s">
        <v>13333</v>
      </c>
      <c r="F5289" s="49">
        <v>257641</v>
      </c>
      <c r="G5289" s="77" t="str">
        <f>"SHINING GREEN STAR FZE"</f>
        <v>SHINING GREEN STAR FZE</v>
      </c>
      <c r="H5289" s="14" t="str">
        <f t="shared" si="145"/>
        <v>true</v>
      </c>
      <c r="I5289" s="14" t="s">
        <v>2458</v>
      </c>
      <c r="J5289" s="33" t="e">
        <f>VLOOKUP(C5289,شرکتها!A:B,2,FALSE)</f>
        <v>#N/A</v>
      </c>
      <c r="K5289" s="33" t="s">
        <v>13553</v>
      </c>
      <c r="L5289" s="53" t="str">
        <f>" ميانمار"</f>
        <v xml:space="preserve"> ميانمار</v>
      </c>
      <c r="M5289" s="68" t="str">
        <f t="shared" ref="M5289:M5294" si="148">"بشكه"</f>
        <v>بشكه</v>
      </c>
      <c r="N5289" s="53" t="str">
        <f t="shared" si="147"/>
        <v>منطقه ويژه اقتصادي شهيد رجايي</v>
      </c>
      <c r="O5289" s="53">
        <v>50100</v>
      </c>
      <c r="P5289" s="198" t="str">
        <f>"1396548703001"</f>
        <v>1396548703001</v>
      </c>
    </row>
    <row r="5290" spans="1:16" ht="18.75" hidden="1">
      <c r="A5290" s="50" t="str">
        <f>"50100-10134548"</f>
        <v>50100-10134548</v>
      </c>
      <c r="B5290" s="50" t="str">
        <f>"97/02/02"</f>
        <v>97/02/02</v>
      </c>
      <c r="C5290" s="50" t="s">
        <v>13570</v>
      </c>
      <c r="D5290" s="12" t="s">
        <v>12542</v>
      </c>
      <c r="E5290" s="12" t="s">
        <v>4971</v>
      </c>
      <c r="F5290" s="49">
        <v>199240</v>
      </c>
      <c r="G5290" s="77" t="str">
        <f>"LLC Sebco Bitumen"</f>
        <v>LLC Sebco Bitumen</v>
      </c>
      <c r="H5290" s="14" t="str">
        <f t="shared" si="145"/>
        <v>true</v>
      </c>
      <c r="I5290" s="14" t="s">
        <v>2458</v>
      </c>
      <c r="J5290" s="33" t="s">
        <v>7110</v>
      </c>
      <c r="K5290" s="33" t="s">
        <v>13553</v>
      </c>
      <c r="L5290" s="53" t="str">
        <f>"تانزانيا"</f>
        <v>تانزانيا</v>
      </c>
      <c r="M5290" s="68" t="str">
        <f t="shared" si="148"/>
        <v>بشكه</v>
      </c>
      <c r="N5290" s="53" t="str">
        <f t="shared" si="147"/>
        <v>منطقه ويژه اقتصادي شهيد رجايي</v>
      </c>
      <c r="O5290" s="53">
        <v>50100</v>
      </c>
      <c r="P5290" s="198" t="str">
        <f>"1396540546001"</f>
        <v>1396540546001</v>
      </c>
    </row>
    <row r="5291" spans="1:16" ht="18.75" hidden="1">
      <c r="A5291" s="50" t="str">
        <f>"50100-10164691"</f>
        <v>50100-10164691</v>
      </c>
      <c r="B5291" s="50" t="str">
        <f>"97/02/09"</f>
        <v>97/02/09</v>
      </c>
      <c r="C5291" s="50" t="s">
        <v>13571</v>
      </c>
      <c r="D5291" s="12" t="s">
        <v>13375</v>
      </c>
      <c r="E5291" s="12" t="s">
        <v>4971</v>
      </c>
      <c r="F5291" s="49">
        <v>153915</v>
      </c>
      <c r="G5291" s="77" t="str">
        <f>"AL MASAR PETROLUME L.L.C"</f>
        <v>AL MASAR PETROLUME L.L.C</v>
      </c>
      <c r="H5291" s="14" t="str">
        <f t="shared" si="145"/>
        <v>true</v>
      </c>
      <c r="I5291" s="14" t="s">
        <v>2458</v>
      </c>
      <c r="J5291" s="33" t="e">
        <f>VLOOKUP(C5291,شرکتها!A:B,2,FALSE)</f>
        <v>#N/A</v>
      </c>
      <c r="K5291" s="33" t="s">
        <v>13553</v>
      </c>
      <c r="L5291" s="53" t="str">
        <f>"بنگلادش"</f>
        <v>بنگلادش</v>
      </c>
      <c r="M5291" s="68" t="str">
        <f t="shared" si="148"/>
        <v>بشكه</v>
      </c>
      <c r="N5291" s="53" t="str">
        <f t="shared" si="147"/>
        <v>منطقه ويژه اقتصادي شهيد رجايي</v>
      </c>
      <c r="O5291" s="53">
        <v>50100</v>
      </c>
      <c r="P5291" s="198" t="str">
        <f>"1396536910001"</f>
        <v>1396536910001</v>
      </c>
    </row>
    <row r="5292" spans="1:16" ht="18.75" hidden="1">
      <c r="A5292" s="50" t="str">
        <f>"50100-10158648"</f>
        <v>50100-10158648</v>
      </c>
      <c r="B5292" s="50" t="str">
        <f>"97/02/08"</f>
        <v>97/02/08</v>
      </c>
      <c r="C5292" s="50" t="s">
        <v>13399</v>
      </c>
      <c r="D5292" s="12" t="s">
        <v>12525</v>
      </c>
      <c r="E5292" s="12" t="s">
        <v>4971</v>
      </c>
      <c r="F5292" s="49">
        <v>52542</v>
      </c>
      <c r="G5292" s="77" t="str">
        <f>"PETRO HUB ENERGY FZE"</f>
        <v>PETRO HUB ENERGY FZE</v>
      </c>
      <c r="H5292" s="14" t="str">
        <f t="shared" si="145"/>
        <v>true</v>
      </c>
      <c r="I5292" s="14" t="s">
        <v>2458</v>
      </c>
      <c r="J5292" s="33" t="s">
        <v>7110</v>
      </c>
      <c r="K5292" s="33" t="s">
        <v>13553</v>
      </c>
      <c r="L5292" s="53" t="str">
        <f>"بنگلادش"</f>
        <v>بنگلادش</v>
      </c>
      <c r="M5292" s="68" t="str">
        <f t="shared" si="148"/>
        <v>بشكه</v>
      </c>
      <c r="N5292" s="53" t="str">
        <f t="shared" si="147"/>
        <v>منطقه ويژه اقتصادي شهيد رجايي</v>
      </c>
      <c r="O5292" s="53">
        <v>50100</v>
      </c>
      <c r="P5292" s="198" t="str">
        <f>"1396517982001"</f>
        <v>1396517982001</v>
      </c>
    </row>
    <row r="5293" spans="1:16" ht="18.75" hidden="1">
      <c r="A5293" s="50" t="str">
        <f>"50100-10134548"</f>
        <v>50100-10134548</v>
      </c>
      <c r="B5293" s="50" t="str">
        <f>"97/02/02"</f>
        <v>97/02/02</v>
      </c>
      <c r="C5293" s="50" t="s">
        <v>13565</v>
      </c>
      <c r="D5293" s="12" t="s">
        <v>12542</v>
      </c>
      <c r="E5293" s="12" t="s">
        <v>4971</v>
      </c>
      <c r="F5293" s="49">
        <v>21760</v>
      </c>
      <c r="G5293" s="77" t="str">
        <f>"LLC Sebco Bitumen"</f>
        <v>LLC Sebco Bitumen</v>
      </c>
      <c r="H5293" s="14" t="str">
        <f t="shared" si="145"/>
        <v>true</v>
      </c>
      <c r="I5293" s="14" t="s">
        <v>2458</v>
      </c>
      <c r="J5293" s="33" t="s">
        <v>7110</v>
      </c>
      <c r="K5293" s="33" t="s">
        <v>13553</v>
      </c>
      <c r="L5293" s="53" t="str">
        <f>"تانزانيا"</f>
        <v>تانزانيا</v>
      </c>
      <c r="M5293" s="68" t="str">
        <f t="shared" si="148"/>
        <v>بشكه</v>
      </c>
      <c r="N5293" s="53" t="str">
        <f t="shared" si="147"/>
        <v>منطقه ويژه اقتصادي شهيد رجايي</v>
      </c>
      <c r="O5293" s="53">
        <v>50100</v>
      </c>
      <c r="P5293" s="198" t="str">
        <f>"1396540546001"</f>
        <v>1396540546001</v>
      </c>
    </row>
    <row r="5294" spans="1:16" ht="18.75" hidden="1">
      <c r="A5294" s="50" t="str">
        <f>"50100-10158648"</f>
        <v>50100-10158648</v>
      </c>
      <c r="B5294" s="50" t="str">
        <f>"97/02/08"</f>
        <v>97/02/08</v>
      </c>
      <c r="C5294" s="50" t="s">
        <v>13572</v>
      </c>
      <c r="D5294" s="12" t="s">
        <v>13343</v>
      </c>
      <c r="E5294" s="12" t="s">
        <v>13333</v>
      </c>
      <c r="F5294" s="49">
        <v>452196</v>
      </c>
      <c r="G5294" s="77" t="str">
        <f>"Black Gold Traders FZE"</f>
        <v>Black Gold Traders FZE</v>
      </c>
      <c r="H5294" s="14" t="str">
        <f t="shared" si="145"/>
        <v>true</v>
      </c>
      <c r="I5294" s="14" t="s">
        <v>2458</v>
      </c>
      <c r="J5294" s="33" t="s">
        <v>7110</v>
      </c>
      <c r="K5294" s="33" t="s">
        <v>13553</v>
      </c>
      <c r="L5294" s="53" t="str">
        <f>"بنگلادش"</f>
        <v>بنگلادش</v>
      </c>
      <c r="M5294" s="68" t="str">
        <f t="shared" si="148"/>
        <v>بشكه</v>
      </c>
      <c r="N5294" s="53" t="str">
        <f t="shared" si="147"/>
        <v>منطقه ويژه اقتصادي شهيد رجايي</v>
      </c>
      <c r="O5294" s="53">
        <v>50100</v>
      </c>
      <c r="P5294" s="198" t="str">
        <f>"1396529909001"</f>
        <v>1396529909001</v>
      </c>
    </row>
    <row r="5295" spans="1:16" ht="18.75" hidden="1">
      <c r="A5295" s="50" t="str">
        <f>"50100-10126054"</f>
        <v>50100-10126054</v>
      </c>
      <c r="B5295" s="50" t="str">
        <f>"97/02/01"</f>
        <v>97/02/01</v>
      </c>
      <c r="C5295" s="50" t="s">
        <v>13573</v>
      </c>
      <c r="D5295" s="12" t="s">
        <v>13390</v>
      </c>
      <c r="E5295" s="12" t="s">
        <v>13333</v>
      </c>
      <c r="F5295" s="49">
        <v>3092156</v>
      </c>
      <c r="G5295" s="77" t="str">
        <f>"AL MASAR PETROLUME L.L.C"</f>
        <v>AL MASAR PETROLUME L.L.C</v>
      </c>
      <c r="H5295" s="14" t="str">
        <f t="shared" si="145"/>
        <v>true</v>
      </c>
      <c r="I5295" s="14" t="s">
        <v>2458</v>
      </c>
      <c r="J5295" s="33" t="e">
        <f>VLOOKUP(C5295,شرکتها!A:B,2,FALSE)</f>
        <v>#N/A</v>
      </c>
      <c r="K5295" s="33" t="s">
        <v>13553</v>
      </c>
      <c r="L5295" s="53" t="str">
        <f>"قطر"</f>
        <v>قطر</v>
      </c>
      <c r="M5295" s="68" t="str">
        <f>"فله"</f>
        <v>فله</v>
      </c>
      <c r="N5295" s="53" t="str">
        <f t="shared" si="147"/>
        <v>منطقه ويژه اقتصادي شهيد رجايي</v>
      </c>
      <c r="O5295" s="53">
        <v>50100</v>
      </c>
      <c r="P5295" s="198" t="str">
        <f>"1397560052001"</f>
        <v>1397560052001</v>
      </c>
    </row>
    <row r="5296" spans="1:16" ht="18.75" hidden="1">
      <c r="A5296" s="50" t="str">
        <f>"50100-10164691"</f>
        <v>50100-10164691</v>
      </c>
      <c r="B5296" s="50" t="str">
        <f>"97/02/09"</f>
        <v>97/02/09</v>
      </c>
      <c r="C5296" s="50" t="s">
        <v>13374</v>
      </c>
      <c r="D5296" s="12" t="s">
        <v>13375</v>
      </c>
      <c r="E5296" s="12" t="s">
        <v>4971</v>
      </c>
      <c r="F5296" s="49">
        <v>13246</v>
      </c>
      <c r="G5296" s="77" t="str">
        <f>"AL MASAR PETROLUME L.L.C"</f>
        <v>AL MASAR PETROLUME L.L.C</v>
      </c>
      <c r="H5296" s="14" t="str">
        <f t="shared" si="145"/>
        <v>true</v>
      </c>
      <c r="I5296" s="14" t="s">
        <v>2458</v>
      </c>
      <c r="J5296" s="33" t="e">
        <f>VLOOKUP(C5296,شرکتها!A:B,2,FALSE)</f>
        <v>#N/A</v>
      </c>
      <c r="K5296" s="33" t="s">
        <v>13553</v>
      </c>
      <c r="L5296" s="53" t="str">
        <f>"بنگلادش"</f>
        <v>بنگلادش</v>
      </c>
      <c r="M5296" s="68" t="str">
        <f>"بشكه"</f>
        <v>بشكه</v>
      </c>
      <c r="N5296" s="53" t="str">
        <f t="shared" si="147"/>
        <v>منطقه ويژه اقتصادي شهيد رجايي</v>
      </c>
      <c r="O5296" s="53">
        <v>50100</v>
      </c>
      <c r="P5296" s="198" t="str">
        <f>"1396546035001"</f>
        <v>1396546035001</v>
      </c>
    </row>
    <row r="5297" spans="1:16" ht="18.75" hidden="1">
      <c r="A5297" s="50" t="str">
        <f>"50100-10173913"</f>
        <v>50100-10173913</v>
      </c>
      <c r="B5297" s="50" t="str">
        <f>"97/02/11"</f>
        <v>97/02/11</v>
      </c>
      <c r="C5297" s="50" t="s">
        <v>13574</v>
      </c>
      <c r="D5297" s="12" t="s">
        <v>13575</v>
      </c>
      <c r="E5297" s="12" t="s">
        <v>13333</v>
      </c>
      <c r="F5297" s="49">
        <v>2797834</v>
      </c>
      <c r="G5297" s="77" t="str">
        <f>"AL MASAR PETROLUME L.L.C"</f>
        <v>AL MASAR PETROLUME L.L.C</v>
      </c>
      <c r="H5297" s="14" t="str">
        <f t="shared" si="145"/>
        <v>true</v>
      </c>
      <c r="I5297" s="14" t="s">
        <v>2458</v>
      </c>
      <c r="J5297" s="33" t="e">
        <f>VLOOKUP(C5297,شرکتها!A:B,2,FALSE)</f>
        <v>#N/A</v>
      </c>
      <c r="K5297" s="33" t="s">
        <v>13553</v>
      </c>
      <c r="L5297" s="53" t="str">
        <f>"قطر"</f>
        <v>قطر</v>
      </c>
      <c r="M5297" s="68" t="str">
        <f>"فله"</f>
        <v>فله</v>
      </c>
      <c r="N5297" s="53" t="str">
        <f t="shared" si="147"/>
        <v>منطقه ويژه اقتصادي شهيد رجايي</v>
      </c>
      <c r="O5297" s="53">
        <v>50100</v>
      </c>
      <c r="P5297" s="198" t="str">
        <f>"1397560052001"</f>
        <v>1397560052001</v>
      </c>
    </row>
    <row r="5298" spans="1:16" ht="18.75" hidden="1">
      <c r="A5298" s="50" t="str">
        <f>"50100-10131079"</f>
        <v>50100-10131079</v>
      </c>
      <c r="B5298" s="50" t="str">
        <f>"97/02/02"</f>
        <v>97/02/02</v>
      </c>
      <c r="C5298" s="50" t="s">
        <v>13576</v>
      </c>
      <c r="D5298" s="12" t="s">
        <v>12736</v>
      </c>
      <c r="E5298" s="12" t="s">
        <v>4971</v>
      </c>
      <c r="F5298" s="49">
        <v>9433</v>
      </c>
      <c r="G5298" s="77" t="str">
        <f>"DAXON PETROLEUM"</f>
        <v>DAXON PETROLEUM</v>
      </c>
      <c r="H5298" s="14" t="str">
        <f t="shared" si="145"/>
        <v>true</v>
      </c>
      <c r="I5298" s="14" t="s">
        <v>2458</v>
      </c>
      <c r="J5298" s="33" t="s">
        <v>7110</v>
      </c>
      <c r="K5298" s="33" t="s">
        <v>13553</v>
      </c>
      <c r="L5298" s="53" t="str">
        <f>"هند"</f>
        <v>هند</v>
      </c>
      <c r="M5298" s="68" t="str">
        <f t="shared" ref="M5298:M5327" si="149">"بشكه"</f>
        <v>بشكه</v>
      </c>
      <c r="N5298" s="53" t="str">
        <f t="shared" si="147"/>
        <v>منطقه ويژه اقتصادي شهيد رجايي</v>
      </c>
      <c r="O5298" s="53">
        <v>50100</v>
      </c>
      <c r="P5298" s="198" t="str">
        <f>"1396538726001"</f>
        <v>1396538726001</v>
      </c>
    </row>
    <row r="5299" spans="1:16" ht="18.75" hidden="1">
      <c r="A5299" s="50" t="str">
        <f>"50100-10131079"</f>
        <v>50100-10131079</v>
      </c>
      <c r="B5299" s="50" t="str">
        <f>"97/02/02"</f>
        <v>97/02/02</v>
      </c>
      <c r="C5299" s="50" t="s">
        <v>13577</v>
      </c>
      <c r="D5299" s="12" t="s">
        <v>12525</v>
      </c>
      <c r="E5299" s="12" t="s">
        <v>4971</v>
      </c>
      <c r="F5299" s="49">
        <v>450000</v>
      </c>
      <c r="G5299" s="77" t="str">
        <f>"DAXON PETROLEUM"</f>
        <v>DAXON PETROLEUM</v>
      </c>
      <c r="H5299" s="14" t="str">
        <f t="shared" si="145"/>
        <v>true</v>
      </c>
      <c r="I5299" s="14" t="s">
        <v>2458</v>
      </c>
      <c r="J5299" s="33" t="s">
        <v>7110</v>
      </c>
      <c r="K5299" s="33" t="s">
        <v>13553</v>
      </c>
      <c r="L5299" s="53" t="str">
        <f>"هند"</f>
        <v>هند</v>
      </c>
      <c r="M5299" s="68" t="str">
        <f t="shared" si="149"/>
        <v>بشكه</v>
      </c>
      <c r="N5299" s="53" t="str">
        <f t="shared" si="147"/>
        <v>منطقه ويژه اقتصادي شهيد رجايي</v>
      </c>
      <c r="O5299" s="53">
        <v>50100</v>
      </c>
      <c r="P5299" s="198" t="str">
        <f>"1396538724001"</f>
        <v>1396538724001</v>
      </c>
    </row>
    <row r="5300" spans="1:16" ht="18.75" hidden="1">
      <c r="A5300" s="50" t="str">
        <f>"50100-10164508"</f>
        <v>50100-10164508</v>
      </c>
      <c r="B5300" s="50" t="str">
        <f>"97/02/09"</f>
        <v>97/02/09</v>
      </c>
      <c r="C5300" s="50" t="s">
        <v>13564</v>
      </c>
      <c r="D5300" s="12" t="s">
        <v>12477</v>
      </c>
      <c r="E5300" s="12" t="s">
        <v>4971</v>
      </c>
      <c r="F5300" s="49">
        <v>486239</v>
      </c>
      <c r="G5300" s="77" t="str">
        <f>"SHINING GREEN STAR FZE"</f>
        <v>SHINING GREEN STAR FZE</v>
      </c>
      <c r="H5300" s="14" t="str">
        <f t="shared" si="145"/>
        <v>true</v>
      </c>
      <c r="I5300" s="14" t="s">
        <v>2458</v>
      </c>
      <c r="J5300" s="33" t="s">
        <v>7110</v>
      </c>
      <c r="K5300" s="33" t="s">
        <v>13553</v>
      </c>
      <c r="L5300" s="53" t="str">
        <f>" ميانمار"</f>
        <v xml:space="preserve"> ميانمار</v>
      </c>
      <c r="M5300" s="68" t="str">
        <f t="shared" si="149"/>
        <v>بشكه</v>
      </c>
      <c r="N5300" s="53" t="str">
        <f t="shared" si="147"/>
        <v>منطقه ويژه اقتصادي شهيد رجايي</v>
      </c>
      <c r="O5300" s="53">
        <v>50100</v>
      </c>
      <c r="P5300" s="198" t="str">
        <f>"1396534602001"</f>
        <v>1396534602001</v>
      </c>
    </row>
    <row r="5301" spans="1:16" ht="18.75" hidden="1">
      <c r="A5301" s="50" t="str">
        <f>"50100-10164691"</f>
        <v>50100-10164691</v>
      </c>
      <c r="B5301" s="50" t="str">
        <f>"97/02/09"</f>
        <v>97/02/09</v>
      </c>
      <c r="C5301" s="50" t="s">
        <v>13214</v>
      </c>
      <c r="D5301" s="12" t="s">
        <v>12893</v>
      </c>
      <c r="E5301" s="12" t="s">
        <v>4971</v>
      </c>
      <c r="F5301" s="49">
        <v>30858</v>
      </c>
      <c r="G5301" s="77" t="str">
        <f>"AL MASAR PETROLUME L.L.C"</f>
        <v>AL MASAR PETROLUME L.L.C</v>
      </c>
      <c r="H5301" s="14" t="str">
        <f t="shared" si="145"/>
        <v>true</v>
      </c>
      <c r="I5301" s="14" t="s">
        <v>2458</v>
      </c>
      <c r="J5301" s="33" t="e">
        <f>VLOOKUP(C5301,شرکتها!A:B,2,FALSE)</f>
        <v>#N/A</v>
      </c>
      <c r="K5301" s="33" t="s">
        <v>13553</v>
      </c>
      <c r="L5301" s="53" t="str">
        <f>"بنگلادش"</f>
        <v>بنگلادش</v>
      </c>
      <c r="M5301" s="68" t="str">
        <f t="shared" si="149"/>
        <v>بشكه</v>
      </c>
      <c r="N5301" s="53" t="str">
        <f t="shared" si="147"/>
        <v>منطقه ويژه اقتصادي شهيد رجايي</v>
      </c>
      <c r="O5301" s="53">
        <v>50100</v>
      </c>
      <c r="P5301" s="198" t="str">
        <f>"1396536910001"</f>
        <v>1396536910001</v>
      </c>
    </row>
    <row r="5302" spans="1:16" ht="18.75" hidden="1">
      <c r="A5302" s="50" t="str">
        <f>"50100-10147220"</f>
        <v>50100-10147220</v>
      </c>
      <c r="B5302" s="50" t="str">
        <f>"97/02/05"</f>
        <v>97/02/05</v>
      </c>
      <c r="C5302" s="50" t="s">
        <v>13398</v>
      </c>
      <c r="D5302" s="12" t="s">
        <v>12829</v>
      </c>
      <c r="E5302" s="12" t="s">
        <v>4971</v>
      </c>
      <c r="F5302" s="49">
        <v>38876</v>
      </c>
      <c r="G5302" s="77" t="str">
        <f>"SHINING GREEN STAR FZE"</f>
        <v>SHINING GREEN STAR FZE</v>
      </c>
      <c r="H5302" s="14" t="str">
        <f t="shared" si="145"/>
        <v>true</v>
      </c>
      <c r="I5302" s="14" t="s">
        <v>2458</v>
      </c>
      <c r="J5302" s="33" t="s">
        <v>7110</v>
      </c>
      <c r="K5302" s="33" t="s">
        <v>13553</v>
      </c>
      <c r="L5302" s="53" t="str">
        <f>"کنيا"</f>
        <v>کنيا</v>
      </c>
      <c r="M5302" s="68" t="str">
        <f t="shared" si="149"/>
        <v>بشكه</v>
      </c>
      <c r="N5302" s="53" t="str">
        <f t="shared" si="147"/>
        <v>منطقه ويژه اقتصادي شهيد رجايي</v>
      </c>
      <c r="O5302" s="53">
        <v>50100</v>
      </c>
      <c r="P5302" s="198" t="str">
        <f>"1396534602001"</f>
        <v>1396534602001</v>
      </c>
    </row>
    <row r="5303" spans="1:16" ht="18.75" hidden="1">
      <c r="A5303" s="50" t="str">
        <f>"50100-10131079"</f>
        <v>50100-10131079</v>
      </c>
      <c r="B5303" s="50" t="str">
        <f>"97/02/02"</f>
        <v>97/02/02</v>
      </c>
      <c r="C5303" s="50" t="s">
        <v>13383</v>
      </c>
      <c r="D5303" s="12" t="s">
        <v>12525</v>
      </c>
      <c r="E5303" s="12" t="s">
        <v>4971</v>
      </c>
      <c r="F5303" s="49">
        <v>50000</v>
      </c>
      <c r="G5303" s="77" t="str">
        <f>"DAXON PETROLEUM"</f>
        <v>DAXON PETROLEUM</v>
      </c>
      <c r="H5303" s="14" t="str">
        <f t="shared" si="145"/>
        <v>true</v>
      </c>
      <c r="I5303" s="14" t="s">
        <v>2458</v>
      </c>
      <c r="J5303" s="33" t="s">
        <v>7110</v>
      </c>
      <c r="K5303" s="33" t="s">
        <v>13553</v>
      </c>
      <c r="L5303" s="53" t="str">
        <f t="shared" ref="L5303:L5308" si="150">"هند"</f>
        <v>هند</v>
      </c>
      <c r="M5303" s="68" t="str">
        <f t="shared" si="149"/>
        <v>بشكه</v>
      </c>
      <c r="N5303" s="53" t="str">
        <f t="shared" si="147"/>
        <v>منطقه ويژه اقتصادي شهيد رجايي</v>
      </c>
      <c r="O5303" s="53">
        <v>50100</v>
      </c>
      <c r="P5303" s="198" t="str">
        <f>"1396538724001"</f>
        <v>1396538724001</v>
      </c>
    </row>
    <row r="5304" spans="1:16" ht="18.75" hidden="1">
      <c r="A5304" s="50" t="str">
        <f>"50100-10164217"</f>
        <v>50100-10164217</v>
      </c>
      <c r="B5304" s="50" t="str">
        <f>"97/02/09"</f>
        <v>97/02/09</v>
      </c>
      <c r="C5304" s="50" t="s">
        <v>13578</v>
      </c>
      <c r="D5304" s="12" t="s">
        <v>13266</v>
      </c>
      <c r="E5304" s="12" t="s">
        <v>13333</v>
      </c>
      <c r="F5304" s="49">
        <v>375084</v>
      </c>
      <c r="G5304" s="77" t="str">
        <f>"Black Gold Traders FZE"</f>
        <v>Black Gold Traders FZE</v>
      </c>
      <c r="H5304" s="14" t="str">
        <f t="shared" si="145"/>
        <v>true</v>
      </c>
      <c r="I5304" s="14" t="s">
        <v>2458</v>
      </c>
      <c r="J5304" s="33" t="s">
        <v>7110</v>
      </c>
      <c r="K5304" s="33" t="s">
        <v>13553</v>
      </c>
      <c r="L5304" s="53" t="str">
        <f t="shared" si="150"/>
        <v>هند</v>
      </c>
      <c r="M5304" s="68" t="str">
        <f t="shared" si="149"/>
        <v>بشكه</v>
      </c>
      <c r="N5304" s="53" t="str">
        <f t="shared" si="147"/>
        <v>منطقه ويژه اقتصادي شهيد رجايي</v>
      </c>
      <c r="O5304" s="53">
        <v>50100</v>
      </c>
      <c r="P5304" s="198" t="s">
        <v>12942</v>
      </c>
    </row>
    <row r="5305" spans="1:16" ht="18.75" hidden="1">
      <c r="A5305" s="50" t="str">
        <f>"50100-10131079"</f>
        <v>50100-10131079</v>
      </c>
      <c r="B5305" s="50" t="str">
        <f>"97/02/02"</f>
        <v>97/02/02</v>
      </c>
      <c r="C5305" s="50" t="s">
        <v>13377</v>
      </c>
      <c r="D5305" s="12" t="s">
        <v>12477</v>
      </c>
      <c r="E5305" s="12" t="s">
        <v>4971</v>
      </c>
      <c r="F5305" s="49">
        <v>53486</v>
      </c>
      <c r="G5305" s="77" t="str">
        <f>"DAXON PETROLEUM"</f>
        <v>DAXON PETROLEUM</v>
      </c>
      <c r="H5305" s="14" t="str">
        <f t="shared" si="145"/>
        <v>true</v>
      </c>
      <c r="I5305" s="14" t="s">
        <v>2458</v>
      </c>
      <c r="J5305" s="33" t="s">
        <v>7110</v>
      </c>
      <c r="K5305" s="33" t="s">
        <v>13553</v>
      </c>
      <c r="L5305" s="53" t="str">
        <f t="shared" si="150"/>
        <v>هند</v>
      </c>
      <c r="M5305" s="68" t="str">
        <f t="shared" si="149"/>
        <v>بشكه</v>
      </c>
      <c r="N5305" s="53" t="str">
        <f t="shared" si="147"/>
        <v>منطقه ويژه اقتصادي شهيد رجايي</v>
      </c>
      <c r="O5305" s="53">
        <v>50100</v>
      </c>
      <c r="P5305" s="198" t="str">
        <f>"1396535690001"</f>
        <v>1396535690001</v>
      </c>
    </row>
    <row r="5306" spans="1:16" ht="18.75" hidden="1">
      <c r="A5306" s="50" t="str">
        <f>"50100-10164217"</f>
        <v>50100-10164217</v>
      </c>
      <c r="B5306" s="50" t="str">
        <f>"97/02/09"</f>
        <v>97/02/09</v>
      </c>
      <c r="C5306" s="50" t="s">
        <v>13369</v>
      </c>
      <c r="D5306" s="12" t="s">
        <v>13343</v>
      </c>
      <c r="E5306" s="12" t="s">
        <v>13333</v>
      </c>
      <c r="F5306" s="49">
        <v>123337</v>
      </c>
      <c r="G5306" s="77" t="str">
        <f>"Black Gold Traders FZE"</f>
        <v>Black Gold Traders FZE</v>
      </c>
      <c r="H5306" s="14" t="str">
        <f t="shared" si="145"/>
        <v>true</v>
      </c>
      <c r="I5306" s="14" t="s">
        <v>2458</v>
      </c>
      <c r="J5306" s="33" t="s">
        <v>7110</v>
      </c>
      <c r="K5306" s="33" t="s">
        <v>13553</v>
      </c>
      <c r="L5306" s="53" t="str">
        <f t="shared" si="150"/>
        <v>هند</v>
      </c>
      <c r="M5306" s="68" t="str">
        <f t="shared" si="149"/>
        <v>بشكه</v>
      </c>
      <c r="N5306" s="53" t="str">
        <f t="shared" si="147"/>
        <v>منطقه ويژه اقتصادي شهيد رجايي</v>
      </c>
      <c r="O5306" s="53">
        <v>50100</v>
      </c>
      <c r="P5306" s="198" t="str">
        <f>"1396548709001"</f>
        <v>1396548709001</v>
      </c>
    </row>
    <row r="5307" spans="1:16" ht="18.75" hidden="1">
      <c r="A5307" s="50" t="str">
        <f>"50100-10169751"</f>
        <v>50100-10169751</v>
      </c>
      <c r="B5307" s="50" t="str">
        <f>"97/02/10"</f>
        <v>97/02/10</v>
      </c>
      <c r="C5307" s="50" t="s">
        <v>13576</v>
      </c>
      <c r="D5307" s="12" t="s">
        <v>12736</v>
      </c>
      <c r="E5307" s="12" t="s">
        <v>4971</v>
      </c>
      <c r="F5307" s="49">
        <v>73981</v>
      </c>
      <c r="G5307" s="77" t="str">
        <f>"DAXON PETROLEUM"</f>
        <v>DAXON PETROLEUM</v>
      </c>
      <c r="H5307" s="14" t="str">
        <f t="shared" si="145"/>
        <v>true</v>
      </c>
      <c r="I5307" s="14" t="s">
        <v>2458</v>
      </c>
      <c r="J5307" s="33" t="s">
        <v>7110</v>
      </c>
      <c r="K5307" s="33" t="s">
        <v>13553</v>
      </c>
      <c r="L5307" s="53" t="str">
        <f t="shared" si="150"/>
        <v>هند</v>
      </c>
      <c r="M5307" s="68" t="str">
        <f t="shared" si="149"/>
        <v>بشكه</v>
      </c>
      <c r="N5307" s="53" t="str">
        <f t="shared" si="147"/>
        <v>منطقه ويژه اقتصادي شهيد رجايي</v>
      </c>
      <c r="O5307" s="53">
        <v>50100</v>
      </c>
      <c r="P5307" s="198" t="str">
        <f>"1396538726001"</f>
        <v>1396538726001</v>
      </c>
    </row>
    <row r="5308" spans="1:16" ht="18.75" hidden="1">
      <c r="A5308" s="50" t="str">
        <f>"50100-10169751"</f>
        <v>50100-10169751</v>
      </c>
      <c r="B5308" s="50" t="str">
        <f>"97/02/10"</f>
        <v>97/02/10</v>
      </c>
      <c r="C5308" s="50" t="s">
        <v>13579</v>
      </c>
      <c r="D5308" s="12" t="s">
        <v>12662</v>
      </c>
      <c r="E5308" s="12" t="s">
        <v>4971</v>
      </c>
      <c r="F5308" s="49">
        <v>91648</v>
      </c>
      <c r="G5308" s="77" t="str">
        <f>"DAXON PETROLEUM"</f>
        <v>DAXON PETROLEUM</v>
      </c>
      <c r="H5308" s="14" t="str">
        <f t="shared" si="145"/>
        <v>true</v>
      </c>
      <c r="I5308" s="14" t="s">
        <v>2458</v>
      </c>
      <c r="J5308" s="33" t="s">
        <v>7110</v>
      </c>
      <c r="K5308" s="33" t="s">
        <v>13553</v>
      </c>
      <c r="L5308" s="53" t="str">
        <f t="shared" si="150"/>
        <v>هند</v>
      </c>
      <c r="M5308" s="68" t="str">
        <f t="shared" si="149"/>
        <v>بشكه</v>
      </c>
      <c r="N5308" s="53" t="str">
        <f t="shared" si="147"/>
        <v>منطقه ويژه اقتصادي شهيد رجايي</v>
      </c>
      <c r="O5308" s="53">
        <v>50100</v>
      </c>
      <c r="P5308" s="198" t="str">
        <f>"1396538726001"</f>
        <v>1396538726001</v>
      </c>
    </row>
    <row r="5309" spans="1:16" ht="18.75" hidden="1">
      <c r="A5309" s="50" t="str">
        <f>"50100-10169791"</f>
        <v>50100-10169791</v>
      </c>
      <c r="B5309" s="50" t="str">
        <f>"97/02/10"</f>
        <v>97/02/10</v>
      </c>
      <c r="C5309" s="50" t="s">
        <v>13579</v>
      </c>
      <c r="D5309" s="12" t="s">
        <v>12662</v>
      </c>
      <c r="E5309" s="12" t="s">
        <v>4971</v>
      </c>
      <c r="F5309" s="49">
        <v>399015</v>
      </c>
      <c r="G5309" s="77" t="str">
        <f>"DAXON PETROLEUM"</f>
        <v>DAXON PETROLEUM</v>
      </c>
      <c r="H5309" s="14" t="str">
        <f t="shared" si="145"/>
        <v>true</v>
      </c>
      <c r="I5309" s="14" t="s">
        <v>2458</v>
      </c>
      <c r="J5309" s="33" t="s">
        <v>7110</v>
      </c>
      <c r="K5309" s="33" t="s">
        <v>13553</v>
      </c>
      <c r="L5309" s="53" t="str">
        <f>"عمان"</f>
        <v>عمان</v>
      </c>
      <c r="M5309" s="68" t="str">
        <f t="shared" si="149"/>
        <v>بشكه</v>
      </c>
      <c r="N5309" s="53" t="str">
        <f t="shared" si="147"/>
        <v>منطقه ويژه اقتصادي شهيد رجايي</v>
      </c>
      <c r="O5309" s="53">
        <v>50100</v>
      </c>
      <c r="P5309" s="198" t="str">
        <f>"1396538726001"</f>
        <v>1396538726001</v>
      </c>
    </row>
    <row r="5310" spans="1:16" ht="18.75" hidden="1">
      <c r="A5310" s="50" t="str">
        <f>"50100-10174922"</f>
        <v>50100-10174922</v>
      </c>
      <c r="B5310" s="50" t="str">
        <f>"97/02/11"</f>
        <v>97/02/11</v>
      </c>
      <c r="C5310" s="50" t="s">
        <v>13580</v>
      </c>
      <c r="D5310" s="12" t="s">
        <v>12689</v>
      </c>
      <c r="E5310" s="12" t="s">
        <v>4971</v>
      </c>
      <c r="F5310" s="49">
        <v>93590</v>
      </c>
      <c r="G5310" s="77" t="str">
        <f>"LLC Sebco Bitumen"</f>
        <v>LLC Sebco Bitumen</v>
      </c>
      <c r="H5310" s="14" t="str">
        <f t="shared" si="145"/>
        <v>true</v>
      </c>
      <c r="I5310" s="14" t="s">
        <v>2458</v>
      </c>
      <c r="J5310" s="33" t="s">
        <v>7110</v>
      </c>
      <c r="K5310" s="33" t="s">
        <v>13553</v>
      </c>
      <c r="L5310" s="53" t="str">
        <f>" امارات متحده عربي"</f>
        <v xml:space="preserve"> امارات متحده عربي</v>
      </c>
      <c r="M5310" s="68" t="str">
        <f t="shared" si="149"/>
        <v>بشكه</v>
      </c>
      <c r="N5310" s="53" t="str">
        <f t="shared" si="147"/>
        <v>منطقه ويژه اقتصادي شهيد رجايي</v>
      </c>
      <c r="O5310" s="53">
        <v>50100</v>
      </c>
      <c r="P5310" s="198" t="str">
        <f>"1396546618001"</f>
        <v>1396546618001</v>
      </c>
    </row>
    <row r="5311" spans="1:16" ht="18.75" hidden="1">
      <c r="A5311" s="50" t="str">
        <f>"50100-10174922"</f>
        <v>50100-10174922</v>
      </c>
      <c r="B5311" s="50" t="str">
        <f>"97/02/11"</f>
        <v>97/02/11</v>
      </c>
      <c r="C5311" s="50" t="s">
        <v>13581</v>
      </c>
      <c r="D5311" s="12" t="s">
        <v>12701</v>
      </c>
      <c r="E5311" s="12" t="s">
        <v>4971</v>
      </c>
      <c r="F5311" s="49">
        <v>201750</v>
      </c>
      <c r="G5311" s="77" t="str">
        <f>"LLC Sebco Bitumen"</f>
        <v>LLC Sebco Bitumen</v>
      </c>
      <c r="H5311" s="14" t="str">
        <f t="shared" si="145"/>
        <v>true</v>
      </c>
      <c r="I5311" s="14" t="s">
        <v>2458</v>
      </c>
      <c r="J5311" s="33" t="s">
        <v>7110</v>
      </c>
      <c r="K5311" s="33" t="s">
        <v>13553</v>
      </c>
      <c r="L5311" s="53" t="str">
        <f>" امارات متحده عربي"</f>
        <v xml:space="preserve"> امارات متحده عربي</v>
      </c>
      <c r="M5311" s="68" t="str">
        <f t="shared" si="149"/>
        <v>بشكه</v>
      </c>
      <c r="N5311" s="53" t="str">
        <f t="shared" si="147"/>
        <v>منطقه ويژه اقتصادي شهيد رجايي</v>
      </c>
      <c r="O5311" s="53">
        <v>50100</v>
      </c>
      <c r="P5311" s="198" t="str">
        <f>"1396546618001"</f>
        <v>1396546618001</v>
      </c>
    </row>
    <row r="5312" spans="1:16" ht="18.75" hidden="1">
      <c r="A5312" s="50" t="str">
        <f>"50100-10169751"</f>
        <v>50100-10169751</v>
      </c>
      <c r="B5312" s="50" t="str">
        <f>"97/02/10"</f>
        <v>97/02/10</v>
      </c>
      <c r="C5312" s="50" t="s">
        <v>10009</v>
      </c>
      <c r="D5312" s="12" t="s">
        <v>9962</v>
      </c>
      <c r="E5312" s="12" t="s">
        <v>4971</v>
      </c>
      <c r="F5312" s="49">
        <v>131000</v>
      </c>
      <c r="G5312" s="77" t="str">
        <f>"DAXON PETROLEUM"</f>
        <v>DAXON PETROLEUM</v>
      </c>
      <c r="H5312" s="14" t="str">
        <f t="shared" si="145"/>
        <v>true</v>
      </c>
      <c r="I5312" s="14" t="s">
        <v>2458</v>
      </c>
      <c r="J5312" s="33" t="s">
        <v>7110</v>
      </c>
      <c r="K5312" s="33" t="s">
        <v>13553</v>
      </c>
      <c r="L5312" s="53" t="str">
        <f>"هند"</f>
        <v>هند</v>
      </c>
      <c r="M5312" s="68" t="str">
        <f t="shared" si="149"/>
        <v>بشكه</v>
      </c>
      <c r="N5312" s="53" t="str">
        <f t="shared" si="147"/>
        <v>منطقه ويژه اقتصادي شهيد رجايي</v>
      </c>
      <c r="O5312" s="53">
        <v>50100</v>
      </c>
      <c r="P5312" s="198" t="str">
        <f>"1396521452001"</f>
        <v>1396521452001</v>
      </c>
    </row>
    <row r="5313" spans="1:16" ht="18.75" hidden="1">
      <c r="A5313" s="50" t="str">
        <f>"50100-10184431"</f>
        <v>50100-10184431</v>
      </c>
      <c r="B5313" s="50" t="str">
        <f>"97/02/15"</f>
        <v>97/02/15</v>
      </c>
      <c r="C5313" s="50" t="s">
        <v>13582</v>
      </c>
      <c r="D5313" s="12" t="s">
        <v>12893</v>
      </c>
      <c r="E5313" s="12" t="s">
        <v>4971</v>
      </c>
      <c r="F5313" s="49">
        <v>300000</v>
      </c>
      <c r="G5313" s="77" t="str">
        <f>"LLC Sebco Bitumen"</f>
        <v>LLC Sebco Bitumen</v>
      </c>
      <c r="H5313" s="14" t="str">
        <f t="shared" si="145"/>
        <v>true</v>
      </c>
      <c r="I5313" s="14" t="s">
        <v>2458</v>
      </c>
      <c r="J5313" s="33" t="s">
        <v>7110</v>
      </c>
      <c r="K5313" s="33" t="s">
        <v>13553</v>
      </c>
      <c r="L5313" s="53" t="str">
        <f>"هند"</f>
        <v>هند</v>
      </c>
      <c r="M5313" s="68" t="str">
        <f t="shared" si="149"/>
        <v>بشكه</v>
      </c>
      <c r="N5313" s="53" t="str">
        <f t="shared" si="147"/>
        <v>منطقه ويژه اقتصادي شهيد رجايي</v>
      </c>
      <c r="O5313" s="53">
        <v>50100</v>
      </c>
      <c r="P5313" s="198" t="str">
        <f>"1396548704001"</f>
        <v>1396548704001</v>
      </c>
    </row>
    <row r="5314" spans="1:16" ht="18.75" hidden="1">
      <c r="A5314" s="50" t="str">
        <f>"50100-10160580"</f>
        <v>50100-10160580</v>
      </c>
      <c r="B5314" s="50" t="str">
        <f>"97/02/08"</f>
        <v>97/02/08</v>
      </c>
      <c r="C5314" s="50" t="s">
        <v>13583</v>
      </c>
      <c r="D5314" s="12" t="s">
        <v>12691</v>
      </c>
      <c r="E5314" s="12" t="s">
        <v>4971</v>
      </c>
      <c r="F5314" s="49">
        <v>67731</v>
      </c>
      <c r="G5314" s="77" t="str">
        <f>"GLOBUS INTERNATIONAL FZE"</f>
        <v>GLOBUS INTERNATIONAL FZE</v>
      </c>
      <c r="H5314" s="14" t="str">
        <f t="shared" si="145"/>
        <v>true</v>
      </c>
      <c r="I5314" s="14" t="s">
        <v>2458</v>
      </c>
      <c r="J5314" s="33" t="s">
        <v>7110</v>
      </c>
      <c r="K5314" s="33" t="s">
        <v>13553</v>
      </c>
      <c r="L5314" s="53" t="str">
        <f>"تانزانيا"</f>
        <v>تانزانيا</v>
      </c>
      <c r="M5314" s="68" t="str">
        <f t="shared" si="149"/>
        <v>بشكه</v>
      </c>
      <c r="N5314" s="53" t="str">
        <f t="shared" si="147"/>
        <v>منطقه ويژه اقتصادي شهيد رجايي</v>
      </c>
      <c r="O5314" s="53">
        <v>50100</v>
      </c>
      <c r="P5314" s="198" t="str">
        <f>"1396539406001"</f>
        <v>1396539406001</v>
      </c>
    </row>
    <row r="5315" spans="1:16" ht="18.75" hidden="1">
      <c r="A5315" s="50" t="str">
        <f>"50100-10169751"</f>
        <v>50100-10169751</v>
      </c>
      <c r="B5315" s="50" t="str">
        <f>"97/02/10"</f>
        <v>97/02/10</v>
      </c>
      <c r="C5315" s="50" t="s">
        <v>13559</v>
      </c>
      <c r="D5315" s="12" t="s">
        <v>12530</v>
      </c>
      <c r="E5315" s="12" t="s">
        <v>4971</v>
      </c>
      <c r="F5315" s="49">
        <v>195496</v>
      </c>
      <c r="G5315" s="77" t="str">
        <f>"DAXON PETROLEUM"</f>
        <v>DAXON PETROLEUM</v>
      </c>
      <c r="H5315" s="14" t="str">
        <f t="shared" si="145"/>
        <v>true</v>
      </c>
      <c r="I5315" s="14" t="s">
        <v>2458</v>
      </c>
      <c r="J5315" s="33" t="s">
        <v>7110</v>
      </c>
      <c r="K5315" s="33" t="s">
        <v>13553</v>
      </c>
      <c r="L5315" s="53" t="str">
        <f>"هند"</f>
        <v>هند</v>
      </c>
      <c r="M5315" s="68" t="str">
        <f t="shared" si="149"/>
        <v>بشكه</v>
      </c>
      <c r="N5315" s="53" t="str">
        <f t="shared" si="147"/>
        <v>منطقه ويژه اقتصادي شهيد رجايي</v>
      </c>
      <c r="O5315" s="53">
        <v>50100</v>
      </c>
      <c r="P5315" s="198" t="str">
        <f>"1396538726001"</f>
        <v>1396538726001</v>
      </c>
    </row>
    <row r="5316" spans="1:16" ht="18.75" hidden="1">
      <c r="A5316" s="50" t="str">
        <f>"50100-10155497"</f>
        <v>50100-10155497</v>
      </c>
      <c r="B5316" s="50" t="str">
        <f>"97/02/06"</f>
        <v>97/02/06</v>
      </c>
      <c r="C5316" s="50" t="s">
        <v>13584</v>
      </c>
      <c r="D5316" s="12" t="s">
        <v>13385</v>
      </c>
      <c r="E5316" s="12" t="s">
        <v>13333</v>
      </c>
      <c r="F5316" s="49">
        <v>990000</v>
      </c>
      <c r="G5316" s="77" t="s">
        <v>6300</v>
      </c>
      <c r="H5316" s="14" t="str">
        <f t="shared" si="145"/>
        <v>true</v>
      </c>
      <c r="I5316" s="14" t="s">
        <v>2458</v>
      </c>
      <c r="J5316" s="33" t="s">
        <v>7110</v>
      </c>
      <c r="K5316" s="33" t="s">
        <v>13553</v>
      </c>
      <c r="L5316" s="53" t="str">
        <f>"اندونزي"</f>
        <v>اندونزي</v>
      </c>
      <c r="M5316" s="68" t="str">
        <f t="shared" si="149"/>
        <v>بشكه</v>
      </c>
      <c r="N5316" s="53" t="str">
        <f t="shared" si="147"/>
        <v>منطقه ويژه اقتصادي شهيد رجايي</v>
      </c>
      <c r="O5316" s="53">
        <v>50100</v>
      </c>
      <c r="P5316" s="198" t="s">
        <v>9785</v>
      </c>
    </row>
    <row r="5317" spans="1:16" ht="18.75" hidden="1">
      <c r="A5317" s="50" t="str">
        <f>"50100-10169791"</f>
        <v>50100-10169791</v>
      </c>
      <c r="B5317" s="50" t="str">
        <f>"97/02/10"</f>
        <v>97/02/10</v>
      </c>
      <c r="C5317" s="50" t="s">
        <v>13585</v>
      </c>
      <c r="D5317" s="12" t="s">
        <v>13266</v>
      </c>
      <c r="E5317" s="12" t="s">
        <v>13333</v>
      </c>
      <c r="F5317" s="49">
        <v>141685</v>
      </c>
      <c r="G5317" s="77" t="str">
        <f>"DAXON PETROLEUM"</f>
        <v>DAXON PETROLEUM</v>
      </c>
      <c r="H5317" s="14" t="str">
        <f t="shared" si="145"/>
        <v>true</v>
      </c>
      <c r="I5317" s="14" t="s">
        <v>2458</v>
      </c>
      <c r="J5317" s="33" t="s">
        <v>7110</v>
      </c>
      <c r="K5317" s="33" t="s">
        <v>13553</v>
      </c>
      <c r="L5317" s="53" t="str">
        <f>"عمان"</f>
        <v>عمان</v>
      </c>
      <c r="M5317" s="68" t="str">
        <f t="shared" si="149"/>
        <v>بشكه</v>
      </c>
      <c r="N5317" s="53" t="str">
        <f t="shared" si="147"/>
        <v>منطقه ويژه اقتصادي شهيد رجايي</v>
      </c>
      <c r="O5317" s="53">
        <v>50100</v>
      </c>
      <c r="P5317" s="198" t="str">
        <f>"1396548700001"</f>
        <v>1396548700001</v>
      </c>
    </row>
    <row r="5318" spans="1:16" ht="18.75" hidden="1">
      <c r="A5318" s="50" t="str">
        <f>"50100-10160625"</f>
        <v>50100-10160625</v>
      </c>
      <c r="B5318" s="50" t="str">
        <f>"97/02/08"</f>
        <v>97/02/08</v>
      </c>
      <c r="C5318" s="50" t="s">
        <v>13578</v>
      </c>
      <c r="D5318" s="12" t="s">
        <v>13266</v>
      </c>
      <c r="E5318" s="12" t="s">
        <v>13333</v>
      </c>
      <c r="F5318" s="49">
        <v>269916</v>
      </c>
      <c r="G5318" s="77" t="str">
        <f>"Black Gold Traders FZE"</f>
        <v>Black Gold Traders FZE</v>
      </c>
      <c r="H5318" s="14" t="str">
        <f t="shared" si="145"/>
        <v>true</v>
      </c>
      <c r="I5318" s="14" t="s">
        <v>2458</v>
      </c>
      <c r="J5318" s="33" t="s">
        <v>7110</v>
      </c>
      <c r="K5318" s="33" t="s">
        <v>13553</v>
      </c>
      <c r="L5318" s="53" t="str">
        <f>"هند"</f>
        <v>هند</v>
      </c>
      <c r="M5318" s="68" t="str">
        <f t="shared" si="149"/>
        <v>بشكه</v>
      </c>
      <c r="N5318" s="53" t="str">
        <f t="shared" si="147"/>
        <v>منطقه ويژه اقتصادي شهيد رجايي</v>
      </c>
      <c r="O5318" s="53">
        <v>50100</v>
      </c>
      <c r="P5318" s="198" t="str">
        <f>"1396548709001"</f>
        <v>1396548709001</v>
      </c>
    </row>
    <row r="5319" spans="1:16" ht="18.75" hidden="1">
      <c r="A5319" s="50" t="str">
        <f>"50100-10160580"</f>
        <v>50100-10160580</v>
      </c>
      <c r="B5319" s="50" t="str">
        <f>"97/02/08"</f>
        <v>97/02/08</v>
      </c>
      <c r="C5319" s="50" t="s">
        <v>13363</v>
      </c>
      <c r="D5319" s="12" t="s">
        <v>12583</v>
      </c>
      <c r="E5319" s="12" t="s">
        <v>4971</v>
      </c>
      <c r="F5319" s="49">
        <v>428644</v>
      </c>
      <c r="G5319" s="77" t="str">
        <f>"GLOBUS INTERNATIONAL FZE"</f>
        <v>GLOBUS INTERNATIONAL FZE</v>
      </c>
      <c r="H5319" s="14" t="str">
        <f t="shared" si="145"/>
        <v>true</v>
      </c>
      <c r="I5319" s="14" t="s">
        <v>2458</v>
      </c>
      <c r="J5319" s="33" t="s">
        <v>7110</v>
      </c>
      <c r="K5319" s="33" t="s">
        <v>13553</v>
      </c>
      <c r="L5319" s="53" t="str">
        <f>"تانزانيا"</f>
        <v>تانزانيا</v>
      </c>
      <c r="M5319" s="68" t="str">
        <f t="shared" si="149"/>
        <v>بشكه</v>
      </c>
      <c r="N5319" s="53" t="str">
        <f t="shared" si="147"/>
        <v>منطقه ويژه اقتصادي شهيد رجايي</v>
      </c>
      <c r="O5319" s="53">
        <v>50100</v>
      </c>
      <c r="P5319" s="198" t="str">
        <f>"1396539495001"</f>
        <v>1396539495001</v>
      </c>
    </row>
    <row r="5320" spans="1:16" ht="18.75" hidden="1">
      <c r="A5320" s="50" t="str">
        <f>"50100-10184514"</f>
        <v>50100-10184514</v>
      </c>
      <c r="B5320" s="50" t="str">
        <f>"97/02/15"</f>
        <v>97/02/15</v>
      </c>
      <c r="C5320" s="50" t="s">
        <v>13585</v>
      </c>
      <c r="D5320" s="12" t="s">
        <v>13266</v>
      </c>
      <c r="E5320" s="12" t="s">
        <v>13333</v>
      </c>
      <c r="F5320" s="49">
        <v>498430</v>
      </c>
      <c r="G5320" s="77" t="str">
        <f>"DAXON PETROLEUM"</f>
        <v>DAXON PETROLEUM</v>
      </c>
      <c r="H5320" s="14" t="str">
        <f t="shared" si="145"/>
        <v>true</v>
      </c>
      <c r="I5320" s="14" t="s">
        <v>2458</v>
      </c>
      <c r="J5320" s="33" t="s">
        <v>7110</v>
      </c>
      <c r="K5320" s="33" t="s">
        <v>13553</v>
      </c>
      <c r="L5320" s="53" t="str">
        <f>"کنيا"</f>
        <v>کنيا</v>
      </c>
      <c r="M5320" s="68" t="str">
        <f t="shared" si="149"/>
        <v>بشكه</v>
      </c>
      <c r="N5320" s="53" t="str">
        <f t="shared" si="147"/>
        <v>منطقه ويژه اقتصادي شهيد رجايي</v>
      </c>
      <c r="O5320" s="53">
        <v>50100</v>
      </c>
      <c r="P5320" s="198" t="str">
        <f>"1396548700001"</f>
        <v>1396548700001</v>
      </c>
    </row>
    <row r="5321" spans="1:16" ht="18.75" hidden="1">
      <c r="A5321" s="50" t="str">
        <f>"50100-10184431"</f>
        <v>50100-10184431</v>
      </c>
      <c r="B5321" s="50" t="str">
        <f>"97/02/15"</f>
        <v>97/02/15</v>
      </c>
      <c r="C5321" s="50" t="s">
        <v>13586</v>
      </c>
      <c r="D5321" s="12" t="s">
        <v>12944</v>
      </c>
      <c r="E5321" s="12" t="s">
        <v>4971</v>
      </c>
      <c r="F5321" s="49">
        <v>140867</v>
      </c>
      <c r="G5321" s="77" t="str">
        <f>"LLC Sebco Bitumen"</f>
        <v>LLC Sebco Bitumen</v>
      </c>
      <c r="H5321" s="14" t="str">
        <f t="shared" si="145"/>
        <v>true</v>
      </c>
      <c r="I5321" s="14" t="s">
        <v>2458</v>
      </c>
      <c r="J5321" s="33" t="s">
        <v>7110</v>
      </c>
      <c r="K5321" s="33" t="s">
        <v>13553</v>
      </c>
      <c r="L5321" s="53" t="str">
        <f>"هند"</f>
        <v>هند</v>
      </c>
      <c r="M5321" s="68" t="str">
        <f t="shared" si="149"/>
        <v>بشكه</v>
      </c>
      <c r="N5321" s="53" t="str">
        <f t="shared" si="147"/>
        <v>منطقه ويژه اقتصادي شهيد رجايي</v>
      </c>
      <c r="O5321" s="53">
        <v>50100</v>
      </c>
      <c r="P5321" s="198" t="str">
        <f>"1396546618001"</f>
        <v>1396546618001</v>
      </c>
    </row>
    <row r="5322" spans="1:16" ht="18.75" hidden="1">
      <c r="A5322" s="50" t="str">
        <f>"50100-10153852"</f>
        <v>50100-10153852</v>
      </c>
      <c r="B5322" s="50" t="str">
        <f>"97/02/06"</f>
        <v>97/02/06</v>
      </c>
      <c r="C5322" s="50" t="s">
        <v>13398</v>
      </c>
      <c r="D5322" s="12" t="s">
        <v>12829</v>
      </c>
      <c r="E5322" s="12" t="s">
        <v>4971</v>
      </c>
      <c r="F5322" s="49">
        <v>398360</v>
      </c>
      <c r="G5322" s="77" t="str">
        <f>"SHINING GREEN STAR FZE"</f>
        <v>SHINING GREEN STAR FZE</v>
      </c>
      <c r="H5322" s="14" t="str">
        <f t="shared" si="145"/>
        <v>true</v>
      </c>
      <c r="I5322" s="14" t="s">
        <v>2458</v>
      </c>
      <c r="J5322" s="33" t="s">
        <v>7110</v>
      </c>
      <c r="K5322" s="33" t="s">
        <v>13553</v>
      </c>
      <c r="L5322" s="53" t="str">
        <f>"تانزانيا"</f>
        <v>تانزانيا</v>
      </c>
      <c r="M5322" s="68" t="str">
        <f t="shared" si="149"/>
        <v>بشكه</v>
      </c>
      <c r="N5322" s="53" t="str">
        <f t="shared" si="147"/>
        <v>منطقه ويژه اقتصادي شهيد رجايي</v>
      </c>
      <c r="O5322" s="53">
        <v>50100</v>
      </c>
      <c r="P5322" s="198" t="str">
        <f>"1396534602001"</f>
        <v>1396534602001</v>
      </c>
    </row>
    <row r="5323" spans="1:16" ht="18.75" hidden="1">
      <c r="A5323" s="50" t="str">
        <f>"50100-10174922"</f>
        <v>50100-10174922</v>
      </c>
      <c r="B5323" s="50" t="str">
        <f>"97/02/11"</f>
        <v>97/02/11</v>
      </c>
      <c r="C5323" s="50" t="s">
        <v>13587</v>
      </c>
      <c r="D5323" s="12" t="s">
        <v>12380</v>
      </c>
      <c r="E5323" s="12" t="s">
        <v>4971</v>
      </c>
      <c r="F5323" s="49">
        <v>200000</v>
      </c>
      <c r="G5323" s="77" t="str">
        <f>"LLC Sebco Bitumen"</f>
        <v>LLC Sebco Bitumen</v>
      </c>
      <c r="H5323" s="14" t="str">
        <f t="shared" si="145"/>
        <v>true</v>
      </c>
      <c r="I5323" s="14" t="s">
        <v>2458</v>
      </c>
      <c r="J5323" s="33" t="s">
        <v>7110</v>
      </c>
      <c r="K5323" s="33" t="s">
        <v>13553</v>
      </c>
      <c r="L5323" s="53" t="str">
        <f>" امارات متحده عربي"</f>
        <v xml:space="preserve"> امارات متحده عربي</v>
      </c>
      <c r="M5323" s="68" t="str">
        <f t="shared" si="149"/>
        <v>بشكه</v>
      </c>
      <c r="N5323" s="53" t="str">
        <f t="shared" si="147"/>
        <v>منطقه ويژه اقتصادي شهيد رجايي</v>
      </c>
      <c r="O5323" s="53">
        <v>50100</v>
      </c>
      <c r="P5323" s="198" t="str">
        <f>"1396534910001"</f>
        <v>1396534910001</v>
      </c>
    </row>
    <row r="5324" spans="1:16" ht="18.75" hidden="1">
      <c r="A5324" s="50" t="str">
        <f>"50100-10174922"</f>
        <v>50100-10174922</v>
      </c>
      <c r="B5324" s="50" t="str">
        <f>"97/02/11"</f>
        <v>97/02/11</v>
      </c>
      <c r="C5324" s="50" t="s">
        <v>13588</v>
      </c>
      <c r="D5324" s="12" t="s">
        <v>12829</v>
      </c>
      <c r="E5324" s="12" t="s">
        <v>4971</v>
      </c>
      <c r="F5324" s="49">
        <v>61291</v>
      </c>
      <c r="G5324" s="77" t="str">
        <f>"LLC Sebco Bitumen"</f>
        <v>LLC Sebco Bitumen</v>
      </c>
      <c r="H5324" s="14" t="str">
        <f t="shared" si="145"/>
        <v>true</v>
      </c>
      <c r="I5324" s="14" t="s">
        <v>2458</v>
      </c>
      <c r="J5324" s="33" t="s">
        <v>7110</v>
      </c>
      <c r="K5324" s="33" t="s">
        <v>13553</v>
      </c>
      <c r="L5324" s="53" t="str">
        <f>" امارات متحده عربي"</f>
        <v xml:space="preserve"> امارات متحده عربي</v>
      </c>
      <c r="M5324" s="68" t="str">
        <f t="shared" si="149"/>
        <v>بشكه</v>
      </c>
      <c r="N5324" s="53" t="str">
        <f t="shared" si="147"/>
        <v>منطقه ويژه اقتصادي شهيد رجايي</v>
      </c>
      <c r="O5324" s="53">
        <v>50100</v>
      </c>
      <c r="P5324" s="198" t="str">
        <f>"1396534910001"</f>
        <v>1396534910001</v>
      </c>
    </row>
    <row r="5325" spans="1:16" ht="18.75" hidden="1">
      <c r="A5325" s="50" t="str">
        <f>"50100-10175258"</f>
        <v>50100-10175258</v>
      </c>
      <c r="B5325" s="50" t="str">
        <f>"97/02/11"</f>
        <v>97/02/11</v>
      </c>
      <c r="C5325" s="50" t="s">
        <v>13376</v>
      </c>
      <c r="D5325" s="12" t="s">
        <v>9997</v>
      </c>
      <c r="E5325" s="12" t="s">
        <v>4971</v>
      </c>
      <c r="F5325" s="49">
        <v>3340</v>
      </c>
      <c r="G5325" s="77" t="str">
        <f>"SHINING GREEN STAR FZE"</f>
        <v>SHINING GREEN STAR FZE</v>
      </c>
      <c r="H5325" s="14" t="str">
        <f t="shared" si="145"/>
        <v>true</v>
      </c>
      <c r="I5325" s="14" t="s">
        <v>2458</v>
      </c>
      <c r="J5325" s="33" t="e">
        <f>VLOOKUP(C5325,شرکتها!A:B,2,FALSE)</f>
        <v>#N/A</v>
      </c>
      <c r="K5325" s="33" t="s">
        <v>13553</v>
      </c>
      <c r="L5325" s="53" t="str">
        <f>"سريلانکا"</f>
        <v>سريلانکا</v>
      </c>
      <c r="M5325" s="68" t="str">
        <f t="shared" si="149"/>
        <v>بشكه</v>
      </c>
      <c r="N5325" s="53" t="str">
        <f t="shared" si="147"/>
        <v>منطقه ويژه اقتصادي شهيد رجايي</v>
      </c>
      <c r="O5325" s="53">
        <v>50100</v>
      </c>
      <c r="P5325" s="198" t="str">
        <f>"1396522396001"</f>
        <v>1396522396001</v>
      </c>
    </row>
    <row r="5326" spans="1:16" ht="18.75" hidden="1">
      <c r="A5326" s="50" t="str">
        <f>"50100-10175258"</f>
        <v>50100-10175258</v>
      </c>
      <c r="B5326" s="50" t="str">
        <f>"97/02/11"</f>
        <v>97/02/11</v>
      </c>
      <c r="C5326" s="50" t="s">
        <v>13569</v>
      </c>
      <c r="D5326" s="12" t="s">
        <v>13266</v>
      </c>
      <c r="E5326" s="12" t="s">
        <v>13333</v>
      </c>
      <c r="F5326" s="49">
        <v>393320</v>
      </c>
      <c r="G5326" s="77" t="str">
        <f>"SHINING GREEN STAR FZE"</f>
        <v>SHINING GREEN STAR FZE</v>
      </c>
      <c r="H5326" s="14" t="str">
        <f t="shared" si="145"/>
        <v>true</v>
      </c>
      <c r="I5326" s="14" t="s">
        <v>2458</v>
      </c>
      <c r="J5326" s="33" t="e">
        <f>VLOOKUP(C5326,شرکتها!A:B,2,FALSE)</f>
        <v>#N/A</v>
      </c>
      <c r="K5326" s="33" t="s">
        <v>13553</v>
      </c>
      <c r="L5326" s="53" t="str">
        <f>"سريلانکا"</f>
        <v>سريلانکا</v>
      </c>
      <c r="M5326" s="68" t="str">
        <f t="shared" si="149"/>
        <v>بشكه</v>
      </c>
      <c r="N5326" s="53" t="str">
        <f t="shared" si="147"/>
        <v>منطقه ويژه اقتصادي شهيد رجايي</v>
      </c>
      <c r="O5326" s="53">
        <v>50100</v>
      </c>
      <c r="P5326" s="198" t="str">
        <f>"1396548703001"</f>
        <v>1396548703001</v>
      </c>
    </row>
    <row r="5327" spans="1:16" ht="18.75" hidden="1">
      <c r="A5327" s="50" t="str">
        <f>"50100-10174922"</f>
        <v>50100-10174922</v>
      </c>
      <c r="B5327" s="50" t="str">
        <f>"97/02/11"</f>
        <v>97/02/11</v>
      </c>
      <c r="C5327" s="50" t="s">
        <v>13583</v>
      </c>
      <c r="D5327" s="12" t="s">
        <v>12691</v>
      </c>
      <c r="E5327" s="12" t="s">
        <v>4971</v>
      </c>
      <c r="F5327" s="49">
        <v>432269</v>
      </c>
      <c r="G5327" s="77" t="str">
        <f>"GLOBUS INTERNATIONAL FZE"</f>
        <v>GLOBUS INTERNATIONAL FZE</v>
      </c>
      <c r="H5327" s="14" t="str">
        <f t="shared" si="145"/>
        <v>true</v>
      </c>
      <c r="I5327" s="14" t="s">
        <v>2458</v>
      </c>
      <c r="J5327" s="33" t="s">
        <v>7110</v>
      </c>
      <c r="K5327" s="33" t="s">
        <v>13553</v>
      </c>
      <c r="L5327" s="53" t="str">
        <f>" امارات متحده عربي"</f>
        <v xml:space="preserve"> امارات متحده عربي</v>
      </c>
      <c r="M5327" s="68" t="str">
        <f t="shared" si="149"/>
        <v>بشكه</v>
      </c>
      <c r="N5327" s="53" t="str">
        <f t="shared" si="147"/>
        <v>منطقه ويژه اقتصادي شهيد رجايي</v>
      </c>
      <c r="O5327" s="53">
        <v>50100</v>
      </c>
      <c r="P5327" s="198" t="str">
        <f>"1396539406001"</f>
        <v>1396539406001</v>
      </c>
    </row>
    <row r="5328" spans="1:16" ht="18.75" hidden="1">
      <c r="A5328" s="50" t="str">
        <f>"50100-10158557"</f>
        <v>50100-10158557</v>
      </c>
      <c r="B5328" s="50" t="str">
        <f>"97/02/08"</f>
        <v>97/02/08</v>
      </c>
      <c r="C5328" s="50" t="s">
        <v>13589</v>
      </c>
      <c r="D5328" s="12" t="s">
        <v>13590</v>
      </c>
      <c r="E5328" s="12" t="s">
        <v>13333</v>
      </c>
      <c r="F5328" s="49">
        <v>3795250</v>
      </c>
      <c r="G5328" s="77" t="str">
        <f>"AL MASAR PETROLUME L.L.C"</f>
        <v>AL MASAR PETROLUME L.L.C</v>
      </c>
      <c r="H5328" s="14" t="str">
        <f t="shared" si="145"/>
        <v>true</v>
      </c>
      <c r="I5328" s="14" t="s">
        <v>2458</v>
      </c>
      <c r="J5328" s="33" t="e">
        <f>VLOOKUP(C5328,شرکتها!A:B,2,FALSE)</f>
        <v>#N/A</v>
      </c>
      <c r="K5328" s="33" t="s">
        <v>13553</v>
      </c>
      <c r="L5328" s="53" t="str">
        <f>"قطر"</f>
        <v>قطر</v>
      </c>
      <c r="M5328" s="68" t="str">
        <f>"فله"</f>
        <v>فله</v>
      </c>
      <c r="N5328" s="53" t="str">
        <f t="shared" si="147"/>
        <v>منطقه ويژه اقتصادي شهيد رجايي</v>
      </c>
      <c r="O5328" s="53">
        <v>50100</v>
      </c>
      <c r="P5328" s="198" t="str">
        <f>"1397560052001"</f>
        <v>1397560052001</v>
      </c>
    </row>
    <row r="5329" spans="1:16" ht="18.75" hidden="1">
      <c r="A5329" s="50" t="str">
        <f>"50100-10144549"</f>
        <v>50100-10144549</v>
      </c>
      <c r="B5329" s="50" t="str">
        <f t="shared" ref="B5329:B5335" si="151">"97/02/04"</f>
        <v>97/02/04</v>
      </c>
      <c r="C5329" s="50" t="s">
        <v>13566</v>
      </c>
      <c r="D5329" s="12" t="s">
        <v>12695</v>
      </c>
      <c r="E5329" s="12" t="s">
        <v>4971</v>
      </c>
      <c r="F5329" s="49">
        <v>55880</v>
      </c>
      <c r="G5329" s="77" t="str">
        <f t="shared" ref="G5329:G5337" si="152">"LLC Sebco Bitumen"</f>
        <v>LLC Sebco Bitumen</v>
      </c>
      <c r="H5329" s="14" t="str">
        <f t="shared" si="145"/>
        <v>true</v>
      </c>
      <c r="I5329" s="14" t="s">
        <v>2458</v>
      </c>
      <c r="J5329" s="33" t="s">
        <v>7110</v>
      </c>
      <c r="K5329" s="33" t="s">
        <v>13553</v>
      </c>
      <c r="L5329" s="53" t="str">
        <f>"جيبوتي"</f>
        <v>جيبوتي</v>
      </c>
      <c r="M5329" s="68" t="str">
        <f t="shared" ref="M5329:M5339" si="153">"بشكه"</f>
        <v>بشكه</v>
      </c>
      <c r="N5329" s="53" t="str">
        <f t="shared" si="147"/>
        <v>منطقه ويژه اقتصادي شهيد رجايي</v>
      </c>
      <c r="O5329" s="53">
        <v>50100</v>
      </c>
      <c r="P5329" s="198" t="str">
        <f>"1396540546001"</f>
        <v>1396540546001</v>
      </c>
    </row>
    <row r="5330" spans="1:16" ht="18.75" hidden="1">
      <c r="A5330" s="50" t="str">
        <f>"50100-10144549"</f>
        <v>50100-10144549</v>
      </c>
      <c r="B5330" s="50" t="str">
        <f t="shared" si="151"/>
        <v>97/02/04</v>
      </c>
      <c r="C5330" s="50" t="s">
        <v>13580</v>
      </c>
      <c r="D5330" s="12" t="s">
        <v>12689</v>
      </c>
      <c r="E5330" s="12" t="s">
        <v>4971</v>
      </c>
      <c r="F5330" s="49">
        <v>67410</v>
      </c>
      <c r="G5330" s="77" t="str">
        <f t="shared" si="152"/>
        <v>LLC Sebco Bitumen</v>
      </c>
      <c r="H5330" s="14" t="str">
        <f t="shared" si="145"/>
        <v>true</v>
      </c>
      <c r="I5330" s="14" t="s">
        <v>2458</v>
      </c>
      <c r="J5330" s="33" t="s">
        <v>7110</v>
      </c>
      <c r="K5330" s="33" t="s">
        <v>13553</v>
      </c>
      <c r="L5330" s="53" t="str">
        <f>"جيبوتي"</f>
        <v>جيبوتي</v>
      </c>
      <c r="M5330" s="68" t="str">
        <f t="shared" si="153"/>
        <v>بشكه</v>
      </c>
      <c r="N5330" s="53" t="str">
        <f t="shared" si="147"/>
        <v>منطقه ويژه اقتصادي شهيد رجايي</v>
      </c>
      <c r="O5330" s="53">
        <v>50100</v>
      </c>
      <c r="P5330" s="198" t="str">
        <f>"1396546618001"</f>
        <v>1396546618001</v>
      </c>
    </row>
    <row r="5331" spans="1:16" ht="18.75" hidden="1">
      <c r="A5331" s="50" t="str">
        <f>"50100-10144549"</f>
        <v>50100-10144549</v>
      </c>
      <c r="B5331" s="50" t="str">
        <f t="shared" si="151"/>
        <v>97/02/04</v>
      </c>
      <c r="C5331" s="50" t="s">
        <v>13591</v>
      </c>
      <c r="D5331" s="12" t="s">
        <v>12867</v>
      </c>
      <c r="E5331" s="12" t="s">
        <v>4971</v>
      </c>
      <c r="F5331" s="49">
        <v>380000</v>
      </c>
      <c r="G5331" s="77" t="str">
        <f t="shared" si="152"/>
        <v>LLC Sebco Bitumen</v>
      </c>
      <c r="H5331" s="14" t="str">
        <f t="shared" si="145"/>
        <v>true</v>
      </c>
      <c r="I5331" s="14" t="s">
        <v>2458</v>
      </c>
      <c r="J5331" s="33" t="s">
        <v>7110</v>
      </c>
      <c r="K5331" s="33" t="s">
        <v>13553</v>
      </c>
      <c r="L5331" s="53" t="str">
        <f>"جيبوتي"</f>
        <v>جيبوتي</v>
      </c>
      <c r="M5331" s="68" t="str">
        <f t="shared" si="153"/>
        <v>بشكه</v>
      </c>
      <c r="N5331" s="53" t="str">
        <f t="shared" si="147"/>
        <v>منطقه ويژه اقتصادي شهيد رجايي</v>
      </c>
      <c r="O5331" s="53">
        <v>50100</v>
      </c>
      <c r="P5331" s="198" t="str">
        <f>"1396546618001"</f>
        <v>1396546618001</v>
      </c>
    </row>
    <row r="5332" spans="1:16" ht="18.75" hidden="1">
      <c r="A5332" s="50" t="str">
        <f>"50100-10143884"</f>
        <v>50100-10143884</v>
      </c>
      <c r="B5332" s="50" t="str">
        <f t="shared" si="151"/>
        <v>97/02/04</v>
      </c>
      <c r="C5332" s="50" t="s">
        <v>13592</v>
      </c>
      <c r="D5332" s="12" t="s">
        <v>13402</v>
      </c>
      <c r="E5332" s="12" t="s">
        <v>13333</v>
      </c>
      <c r="F5332" s="49">
        <v>981120</v>
      </c>
      <c r="G5332" s="77" t="str">
        <f t="shared" si="152"/>
        <v>LLC Sebco Bitumen</v>
      </c>
      <c r="H5332" s="14" t="str">
        <f t="shared" si="145"/>
        <v>true</v>
      </c>
      <c r="I5332" s="14" t="s">
        <v>2458</v>
      </c>
      <c r="J5332" s="33" t="s">
        <v>7110</v>
      </c>
      <c r="K5332" s="33" t="s">
        <v>13553</v>
      </c>
      <c r="L5332" s="53" t="str">
        <f>"چين"</f>
        <v>چين</v>
      </c>
      <c r="M5332" s="68" t="str">
        <f t="shared" si="153"/>
        <v>بشكه</v>
      </c>
      <c r="N5332" s="53" t="str">
        <f t="shared" si="147"/>
        <v>منطقه ويژه اقتصادي شهيد رجايي</v>
      </c>
      <c r="O5332" s="53">
        <v>50100</v>
      </c>
      <c r="P5332" s="198" t="str">
        <f>"1396548704001"</f>
        <v>1396548704001</v>
      </c>
    </row>
    <row r="5333" spans="1:16" ht="18.75" hidden="1">
      <c r="A5333" s="50" t="str">
        <f>"50100-10144604"</f>
        <v>50100-10144604</v>
      </c>
      <c r="B5333" s="50" t="str">
        <f t="shared" si="151"/>
        <v>97/02/04</v>
      </c>
      <c r="C5333" s="50" t="s">
        <v>13593</v>
      </c>
      <c r="D5333" s="12" t="s">
        <v>12701</v>
      </c>
      <c r="E5333" s="12" t="s">
        <v>4971</v>
      </c>
      <c r="F5333" s="49">
        <v>420000</v>
      </c>
      <c r="G5333" s="77" t="str">
        <f t="shared" si="152"/>
        <v>LLC Sebco Bitumen</v>
      </c>
      <c r="H5333" s="14" t="str">
        <f t="shared" si="145"/>
        <v>true</v>
      </c>
      <c r="I5333" s="14" t="s">
        <v>2458</v>
      </c>
      <c r="J5333" s="33" t="s">
        <v>7110</v>
      </c>
      <c r="K5333" s="33" t="s">
        <v>13553</v>
      </c>
      <c r="L5333" s="53" t="str">
        <f>"سودان"</f>
        <v>سودان</v>
      </c>
      <c r="M5333" s="68" t="str">
        <f t="shared" si="153"/>
        <v>بشكه</v>
      </c>
      <c r="N5333" s="53" t="str">
        <f t="shared" si="147"/>
        <v>منطقه ويژه اقتصادي شهيد رجايي</v>
      </c>
      <c r="O5333" s="53">
        <v>50100</v>
      </c>
      <c r="P5333" s="198" t="str">
        <f>"1396546618001"</f>
        <v>1396546618001</v>
      </c>
    </row>
    <row r="5334" spans="1:16" ht="18.75" hidden="1">
      <c r="A5334" s="50" t="str">
        <f>"50100-10144549"</f>
        <v>50100-10144549</v>
      </c>
      <c r="B5334" s="50" t="str">
        <f t="shared" si="151"/>
        <v>97/02/04</v>
      </c>
      <c r="C5334" s="50" t="s">
        <v>13594</v>
      </c>
      <c r="D5334" s="12" t="s">
        <v>12689</v>
      </c>
      <c r="E5334" s="12" t="s">
        <v>4971</v>
      </c>
      <c r="F5334" s="49">
        <v>490000</v>
      </c>
      <c r="G5334" s="77" t="str">
        <f t="shared" si="152"/>
        <v>LLC Sebco Bitumen</v>
      </c>
      <c r="H5334" s="14" t="str">
        <f t="shared" si="145"/>
        <v>true</v>
      </c>
      <c r="I5334" s="14" t="s">
        <v>2458</v>
      </c>
      <c r="J5334" s="33" t="s">
        <v>7110</v>
      </c>
      <c r="K5334" s="33" t="s">
        <v>13553</v>
      </c>
      <c r="L5334" s="53" t="str">
        <f>"جيبوتي"</f>
        <v>جيبوتي</v>
      </c>
      <c r="M5334" s="68" t="str">
        <f t="shared" si="153"/>
        <v>بشكه</v>
      </c>
      <c r="N5334" s="53" t="str">
        <f t="shared" si="147"/>
        <v>منطقه ويژه اقتصادي شهيد رجايي</v>
      </c>
      <c r="O5334" s="53">
        <v>50100</v>
      </c>
      <c r="P5334" s="198" t="str">
        <f>"1396546618001"</f>
        <v>1396546618001</v>
      </c>
    </row>
    <row r="5335" spans="1:16" ht="18.75" hidden="1">
      <c r="A5335" s="50" t="str">
        <f>"50100-10144604"</f>
        <v>50100-10144604</v>
      </c>
      <c r="B5335" s="50" t="str">
        <f t="shared" si="151"/>
        <v>97/02/04</v>
      </c>
      <c r="C5335" s="50" t="s">
        <v>13595</v>
      </c>
      <c r="D5335" s="12" t="s">
        <v>12701</v>
      </c>
      <c r="E5335" s="12" t="s">
        <v>4971</v>
      </c>
      <c r="F5335" s="49">
        <v>200000</v>
      </c>
      <c r="G5335" s="77" t="str">
        <f t="shared" si="152"/>
        <v>LLC Sebco Bitumen</v>
      </c>
      <c r="H5335" s="14" t="str">
        <f t="shared" si="145"/>
        <v>true</v>
      </c>
      <c r="I5335" s="14" t="s">
        <v>2458</v>
      </c>
      <c r="J5335" s="33" t="s">
        <v>7110</v>
      </c>
      <c r="K5335" s="33" t="s">
        <v>13553</v>
      </c>
      <c r="L5335" s="53" t="str">
        <f>"سودان"</f>
        <v>سودان</v>
      </c>
      <c r="M5335" s="68" t="str">
        <f t="shared" si="153"/>
        <v>بشكه</v>
      </c>
      <c r="N5335" s="53" t="str">
        <f t="shared" si="147"/>
        <v>منطقه ويژه اقتصادي شهيد رجايي</v>
      </c>
      <c r="O5335" s="53">
        <v>50100</v>
      </c>
      <c r="P5335" s="198" t="str">
        <f>"1396546618001"</f>
        <v>1396546618001</v>
      </c>
    </row>
    <row r="5336" spans="1:16" ht="18.75" hidden="1">
      <c r="A5336" s="50" t="str">
        <f>"50100-10134548"</f>
        <v>50100-10134548</v>
      </c>
      <c r="B5336" s="50" t="str">
        <f>"97/02/02"</f>
        <v>97/02/02</v>
      </c>
      <c r="C5336" s="50" t="s">
        <v>13392</v>
      </c>
      <c r="D5336" s="12" t="s">
        <v>12736</v>
      </c>
      <c r="E5336" s="12" t="s">
        <v>4971</v>
      </c>
      <c r="F5336" s="49">
        <v>276750</v>
      </c>
      <c r="G5336" s="77" t="str">
        <f t="shared" si="152"/>
        <v>LLC Sebco Bitumen</v>
      </c>
      <c r="H5336" s="14" t="str">
        <f t="shared" si="145"/>
        <v>true</v>
      </c>
      <c r="I5336" s="14" t="s">
        <v>2458</v>
      </c>
      <c r="J5336" s="33" t="s">
        <v>7110</v>
      </c>
      <c r="K5336" s="33" t="s">
        <v>13553</v>
      </c>
      <c r="L5336" s="53" t="str">
        <f>"تانزانيا"</f>
        <v>تانزانيا</v>
      </c>
      <c r="M5336" s="68" t="str">
        <f t="shared" si="153"/>
        <v>بشكه</v>
      </c>
      <c r="N5336" s="53" t="str">
        <f t="shared" si="147"/>
        <v>منطقه ويژه اقتصادي شهيد رجايي</v>
      </c>
      <c r="O5336" s="53">
        <v>50100</v>
      </c>
      <c r="P5336" s="198" t="str">
        <f>"1396540546001"</f>
        <v>1396540546001</v>
      </c>
    </row>
    <row r="5337" spans="1:16" ht="18.75" hidden="1">
      <c r="A5337" s="50" t="str">
        <f>"50100-10144604"</f>
        <v>50100-10144604</v>
      </c>
      <c r="B5337" s="50" t="str">
        <f>"97/02/04"</f>
        <v>97/02/04</v>
      </c>
      <c r="C5337" s="50" t="s">
        <v>13581</v>
      </c>
      <c r="D5337" s="12" t="s">
        <v>12701</v>
      </c>
      <c r="E5337" s="12" t="s">
        <v>4971</v>
      </c>
      <c r="F5337" s="49">
        <v>378250</v>
      </c>
      <c r="G5337" s="77" t="str">
        <f t="shared" si="152"/>
        <v>LLC Sebco Bitumen</v>
      </c>
      <c r="H5337" s="14" t="str">
        <f t="shared" si="145"/>
        <v>true</v>
      </c>
      <c r="I5337" s="14" t="s">
        <v>2458</v>
      </c>
      <c r="J5337" s="33" t="s">
        <v>7110</v>
      </c>
      <c r="K5337" s="33" t="s">
        <v>13553</v>
      </c>
      <c r="L5337" s="53" t="str">
        <f>"سودان"</f>
        <v>سودان</v>
      </c>
      <c r="M5337" s="68" t="str">
        <f t="shared" si="153"/>
        <v>بشكه</v>
      </c>
      <c r="N5337" s="53" t="str">
        <f t="shared" si="147"/>
        <v>منطقه ويژه اقتصادي شهيد رجايي</v>
      </c>
      <c r="O5337" s="53">
        <v>50100</v>
      </c>
      <c r="P5337" s="198" t="str">
        <f>"1396546618001"</f>
        <v>1396546618001</v>
      </c>
    </row>
    <row r="5338" spans="1:16" ht="18.75" hidden="1">
      <c r="A5338" s="50" t="str">
        <f>"50100-10182241"</f>
        <v>50100-10182241</v>
      </c>
      <c r="B5338" s="50" t="str">
        <f>"97/02/15"</f>
        <v>97/02/15</v>
      </c>
      <c r="C5338" s="50" t="s">
        <v>13569</v>
      </c>
      <c r="D5338" s="12" t="s">
        <v>13266</v>
      </c>
      <c r="E5338" s="12" t="s">
        <v>13333</v>
      </c>
      <c r="F5338" s="49">
        <v>989300</v>
      </c>
      <c r="G5338" s="77" t="str">
        <f>"SHINING GREEN STAR FZE"</f>
        <v>SHINING GREEN STAR FZE</v>
      </c>
      <c r="H5338" s="14" t="str">
        <f t="shared" ref="H5338:H5364" si="154">IF(I5338="نامشخص",IF(E5338&gt;C5338,"false","true"),IF(E5338&gt;I5338,"false","true"))</f>
        <v>true</v>
      </c>
      <c r="I5338" s="14" t="s">
        <v>2458</v>
      </c>
      <c r="J5338" s="33" t="e">
        <f>VLOOKUP(C5338,شرکتها!A:B,2,FALSE)</f>
        <v>#N/A</v>
      </c>
      <c r="K5338" s="33" t="s">
        <v>13553</v>
      </c>
      <c r="L5338" s="53" t="str">
        <f>" ميانمار"</f>
        <v xml:space="preserve"> ميانمار</v>
      </c>
      <c r="M5338" s="68" t="str">
        <f t="shared" si="153"/>
        <v>بشكه</v>
      </c>
      <c r="N5338" s="53" t="str">
        <f t="shared" si="147"/>
        <v>منطقه ويژه اقتصادي شهيد رجايي</v>
      </c>
      <c r="O5338" s="53">
        <v>50100</v>
      </c>
      <c r="P5338" s="198" t="str">
        <f>"1396548703001"</f>
        <v>1396548703001</v>
      </c>
    </row>
    <row r="5339" spans="1:16" ht="18.75" hidden="1">
      <c r="A5339" s="50" t="str">
        <f>"50100-10183254"</f>
        <v>50100-10183254</v>
      </c>
      <c r="B5339" s="50" t="str">
        <f>"97/02/15"</f>
        <v>97/02/15</v>
      </c>
      <c r="C5339" s="50" t="s">
        <v>13596</v>
      </c>
      <c r="D5339" s="12" t="s">
        <v>12895</v>
      </c>
      <c r="E5339" s="12" t="s">
        <v>4971</v>
      </c>
      <c r="F5339" s="49">
        <v>199650</v>
      </c>
      <c r="G5339" s="77" t="str">
        <f>"LLC Sebco Bitumen"</f>
        <v>LLC Sebco Bitumen</v>
      </c>
      <c r="H5339" s="14" t="str">
        <f t="shared" si="154"/>
        <v>true</v>
      </c>
      <c r="I5339" s="14" t="s">
        <v>2458</v>
      </c>
      <c r="J5339" s="33" t="s">
        <v>7110</v>
      </c>
      <c r="K5339" s="33" t="s">
        <v>13553</v>
      </c>
      <c r="L5339" s="53" t="str">
        <f>"تانزانيا"</f>
        <v>تانزانيا</v>
      </c>
      <c r="M5339" s="68" t="str">
        <f t="shared" si="153"/>
        <v>بشكه</v>
      </c>
      <c r="N5339" s="53" t="str">
        <f t="shared" ref="N5339:N5357" si="155">"منطقه ويژه اقتصادي شهيد رجايي"</f>
        <v>منطقه ويژه اقتصادي شهيد رجايي</v>
      </c>
      <c r="O5339" s="53">
        <v>50100</v>
      </c>
      <c r="P5339" s="198" t="str">
        <f>"1396546618001"</f>
        <v>1396546618001</v>
      </c>
    </row>
    <row r="5340" spans="1:16" ht="18.75" hidden="1">
      <c r="A5340" s="50" t="str">
        <f>"50100-10137706"</f>
        <v>50100-10137706</v>
      </c>
      <c r="B5340" s="50" t="str">
        <f>"97/02/03"</f>
        <v>97/02/03</v>
      </c>
      <c r="C5340" s="50" t="s">
        <v>13597</v>
      </c>
      <c r="D5340" s="12" t="s">
        <v>13402</v>
      </c>
      <c r="E5340" s="12" t="s">
        <v>13333</v>
      </c>
      <c r="F5340" s="49">
        <v>3096884</v>
      </c>
      <c r="G5340" s="77" t="str">
        <f>"AL MASAR PETROLUME L.L.C"</f>
        <v>AL MASAR PETROLUME L.L.C</v>
      </c>
      <c r="H5340" s="14" t="str">
        <f t="shared" si="154"/>
        <v>true</v>
      </c>
      <c r="I5340" s="14" t="s">
        <v>2458</v>
      </c>
      <c r="J5340" s="33" t="e">
        <f>VLOOKUP(C5340,شرکتها!A:B,2,FALSE)</f>
        <v>#N/A</v>
      </c>
      <c r="K5340" s="33" t="s">
        <v>13553</v>
      </c>
      <c r="L5340" s="53" t="str">
        <f>"قطر"</f>
        <v>قطر</v>
      </c>
      <c r="M5340" s="68" t="str">
        <f>"فله"</f>
        <v>فله</v>
      </c>
      <c r="N5340" s="53" t="str">
        <f t="shared" si="155"/>
        <v>منطقه ويژه اقتصادي شهيد رجايي</v>
      </c>
      <c r="O5340" s="53">
        <v>50100</v>
      </c>
      <c r="P5340" s="198" t="str">
        <f>"1397560052001"</f>
        <v>1397560052001</v>
      </c>
    </row>
    <row r="5341" spans="1:16" ht="18.75" hidden="1">
      <c r="A5341" s="50" t="str">
        <f>"50100-10142196"</f>
        <v>50100-10142196</v>
      </c>
      <c r="B5341" s="50" t="str">
        <f>"97/02/04"</f>
        <v>97/02/04</v>
      </c>
      <c r="C5341" s="50" t="s">
        <v>13566</v>
      </c>
      <c r="D5341" s="12" t="s">
        <v>12695</v>
      </c>
      <c r="E5341" s="12" t="s">
        <v>4971</v>
      </c>
      <c r="F5341" s="49">
        <v>82160</v>
      </c>
      <c r="G5341" s="77" t="str">
        <f>"LLC Sebco Bitumen"</f>
        <v>LLC Sebco Bitumen</v>
      </c>
      <c r="H5341" s="14" t="str">
        <f t="shared" si="154"/>
        <v>true</v>
      </c>
      <c r="I5341" s="14" t="s">
        <v>2458</v>
      </c>
      <c r="J5341" s="33" t="s">
        <v>7110</v>
      </c>
      <c r="K5341" s="33" t="s">
        <v>13553</v>
      </c>
      <c r="L5341" s="53" t="str">
        <f>"هند"</f>
        <v>هند</v>
      </c>
      <c r="M5341" s="68" t="str">
        <f>"بشكه"</f>
        <v>بشكه</v>
      </c>
      <c r="N5341" s="53" t="str">
        <f t="shared" si="155"/>
        <v>منطقه ويژه اقتصادي شهيد رجايي</v>
      </c>
      <c r="O5341" s="53">
        <v>50100</v>
      </c>
      <c r="P5341" s="198" t="str">
        <f>"1396540546001"</f>
        <v>1396540546001</v>
      </c>
    </row>
    <row r="5342" spans="1:16" ht="18.75" hidden="1">
      <c r="A5342" s="50" t="str">
        <f>"50100-10183989"</f>
        <v>50100-10183989</v>
      </c>
      <c r="B5342" s="50" t="str">
        <f>"97/02/15"</f>
        <v>97/02/15</v>
      </c>
      <c r="C5342" s="50" t="s">
        <v>13596</v>
      </c>
      <c r="D5342" s="12" t="s">
        <v>12895</v>
      </c>
      <c r="E5342" s="12" t="s">
        <v>4971</v>
      </c>
      <c r="F5342" s="49">
        <v>49030</v>
      </c>
      <c r="G5342" s="77" t="str">
        <f>"LLC Sebco Bitumen"</f>
        <v>LLC Sebco Bitumen</v>
      </c>
      <c r="H5342" s="14" t="str">
        <f t="shared" si="154"/>
        <v>true</v>
      </c>
      <c r="I5342" s="14" t="s">
        <v>2458</v>
      </c>
      <c r="J5342" s="33" t="s">
        <v>7110</v>
      </c>
      <c r="K5342" s="33" t="s">
        <v>13553</v>
      </c>
      <c r="L5342" s="53" t="str">
        <f>"هند"</f>
        <v>هند</v>
      </c>
      <c r="M5342" s="68" t="str">
        <f>"بشكه"</f>
        <v>بشكه</v>
      </c>
      <c r="N5342" s="53" t="str">
        <f t="shared" si="155"/>
        <v>منطقه ويژه اقتصادي شهيد رجايي</v>
      </c>
      <c r="O5342" s="53">
        <v>50100</v>
      </c>
      <c r="P5342" s="198" t="str">
        <f>"1396546618001"</f>
        <v>1396546618001</v>
      </c>
    </row>
    <row r="5343" spans="1:16" ht="18.75" hidden="1">
      <c r="A5343" s="50" t="str">
        <f>"50100-10126413"</f>
        <v>50100-10126413</v>
      </c>
      <c r="B5343" s="50" t="str">
        <f>"97/02/01"</f>
        <v>97/02/01</v>
      </c>
      <c r="C5343" s="50" t="s">
        <v>13598</v>
      </c>
      <c r="D5343" s="12" t="s">
        <v>13563</v>
      </c>
      <c r="E5343" s="12" t="s">
        <v>13333</v>
      </c>
      <c r="F5343" s="49">
        <v>3290335</v>
      </c>
      <c r="G5343" s="77" t="str">
        <f>"AL MASAR PETROLUME L.L.C"</f>
        <v>AL MASAR PETROLUME L.L.C</v>
      </c>
      <c r="H5343" s="14" t="str">
        <f t="shared" si="154"/>
        <v>true</v>
      </c>
      <c r="I5343" s="14" t="s">
        <v>2458</v>
      </c>
      <c r="J5343" s="33" t="e">
        <f>VLOOKUP(C5343,شرکتها!A:B,2,FALSE)</f>
        <v>#N/A</v>
      </c>
      <c r="K5343" s="33" t="s">
        <v>13553</v>
      </c>
      <c r="L5343" s="53" t="str">
        <f>"قطر"</f>
        <v>قطر</v>
      </c>
      <c r="M5343" s="68" t="s">
        <v>8914</v>
      </c>
      <c r="N5343" s="53" t="str">
        <f t="shared" si="155"/>
        <v>منطقه ويژه اقتصادي شهيد رجايي</v>
      </c>
      <c r="O5343" s="53">
        <v>50100</v>
      </c>
      <c r="P5343" s="198" t="str">
        <f>"1397560052001"</f>
        <v>1397560052001</v>
      </c>
    </row>
    <row r="5344" spans="1:16" ht="18.75" hidden="1">
      <c r="A5344" s="50" t="str">
        <f>"50100-10164376"</f>
        <v>50100-10164376</v>
      </c>
      <c r="B5344" s="50" t="str">
        <f>"97/02/09"</f>
        <v>97/02/09</v>
      </c>
      <c r="C5344" s="50" t="s">
        <v>13572</v>
      </c>
      <c r="D5344" s="12" t="s">
        <v>13343</v>
      </c>
      <c r="E5344" s="12" t="s">
        <v>13333</v>
      </c>
      <c r="F5344" s="49">
        <v>47804</v>
      </c>
      <c r="G5344" s="77" t="str">
        <f>"Black Gold Traders FZE"</f>
        <v>Black Gold Traders FZE</v>
      </c>
      <c r="H5344" s="14" t="str">
        <f t="shared" si="154"/>
        <v>true</v>
      </c>
      <c r="I5344" s="14" t="s">
        <v>2458</v>
      </c>
      <c r="J5344" s="33" t="s">
        <v>7110</v>
      </c>
      <c r="K5344" s="33" t="s">
        <v>13553</v>
      </c>
      <c r="L5344" s="53" t="str">
        <f>" ميانمار"</f>
        <v xml:space="preserve"> ميانمار</v>
      </c>
      <c r="M5344" s="68" t="str">
        <f t="shared" ref="M5344:M5357" si="156">"بشكه"</f>
        <v>بشكه</v>
      </c>
      <c r="N5344" s="53" t="str">
        <f t="shared" si="155"/>
        <v>منطقه ويژه اقتصادي شهيد رجايي</v>
      </c>
      <c r="O5344" s="53">
        <v>50100</v>
      </c>
      <c r="P5344" s="198" t="str">
        <f>"1396529909001"</f>
        <v>1396529909001</v>
      </c>
    </row>
    <row r="5345" spans="1:16" ht="18.75" hidden="1">
      <c r="A5345" s="50" t="str">
        <f>"50100-10183989"</f>
        <v>50100-10183989</v>
      </c>
      <c r="B5345" s="50" t="str">
        <f>"97/02/15"</f>
        <v>97/02/15</v>
      </c>
      <c r="C5345" s="50" t="s">
        <v>13586</v>
      </c>
      <c r="D5345" s="12" t="s">
        <v>12944</v>
      </c>
      <c r="E5345" s="12" t="s">
        <v>4971</v>
      </c>
      <c r="F5345" s="49">
        <v>169133</v>
      </c>
      <c r="G5345" s="77" t="str">
        <f>"LLC Sebco Bitumen"</f>
        <v>LLC Sebco Bitumen</v>
      </c>
      <c r="H5345" s="14" t="str">
        <f t="shared" si="154"/>
        <v>true</v>
      </c>
      <c r="I5345" s="14" t="s">
        <v>2458</v>
      </c>
      <c r="J5345" s="33" t="s">
        <v>7110</v>
      </c>
      <c r="K5345" s="33" t="s">
        <v>13553</v>
      </c>
      <c r="L5345" s="53" t="str">
        <f>"هند"</f>
        <v>هند</v>
      </c>
      <c r="M5345" s="68" t="str">
        <f t="shared" si="156"/>
        <v>بشكه</v>
      </c>
      <c r="N5345" s="53" t="str">
        <f t="shared" si="155"/>
        <v>منطقه ويژه اقتصادي شهيد رجايي</v>
      </c>
      <c r="O5345" s="53">
        <v>50100</v>
      </c>
      <c r="P5345" s="198" t="str">
        <f>"1396546618001"</f>
        <v>1396546618001</v>
      </c>
    </row>
    <row r="5346" spans="1:16" ht="18.75" hidden="1">
      <c r="A5346" s="50" t="str">
        <f>"50100-10124662"</f>
        <v>50100-10124662</v>
      </c>
      <c r="B5346" s="50" t="str">
        <f>"97/02/01"</f>
        <v>97/02/01</v>
      </c>
      <c r="C5346" s="50" t="s">
        <v>13363</v>
      </c>
      <c r="D5346" s="12" t="s">
        <v>12583</v>
      </c>
      <c r="E5346" s="12" t="s">
        <v>4971</v>
      </c>
      <c r="F5346" s="49">
        <v>488240</v>
      </c>
      <c r="G5346" s="77" t="str">
        <f>"GLOBUS INTERNATIONAL FZE"</f>
        <v>GLOBUS INTERNATIONAL FZE</v>
      </c>
      <c r="H5346" s="14" t="str">
        <f t="shared" si="154"/>
        <v>true</v>
      </c>
      <c r="I5346" s="14" t="s">
        <v>2458</v>
      </c>
      <c r="J5346" s="33" t="s">
        <v>7110</v>
      </c>
      <c r="K5346" s="33" t="s">
        <v>13553</v>
      </c>
      <c r="L5346" s="53" t="str">
        <f>"جيبوتي"</f>
        <v>جيبوتي</v>
      </c>
      <c r="M5346" s="68" t="str">
        <f t="shared" si="156"/>
        <v>بشكه</v>
      </c>
      <c r="N5346" s="53" t="str">
        <f t="shared" si="155"/>
        <v>منطقه ويژه اقتصادي شهيد رجايي</v>
      </c>
      <c r="O5346" s="53">
        <v>50100</v>
      </c>
      <c r="P5346" s="198" t="str">
        <f>"1396539495001"</f>
        <v>1396539495001</v>
      </c>
    </row>
    <row r="5347" spans="1:16" ht="18.75" hidden="1">
      <c r="A5347" s="50" t="str">
        <f>"50100-10184567"</f>
        <v>50100-10184567</v>
      </c>
      <c r="B5347" s="50" t="str">
        <f>"97/02/15"</f>
        <v>97/02/15</v>
      </c>
      <c r="C5347" s="50" t="s">
        <v>13585</v>
      </c>
      <c r="D5347" s="12" t="s">
        <v>13266</v>
      </c>
      <c r="E5347" s="12" t="s">
        <v>13333</v>
      </c>
      <c r="F5347" s="49">
        <v>255680</v>
      </c>
      <c r="G5347" s="77" t="str">
        <f>"DAXON PETROLEUM"</f>
        <v>DAXON PETROLEUM</v>
      </c>
      <c r="H5347" s="14" t="str">
        <f t="shared" si="154"/>
        <v>true</v>
      </c>
      <c r="I5347" s="14" t="s">
        <v>2458</v>
      </c>
      <c r="J5347" s="33" t="s">
        <v>7110</v>
      </c>
      <c r="K5347" s="33" t="s">
        <v>13553</v>
      </c>
      <c r="L5347" s="53" t="str">
        <f>"هند"</f>
        <v>هند</v>
      </c>
      <c r="M5347" s="68" t="str">
        <f t="shared" si="156"/>
        <v>بشكه</v>
      </c>
      <c r="N5347" s="53" t="str">
        <f t="shared" si="155"/>
        <v>منطقه ويژه اقتصادي شهيد رجايي</v>
      </c>
      <c r="O5347" s="53">
        <v>50100</v>
      </c>
      <c r="P5347" s="198" t="str">
        <f>"1396548700001"</f>
        <v>1396548700001</v>
      </c>
    </row>
    <row r="5348" spans="1:16" ht="18.75" hidden="1">
      <c r="A5348" s="50" t="str">
        <f>"50100-10125848"</f>
        <v>50100-10125848</v>
      </c>
      <c r="B5348" s="50" t="str">
        <f>"97/02/01"</f>
        <v>97/02/01</v>
      </c>
      <c r="C5348" s="50" t="s">
        <v>13599</v>
      </c>
      <c r="D5348" s="12" t="s">
        <v>13563</v>
      </c>
      <c r="E5348" s="12" t="s">
        <v>13333</v>
      </c>
      <c r="F5348" s="49">
        <v>491013</v>
      </c>
      <c r="G5348" s="77" t="str">
        <f>"LLC Sebco Bitumen"</f>
        <v>LLC Sebco Bitumen</v>
      </c>
      <c r="H5348" s="14" t="str">
        <f t="shared" si="154"/>
        <v>true</v>
      </c>
      <c r="I5348" s="14" t="s">
        <v>2458</v>
      </c>
      <c r="J5348" s="33" t="s">
        <v>7110</v>
      </c>
      <c r="K5348" s="33" t="s">
        <v>13553</v>
      </c>
      <c r="L5348" s="53" t="str">
        <f>"چين"</f>
        <v>چين</v>
      </c>
      <c r="M5348" s="68" t="str">
        <f t="shared" si="156"/>
        <v>بشكه</v>
      </c>
      <c r="N5348" s="53" t="str">
        <f t="shared" si="155"/>
        <v>منطقه ويژه اقتصادي شهيد رجايي</v>
      </c>
      <c r="O5348" s="53">
        <v>50100</v>
      </c>
      <c r="P5348" s="198" t="str">
        <f>"1396548704001"</f>
        <v>1396548704001</v>
      </c>
    </row>
    <row r="5349" spans="1:16" ht="18.75" hidden="1">
      <c r="A5349" s="50" t="str">
        <f>"50100-10162563"</f>
        <v>50100-10162563</v>
      </c>
      <c r="B5349" s="50" t="str">
        <f>"97/02/09"</f>
        <v>97/02/09</v>
      </c>
      <c r="C5349" s="50" t="s">
        <v>13600</v>
      </c>
      <c r="D5349" s="12" t="s">
        <v>12583</v>
      </c>
      <c r="E5349" s="12" t="s">
        <v>4971</v>
      </c>
      <c r="F5349" s="49">
        <v>200000</v>
      </c>
      <c r="G5349" s="77" t="str">
        <f>"SHINING GREEN STAR FZE"</f>
        <v>SHINING GREEN STAR FZE</v>
      </c>
      <c r="H5349" s="14" t="str">
        <f t="shared" si="154"/>
        <v>true</v>
      </c>
      <c r="I5349" s="14" t="s">
        <v>2458</v>
      </c>
      <c r="J5349" s="33" t="s">
        <v>7110</v>
      </c>
      <c r="K5349" s="33" t="s">
        <v>13553</v>
      </c>
      <c r="L5349" s="53" t="str">
        <f>" ميانمار"</f>
        <v xml:space="preserve"> ميانمار</v>
      </c>
      <c r="M5349" s="68" t="str">
        <f t="shared" si="156"/>
        <v>بشكه</v>
      </c>
      <c r="N5349" s="53" t="str">
        <f t="shared" si="155"/>
        <v>منطقه ويژه اقتصادي شهيد رجايي</v>
      </c>
      <c r="O5349" s="53">
        <v>50100</v>
      </c>
      <c r="P5349" s="198" t="str">
        <f>"1396534602001"</f>
        <v>1396534602001</v>
      </c>
    </row>
    <row r="5350" spans="1:16" ht="18.75" hidden="1">
      <c r="A5350" s="50" t="str">
        <f>"50100-10170079"</f>
        <v>50100-10170079</v>
      </c>
      <c r="B5350" s="50" t="str">
        <f>"97/02/10"</f>
        <v>97/02/10</v>
      </c>
      <c r="C5350" s="50" t="s">
        <v>13571</v>
      </c>
      <c r="D5350" s="12" t="s">
        <v>13375</v>
      </c>
      <c r="E5350" s="12" t="s">
        <v>4971</v>
      </c>
      <c r="F5350" s="49">
        <v>46085</v>
      </c>
      <c r="G5350" s="77" t="str">
        <f>"AL MASAR PETROLUME L.L.C"</f>
        <v>AL MASAR PETROLUME L.L.C</v>
      </c>
      <c r="H5350" s="14" t="str">
        <f t="shared" si="154"/>
        <v>true</v>
      </c>
      <c r="I5350" s="14" t="s">
        <v>2458</v>
      </c>
      <c r="J5350" s="33" t="e">
        <f>VLOOKUP(C5350,شرکتها!A:B,2,FALSE)</f>
        <v>#N/A</v>
      </c>
      <c r="K5350" s="33" t="s">
        <v>13553</v>
      </c>
      <c r="L5350" s="53" t="str">
        <f>"بنگلادش"</f>
        <v>بنگلادش</v>
      </c>
      <c r="M5350" s="68" t="str">
        <f t="shared" si="156"/>
        <v>بشكه</v>
      </c>
      <c r="N5350" s="53" t="str">
        <f t="shared" si="155"/>
        <v>منطقه ويژه اقتصادي شهيد رجايي</v>
      </c>
      <c r="O5350" s="53">
        <v>50100</v>
      </c>
      <c r="P5350" s="198" t="str">
        <f>"1396536910001"</f>
        <v>1396536910001</v>
      </c>
    </row>
    <row r="5351" spans="1:16" ht="18.75" hidden="1">
      <c r="A5351" s="50" t="str">
        <f>"50100-10184431"</f>
        <v>50100-10184431</v>
      </c>
      <c r="B5351" s="50" t="str">
        <f>"97/02/15"</f>
        <v>97/02/15</v>
      </c>
      <c r="C5351" s="50" t="s">
        <v>13601</v>
      </c>
      <c r="D5351" s="12" t="s">
        <v>12880</v>
      </c>
      <c r="E5351" s="12" t="s">
        <v>4971</v>
      </c>
      <c r="F5351" s="49">
        <v>54683</v>
      </c>
      <c r="G5351" s="77" t="str">
        <f>"LLC Sebco Bitumen"</f>
        <v>LLC Sebco Bitumen</v>
      </c>
      <c r="H5351" s="14" t="str">
        <f t="shared" si="154"/>
        <v>true</v>
      </c>
      <c r="I5351" s="14" t="s">
        <v>2458</v>
      </c>
      <c r="J5351" s="33" t="s">
        <v>7110</v>
      </c>
      <c r="K5351" s="33" t="s">
        <v>13553</v>
      </c>
      <c r="L5351" s="53" t="str">
        <f>"هند"</f>
        <v>هند</v>
      </c>
      <c r="M5351" s="68" t="str">
        <f t="shared" si="156"/>
        <v>بشكه</v>
      </c>
      <c r="N5351" s="53" t="str">
        <f t="shared" si="155"/>
        <v>منطقه ويژه اقتصادي شهيد رجايي</v>
      </c>
      <c r="O5351" s="53">
        <v>50100</v>
      </c>
      <c r="P5351" s="198" t="str">
        <f>"1396548704001"</f>
        <v>1396548704001</v>
      </c>
    </row>
    <row r="5352" spans="1:16" ht="18.75" hidden="1">
      <c r="A5352" s="50" t="str">
        <f>"50100-10173754"</f>
        <v>50100-10173754</v>
      </c>
      <c r="B5352" s="50" t="str">
        <f>"97/02/11"</f>
        <v>97/02/11</v>
      </c>
      <c r="C5352" s="50" t="s">
        <v>13602</v>
      </c>
      <c r="D5352" s="12" t="s">
        <v>13473</v>
      </c>
      <c r="E5352" s="12" t="s">
        <v>13333</v>
      </c>
      <c r="F5352" s="49">
        <v>3094199</v>
      </c>
      <c r="G5352" s="77" t="str">
        <f>"AL MASAR PETROLUME L.L.C"</f>
        <v>AL MASAR PETROLUME L.L.C</v>
      </c>
      <c r="H5352" s="14" t="str">
        <f t="shared" si="154"/>
        <v>true</v>
      </c>
      <c r="I5352" s="14" t="s">
        <v>2458</v>
      </c>
      <c r="J5352" s="33" t="e">
        <f>VLOOKUP(C5352,شرکتها!A:B,2,FALSE)</f>
        <v>#N/A</v>
      </c>
      <c r="K5352" s="33" t="s">
        <v>13553</v>
      </c>
      <c r="L5352" s="53" t="str">
        <f>"قطر"</f>
        <v>قطر</v>
      </c>
      <c r="M5352" s="68" t="s">
        <v>8913</v>
      </c>
      <c r="N5352" s="53" t="str">
        <f t="shared" si="155"/>
        <v>منطقه ويژه اقتصادي شهيد رجايي</v>
      </c>
      <c r="O5352" s="53">
        <v>50100</v>
      </c>
      <c r="P5352" s="198" t="str">
        <f>"1397560052001"</f>
        <v>1397560052001</v>
      </c>
    </row>
    <row r="5353" spans="1:16" ht="18.75" hidden="1">
      <c r="A5353" s="50" t="str">
        <f>"50100-10131079"</f>
        <v>50100-10131079</v>
      </c>
      <c r="B5353" s="50" t="str">
        <f>"97/02/02"</f>
        <v>97/02/02</v>
      </c>
      <c r="C5353" s="50" t="s">
        <v>13603</v>
      </c>
      <c r="D5353" s="12" t="s">
        <v>12477</v>
      </c>
      <c r="E5353" s="12" t="s">
        <v>4971</v>
      </c>
      <c r="F5353" s="49">
        <v>260000</v>
      </c>
      <c r="G5353" s="77" t="str">
        <f>"DAXON PETROLEUM"</f>
        <v>DAXON PETROLEUM</v>
      </c>
      <c r="H5353" s="14" t="str">
        <f t="shared" si="154"/>
        <v>true</v>
      </c>
      <c r="I5353" s="14" t="s">
        <v>2458</v>
      </c>
      <c r="J5353" s="33" t="s">
        <v>7110</v>
      </c>
      <c r="K5353" s="33" t="s">
        <v>13553</v>
      </c>
      <c r="L5353" s="53" t="str">
        <f>"هند"</f>
        <v>هند</v>
      </c>
      <c r="M5353" s="68" t="str">
        <f t="shared" si="156"/>
        <v>بشكه</v>
      </c>
      <c r="N5353" s="53" t="str">
        <f t="shared" si="155"/>
        <v>منطقه ويژه اقتصادي شهيد رجايي</v>
      </c>
      <c r="O5353" s="53">
        <v>50100</v>
      </c>
      <c r="P5353" s="198" t="str">
        <f>"1396538726001"</f>
        <v>1396538726001</v>
      </c>
    </row>
    <row r="5354" spans="1:16" ht="18.75" hidden="1">
      <c r="A5354" s="50" t="str">
        <f>"50100-10160625"</f>
        <v>50100-10160625</v>
      </c>
      <c r="B5354" s="50" t="str">
        <f>"97/02/08"</f>
        <v>97/02/08</v>
      </c>
      <c r="C5354" s="50" t="s">
        <v>13604</v>
      </c>
      <c r="D5354" s="12" t="s">
        <v>13266</v>
      </c>
      <c r="E5354" s="12" t="s">
        <v>13333</v>
      </c>
      <c r="F5354" s="49">
        <v>224583</v>
      </c>
      <c r="G5354" s="77" t="str">
        <f>"Black Gold Traders FZE"</f>
        <v>Black Gold Traders FZE</v>
      </c>
      <c r="H5354" s="14" t="str">
        <f t="shared" si="154"/>
        <v>true</v>
      </c>
      <c r="I5354" s="14" t="s">
        <v>2458</v>
      </c>
      <c r="J5354" s="33" t="s">
        <v>7110</v>
      </c>
      <c r="K5354" s="33" t="s">
        <v>13553</v>
      </c>
      <c r="L5354" s="53" t="str">
        <f>"هند"</f>
        <v>هند</v>
      </c>
      <c r="M5354" s="68" t="str">
        <f t="shared" si="156"/>
        <v>بشكه</v>
      </c>
      <c r="N5354" s="53" t="str">
        <f t="shared" si="155"/>
        <v>منطقه ويژه اقتصادي شهيد رجايي</v>
      </c>
      <c r="O5354" s="53">
        <v>50100</v>
      </c>
      <c r="P5354" s="198" t="s">
        <v>9785</v>
      </c>
    </row>
    <row r="5355" spans="1:16" ht="18.75" hidden="1">
      <c r="A5355" s="50" t="str">
        <f>"50100-10164217"</f>
        <v>50100-10164217</v>
      </c>
      <c r="B5355" s="50" t="str">
        <f>"97/02/09"</f>
        <v>97/02/09</v>
      </c>
      <c r="C5355" s="50" t="s">
        <v>13604</v>
      </c>
      <c r="D5355" s="12" t="s">
        <v>13266</v>
      </c>
      <c r="E5355" s="12" t="s">
        <v>13333</v>
      </c>
      <c r="F5355" s="49">
        <v>154</v>
      </c>
      <c r="G5355" s="77" t="str">
        <f>"Black Gold Traders FZE"</f>
        <v>Black Gold Traders FZE</v>
      </c>
      <c r="H5355" s="14" t="str">
        <f t="shared" si="154"/>
        <v>true</v>
      </c>
      <c r="I5355" s="14" t="s">
        <v>2458</v>
      </c>
      <c r="J5355" s="33" t="s">
        <v>7110</v>
      </c>
      <c r="K5355" s="33" t="s">
        <v>13553</v>
      </c>
      <c r="L5355" s="53" t="str">
        <f>"هند"</f>
        <v>هند</v>
      </c>
      <c r="M5355" s="68" t="str">
        <f t="shared" si="156"/>
        <v>بشكه</v>
      </c>
      <c r="N5355" s="53" t="str">
        <f t="shared" si="155"/>
        <v>منطقه ويژه اقتصادي شهيد رجايي</v>
      </c>
      <c r="O5355" s="53">
        <v>50100</v>
      </c>
      <c r="P5355" s="198" t="s">
        <v>9785</v>
      </c>
    </row>
    <row r="5356" spans="1:16" ht="18.75" hidden="1">
      <c r="A5356" s="50" t="str">
        <f t="shared" ref="A5356:A5357" si="157">"50100-10164376"</f>
        <v>50100-10164376</v>
      </c>
      <c r="B5356" s="50" t="str">
        <f t="shared" ref="B5356:B5357" si="158">"97/02/09"</f>
        <v>97/02/09</v>
      </c>
      <c r="C5356" s="50" t="s">
        <v>13584</v>
      </c>
      <c r="D5356" s="12" t="s">
        <v>13343</v>
      </c>
      <c r="E5356" s="12" t="s">
        <v>13333</v>
      </c>
      <c r="F5356" s="49">
        <v>10000</v>
      </c>
      <c r="G5356" s="77" t="str">
        <f t="shared" ref="G5356:G5357" si="159">"Black Gold Traders FZE"</f>
        <v>Black Gold Traders FZE</v>
      </c>
      <c r="H5356" s="14" t="str">
        <f t="shared" si="154"/>
        <v>true</v>
      </c>
      <c r="I5356" s="14" t="s">
        <v>2458</v>
      </c>
      <c r="J5356" s="33" t="s">
        <v>7110</v>
      </c>
      <c r="K5356" s="33" t="s">
        <v>13553</v>
      </c>
      <c r="L5356" s="53" t="str">
        <f t="shared" ref="L5356:L5357" si="160">" ميانمار"</f>
        <v xml:space="preserve"> ميانمار</v>
      </c>
      <c r="M5356" s="68" t="str">
        <f t="shared" si="156"/>
        <v>بشكه</v>
      </c>
      <c r="N5356" s="53" t="str">
        <f t="shared" si="155"/>
        <v>منطقه ويژه اقتصادي شهيد رجايي</v>
      </c>
      <c r="O5356" s="53">
        <v>50100</v>
      </c>
      <c r="P5356" s="198" t="s">
        <v>9785</v>
      </c>
    </row>
    <row r="5357" spans="1:16" ht="18.75" hidden="1">
      <c r="A5357" s="50" t="str">
        <f t="shared" si="157"/>
        <v>50100-10164376</v>
      </c>
      <c r="B5357" s="50" t="str">
        <f t="shared" si="158"/>
        <v>97/02/09</v>
      </c>
      <c r="C5357" s="50" t="s">
        <v>13605</v>
      </c>
      <c r="D5357" s="12" t="s">
        <v>13343</v>
      </c>
      <c r="E5357" s="12" t="s">
        <v>13333</v>
      </c>
      <c r="F5357" s="49">
        <v>442106</v>
      </c>
      <c r="G5357" s="77" t="str">
        <f t="shared" si="159"/>
        <v>Black Gold Traders FZE</v>
      </c>
      <c r="H5357" s="14" t="str">
        <f t="shared" si="154"/>
        <v>true</v>
      </c>
      <c r="I5357" s="14" t="s">
        <v>2458</v>
      </c>
      <c r="J5357" s="33" t="s">
        <v>7110</v>
      </c>
      <c r="K5357" s="33" t="s">
        <v>13553</v>
      </c>
      <c r="L5357" s="53" t="str">
        <f t="shared" si="160"/>
        <v xml:space="preserve"> ميانمار</v>
      </c>
      <c r="M5357" s="68" t="str">
        <f t="shared" si="156"/>
        <v>بشكه</v>
      </c>
      <c r="N5357" s="53" t="str">
        <f t="shared" si="155"/>
        <v>منطقه ويژه اقتصادي شهيد رجايي</v>
      </c>
      <c r="O5357" s="53">
        <v>50100</v>
      </c>
      <c r="P5357" s="198" t="s">
        <v>9785</v>
      </c>
    </row>
    <row r="5358" spans="1:16" ht="18.75" hidden="1">
      <c r="A5358" s="50" t="str">
        <f>"50100-10170079"</f>
        <v>50100-10170079</v>
      </c>
      <c r="B5358" s="50" t="str">
        <f>"97/02/10"</f>
        <v>97/02/10</v>
      </c>
      <c r="C5358" s="50" t="s">
        <v>13606</v>
      </c>
      <c r="D5358" s="12" t="s">
        <v>13375</v>
      </c>
      <c r="E5358" s="12" t="s">
        <v>13333</v>
      </c>
      <c r="F5358" s="49">
        <v>448964</v>
      </c>
      <c r="G5358" s="77" t="str">
        <f>"AL MASAR PETROLUME L.L.C"</f>
        <v>AL MASAR PETROLUME L.L.C</v>
      </c>
      <c r="H5358" s="14" t="str">
        <f t="shared" si="154"/>
        <v>true</v>
      </c>
      <c r="I5358" s="14" t="s">
        <v>2458</v>
      </c>
      <c r="J5358" s="33" t="e">
        <f>VLOOKUP(C5358,شرکتها!A:B,2,FALSE)</f>
        <v>#N/A</v>
      </c>
      <c r="K5358" s="33" t="s">
        <v>13553</v>
      </c>
      <c r="L5358" s="53" t="str">
        <f>"بنگلادش"</f>
        <v>بنگلادش</v>
      </c>
      <c r="M5358" s="68" t="str">
        <f>"بشكه"</f>
        <v>بشكه</v>
      </c>
      <c r="N5358" s="53" t="str">
        <f>"منطقه ويژه اقتصادي شهيد رجايي"</f>
        <v>منطقه ويژه اقتصادي شهيد رجايي</v>
      </c>
      <c r="O5358" s="53">
        <v>50100</v>
      </c>
      <c r="P5358" s="198" t="str">
        <f>"1396536910001"</f>
        <v>1396536910001</v>
      </c>
    </row>
    <row r="5359" spans="1:16" ht="18.75" hidden="1">
      <c r="A5359" s="50" t="str">
        <f t="shared" ref="A5359:A5360" si="161">"50100-10183002"</f>
        <v>50100-10183002</v>
      </c>
      <c r="B5359" s="50" t="str">
        <f t="shared" ref="B5359:B5360" si="162">"97/02/15"</f>
        <v>97/02/15</v>
      </c>
      <c r="C5359" s="50" t="s">
        <v>13605</v>
      </c>
      <c r="D5359" s="12" t="s">
        <v>13563</v>
      </c>
      <c r="E5359" s="12" t="s">
        <v>13333</v>
      </c>
      <c r="F5359" s="49">
        <v>177894</v>
      </c>
      <c r="G5359" s="77" t="s">
        <v>6300</v>
      </c>
      <c r="H5359" s="14" t="str">
        <f t="shared" si="154"/>
        <v>true</v>
      </c>
      <c r="I5359" s="14" t="s">
        <v>2458</v>
      </c>
      <c r="J5359" s="33" t="s">
        <v>7110</v>
      </c>
      <c r="K5359" s="33" t="s">
        <v>13553</v>
      </c>
      <c r="L5359" s="53" t="str">
        <f t="shared" ref="L5359:L5360" si="163">"سودان"</f>
        <v>سودان</v>
      </c>
      <c r="M5359" s="68" t="str">
        <f t="shared" ref="M5359:M5360" si="164">"بشكه"</f>
        <v>بشكه</v>
      </c>
      <c r="N5359" s="53" t="str">
        <f t="shared" ref="N5359:N5360" si="165">"منطقه ويژه اقتصادي شهيد رجايي"</f>
        <v>منطقه ويژه اقتصادي شهيد رجايي</v>
      </c>
      <c r="O5359" s="53">
        <v>50100</v>
      </c>
      <c r="P5359" s="198" t="s">
        <v>9785</v>
      </c>
    </row>
    <row r="5360" spans="1:16" ht="18.75" hidden="1">
      <c r="A5360" s="50" t="str">
        <f t="shared" si="161"/>
        <v>50100-10183002</v>
      </c>
      <c r="B5360" s="50" t="str">
        <f t="shared" si="162"/>
        <v>97/02/15</v>
      </c>
      <c r="C5360" s="50" t="s">
        <v>13607</v>
      </c>
      <c r="D5360" s="12" t="s">
        <v>13549</v>
      </c>
      <c r="E5360" s="12" t="s">
        <v>13333</v>
      </c>
      <c r="F5360" s="49">
        <v>443096</v>
      </c>
      <c r="G5360" s="77" t="s">
        <v>6300</v>
      </c>
      <c r="H5360" s="14" t="str">
        <f t="shared" si="154"/>
        <v>true</v>
      </c>
      <c r="I5360" s="14" t="s">
        <v>2458</v>
      </c>
      <c r="J5360" s="33" t="s">
        <v>7110</v>
      </c>
      <c r="K5360" s="33" t="s">
        <v>13553</v>
      </c>
      <c r="L5360" s="53" t="str">
        <f t="shared" si="163"/>
        <v>سودان</v>
      </c>
      <c r="M5360" s="68" t="str">
        <f t="shared" si="164"/>
        <v>بشكه</v>
      </c>
      <c r="N5360" s="53" t="str">
        <f t="shared" si="165"/>
        <v>منطقه ويژه اقتصادي شهيد رجايي</v>
      </c>
      <c r="O5360" s="53">
        <v>50100</v>
      </c>
      <c r="P5360" s="198" t="s">
        <v>12678</v>
      </c>
    </row>
    <row r="5361" spans="1:16" ht="18.75" hidden="1">
      <c r="A5361" s="50" t="str">
        <f>"45100-795708"</f>
        <v>45100-795708</v>
      </c>
      <c r="B5361" s="50" t="str">
        <f>"97/02/11"</f>
        <v>97/02/11</v>
      </c>
      <c r="C5361" s="50" t="s">
        <v>13608</v>
      </c>
      <c r="D5361" s="12" t="s">
        <v>12601</v>
      </c>
      <c r="E5361" s="12" t="s">
        <v>4971</v>
      </c>
      <c r="F5361" s="49">
        <v>2224610</v>
      </c>
      <c r="G5361" s="77" t="str">
        <f>"Black Gold Traders FZE"</f>
        <v>Black Gold Traders FZE</v>
      </c>
      <c r="H5361" s="14" t="str">
        <f t="shared" si="154"/>
        <v>true</v>
      </c>
      <c r="I5361" s="14" t="s">
        <v>2458</v>
      </c>
      <c r="J5361" s="33" t="s">
        <v>7110</v>
      </c>
      <c r="K5361" s="33" t="s">
        <v>13553</v>
      </c>
      <c r="L5361" s="53" t="str">
        <f>"پاکستان"</f>
        <v>پاکستان</v>
      </c>
      <c r="M5361" s="68" t="str">
        <f>"فله"</f>
        <v>فله</v>
      </c>
      <c r="N5361" s="53" t="str">
        <f>"منطقه ويژه اقتصادي بوشهر 1"</f>
        <v>منطقه ويژه اقتصادي بوشهر 1</v>
      </c>
      <c r="O5361" s="53">
        <v>45100</v>
      </c>
      <c r="P5361" s="198" t="str">
        <f>"1396538725001"</f>
        <v>1396538725001</v>
      </c>
    </row>
    <row r="5362" spans="1:16" ht="18.75" hidden="1">
      <c r="A5362" s="50" t="str">
        <f>"45100-796191"</f>
        <v>45100-796191</v>
      </c>
      <c r="B5362" s="50" t="str">
        <f>"97/02/15"</f>
        <v>97/02/15</v>
      </c>
      <c r="C5362" s="50" t="s">
        <v>13609</v>
      </c>
      <c r="D5362" s="12" t="s">
        <v>13266</v>
      </c>
      <c r="E5362" s="12" t="s">
        <v>13333</v>
      </c>
      <c r="F5362" s="49">
        <v>1430000</v>
      </c>
      <c r="G5362" s="77" t="str">
        <f>"Black Gold Traders FZE"</f>
        <v>Black Gold Traders FZE</v>
      </c>
      <c r="H5362" s="14" t="str">
        <f t="shared" si="154"/>
        <v>true</v>
      </c>
      <c r="I5362" s="14" t="s">
        <v>2458</v>
      </c>
      <c r="J5362" s="33" t="s">
        <v>7110</v>
      </c>
      <c r="K5362" s="33" t="s">
        <v>13553</v>
      </c>
      <c r="L5362" s="53" t="str">
        <f>"پاکستان"</f>
        <v>پاکستان</v>
      </c>
      <c r="M5362" s="68" t="str">
        <f>"فله"</f>
        <v>فله</v>
      </c>
      <c r="N5362" s="53" t="str">
        <f>"منطقه ويژه اقتصادي بوشهر 1"</f>
        <v>منطقه ويژه اقتصادي بوشهر 1</v>
      </c>
      <c r="O5362" s="53">
        <v>45100</v>
      </c>
      <c r="P5362" s="198" t="str">
        <f>"1396529909001"</f>
        <v>1396529909001</v>
      </c>
    </row>
    <row r="5363" spans="1:16" ht="18.75" hidden="1">
      <c r="A5363" s="50" t="str">
        <f>"45100-796191"</f>
        <v>45100-796191</v>
      </c>
      <c r="B5363" s="50" t="str">
        <f>"97/02/15"</f>
        <v>97/02/15</v>
      </c>
      <c r="C5363" s="50" t="s">
        <v>12865</v>
      </c>
      <c r="D5363" s="12" t="s">
        <v>10012</v>
      </c>
      <c r="E5363" s="12" t="s">
        <v>4971</v>
      </c>
      <c r="F5363" s="49">
        <v>193134</v>
      </c>
      <c r="G5363" s="77" t="str">
        <f>"Black Gold Traders FZE"</f>
        <v>Black Gold Traders FZE</v>
      </c>
      <c r="H5363" s="14" t="str">
        <f t="shared" si="154"/>
        <v>true</v>
      </c>
      <c r="I5363" s="14" t="s">
        <v>2458</v>
      </c>
      <c r="J5363" s="33" t="s">
        <v>7110</v>
      </c>
      <c r="K5363" s="33" t="s">
        <v>13553</v>
      </c>
      <c r="L5363" s="53" t="str">
        <f>"پاکستان"</f>
        <v>پاکستان</v>
      </c>
      <c r="M5363" s="68" t="str">
        <f>"فله"</f>
        <v>فله</v>
      </c>
      <c r="N5363" s="53" t="str">
        <f>"منطقه ويژه اقتصادي بوشهر 1"</f>
        <v>منطقه ويژه اقتصادي بوشهر 1</v>
      </c>
      <c r="O5363" s="53">
        <v>45100</v>
      </c>
      <c r="P5363" s="198" t="str">
        <f>"1396524005001"</f>
        <v>1396524005001</v>
      </c>
    </row>
    <row r="5364" spans="1:16" ht="18.75" hidden="1">
      <c r="A5364" s="50" t="str">
        <f>"45100-796191"</f>
        <v>45100-796191</v>
      </c>
      <c r="B5364" s="50" t="str">
        <f>"97/02/15"</f>
        <v>97/02/15</v>
      </c>
      <c r="C5364" s="50" t="s">
        <v>13610</v>
      </c>
      <c r="D5364" s="12" t="s">
        <v>12717</v>
      </c>
      <c r="E5364" s="12" t="s">
        <v>4971</v>
      </c>
      <c r="F5364" s="49">
        <v>1450000</v>
      </c>
      <c r="G5364" s="77" t="str">
        <f>"Black Gold Traders FZE"</f>
        <v>Black Gold Traders FZE</v>
      </c>
      <c r="H5364" s="14" t="str">
        <f t="shared" si="154"/>
        <v>true</v>
      </c>
      <c r="I5364" s="14" t="s">
        <v>2458</v>
      </c>
      <c r="J5364" s="33" t="s">
        <v>7110</v>
      </c>
      <c r="K5364" s="33" t="s">
        <v>13553</v>
      </c>
      <c r="L5364" s="53" t="str">
        <f>"پاکستان"</f>
        <v>پاکستان</v>
      </c>
      <c r="M5364" s="68" t="str">
        <f>"فله"</f>
        <v>فله</v>
      </c>
      <c r="N5364" s="53" t="str">
        <f>"منطقه ويژه اقتصادي بوشهر 1"</f>
        <v>منطقه ويژه اقتصادي بوشهر 1</v>
      </c>
      <c r="O5364" s="53">
        <v>45100</v>
      </c>
      <c r="P5364" s="198" t="str">
        <f>"1396536908001"</f>
        <v>1396536908001</v>
      </c>
    </row>
    <row r="5365" spans="1:16" ht="18.75" hidden="1">
      <c r="A5365" s="50" t="s">
        <v>13611</v>
      </c>
      <c r="B5365" s="50" t="s">
        <v>13549</v>
      </c>
      <c r="C5365" s="50" t="s">
        <v>13612</v>
      </c>
      <c r="D5365" s="12" t="s">
        <v>13331</v>
      </c>
      <c r="E5365" s="12" t="s">
        <v>13333</v>
      </c>
      <c r="F5365" s="49">
        <v>212790</v>
      </c>
      <c r="G5365" s="77" t="s">
        <v>6453</v>
      </c>
      <c r="H5365" s="14" t="str">
        <f t="shared" ref="H5365:H5428" si="166">IF(I5365="نامشخص",IF(E5365&gt;C5365,"false","true"),IF(E5365&gt;I5365,"false","true"))</f>
        <v>true</v>
      </c>
      <c r="I5365" s="14" t="s">
        <v>2458</v>
      </c>
      <c r="J5365" s="33" t="e">
        <f>VLOOKUP(C5365,شرکتها!A:B,2,FALSE)</f>
        <v>#N/A</v>
      </c>
      <c r="K5365" s="33" t="s">
        <v>13613</v>
      </c>
      <c r="L5365" s="53" t="s">
        <v>6054</v>
      </c>
      <c r="M5365" s="68" t="s">
        <v>8913</v>
      </c>
      <c r="N5365" s="53" t="s">
        <v>6076</v>
      </c>
      <c r="O5365" s="53">
        <v>55301</v>
      </c>
      <c r="P5365" s="198" t="s">
        <v>12929</v>
      </c>
    </row>
    <row r="5366" spans="1:16" ht="18.75" hidden="1">
      <c r="A5366" s="50" t="s">
        <v>13611</v>
      </c>
      <c r="B5366" s="50" t="s">
        <v>13549</v>
      </c>
      <c r="C5366" s="50" t="s">
        <v>13614</v>
      </c>
      <c r="D5366" s="12" t="s">
        <v>13266</v>
      </c>
      <c r="E5366" s="12" t="s">
        <v>13333</v>
      </c>
      <c r="F5366" s="49">
        <v>112400</v>
      </c>
      <c r="G5366" s="77" t="s">
        <v>6454</v>
      </c>
      <c r="H5366" s="14" t="str">
        <f t="shared" si="166"/>
        <v>true</v>
      </c>
      <c r="I5366" s="14" t="s">
        <v>2458</v>
      </c>
      <c r="J5366" s="33" t="s">
        <v>7110</v>
      </c>
      <c r="K5366" s="33" t="s">
        <v>13613</v>
      </c>
      <c r="L5366" s="53" t="s">
        <v>6054</v>
      </c>
      <c r="M5366" s="68" t="s">
        <v>8913</v>
      </c>
      <c r="N5366" s="53" t="s">
        <v>6076</v>
      </c>
      <c r="O5366" s="53">
        <v>55301</v>
      </c>
      <c r="P5366" s="198" t="s">
        <v>12669</v>
      </c>
    </row>
    <row r="5367" spans="1:16" ht="18.75" hidden="1">
      <c r="A5367" s="50" t="s">
        <v>13611</v>
      </c>
      <c r="B5367" s="50" t="s">
        <v>13549</v>
      </c>
      <c r="C5367" s="50" t="s">
        <v>13615</v>
      </c>
      <c r="D5367" s="12" t="s">
        <v>13343</v>
      </c>
      <c r="E5367" s="12" t="s">
        <v>13333</v>
      </c>
      <c r="F5367" s="49">
        <v>70440</v>
      </c>
      <c r="G5367" s="77" t="s">
        <v>12608</v>
      </c>
      <c r="H5367" s="14" t="str">
        <f t="shared" si="166"/>
        <v>true</v>
      </c>
      <c r="I5367" s="14" t="s">
        <v>2458</v>
      </c>
      <c r="J5367" s="33" t="s">
        <v>7110</v>
      </c>
      <c r="K5367" s="33" t="s">
        <v>13613</v>
      </c>
      <c r="L5367" s="53" t="s">
        <v>6054</v>
      </c>
      <c r="M5367" s="68" t="s">
        <v>8913</v>
      </c>
      <c r="N5367" s="53" t="s">
        <v>6076</v>
      </c>
      <c r="O5367" s="53">
        <v>55301</v>
      </c>
      <c r="P5367" s="198" t="s">
        <v>12939</v>
      </c>
    </row>
    <row r="5368" spans="1:16" ht="18.75" hidden="1">
      <c r="A5368" s="50" t="s">
        <v>13611</v>
      </c>
      <c r="B5368" s="50" t="s">
        <v>13549</v>
      </c>
      <c r="C5368" s="50" t="s">
        <v>13616</v>
      </c>
      <c r="D5368" s="12" t="s">
        <v>13356</v>
      </c>
      <c r="E5368" s="12" t="s">
        <v>13333</v>
      </c>
      <c r="F5368" s="49">
        <v>65770</v>
      </c>
      <c r="G5368" s="77" t="s">
        <v>6453</v>
      </c>
      <c r="H5368" s="14" t="str">
        <f t="shared" si="166"/>
        <v>true</v>
      </c>
      <c r="I5368" s="14" t="s">
        <v>2458</v>
      </c>
      <c r="J5368" s="33" t="e">
        <f>VLOOKUP(C5368,شرکتها!A:B,2,FALSE)</f>
        <v>#N/A</v>
      </c>
      <c r="K5368" s="33" t="s">
        <v>13613</v>
      </c>
      <c r="L5368" s="53" t="s">
        <v>6054</v>
      </c>
      <c r="M5368" s="68" t="s">
        <v>8913</v>
      </c>
      <c r="N5368" s="53" t="s">
        <v>6076</v>
      </c>
      <c r="O5368" s="53">
        <v>55301</v>
      </c>
      <c r="P5368" s="198" t="s">
        <v>12929</v>
      </c>
    </row>
    <row r="5369" spans="1:16" ht="18.75" hidden="1">
      <c r="A5369" s="50" t="s">
        <v>13617</v>
      </c>
      <c r="B5369" s="50" t="s">
        <v>13590</v>
      </c>
      <c r="C5369" s="50" t="s">
        <v>13618</v>
      </c>
      <c r="D5369" s="12" t="s">
        <v>13549</v>
      </c>
      <c r="E5369" s="12" t="s">
        <v>13333</v>
      </c>
      <c r="F5369" s="49">
        <v>620000</v>
      </c>
      <c r="G5369" s="77" t="s">
        <v>6453</v>
      </c>
      <c r="H5369" s="14" t="str">
        <f t="shared" si="166"/>
        <v>true</v>
      </c>
      <c r="I5369" s="14" t="s">
        <v>2458</v>
      </c>
      <c r="J5369" s="33" t="e">
        <f>VLOOKUP(C5369,شرکتها!A:B,2,FALSE)</f>
        <v>#N/A</v>
      </c>
      <c r="K5369" s="33" t="s">
        <v>13613</v>
      </c>
      <c r="L5369" s="53" t="s">
        <v>6054</v>
      </c>
      <c r="M5369" s="68" t="s">
        <v>8913</v>
      </c>
      <c r="N5369" s="53" t="s">
        <v>6076</v>
      </c>
      <c r="O5369" s="53">
        <v>55301</v>
      </c>
      <c r="P5369" s="198" t="s">
        <v>12929</v>
      </c>
    </row>
    <row r="5370" spans="1:16" ht="18.75" hidden="1">
      <c r="A5370" s="50" t="s">
        <v>13619</v>
      </c>
      <c r="B5370" s="50" t="s">
        <v>13390</v>
      </c>
      <c r="C5370" s="50" t="s">
        <v>13620</v>
      </c>
      <c r="D5370" s="12" t="s">
        <v>12893</v>
      </c>
      <c r="E5370" s="12" t="s">
        <v>4971</v>
      </c>
      <c r="F5370" s="49">
        <v>291500</v>
      </c>
      <c r="G5370" s="77" t="s">
        <v>6298</v>
      </c>
      <c r="H5370" s="14" t="str">
        <f t="shared" si="166"/>
        <v>true</v>
      </c>
      <c r="I5370" s="14" t="s">
        <v>2458</v>
      </c>
      <c r="J5370" s="33" t="s">
        <v>7110</v>
      </c>
      <c r="K5370" s="33" t="s">
        <v>13613</v>
      </c>
      <c r="L5370" s="53" t="s">
        <v>6054</v>
      </c>
      <c r="M5370" s="68" t="s">
        <v>8912</v>
      </c>
      <c r="N5370" s="53" t="s">
        <v>6076</v>
      </c>
      <c r="O5370" s="53">
        <v>55301</v>
      </c>
      <c r="P5370" s="198" t="s">
        <v>12934</v>
      </c>
    </row>
    <row r="5371" spans="1:16" ht="18.75" hidden="1">
      <c r="A5371" s="50" t="s">
        <v>13621</v>
      </c>
      <c r="B5371" s="50" t="s">
        <v>13390</v>
      </c>
      <c r="C5371" s="50" t="s">
        <v>13434</v>
      </c>
      <c r="D5371" s="12" t="s">
        <v>13343</v>
      </c>
      <c r="E5371" s="12" t="s">
        <v>13333</v>
      </c>
      <c r="F5371" s="49">
        <v>7990</v>
      </c>
      <c r="G5371" s="77" t="s">
        <v>13495</v>
      </c>
      <c r="H5371" s="14" t="str">
        <f t="shared" si="166"/>
        <v>true</v>
      </c>
      <c r="I5371" s="14" t="s">
        <v>2458</v>
      </c>
      <c r="J5371" s="33" t="s">
        <v>7110</v>
      </c>
      <c r="K5371" s="33" t="s">
        <v>13613</v>
      </c>
      <c r="L5371" s="53" t="s">
        <v>6054</v>
      </c>
      <c r="M5371" s="68" t="s">
        <v>8913</v>
      </c>
      <c r="N5371" s="53" t="s">
        <v>9836</v>
      </c>
      <c r="O5371" s="53">
        <v>55112</v>
      </c>
      <c r="P5371" s="198" t="s">
        <v>13069</v>
      </c>
    </row>
    <row r="5372" spans="1:16" ht="18.75" hidden="1">
      <c r="A5372" s="50" t="s">
        <v>13622</v>
      </c>
      <c r="B5372" s="50" t="s">
        <v>13623</v>
      </c>
      <c r="C5372" s="50" t="s">
        <v>13624</v>
      </c>
      <c r="D5372" s="12" t="s">
        <v>13563</v>
      </c>
      <c r="E5372" s="12" t="s">
        <v>13333</v>
      </c>
      <c r="F5372" s="49">
        <v>47330</v>
      </c>
      <c r="G5372" s="77" t="s">
        <v>13495</v>
      </c>
      <c r="H5372" s="14" t="str">
        <f t="shared" si="166"/>
        <v>true</v>
      </c>
      <c r="I5372" s="14" t="s">
        <v>2458</v>
      </c>
      <c r="J5372" s="33" t="s">
        <v>7110</v>
      </c>
      <c r="K5372" s="33" t="s">
        <v>13613</v>
      </c>
      <c r="L5372" s="53" t="s">
        <v>6054</v>
      </c>
      <c r="M5372" s="68" t="s">
        <v>8912</v>
      </c>
      <c r="N5372" s="53" t="s">
        <v>9836</v>
      </c>
      <c r="O5372" s="53">
        <v>55112</v>
      </c>
      <c r="P5372" s="198" t="s">
        <v>13625</v>
      </c>
    </row>
    <row r="5373" spans="1:16" ht="18.75" hidden="1">
      <c r="A5373" s="50" t="s">
        <v>13626</v>
      </c>
      <c r="B5373" s="50" t="s">
        <v>13590</v>
      </c>
      <c r="C5373" s="50" t="s">
        <v>13510</v>
      </c>
      <c r="D5373" s="12" t="s">
        <v>13266</v>
      </c>
      <c r="E5373" s="12" t="s">
        <v>13333</v>
      </c>
      <c r="F5373" s="49">
        <v>118620</v>
      </c>
      <c r="G5373" s="77" t="s">
        <v>6300</v>
      </c>
      <c r="H5373" s="14" t="str">
        <f t="shared" si="166"/>
        <v>true</v>
      </c>
      <c r="I5373" s="14" t="s">
        <v>2458</v>
      </c>
      <c r="J5373" s="33" t="s">
        <v>7110</v>
      </c>
      <c r="K5373" s="33" t="s">
        <v>13613</v>
      </c>
      <c r="L5373" s="53" t="s">
        <v>6054</v>
      </c>
      <c r="M5373" s="68" t="s">
        <v>8912</v>
      </c>
      <c r="N5373" s="53" t="s">
        <v>6076</v>
      </c>
      <c r="O5373" s="53">
        <v>55301</v>
      </c>
      <c r="P5373" s="198" t="s">
        <v>9785</v>
      </c>
    </row>
    <row r="5374" spans="1:16" ht="18.75" hidden="1">
      <c r="A5374" s="50" t="s">
        <v>13626</v>
      </c>
      <c r="B5374" s="50" t="s">
        <v>13590</v>
      </c>
      <c r="C5374" s="50" t="s">
        <v>13624</v>
      </c>
      <c r="D5374" s="12" t="s">
        <v>13563</v>
      </c>
      <c r="E5374" s="12" t="s">
        <v>13333</v>
      </c>
      <c r="F5374" s="49">
        <v>45790</v>
      </c>
      <c r="G5374" s="77" t="s">
        <v>13495</v>
      </c>
      <c r="H5374" s="14" t="str">
        <f t="shared" si="166"/>
        <v>true</v>
      </c>
      <c r="I5374" s="14" t="s">
        <v>2458</v>
      </c>
      <c r="J5374" s="33" t="s">
        <v>7110</v>
      </c>
      <c r="K5374" s="33" t="s">
        <v>13613</v>
      </c>
      <c r="L5374" s="53" t="s">
        <v>6054</v>
      </c>
      <c r="M5374" s="68" t="s">
        <v>8912</v>
      </c>
      <c r="N5374" s="53" t="s">
        <v>6076</v>
      </c>
      <c r="O5374" s="53">
        <v>55301</v>
      </c>
      <c r="P5374" s="198" t="s">
        <v>13625</v>
      </c>
    </row>
    <row r="5375" spans="1:16" ht="18.75" hidden="1">
      <c r="A5375" s="50" t="s">
        <v>13627</v>
      </c>
      <c r="B5375" s="50" t="s">
        <v>13549</v>
      </c>
      <c r="C5375" s="50" t="s">
        <v>13628</v>
      </c>
      <c r="D5375" s="12" t="s">
        <v>12880</v>
      </c>
      <c r="E5375" s="12" t="s">
        <v>4971</v>
      </c>
      <c r="F5375" s="49">
        <v>70220</v>
      </c>
      <c r="G5375" s="77" t="s">
        <v>12823</v>
      </c>
      <c r="H5375" s="14" t="str">
        <f t="shared" si="166"/>
        <v>true</v>
      </c>
      <c r="I5375" s="14" t="s">
        <v>2458</v>
      </c>
      <c r="J5375" s="33" t="s">
        <v>7110</v>
      </c>
      <c r="K5375" s="33" t="s">
        <v>13613</v>
      </c>
      <c r="L5375" s="53" t="s">
        <v>6054</v>
      </c>
      <c r="M5375" s="68" t="s">
        <v>8913</v>
      </c>
      <c r="N5375" s="53" t="s">
        <v>6285</v>
      </c>
      <c r="O5375" s="53">
        <v>55200</v>
      </c>
      <c r="P5375" s="198" t="s">
        <v>12672</v>
      </c>
    </row>
    <row r="5376" spans="1:16" ht="18.75" hidden="1">
      <c r="A5376" s="50" t="s">
        <v>13619</v>
      </c>
      <c r="B5376" s="50" t="s">
        <v>13390</v>
      </c>
      <c r="C5376" s="50" t="s">
        <v>13426</v>
      </c>
      <c r="D5376" s="12" t="s">
        <v>13308</v>
      </c>
      <c r="E5376" s="12" t="s">
        <v>13333</v>
      </c>
      <c r="F5376" s="49">
        <v>70140</v>
      </c>
      <c r="G5376" s="77" t="s">
        <v>12608</v>
      </c>
      <c r="H5376" s="14" t="str">
        <f t="shared" si="166"/>
        <v>true</v>
      </c>
      <c r="I5376" s="14" t="s">
        <v>2458</v>
      </c>
      <c r="J5376" s="33" t="s">
        <v>7110</v>
      </c>
      <c r="K5376" s="33" t="s">
        <v>13613</v>
      </c>
      <c r="L5376" s="53" t="s">
        <v>6054</v>
      </c>
      <c r="M5376" s="68" t="s">
        <v>8912</v>
      </c>
      <c r="N5376" s="53" t="s">
        <v>6076</v>
      </c>
      <c r="O5376" s="53">
        <v>55301</v>
      </c>
      <c r="P5376" s="198" t="s">
        <v>12939</v>
      </c>
    </row>
    <row r="5377" spans="1:16" ht="18.75" hidden="1">
      <c r="A5377" s="50" t="s">
        <v>13619</v>
      </c>
      <c r="B5377" s="50" t="s">
        <v>13390</v>
      </c>
      <c r="C5377" s="50" t="s">
        <v>13629</v>
      </c>
      <c r="D5377" s="12" t="s">
        <v>13356</v>
      </c>
      <c r="E5377" s="12" t="s">
        <v>13333</v>
      </c>
      <c r="F5377" s="49">
        <v>98800</v>
      </c>
      <c r="G5377" s="77" t="s">
        <v>13495</v>
      </c>
      <c r="H5377" s="14" t="str">
        <f t="shared" si="166"/>
        <v>true</v>
      </c>
      <c r="I5377" s="14" t="s">
        <v>2458</v>
      </c>
      <c r="J5377" s="33" t="s">
        <v>7110</v>
      </c>
      <c r="K5377" s="33" t="s">
        <v>13613</v>
      </c>
      <c r="L5377" s="53" t="s">
        <v>6054</v>
      </c>
      <c r="M5377" s="68" t="s">
        <v>8912</v>
      </c>
      <c r="N5377" s="53" t="s">
        <v>6076</v>
      </c>
      <c r="O5377" s="53">
        <v>55301</v>
      </c>
      <c r="P5377" s="198" t="s">
        <v>13625</v>
      </c>
    </row>
    <row r="5378" spans="1:16" ht="18.75" hidden="1">
      <c r="A5378" s="50" t="s">
        <v>13630</v>
      </c>
      <c r="B5378" s="50" t="s">
        <v>13402</v>
      </c>
      <c r="C5378" s="50" t="s">
        <v>13631</v>
      </c>
      <c r="D5378" s="12" t="s">
        <v>13385</v>
      </c>
      <c r="E5378" s="12" t="s">
        <v>13333</v>
      </c>
      <c r="F5378" s="49">
        <v>47900</v>
      </c>
      <c r="G5378" s="77" t="s">
        <v>6299</v>
      </c>
      <c r="H5378" s="14" t="str">
        <f t="shared" si="166"/>
        <v>true</v>
      </c>
      <c r="I5378" s="14" t="s">
        <v>2458</v>
      </c>
      <c r="J5378" s="33" t="s">
        <v>7110</v>
      </c>
      <c r="K5378" s="33" t="s">
        <v>13613</v>
      </c>
      <c r="L5378" s="53" t="s">
        <v>6054</v>
      </c>
      <c r="M5378" s="68" t="s">
        <v>8913</v>
      </c>
      <c r="N5378" s="53" t="s">
        <v>6076</v>
      </c>
      <c r="O5378" s="53">
        <v>55301</v>
      </c>
      <c r="P5378" s="198" t="s">
        <v>13068</v>
      </c>
    </row>
    <row r="5379" spans="1:16" ht="18.75" hidden="1">
      <c r="A5379" s="50" t="s">
        <v>13632</v>
      </c>
      <c r="B5379" s="50" t="s">
        <v>13549</v>
      </c>
      <c r="C5379" s="50" t="s">
        <v>13633</v>
      </c>
      <c r="D5379" s="12" t="s">
        <v>12893</v>
      </c>
      <c r="E5379" s="12" t="s">
        <v>4971</v>
      </c>
      <c r="F5379" s="49">
        <v>110000</v>
      </c>
      <c r="G5379" s="77" t="s">
        <v>12823</v>
      </c>
      <c r="H5379" s="14" t="str">
        <f t="shared" si="166"/>
        <v>true</v>
      </c>
      <c r="I5379" s="14" t="s">
        <v>2458</v>
      </c>
      <c r="J5379" s="33" t="s">
        <v>7110</v>
      </c>
      <c r="K5379" s="33" t="s">
        <v>13613</v>
      </c>
      <c r="L5379" s="53" t="s">
        <v>6054</v>
      </c>
      <c r="M5379" s="68" t="s">
        <v>8912</v>
      </c>
      <c r="N5379" s="53" t="s">
        <v>6285</v>
      </c>
      <c r="O5379" s="53">
        <v>55200</v>
      </c>
      <c r="P5379" s="198" t="s">
        <v>12672</v>
      </c>
    </row>
    <row r="5380" spans="1:16" ht="18.75" hidden="1">
      <c r="A5380" s="50" t="s">
        <v>13632</v>
      </c>
      <c r="B5380" s="50" t="s">
        <v>13549</v>
      </c>
      <c r="C5380" s="50" t="s">
        <v>13634</v>
      </c>
      <c r="D5380" s="12" t="s">
        <v>13195</v>
      </c>
      <c r="E5380" s="12" t="s">
        <v>4971</v>
      </c>
      <c r="F5380" s="49">
        <v>21900</v>
      </c>
      <c r="G5380" s="77" t="s">
        <v>12823</v>
      </c>
      <c r="H5380" s="14" t="str">
        <f t="shared" si="166"/>
        <v>true</v>
      </c>
      <c r="I5380" s="14" t="s">
        <v>2458</v>
      </c>
      <c r="J5380" s="33" t="s">
        <v>7110</v>
      </c>
      <c r="K5380" s="33" t="s">
        <v>13613</v>
      </c>
      <c r="L5380" s="53" t="s">
        <v>6054</v>
      </c>
      <c r="M5380" s="68" t="s">
        <v>8912</v>
      </c>
      <c r="N5380" s="53" t="s">
        <v>6285</v>
      </c>
      <c r="O5380" s="53">
        <v>55200</v>
      </c>
      <c r="P5380" s="198" t="s">
        <v>12672</v>
      </c>
    </row>
    <row r="5381" spans="1:16" ht="18.75" hidden="1">
      <c r="A5381" s="50" t="s">
        <v>13630</v>
      </c>
      <c r="B5381" s="50" t="s">
        <v>13402</v>
      </c>
      <c r="C5381" s="50" t="s">
        <v>12378</v>
      </c>
      <c r="D5381" s="12" t="s">
        <v>10028</v>
      </c>
      <c r="E5381" s="12" t="s">
        <v>4971</v>
      </c>
      <c r="F5381" s="49">
        <v>23080</v>
      </c>
      <c r="G5381" s="77" t="s">
        <v>6454</v>
      </c>
      <c r="H5381" s="14" t="str">
        <f t="shared" si="166"/>
        <v>true</v>
      </c>
      <c r="I5381" s="14" t="s">
        <v>2458</v>
      </c>
      <c r="J5381" s="33" t="s">
        <v>7110</v>
      </c>
      <c r="K5381" s="33" t="s">
        <v>13613</v>
      </c>
      <c r="L5381" s="53" t="s">
        <v>6054</v>
      </c>
      <c r="M5381" s="68" t="s">
        <v>8913</v>
      </c>
      <c r="N5381" s="53" t="s">
        <v>6076</v>
      </c>
      <c r="O5381" s="53">
        <v>55301</v>
      </c>
      <c r="P5381" s="198" t="s">
        <v>9789</v>
      </c>
    </row>
    <row r="5382" spans="1:16" ht="18.75" hidden="1">
      <c r="A5382" s="50" t="s">
        <v>13632</v>
      </c>
      <c r="B5382" s="50" t="s">
        <v>13549</v>
      </c>
      <c r="C5382" s="50" t="s">
        <v>13635</v>
      </c>
      <c r="D5382" s="12" t="s">
        <v>12824</v>
      </c>
      <c r="E5382" s="12" t="s">
        <v>4971</v>
      </c>
      <c r="F5382" s="49">
        <v>110000</v>
      </c>
      <c r="G5382" s="77" t="s">
        <v>12823</v>
      </c>
      <c r="H5382" s="14" t="str">
        <f t="shared" si="166"/>
        <v>true</v>
      </c>
      <c r="I5382" s="14" t="s">
        <v>2458</v>
      </c>
      <c r="J5382" s="33" t="s">
        <v>7110</v>
      </c>
      <c r="K5382" s="33" t="s">
        <v>13613</v>
      </c>
      <c r="L5382" s="53" t="s">
        <v>6054</v>
      </c>
      <c r="M5382" s="68" t="s">
        <v>8912</v>
      </c>
      <c r="N5382" s="53" t="s">
        <v>6285</v>
      </c>
      <c r="O5382" s="53">
        <v>55200</v>
      </c>
      <c r="P5382" s="198" t="s">
        <v>12672</v>
      </c>
    </row>
    <row r="5383" spans="1:16" ht="18.75" hidden="1">
      <c r="A5383" s="50" t="s">
        <v>13619</v>
      </c>
      <c r="B5383" s="50" t="s">
        <v>13390</v>
      </c>
      <c r="C5383" s="50" t="s">
        <v>13502</v>
      </c>
      <c r="D5383" s="12" t="s">
        <v>13380</v>
      </c>
      <c r="E5383" s="12" t="s">
        <v>13333</v>
      </c>
      <c r="F5383" s="49">
        <v>113460</v>
      </c>
      <c r="G5383" s="77" t="s">
        <v>6453</v>
      </c>
      <c r="H5383" s="14" t="str">
        <f t="shared" si="166"/>
        <v>true</v>
      </c>
      <c r="I5383" s="14" t="s">
        <v>2458</v>
      </c>
      <c r="J5383" s="33" t="e">
        <f>VLOOKUP(C5383,شرکتها!A:B,2,FALSE)</f>
        <v>#N/A</v>
      </c>
      <c r="K5383" s="33" t="s">
        <v>13613</v>
      </c>
      <c r="L5383" s="53" t="s">
        <v>6054</v>
      </c>
      <c r="M5383" s="68" t="s">
        <v>8912</v>
      </c>
      <c r="N5383" s="53" t="s">
        <v>6076</v>
      </c>
      <c r="O5383" s="53">
        <v>55301</v>
      </c>
      <c r="P5383" s="198" t="s">
        <v>12929</v>
      </c>
    </row>
    <row r="5384" spans="1:16" ht="18.75" hidden="1">
      <c r="A5384" s="50" t="s">
        <v>13619</v>
      </c>
      <c r="B5384" s="50" t="s">
        <v>13390</v>
      </c>
      <c r="C5384" s="50" t="s">
        <v>13430</v>
      </c>
      <c r="D5384" s="12" t="s">
        <v>13266</v>
      </c>
      <c r="E5384" s="12" t="s">
        <v>13333</v>
      </c>
      <c r="F5384" s="49">
        <v>23730</v>
      </c>
      <c r="G5384" s="77" t="s">
        <v>6300</v>
      </c>
      <c r="H5384" s="14" t="str">
        <f t="shared" si="166"/>
        <v>true</v>
      </c>
      <c r="I5384" s="14" t="s">
        <v>2458</v>
      </c>
      <c r="J5384" s="33" t="s">
        <v>7110</v>
      </c>
      <c r="K5384" s="33" t="s">
        <v>13613</v>
      </c>
      <c r="L5384" s="53" t="s">
        <v>6054</v>
      </c>
      <c r="M5384" s="68" t="s">
        <v>8912</v>
      </c>
      <c r="N5384" s="53" t="s">
        <v>6076</v>
      </c>
      <c r="O5384" s="53">
        <v>55301</v>
      </c>
      <c r="P5384" s="198" t="s">
        <v>12220</v>
      </c>
    </row>
    <row r="5385" spans="1:16" ht="18.75" hidden="1">
      <c r="A5385" s="50" t="s">
        <v>13630</v>
      </c>
      <c r="B5385" s="50" t="s">
        <v>13402</v>
      </c>
      <c r="C5385" s="50" t="s">
        <v>13636</v>
      </c>
      <c r="D5385" s="12" t="s">
        <v>13195</v>
      </c>
      <c r="E5385" s="12" t="s">
        <v>4971</v>
      </c>
      <c r="F5385" s="49">
        <v>250000</v>
      </c>
      <c r="G5385" s="77" t="s">
        <v>6298</v>
      </c>
      <c r="H5385" s="14" t="str">
        <f t="shared" si="166"/>
        <v>true</v>
      </c>
      <c r="I5385" s="14" t="s">
        <v>2458</v>
      </c>
      <c r="J5385" s="33" t="s">
        <v>7110</v>
      </c>
      <c r="K5385" s="33" t="s">
        <v>13613</v>
      </c>
      <c r="L5385" s="53" t="s">
        <v>6054</v>
      </c>
      <c r="M5385" s="68" t="s">
        <v>8913</v>
      </c>
      <c r="N5385" s="53" t="s">
        <v>6076</v>
      </c>
      <c r="O5385" s="53">
        <v>55301</v>
      </c>
      <c r="P5385" s="198" t="s">
        <v>12934</v>
      </c>
    </row>
    <row r="5386" spans="1:16" ht="18.75" hidden="1">
      <c r="A5386" s="50" t="s">
        <v>13617</v>
      </c>
      <c r="B5386" s="50" t="s">
        <v>13590</v>
      </c>
      <c r="C5386" s="50" t="s">
        <v>13637</v>
      </c>
      <c r="D5386" s="12" t="s">
        <v>13380</v>
      </c>
      <c r="E5386" s="12" t="s">
        <v>13333</v>
      </c>
      <c r="F5386" s="49">
        <v>163000</v>
      </c>
      <c r="G5386" s="77" t="s">
        <v>12608</v>
      </c>
      <c r="H5386" s="14" t="str">
        <f t="shared" si="166"/>
        <v>true</v>
      </c>
      <c r="I5386" s="14" t="s">
        <v>2458</v>
      </c>
      <c r="J5386" s="33" t="s">
        <v>7110</v>
      </c>
      <c r="K5386" s="33" t="s">
        <v>13613</v>
      </c>
      <c r="L5386" s="53" t="s">
        <v>6054</v>
      </c>
      <c r="M5386" s="68" t="s">
        <v>8913</v>
      </c>
      <c r="N5386" s="53" t="s">
        <v>6076</v>
      </c>
      <c r="O5386" s="53">
        <v>55301</v>
      </c>
      <c r="P5386" s="198" t="s">
        <v>12939</v>
      </c>
    </row>
    <row r="5387" spans="1:16" ht="18.75" hidden="1">
      <c r="A5387" s="50" t="s">
        <v>13638</v>
      </c>
      <c r="B5387" s="50" t="s">
        <v>13639</v>
      </c>
      <c r="C5387" s="50" t="s">
        <v>13640</v>
      </c>
      <c r="D5387" s="12" t="s">
        <v>13186</v>
      </c>
      <c r="E5387" s="12" t="s">
        <v>4971</v>
      </c>
      <c r="F5387" s="49">
        <v>43260</v>
      </c>
      <c r="G5387" s="77" t="s">
        <v>6298</v>
      </c>
      <c r="H5387" s="14" t="str">
        <f t="shared" si="166"/>
        <v>true</v>
      </c>
      <c r="I5387" s="14" t="s">
        <v>2458</v>
      </c>
      <c r="J5387" s="33" t="s">
        <v>7110</v>
      </c>
      <c r="K5387" s="33" t="s">
        <v>13613</v>
      </c>
      <c r="L5387" s="53" t="s">
        <v>6054</v>
      </c>
      <c r="M5387" s="68" t="s">
        <v>8912</v>
      </c>
      <c r="N5387" s="53" t="s">
        <v>6285</v>
      </c>
      <c r="O5387" s="53">
        <v>55200</v>
      </c>
      <c r="P5387" s="198" t="s">
        <v>12934</v>
      </c>
    </row>
    <row r="5388" spans="1:16" ht="18.75" hidden="1">
      <c r="A5388" s="50" t="s">
        <v>13641</v>
      </c>
      <c r="B5388" s="50" t="s">
        <v>13385</v>
      </c>
      <c r="C5388" s="50" t="s">
        <v>13502</v>
      </c>
      <c r="D5388" s="12" t="s">
        <v>13380</v>
      </c>
      <c r="E5388" s="12" t="s">
        <v>13333</v>
      </c>
      <c r="F5388" s="49">
        <v>230910</v>
      </c>
      <c r="G5388" s="77" t="s">
        <v>6453</v>
      </c>
      <c r="H5388" s="14" t="str">
        <f t="shared" si="166"/>
        <v>true</v>
      </c>
      <c r="I5388" s="14" t="s">
        <v>2458</v>
      </c>
      <c r="J5388" s="33" t="e">
        <f>VLOOKUP(C5388,شرکتها!A:B,2,FALSE)</f>
        <v>#N/A</v>
      </c>
      <c r="K5388" s="33" t="s">
        <v>13613</v>
      </c>
      <c r="L5388" s="53" t="s">
        <v>6054</v>
      </c>
      <c r="M5388" s="68" t="s">
        <v>8913</v>
      </c>
      <c r="N5388" s="53" t="s">
        <v>6076</v>
      </c>
      <c r="O5388" s="53">
        <v>55301</v>
      </c>
      <c r="P5388" s="198" t="s">
        <v>12929</v>
      </c>
    </row>
    <row r="5389" spans="1:16" ht="18.75" hidden="1">
      <c r="A5389" s="50" t="s">
        <v>13641</v>
      </c>
      <c r="B5389" s="50" t="s">
        <v>13385</v>
      </c>
      <c r="C5389" s="50" t="s">
        <v>13204</v>
      </c>
      <c r="D5389" s="12" t="s">
        <v>12824</v>
      </c>
      <c r="E5389" s="12" t="s">
        <v>4971</v>
      </c>
      <c r="F5389" s="49">
        <v>23980</v>
      </c>
      <c r="G5389" s="77" t="s">
        <v>12608</v>
      </c>
      <c r="H5389" s="14" t="str">
        <f t="shared" si="166"/>
        <v>true</v>
      </c>
      <c r="I5389" s="14" t="s">
        <v>2458</v>
      </c>
      <c r="J5389" s="33" t="s">
        <v>7110</v>
      </c>
      <c r="K5389" s="33" t="s">
        <v>13613</v>
      </c>
      <c r="L5389" s="53" t="s">
        <v>6054</v>
      </c>
      <c r="M5389" s="68" t="s">
        <v>8913</v>
      </c>
      <c r="N5389" s="53" t="s">
        <v>6076</v>
      </c>
      <c r="O5389" s="53">
        <v>55301</v>
      </c>
      <c r="P5389" s="198" t="s">
        <v>12677</v>
      </c>
    </row>
    <row r="5390" spans="1:16" ht="18.75" hidden="1">
      <c r="A5390" s="50" t="s">
        <v>13642</v>
      </c>
      <c r="B5390" s="50" t="s">
        <v>13402</v>
      </c>
      <c r="C5390" s="50" t="s">
        <v>13481</v>
      </c>
      <c r="D5390" s="12" t="s">
        <v>13375</v>
      </c>
      <c r="E5390" s="12" t="s">
        <v>4971</v>
      </c>
      <c r="F5390" s="49">
        <v>58660</v>
      </c>
      <c r="G5390" s="77" t="s">
        <v>6454</v>
      </c>
      <c r="H5390" s="14" t="str">
        <f t="shared" si="166"/>
        <v>true</v>
      </c>
      <c r="I5390" s="14" t="s">
        <v>2458</v>
      </c>
      <c r="J5390" s="33" t="s">
        <v>7110</v>
      </c>
      <c r="K5390" s="33" t="s">
        <v>13613</v>
      </c>
      <c r="L5390" s="53" t="s">
        <v>6054</v>
      </c>
      <c r="M5390" s="68" t="s">
        <v>8912</v>
      </c>
      <c r="N5390" s="53" t="s">
        <v>6285</v>
      </c>
      <c r="O5390" s="53">
        <v>55200</v>
      </c>
      <c r="P5390" s="198" t="s">
        <v>12669</v>
      </c>
    </row>
    <row r="5391" spans="1:16" ht="18.75" hidden="1">
      <c r="A5391" s="50" t="s">
        <v>13643</v>
      </c>
      <c r="B5391" s="50" t="s">
        <v>13422</v>
      </c>
      <c r="C5391" s="50" t="s">
        <v>13644</v>
      </c>
      <c r="D5391" s="12" t="s">
        <v>13310</v>
      </c>
      <c r="E5391" s="12" t="s">
        <v>13333</v>
      </c>
      <c r="F5391" s="49">
        <v>55380</v>
      </c>
      <c r="G5391" s="77" t="s">
        <v>6454</v>
      </c>
      <c r="H5391" s="14" t="str">
        <f t="shared" si="166"/>
        <v>true</v>
      </c>
      <c r="I5391" s="14" t="s">
        <v>2458</v>
      </c>
      <c r="J5391" s="33" t="s">
        <v>7110</v>
      </c>
      <c r="K5391" s="33" t="s">
        <v>13613</v>
      </c>
      <c r="L5391" s="53" t="s">
        <v>6054</v>
      </c>
      <c r="M5391" s="68" t="s">
        <v>8912</v>
      </c>
      <c r="N5391" s="53" t="s">
        <v>6076</v>
      </c>
      <c r="O5391" s="53">
        <v>55301</v>
      </c>
      <c r="P5391" s="198" t="s">
        <v>12669</v>
      </c>
    </row>
    <row r="5392" spans="1:16" ht="18.75" hidden="1">
      <c r="A5392" s="50" t="s">
        <v>13645</v>
      </c>
      <c r="B5392" s="50" t="s">
        <v>13623</v>
      </c>
      <c r="C5392" s="50" t="s">
        <v>13644</v>
      </c>
      <c r="D5392" s="12" t="s">
        <v>13310</v>
      </c>
      <c r="E5392" s="12" t="s">
        <v>13333</v>
      </c>
      <c r="F5392" s="49">
        <v>263270</v>
      </c>
      <c r="G5392" s="77" t="s">
        <v>6454</v>
      </c>
      <c r="H5392" s="14" t="str">
        <f t="shared" si="166"/>
        <v>true</v>
      </c>
      <c r="I5392" s="14" t="s">
        <v>2458</v>
      </c>
      <c r="J5392" s="33" t="s">
        <v>7110</v>
      </c>
      <c r="K5392" s="33" t="s">
        <v>13613</v>
      </c>
      <c r="L5392" s="53" t="s">
        <v>6054</v>
      </c>
      <c r="M5392" s="68" t="s">
        <v>8913</v>
      </c>
      <c r="N5392" s="53" t="s">
        <v>6076</v>
      </c>
      <c r="O5392" s="53">
        <v>55301</v>
      </c>
      <c r="P5392" s="198" t="s">
        <v>12669</v>
      </c>
    </row>
    <row r="5393" spans="1:16" ht="18.75" hidden="1">
      <c r="A5393" s="50" t="s">
        <v>13643</v>
      </c>
      <c r="B5393" s="50" t="s">
        <v>13422</v>
      </c>
      <c r="C5393" s="50" t="s">
        <v>13646</v>
      </c>
      <c r="D5393" s="12" t="s">
        <v>12928</v>
      </c>
      <c r="E5393" s="12" t="s">
        <v>4971</v>
      </c>
      <c r="F5393" s="49">
        <v>15060</v>
      </c>
      <c r="G5393" s="77" t="s">
        <v>6298</v>
      </c>
      <c r="H5393" s="14" t="str">
        <f t="shared" si="166"/>
        <v>true</v>
      </c>
      <c r="I5393" s="14" t="s">
        <v>2458</v>
      </c>
      <c r="J5393" s="33" t="s">
        <v>7110</v>
      </c>
      <c r="K5393" s="33" t="s">
        <v>13613</v>
      </c>
      <c r="L5393" s="53" t="s">
        <v>6054</v>
      </c>
      <c r="M5393" s="68" t="s">
        <v>8912</v>
      </c>
      <c r="N5393" s="53" t="s">
        <v>6076</v>
      </c>
      <c r="O5393" s="53">
        <v>55301</v>
      </c>
      <c r="P5393" s="198" t="s">
        <v>12934</v>
      </c>
    </row>
    <row r="5394" spans="1:16" ht="18.75" hidden="1">
      <c r="A5394" s="50" t="s">
        <v>13641</v>
      </c>
      <c r="B5394" s="50" t="s">
        <v>13385</v>
      </c>
      <c r="C5394" s="50" t="s">
        <v>13448</v>
      </c>
      <c r="D5394" s="12" t="s">
        <v>13186</v>
      </c>
      <c r="E5394" s="12" t="s">
        <v>4971</v>
      </c>
      <c r="F5394" s="49">
        <v>46460</v>
      </c>
      <c r="G5394" s="77" t="s">
        <v>6299</v>
      </c>
      <c r="H5394" s="14" t="str">
        <f t="shared" si="166"/>
        <v>true</v>
      </c>
      <c r="I5394" s="14" t="s">
        <v>2458</v>
      </c>
      <c r="J5394" s="33" t="s">
        <v>7110</v>
      </c>
      <c r="K5394" s="33" t="s">
        <v>13613</v>
      </c>
      <c r="L5394" s="53" t="s">
        <v>6054</v>
      </c>
      <c r="M5394" s="68" t="s">
        <v>8913</v>
      </c>
      <c r="N5394" s="53" t="s">
        <v>6076</v>
      </c>
      <c r="O5394" s="53">
        <v>55301</v>
      </c>
      <c r="P5394" s="198" t="s">
        <v>12935</v>
      </c>
    </row>
    <row r="5395" spans="1:16" ht="18.75" hidden="1">
      <c r="A5395" s="50" t="s">
        <v>13641</v>
      </c>
      <c r="B5395" s="50" t="s">
        <v>13385</v>
      </c>
      <c r="C5395" s="50" t="s">
        <v>13647</v>
      </c>
      <c r="D5395" s="12" t="s">
        <v>13195</v>
      </c>
      <c r="E5395" s="12" t="s">
        <v>4971</v>
      </c>
      <c r="F5395" s="49">
        <v>219320</v>
      </c>
      <c r="G5395" s="77" t="s">
        <v>6454</v>
      </c>
      <c r="H5395" s="14" t="str">
        <f t="shared" si="166"/>
        <v>true</v>
      </c>
      <c r="I5395" s="14" t="s">
        <v>2458</v>
      </c>
      <c r="J5395" s="33" t="s">
        <v>7110</v>
      </c>
      <c r="K5395" s="33" t="s">
        <v>13613</v>
      </c>
      <c r="L5395" s="53" t="s">
        <v>6054</v>
      </c>
      <c r="M5395" s="68" t="s">
        <v>8913</v>
      </c>
      <c r="N5395" s="53" t="s">
        <v>6076</v>
      </c>
      <c r="O5395" s="53">
        <v>55301</v>
      </c>
      <c r="P5395" s="198" t="s">
        <v>12669</v>
      </c>
    </row>
    <row r="5396" spans="1:16" ht="18.75" hidden="1">
      <c r="A5396" s="50" t="s">
        <v>13641</v>
      </c>
      <c r="B5396" s="50" t="s">
        <v>13385</v>
      </c>
      <c r="C5396" s="50" t="s">
        <v>13510</v>
      </c>
      <c r="D5396" s="12" t="s">
        <v>13266</v>
      </c>
      <c r="E5396" s="12" t="s">
        <v>13333</v>
      </c>
      <c r="F5396" s="49">
        <v>171390</v>
      </c>
      <c r="G5396" s="77" t="s">
        <v>6300</v>
      </c>
      <c r="H5396" s="14" t="str">
        <f t="shared" si="166"/>
        <v>true</v>
      </c>
      <c r="I5396" s="14" t="s">
        <v>2458</v>
      </c>
      <c r="J5396" s="33" t="s">
        <v>7110</v>
      </c>
      <c r="K5396" s="33" t="s">
        <v>13613</v>
      </c>
      <c r="L5396" s="53" t="s">
        <v>6054</v>
      </c>
      <c r="M5396" s="68" t="s">
        <v>8913</v>
      </c>
      <c r="N5396" s="53" t="s">
        <v>6076</v>
      </c>
      <c r="O5396" s="53">
        <v>55301</v>
      </c>
      <c r="P5396" s="198" t="s">
        <v>9785</v>
      </c>
    </row>
    <row r="5397" spans="1:16" ht="18.75" hidden="1">
      <c r="A5397" s="50" t="s">
        <v>13645</v>
      </c>
      <c r="B5397" s="50" t="s">
        <v>13623</v>
      </c>
      <c r="C5397" s="50" t="s">
        <v>13510</v>
      </c>
      <c r="D5397" s="12" t="s">
        <v>13266</v>
      </c>
      <c r="E5397" s="12" t="s">
        <v>13333</v>
      </c>
      <c r="F5397" s="49">
        <v>74990</v>
      </c>
      <c r="G5397" s="77" t="s">
        <v>6300</v>
      </c>
      <c r="H5397" s="14" t="str">
        <f t="shared" si="166"/>
        <v>true</v>
      </c>
      <c r="I5397" s="14" t="s">
        <v>2458</v>
      </c>
      <c r="J5397" s="33" t="s">
        <v>7110</v>
      </c>
      <c r="K5397" s="33" t="s">
        <v>13613</v>
      </c>
      <c r="L5397" s="53" t="s">
        <v>6054</v>
      </c>
      <c r="M5397" s="68" t="s">
        <v>8913</v>
      </c>
      <c r="N5397" s="53" t="s">
        <v>6076</v>
      </c>
      <c r="O5397" s="53">
        <v>55301</v>
      </c>
      <c r="P5397" s="198" t="s">
        <v>9785</v>
      </c>
    </row>
    <row r="5398" spans="1:16" ht="18.75" hidden="1">
      <c r="A5398" s="50" t="s">
        <v>13619</v>
      </c>
      <c r="B5398" s="50" t="s">
        <v>13390</v>
      </c>
      <c r="C5398" s="50" t="s">
        <v>13648</v>
      </c>
      <c r="D5398" s="12" t="s">
        <v>12824</v>
      </c>
      <c r="E5398" s="12" t="s">
        <v>4971</v>
      </c>
      <c r="F5398" s="49">
        <v>154600</v>
      </c>
      <c r="G5398" s="77" t="s">
        <v>6298</v>
      </c>
      <c r="H5398" s="14" t="str">
        <f t="shared" si="166"/>
        <v>true</v>
      </c>
      <c r="I5398" s="14" t="s">
        <v>2458</v>
      </c>
      <c r="J5398" s="33" t="s">
        <v>7110</v>
      </c>
      <c r="K5398" s="33" t="s">
        <v>13613</v>
      </c>
      <c r="L5398" s="53" t="s">
        <v>6054</v>
      </c>
      <c r="M5398" s="68" t="s">
        <v>8912</v>
      </c>
      <c r="N5398" s="53" t="s">
        <v>6076</v>
      </c>
      <c r="O5398" s="53">
        <v>55301</v>
      </c>
      <c r="P5398" s="198" t="s">
        <v>12934</v>
      </c>
    </row>
    <row r="5399" spans="1:16" ht="18.75" hidden="1">
      <c r="A5399" s="50" t="s">
        <v>13621</v>
      </c>
      <c r="B5399" s="50" t="s">
        <v>13390</v>
      </c>
      <c r="C5399" s="50" t="s">
        <v>13648</v>
      </c>
      <c r="D5399" s="12" t="s">
        <v>12824</v>
      </c>
      <c r="E5399" s="12" t="s">
        <v>4971</v>
      </c>
      <c r="F5399" s="49">
        <v>45400</v>
      </c>
      <c r="G5399" s="77" t="s">
        <v>6298</v>
      </c>
      <c r="H5399" s="14" t="str">
        <f t="shared" si="166"/>
        <v>true</v>
      </c>
      <c r="I5399" s="14" t="s">
        <v>2458</v>
      </c>
      <c r="J5399" s="33" t="s">
        <v>7110</v>
      </c>
      <c r="K5399" s="33" t="s">
        <v>13613</v>
      </c>
      <c r="L5399" s="53" t="s">
        <v>6054</v>
      </c>
      <c r="M5399" s="68" t="s">
        <v>8913</v>
      </c>
      <c r="N5399" s="53" t="s">
        <v>9836</v>
      </c>
      <c r="O5399" s="53">
        <v>55112</v>
      </c>
      <c r="P5399" s="198" t="s">
        <v>12934</v>
      </c>
    </row>
    <row r="5400" spans="1:16" ht="18.75" hidden="1">
      <c r="A5400" s="50" t="s">
        <v>13621</v>
      </c>
      <c r="B5400" s="50" t="s">
        <v>13390</v>
      </c>
      <c r="C5400" s="50" t="s">
        <v>13649</v>
      </c>
      <c r="D5400" s="12" t="s">
        <v>13273</v>
      </c>
      <c r="E5400" s="12" t="s">
        <v>13333</v>
      </c>
      <c r="F5400" s="49">
        <v>41070</v>
      </c>
      <c r="G5400" s="77" t="s">
        <v>13495</v>
      </c>
      <c r="H5400" s="14" t="str">
        <f t="shared" si="166"/>
        <v>true</v>
      </c>
      <c r="I5400" s="14" t="s">
        <v>2458</v>
      </c>
      <c r="J5400" s="33" t="s">
        <v>7110</v>
      </c>
      <c r="K5400" s="33" t="s">
        <v>13613</v>
      </c>
      <c r="L5400" s="53" t="s">
        <v>6054</v>
      </c>
      <c r="M5400" s="68" t="s">
        <v>8913</v>
      </c>
      <c r="N5400" s="53" t="s">
        <v>9836</v>
      </c>
      <c r="O5400" s="53">
        <v>55112</v>
      </c>
      <c r="P5400" s="198" t="s">
        <v>13625</v>
      </c>
    </row>
    <row r="5401" spans="1:16" ht="18.75" hidden="1">
      <c r="A5401" s="50" t="s">
        <v>13638</v>
      </c>
      <c r="B5401" s="50" t="s">
        <v>13639</v>
      </c>
      <c r="C5401" s="50" t="s">
        <v>13614</v>
      </c>
      <c r="D5401" s="12" t="s">
        <v>13266</v>
      </c>
      <c r="E5401" s="12" t="s">
        <v>13333</v>
      </c>
      <c r="F5401" s="49">
        <v>2310</v>
      </c>
      <c r="G5401" s="77" t="s">
        <v>6454</v>
      </c>
      <c r="H5401" s="14" t="str">
        <f t="shared" si="166"/>
        <v>true</v>
      </c>
      <c r="I5401" s="14" t="s">
        <v>2458</v>
      </c>
      <c r="J5401" s="33" t="s">
        <v>7110</v>
      </c>
      <c r="K5401" s="33" t="s">
        <v>13613</v>
      </c>
      <c r="L5401" s="53" t="s">
        <v>6054</v>
      </c>
      <c r="M5401" s="68" t="s">
        <v>8912</v>
      </c>
      <c r="N5401" s="53" t="s">
        <v>6285</v>
      </c>
      <c r="O5401" s="53">
        <v>55200</v>
      </c>
      <c r="P5401" s="198" t="s">
        <v>12669</v>
      </c>
    </row>
    <row r="5402" spans="1:16" ht="18.75" hidden="1">
      <c r="A5402" s="50" t="s">
        <v>13641</v>
      </c>
      <c r="B5402" s="50" t="s">
        <v>13385</v>
      </c>
      <c r="C5402" s="50" t="s">
        <v>13649</v>
      </c>
      <c r="D5402" s="12" t="s">
        <v>13273</v>
      </c>
      <c r="E5402" s="12" t="s">
        <v>13333</v>
      </c>
      <c r="F5402" s="49">
        <v>117140</v>
      </c>
      <c r="G5402" s="77" t="s">
        <v>13495</v>
      </c>
      <c r="H5402" s="14" t="str">
        <f t="shared" si="166"/>
        <v>true</v>
      </c>
      <c r="I5402" s="14" t="s">
        <v>2458</v>
      </c>
      <c r="J5402" s="33" t="s">
        <v>7110</v>
      </c>
      <c r="K5402" s="33" t="s">
        <v>13613</v>
      </c>
      <c r="L5402" s="53" t="s">
        <v>6054</v>
      </c>
      <c r="M5402" s="68" t="s">
        <v>8913</v>
      </c>
      <c r="N5402" s="53" t="s">
        <v>6076</v>
      </c>
      <c r="O5402" s="53">
        <v>55301</v>
      </c>
      <c r="P5402" s="198" t="s">
        <v>13625</v>
      </c>
    </row>
    <row r="5403" spans="1:16" ht="18.75" hidden="1">
      <c r="A5403" s="50" t="s">
        <v>13641</v>
      </c>
      <c r="B5403" s="50" t="s">
        <v>13385</v>
      </c>
      <c r="C5403" s="50" t="s">
        <v>13426</v>
      </c>
      <c r="D5403" s="12" t="s">
        <v>13308</v>
      </c>
      <c r="E5403" s="12" t="s">
        <v>13333</v>
      </c>
      <c r="F5403" s="49">
        <v>69040</v>
      </c>
      <c r="G5403" s="77" t="s">
        <v>12608</v>
      </c>
      <c r="H5403" s="14" t="str">
        <f t="shared" si="166"/>
        <v>true</v>
      </c>
      <c r="I5403" s="14" t="s">
        <v>2458</v>
      </c>
      <c r="J5403" s="33" t="s">
        <v>7110</v>
      </c>
      <c r="K5403" s="33" t="s">
        <v>13613</v>
      </c>
      <c r="L5403" s="53" t="s">
        <v>6054</v>
      </c>
      <c r="M5403" s="68" t="s">
        <v>8913</v>
      </c>
      <c r="N5403" s="53" t="s">
        <v>6076</v>
      </c>
      <c r="O5403" s="53">
        <v>55301</v>
      </c>
      <c r="P5403" s="198" t="s">
        <v>12939</v>
      </c>
    </row>
    <row r="5404" spans="1:16" ht="18.75" hidden="1">
      <c r="A5404" s="50" t="s">
        <v>13642</v>
      </c>
      <c r="B5404" s="50" t="s">
        <v>13402</v>
      </c>
      <c r="C5404" s="50" t="s">
        <v>13650</v>
      </c>
      <c r="D5404" s="12" t="s">
        <v>12880</v>
      </c>
      <c r="E5404" s="12" t="s">
        <v>4971</v>
      </c>
      <c r="F5404" s="49">
        <v>100000</v>
      </c>
      <c r="G5404" s="77" t="s">
        <v>6454</v>
      </c>
      <c r="H5404" s="14" t="str">
        <f t="shared" si="166"/>
        <v>true</v>
      </c>
      <c r="I5404" s="14" t="s">
        <v>2458</v>
      </c>
      <c r="J5404" s="33" t="s">
        <v>7110</v>
      </c>
      <c r="K5404" s="33" t="s">
        <v>13613</v>
      </c>
      <c r="L5404" s="53" t="s">
        <v>6054</v>
      </c>
      <c r="M5404" s="68" t="s">
        <v>8912</v>
      </c>
      <c r="N5404" s="53" t="s">
        <v>6285</v>
      </c>
      <c r="O5404" s="53">
        <v>55200</v>
      </c>
      <c r="P5404" s="198" t="s">
        <v>12669</v>
      </c>
    </row>
    <row r="5405" spans="1:16" ht="18.75" hidden="1">
      <c r="A5405" s="50" t="s">
        <v>13642</v>
      </c>
      <c r="B5405" s="50" t="s">
        <v>13402</v>
      </c>
      <c r="C5405" s="50" t="s">
        <v>13614</v>
      </c>
      <c r="D5405" s="12" t="s">
        <v>13266</v>
      </c>
      <c r="E5405" s="12" t="s">
        <v>13333</v>
      </c>
      <c r="F5405" s="49">
        <v>41760</v>
      </c>
      <c r="G5405" s="77" t="s">
        <v>6454</v>
      </c>
      <c r="H5405" s="14" t="str">
        <f t="shared" si="166"/>
        <v>true</v>
      </c>
      <c r="I5405" s="14" t="s">
        <v>2458</v>
      </c>
      <c r="J5405" s="33" t="s">
        <v>7110</v>
      </c>
      <c r="K5405" s="33" t="s">
        <v>13613</v>
      </c>
      <c r="L5405" s="53" t="s">
        <v>6054</v>
      </c>
      <c r="M5405" s="68" t="s">
        <v>8912</v>
      </c>
      <c r="N5405" s="53" t="s">
        <v>6285</v>
      </c>
      <c r="O5405" s="53">
        <v>55200</v>
      </c>
      <c r="P5405" s="198" t="s">
        <v>12669</v>
      </c>
    </row>
    <row r="5406" spans="1:16" ht="18.75" hidden="1">
      <c r="A5406" s="50" t="s">
        <v>13645</v>
      </c>
      <c r="B5406" s="50" t="s">
        <v>13623</v>
      </c>
      <c r="C5406" s="50" t="s">
        <v>13651</v>
      </c>
      <c r="D5406" s="12" t="s">
        <v>13385</v>
      </c>
      <c r="E5406" s="12" t="s">
        <v>13333</v>
      </c>
      <c r="F5406" s="49">
        <v>314940</v>
      </c>
      <c r="G5406" s="77" t="s">
        <v>6453</v>
      </c>
      <c r="H5406" s="14" t="str">
        <f t="shared" si="166"/>
        <v>true</v>
      </c>
      <c r="I5406" s="14" t="s">
        <v>2458</v>
      </c>
      <c r="J5406" s="33" t="e">
        <f>VLOOKUP(C5406,شرکتها!A:B,2,FALSE)</f>
        <v>#N/A</v>
      </c>
      <c r="K5406" s="33" t="s">
        <v>13613</v>
      </c>
      <c r="L5406" s="53" t="s">
        <v>6054</v>
      </c>
      <c r="M5406" s="68" t="s">
        <v>8913</v>
      </c>
      <c r="N5406" s="53" t="s">
        <v>6076</v>
      </c>
      <c r="O5406" s="53">
        <v>55301</v>
      </c>
      <c r="P5406" s="198" t="s">
        <v>12929</v>
      </c>
    </row>
    <row r="5407" spans="1:16" ht="18.75" hidden="1">
      <c r="A5407" s="50" t="s">
        <v>13652</v>
      </c>
      <c r="B5407" s="50" t="s">
        <v>13549</v>
      </c>
      <c r="C5407" s="50" t="s">
        <v>13614</v>
      </c>
      <c r="D5407" s="12" t="s">
        <v>13266</v>
      </c>
      <c r="E5407" s="12" t="s">
        <v>13333</v>
      </c>
      <c r="F5407" s="49">
        <v>46530</v>
      </c>
      <c r="G5407" s="77" t="s">
        <v>6454</v>
      </c>
      <c r="H5407" s="14" t="str">
        <f t="shared" si="166"/>
        <v>true</v>
      </c>
      <c r="I5407" s="14" t="s">
        <v>2458</v>
      </c>
      <c r="J5407" s="33" t="s">
        <v>7110</v>
      </c>
      <c r="K5407" s="33" t="s">
        <v>13613</v>
      </c>
      <c r="L5407" s="53" t="s">
        <v>6054</v>
      </c>
      <c r="M5407" s="68" t="s">
        <v>8912</v>
      </c>
      <c r="N5407" s="53" t="s">
        <v>9836</v>
      </c>
      <c r="O5407" s="53">
        <v>55112</v>
      </c>
      <c r="P5407" s="198" t="s">
        <v>12669</v>
      </c>
    </row>
    <row r="5408" spans="1:16" ht="18.75" hidden="1">
      <c r="A5408" s="50" t="s">
        <v>13653</v>
      </c>
      <c r="B5408" s="50" t="s">
        <v>13590</v>
      </c>
      <c r="C5408" s="50" t="s">
        <v>13651</v>
      </c>
      <c r="D5408" s="12" t="s">
        <v>13385</v>
      </c>
      <c r="E5408" s="12" t="s">
        <v>13333</v>
      </c>
      <c r="F5408" s="49">
        <v>98780</v>
      </c>
      <c r="G5408" s="77" t="s">
        <v>6453</v>
      </c>
      <c r="H5408" s="14" t="str">
        <f t="shared" si="166"/>
        <v>true</v>
      </c>
      <c r="I5408" s="14" t="s">
        <v>2458</v>
      </c>
      <c r="J5408" s="33" t="e">
        <f>VLOOKUP(C5408,شرکتها!A:B,2,FALSE)</f>
        <v>#N/A</v>
      </c>
      <c r="K5408" s="33" t="s">
        <v>13613</v>
      </c>
      <c r="L5408" s="53" t="s">
        <v>6054</v>
      </c>
      <c r="M5408" s="68" t="s">
        <v>8912</v>
      </c>
      <c r="N5408" s="53" t="s">
        <v>6285</v>
      </c>
      <c r="O5408" s="53">
        <v>55200</v>
      </c>
      <c r="P5408" s="198" t="s">
        <v>12929</v>
      </c>
    </row>
    <row r="5409" spans="1:16" ht="18.75" hidden="1">
      <c r="A5409" s="50" t="s">
        <v>13654</v>
      </c>
      <c r="B5409" s="50" t="s">
        <v>13390</v>
      </c>
      <c r="C5409" s="50" t="s">
        <v>13426</v>
      </c>
      <c r="D5409" s="12" t="s">
        <v>13308</v>
      </c>
      <c r="E5409" s="12" t="s">
        <v>13333</v>
      </c>
      <c r="F5409" s="49">
        <v>20420</v>
      </c>
      <c r="G5409" s="77" t="s">
        <v>12608</v>
      </c>
      <c r="H5409" s="14" t="str">
        <f t="shared" si="166"/>
        <v>true</v>
      </c>
      <c r="I5409" s="14" t="s">
        <v>2458</v>
      </c>
      <c r="J5409" s="33" t="s">
        <v>7110</v>
      </c>
      <c r="K5409" s="33" t="s">
        <v>13613</v>
      </c>
      <c r="L5409" s="53" t="s">
        <v>6054</v>
      </c>
      <c r="M5409" s="68" t="s">
        <v>8913</v>
      </c>
      <c r="N5409" s="53" t="s">
        <v>6076</v>
      </c>
      <c r="O5409" s="53">
        <v>55301</v>
      </c>
      <c r="P5409" s="198" t="s">
        <v>12939</v>
      </c>
    </row>
    <row r="5410" spans="1:16" ht="18.75" hidden="1">
      <c r="A5410" s="50" t="s">
        <v>13655</v>
      </c>
      <c r="B5410" s="50" t="s">
        <v>13549</v>
      </c>
      <c r="C5410" s="50" t="s">
        <v>13443</v>
      </c>
      <c r="D5410" s="12" t="s">
        <v>12880</v>
      </c>
      <c r="E5410" s="12" t="s">
        <v>4971</v>
      </c>
      <c r="F5410" s="49">
        <v>22700</v>
      </c>
      <c r="G5410" s="77" t="s">
        <v>6300</v>
      </c>
      <c r="H5410" s="14" t="str">
        <f t="shared" si="166"/>
        <v>true</v>
      </c>
      <c r="I5410" s="14" t="s">
        <v>2458</v>
      </c>
      <c r="J5410" s="33" t="s">
        <v>7110</v>
      </c>
      <c r="K5410" s="33" t="s">
        <v>13613</v>
      </c>
      <c r="L5410" s="53" t="s">
        <v>6054</v>
      </c>
      <c r="M5410" s="68" t="s">
        <v>8913</v>
      </c>
      <c r="N5410" s="53" t="s">
        <v>6286</v>
      </c>
      <c r="O5410" s="53">
        <v>55107</v>
      </c>
      <c r="P5410" s="198" t="s">
        <v>12220</v>
      </c>
    </row>
    <row r="5411" spans="1:16" ht="18.75" hidden="1">
      <c r="A5411" s="50" t="s">
        <v>13654</v>
      </c>
      <c r="B5411" s="50" t="s">
        <v>13390</v>
      </c>
      <c r="C5411" s="50" t="s">
        <v>13510</v>
      </c>
      <c r="D5411" s="12" t="s">
        <v>13266</v>
      </c>
      <c r="E5411" s="12" t="s">
        <v>13333</v>
      </c>
      <c r="F5411" s="49">
        <v>23220</v>
      </c>
      <c r="G5411" s="77" t="s">
        <v>6300</v>
      </c>
      <c r="H5411" s="14" t="str">
        <f t="shared" si="166"/>
        <v>true</v>
      </c>
      <c r="I5411" s="14" t="s">
        <v>2458</v>
      </c>
      <c r="J5411" s="33" t="s">
        <v>7110</v>
      </c>
      <c r="K5411" s="33" t="s">
        <v>13613</v>
      </c>
      <c r="L5411" s="53" t="s">
        <v>6054</v>
      </c>
      <c r="M5411" s="68" t="s">
        <v>8913</v>
      </c>
      <c r="N5411" s="53" t="s">
        <v>6076</v>
      </c>
      <c r="O5411" s="53">
        <v>55301</v>
      </c>
      <c r="P5411" s="198" t="s">
        <v>9785</v>
      </c>
    </row>
    <row r="5412" spans="1:16" ht="18.75" hidden="1">
      <c r="A5412" s="50" t="s">
        <v>13654</v>
      </c>
      <c r="B5412" s="50" t="s">
        <v>13390</v>
      </c>
      <c r="C5412" s="50" t="s">
        <v>13434</v>
      </c>
      <c r="D5412" s="12" t="s">
        <v>13343</v>
      </c>
      <c r="E5412" s="12" t="s">
        <v>13333</v>
      </c>
      <c r="F5412" s="49">
        <v>41700</v>
      </c>
      <c r="G5412" s="77" t="s">
        <v>13495</v>
      </c>
      <c r="H5412" s="14" t="str">
        <f t="shared" si="166"/>
        <v>true</v>
      </c>
      <c r="I5412" s="14" t="s">
        <v>2458</v>
      </c>
      <c r="J5412" s="33" t="s">
        <v>7110</v>
      </c>
      <c r="K5412" s="33" t="s">
        <v>13613</v>
      </c>
      <c r="L5412" s="53" t="s">
        <v>6054</v>
      </c>
      <c r="M5412" s="68" t="s">
        <v>8913</v>
      </c>
      <c r="N5412" s="53" t="s">
        <v>6076</v>
      </c>
      <c r="O5412" s="53">
        <v>55301</v>
      </c>
      <c r="P5412" s="198" t="s">
        <v>13069</v>
      </c>
    </row>
    <row r="5413" spans="1:16" ht="18.75" hidden="1">
      <c r="A5413" s="50" t="s">
        <v>13656</v>
      </c>
      <c r="B5413" s="50" t="s">
        <v>13639</v>
      </c>
      <c r="C5413" s="50" t="s">
        <v>13510</v>
      </c>
      <c r="D5413" s="12" t="s">
        <v>13266</v>
      </c>
      <c r="E5413" s="12" t="s">
        <v>13333</v>
      </c>
      <c r="F5413" s="49">
        <v>23040</v>
      </c>
      <c r="G5413" s="77" t="s">
        <v>6300</v>
      </c>
      <c r="H5413" s="14" t="str">
        <f t="shared" si="166"/>
        <v>true</v>
      </c>
      <c r="I5413" s="14" t="s">
        <v>2458</v>
      </c>
      <c r="J5413" s="33" t="s">
        <v>7110</v>
      </c>
      <c r="K5413" s="33" t="s">
        <v>13613</v>
      </c>
      <c r="L5413" s="53" t="s">
        <v>6054</v>
      </c>
      <c r="M5413" s="68" t="s">
        <v>8913</v>
      </c>
      <c r="N5413" s="53" t="s">
        <v>6286</v>
      </c>
      <c r="O5413" s="53">
        <v>55107</v>
      </c>
      <c r="P5413" s="198" t="s">
        <v>9785</v>
      </c>
    </row>
    <row r="5414" spans="1:16" ht="18.75" hidden="1">
      <c r="A5414" s="50" t="s">
        <v>13654</v>
      </c>
      <c r="B5414" s="50" t="s">
        <v>13390</v>
      </c>
      <c r="C5414" s="50" t="s">
        <v>13502</v>
      </c>
      <c r="D5414" s="12" t="s">
        <v>13380</v>
      </c>
      <c r="E5414" s="12" t="s">
        <v>13333</v>
      </c>
      <c r="F5414" s="49">
        <v>320430</v>
      </c>
      <c r="G5414" s="77" t="s">
        <v>6453</v>
      </c>
      <c r="H5414" s="14" t="str">
        <f t="shared" si="166"/>
        <v>true</v>
      </c>
      <c r="I5414" s="14" t="s">
        <v>2458</v>
      </c>
      <c r="J5414" s="33" t="e">
        <f>VLOOKUP(C5414,شرکتها!A:B,2,FALSE)</f>
        <v>#N/A</v>
      </c>
      <c r="K5414" s="33" t="s">
        <v>13613</v>
      </c>
      <c r="L5414" s="53" t="s">
        <v>6054</v>
      </c>
      <c r="M5414" s="68" t="s">
        <v>8913</v>
      </c>
      <c r="N5414" s="53" t="s">
        <v>6076</v>
      </c>
      <c r="O5414" s="53">
        <v>55301</v>
      </c>
      <c r="P5414" s="198" t="s">
        <v>12929</v>
      </c>
    </row>
    <row r="5415" spans="1:16" ht="18.75" hidden="1">
      <c r="A5415" s="50" t="s">
        <v>13657</v>
      </c>
      <c r="B5415" s="50" t="s">
        <v>13385</v>
      </c>
      <c r="C5415" s="50" t="s">
        <v>13658</v>
      </c>
      <c r="D5415" s="12" t="s">
        <v>12705</v>
      </c>
      <c r="E5415" s="12" t="s">
        <v>4971</v>
      </c>
      <c r="F5415" s="49">
        <v>3100</v>
      </c>
      <c r="G5415" s="77" t="s">
        <v>12823</v>
      </c>
      <c r="H5415" s="14" t="str">
        <f t="shared" si="166"/>
        <v>true</v>
      </c>
      <c r="I5415" s="14" t="s">
        <v>2458</v>
      </c>
      <c r="J5415" s="33" t="s">
        <v>7110</v>
      </c>
      <c r="K5415" s="33" t="s">
        <v>13613</v>
      </c>
      <c r="L5415" s="53" t="s">
        <v>6054</v>
      </c>
      <c r="M5415" s="68" t="s">
        <v>8912</v>
      </c>
      <c r="N5415" s="53" t="s">
        <v>6285</v>
      </c>
      <c r="O5415" s="53">
        <v>55200</v>
      </c>
      <c r="P5415" s="198" t="s">
        <v>12672</v>
      </c>
    </row>
    <row r="5416" spans="1:16" ht="18.75" hidden="1">
      <c r="A5416" s="50" t="s">
        <v>13657</v>
      </c>
      <c r="B5416" s="50" t="s">
        <v>13385</v>
      </c>
      <c r="C5416" s="50" t="s">
        <v>13488</v>
      </c>
      <c r="D5416" s="12" t="s">
        <v>12867</v>
      </c>
      <c r="E5416" s="12" t="s">
        <v>4971</v>
      </c>
      <c r="F5416" s="49">
        <v>54000</v>
      </c>
      <c r="G5416" s="77" t="s">
        <v>12823</v>
      </c>
      <c r="H5416" s="14" t="str">
        <f t="shared" si="166"/>
        <v>true</v>
      </c>
      <c r="I5416" s="14" t="s">
        <v>2458</v>
      </c>
      <c r="J5416" s="33" t="s">
        <v>7110</v>
      </c>
      <c r="K5416" s="33" t="s">
        <v>13613</v>
      </c>
      <c r="L5416" s="53" t="s">
        <v>6054</v>
      </c>
      <c r="M5416" s="68" t="s">
        <v>8912</v>
      </c>
      <c r="N5416" s="53" t="s">
        <v>6285</v>
      </c>
      <c r="O5416" s="53">
        <v>55200</v>
      </c>
      <c r="P5416" s="198" t="s">
        <v>12672</v>
      </c>
    </row>
    <row r="5417" spans="1:16" ht="18.75" hidden="1">
      <c r="A5417" s="50" t="s">
        <v>13659</v>
      </c>
      <c r="B5417" s="50" t="s">
        <v>13402</v>
      </c>
      <c r="C5417" s="50" t="s">
        <v>13476</v>
      </c>
      <c r="D5417" s="12" t="s">
        <v>12880</v>
      </c>
      <c r="E5417" s="12" t="s">
        <v>4971</v>
      </c>
      <c r="F5417" s="49">
        <v>69370</v>
      </c>
      <c r="G5417" s="77" t="s">
        <v>6454</v>
      </c>
      <c r="H5417" s="14" t="str">
        <f t="shared" si="166"/>
        <v>true</v>
      </c>
      <c r="I5417" s="14" t="s">
        <v>2458</v>
      </c>
      <c r="J5417" s="33" t="s">
        <v>7110</v>
      </c>
      <c r="K5417" s="33" t="s">
        <v>13613</v>
      </c>
      <c r="L5417" s="53" t="s">
        <v>6054</v>
      </c>
      <c r="M5417" s="68" t="s">
        <v>8912</v>
      </c>
      <c r="N5417" s="53" t="s">
        <v>6076</v>
      </c>
      <c r="O5417" s="53">
        <v>55301</v>
      </c>
      <c r="P5417" s="198" t="s">
        <v>12669</v>
      </c>
    </row>
    <row r="5418" spans="1:16" ht="18.75" hidden="1">
      <c r="A5418" s="50" t="s">
        <v>13656</v>
      </c>
      <c r="B5418" s="50" t="s">
        <v>13639</v>
      </c>
      <c r="C5418" s="50" t="s">
        <v>13660</v>
      </c>
      <c r="D5418" s="12" t="s">
        <v>13189</v>
      </c>
      <c r="E5418" s="12" t="s">
        <v>4971</v>
      </c>
      <c r="F5418" s="49">
        <v>45400</v>
      </c>
      <c r="G5418" s="77" t="s">
        <v>6298</v>
      </c>
      <c r="H5418" s="14" t="str">
        <f t="shared" si="166"/>
        <v>true</v>
      </c>
      <c r="I5418" s="14" t="s">
        <v>2458</v>
      </c>
      <c r="J5418" s="33" t="s">
        <v>7110</v>
      </c>
      <c r="K5418" s="33" t="s">
        <v>13613</v>
      </c>
      <c r="L5418" s="53" t="s">
        <v>6054</v>
      </c>
      <c r="M5418" s="68" t="s">
        <v>8913</v>
      </c>
      <c r="N5418" s="53" t="s">
        <v>6286</v>
      </c>
      <c r="O5418" s="53">
        <v>55107</v>
      </c>
      <c r="P5418" s="198" t="s">
        <v>12934</v>
      </c>
    </row>
    <row r="5419" spans="1:16" ht="18.75" hidden="1">
      <c r="A5419" s="50" t="s">
        <v>13653</v>
      </c>
      <c r="B5419" s="50" t="s">
        <v>13590</v>
      </c>
      <c r="C5419" s="50" t="s">
        <v>13661</v>
      </c>
      <c r="D5419" s="12" t="s">
        <v>13373</v>
      </c>
      <c r="E5419" s="12" t="s">
        <v>13333</v>
      </c>
      <c r="F5419" s="49">
        <v>72780</v>
      </c>
      <c r="G5419" s="77" t="s">
        <v>6453</v>
      </c>
      <c r="H5419" s="14" t="str">
        <f t="shared" si="166"/>
        <v>true</v>
      </c>
      <c r="I5419" s="14" t="s">
        <v>2458</v>
      </c>
      <c r="J5419" s="33" t="e">
        <f>VLOOKUP(C5419,شرکتها!A:B,2,FALSE)</f>
        <v>#N/A</v>
      </c>
      <c r="K5419" s="33" t="s">
        <v>13613</v>
      </c>
      <c r="L5419" s="53" t="s">
        <v>6054</v>
      </c>
      <c r="M5419" s="68" t="s">
        <v>8912</v>
      </c>
      <c r="N5419" s="53" t="s">
        <v>6285</v>
      </c>
      <c r="O5419" s="53">
        <v>55200</v>
      </c>
      <c r="P5419" s="198" t="s">
        <v>12929</v>
      </c>
    </row>
    <row r="5420" spans="1:16" ht="18.75" hidden="1">
      <c r="A5420" s="50" t="s">
        <v>13657</v>
      </c>
      <c r="B5420" s="50" t="s">
        <v>13385</v>
      </c>
      <c r="C5420" s="50" t="s">
        <v>13640</v>
      </c>
      <c r="D5420" s="12" t="s">
        <v>13186</v>
      </c>
      <c r="E5420" s="12" t="s">
        <v>4971</v>
      </c>
      <c r="F5420" s="49">
        <v>162880</v>
      </c>
      <c r="G5420" s="77" t="s">
        <v>6298</v>
      </c>
      <c r="H5420" s="14" t="str">
        <f t="shared" si="166"/>
        <v>true</v>
      </c>
      <c r="I5420" s="14" t="s">
        <v>2458</v>
      </c>
      <c r="J5420" s="33" t="s">
        <v>7110</v>
      </c>
      <c r="K5420" s="33" t="s">
        <v>13613</v>
      </c>
      <c r="L5420" s="53" t="s">
        <v>6054</v>
      </c>
      <c r="M5420" s="68" t="s">
        <v>8912</v>
      </c>
      <c r="N5420" s="53" t="s">
        <v>6285</v>
      </c>
      <c r="O5420" s="53">
        <v>55200</v>
      </c>
      <c r="P5420" s="198" t="s">
        <v>12934</v>
      </c>
    </row>
    <row r="5421" spans="1:16" ht="18.75" hidden="1">
      <c r="A5421" s="50" t="s">
        <v>13659</v>
      </c>
      <c r="B5421" s="50" t="s">
        <v>13402</v>
      </c>
      <c r="C5421" s="50" t="s">
        <v>13481</v>
      </c>
      <c r="D5421" s="12" t="s">
        <v>13375</v>
      </c>
      <c r="E5421" s="12" t="s">
        <v>4971</v>
      </c>
      <c r="F5421" s="49">
        <v>92010</v>
      </c>
      <c r="G5421" s="77" t="s">
        <v>6454</v>
      </c>
      <c r="H5421" s="14" t="str">
        <f t="shared" si="166"/>
        <v>true</v>
      </c>
      <c r="I5421" s="14" t="s">
        <v>2458</v>
      </c>
      <c r="J5421" s="33" t="s">
        <v>7110</v>
      </c>
      <c r="K5421" s="33" t="s">
        <v>13613</v>
      </c>
      <c r="L5421" s="53" t="s">
        <v>6054</v>
      </c>
      <c r="M5421" s="68" t="s">
        <v>8912</v>
      </c>
      <c r="N5421" s="53" t="s">
        <v>6076</v>
      </c>
      <c r="O5421" s="53">
        <v>55301</v>
      </c>
      <c r="P5421" s="198" t="s">
        <v>12669</v>
      </c>
    </row>
    <row r="5422" spans="1:16" ht="18.75" hidden="1">
      <c r="A5422" s="50" t="s">
        <v>13654</v>
      </c>
      <c r="B5422" s="50" t="s">
        <v>13390</v>
      </c>
      <c r="C5422" s="50" t="s">
        <v>13448</v>
      </c>
      <c r="D5422" s="12" t="s">
        <v>13186</v>
      </c>
      <c r="E5422" s="12" t="s">
        <v>4971</v>
      </c>
      <c r="F5422" s="49">
        <v>47380</v>
      </c>
      <c r="G5422" s="77" t="s">
        <v>6299</v>
      </c>
      <c r="H5422" s="14" t="str">
        <f t="shared" si="166"/>
        <v>true</v>
      </c>
      <c r="I5422" s="14" t="s">
        <v>2458</v>
      </c>
      <c r="J5422" s="33" t="s">
        <v>7110</v>
      </c>
      <c r="K5422" s="33" t="s">
        <v>13613</v>
      </c>
      <c r="L5422" s="53" t="s">
        <v>6054</v>
      </c>
      <c r="M5422" s="68" t="s">
        <v>8913</v>
      </c>
      <c r="N5422" s="53" t="s">
        <v>6076</v>
      </c>
      <c r="O5422" s="53">
        <v>55301</v>
      </c>
      <c r="P5422" s="198" t="s">
        <v>12935</v>
      </c>
    </row>
    <row r="5423" spans="1:16" ht="18.75" hidden="1">
      <c r="A5423" s="50" t="s">
        <v>13662</v>
      </c>
      <c r="B5423" s="50" t="s">
        <v>13623</v>
      </c>
      <c r="C5423" s="50" t="s">
        <v>13663</v>
      </c>
      <c r="D5423" s="12" t="s">
        <v>13549</v>
      </c>
      <c r="E5423" s="12" t="s">
        <v>13333</v>
      </c>
      <c r="F5423" s="49">
        <v>14230</v>
      </c>
      <c r="G5423" s="77" t="s">
        <v>11829</v>
      </c>
      <c r="H5423" s="14" t="str">
        <f t="shared" si="166"/>
        <v>true</v>
      </c>
      <c r="I5423" s="14" t="s">
        <v>2458</v>
      </c>
      <c r="J5423" s="33" t="s">
        <v>7110</v>
      </c>
      <c r="K5423" s="33" t="s">
        <v>13613</v>
      </c>
      <c r="L5423" s="53" t="s">
        <v>6054</v>
      </c>
      <c r="M5423" s="68" t="s">
        <v>8912</v>
      </c>
      <c r="N5423" s="53" t="s">
        <v>6076</v>
      </c>
      <c r="O5423" s="53">
        <v>55301</v>
      </c>
      <c r="P5423" s="198" t="s">
        <v>13664</v>
      </c>
    </row>
    <row r="5424" spans="1:16" ht="18.75" hidden="1">
      <c r="A5424" s="50" t="s">
        <v>13665</v>
      </c>
      <c r="B5424" s="50" t="s">
        <v>13390</v>
      </c>
      <c r="C5424" s="50" t="s">
        <v>13666</v>
      </c>
      <c r="D5424" s="12" t="s">
        <v>13321</v>
      </c>
      <c r="E5424" s="12" t="s">
        <v>13333</v>
      </c>
      <c r="F5424" s="49">
        <v>77260</v>
      </c>
      <c r="G5424" s="77" t="s">
        <v>6298</v>
      </c>
      <c r="H5424" s="14" t="str">
        <f t="shared" si="166"/>
        <v>true</v>
      </c>
      <c r="I5424" s="14" t="s">
        <v>2458</v>
      </c>
      <c r="J5424" s="33" t="s">
        <v>7110</v>
      </c>
      <c r="K5424" s="33" t="s">
        <v>13613</v>
      </c>
      <c r="L5424" s="53" t="s">
        <v>6054</v>
      </c>
      <c r="M5424" s="68" t="s">
        <v>8913</v>
      </c>
      <c r="N5424" s="53" t="s">
        <v>6286</v>
      </c>
      <c r="O5424" s="53">
        <v>55107</v>
      </c>
      <c r="P5424" s="198" t="s">
        <v>12934</v>
      </c>
    </row>
    <row r="5425" spans="1:16" ht="18.75" hidden="1">
      <c r="A5425" s="50" t="s">
        <v>13654</v>
      </c>
      <c r="B5425" s="50" t="s">
        <v>13390</v>
      </c>
      <c r="C5425" s="50" t="s">
        <v>13666</v>
      </c>
      <c r="D5425" s="12" t="s">
        <v>13321</v>
      </c>
      <c r="E5425" s="12" t="s">
        <v>13333</v>
      </c>
      <c r="F5425" s="49">
        <v>317700</v>
      </c>
      <c r="G5425" s="77" t="s">
        <v>6298</v>
      </c>
      <c r="H5425" s="14" t="str">
        <f t="shared" si="166"/>
        <v>true</v>
      </c>
      <c r="I5425" s="14" t="s">
        <v>2458</v>
      </c>
      <c r="J5425" s="33" t="s">
        <v>7110</v>
      </c>
      <c r="K5425" s="33" t="s">
        <v>13613</v>
      </c>
      <c r="L5425" s="53" t="s">
        <v>6054</v>
      </c>
      <c r="M5425" s="68" t="s">
        <v>8913</v>
      </c>
      <c r="N5425" s="53" t="s">
        <v>6076</v>
      </c>
      <c r="O5425" s="53">
        <v>55301</v>
      </c>
      <c r="P5425" s="198" t="s">
        <v>12934</v>
      </c>
    </row>
    <row r="5426" spans="1:16" ht="18.75" hidden="1">
      <c r="A5426" s="50" t="s">
        <v>13657</v>
      </c>
      <c r="B5426" s="50" t="s">
        <v>13385</v>
      </c>
      <c r="C5426" s="50" t="s">
        <v>13667</v>
      </c>
      <c r="D5426" s="12" t="s">
        <v>13186</v>
      </c>
      <c r="E5426" s="12" t="s">
        <v>4971</v>
      </c>
      <c r="F5426" s="49">
        <v>250000</v>
      </c>
      <c r="G5426" s="77" t="s">
        <v>6298</v>
      </c>
      <c r="H5426" s="14" t="str">
        <f t="shared" si="166"/>
        <v>true</v>
      </c>
      <c r="I5426" s="14" t="s">
        <v>2458</v>
      </c>
      <c r="J5426" s="33" t="s">
        <v>7110</v>
      </c>
      <c r="K5426" s="33" t="s">
        <v>13613</v>
      </c>
      <c r="L5426" s="53" t="s">
        <v>6054</v>
      </c>
      <c r="M5426" s="68" t="s">
        <v>8912</v>
      </c>
      <c r="N5426" s="53" t="s">
        <v>6285</v>
      </c>
      <c r="O5426" s="53">
        <v>55200</v>
      </c>
      <c r="P5426" s="198" t="s">
        <v>12934</v>
      </c>
    </row>
    <row r="5427" spans="1:16" ht="18.75" hidden="1">
      <c r="A5427" s="50" t="s">
        <v>13668</v>
      </c>
      <c r="B5427" s="50" t="s">
        <v>13563</v>
      </c>
      <c r="C5427" s="50" t="s">
        <v>13456</v>
      </c>
      <c r="D5427" s="12" t="s">
        <v>12717</v>
      </c>
      <c r="E5427" s="12" t="s">
        <v>4971</v>
      </c>
      <c r="F5427" s="49">
        <v>870</v>
      </c>
      <c r="G5427" s="77" t="s">
        <v>12823</v>
      </c>
      <c r="H5427" s="14" t="str">
        <f t="shared" si="166"/>
        <v>true</v>
      </c>
      <c r="I5427" s="14" t="s">
        <v>2458</v>
      </c>
      <c r="J5427" s="33" t="s">
        <v>7110</v>
      </c>
      <c r="K5427" s="33" t="s">
        <v>13613</v>
      </c>
      <c r="L5427" s="53" t="s">
        <v>6054</v>
      </c>
      <c r="M5427" s="68" t="s">
        <v>8912</v>
      </c>
      <c r="N5427" s="53" t="s">
        <v>6285</v>
      </c>
      <c r="O5427" s="53">
        <v>55200</v>
      </c>
      <c r="P5427" s="198" t="s">
        <v>12428</v>
      </c>
    </row>
    <row r="5428" spans="1:16" ht="18.75" hidden="1">
      <c r="A5428" s="50" t="s">
        <v>13662</v>
      </c>
      <c r="B5428" s="50" t="s">
        <v>13623</v>
      </c>
      <c r="C5428" s="50" t="s">
        <v>13669</v>
      </c>
      <c r="D5428" s="12" t="s">
        <v>13385</v>
      </c>
      <c r="E5428" s="12" t="s">
        <v>13333</v>
      </c>
      <c r="F5428" s="49">
        <v>176240</v>
      </c>
      <c r="G5428" s="77" t="s">
        <v>12608</v>
      </c>
      <c r="H5428" s="14" t="str">
        <f t="shared" si="166"/>
        <v>true</v>
      </c>
      <c r="I5428" s="14" t="s">
        <v>2458</v>
      </c>
      <c r="J5428" s="33" t="s">
        <v>7110</v>
      </c>
      <c r="K5428" s="33" t="s">
        <v>13613</v>
      </c>
      <c r="L5428" s="53" t="s">
        <v>6054</v>
      </c>
      <c r="M5428" s="68" t="s">
        <v>8912</v>
      </c>
      <c r="N5428" s="53" t="s">
        <v>6076</v>
      </c>
      <c r="O5428" s="53">
        <v>55301</v>
      </c>
      <c r="P5428" s="198" t="s">
        <v>13670</v>
      </c>
    </row>
    <row r="5429" spans="1:16" ht="18.75" hidden="1">
      <c r="A5429" s="50" t="s">
        <v>13671</v>
      </c>
      <c r="B5429" s="50" t="s">
        <v>13672</v>
      </c>
      <c r="C5429" s="50" t="s">
        <v>13673</v>
      </c>
      <c r="D5429" s="12" t="s">
        <v>13331</v>
      </c>
      <c r="E5429" s="12" t="s">
        <v>13333</v>
      </c>
      <c r="F5429" s="49">
        <v>234510</v>
      </c>
      <c r="G5429" s="77" t="s">
        <v>12608</v>
      </c>
      <c r="H5429" s="14" t="str">
        <f t="shared" ref="H5429:H5492" si="167">IF(I5429="نامشخص",IF(E5429&gt;C5429,"false","true"),IF(E5429&gt;I5429,"false","true"))</f>
        <v>true</v>
      </c>
      <c r="I5429" s="14" t="s">
        <v>2458</v>
      </c>
      <c r="J5429" s="33" t="s">
        <v>7110</v>
      </c>
      <c r="K5429" s="33" t="s">
        <v>13613</v>
      </c>
      <c r="L5429" s="53" t="s">
        <v>6054</v>
      </c>
      <c r="M5429" s="68" t="s">
        <v>8912</v>
      </c>
      <c r="N5429" s="53" t="s">
        <v>6076</v>
      </c>
      <c r="O5429" s="53">
        <v>55301</v>
      </c>
      <c r="P5429" s="198" t="s">
        <v>12939</v>
      </c>
    </row>
    <row r="5430" spans="1:16" ht="18.75" hidden="1">
      <c r="A5430" s="50" t="s">
        <v>13668</v>
      </c>
      <c r="B5430" s="50" t="s">
        <v>13563</v>
      </c>
      <c r="C5430" s="50" t="s">
        <v>13629</v>
      </c>
      <c r="D5430" s="12" t="s">
        <v>13356</v>
      </c>
      <c r="E5430" s="12" t="s">
        <v>13333</v>
      </c>
      <c r="F5430" s="49">
        <v>89127</v>
      </c>
      <c r="G5430" s="77" t="s">
        <v>13495</v>
      </c>
      <c r="H5430" s="14" t="str">
        <f t="shared" si="167"/>
        <v>true</v>
      </c>
      <c r="I5430" s="14" t="s">
        <v>2458</v>
      </c>
      <c r="J5430" s="33" t="s">
        <v>7110</v>
      </c>
      <c r="K5430" s="33" t="s">
        <v>13613</v>
      </c>
      <c r="L5430" s="53" t="s">
        <v>6054</v>
      </c>
      <c r="M5430" s="68" t="s">
        <v>8912</v>
      </c>
      <c r="N5430" s="53" t="s">
        <v>6285</v>
      </c>
      <c r="O5430" s="53">
        <v>55200</v>
      </c>
      <c r="P5430" s="198" t="s">
        <v>13625</v>
      </c>
    </row>
    <row r="5431" spans="1:16" ht="18.75" hidden="1">
      <c r="A5431" s="50" t="s">
        <v>13674</v>
      </c>
      <c r="B5431" s="50" t="s">
        <v>13422</v>
      </c>
      <c r="C5431" s="50" t="s">
        <v>13644</v>
      </c>
      <c r="D5431" s="12" t="s">
        <v>13310</v>
      </c>
      <c r="E5431" s="12" t="s">
        <v>13333</v>
      </c>
      <c r="F5431" s="49">
        <v>176320</v>
      </c>
      <c r="G5431" s="77" t="s">
        <v>6454</v>
      </c>
      <c r="H5431" s="14" t="str">
        <f t="shared" si="167"/>
        <v>true</v>
      </c>
      <c r="I5431" s="14" t="s">
        <v>2458</v>
      </c>
      <c r="J5431" s="33" t="s">
        <v>7110</v>
      </c>
      <c r="K5431" s="33" t="s">
        <v>13613</v>
      </c>
      <c r="L5431" s="53" t="s">
        <v>6054</v>
      </c>
      <c r="M5431" s="68" t="s">
        <v>8913</v>
      </c>
      <c r="N5431" s="53" t="s">
        <v>6076</v>
      </c>
      <c r="O5431" s="53">
        <v>55301</v>
      </c>
      <c r="P5431" s="198" t="s">
        <v>12669</v>
      </c>
    </row>
    <row r="5432" spans="1:16" ht="18.75" hidden="1">
      <c r="A5432" s="50" t="s">
        <v>13675</v>
      </c>
      <c r="B5432" s="50" t="s">
        <v>13400</v>
      </c>
      <c r="C5432" s="50" t="s">
        <v>13676</v>
      </c>
      <c r="D5432" s="12" t="s">
        <v>12893</v>
      </c>
      <c r="E5432" s="12" t="s">
        <v>4971</v>
      </c>
      <c r="F5432" s="49">
        <v>46200</v>
      </c>
      <c r="G5432" s="77" t="s">
        <v>6298</v>
      </c>
      <c r="H5432" s="14" t="str">
        <f t="shared" si="167"/>
        <v>true</v>
      </c>
      <c r="I5432" s="14" t="s">
        <v>2458</v>
      </c>
      <c r="J5432" s="33" t="s">
        <v>7110</v>
      </c>
      <c r="K5432" s="33" t="s">
        <v>13613</v>
      </c>
      <c r="L5432" s="53" t="s">
        <v>6054</v>
      </c>
      <c r="M5432" s="68" t="s">
        <v>8912</v>
      </c>
      <c r="N5432" s="53" t="s">
        <v>6076</v>
      </c>
      <c r="O5432" s="53">
        <v>55301</v>
      </c>
      <c r="P5432" s="198" t="s">
        <v>12934</v>
      </c>
    </row>
    <row r="5433" spans="1:16" ht="18.75" hidden="1">
      <c r="A5433" s="50" t="s">
        <v>13677</v>
      </c>
      <c r="B5433" s="50" t="s">
        <v>13549</v>
      </c>
      <c r="C5433" s="50" t="s">
        <v>13441</v>
      </c>
      <c r="D5433" s="12" t="s">
        <v>13318</v>
      </c>
      <c r="E5433" s="12" t="s">
        <v>13333</v>
      </c>
      <c r="F5433" s="49">
        <v>13600</v>
      </c>
      <c r="G5433" s="77" t="s">
        <v>12608</v>
      </c>
      <c r="H5433" s="14" t="str">
        <f t="shared" si="167"/>
        <v>true</v>
      </c>
      <c r="I5433" s="14" t="s">
        <v>2458</v>
      </c>
      <c r="J5433" s="33" t="s">
        <v>7110</v>
      </c>
      <c r="K5433" s="33" t="s">
        <v>13613</v>
      </c>
      <c r="L5433" s="53" t="s">
        <v>6054</v>
      </c>
      <c r="M5433" s="68" t="s">
        <v>8912</v>
      </c>
      <c r="N5433" s="53" t="s">
        <v>6076</v>
      </c>
      <c r="O5433" s="53">
        <v>55301</v>
      </c>
      <c r="P5433" s="198" t="s">
        <v>12939</v>
      </c>
    </row>
    <row r="5434" spans="1:16" ht="18.75" hidden="1">
      <c r="A5434" s="50" t="s">
        <v>13678</v>
      </c>
      <c r="B5434" s="50" t="s">
        <v>13590</v>
      </c>
      <c r="C5434" s="50" t="s">
        <v>13624</v>
      </c>
      <c r="D5434" s="12" t="s">
        <v>13563</v>
      </c>
      <c r="E5434" s="12" t="s">
        <v>13333</v>
      </c>
      <c r="F5434" s="49">
        <v>96420</v>
      </c>
      <c r="G5434" s="77" t="s">
        <v>13495</v>
      </c>
      <c r="H5434" s="14" t="str">
        <f t="shared" si="167"/>
        <v>true</v>
      </c>
      <c r="I5434" s="14" t="s">
        <v>2458</v>
      </c>
      <c r="J5434" s="33" t="s">
        <v>7110</v>
      </c>
      <c r="K5434" s="33" t="s">
        <v>13613</v>
      </c>
      <c r="L5434" s="53" t="s">
        <v>6054</v>
      </c>
      <c r="M5434" s="68" t="s">
        <v>8913</v>
      </c>
      <c r="N5434" s="53" t="s">
        <v>6285</v>
      </c>
      <c r="O5434" s="53">
        <v>55200</v>
      </c>
      <c r="P5434" s="198" t="s">
        <v>13625</v>
      </c>
    </row>
    <row r="5435" spans="1:16" ht="18.75" hidden="1">
      <c r="A5435" s="50" t="s">
        <v>13679</v>
      </c>
      <c r="B5435" s="50" t="s">
        <v>13390</v>
      </c>
      <c r="C5435" s="50" t="s">
        <v>13680</v>
      </c>
      <c r="D5435" s="12" t="s">
        <v>12824</v>
      </c>
      <c r="E5435" s="12" t="s">
        <v>4971</v>
      </c>
      <c r="F5435" s="49">
        <v>100000</v>
      </c>
      <c r="G5435" s="77" t="s">
        <v>6298</v>
      </c>
      <c r="H5435" s="14" t="str">
        <f t="shared" si="167"/>
        <v>true</v>
      </c>
      <c r="I5435" s="14" t="s">
        <v>2458</v>
      </c>
      <c r="J5435" s="33" t="s">
        <v>7110</v>
      </c>
      <c r="K5435" s="33" t="s">
        <v>13613</v>
      </c>
      <c r="L5435" s="53" t="s">
        <v>6054</v>
      </c>
      <c r="M5435" s="68" t="s">
        <v>8912</v>
      </c>
      <c r="N5435" s="53" t="s">
        <v>6285</v>
      </c>
      <c r="O5435" s="53">
        <v>55200</v>
      </c>
      <c r="P5435" s="198" t="s">
        <v>12934</v>
      </c>
    </row>
    <row r="5436" spans="1:16" ht="18.75" hidden="1">
      <c r="A5436" s="50" t="s">
        <v>13679</v>
      </c>
      <c r="B5436" s="50" t="s">
        <v>13390</v>
      </c>
      <c r="C5436" s="50" t="s">
        <v>13681</v>
      </c>
      <c r="D5436" s="12" t="s">
        <v>12824</v>
      </c>
      <c r="E5436" s="12" t="s">
        <v>4971</v>
      </c>
      <c r="F5436" s="49">
        <v>340000</v>
      </c>
      <c r="G5436" s="77" t="s">
        <v>6454</v>
      </c>
      <c r="H5436" s="14" t="str">
        <f t="shared" si="167"/>
        <v>true</v>
      </c>
      <c r="I5436" s="14" t="s">
        <v>2458</v>
      </c>
      <c r="J5436" s="33" t="s">
        <v>7110</v>
      </c>
      <c r="K5436" s="33" t="s">
        <v>13613</v>
      </c>
      <c r="L5436" s="53" t="s">
        <v>6054</v>
      </c>
      <c r="M5436" s="68" t="s">
        <v>8912</v>
      </c>
      <c r="N5436" s="53" t="s">
        <v>6285</v>
      </c>
      <c r="O5436" s="53">
        <v>55200</v>
      </c>
      <c r="P5436" s="198" t="s">
        <v>12663</v>
      </c>
    </row>
    <row r="5437" spans="1:16" ht="18.75" hidden="1">
      <c r="A5437" s="50" t="s">
        <v>13682</v>
      </c>
      <c r="B5437" s="50" t="s">
        <v>13422</v>
      </c>
      <c r="C5437" s="50" t="s">
        <v>13644</v>
      </c>
      <c r="D5437" s="12" t="s">
        <v>13310</v>
      </c>
      <c r="E5437" s="12" t="s">
        <v>13333</v>
      </c>
      <c r="F5437" s="49">
        <v>46420</v>
      </c>
      <c r="G5437" s="77" t="s">
        <v>6454</v>
      </c>
      <c r="H5437" s="14" t="str">
        <f t="shared" si="167"/>
        <v>true</v>
      </c>
      <c r="I5437" s="14" t="s">
        <v>2458</v>
      </c>
      <c r="J5437" s="33" t="s">
        <v>7110</v>
      </c>
      <c r="K5437" s="33" t="s">
        <v>13613</v>
      </c>
      <c r="L5437" s="53" t="s">
        <v>6054</v>
      </c>
      <c r="M5437" s="68" t="s">
        <v>8913</v>
      </c>
      <c r="N5437" s="53" t="s">
        <v>9836</v>
      </c>
      <c r="O5437" s="53">
        <v>55112</v>
      </c>
      <c r="P5437" s="198" t="s">
        <v>12669</v>
      </c>
    </row>
    <row r="5438" spans="1:16" ht="18.75" hidden="1">
      <c r="A5438" s="50" t="s">
        <v>13674</v>
      </c>
      <c r="B5438" s="50" t="s">
        <v>13422</v>
      </c>
      <c r="C5438" s="50" t="s">
        <v>13683</v>
      </c>
      <c r="D5438" s="12" t="s">
        <v>13310</v>
      </c>
      <c r="E5438" s="12" t="s">
        <v>13333</v>
      </c>
      <c r="F5438" s="49">
        <v>75000</v>
      </c>
      <c r="G5438" s="77" t="s">
        <v>6299</v>
      </c>
      <c r="H5438" s="14" t="str">
        <f t="shared" si="167"/>
        <v>true</v>
      </c>
      <c r="I5438" s="14" t="s">
        <v>2458</v>
      </c>
      <c r="J5438" s="33" t="s">
        <v>7110</v>
      </c>
      <c r="K5438" s="33" t="s">
        <v>13613</v>
      </c>
      <c r="L5438" s="53" t="s">
        <v>6054</v>
      </c>
      <c r="M5438" s="68" t="s">
        <v>8913</v>
      </c>
      <c r="N5438" s="53" t="s">
        <v>6076</v>
      </c>
      <c r="O5438" s="53">
        <v>55301</v>
      </c>
      <c r="P5438" s="198" t="s">
        <v>13068</v>
      </c>
    </row>
    <row r="5439" spans="1:16" ht="18.75" hidden="1">
      <c r="A5439" s="50" t="s">
        <v>13671</v>
      </c>
      <c r="B5439" s="50" t="s">
        <v>13672</v>
      </c>
      <c r="C5439" s="50" t="s">
        <v>13649</v>
      </c>
      <c r="D5439" s="12" t="s">
        <v>13273</v>
      </c>
      <c r="E5439" s="12" t="s">
        <v>13333</v>
      </c>
      <c r="F5439" s="49">
        <v>279970</v>
      </c>
      <c r="G5439" s="77" t="s">
        <v>13495</v>
      </c>
      <c r="H5439" s="14" t="str">
        <f t="shared" si="167"/>
        <v>true</v>
      </c>
      <c r="I5439" s="14" t="s">
        <v>2458</v>
      </c>
      <c r="J5439" s="33" t="s">
        <v>7110</v>
      </c>
      <c r="K5439" s="33" t="s">
        <v>13613</v>
      </c>
      <c r="L5439" s="53" t="s">
        <v>6054</v>
      </c>
      <c r="M5439" s="68" t="s">
        <v>8912</v>
      </c>
      <c r="N5439" s="53" t="s">
        <v>6076</v>
      </c>
      <c r="O5439" s="53">
        <v>55301</v>
      </c>
      <c r="P5439" s="198" t="s">
        <v>13625</v>
      </c>
    </row>
    <row r="5440" spans="1:16" ht="18.75" hidden="1">
      <c r="A5440" s="50" t="s">
        <v>13674</v>
      </c>
      <c r="B5440" s="50" t="s">
        <v>13422</v>
      </c>
      <c r="C5440" s="50" t="s">
        <v>13651</v>
      </c>
      <c r="D5440" s="12" t="s">
        <v>13385</v>
      </c>
      <c r="E5440" s="12" t="s">
        <v>13333</v>
      </c>
      <c r="F5440" s="49">
        <v>250120</v>
      </c>
      <c r="G5440" s="77" t="s">
        <v>6453</v>
      </c>
      <c r="H5440" s="14" t="str">
        <f t="shared" si="167"/>
        <v>true</v>
      </c>
      <c r="I5440" s="14" t="s">
        <v>2458</v>
      </c>
      <c r="J5440" s="33" t="e">
        <f>VLOOKUP(C5440,شرکتها!A:B,2,FALSE)</f>
        <v>#N/A</v>
      </c>
      <c r="K5440" s="33" t="s">
        <v>13613</v>
      </c>
      <c r="L5440" s="53" t="s">
        <v>6054</v>
      </c>
      <c r="M5440" s="68" t="s">
        <v>8913</v>
      </c>
      <c r="N5440" s="53" t="s">
        <v>6076</v>
      </c>
      <c r="O5440" s="53">
        <v>55301</v>
      </c>
      <c r="P5440" s="198" t="s">
        <v>12929</v>
      </c>
    </row>
    <row r="5441" spans="1:16" ht="18.75" hidden="1">
      <c r="A5441" s="50" t="s">
        <v>13684</v>
      </c>
      <c r="B5441" s="50" t="s">
        <v>13672</v>
      </c>
      <c r="C5441" s="50" t="s">
        <v>13647</v>
      </c>
      <c r="D5441" s="12" t="s">
        <v>13195</v>
      </c>
      <c r="E5441" s="12" t="s">
        <v>4971</v>
      </c>
      <c r="F5441" s="49">
        <v>130060</v>
      </c>
      <c r="G5441" s="77" t="s">
        <v>6454</v>
      </c>
      <c r="H5441" s="14" t="str">
        <f t="shared" si="167"/>
        <v>true</v>
      </c>
      <c r="I5441" s="14" t="s">
        <v>2458</v>
      </c>
      <c r="J5441" s="33" t="s">
        <v>7110</v>
      </c>
      <c r="K5441" s="33" t="s">
        <v>13613</v>
      </c>
      <c r="L5441" s="53" t="s">
        <v>6054</v>
      </c>
      <c r="M5441" s="68" t="s">
        <v>8912</v>
      </c>
      <c r="N5441" s="53" t="s">
        <v>6286</v>
      </c>
      <c r="O5441" s="53">
        <v>55107</v>
      </c>
      <c r="P5441" s="198" t="s">
        <v>12669</v>
      </c>
    </row>
    <row r="5442" spans="1:16" ht="18.75" hidden="1">
      <c r="A5442" s="50" t="s">
        <v>13685</v>
      </c>
      <c r="B5442" s="50" t="s">
        <v>13575</v>
      </c>
      <c r="C5442" s="50" t="s">
        <v>13663</v>
      </c>
      <c r="D5442" s="12" t="s">
        <v>13549</v>
      </c>
      <c r="E5442" s="12" t="s">
        <v>13333</v>
      </c>
      <c r="F5442" s="49">
        <v>93370</v>
      </c>
      <c r="G5442" s="77" t="s">
        <v>11829</v>
      </c>
      <c r="H5442" s="14" t="str">
        <f t="shared" si="167"/>
        <v>true</v>
      </c>
      <c r="I5442" s="14" t="s">
        <v>2458</v>
      </c>
      <c r="J5442" s="33" t="s">
        <v>7110</v>
      </c>
      <c r="K5442" s="33" t="s">
        <v>13613</v>
      </c>
      <c r="L5442" s="53" t="s">
        <v>6054</v>
      </c>
      <c r="M5442" s="68" t="s">
        <v>8912</v>
      </c>
      <c r="N5442" s="53" t="s">
        <v>6076</v>
      </c>
      <c r="O5442" s="53">
        <v>55301</v>
      </c>
      <c r="P5442" s="198" t="s">
        <v>13664</v>
      </c>
    </row>
    <row r="5443" spans="1:16" ht="18.75" hidden="1">
      <c r="A5443" s="50" t="s">
        <v>13679</v>
      </c>
      <c r="B5443" s="50" t="s">
        <v>13390</v>
      </c>
      <c r="C5443" s="50" t="s">
        <v>13620</v>
      </c>
      <c r="D5443" s="12" t="s">
        <v>12893</v>
      </c>
      <c r="E5443" s="12" t="s">
        <v>4971</v>
      </c>
      <c r="F5443" s="49">
        <v>33520</v>
      </c>
      <c r="G5443" s="77" t="s">
        <v>6298</v>
      </c>
      <c r="H5443" s="14" t="str">
        <f t="shared" si="167"/>
        <v>true</v>
      </c>
      <c r="I5443" s="14" t="s">
        <v>2458</v>
      </c>
      <c r="J5443" s="33" t="s">
        <v>7110</v>
      </c>
      <c r="K5443" s="33" t="s">
        <v>13613</v>
      </c>
      <c r="L5443" s="53" t="s">
        <v>6054</v>
      </c>
      <c r="M5443" s="68" t="s">
        <v>8912</v>
      </c>
      <c r="N5443" s="53" t="s">
        <v>6285</v>
      </c>
      <c r="O5443" s="53">
        <v>55200</v>
      </c>
      <c r="P5443" s="198" t="s">
        <v>12934</v>
      </c>
    </row>
    <row r="5444" spans="1:16" ht="18.75" hidden="1">
      <c r="A5444" s="50" t="s">
        <v>13686</v>
      </c>
      <c r="B5444" s="50" t="s">
        <v>13400</v>
      </c>
      <c r="C5444" s="50" t="s">
        <v>13676</v>
      </c>
      <c r="D5444" s="12" t="s">
        <v>12893</v>
      </c>
      <c r="E5444" s="12" t="s">
        <v>4971</v>
      </c>
      <c r="F5444" s="49">
        <v>92900</v>
      </c>
      <c r="G5444" s="77" t="s">
        <v>6298</v>
      </c>
      <c r="H5444" s="14" t="str">
        <f t="shared" si="167"/>
        <v>true</v>
      </c>
      <c r="I5444" s="14" t="s">
        <v>2458</v>
      </c>
      <c r="J5444" s="33" t="s">
        <v>7110</v>
      </c>
      <c r="K5444" s="33" t="s">
        <v>13613</v>
      </c>
      <c r="L5444" s="53" t="s">
        <v>6054</v>
      </c>
      <c r="M5444" s="68" t="s">
        <v>8913</v>
      </c>
      <c r="N5444" s="53" t="s">
        <v>9836</v>
      </c>
      <c r="O5444" s="53">
        <v>55112</v>
      </c>
      <c r="P5444" s="198" t="s">
        <v>12934</v>
      </c>
    </row>
    <row r="5445" spans="1:16" ht="18.75" hidden="1">
      <c r="A5445" s="50" t="s">
        <v>13687</v>
      </c>
      <c r="B5445" s="50" t="s">
        <v>13422</v>
      </c>
      <c r="C5445" s="50" t="s">
        <v>13510</v>
      </c>
      <c r="D5445" s="12" t="s">
        <v>13266</v>
      </c>
      <c r="E5445" s="12" t="s">
        <v>13333</v>
      </c>
      <c r="F5445" s="49">
        <v>75120</v>
      </c>
      <c r="G5445" s="77" t="s">
        <v>6300</v>
      </c>
      <c r="H5445" s="14" t="str">
        <f t="shared" si="167"/>
        <v>true</v>
      </c>
      <c r="I5445" s="14" t="s">
        <v>2458</v>
      </c>
      <c r="J5445" s="33" t="s">
        <v>7110</v>
      </c>
      <c r="K5445" s="33" t="s">
        <v>13613</v>
      </c>
      <c r="L5445" s="53" t="s">
        <v>6054</v>
      </c>
      <c r="M5445" s="68" t="s">
        <v>8912</v>
      </c>
      <c r="N5445" s="53" t="s">
        <v>6285</v>
      </c>
      <c r="O5445" s="53">
        <v>55200</v>
      </c>
      <c r="P5445" s="198" t="s">
        <v>9785</v>
      </c>
    </row>
    <row r="5446" spans="1:16" ht="18.75" hidden="1">
      <c r="A5446" s="50" t="s">
        <v>13679</v>
      </c>
      <c r="B5446" s="50" t="s">
        <v>13390</v>
      </c>
      <c r="C5446" s="50" t="s">
        <v>13666</v>
      </c>
      <c r="D5446" s="12" t="s">
        <v>13321</v>
      </c>
      <c r="E5446" s="12" t="s">
        <v>13333</v>
      </c>
      <c r="F5446" s="49">
        <v>5040</v>
      </c>
      <c r="G5446" s="77" t="s">
        <v>6298</v>
      </c>
      <c r="H5446" s="14" t="str">
        <f t="shared" si="167"/>
        <v>true</v>
      </c>
      <c r="I5446" s="14" t="s">
        <v>2458</v>
      </c>
      <c r="J5446" s="33" t="s">
        <v>7110</v>
      </c>
      <c r="K5446" s="33" t="s">
        <v>13613</v>
      </c>
      <c r="L5446" s="53" t="s">
        <v>6054</v>
      </c>
      <c r="M5446" s="68" t="s">
        <v>8912</v>
      </c>
      <c r="N5446" s="53" t="s">
        <v>6285</v>
      </c>
      <c r="O5446" s="53">
        <v>55200</v>
      </c>
      <c r="P5446" s="198" t="s">
        <v>12934</v>
      </c>
    </row>
    <row r="5447" spans="1:16" ht="18.75" hidden="1">
      <c r="A5447" s="50" t="s">
        <v>13677</v>
      </c>
      <c r="B5447" s="50" t="s">
        <v>13549</v>
      </c>
      <c r="C5447" s="50" t="s">
        <v>13615</v>
      </c>
      <c r="D5447" s="12" t="s">
        <v>13343</v>
      </c>
      <c r="E5447" s="12" t="s">
        <v>13333</v>
      </c>
      <c r="F5447" s="49">
        <v>4560</v>
      </c>
      <c r="G5447" s="77" t="s">
        <v>12608</v>
      </c>
      <c r="H5447" s="14" t="str">
        <f t="shared" si="167"/>
        <v>true</v>
      </c>
      <c r="I5447" s="14" t="s">
        <v>2458</v>
      </c>
      <c r="J5447" s="33" t="s">
        <v>7110</v>
      </c>
      <c r="K5447" s="33" t="s">
        <v>13613</v>
      </c>
      <c r="L5447" s="53" t="s">
        <v>6054</v>
      </c>
      <c r="M5447" s="68" t="s">
        <v>8912</v>
      </c>
      <c r="N5447" s="53" t="s">
        <v>6076</v>
      </c>
      <c r="O5447" s="53">
        <v>55301</v>
      </c>
      <c r="P5447" s="198" t="s">
        <v>12939</v>
      </c>
    </row>
    <row r="5448" spans="1:16" ht="18.75" hidden="1">
      <c r="A5448" s="50" t="s">
        <v>13688</v>
      </c>
      <c r="B5448" s="50" t="s">
        <v>13563</v>
      </c>
      <c r="C5448" s="50" t="s">
        <v>13673</v>
      </c>
      <c r="D5448" s="12" t="s">
        <v>13331</v>
      </c>
      <c r="E5448" s="12" t="s">
        <v>13333</v>
      </c>
      <c r="F5448" s="49">
        <v>37490</v>
      </c>
      <c r="G5448" s="77" t="s">
        <v>12608</v>
      </c>
      <c r="H5448" s="14" t="str">
        <f t="shared" si="167"/>
        <v>true</v>
      </c>
      <c r="I5448" s="14" t="s">
        <v>2458</v>
      </c>
      <c r="J5448" s="33" t="s">
        <v>7110</v>
      </c>
      <c r="K5448" s="33" t="s">
        <v>13613</v>
      </c>
      <c r="L5448" s="53" t="s">
        <v>6054</v>
      </c>
      <c r="M5448" s="68" t="s">
        <v>8913</v>
      </c>
      <c r="N5448" s="53" t="s">
        <v>6076</v>
      </c>
      <c r="O5448" s="53">
        <v>55301</v>
      </c>
      <c r="P5448" s="198" t="s">
        <v>12939</v>
      </c>
    </row>
    <row r="5449" spans="1:16" ht="18.75" hidden="1">
      <c r="A5449" s="50" t="s">
        <v>13688</v>
      </c>
      <c r="B5449" s="50" t="s">
        <v>13563</v>
      </c>
      <c r="C5449" s="50" t="s">
        <v>13689</v>
      </c>
      <c r="D5449" s="12" t="s">
        <v>12944</v>
      </c>
      <c r="E5449" s="12" t="s">
        <v>4971</v>
      </c>
      <c r="F5449" s="49">
        <v>25110</v>
      </c>
      <c r="G5449" s="77" t="s">
        <v>12823</v>
      </c>
      <c r="H5449" s="14" t="str">
        <f t="shared" si="167"/>
        <v>true</v>
      </c>
      <c r="I5449" s="14" t="s">
        <v>2458</v>
      </c>
      <c r="J5449" s="33" t="s">
        <v>7110</v>
      </c>
      <c r="K5449" s="33" t="s">
        <v>13613</v>
      </c>
      <c r="L5449" s="53" t="s">
        <v>6054</v>
      </c>
      <c r="M5449" s="68" t="s">
        <v>8913</v>
      </c>
      <c r="N5449" s="53" t="s">
        <v>6076</v>
      </c>
      <c r="O5449" s="53">
        <v>55301</v>
      </c>
      <c r="P5449" s="198" t="s">
        <v>12672</v>
      </c>
    </row>
    <row r="5450" spans="1:16" ht="18.75" hidden="1">
      <c r="A5450" s="50" t="s">
        <v>13668</v>
      </c>
      <c r="B5450" s="50" t="s">
        <v>13563</v>
      </c>
      <c r="C5450" s="50" t="s">
        <v>13689</v>
      </c>
      <c r="D5450" s="12" t="s">
        <v>12944</v>
      </c>
      <c r="E5450" s="12" t="s">
        <v>4971</v>
      </c>
      <c r="F5450" s="49">
        <v>69890</v>
      </c>
      <c r="G5450" s="77" t="s">
        <v>12823</v>
      </c>
      <c r="H5450" s="14" t="str">
        <f t="shared" si="167"/>
        <v>true</v>
      </c>
      <c r="I5450" s="14" t="s">
        <v>2458</v>
      </c>
      <c r="J5450" s="33" t="s">
        <v>7110</v>
      </c>
      <c r="K5450" s="33" t="s">
        <v>13613</v>
      </c>
      <c r="L5450" s="53" t="s">
        <v>6054</v>
      </c>
      <c r="M5450" s="68" t="s">
        <v>8912</v>
      </c>
      <c r="N5450" s="53" t="s">
        <v>6285</v>
      </c>
      <c r="O5450" s="53">
        <v>55200</v>
      </c>
      <c r="P5450" s="198" t="s">
        <v>12672</v>
      </c>
    </row>
    <row r="5451" spans="1:16" ht="18.75" hidden="1">
      <c r="A5451" s="50" t="s">
        <v>13668</v>
      </c>
      <c r="B5451" s="50" t="s">
        <v>13563</v>
      </c>
      <c r="C5451" s="50" t="s">
        <v>13437</v>
      </c>
      <c r="D5451" s="12" t="s">
        <v>13184</v>
      </c>
      <c r="E5451" s="12" t="s">
        <v>13333</v>
      </c>
      <c r="F5451" s="49">
        <v>13800</v>
      </c>
      <c r="G5451" s="77" t="s">
        <v>13495</v>
      </c>
      <c r="H5451" s="14" t="str">
        <f t="shared" si="167"/>
        <v>true</v>
      </c>
      <c r="I5451" s="14" t="s">
        <v>2458</v>
      </c>
      <c r="J5451" s="33" t="s">
        <v>7110</v>
      </c>
      <c r="K5451" s="33" t="s">
        <v>13613</v>
      </c>
      <c r="L5451" s="53" t="s">
        <v>6054</v>
      </c>
      <c r="M5451" s="68" t="s">
        <v>8912</v>
      </c>
      <c r="N5451" s="53" t="s">
        <v>6285</v>
      </c>
      <c r="O5451" s="53">
        <v>55200</v>
      </c>
      <c r="P5451" s="198" t="s">
        <v>13069</v>
      </c>
    </row>
    <row r="5452" spans="1:16" ht="18.75" hidden="1">
      <c r="A5452" s="50" t="s">
        <v>13679</v>
      </c>
      <c r="B5452" s="50" t="s">
        <v>13390</v>
      </c>
      <c r="C5452" s="50" t="s">
        <v>13497</v>
      </c>
      <c r="D5452" s="12" t="s">
        <v>12893</v>
      </c>
      <c r="E5452" s="12" t="s">
        <v>4971</v>
      </c>
      <c r="F5452" s="49">
        <v>88860</v>
      </c>
      <c r="G5452" s="77" t="s">
        <v>6454</v>
      </c>
      <c r="H5452" s="14" t="str">
        <f t="shared" si="167"/>
        <v>true</v>
      </c>
      <c r="I5452" s="14" t="s">
        <v>2458</v>
      </c>
      <c r="J5452" s="33" t="s">
        <v>7110</v>
      </c>
      <c r="K5452" s="33" t="s">
        <v>13613</v>
      </c>
      <c r="L5452" s="53" t="s">
        <v>6054</v>
      </c>
      <c r="M5452" s="68" t="s">
        <v>8912</v>
      </c>
      <c r="N5452" s="53" t="s">
        <v>6285</v>
      </c>
      <c r="O5452" s="53">
        <v>55200</v>
      </c>
      <c r="P5452" s="198" t="s">
        <v>12669</v>
      </c>
    </row>
    <row r="5453" spans="1:16" ht="18.75" hidden="1">
      <c r="A5453" s="50" t="s">
        <v>13690</v>
      </c>
      <c r="B5453" s="50" t="s">
        <v>13402</v>
      </c>
      <c r="C5453" s="50" t="s">
        <v>13691</v>
      </c>
      <c r="D5453" s="12" t="s">
        <v>13002</v>
      </c>
      <c r="E5453" s="12" t="s">
        <v>4971</v>
      </c>
      <c r="F5453" s="49">
        <v>113120</v>
      </c>
      <c r="G5453" s="77" t="s">
        <v>6298</v>
      </c>
      <c r="H5453" s="14" t="str">
        <f t="shared" si="167"/>
        <v>true</v>
      </c>
      <c r="I5453" s="14" t="s">
        <v>2458</v>
      </c>
      <c r="J5453" s="33" t="s">
        <v>7110</v>
      </c>
      <c r="K5453" s="33" t="s">
        <v>13613</v>
      </c>
      <c r="L5453" s="53" t="s">
        <v>6054</v>
      </c>
      <c r="M5453" s="68" t="s">
        <v>8913</v>
      </c>
      <c r="N5453" s="53" t="s">
        <v>9836</v>
      </c>
      <c r="O5453" s="53">
        <v>55112</v>
      </c>
      <c r="P5453" s="198" t="s">
        <v>12934</v>
      </c>
    </row>
    <row r="5454" spans="1:16" ht="18.75" hidden="1">
      <c r="A5454" s="50" t="s">
        <v>13677</v>
      </c>
      <c r="B5454" s="50" t="s">
        <v>13549</v>
      </c>
      <c r="C5454" s="50" t="s">
        <v>13614</v>
      </c>
      <c r="D5454" s="12" t="s">
        <v>13266</v>
      </c>
      <c r="E5454" s="12" t="s">
        <v>13333</v>
      </c>
      <c r="F5454" s="49">
        <v>94420</v>
      </c>
      <c r="G5454" s="77" t="s">
        <v>6454</v>
      </c>
      <c r="H5454" s="14" t="str">
        <f t="shared" si="167"/>
        <v>true</v>
      </c>
      <c r="I5454" s="14" t="s">
        <v>2458</v>
      </c>
      <c r="J5454" s="33" t="s">
        <v>7110</v>
      </c>
      <c r="K5454" s="33" t="s">
        <v>13613</v>
      </c>
      <c r="L5454" s="53" t="s">
        <v>6054</v>
      </c>
      <c r="M5454" s="68" t="s">
        <v>8912</v>
      </c>
      <c r="N5454" s="53" t="s">
        <v>6076</v>
      </c>
      <c r="O5454" s="53">
        <v>55301</v>
      </c>
      <c r="P5454" s="198" t="s">
        <v>12669</v>
      </c>
    </row>
    <row r="5455" spans="1:16" ht="18.75" hidden="1">
      <c r="A5455" s="50" t="s">
        <v>13677</v>
      </c>
      <c r="B5455" s="50" t="s">
        <v>13549</v>
      </c>
      <c r="C5455" s="50" t="s">
        <v>13426</v>
      </c>
      <c r="D5455" s="12" t="s">
        <v>13308</v>
      </c>
      <c r="E5455" s="12" t="s">
        <v>13333</v>
      </c>
      <c r="F5455" s="49">
        <v>48710</v>
      </c>
      <c r="G5455" s="77" t="s">
        <v>12608</v>
      </c>
      <c r="H5455" s="14" t="str">
        <f t="shared" si="167"/>
        <v>true</v>
      </c>
      <c r="I5455" s="14" t="s">
        <v>2458</v>
      </c>
      <c r="J5455" s="33" t="s">
        <v>7110</v>
      </c>
      <c r="K5455" s="33" t="s">
        <v>13613</v>
      </c>
      <c r="L5455" s="53" t="s">
        <v>6054</v>
      </c>
      <c r="M5455" s="68" t="s">
        <v>8912</v>
      </c>
      <c r="N5455" s="53" t="s">
        <v>6076</v>
      </c>
      <c r="O5455" s="53">
        <v>55301</v>
      </c>
      <c r="P5455" s="198" t="s">
        <v>12939</v>
      </c>
    </row>
    <row r="5456" spans="1:16" ht="18.75" hidden="1">
      <c r="A5456" s="50" t="s">
        <v>13679</v>
      </c>
      <c r="B5456" s="50" t="s">
        <v>13390</v>
      </c>
      <c r="C5456" s="50" t="s">
        <v>13692</v>
      </c>
      <c r="D5456" s="12" t="s">
        <v>12824</v>
      </c>
      <c r="E5456" s="12" t="s">
        <v>4971</v>
      </c>
      <c r="F5456" s="49">
        <v>66660</v>
      </c>
      <c r="G5456" s="77" t="s">
        <v>6454</v>
      </c>
      <c r="H5456" s="14" t="str">
        <f t="shared" si="167"/>
        <v>true</v>
      </c>
      <c r="I5456" s="14" t="s">
        <v>2458</v>
      </c>
      <c r="J5456" s="33" t="s">
        <v>7110</v>
      </c>
      <c r="K5456" s="33" t="s">
        <v>13613</v>
      </c>
      <c r="L5456" s="53" t="s">
        <v>6054</v>
      </c>
      <c r="M5456" s="68" t="s">
        <v>8912</v>
      </c>
      <c r="N5456" s="53" t="s">
        <v>6285</v>
      </c>
      <c r="O5456" s="53">
        <v>55200</v>
      </c>
      <c r="P5456" s="198" t="s">
        <v>12663</v>
      </c>
    </row>
    <row r="5457" spans="1:16" ht="18.75" hidden="1">
      <c r="A5457" s="50" t="s">
        <v>13693</v>
      </c>
      <c r="B5457" s="50" t="s">
        <v>13623</v>
      </c>
      <c r="C5457" s="50" t="s">
        <v>13663</v>
      </c>
      <c r="D5457" s="12" t="s">
        <v>13549</v>
      </c>
      <c r="E5457" s="12" t="s">
        <v>13333</v>
      </c>
      <c r="F5457" s="49">
        <v>72320</v>
      </c>
      <c r="G5457" s="77" t="s">
        <v>11829</v>
      </c>
      <c r="H5457" s="14" t="str">
        <f t="shared" si="167"/>
        <v>true</v>
      </c>
      <c r="I5457" s="14" t="s">
        <v>2458</v>
      </c>
      <c r="J5457" s="33" t="s">
        <v>7110</v>
      </c>
      <c r="K5457" s="33" t="s">
        <v>13613</v>
      </c>
      <c r="L5457" s="53" t="s">
        <v>6054</v>
      </c>
      <c r="M5457" s="68" t="s">
        <v>8912</v>
      </c>
      <c r="N5457" s="53" t="s">
        <v>6285</v>
      </c>
      <c r="O5457" s="53">
        <v>55200</v>
      </c>
      <c r="P5457" s="198" t="s">
        <v>13664</v>
      </c>
    </row>
    <row r="5458" spans="1:16" ht="18.75" hidden="1">
      <c r="A5458" s="50" t="s">
        <v>13694</v>
      </c>
      <c r="B5458" s="50" t="s">
        <v>13385</v>
      </c>
      <c r="C5458" s="50" t="s">
        <v>13488</v>
      </c>
      <c r="D5458" s="12" t="s">
        <v>12867</v>
      </c>
      <c r="E5458" s="12" t="s">
        <v>4971</v>
      </c>
      <c r="F5458" s="49">
        <v>12880</v>
      </c>
      <c r="G5458" s="77" t="s">
        <v>12823</v>
      </c>
      <c r="H5458" s="14" t="str">
        <f t="shared" si="167"/>
        <v>true</v>
      </c>
      <c r="I5458" s="14" t="s">
        <v>2458</v>
      </c>
      <c r="J5458" s="33" t="s">
        <v>7110</v>
      </c>
      <c r="K5458" s="33" t="s">
        <v>13613</v>
      </c>
      <c r="L5458" s="53" t="s">
        <v>6054</v>
      </c>
      <c r="M5458" s="68" t="s">
        <v>8913</v>
      </c>
      <c r="N5458" s="53" t="s">
        <v>6286</v>
      </c>
      <c r="O5458" s="53">
        <v>55107</v>
      </c>
      <c r="P5458" s="198" t="s">
        <v>12672</v>
      </c>
    </row>
    <row r="5459" spans="1:16" ht="18.75" hidden="1">
      <c r="A5459" s="50" t="s">
        <v>13695</v>
      </c>
      <c r="B5459" s="50" t="s">
        <v>13385</v>
      </c>
      <c r="C5459" s="50" t="s">
        <v>13658</v>
      </c>
      <c r="D5459" s="12" t="s">
        <v>12705</v>
      </c>
      <c r="E5459" s="12" t="s">
        <v>4971</v>
      </c>
      <c r="F5459" s="49">
        <v>116900</v>
      </c>
      <c r="G5459" s="77" t="s">
        <v>12823</v>
      </c>
      <c r="H5459" s="14" t="str">
        <f t="shared" si="167"/>
        <v>true</v>
      </c>
      <c r="I5459" s="14" t="s">
        <v>2458</v>
      </c>
      <c r="J5459" s="33" t="s">
        <v>7110</v>
      </c>
      <c r="K5459" s="33" t="s">
        <v>13613</v>
      </c>
      <c r="L5459" s="53" t="s">
        <v>6054</v>
      </c>
      <c r="M5459" s="68" t="s">
        <v>8913</v>
      </c>
      <c r="N5459" s="53" t="s">
        <v>9836</v>
      </c>
      <c r="O5459" s="53">
        <v>55112</v>
      </c>
      <c r="P5459" s="198" t="s">
        <v>12672</v>
      </c>
    </row>
    <row r="5460" spans="1:16" ht="18.75" hidden="1">
      <c r="A5460" s="50" t="s">
        <v>13696</v>
      </c>
      <c r="B5460" s="50" t="s">
        <v>13639</v>
      </c>
      <c r="C5460" s="50" t="s">
        <v>13697</v>
      </c>
      <c r="D5460" s="12" t="s">
        <v>13672</v>
      </c>
      <c r="E5460" s="12" t="s">
        <v>13333</v>
      </c>
      <c r="F5460" s="49">
        <v>66640</v>
      </c>
      <c r="G5460" s="77" t="s">
        <v>13495</v>
      </c>
      <c r="H5460" s="14" t="str">
        <f t="shared" si="167"/>
        <v>true</v>
      </c>
      <c r="I5460" s="14" t="s">
        <v>2458</v>
      </c>
      <c r="J5460" s="33" t="s">
        <v>7110</v>
      </c>
      <c r="K5460" s="33" t="s">
        <v>13613</v>
      </c>
      <c r="L5460" s="53" t="s">
        <v>6054</v>
      </c>
      <c r="M5460" s="68" t="s">
        <v>8913</v>
      </c>
      <c r="N5460" s="53" t="s">
        <v>9836</v>
      </c>
      <c r="O5460" s="53">
        <v>55112</v>
      </c>
      <c r="P5460" s="198" t="s">
        <v>13625</v>
      </c>
    </row>
    <row r="5461" spans="1:16" ht="18.75" hidden="1">
      <c r="A5461" s="50" t="s">
        <v>13687</v>
      </c>
      <c r="B5461" s="50" t="s">
        <v>13422</v>
      </c>
      <c r="C5461" s="50" t="s">
        <v>13697</v>
      </c>
      <c r="D5461" s="12" t="s">
        <v>13672</v>
      </c>
      <c r="E5461" s="12" t="s">
        <v>13333</v>
      </c>
      <c r="F5461" s="49">
        <v>70000</v>
      </c>
      <c r="G5461" s="77" t="s">
        <v>13495</v>
      </c>
      <c r="H5461" s="14" t="str">
        <f t="shared" si="167"/>
        <v>true</v>
      </c>
      <c r="I5461" s="14" t="s">
        <v>2458</v>
      </c>
      <c r="J5461" s="33" t="s">
        <v>7110</v>
      </c>
      <c r="K5461" s="33" t="s">
        <v>13613</v>
      </c>
      <c r="L5461" s="53" t="s">
        <v>6054</v>
      </c>
      <c r="M5461" s="68" t="s">
        <v>8912</v>
      </c>
      <c r="N5461" s="53" t="s">
        <v>6285</v>
      </c>
      <c r="O5461" s="53">
        <v>55200</v>
      </c>
      <c r="P5461" s="198" t="s">
        <v>13625</v>
      </c>
    </row>
    <row r="5462" spans="1:16" ht="18.75" hidden="1">
      <c r="A5462" s="50" t="s">
        <v>13688</v>
      </c>
      <c r="B5462" s="50" t="s">
        <v>13563</v>
      </c>
      <c r="C5462" s="50" t="s">
        <v>13612</v>
      </c>
      <c r="D5462" s="12" t="s">
        <v>13331</v>
      </c>
      <c r="E5462" s="12" t="s">
        <v>13333</v>
      </c>
      <c r="F5462" s="49">
        <v>185400</v>
      </c>
      <c r="G5462" s="77" t="s">
        <v>6453</v>
      </c>
      <c r="H5462" s="14" t="str">
        <f t="shared" si="167"/>
        <v>true</v>
      </c>
      <c r="I5462" s="14" t="s">
        <v>2458</v>
      </c>
      <c r="J5462" s="33" t="e">
        <f>VLOOKUP(C5462,شرکتها!A:B,2,FALSE)</f>
        <v>#N/A</v>
      </c>
      <c r="K5462" s="33" t="s">
        <v>13613</v>
      </c>
      <c r="L5462" s="53" t="s">
        <v>6054</v>
      </c>
      <c r="M5462" s="68" t="s">
        <v>8913</v>
      </c>
      <c r="N5462" s="53" t="s">
        <v>6076</v>
      </c>
      <c r="O5462" s="53">
        <v>55301</v>
      </c>
      <c r="P5462" s="198" t="s">
        <v>12929</v>
      </c>
    </row>
    <row r="5463" spans="1:16" ht="18.75" hidden="1">
      <c r="A5463" s="50" t="s">
        <v>13688</v>
      </c>
      <c r="B5463" s="50" t="s">
        <v>13563</v>
      </c>
      <c r="C5463" s="50" t="s">
        <v>13614</v>
      </c>
      <c r="D5463" s="12" t="s">
        <v>13266</v>
      </c>
      <c r="E5463" s="12" t="s">
        <v>13333</v>
      </c>
      <c r="F5463" s="49">
        <v>76980</v>
      </c>
      <c r="G5463" s="77" t="s">
        <v>6454</v>
      </c>
      <c r="H5463" s="14" t="str">
        <f t="shared" si="167"/>
        <v>true</v>
      </c>
      <c r="I5463" s="14" t="s">
        <v>2458</v>
      </c>
      <c r="J5463" s="33" t="s">
        <v>7110</v>
      </c>
      <c r="K5463" s="33" t="s">
        <v>13613</v>
      </c>
      <c r="L5463" s="53" t="s">
        <v>6054</v>
      </c>
      <c r="M5463" s="68" t="s">
        <v>8913</v>
      </c>
      <c r="N5463" s="53" t="s">
        <v>6076</v>
      </c>
      <c r="O5463" s="53">
        <v>55301</v>
      </c>
      <c r="P5463" s="198" t="s">
        <v>12669</v>
      </c>
    </row>
    <row r="5464" spans="1:16" ht="18.75" hidden="1">
      <c r="A5464" s="50" t="s">
        <v>13694</v>
      </c>
      <c r="B5464" s="50" t="s">
        <v>13385</v>
      </c>
      <c r="C5464" s="50" t="s">
        <v>13692</v>
      </c>
      <c r="D5464" s="12" t="s">
        <v>12824</v>
      </c>
      <c r="E5464" s="12" t="s">
        <v>4971</v>
      </c>
      <c r="F5464" s="49">
        <v>33340</v>
      </c>
      <c r="G5464" s="77" t="s">
        <v>6454</v>
      </c>
      <c r="H5464" s="14" t="str">
        <f t="shared" si="167"/>
        <v>true</v>
      </c>
      <c r="I5464" s="14" t="s">
        <v>2458</v>
      </c>
      <c r="J5464" s="33" t="s">
        <v>7110</v>
      </c>
      <c r="K5464" s="33" t="s">
        <v>13613</v>
      </c>
      <c r="L5464" s="53" t="s">
        <v>6054</v>
      </c>
      <c r="M5464" s="68" t="s">
        <v>8913</v>
      </c>
      <c r="N5464" s="53" t="s">
        <v>6286</v>
      </c>
      <c r="O5464" s="53">
        <v>55107</v>
      </c>
      <c r="P5464" s="198" t="s">
        <v>12663</v>
      </c>
    </row>
    <row r="5465" spans="1:16" ht="18.75" hidden="1">
      <c r="A5465" s="50" t="s">
        <v>13698</v>
      </c>
      <c r="B5465" s="50" t="s">
        <v>13672</v>
      </c>
      <c r="C5465" s="50" t="s">
        <v>13510</v>
      </c>
      <c r="D5465" s="12" t="s">
        <v>13266</v>
      </c>
      <c r="E5465" s="12" t="s">
        <v>13333</v>
      </c>
      <c r="F5465" s="49">
        <v>46620</v>
      </c>
      <c r="G5465" s="77" t="s">
        <v>6300</v>
      </c>
      <c r="H5465" s="14" t="str">
        <f t="shared" si="167"/>
        <v>true</v>
      </c>
      <c r="I5465" s="14" t="s">
        <v>2458</v>
      </c>
      <c r="J5465" s="33" t="s">
        <v>7110</v>
      </c>
      <c r="K5465" s="33" t="s">
        <v>13613</v>
      </c>
      <c r="L5465" s="53" t="s">
        <v>6054</v>
      </c>
      <c r="M5465" s="68" t="s">
        <v>8913</v>
      </c>
      <c r="N5465" s="53" t="s">
        <v>6286</v>
      </c>
      <c r="O5465" s="53">
        <v>55107</v>
      </c>
      <c r="P5465" s="198" t="s">
        <v>9785</v>
      </c>
    </row>
    <row r="5466" spans="1:16" ht="18.75" hidden="1">
      <c r="A5466" s="50" t="s">
        <v>13699</v>
      </c>
      <c r="B5466" s="50" t="s">
        <v>13400</v>
      </c>
      <c r="C5466" s="50" t="s">
        <v>13676</v>
      </c>
      <c r="D5466" s="12" t="s">
        <v>12893</v>
      </c>
      <c r="E5466" s="12" t="s">
        <v>4971</v>
      </c>
      <c r="F5466" s="49">
        <v>55580</v>
      </c>
      <c r="G5466" s="77" t="s">
        <v>6298</v>
      </c>
      <c r="H5466" s="14" t="str">
        <f t="shared" si="167"/>
        <v>true</v>
      </c>
      <c r="I5466" s="14" t="s">
        <v>2458</v>
      </c>
      <c r="J5466" s="33" t="s">
        <v>7110</v>
      </c>
      <c r="K5466" s="33" t="s">
        <v>13613</v>
      </c>
      <c r="L5466" s="53" t="s">
        <v>6054</v>
      </c>
      <c r="M5466" s="68" t="s">
        <v>8912</v>
      </c>
      <c r="N5466" s="53" t="s">
        <v>6285</v>
      </c>
      <c r="O5466" s="53">
        <v>55200</v>
      </c>
      <c r="P5466" s="198" t="s">
        <v>12934</v>
      </c>
    </row>
    <row r="5467" spans="1:16" ht="18.75" hidden="1">
      <c r="A5467" s="50" t="s">
        <v>13700</v>
      </c>
      <c r="B5467" s="50" t="s">
        <v>13422</v>
      </c>
      <c r="C5467" s="50" t="s">
        <v>13624</v>
      </c>
      <c r="D5467" s="12" t="s">
        <v>13563</v>
      </c>
      <c r="E5467" s="12" t="s">
        <v>13333</v>
      </c>
      <c r="F5467" s="49">
        <v>73570</v>
      </c>
      <c r="G5467" s="77" t="s">
        <v>13495</v>
      </c>
      <c r="H5467" s="14" t="str">
        <f t="shared" si="167"/>
        <v>true</v>
      </c>
      <c r="I5467" s="14" t="s">
        <v>2458</v>
      </c>
      <c r="J5467" s="33" t="s">
        <v>7110</v>
      </c>
      <c r="K5467" s="33" t="s">
        <v>13613</v>
      </c>
      <c r="L5467" s="53" t="s">
        <v>6054</v>
      </c>
      <c r="M5467" s="68" t="s">
        <v>8912</v>
      </c>
      <c r="N5467" s="53" t="s">
        <v>6286</v>
      </c>
      <c r="O5467" s="53">
        <v>55107</v>
      </c>
      <c r="P5467" s="198" t="s">
        <v>13625</v>
      </c>
    </row>
    <row r="5468" spans="1:16" ht="18.75" hidden="1">
      <c r="A5468" s="50" t="s">
        <v>13701</v>
      </c>
      <c r="B5468" s="50" t="s">
        <v>13422</v>
      </c>
      <c r="C5468" s="50" t="s">
        <v>12843</v>
      </c>
      <c r="D5468" s="12" t="s">
        <v>12717</v>
      </c>
      <c r="E5468" s="12" t="s">
        <v>4971</v>
      </c>
      <c r="F5468" s="49">
        <v>24540</v>
      </c>
      <c r="G5468" s="77" t="s">
        <v>6453</v>
      </c>
      <c r="H5468" s="14" t="str">
        <f t="shared" si="167"/>
        <v>true</v>
      </c>
      <c r="I5468" s="14" t="s">
        <v>2458</v>
      </c>
      <c r="J5468" s="33" t="s">
        <v>7110</v>
      </c>
      <c r="K5468" s="33" t="s">
        <v>13613</v>
      </c>
      <c r="L5468" s="53" t="s">
        <v>6054</v>
      </c>
      <c r="M5468" s="68" t="s">
        <v>8912</v>
      </c>
      <c r="N5468" s="53" t="s">
        <v>6285</v>
      </c>
      <c r="O5468" s="53">
        <v>55200</v>
      </c>
      <c r="P5468" s="198" t="s">
        <v>12673</v>
      </c>
    </row>
    <row r="5469" spans="1:16" ht="18.75" hidden="1">
      <c r="A5469" s="50" t="s">
        <v>13701</v>
      </c>
      <c r="B5469" s="50" t="s">
        <v>13422</v>
      </c>
      <c r="C5469" s="50" t="s">
        <v>13644</v>
      </c>
      <c r="D5469" s="12" t="s">
        <v>13310</v>
      </c>
      <c r="E5469" s="12" t="s">
        <v>13333</v>
      </c>
      <c r="F5469" s="49">
        <v>340730</v>
      </c>
      <c r="G5469" s="77" t="s">
        <v>6454</v>
      </c>
      <c r="H5469" s="14" t="str">
        <f t="shared" si="167"/>
        <v>true</v>
      </c>
      <c r="I5469" s="14" t="s">
        <v>2458</v>
      </c>
      <c r="J5469" s="33" t="s">
        <v>7110</v>
      </c>
      <c r="K5469" s="33" t="s">
        <v>13613</v>
      </c>
      <c r="L5469" s="53" t="s">
        <v>6054</v>
      </c>
      <c r="M5469" s="68" t="s">
        <v>8912</v>
      </c>
      <c r="N5469" s="53" t="s">
        <v>6285</v>
      </c>
      <c r="O5469" s="53">
        <v>55200</v>
      </c>
      <c r="P5469" s="198" t="s">
        <v>12669</v>
      </c>
    </row>
    <row r="5470" spans="1:16" ht="18.75" hidden="1">
      <c r="A5470" s="50" t="s">
        <v>13702</v>
      </c>
      <c r="B5470" s="50" t="s">
        <v>13672</v>
      </c>
      <c r="C5470" s="50" t="s">
        <v>13649</v>
      </c>
      <c r="D5470" s="12" t="s">
        <v>13273</v>
      </c>
      <c r="E5470" s="12" t="s">
        <v>13333</v>
      </c>
      <c r="F5470" s="49">
        <v>176050</v>
      </c>
      <c r="G5470" s="77" t="s">
        <v>13495</v>
      </c>
      <c r="H5470" s="14" t="str">
        <f t="shared" si="167"/>
        <v>true</v>
      </c>
      <c r="I5470" s="14" t="s">
        <v>2458</v>
      </c>
      <c r="J5470" s="33" t="s">
        <v>7110</v>
      </c>
      <c r="K5470" s="33" t="s">
        <v>13613</v>
      </c>
      <c r="L5470" s="53" t="s">
        <v>6054</v>
      </c>
      <c r="M5470" s="68" t="s">
        <v>8912</v>
      </c>
      <c r="N5470" s="53" t="s">
        <v>6285</v>
      </c>
      <c r="O5470" s="53">
        <v>55200</v>
      </c>
      <c r="P5470" s="198" t="s">
        <v>13625</v>
      </c>
    </row>
    <row r="5471" spans="1:16" ht="18.75" hidden="1">
      <c r="A5471" s="50" t="s">
        <v>13702</v>
      </c>
      <c r="B5471" s="50" t="s">
        <v>13672</v>
      </c>
      <c r="C5471" s="50" t="s">
        <v>13612</v>
      </c>
      <c r="D5471" s="12" t="s">
        <v>13331</v>
      </c>
      <c r="E5471" s="12" t="s">
        <v>13333</v>
      </c>
      <c r="F5471" s="49">
        <v>124050</v>
      </c>
      <c r="G5471" s="77" t="s">
        <v>6453</v>
      </c>
      <c r="H5471" s="14" t="str">
        <f t="shared" si="167"/>
        <v>true</v>
      </c>
      <c r="I5471" s="14" t="s">
        <v>2458</v>
      </c>
      <c r="J5471" s="33" t="e">
        <f>VLOOKUP(C5471,شرکتها!A:B,2,FALSE)</f>
        <v>#N/A</v>
      </c>
      <c r="K5471" s="33" t="s">
        <v>13613</v>
      </c>
      <c r="L5471" s="53" t="s">
        <v>6054</v>
      </c>
      <c r="M5471" s="68" t="s">
        <v>8912</v>
      </c>
      <c r="N5471" s="53" t="s">
        <v>6285</v>
      </c>
      <c r="O5471" s="53">
        <v>55200</v>
      </c>
      <c r="P5471" s="198" t="s">
        <v>12929</v>
      </c>
    </row>
    <row r="5472" spans="1:16" ht="18.75" hidden="1">
      <c r="A5472" s="50" t="s">
        <v>13702</v>
      </c>
      <c r="B5472" s="50" t="s">
        <v>13672</v>
      </c>
      <c r="C5472" s="50" t="s">
        <v>13614</v>
      </c>
      <c r="D5472" s="12" t="s">
        <v>13266</v>
      </c>
      <c r="E5472" s="12" t="s">
        <v>13333</v>
      </c>
      <c r="F5472" s="49">
        <v>291360</v>
      </c>
      <c r="G5472" s="77" t="s">
        <v>6454</v>
      </c>
      <c r="H5472" s="14" t="str">
        <f t="shared" si="167"/>
        <v>true</v>
      </c>
      <c r="I5472" s="14" t="s">
        <v>2458</v>
      </c>
      <c r="J5472" s="33" t="s">
        <v>7110</v>
      </c>
      <c r="K5472" s="33" t="s">
        <v>13613</v>
      </c>
      <c r="L5472" s="53" t="s">
        <v>6054</v>
      </c>
      <c r="M5472" s="68" t="s">
        <v>8912</v>
      </c>
      <c r="N5472" s="53" t="s">
        <v>6285</v>
      </c>
      <c r="O5472" s="53">
        <v>55200</v>
      </c>
      <c r="P5472" s="198" t="s">
        <v>12669</v>
      </c>
    </row>
    <row r="5473" spans="1:16" ht="18.75" hidden="1">
      <c r="A5473" s="50" t="s">
        <v>13699</v>
      </c>
      <c r="B5473" s="50" t="s">
        <v>13400</v>
      </c>
      <c r="C5473" s="50" t="s">
        <v>13703</v>
      </c>
      <c r="D5473" s="12" t="s">
        <v>13195</v>
      </c>
      <c r="E5473" s="12" t="s">
        <v>4971</v>
      </c>
      <c r="F5473" s="49">
        <v>14900</v>
      </c>
      <c r="G5473" s="77" t="s">
        <v>6298</v>
      </c>
      <c r="H5473" s="14" t="str">
        <f t="shared" si="167"/>
        <v>true</v>
      </c>
      <c r="I5473" s="14" t="s">
        <v>2458</v>
      </c>
      <c r="J5473" s="33" t="s">
        <v>7110</v>
      </c>
      <c r="K5473" s="33" t="s">
        <v>13613</v>
      </c>
      <c r="L5473" s="53" t="s">
        <v>6054</v>
      </c>
      <c r="M5473" s="68" t="s">
        <v>8912</v>
      </c>
      <c r="N5473" s="53" t="s">
        <v>6285</v>
      </c>
      <c r="O5473" s="53">
        <v>55200</v>
      </c>
      <c r="P5473" s="198" t="s">
        <v>12934</v>
      </c>
    </row>
    <row r="5474" spans="1:16" ht="18.75" hidden="1">
      <c r="A5474" s="50" t="s">
        <v>13704</v>
      </c>
      <c r="B5474" s="50" t="s">
        <v>13575</v>
      </c>
      <c r="C5474" s="50" t="s">
        <v>13661</v>
      </c>
      <c r="D5474" s="12" t="s">
        <v>13373</v>
      </c>
      <c r="E5474" s="12" t="s">
        <v>13333</v>
      </c>
      <c r="F5474" s="49">
        <v>190000</v>
      </c>
      <c r="G5474" s="77" t="s">
        <v>6453</v>
      </c>
      <c r="H5474" s="14" t="str">
        <f t="shared" si="167"/>
        <v>true</v>
      </c>
      <c r="I5474" s="14" t="s">
        <v>2458</v>
      </c>
      <c r="J5474" s="33" t="e">
        <f>VLOOKUP(C5474,شرکتها!A:B,2,FALSE)</f>
        <v>#N/A</v>
      </c>
      <c r="K5474" s="33" t="s">
        <v>13613</v>
      </c>
      <c r="L5474" s="53" t="s">
        <v>6054</v>
      </c>
      <c r="M5474" s="68" t="s">
        <v>8913</v>
      </c>
      <c r="N5474" s="53" t="s">
        <v>6076</v>
      </c>
      <c r="O5474" s="53">
        <v>55301</v>
      </c>
      <c r="P5474" s="198" t="s">
        <v>12929</v>
      </c>
    </row>
    <row r="5475" spans="1:16" ht="18.75" hidden="1">
      <c r="A5475" s="50" t="s">
        <v>13705</v>
      </c>
      <c r="B5475" s="50" t="s">
        <v>13549</v>
      </c>
      <c r="C5475" s="50" t="s">
        <v>13634</v>
      </c>
      <c r="D5475" s="12" t="s">
        <v>13195</v>
      </c>
      <c r="E5475" s="12" t="s">
        <v>4971</v>
      </c>
      <c r="F5475" s="49">
        <v>151180</v>
      </c>
      <c r="G5475" s="77" t="s">
        <v>12823</v>
      </c>
      <c r="H5475" s="14" t="str">
        <f t="shared" si="167"/>
        <v>true</v>
      </c>
      <c r="I5475" s="14" t="s">
        <v>2458</v>
      </c>
      <c r="J5475" s="33" t="s">
        <v>7110</v>
      </c>
      <c r="K5475" s="33" t="s">
        <v>13613</v>
      </c>
      <c r="L5475" s="53" t="s">
        <v>6054</v>
      </c>
      <c r="M5475" s="68" t="s">
        <v>8912</v>
      </c>
      <c r="N5475" s="53" t="s">
        <v>6285</v>
      </c>
      <c r="O5475" s="53">
        <v>55200</v>
      </c>
      <c r="P5475" s="198" t="s">
        <v>12672</v>
      </c>
    </row>
    <row r="5476" spans="1:16" ht="18.75" hidden="1">
      <c r="A5476" s="50" t="s">
        <v>13706</v>
      </c>
      <c r="B5476" s="50" t="s">
        <v>13672</v>
      </c>
      <c r="C5476" s="50" t="s">
        <v>13510</v>
      </c>
      <c r="D5476" s="12" t="s">
        <v>13266</v>
      </c>
      <c r="E5476" s="12" t="s">
        <v>13333</v>
      </c>
      <c r="F5476" s="49">
        <v>67740</v>
      </c>
      <c r="G5476" s="77" t="s">
        <v>6300</v>
      </c>
      <c r="H5476" s="14" t="str">
        <f t="shared" si="167"/>
        <v>true</v>
      </c>
      <c r="I5476" s="14" t="s">
        <v>2458</v>
      </c>
      <c r="J5476" s="33" t="s">
        <v>7110</v>
      </c>
      <c r="K5476" s="33" t="s">
        <v>13613</v>
      </c>
      <c r="L5476" s="53" t="s">
        <v>6054</v>
      </c>
      <c r="M5476" s="68" t="s">
        <v>8913</v>
      </c>
      <c r="N5476" s="53" t="s">
        <v>6076</v>
      </c>
      <c r="O5476" s="53">
        <v>55301</v>
      </c>
      <c r="P5476" s="198" t="s">
        <v>9785</v>
      </c>
    </row>
    <row r="5477" spans="1:16" ht="18.75" hidden="1">
      <c r="A5477" s="50" t="s">
        <v>13704</v>
      </c>
      <c r="B5477" s="50" t="s">
        <v>13575</v>
      </c>
      <c r="C5477" s="50" t="s">
        <v>13624</v>
      </c>
      <c r="D5477" s="12" t="s">
        <v>13563</v>
      </c>
      <c r="E5477" s="12" t="s">
        <v>13333</v>
      </c>
      <c r="F5477" s="49">
        <v>40</v>
      </c>
      <c r="G5477" s="77" t="s">
        <v>13495</v>
      </c>
      <c r="H5477" s="14" t="str">
        <f t="shared" si="167"/>
        <v>true</v>
      </c>
      <c r="I5477" s="14" t="s">
        <v>2458</v>
      </c>
      <c r="J5477" s="33" t="s">
        <v>7110</v>
      </c>
      <c r="K5477" s="33" t="s">
        <v>13613</v>
      </c>
      <c r="L5477" s="53" t="s">
        <v>6054</v>
      </c>
      <c r="M5477" s="68" t="s">
        <v>8913</v>
      </c>
      <c r="N5477" s="53" t="s">
        <v>6076</v>
      </c>
      <c r="O5477" s="53">
        <v>55301</v>
      </c>
      <c r="P5477" s="198" t="s">
        <v>13625</v>
      </c>
    </row>
    <row r="5478" spans="1:16" ht="18.75" hidden="1">
      <c r="A5478" s="50" t="s">
        <v>13704</v>
      </c>
      <c r="B5478" s="50" t="s">
        <v>13575</v>
      </c>
      <c r="C5478" s="50" t="s">
        <v>13618</v>
      </c>
      <c r="D5478" s="12" t="s">
        <v>13549</v>
      </c>
      <c r="E5478" s="12" t="s">
        <v>13333</v>
      </c>
      <c r="F5478" s="49">
        <v>230000</v>
      </c>
      <c r="G5478" s="77" t="s">
        <v>6453</v>
      </c>
      <c r="H5478" s="14" t="str">
        <f t="shared" si="167"/>
        <v>true</v>
      </c>
      <c r="I5478" s="14" t="s">
        <v>2458</v>
      </c>
      <c r="J5478" s="33" t="e">
        <f>VLOOKUP(C5478,شرکتها!A:B,2,FALSE)</f>
        <v>#N/A</v>
      </c>
      <c r="K5478" s="33" t="s">
        <v>13613</v>
      </c>
      <c r="L5478" s="53" t="s">
        <v>6054</v>
      </c>
      <c r="M5478" s="68" t="s">
        <v>8913</v>
      </c>
      <c r="N5478" s="53" t="s">
        <v>6076</v>
      </c>
      <c r="O5478" s="53">
        <v>55301</v>
      </c>
      <c r="P5478" s="198" t="s">
        <v>12929</v>
      </c>
    </row>
    <row r="5479" spans="1:16" ht="18.75" hidden="1">
      <c r="A5479" s="50" t="s">
        <v>13704</v>
      </c>
      <c r="B5479" s="50" t="s">
        <v>13575</v>
      </c>
      <c r="C5479" s="50" t="s">
        <v>13707</v>
      </c>
      <c r="D5479" s="12" t="s">
        <v>13380</v>
      </c>
      <c r="E5479" s="12" t="s">
        <v>13333</v>
      </c>
      <c r="F5479" s="49">
        <v>302920</v>
      </c>
      <c r="G5479" s="77" t="s">
        <v>6454</v>
      </c>
      <c r="H5479" s="14" t="str">
        <f t="shared" si="167"/>
        <v>true</v>
      </c>
      <c r="I5479" s="14" t="s">
        <v>2458</v>
      </c>
      <c r="J5479" s="33" t="s">
        <v>7110</v>
      </c>
      <c r="K5479" s="33" t="s">
        <v>13613</v>
      </c>
      <c r="L5479" s="53" t="s">
        <v>6054</v>
      </c>
      <c r="M5479" s="68" t="s">
        <v>8913</v>
      </c>
      <c r="N5479" s="53" t="s">
        <v>6076</v>
      </c>
      <c r="O5479" s="53">
        <v>55301</v>
      </c>
      <c r="P5479" s="198" t="s">
        <v>12669</v>
      </c>
    </row>
    <row r="5480" spans="1:16" ht="18.75" hidden="1">
      <c r="A5480" s="50" t="s">
        <v>13706</v>
      </c>
      <c r="B5480" s="50" t="s">
        <v>13672</v>
      </c>
      <c r="C5480" s="50" t="s">
        <v>13448</v>
      </c>
      <c r="D5480" s="12" t="s">
        <v>13186</v>
      </c>
      <c r="E5480" s="12" t="s">
        <v>4971</v>
      </c>
      <c r="F5480" s="49">
        <v>33080</v>
      </c>
      <c r="G5480" s="77" t="s">
        <v>6299</v>
      </c>
      <c r="H5480" s="14" t="str">
        <f t="shared" si="167"/>
        <v>true</v>
      </c>
      <c r="I5480" s="14" t="s">
        <v>2458</v>
      </c>
      <c r="J5480" s="33" t="s">
        <v>7110</v>
      </c>
      <c r="K5480" s="33" t="s">
        <v>13613</v>
      </c>
      <c r="L5480" s="53" t="s">
        <v>6054</v>
      </c>
      <c r="M5480" s="68" t="s">
        <v>8913</v>
      </c>
      <c r="N5480" s="53" t="s">
        <v>6076</v>
      </c>
      <c r="O5480" s="53">
        <v>55301</v>
      </c>
      <c r="P5480" s="198" t="s">
        <v>12935</v>
      </c>
    </row>
    <row r="5481" spans="1:16" ht="18.75" hidden="1">
      <c r="A5481" s="50" t="s">
        <v>13708</v>
      </c>
      <c r="B5481" s="50" t="s">
        <v>13563</v>
      </c>
      <c r="C5481" s="50" t="s">
        <v>13709</v>
      </c>
      <c r="D5481" s="12" t="s">
        <v>12878</v>
      </c>
      <c r="E5481" s="12" t="s">
        <v>4971</v>
      </c>
      <c r="F5481" s="49">
        <v>57160</v>
      </c>
      <c r="G5481" s="77" t="s">
        <v>12823</v>
      </c>
      <c r="H5481" s="14" t="str">
        <f t="shared" si="167"/>
        <v>true</v>
      </c>
      <c r="I5481" s="14" t="s">
        <v>2458</v>
      </c>
      <c r="J5481" s="33" t="s">
        <v>7110</v>
      </c>
      <c r="K5481" s="33" t="s">
        <v>13613</v>
      </c>
      <c r="L5481" s="53" t="s">
        <v>13710</v>
      </c>
      <c r="M5481" s="68" t="s">
        <v>8912</v>
      </c>
      <c r="N5481" s="53" t="s">
        <v>13711</v>
      </c>
      <c r="O5481" s="53">
        <v>60200</v>
      </c>
      <c r="P5481" s="198" t="s">
        <v>12672</v>
      </c>
    </row>
    <row r="5482" spans="1:16" ht="18.75" hidden="1">
      <c r="A5482" s="50" t="s">
        <v>13617</v>
      </c>
      <c r="B5482" s="50" t="s">
        <v>13590</v>
      </c>
      <c r="C5482" s="50" t="s">
        <v>13712</v>
      </c>
      <c r="D5482" s="12" t="s">
        <v>13356</v>
      </c>
      <c r="E5482" s="12" t="s">
        <v>13333</v>
      </c>
      <c r="F5482" s="49">
        <v>427660</v>
      </c>
      <c r="G5482" s="77" t="s">
        <v>6298</v>
      </c>
      <c r="H5482" s="14" t="str">
        <f t="shared" si="167"/>
        <v>true</v>
      </c>
      <c r="I5482" s="14" t="s">
        <v>2458</v>
      </c>
      <c r="J5482" s="33" t="s">
        <v>7110</v>
      </c>
      <c r="K5482" s="33" t="s">
        <v>13613</v>
      </c>
      <c r="L5482" s="53" t="s">
        <v>6054</v>
      </c>
      <c r="M5482" s="68" t="s">
        <v>8913</v>
      </c>
      <c r="N5482" s="53" t="s">
        <v>6076</v>
      </c>
      <c r="O5482" s="53">
        <v>55301</v>
      </c>
      <c r="P5482" s="198" t="s">
        <v>12934</v>
      </c>
    </row>
    <row r="5483" spans="1:16" ht="18.75" hidden="1">
      <c r="A5483" s="50" t="s">
        <v>13630</v>
      </c>
      <c r="B5483" s="50" t="s">
        <v>13402</v>
      </c>
      <c r="C5483" s="50" t="s">
        <v>13713</v>
      </c>
      <c r="D5483" s="12" t="s">
        <v>13385</v>
      </c>
      <c r="E5483" s="12" t="s">
        <v>13333</v>
      </c>
      <c r="F5483" s="49">
        <v>318200</v>
      </c>
      <c r="G5483" s="77" t="s">
        <v>13714</v>
      </c>
      <c r="H5483" s="14" t="str">
        <f t="shared" si="167"/>
        <v>true</v>
      </c>
      <c r="I5483" s="14" t="s">
        <v>2458</v>
      </c>
      <c r="J5483" s="33" t="s">
        <v>7110</v>
      </c>
      <c r="K5483" s="33" t="s">
        <v>13613</v>
      </c>
      <c r="L5483" s="53" t="s">
        <v>6054</v>
      </c>
      <c r="M5483" s="68" t="s">
        <v>8913</v>
      </c>
      <c r="N5483" s="53" t="s">
        <v>6076</v>
      </c>
      <c r="O5483" s="53">
        <v>55301</v>
      </c>
      <c r="P5483" s="198" t="s">
        <v>13715</v>
      </c>
    </row>
    <row r="5484" spans="1:16" ht="18.75" hidden="1">
      <c r="A5484" s="50" t="s">
        <v>13630</v>
      </c>
      <c r="B5484" s="50" t="s">
        <v>13402</v>
      </c>
      <c r="C5484" s="50" t="s">
        <v>13716</v>
      </c>
      <c r="D5484" s="12" t="s">
        <v>13373</v>
      </c>
      <c r="E5484" s="12" t="s">
        <v>13333</v>
      </c>
      <c r="F5484" s="49">
        <v>250000</v>
      </c>
      <c r="G5484" s="77" t="s">
        <v>6453</v>
      </c>
      <c r="H5484" s="14" t="str">
        <f t="shared" si="167"/>
        <v>true</v>
      </c>
      <c r="I5484" s="14" t="s">
        <v>2458</v>
      </c>
      <c r="J5484" s="33" t="e">
        <f>VLOOKUP(C5484,شرکتها!A:B,2,FALSE)</f>
        <v>#N/A</v>
      </c>
      <c r="K5484" s="33" t="s">
        <v>13613</v>
      </c>
      <c r="L5484" s="53" t="s">
        <v>6054</v>
      </c>
      <c r="M5484" s="68" t="s">
        <v>8913</v>
      </c>
      <c r="N5484" s="53" t="s">
        <v>6076</v>
      </c>
      <c r="O5484" s="53">
        <v>55301</v>
      </c>
      <c r="P5484" s="198" t="s">
        <v>12929</v>
      </c>
    </row>
    <row r="5485" spans="1:16" ht="18.75" hidden="1">
      <c r="A5485" s="50" t="s">
        <v>13626</v>
      </c>
      <c r="B5485" s="50" t="s">
        <v>13590</v>
      </c>
      <c r="C5485" s="50" t="s">
        <v>13713</v>
      </c>
      <c r="D5485" s="12" t="s">
        <v>13385</v>
      </c>
      <c r="E5485" s="12" t="s">
        <v>13333</v>
      </c>
      <c r="F5485" s="49">
        <v>160990</v>
      </c>
      <c r="G5485" s="77" t="s">
        <v>13714</v>
      </c>
      <c r="H5485" s="14" t="str">
        <f t="shared" si="167"/>
        <v>true</v>
      </c>
      <c r="I5485" s="14" t="s">
        <v>2458</v>
      </c>
      <c r="J5485" s="33" t="s">
        <v>7110</v>
      </c>
      <c r="K5485" s="33" t="s">
        <v>13613</v>
      </c>
      <c r="L5485" s="53" t="s">
        <v>6054</v>
      </c>
      <c r="M5485" s="68" t="s">
        <v>8912</v>
      </c>
      <c r="N5485" s="53" t="s">
        <v>6076</v>
      </c>
      <c r="O5485" s="53">
        <v>55301</v>
      </c>
      <c r="P5485" s="198" t="s">
        <v>13715</v>
      </c>
    </row>
    <row r="5486" spans="1:16" ht="18.75" hidden="1">
      <c r="A5486" s="50" t="s">
        <v>13642</v>
      </c>
      <c r="B5486" s="50" t="s">
        <v>13402</v>
      </c>
      <c r="C5486" s="50" t="s">
        <v>13717</v>
      </c>
      <c r="D5486" s="12" t="s">
        <v>12893</v>
      </c>
      <c r="E5486" s="12" t="s">
        <v>4971</v>
      </c>
      <c r="F5486" s="49">
        <v>98960</v>
      </c>
      <c r="G5486" s="77" t="s">
        <v>6454</v>
      </c>
      <c r="H5486" s="14" t="str">
        <f t="shared" si="167"/>
        <v>true</v>
      </c>
      <c r="I5486" s="14" t="s">
        <v>2458</v>
      </c>
      <c r="J5486" s="33" t="s">
        <v>7110</v>
      </c>
      <c r="K5486" s="33" t="s">
        <v>13613</v>
      </c>
      <c r="L5486" s="53" t="s">
        <v>6054</v>
      </c>
      <c r="M5486" s="68" t="s">
        <v>8912</v>
      </c>
      <c r="N5486" s="53" t="s">
        <v>6285</v>
      </c>
      <c r="O5486" s="53">
        <v>55200</v>
      </c>
      <c r="P5486" s="198" t="s">
        <v>12669</v>
      </c>
    </row>
    <row r="5487" spans="1:16" ht="18.75" hidden="1">
      <c r="A5487" s="50" t="s">
        <v>13652</v>
      </c>
      <c r="B5487" s="50" t="s">
        <v>13549</v>
      </c>
      <c r="C5487" s="50" t="s">
        <v>13718</v>
      </c>
      <c r="D5487" s="12" t="s">
        <v>13184</v>
      </c>
      <c r="E5487" s="12" t="s">
        <v>13333</v>
      </c>
      <c r="F5487" s="49">
        <v>145990</v>
      </c>
      <c r="G5487" s="77" t="s">
        <v>12823</v>
      </c>
      <c r="H5487" s="14" t="str">
        <f t="shared" si="167"/>
        <v>true</v>
      </c>
      <c r="I5487" s="14" t="s">
        <v>2458</v>
      </c>
      <c r="J5487" s="33" t="s">
        <v>7110</v>
      </c>
      <c r="K5487" s="33" t="s">
        <v>13613</v>
      </c>
      <c r="L5487" s="53" t="s">
        <v>6054</v>
      </c>
      <c r="M5487" s="68" t="s">
        <v>8912</v>
      </c>
      <c r="N5487" s="53" t="s">
        <v>9836</v>
      </c>
      <c r="O5487" s="53">
        <v>55112</v>
      </c>
      <c r="P5487" s="198" t="s">
        <v>13019</v>
      </c>
    </row>
    <row r="5488" spans="1:16" ht="18.75" hidden="1">
      <c r="A5488" s="50" t="s">
        <v>13653</v>
      </c>
      <c r="B5488" s="50" t="s">
        <v>13590</v>
      </c>
      <c r="C5488" s="50" t="s">
        <v>13712</v>
      </c>
      <c r="D5488" s="12" t="s">
        <v>13356</v>
      </c>
      <c r="E5488" s="12" t="s">
        <v>13333</v>
      </c>
      <c r="F5488" s="49">
        <v>587320</v>
      </c>
      <c r="G5488" s="77" t="s">
        <v>6298</v>
      </c>
      <c r="H5488" s="14" t="str">
        <f t="shared" si="167"/>
        <v>true</v>
      </c>
      <c r="I5488" s="14" t="s">
        <v>2458</v>
      </c>
      <c r="J5488" s="33" t="s">
        <v>7110</v>
      </c>
      <c r="K5488" s="33" t="s">
        <v>13613</v>
      </c>
      <c r="L5488" s="53" t="s">
        <v>6054</v>
      </c>
      <c r="M5488" s="68" t="s">
        <v>8912</v>
      </c>
      <c r="N5488" s="53" t="s">
        <v>6285</v>
      </c>
      <c r="O5488" s="53">
        <v>55200</v>
      </c>
      <c r="P5488" s="198" t="s">
        <v>12934</v>
      </c>
    </row>
    <row r="5489" spans="1:16" ht="18.75" hidden="1">
      <c r="A5489" s="50" t="s">
        <v>13705</v>
      </c>
      <c r="B5489" s="50" t="s">
        <v>13549</v>
      </c>
      <c r="C5489" s="50" t="s">
        <v>13476</v>
      </c>
      <c r="D5489" s="12" t="s">
        <v>12880</v>
      </c>
      <c r="E5489" s="12" t="s">
        <v>4971</v>
      </c>
      <c r="F5489" s="49">
        <v>123830</v>
      </c>
      <c r="G5489" s="77" t="s">
        <v>6454</v>
      </c>
      <c r="H5489" s="14" t="str">
        <f t="shared" si="167"/>
        <v>true</v>
      </c>
      <c r="I5489" s="14" t="s">
        <v>2458</v>
      </c>
      <c r="J5489" s="33" t="s">
        <v>7110</v>
      </c>
      <c r="K5489" s="33" t="s">
        <v>13613</v>
      </c>
      <c r="L5489" s="53" t="s">
        <v>6054</v>
      </c>
      <c r="M5489" s="68" t="s">
        <v>8912</v>
      </c>
      <c r="N5489" s="53" t="s">
        <v>6285</v>
      </c>
      <c r="O5489" s="53">
        <v>55200</v>
      </c>
      <c r="P5489" s="198" t="s">
        <v>12669</v>
      </c>
    </row>
    <row r="5490" spans="1:16" ht="18.75" hidden="1">
      <c r="A5490" s="50" t="s">
        <v>13704</v>
      </c>
      <c r="B5490" s="50" t="s">
        <v>13575</v>
      </c>
      <c r="C5490" s="50" t="s">
        <v>13719</v>
      </c>
      <c r="D5490" s="12" t="s">
        <v>13549</v>
      </c>
      <c r="E5490" s="12" t="s">
        <v>13333</v>
      </c>
      <c r="F5490" s="49">
        <v>120000</v>
      </c>
      <c r="G5490" s="77" t="s">
        <v>13495</v>
      </c>
      <c r="H5490" s="14" t="str">
        <f t="shared" si="167"/>
        <v>true</v>
      </c>
      <c r="I5490" s="14" t="s">
        <v>2458</v>
      </c>
      <c r="J5490" s="33" t="s">
        <v>7110</v>
      </c>
      <c r="K5490" s="33" t="s">
        <v>13613</v>
      </c>
      <c r="L5490" s="53" t="s">
        <v>6054</v>
      </c>
      <c r="M5490" s="68" t="s">
        <v>8913</v>
      </c>
      <c r="N5490" s="53" t="s">
        <v>6076</v>
      </c>
      <c r="O5490" s="53">
        <v>55301</v>
      </c>
      <c r="P5490" s="198" t="s">
        <v>13625</v>
      </c>
    </row>
    <row r="5491" spans="1:16" ht="18.75" hidden="1">
      <c r="A5491" s="50" t="s">
        <v>13704</v>
      </c>
      <c r="B5491" s="50" t="s">
        <v>13575</v>
      </c>
      <c r="C5491" s="50" t="s">
        <v>13720</v>
      </c>
      <c r="D5491" s="12" t="s">
        <v>13672</v>
      </c>
      <c r="E5491" s="12" t="s">
        <v>13333</v>
      </c>
      <c r="F5491" s="49">
        <v>135000</v>
      </c>
      <c r="G5491" s="77" t="s">
        <v>6299</v>
      </c>
      <c r="H5491" s="14" t="str">
        <f t="shared" si="167"/>
        <v>true</v>
      </c>
      <c r="I5491" s="14" t="s">
        <v>2458</v>
      </c>
      <c r="J5491" s="33" t="s">
        <v>7110</v>
      </c>
      <c r="K5491" s="33" t="s">
        <v>13613</v>
      </c>
      <c r="L5491" s="53" t="s">
        <v>6054</v>
      </c>
      <c r="M5491" s="68" t="s">
        <v>8913</v>
      </c>
      <c r="N5491" s="53" t="s">
        <v>6076</v>
      </c>
      <c r="O5491" s="53">
        <v>55301</v>
      </c>
      <c r="P5491" s="198" t="s">
        <v>12935</v>
      </c>
    </row>
    <row r="5492" spans="1:16" ht="18.75" hidden="1">
      <c r="A5492" s="50" t="s">
        <v>13721</v>
      </c>
      <c r="B5492" s="50" t="s">
        <v>13402</v>
      </c>
      <c r="C5492" s="50" t="s">
        <v>13646</v>
      </c>
      <c r="D5492" s="12" t="s">
        <v>12928</v>
      </c>
      <c r="E5492" s="12" t="s">
        <v>4971</v>
      </c>
      <c r="F5492" s="49">
        <v>130580</v>
      </c>
      <c r="G5492" s="77" t="s">
        <v>6298</v>
      </c>
      <c r="H5492" s="14" t="str">
        <f t="shared" si="167"/>
        <v>true</v>
      </c>
      <c r="I5492" s="14" t="s">
        <v>2458</v>
      </c>
      <c r="J5492" s="33" t="s">
        <v>7110</v>
      </c>
      <c r="K5492" s="33" t="s">
        <v>13613</v>
      </c>
      <c r="L5492" s="53" t="s">
        <v>6054</v>
      </c>
      <c r="M5492" s="68" t="s">
        <v>8912</v>
      </c>
      <c r="N5492" s="53" t="s">
        <v>9836</v>
      </c>
      <c r="O5492" s="53">
        <v>55112</v>
      </c>
      <c r="P5492" s="198" t="s">
        <v>12934</v>
      </c>
    </row>
    <row r="5493" spans="1:16" ht="18.75" hidden="1">
      <c r="A5493" s="50" t="s">
        <v>13722</v>
      </c>
      <c r="B5493" s="50" t="s">
        <v>13639</v>
      </c>
      <c r="C5493" s="50" t="s">
        <v>13660</v>
      </c>
      <c r="D5493" s="12" t="s">
        <v>13189</v>
      </c>
      <c r="E5493" s="12" t="s">
        <v>4971</v>
      </c>
      <c r="F5493" s="49">
        <v>200400</v>
      </c>
      <c r="G5493" s="77" t="s">
        <v>6298</v>
      </c>
      <c r="H5493" s="14" t="str">
        <f t="shared" ref="H5493:H5556" si="168">IF(I5493="نامشخص",IF(E5493&gt;C5493,"false","true"),IF(E5493&gt;I5493,"false","true"))</f>
        <v>true</v>
      </c>
      <c r="I5493" s="14" t="s">
        <v>2458</v>
      </c>
      <c r="J5493" s="33" t="s">
        <v>7110</v>
      </c>
      <c r="K5493" s="33" t="s">
        <v>13613</v>
      </c>
      <c r="L5493" s="53" t="s">
        <v>6054</v>
      </c>
      <c r="M5493" s="68" t="s">
        <v>8913</v>
      </c>
      <c r="N5493" s="53" t="s">
        <v>6076</v>
      </c>
      <c r="O5493" s="53">
        <v>55301</v>
      </c>
      <c r="P5493" s="198" t="s">
        <v>12934</v>
      </c>
    </row>
    <row r="5494" spans="1:16" ht="18.75" hidden="1">
      <c r="A5494" s="50" t="s">
        <v>13706</v>
      </c>
      <c r="B5494" s="50" t="s">
        <v>13672</v>
      </c>
      <c r="C5494" s="50" t="s">
        <v>13612</v>
      </c>
      <c r="D5494" s="12" t="s">
        <v>13331</v>
      </c>
      <c r="E5494" s="12" t="s">
        <v>13333</v>
      </c>
      <c r="F5494" s="49">
        <v>277760</v>
      </c>
      <c r="G5494" s="77" t="s">
        <v>6453</v>
      </c>
      <c r="H5494" s="14" t="str">
        <f t="shared" si="168"/>
        <v>true</v>
      </c>
      <c r="I5494" s="14" t="s">
        <v>2458</v>
      </c>
      <c r="J5494" s="33" t="e">
        <f>VLOOKUP(C5494,شرکتها!A:B,2,FALSE)</f>
        <v>#N/A</v>
      </c>
      <c r="K5494" s="33" t="s">
        <v>13613</v>
      </c>
      <c r="L5494" s="53" t="s">
        <v>6054</v>
      </c>
      <c r="M5494" s="68" t="s">
        <v>8913</v>
      </c>
      <c r="N5494" s="53" t="s">
        <v>6076</v>
      </c>
      <c r="O5494" s="53">
        <v>55301</v>
      </c>
      <c r="P5494" s="198" t="s">
        <v>12929</v>
      </c>
    </row>
    <row r="5495" spans="1:16" ht="18.75" hidden="1">
      <c r="A5495" s="50" t="s">
        <v>13706</v>
      </c>
      <c r="B5495" s="50" t="s">
        <v>13672</v>
      </c>
      <c r="C5495" s="50" t="s">
        <v>13614</v>
      </c>
      <c r="D5495" s="12" t="s">
        <v>13266</v>
      </c>
      <c r="E5495" s="12" t="s">
        <v>13333</v>
      </c>
      <c r="F5495" s="49">
        <v>596460</v>
      </c>
      <c r="G5495" s="77" t="s">
        <v>6454</v>
      </c>
      <c r="H5495" s="14" t="str">
        <f t="shared" si="168"/>
        <v>true</v>
      </c>
      <c r="I5495" s="14" t="s">
        <v>2458</v>
      </c>
      <c r="J5495" s="33" t="s">
        <v>7110</v>
      </c>
      <c r="K5495" s="33" t="s">
        <v>13613</v>
      </c>
      <c r="L5495" s="53" t="s">
        <v>6054</v>
      </c>
      <c r="M5495" s="68" t="s">
        <v>8913</v>
      </c>
      <c r="N5495" s="53" t="s">
        <v>6076</v>
      </c>
      <c r="O5495" s="53">
        <v>55301</v>
      </c>
      <c r="P5495" s="198" t="s">
        <v>12669</v>
      </c>
    </row>
    <row r="5496" spans="1:16" ht="18.75" hidden="1">
      <c r="A5496" s="50" t="s">
        <v>13705</v>
      </c>
      <c r="B5496" s="50" t="s">
        <v>13549</v>
      </c>
      <c r="C5496" s="50" t="s">
        <v>13616</v>
      </c>
      <c r="D5496" s="12" t="s">
        <v>13356</v>
      </c>
      <c r="E5496" s="12" t="s">
        <v>13333</v>
      </c>
      <c r="F5496" s="49">
        <v>48030</v>
      </c>
      <c r="G5496" s="77" t="s">
        <v>6453</v>
      </c>
      <c r="H5496" s="14" t="str">
        <f t="shared" si="168"/>
        <v>true</v>
      </c>
      <c r="I5496" s="14" t="s">
        <v>2458</v>
      </c>
      <c r="J5496" s="33" t="e">
        <f>VLOOKUP(C5496,شرکتها!A:B,2,FALSE)</f>
        <v>#N/A</v>
      </c>
      <c r="K5496" s="33" t="s">
        <v>13613</v>
      </c>
      <c r="L5496" s="53" t="s">
        <v>6054</v>
      </c>
      <c r="M5496" s="68" t="s">
        <v>8912</v>
      </c>
      <c r="N5496" s="53" t="s">
        <v>6285</v>
      </c>
      <c r="O5496" s="53">
        <v>55200</v>
      </c>
      <c r="P5496" s="198" t="s">
        <v>12929</v>
      </c>
    </row>
    <row r="5497" spans="1:16" ht="18.75" hidden="1">
      <c r="A5497" s="50" t="s">
        <v>13705</v>
      </c>
      <c r="B5497" s="50" t="s">
        <v>13549</v>
      </c>
      <c r="C5497" s="50" t="s">
        <v>13628</v>
      </c>
      <c r="D5497" s="12" t="s">
        <v>12880</v>
      </c>
      <c r="E5497" s="12" t="s">
        <v>4971</v>
      </c>
      <c r="F5497" s="49">
        <v>24780</v>
      </c>
      <c r="G5497" s="77" t="s">
        <v>12823</v>
      </c>
      <c r="H5497" s="14" t="str">
        <f t="shared" si="168"/>
        <v>true</v>
      </c>
      <c r="I5497" s="14" t="s">
        <v>2458</v>
      </c>
      <c r="J5497" s="33" t="s">
        <v>7110</v>
      </c>
      <c r="K5497" s="33" t="s">
        <v>13613</v>
      </c>
      <c r="L5497" s="53" t="s">
        <v>6054</v>
      </c>
      <c r="M5497" s="68" t="s">
        <v>8912</v>
      </c>
      <c r="N5497" s="53" t="s">
        <v>6285</v>
      </c>
      <c r="O5497" s="53">
        <v>55200</v>
      </c>
      <c r="P5497" s="198" t="s">
        <v>12672</v>
      </c>
    </row>
    <row r="5498" spans="1:16" ht="18.75" hidden="1">
      <c r="A5498" s="50" t="s">
        <v>13704</v>
      </c>
      <c r="B5498" s="50" t="s">
        <v>13575</v>
      </c>
      <c r="C5498" s="50" t="s">
        <v>13669</v>
      </c>
      <c r="D5498" s="12" t="s">
        <v>13385</v>
      </c>
      <c r="E5498" s="12" t="s">
        <v>13333</v>
      </c>
      <c r="F5498" s="49">
        <v>23760</v>
      </c>
      <c r="G5498" s="77" t="s">
        <v>12608</v>
      </c>
      <c r="H5498" s="14" t="str">
        <f t="shared" si="168"/>
        <v>true</v>
      </c>
      <c r="I5498" s="14" t="s">
        <v>2458</v>
      </c>
      <c r="J5498" s="33" t="s">
        <v>7110</v>
      </c>
      <c r="K5498" s="33" t="s">
        <v>13613</v>
      </c>
      <c r="L5498" s="53" t="s">
        <v>6054</v>
      </c>
      <c r="M5498" s="68" t="s">
        <v>8913</v>
      </c>
      <c r="N5498" s="53" t="s">
        <v>6076</v>
      </c>
      <c r="O5498" s="53">
        <v>55301</v>
      </c>
      <c r="P5498" s="198" t="s">
        <v>13670</v>
      </c>
    </row>
    <row r="5499" spans="1:16" ht="18.75" hidden="1">
      <c r="A5499" s="50" t="s">
        <v>13722</v>
      </c>
      <c r="B5499" s="50" t="s">
        <v>13639</v>
      </c>
      <c r="C5499" s="50" t="s">
        <v>13651</v>
      </c>
      <c r="D5499" s="12" t="s">
        <v>13385</v>
      </c>
      <c r="E5499" s="12" t="s">
        <v>13333</v>
      </c>
      <c r="F5499" s="49">
        <v>186160</v>
      </c>
      <c r="G5499" s="77" t="s">
        <v>6453</v>
      </c>
      <c r="H5499" s="14" t="str">
        <f t="shared" si="168"/>
        <v>true</v>
      </c>
      <c r="I5499" s="14" t="s">
        <v>2458</v>
      </c>
      <c r="J5499" s="33" t="e">
        <f>VLOOKUP(C5499,شرکتها!A:B,2,FALSE)</f>
        <v>#N/A</v>
      </c>
      <c r="K5499" s="33" t="s">
        <v>13613</v>
      </c>
      <c r="L5499" s="53" t="s">
        <v>6054</v>
      </c>
      <c r="M5499" s="68" t="s">
        <v>8913</v>
      </c>
      <c r="N5499" s="53" t="s">
        <v>6076</v>
      </c>
      <c r="O5499" s="53">
        <v>55301</v>
      </c>
      <c r="P5499" s="198" t="s">
        <v>12929</v>
      </c>
    </row>
    <row r="5500" spans="1:16" ht="18.75" hidden="1">
      <c r="A5500" s="50" t="s">
        <v>13723</v>
      </c>
      <c r="B5500" s="50" t="s">
        <v>13385</v>
      </c>
      <c r="C5500" s="50" t="s">
        <v>13629</v>
      </c>
      <c r="D5500" s="12" t="s">
        <v>13356</v>
      </c>
      <c r="E5500" s="12" t="s">
        <v>13333</v>
      </c>
      <c r="F5500" s="49">
        <v>186960</v>
      </c>
      <c r="G5500" s="77" t="s">
        <v>13495</v>
      </c>
      <c r="H5500" s="14" t="str">
        <f t="shared" si="168"/>
        <v>true</v>
      </c>
      <c r="I5500" s="14" t="s">
        <v>2458</v>
      </c>
      <c r="J5500" s="33" t="s">
        <v>7110</v>
      </c>
      <c r="K5500" s="33" t="s">
        <v>13613</v>
      </c>
      <c r="L5500" s="53" t="s">
        <v>6054</v>
      </c>
      <c r="M5500" s="68" t="s">
        <v>8912</v>
      </c>
      <c r="N5500" s="53" t="s">
        <v>9836</v>
      </c>
      <c r="O5500" s="53">
        <v>55112</v>
      </c>
      <c r="P5500" s="198" t="s">
        <v>13625</v>
      </c>
    </row>
    <row r="5501" spans="1:16" ht="18.75" hidden="1">
      <c r="A5501" s="50" t="s">
        <v>13722</v>
      </c>
      <c r="B5501" s="50" t="s">
        <v>13639</v>
      </c>
      <c r="C5501" s="50" t="s">
        <v>13631</v>
      </c>
      <c r="D5501" s="12" t="s">
        <v>13385</v>
      </c>
      <c r="E5501" s="12" t="s">
        <v>13333</v>
      </c>
      <c r="F5501" s="49">
        <v>46040</v>
      </c>
      <c r="G5501" s="77" t="s">
        <v>6299</v>
      </c>
      <c r="H5501" s="14" t="str">
        <f t="shared" si="168"/>
        <v>true</v>
      </c>
      <c r="I5501" s="14" t="s">
        <v>2458</v>
      </c>
      <c r="J5501" s="33" t="s">
        <v>7110</v>
      </c>
      <c r="K5501" s="33" t="s">
        <v>13613</v>
      </c>
      <c r="L5501" s="53" t="s">
        <v>6054</v>
      </c>
      <c r="M5501" s="68" t="s">
        <v>8913</v>
      </c>
      <c r="N5501" s="53" t="s">
        <v>6076</v>
      </c>
      <c r="O5501" s="53">
        <v>55301</v>
      </c>
      <c r="P5501" s="198" t="s">
        <v>13068</v>
      </c>
    </row>
    <row r="5502" spans="1:16" ht="18.75" hidden="1">
      <c r="A5502" s="50" t="s">
        <v>13721</v>
      </c>
      <c r="B5502" s="50" t="s">
        <v>13402</v>
      </c>
      <c r="C5502" s="50" t="s">
        <v>13724</v>
      </c>
      <c r="D5502" s="12" t="s">
        <v>13195</v>
      </c>
      <c r="E5502" s="12" t="s">
        <v>4971</v>
      </c>
      <c r="F5502" s="49">
        <v>150000</v>
      </c>
      <c r="G5502" s="77" t="s">
        <v>6298</v>
      </c>
      <c r="H5502" s="14" t="str">
        <f t="shared" si="168"/>
        <v>true</v>
      </c>
      <c r="I5502" s="14" t="s">
        <v>2458</v>
      </c>
      <c r="J5502" s="33" t="s">
        <v>7110</v>
      </c>
      <c r="K5502" s="33" t="s">
        <v>13613</v>
      </c>
      <c r="L5502" s="53" t="s">
        <v>6054</v>
      </c>
      <c r="M5502" s="68" t="s">
        <v>8912</v>
      </c>
      <c r="N5502" s="53" t="s">
        <v>9836</v>
      </c>
      <c r="O5502" s="53">
        <v>55112</v>
      </c>
      <c r="P5502" s="198" t="s">
        <v>12934</v>
      </c>
    </row>
    <row r="5503" spans="1:16" ht="18.75" hidden="1">
      <c r="A5503" s="50" t="s">
        <v>13722</v>
      </c>
      <c r="B5503" s="50" t="s">
        <v>13639</v>
      </c>
      <c r="C5503" s="50" t="s">
        <v>13510</v>
      </c>
      <c r="D5503" s="12" t="s">
        <v>13266</v>
      </c>
      <c r="E5503" s="12" t="s">
        <v>13333</v>
      </c>
      <c r="F5503" s="49">
        <v>55960</v>
      </c>
      <c r="G5503" s="77" t="s">
        <v>6300</v>
      </c>
      <c r="H5503" s="14" t="str">
        <f t="shared" si="168"/>
        <v>true</v>
      </c>
      <c r="I5503" s="14" t="s">
        <v>2458</v>
      </c>
      <c r="J5503" s="33" t="s">
        <v>7110</v>
      </c>
      <c r="K5503" s="33" t="s">
        <v>13613</v>
      </c>
      <c r="L5503" s="53" t="s">
        <v>6054</v>
      </c>
      <c r="M5503" s="68" t="s">
        <v>8913</v>
      </c>
      <c r="N5503" s="53" t="s">
        <v>6076</v>
      </c>
      <c r="O5503" s="53">
        <v>55301</v>
      </c>
      <c r="P5503" s="198" t="s">
        <v>9785</v>
      </c>
    </row>
    <row r="5504" spans="1:16" ht="18.75" hidden="1">
      <c r="A5504" s="50" t="s">
        <v>13725</v>
      </c>
      <c r="B5504" s="50" t="s">
        <v>13623</v>
      </c>
      <c r="C5504" s="50" t="s">
        <v>13624</v>
      </c>
      <c r="D5504" s="12" t="s">
        <v>13563</v>
      </c>
      <c r="E5504" s="12" t="s">
        <v>13333</v>
      </c>
      <c r="F5504" s="49">
        <v>71280</v>
      </c>
      <c r="G5504" s="77" t="s">
        <v>13495</v>
      </c>
      <c r="H5504" s="14" t="str">
        <f t="shared" si="168"/>
        <v>true</v>
      </c>
      <c r="I5504" s="14" t="s">
        <v>2458</v>
      </c>
      <c r="J5504" s="33" t="s">
        <v>7110</v>
      </c>
      <c r="K5504" s="33" t="s">
        <v>13613</v>
      </c>
      <c r="L5504" s="53" t="s">
        <v>6054</v>
      </c>
      <c r="M5504" s="68" t="s">
        <v>8912</v>
      </c>
      <c r="N5504" s="53" t="s">
        <v>6286</v>
      </c>
      <c r="O5504" s="53">
        <v>55107</v>
      </c>
      <c r="P5504" s="198" t="s">
        <v>13625</v>
      </c>
    </row>
    <row r="5505" spans="1:16" ht="18.75" hidden="1">
      <c r="A5505" s="50" t="s">
        <v>13654</v>
      </c>
      <c r="B5505" s="50" t="s">
        <v>13390</v>
      </c>
      <c r="C5505" s="50" t="s">
        <v>13431</v>
      </c>
      <c r="D5505" s="12" t="s">
        <v>13266</v>
      </c>
      <c r="E5505" s="12" t="s">
        <v>13333</v>
      </c>
      <c r="F5505" s="49">
        <v>215410</v>
      </c>
      <c r="G5505" s="77" t="s">
        <v>6453</v>
      </c>
      <c r="H5505" s="14" t="str">
        <f t="shared" si="168"/>
        <v>true</v>
      </c>
      <c r="I5505" s="14" t="s">
        <v>2458</v>
      </c>
      <c r="J5505" s="33" t="e">
        <f>VLOOKUP(C5505,شرکتها!A:B,2,FALSE)</f>
        <v>#N/A</v>
      </c>
      <c r="K5505" s="33" t="s">
        <v>13613</v>
      </c>
      <c r="L5505" s="53" t="s">
        <v>6054</v>
      </c>
      <c r="M5505" s="68" t="s">
        <v>8913</v>
      </c>
      <c r="N5505" s="53" t="s">
        <v>6076</v>
      </c>
      <c r="O5505" s="53">
        <v>55301</v>
      </c>
      <c r="P5505" s="198" t="s">
        <v>12929</v>
      </c>
    </row>
    <row r="5506" spans="1:16" ht="18.75" hidden="1">
      <c r="A5506" s="50" t="s">
        <v>13726</v>
      </c>
      <c r="B5506" s="50" t="s">
        <v>13400</v>
      </c>
      <c r="C5506" s="50" t="s">
        <v>13718</v>
      </c>
      <c r="D5506" s="12" t="s">
        <v>13184</v>
      </c>
      <c r="E5506" s="12" t="s">
        <v>13333</v>
      </c>
      <c r="F5506" s="49">
        <v>22540</v>
      </c>
      <c r="G5506" s="77" t="s">
        <v>12823</v>
      </c>
      <c r="H5506" s="14" t="str">
        <f t="shared" si="168"/>
        <v>true</v>
      </c>
      <c r="I5506" s="14" t="s">
        <v>2458</v>
      </c>
      <c r="J5506" s="33" t="s">
        <v>7110</v>
      </c>
      <c r="K5506" s="33" t="s">
        <v>13613</v>
      </c>
      <c r="L5506" s="53" t="s">
        <v>6054</v>
      </c>
      <c r="M5506" s="68" t="s">
        <v>8913</v>
      </c>
      <c r="N5506" s="53" t="s">
        <v>6285</v>
      </c>
      <c r="O5506" s="53">
        <v>55200</v>
      </c>
      <c r="P5506" s="198" t="s">
        <v>13019</v>
      </c>
    </row>
    <row r="5507" spans="1:16" ht="18.75" hidden="1">
      <c r="A5507" s="50" t="s">
        <v>13705</v>
      </c>
      <c r="B5507" s="50" t="s">
        <v>13549</v>
      </c>
      <c r="C5507" s="50" t="s">
        <v>13709</v>
      </c>
      <c r="D5507" s="12" t="s">
        <v>12878</v>
      </c>
      <c r="E5507" s="12" t="s">
        <v>4971</v>
      </c>
      <c r="F5507" s="49">
        <v>12840</v>
      </c>
      <c r="G5507" s="77" t="s">
        <v>12823</v>
      </c>
      <c r="H5507" s="14" t="str">
        <f t="shared" si="168"/>
        <v>true</v>
      </c>
      <c r="I5507" s="14" t="s">
        <v>2458</v>
      </c>
      <c r="J5507" s="33" t="s">
        <v>7110</v>
      </c>
      <c r="K5507" s="33" t="s">
        <v>13613</v>
      </c>
      <c r="L5507" s="53" t="s">
        <v>6054</v>
      </c>
      <c r="M5507" s="68" t="s">
        <v>8912</v>
      </c>
      <c r="N5507" s="53" t="s">
        <v>6285</v>
      </c>
      <c r="O5507" s="53">
        <v>55200</v>
      </c>
      <c r="P5507" s="198" t="s">
        <v>12672</v>
      </c>
    </row>
    <row r="5508" spans="1:16" ht="18.75" hidden="1">
      <c r="A5508" s="50" t="s">
        <v>13705</v>
      </c>
      <c r="B5508" s="50" t="s">
        <v>13549</v>
      </c>
      <c r="C5508" s="50" t="s">
        <v>13718</v>
      </c>
      <c r="D5508" s="12" t="s">
        <v>13184</v>
      </c>
      <c r="E5508" s="12" t="s">
        <v>13333</v>
      </c>
      <c r="F5508" s="49">
        <v>180260</v>
      </c>
      <c r="G5508" s="77" t="s">
        <v>12823</v>
      </c>
      <c r="H5508" s="14" t="str">
        <f t="shared" si="168"/>
        <v>true</v>
      </c>
      <c r="I5508" s="14" t="s">
        <v>2458</v>
      </c>
      <c r="J5508" s="33" t="s">
        <v>7110</v>
      </c>
      <c r="K5508" s="33" t="s">
        <v>13613</v>
      </c>
      <c r="L5508" s="53" t="s">
        <v>6054</v>
      </c>
      <c r="M5508" s="68" t="s">
        <v>8912</v>
      </c>
      <c r="N5508" s="53" t="s">
        <v>6285</v>
      </c>
      <c r="O5508" s="53">
        <v>55200</v>
      </c>
      <c r="P5508" s="198" t="s">
        <v>13019</v>
      </c>
    </row>
    <row r="5509" spans="1:16" ht="18.75" hidden="1">
      <c r="A5509" s="50" t="s">
        <v>13704</v>
      </c>
      <c r="B5509" s="50" t="s">
        <v>13575</v>
      </c>
      <c r="C5509" s="50" t="s">
        <v>13712</v>
      </c>
      <c r="D5509" s="12" t="s">
        <v>13356</v>
      </c>
      <c r="E5509" s="12" t="s">
        <v>13333</v>
      </c>
      <c r="F5509" s="49">
        <v>185020</v>
      </c>
      <c r="G5509" s="77" t="s">
        <v>6298</v>
      </c>
      <c r="H5509" s="14" t="str">
        <f t="shared" si="168"/>
        <v>true</v>
      </c>
      <c r="I5509" s="14" t="s">
        <v>2458</v>
      </c>
      <c r="J5509" s="33" t="s">
        <v>7110</v>
      </c>
      <c r="K5509" s="33" t="s">
        <v>13613</v>
      </c>
      <c r="L5509" s="53" t="s">
        <v>6054</v>
      </c>
      <c r="M5509" s="68" t="s">
        <v>8913</v>
      </c>
      <c r="N5509" s="53" t="s">
        <v>6076</v>
      </c>
      <c r="O5509" s="53">
        <v>55301</v>
      </c>
      <c r="P5509" s="198" t="s">
        <v>12934</v>
      </c>
    </row>
    <row r="5510" spans="1:16" ht="18.75" hidden="1">
      <c r="A5510" s="50" t="s">
        <v>13684</v>
      </c>
      <c r="B5510" s="50" t="s">
        <v>13672</v>
      </c>
      <c r="C5510" s="50" t="s">
        <v>13727</v>
      </c>
      <c r="D5510" s="12" t="s">
        <v>13195</v>
      </c>
      <c r="E5510" s="12" t="s">
        <v>13333</v>
      </c>
      <c r="F5510" s="49">
        <v>82170</v>
      </c>
      <c r="G5510" s="77" t="s">
        <v>13495</v>
      </c>
      <c r="H5510" s="14" t="str">
        <f t="shared" si="168"/>
        <v>true</v>
      </c>
      <c r="I5510" s="14" t="s">
        <v>2458</v>
      </c>
      <c r="J5510" s="33" t="s">
        <v>7110</v>
      </c>
      <c r="K5510" s="33" t="s">
        <v>13613</v>
      </c>
      <c r="L5510" s="53" t="s">
        <v>6054</v>
      </c>
      <c r="M5510" s="68" t="s">
        <v>8912</v>
      </c>
      <c r="N5510" s="53" t="s">
        <v>6286</v>
      </c>
      <c r="O5510" s="53">
        <v>55107</v>
      </c>
      <c r="P5510" s="198">
        <v>1397558725001</v>
      </c>
    </row>
    <row r="5511" spans="1:16" ht="18.75" hidden="1">
      <c r="A5511" s="50" t="s">
        <v>13706</v>
      </c>
      <c r="B5511" s="50" t="s">
        <v>13672</v>
      </c>
      <c r="C5511" s="50" t="s">
        <v>13727</v>
      </c>
      <c r="D5511" s="12" t="s">
        <v>13266</v>
      </c>
      <c r="E5511" s="12" t="s">
        <v>13333</v>
      </c>
      <c r="F5511" s="49">
        <v>115720</v>
      </c>
      <c r="G5511" s="77" t="s">
        <v>13495</v>
      </c>
      <c r="H5511" s="14" t="str">
        <f t="shared" si="168"/>
        <v>true</v>
      </c>
      <c r="I5511" s="14" t="s">
        <v>2458</v>
      </c>
      <c r="J5511" s="33" t="s">
        <v>7110</v>
      </c>
      <c r="K5511" s="33" t="s">
        <v>13613</v>
      </c>
      <c r="L5511" s="53" t="s">
        <v>6054</v>
      </c>
      <c r="M5511" s="68" t="s">
        <v>8913</v>
      </c>
      <c r="N5511" s="53" t="s">
        <v>6076</v>
      </c>
      <c r="O5511" s="53">
        <v>55301</v>
      </c>
      <c r="P5511" s="198">
        <v>1397558725001</v>
      </c>
    </row>
    <row r="5512" spans="1:16" ht="18.75" hidden="1">
      <c r="A5512" s="50" t="s">
        <v>13688</v>
      </c>
      <c r="B5512" s="50" t="s">
        <v>13563</v>
      </c>
      <c r="C5512" s="50" t="s">
        <v>13728</v>
      </c>
      <c r="D5512" s="12" t="s">
        <v>13266</v>
      </c>
      <c r="E5512" s="12" t="s">
        <v>13333</v>
      </c>
      <c r="F5512" s="49">
        <v>46280</v>
      </c>
      <c r="G5512" s="77" t="s">
        <v>6299</v>
      </c>
      <c r="H5512" s="14" t="str">
        <f t="shared" si="168"/>
        <v>true</v>
      </c>
      <c r="I5512" s="14" t="s">
        <v>2458</v>
      </c>
      <c r="J5512" s="33" t="s">
        <v>7110</v>
      </c>
      <c r="K5512" s="33" t="s">
        <v>13613</v>
      </c>
      <c r="L5512" s="53" t="s">
        <v>6054</v>
      </c>
      <c r="M5512" s="68" t="s">
        <v>8913</v>
      </c>
      <c r="N5512" s="53" t="s">
        <v>6076</v>
      </c>
      <c r="O5512" s="53">
        <v>55301</v>
      </c>
      <c r="P5512" s="198">
        <v>1396552143001</v>
      </c>
    </row>
    <row r="5513" spans="1:16" ht="18.75" hidden="1">
      <c r="A5513" s="50" t="s">
        <v>13611</v>
      </c>
      <c r="B5513" s="50" t="s">
        <v>13549</v>
      </c>
      <c r="C5513" s="50" t="s">
        <v>13728</v>
      </c>
      <c r="D5513" s="12" t="s">
        <v>13356</v>
      </c>
      <c r="E5513" s="12" t="s">
        <v>13333</v>
      </c>
      <c r="F5513" s="49">
        <v>71620</v>
      </c>
      <c r="G5513" s="77" t="s">
        <v>6299</v>
      </c>
      <c r="H5513" s="14" t="str">
        <f t="shared" si="168"/>
        <v>true</v>
      </c>
      <c r="I5513" s="14" t="s">
        <v>2458</v>
      </c>
      <c r="J5513" s="33" t="s">
        <v>7110</v>
      </c>
      <c r="K5513" s="33" t="s">
        <v>13613</v>
      </c>
      <c r="L5513" s="53" t="s">
        <v>6054</v>
      </c>
      <c r="M5513" s="68" t="s">
        <v>8913</v>
      </c>
      <c r="N5513" s="53" t="s">
        <v>6076</v>
      </c>
      <c r="O5513" s="53">
        <v>55301</v>
      </c>
      <c r="P5513" s="198">
        <v>1396552143001</v>
      </c>
    </row>
    <row r="5514" spans="1:16" ht="18.75" hidden="1">
      <c r="A5514" s="50" t="s">
        <v>13729</v>
      </c>
      <c r="B5514" s="50" t="s">
        <v>13400</v>
      </c>
      <c r="C5514" s="50" t="s">
        <v>13730</v>
      </c>
      <c r="D5514" s="12" t="s">
        <v>13385</v>
      </c>
      <c r="E5514" s="12" t="s">
        <v>13333</v>
      </c>
      <c r="F5514" s="49">
        <v>199520</v>
      </c>
      <c r="G5514" s="77" t="s">
        <v>12823</v>
      </c>
      <c r="H5514" s="14" t="str">
        <f t="shared" si="168"/>
        <v>true</v>
      </c>
      <c r="I5514" s="14" t="s">
        <v>2458</v>
      </c>
      <c r="J5514" s="33" t="s">
        <v>7110</v>
      </c>
      <c r="K5514" s="33" t="s">
        <v>13613</v>
      </c>
      <c r="L5514" s="53" t="s">
        <v>6054</v>
      </c>
      <c r="M5514" s="68" t="s">
        <v>8912</v>
      </c>
      <c r="N5514" s="53" t="s">
        <v>6285</v>
      </c>
      <c r="O5514" s="53">
        <v>55200</v>
      </c>
      <c r="P5514" s="198" t="s">
        <v>13731</v>
      </c>
    </row>
    <row r="5515" spans="1:16" ht="18.75" hidden="1">
      <c r="A5515" s="50" t="s">
        <v>13729</v>
      </c>
      <c r="B5515" s="50" t="s">
        <v>13400</v>
      </c>
      <c r="C5515" s="50" t="s">
        <v>13732</v>
      </c>
      <c r="D5515" s="12" t="s">
        <v>13475</v>
      </c>
      <c r="E5515" s="12" t="s">
        <v>13333</v>
      </c>
      <c r="F5515" s="49">
        <v>780000</v>
      </c>
      <c r="G5515" s="77" t="s">
        <v>6454</v>
      </c>
      <c r="H5515" s="14" t="str">
        <f t="shared" si="168"/>
        <v>true</v>
      </c>
      <c r="I5515" s="14" t="s">
        <v>2458</v>
      </c>
      <c r="J5515" s="33" t="s">
        <v>7110</v>
      </c>
      <c r="K5515" s="33" t="s">
        <v>13613</v>
      </c>
      <c r="L5515" s="53" t="s">
        <v>6054</v>
      </c>
      <c r="M5515" s="68" t="s">
        <v>8912</v>
      </c>
      <c r="N5515" s="53" t="s">
        <v>6285</v>
      </c>
      <c r="O5515" s="53">
        <v>55200</v>
      </c>
      <c r="P5515" s="198" t="s">
        <v>12669</v>
      </c>
    </row>
    <row r="5516" spans="1:16" ht="18.75" hidden="1">
      <c r="A5516" s="50" t="s">
        <v>13729</v>
      </c>
      <c r="B5516" s="50" t="s">
        <v>13400</v>
      </c>
      <c r="C5516" s="50" t="s">
        <v>13713</v>
      </c>
      <c r="D5516" s="12" t="s">
        <v>13385</v>
      </c>
      <c r="E5516" s="12" t="s">
        <v>13333</v>
      </c>
      <c r="F5516" s="49">
        <v>264280</v>
      </c>
      <c r="G5516" s="77" t="s">
        <v>13714</v>
      </c>
      <c r="H5516" s="14" t="str">
        <f t="shared" si="168"/>
        <v>true</v>
      </c>
      <c r="I5516" s="14" t="s">
        <v>2458</v>
      </c>
      <c r="J5516" s="33" t="s">
        <v>7110</v>
      </c>
      <c r="K5516" s="33" t="s">
        <v>13613</v>
      </c>
      <c r="L5516" s="53" t="s">
        <v>6054</v>
      </c>
      <c r="M5516" s="68" t="s">
        <v>8912</v>
      </c>
      <c r="N5516" s="53" t="s">
        <v>6285</v>
      </c>
      <c r="O5516" s="53">
        <v>55200</v>
      </c>
      <c r="P5516" s="198" t="s">
        <v>13715</v>
      </c>
    </row>
    <row r="5517" spans="1:16" ht="18.75" hidden="1">
      <c r="A5517" s="50" t="s">
        <v>13733</v>
      </c>
      <c r="B5517" s="50" t="s">
        <v>13400</v>
      </c>
      <c r="C5517" s="50" t="s">
        <v>13734</v>
      </c>
      <c r="D5517" s="12" t="s">
        <v>13385</v>
      </c>
      <c r="E5517" s="12" t="s">
        <v>13333</v>
      </c>
      <c r="F5517" s="49">
        <v>125000</v>
      </c>
      <c r="G5517" s="77" t="s">
        <v>6453</v>
      </c>
      <c r="H5517" s="14" t="str">
        <f t="shared" si="168"/>
        <v>true</v>
      </c>
      <c r="I5517" s="14" t="s">
        <v>2458</v>
      </c>
      <c r="J5517" s="33" t="e">
        <f>VLOOKUP(C5517,شرکتها!A:B,2,FALSE)</f>
        <v>#N/A</v>
      </c>
      <c r="K5517" s="33" t="s">
        <v>13613</v>
      </c>
      <c r="L5517" s="53" t="s">
        <v>6054</v>
      </c>
      <c r="M5517" s="68" t="s">
        <v>8913</v>
      </c>
      <c r="N5517" s="53" t="s">
        <v>6076</v>
      </c>
      <c r="O5517" s="53">
        <v>55301</v>
      </c>
      <c r="P5517" s="198" t="s">
        <v>12929</v>
      </c>
    </row>
    <row r="5518" spans="1:16" ht="18.75" hidden="1">
      <c r="A5518" s="50" t="s">
        <v>13733</v>
      </c>
      <c r="B5518" s="50" t="s">
        <v>13400</v>
      </c>
      <c r="C5518" s="50" t="s">
        <v>13703</v>
      </c>
      <c r="D5518" s="12" t="s">
        <v>13195</v>
      </c>
      <c r="E5518" s="12" t="s">
        <v>4971</v>
      </c>
      <c r="F5518" s="49">
        <v>235100</v>
      </c>
      <c r="G5518" s="77" t="s">
        <v>6298</v>
      </c>
      <c r="H5518" s="14" t="str">
        <f t="shared" si="168"/>
        <v>true</v>
      </c>
      <c r="I5518" s="14" t="s">
        <v>2458</v>
      </c>
      <c r="J5518" s="33" t="s">
        <v>7110</v>
      </c>
      <c r="K5518" s="33" t="s">
        <v>13613</v>
      </c>
      <c r="L5518" s="53" t="s">
        <v>6054</v>
      </c>
      <c r="M5518" s="68" t="s">
        <v>8913</v>
      </c>
      <c r="N5518" s="53" t="s">
        <v>6076</v>
      </c>
      <c r="O5518" s="53">
        <v>55301</v>
      </c>
      <c r="P5518" s="198" t="s">
        <v>12934</v>
      </c>
    </row>
    <row r="5519" spans="1:16" ht="18.75" hidden="1">
      <c r="A5519" s="50" t="s">
        <v>13733</v>
      </c>
      <c r="B5519" s="50" t="s">
        <v>13400</v>
      </c>
      <c r="C5519" s="50" t="s">
        <v>13697</v>
      </c>
      <c r="D5519" s="12" t="s">
        <v>13672</v>
      </c>
      <c r="E5519" s="12" t="s">
        <v>13333</v>
      </c>
      <c r="F5519" s="49">
        <v>279260</v>
      </c>
      <c r="G5519" s="77" t="s">
        <v>13495</v>
      </c>
      <c r="H5519" s="14" t="str">
        <f t="shared" si="168"/>
        <v>true</v>
      </c>
      <c r="I5519" s="14" t="s">
        <v>2458</v>
      </c>
      <c r="J5519" s="33" t="s">
        <v>7110</v>
      </c>
      <c r="K5519" s="33" t="s">
        <v>13613</v>
      </c>
      <c r="L5519" s="53" t="s">
        <v>6054</v>
      </c>
      <c r="M5519" s="68" t="s">
        <v>8913</v>
      </c>
      <c r="N5519" s="53" t="s">
        <v>6076</v>
      </c>
      <c r="O5519" s="53">
        <v>55301</v>
      </c>
      <c r="P5519" s="198" t="s">
        <v>13625</v>
      </c>
    </row>
    <row r="5520" spans="1:16" ht="18.75" hidden="1">
      <c r="A5520" s="50" t="s">
        <v>13638</v>
      </c>
      <c r="B5520" s="50" t="s">
        <v>13639</v>
      </c>
      <c r="C5520" s="50" t="s">
        <v>13713</v>
      </c>
      <c r="D5520" s="12" t="s">
        <v>13735</v>
      </c>
      <c r="E5520" s="12" t="s">
        <v>13333</v>
      </c>
      <c r="F5520" s="49">
        <v>77810</v>
      </c>
      <c r="G5520" s="77" t="s">
        <v>13714</v>
      </c>
      <c r="H5520" s="14" t="str">
        <f t="shared" si="168"/>
        <v>true</v>
      </c>
      <c r="I5520" s="14" t="s">
        <v>2458</v>
      </c>
      <c r="J5520" s="33" t="s">
        <v>7110</v>
      </c>
      <c r="K5520" s="33" t="s">
        <v>13613</v>
      </c>
      <c r="L5520" s="53" t="s">
        <v>6054</v>
      </c>
      <c r="M5520" s="68" t="s">
        <v>8912</v>
      </c>
      <c r="N5520" s="53" t="s">
        <v>6285</v>
      </c>
      <c r="O5520" s="53">
        <v>55200</v>
      </c>
      <c r="P5520" s="198" t="s">
        <v>13715</v>
      </c>
    </row>
    <row r="5521" spans="1:16" ht="18.75" hidden="1">
      <c r="A5521" s="50" t="s">
        <v>13736</v>
      </c>
      <c r="B5521" s="50" t="s">
        <v>13623</v>
      </c>
      <c r="C5521" s="50" t="s">
        <v>13737</v>
      </c>
      <c r="D5521" s="12" t="s">
        <v>13672</v>
      </c>
      <c r="E5521" s="12" t="s">
        <v>13333</v>
      </c>
      <c r="F5521" s="49">
        <v>220380</v>
      </c>
      <c r="G5521" s="77" t="s">
        <v>13714</v>
      </c>
      <c r="H5521" s="14" t="str">
        <f t="shared" si="168"/>
        <v>true</v>
      </c>
      <c r="I5521" s="14" t="s">
        <v>2458</v>
      </c>
      <c r="J5521" s="33" t="s">
        <v>7110</v>
      </c>
      <c r="K5521" s="33" t="s">
        <v>13613</v>
      </c>
      <c r="L5521" s="53" t="s">
        <v>6054</v>
      </c>
      <c r="M5521" s="68" t="s">
        <v>8912</v>
      </c>
      <c r="N5521" s="53" t="s">
        <v>6285</v>
      </c>
      <c r="O5521" s="53">
        <v>55200</v>
      </c>
      <c r="P5521" s="198" t="s">
        <v>13715</v>
      </c>
    </row>
    <row r="5522" spans="1:16" ht="18.75" hidden="1">
      <c r="A5522" s="50" t="str">
        <f>"50100-10213166"</f>
        <v>50100-10213166</v>
      </c>
      <c r="B5522" s="50" t="str">
        <f>"97/02/22"</f>
        <v>97/02/22</v>
      </c>
      <c r="C5522" s="50" t="s">
        <v>13738</v>
      </c>
      <c r="D5522" s="12" t="s">
        <v>13563</v>
      </c>
      <c r="E5522" s="12" t="s">
        <v>13333</v>
      </c>
      <c r="F5522" s="49">
        <v>197980</v>
      </c>
      <c r="G5522" s="77" t="str">
        <f>"LLC Black Gem Business"</f>
        <v>LLC Black Gem Business</v>
      </c>
      <c r="H5522" s="14" t="str">
        <f t="shared" si="168"/>
        <v>true</v>
      </c>
      <c r="I5522" s="14" t="s">
        <v>2458</v>
      </c>
      <c r="J5522" s="33" t="s">
        <v>7110</v>
      </c>
      <c r="K5522" s="33" t="s">
        <v>13739</v>
      </c>
      <c r="L5522" s="53" t="str">
        <f>"هند"</f>
        <v>هند</v>
      </c>
      <c r="M5522" s="68" t="str">
        <f t="shared" ref="M5522:M5528" si="169">"بشكه"</f>
        <v>بشكه</v>
      </c>
      <c r="N5522" s="53" t="str">
        <f t="shared" ref="N5522:N5578" si="170">"منطقه ويژه اقتصادي شهيد رجايي"</f>
        <v>منطقه ويژه اقتصادي شهيد رجايي</v>
      </c>
      <c r="O5522" s="53">
        <v>50100</v>
      </c>
      <c r="P5522" s="198" t="str">
        <f>"1397558772001"</f>
        <v>1397558772001</v>
      </c>
    </row>
    <row r="5523" spans="1:16" ht="18.75" hidden="1">
      <c r="A5523" s="50" t="str">
        <f>"50100-10213405"</f>
        <v>50100-10213405</v>
      </c>
      <c r="B5523" s="50" t="str">
        <f>"97/02/22"</f>
        <v>97/02/22</v>
      </c>
      <c r="C5523" s="50" t="s">
        <v>13740</v>
      </c>
      <c r="D5523" s="12" t="s">
        <v>13741</v>
      </c>
      <c r="E5523" s="12" t="s">
        <v>13333</v>
      </c>
      <c r="F5523" s="49">
        <v>496194</v>
      </c>
      <c r="G5523" s="77" t="str">
        <f>"LLC Sebco Bitumen"</f>
        <v>LLC Sebco Bitumen</v>
      </c>
      <c r="H5523" s="14" t="str">
        <f t="shared" si="168"/>
        <v>true</v>
      </c>
      <c r="I5523" s="14" t="s">
        <v>2458</v>
      </c>
      <c r="J5523" s="33" t="s">
        <v>7110</v>
      </c>
      <c r="K5523" s="33" t="s">
        <v>13739</v>
      </c>
      <c r="L5523" s="53" t="str">
        <f>"هند"</f>
        <v>هند</v>
      </c>
      <c r="M5523" s="68" t="str">
        <f t="shared" si="169"/>
        <v>بشكه</v>
      </c>
      <c r="N5523" s="53" t="str">
        <f t="shared" si="170"/>
        <v>منطقه ويژه اقتصادي شهيد رجايي</v>
      </c>
      <c r="O5523" s="53">
        <v>50100</v>
      </c>
      <c r="P5523" s="198" t="str">
        <f>"1397558720001"</f>
        <v>1397558720001</v>
      </c>
    </row>
    <row r="5524" spans="1:16" ht="18.75" hidden="1">
      <c r="A5524" s="50" t="str">
        <f>"50100-10200092"</f>
        <v>50100-10200092</v>
      </c>
      <c r="B5524" s="50" t="str">
        <f>"97/02/18"</f>
        <v>97/02/18</v>
      </c>
      <c r="C5524" s="50" t="s">
        <v>13742</v>
      </c>
      <c r="D5524" s="12" t="s">
        <v>12717</v>
      </c>
      <c r="E5524" s="12" t="s">
        <v>4971</v>
      </c>
      <c r="F5524" s="49">
        <v>893475</v>
      </c>
      <c r="G5524" s="77" t="str">
        <f>"GLOBUS INTERNATIONAL FZE"</f>
        <v>GLOBUS INTERNATIONAL FZE</v>
      </c>
      <c r="H5524" s="14" t="str">
        <f t="shared" si="168"/>
        <v>true</v>
      </c>
      <c r="I5524" s="14" t="s">
        <v>2458</v>
      </c>
      <c r="J5524" s="33" t="s">
        <v>7110</v>
      </c>
      <c r="K5524" s="33" t="s">
        <v>13739</v>
      </c>
      <c r="L5524" s="53" t="str">
        <f>" امارات متحده عربي"</f>
        <v xml:space="preserve"> امارات متحده عربي</v>
      </c>
      <c r="M5524" s="68" t="str">
        <f t="shared" si="169"/>
        <v>بشكه</v>
      </c>
      <c r="N5524" s="53" t="str">
        <f t="shared" si="170"/>
        <v>منطقه ويژه اقتصادي شهيد رجايي</v>
      </c>
      <c r="O5524" s="53">
        <v>50100</v>
      </c>
      <c r="P5524" s="198" t="str">
        <f>"1396539406001"</f>
        <v>1396539406001</v>
      </c>
    </row>
    <row r="5525" spans="1:16" ht="18.75" hidden="1">
      <c r="A5525" s="50" t="str">
        <f>"50100-10195130"</f>
        <v>50100-10195130</v>
      </c>
      <c r="B5525" s="50" t="str">
        <f>"97/02/17"</f>
        <v>97/02/17</v>
      </c>
      <c r="C5525" s="50" t="s">
        <v>13569</v>
      </c>
      <c r="D5525" s="12" t="s">
        <v>13266</v>
      </c>
      <c r="E5525" s="12" t="s">
        <v>13333</v>
      </c>
      <c r="F5525" s="49">
        <v>58879</v>
      </c>
      <c r="G5525" s="77" t="str">
        <f>"SHINING GREEN STAR FZE"</f>
        <v>SHINING GREEN STAR FZE</v>
      </c>
      <c r="H5525" s="14" t="str">
        <f t="shared" si="168"/>
        <v>true</v>
      </c>
      <c r="I5525" s="14" t="s">
        <v>2458</v>
      </c>
      <c r="J5525" s="33" t="e">
        <f>VLOOKUP(C5525,شرکتها!A:B,2,FALSE)</f>
        <v>#N/A</v>
      </c>
      <c r="K5525" s="33" t="s">
        <v>13739</v>
      </c>
      <c r="L5525" s="53" t="str">
        <f>"ويتنام"</f>
        <v>ويتنام</v>
      </c>
      <c r="M5525" s="68" t="str">
        <f t="shared" si="169"/>
        <v>بشكه</v>
      </c>
      <c r="N5525" s="53" t="str">
        <f t="shared" si="170"/>
        <v>منطقه ويژه اقتصادي شهيد رجايي</v>
      </c>
      <c r="O5525" s="53">
        <v>50100</v>
      </c>
      <c r="P5525" s="198" t="str">
        <f>"1396548703001"</f>
        <v>1396548703001</v>
      </c>
    </row>
    <row r="5526" spans="1:16" ht="18.75" hidden="1">
      <c r="A5526" s="50" t="str">
        <f>"50100-10213735"</f>
        <v>50100-10213735</v>
      </c>
      <c r="B5526" s="50" t="str">
        <f>"97/02/22"</f>
        <v>97/02/22</v>
      </c>
      <c r="C5526" s="50" t="s">
        <v>13743</v>
      </c>
      <c r="D5526" s="12" t="s">
        <v>13741</v>
      </c>
      <c r="E5526" s="12" t="s">
        <v>13333</v>
      </c>
      <c r="F5526" s="49">
        <v>294730</v>
      </c>
      <c r="G5526" s="77" t="s">
        <v>6298</v>
      </c>
      <c r="H5526" s="14" t="str">
        <f t="shared" si="168"/>
        <v>true</v>
      </c>
      <c r="I5526" s="14" t="s">
        <v>2458</v>
      </c>
      <c r="J5526" s="33" t="s">
        <v>7110</v>
      </c>
      <c r="K5526" s="33" t="s">
        <v>13739</v>
      </c>
      <c r="L5526" s="53" t="str">
        <f>"هند"</f>
        <v>هند</v>
      </c>
      <c r="M5526" s="68" t="str">
        <f t="shared" si="169"/>
        <v>بشكه</v>
      </c>
      <c r="N5526" s="53" t="str">
        <f t="shared" si="170"/>
        <v>منطقه ويژه اقتصادي شهيد رجايي</v>
      </c>
      <c r="O5526" s="53">
        <v>50100</v>
      </c>
      <c r="P5526" s="198">
        <v>1397558720001</v>
      </c>
    </row>
    <row r="5527" spans="1:16" ht="18.75" hidden="1">
      <c r="A5527" s="50" t="str">
        <f>"50100-10213582"</f>
        <v>50100-10213582</v>
      </c>
      <c r="B5527" s="50" t="str">
        <f>"97/02/22"</f>
        <v>97/02/22</v>
      </c>
      <c r="C5527" s="50" t="s">
        <v>13744</v>
      </c>
      <c r="D5527" s="12" t="s">
        <v>13741</v>
      </c>
      <c r="E5527" s="12" t="s">
        <v>13333</v>
      </c>
      <c r="F5527" s="49">
        <v>495194</v>
      </c>
      <c r="G5527" s="77" t="s">
        <v>6298</v>
      </c>
      <c r="H5527" s="14" t="str">
        <f t="shared" si="168"/>
        <v>true</v>
      </c>
      <c r="I5527" s="14" t="s">
        <v>2458</v>
      </c>
      <c r="J5527" s="33" t="s">
        <v>7110</v>
      </c>
      <c r="K5527" s="33" t="s">
        <v>13739</v>
      </c>
      <c r="L5527" s="53" t="str">
        <f>"هند"</f>
        <v>هند</v>
      </c>
      <c r="M5527" s="68" t="str">
        <f t="shared" si="169"/>
        <v>بشكه</v>
      </c>
      <c r="N5527" s="53" t="str">
        <f t="shared" si="170"/>
        <v>منطقه ويژه اقتصادي شهيد رجايي</v>
      </c>
      <c r="O5527" s="53">
        <v>50100</v>
      </c>
      <c r="P5527" s="198">
        <v>1397558720001</v>
      </c>
    </row>
    <row r="5528" spans="1:16" ht="18.75" hidden="1">
      <c r="A5528" s="50" t="str">
        <f>"50100-10197277"</f>
        <v>50100-10197277</v>
      </c>
      <c r="B5528" s="50" t="str">
        <f>"97/02/18"</f>
        <v>97/02/18</v>
      </c>
      <c r="C5528" s="50" t="s">
        <v>13745</v>
      </c>
      <c r="D5528" s="12" t="s">
        <v>13746</v>
      </c>
      <c r="E5528" s="12" t="s">
        <v>13333</v>
      </c>
      <c r="F5528" s="49">
        <v>504137</v>
      </c>
      <c r="G5528" s="77" t="str">
        <f>"Black Gold Traders FZE"</f>
        <v>Black Gold Traders FZE</v>
      </c>
      <c r="H5528" s="14" t="str">
        <f t="shared" si="168"/>
        <v>true</v>
      </c>
      <c r="I5528" s="14" t="s">
        <v>2458</v>
      </c>
      <c r="J5528" s="33" t="s">
        <v>7110</v>
      </c>
      <c r="K5528" s="33" t="s">
        <v>13739</v>
      </c>
      <c r="L5528" s="53" t="str">
        <f>"هند"</f>
        <v>هند</v>
      </c>
      <c r="M5528" s="68" t="str">
        <f t="shared" si="169"/>
        <v>بشكه</v>
      </c>
      <c r="N5528" s="53" t="str">
        <f t="shared" si="170"/>
        <v>منطقه ويژه اقتصادي شهيد رجايي</v>
      </c>
      <c r="O5528" s="53">
        <v>50100</v>
      </c>
      <c r="P5528" s="198" t="str">
        <f>"1396548895001"</f>
        <v>1396548895001</v>
      </c>
    </row>
    <row r="5529" spans="1:16" ht="18.75" hidden="1">
      <c r="A5529" s="50" t="str">
        <f>"50100-10196009"</f>
        <v>50100-10196009</v>
      </c>
      <c r="B5529" s="50" t="str">
        <f>"97/02/17"</f>
        <v>97/02/17</v>
      </c>
      <c r="C5529" s="50" t="s">
        <v>13588</v>
      </c>
      <c r="D5529" s="12" t="s">
        <v>12829</v>
      </c>
      <c r="E5529" s="12" t="s">
        <v>4971</v>
      </c>
      <c r="F5529" s="49">
        <v>1026</v>
      </c>
      <c r="G5529" s="77" t="str">
        <f>"LLC Sebco Bitumen"</f>
        <v>LLC Sebco Bitumen</v>
      </c>
      <c r="H5529" s="14" t="str">
        <f t="shared" si="168"/>
        <v>true</v>
      </c>
      <c r="I5529" s="14" t="s">
        <v>2458</v>
      </c>
      <c r="J5529" s="33" t="s">
        <v>7110</v>
      </c>
      <c r="K5529" s="33" t="s">
        <v>13739</v>
      </c>
      <c r="L5529" s="53" t="str">
        <f>"پاکستان"</f>
        <v>پاکستان</v>
      </c>
      <c r="M5529" s="68" t="s">
        <v>9999</v>
      </c>
      <c r="N5529" s="53" t="str">
        <f t="shared" si="170"/>
        <v>منطقه ويژه اقتصادي شهيد رجايي</v>
      </c>
      <c r="O5529" s="53">
        <v>50100</v>
      </c>
      <c r="P5529" s="198" t="str">
        <f>"1396534910001"</f>
        <v>1396534910001</v>
      </c>
    </row>
    <row r="5530" spans="1:16" ht="18.75" hidden="1">
      <c r="A5530" s="50" t="str">
        <f>"50100-10195130"</f>
        <v>50100-10195130</v>
      </c>
      <c r="B5530" s="50" t="str">
        <f>"97/02/17"</f>
        <v>97/02/17</v>
      </c>
      <c r="C5530" s="50" t="s">
        <v>13747</v>
      </c>
      <c r="D5530" s="12" t="s">
        <v>13351</v>
      </c>
      <c r="E5530" s="12" t="s">
        <v>13333</v>
      </c>
      <c r="F5530" s="49">
        <v>241136</v>
      </c>
      <c r="G5530" s="77" t="str">
        <f>"SHINING GREEN STAR FZE"</f>
        <v>SHINING GREEN STAR FZE</v>
      </c>
      <c r="H5530" s="14" t="str">
        <f t="shared" si="168"/>
        <v>true</v>
      </c>
      <c r="I5530" s="14" t="s">
        <v>2458</v>
      </c>
      <c r="J5530" s="33" t="e">
        <f>VLOOKUP(C5530,شرکتها!A:B,2,FALSE)</f>
        <v>#N/A</v>
      </c>
      <c r="K5530" s="33" t="s">
        <v>13739</v>
      </c>
      <c r="L5530" s="53" t="str">
        <f>"ويتنام"</f>
        <v>ويتنام</v>
      </c>
      <c r="M5530" s="68" t="str">
        <f t="shared" ref="M5530:M5536" si="171">"بشكه"</f>
        <v>بشكه</v>
      </c>
      <c r="N5530" s="53" t="str">
        <f t="shared" si="170"/>
        <v>منطقه ويژه اقتصادي شهيد رجايي</v>
      </c>
      <c r="O5530" s="53">
        <v>50100</v>
      </c>
      <c r="P5530" s="198" t="str">
        <f>"1396548703001"</f>
        <v>1396548703001</v>
      </c>
    </row>
    <row r="5531" spans="1:16" ht="18.75" hidden="1">
      <c r="A5531" s="50" t="str">
        <f>"50100-10200183"</f>
        <v>50100-10200183</v>
      </c>
      <c r="B5531" s="50" t="str">
        <f>"97/02/18"</f>
        <v>97/02/18</v>
      </c>
      <c r="C5531" s="50" t="s">
        <v>13748</v>
      </c>
      <c r="D5531" s="12" t="s">
        <v>13343</v>
      </c>
      <c r="E5531" s="12" t="s">
        <v>13333</v>
      </c>
      <c r="F5531" s="49">
        <v>493765</v>
      </c>
      <c r="G5531" s="77" t="str">
        <f>"DAXON PETROLEUM"</f>
        <v>DAXON PETROLEUM</v>
      </c>
      <c r="H5531" s="14" t="str">
        <f t="shared" si="168"/>
        <v>true</v>
      </c>
      <c r="I5531" s="14" t="s">
        <v>2458</v>
      </c>
      <c r="J5531" s="33" t="s">
        <v>7110</v>
      </c>
      <c r="K5531" s="33" t="s">
        <v>13739</v>
      </c>
      <c r="L5531" s="53" t="str">
        <f>"کنيا"</f>
        <v>کنيا</v>
      </c>
      <c r="M5531" s="68" t="str">
        <f t="shared" si="171"/>
        <v>بشكه</v>
      </c>
      <c r="N5531" s="53" t="str">
        <f t="shared" si="170"/>
        <v>منطقه ويژه اقتصادي شهيد رجايي</v>
      </c>
      <c r="O5531" s="53">
        <v>50100</v>
      </c>
      <c r="P5531" s="198" t="str">
        <f>"1396548708001"</f>
        <v>1396548708001</v>
      </c>
    </row>
    <row r="5532" spans="1:16" ht="18.75" hidden="1">
      <c r="A5532" s="50" t="str">
        <f>"50100-10200183"</f>
        <v>50100-10200183</v>
      </c>
      <c r="B5532" s="50" t="str">
        <f>"97/02/18"</f>
        <v>97/02/18</v>
      </c>
      <c r="C5532" s="50" t="s">
        <v>13585</v>
      </c>
      <c r="D5532" s="12" t="s">
        <v>13266</v>
      </c>
      <c r="E5532" s="12" t="s">
        <v>13333</v>
      </c>
      <c r="F5532" s="49">
        <v>1099225</v>
      </c>
      <c r="G5532" s="77" t="str">
        <f>"DAXON PETROLEUM"</f>
        <v>DAXON PETROLEUM</v>
      </c>
      <c r="H5532" s="14" t="str">
        <f t="shared" si="168"/>
        <v>true</v>
      </c>
      <c r="I5532" s="14" t="s">
        <v>2458</v>
      </c>
      <c r="J5532" s="33" t="s">
        <v>7110</v>
      </c>
      <c r="K5532" s="33" t="s">
        <v>13739</v>
      </c>
      <c r="L5532" s="53" t="str">
        <f>"کنيا"</f>
        <v>کنيا</v>
      </c>
      <c r="M5532" s="68" t="str">
        <f t="shared" si="171"/>
        <v>بشكه</v>
      </c>
      <c r="N5532" s="53" t="str">
        <f t="shared" si="170"/>
        <v>منطقه ويژه اقتصادي شهيد رجايي</v>
      </c>
      <c r="O5532" s="53">
        <v>50100</v>
      </c>
      <c r="P5532" s="198" t="str">
        <f>"1396548700001"</f>
        <v>1396548700001</v>
      </c>
    </row>
    <row r="5533" spans="1:16" ht="18.75" hidden="1">
      <c r="A5533" s="50" t="str">
        <f>"50100-10190117"</f>
        <v>50100-10190117</v>
      </c>
      <c r="B5533" s="50" t="str">
        <f>"97/02/16"</f>
        <v>97/02/16</v>
      </c>
      <c r="C5533" s="50" t="s">
        <v>13588</v>
      </c>
      <c r="D5533" s="12" t="s">
        <v>12829</v>
      </c>
      <c r="E5533" s="12" t="s">
        <v>4971</v>
      </c>
      <c r="F5533" s="49">
        <v>500000</v>
      </c>
      <c r="G5533" s="77" t="str">
        <f>"LLC Sebco Bitumen"</f>
        <v>LLC Sebco Bitumen</v>
      </c>
      <c r="H5533" s="14" t="str">
        <f t="shared" si="168"/>
        <v>true</v>
      </c>
      <c r="I5533" s="14" t="s">
        <v>2458</v>
      </c>
      <c r="J5533" s="33" t="s">
        <v>7110</v>
      </c>
      <c r="K5533" s="33" t="s">
        <v>13739</v>
      </c>
      <c r="L5533" s="53" t="s">
        <v>8682</v>
      </c>
      <c r="M5533" s="68" t="str">
        <f t="shared" si="171"/>
        <v>بشكه</v>
      </c>
      <c r="N5533" s="53" t="str">
        <f t="shared" si="170"/>
        <v>منطقه ويژه اقتصادي شهيد رجايي</v>
      </c>
      <c r="O5533" s="53">
        <v>50100</v>
      </c>
      <c r="P5533" s="198" t="str">
        <f>"1396534910001"</f>
        <v>1396534910001</v>
      </c>
    </row>
    <row r="5534" spans="1:16" ht="18.75" hidden="1">
      <c r="A5534" s="50" t="str">
        <f>"50100-10200183"</f>
        <v>50100-10200183</v>
      </c>
      <c r="B5534" s="50" t="str">
        <f>"97/02/18"</f>
        <v>97/02/18</v>
      </c>
      <c r="C5534" s="50" t="s">
        <v>13749</v>
      </c>
      <c r="D5534" s="12" t="s">
        <v>13343</v>
      </c>
      <c r="E5534" s="12" t="s">
        <v>13333</v>
      </c>
      <c r="F5534" s="49">
        <v>206700</v>
      </c>
      <c r="G5534" s="77" t="str">
        <f>"DAXON PETROLEUM"</f>
        <v>DAXON PETROLEUM</v>
      </c>
      <c r="H5534" s="14" t="str">
        <f t="shared" si="168"/>
        <v>true</v>
      </c>
      <c r="I5534" s="14" t="s">
        <v>2458</v>
      </c>
      <c r="J5534" s="33" t="s">
        <v>7110</v>
      </c>
      <c r="K5534" s="33" t="s">
        <v>13739</v>
      </c>
      <c r="L5534" s="53" t="str">
        <f>"کنيا"</f>
        <v>کنيا</v>
      </c>
      <c r="M5534" s="68" t="str">
        <f t="shared" si="171"/>
        <v>بشكه</v>
      </c>
      <c r="N5534" s="53" t="str">
        <f t="shared" si="170"/>
        <v>منطقه ويژه اقتصادي شهيد رجايي</v>
      </c>
      <c r="O5534" s="53">
        <v>50100</v>
      </c>
      <c r="P5534" s="198" t="str">
        <f>"1396548708001"</f>
        <v>1396548708001</v>
      </c>
    </row>
    <row r="5535" spans="1:16" ht="18.75" hidden="1">
      <c r="A5535" s="50" t="str">
        <f>"50100-10220104"</f>
        <v>50100-10220104</v>
      </c>
      <c r="B5535" s="50" t="str">
        <f>"97/02/23"</f>
        <v>97/02/23</v>
      </c>
      <c r="C5535" s="50" t="s">
        <v>13588</v>
      </c>
      <c r="D5535" s="12" t="s">
        <v>12829</v>
      </c>
      <c r="E5535" s="12" t="s">
        <v>4971</v>
      </c>
      <c r="F5535" s="49">
        <v>79332</v>
      </c>
      <c r="G5535" s="77" t="str">
        <f>"LLC Sebco Bitumen"</f>
        <v>LLC Sebco Bitumen</v>
      </c>
      <c r="H5535" s="14" t="str">
        <f t="shared" si="168"/>
        <v>true</v>
      </c>
      <c r="I5535" s="14" t="s">
        <v>2458</v>
      </c>
      <c r="J5535" s="33" t="s">
        <v>7110</v>
      </c>
      <c r="K5535" s="33" t="s">
        <v>13739</v>
      </c>
      <c r="L5535" s="53" t="str">
        <f>"هند"</f>
        <v>هند</v>
      </c>
      <c r="M5535" s="68" t="str">
        <f t="shared" si="171"/>
        <v>بشكه</v>
      </c>
      <c r="N5535" s="53" t="str">
        <f t="shared" si="170"/>
        <v>منطقه ويژه اقتصادي شهيد رجايي</v>
      </c>
      <c r="O5535" s="53">
        <v>50100</v>
      </c>
      <c r="P5535" s="198" t="str">
        <f>"1396534910001"</f>
        <v>1396534910001</v>
      </c>
    </row>
    <row r="5536" spans="1:16" ht="18.75" hidden="1">
      <c r="A5536" s="50" t="str">
        <f>"50100-10197307"</f>
        <v>50100-10197307</v>
      </c>
      <c r="B5536" s="50" t="str">
        <f>"97/02/18"</f>
        <v>97/02/18</v>
      </c>
      <c r="C5536" s="50" t="s">
        <v>13750</v>
      </c>
      <c r="D5536" s="12" t="s">
        <v>13751</v>
      </c>
      <c r="E5536" s="12" t="s">
        <v>13333</v>
      </c>
      <c r="F5536" s="49">
        <v>504100</v>
      </c>
      <c r="G5536" s="77" t="s">
        <v>6300</v>
      </c>
      <c r="H5536" s="14" t="str">
        <f t="shared" si="168"/>
        <v>true</v>
      </c>
      <c r="I5536" s="14" t="s">
        <v>2458</v>
      </c>
      <c r="J5536" s="33" t="s">
        <v>7110</v>
      </c>
      <c r="K5536" s="33" t="s">
        <v>13739</v>
      </c>
      <c r="L5536" s="53" t="str">
        <f>"هند"</f>
        <v>هند</v>
      </c>
      <c r="M5536" s="68" t="str">
        <f t="shared" si="171"/>
        <v>بشكه</v>
      </c>
      <c r="N5536" s="53" t="str">
        <f t="shared" si="170"/>
        <v>منطقه ويژه اقتصادي شهيد رجايي</v>
      </c>
      <c r="O5536" s="53">
        <v>50100</v>
      </c>
      <c r="P5536" s="198">
        <v>1396548895001</v>
      </c>
    </row>
    <row r="5537" spans="1:16" ht="18.75" hidden="1">
      <c r="A5537" s="50" t="str">
        <f>"50100-10196009"</f>
        <v>50100-10196009</v>
      </c>
      <c r="B5537" s="50" t="str">
        <f>"97/02/17"</f>
        <v>97/02/17</v>
      </c>
      <c r="C5537" s="50" t="s">
        <v>13752</v>
      </c>
      <c r="D5537" s="12" t="s">
        <v>12928</v>
      </c>
      <c r="E5537" s="12" t="s">
        <v>4971</v>
      </c>
      <c r="F5537" s="49">
        <v>2540</v>
      </c>
      <c r="G5537" s="77" t="str">
        <f>"BITUBIZ FZE"</f>
        <v>BITUBIZ FZE</v>
      </c>
      <c r="H5537" s="14" t="str">
        <f t="shared" si="168"/>
        <v>true</v>
      </c>
      <c r="I5537" s="14" t="s">
        <v>2458</v>
      </c>
      <c r="J5537" s="33" t="s">
        <v>7110</v>
      </c>
      <c r="K5537" s="33" t="s">
        <v>13739</v>
      </c>
      <c r="L5537" s="53" t="str">
        <f>"پاکستان"</f>
        <v>پاکستان</v>
      </c>
      <c r="M5537" s="68" t="s">
        <v>9999</v>
      </c>
      <c r="N5537" s="53" t="str">
        <f t="shared" si="170"/>
        <v>منطقه ويژه اقتصادي شهيد رجايي</v>
      </c>
      <c r="O5537" s="53">
        <v>50100</v>
      </c>
      <c r="P5537" s="198" t="str">
        <f>"1396542481001"</f>
        <v>1396542481001</v>
      </c>
    </row>
    <row r="5538" spans="1:16" ht="18.75" hidden="1">
      <c r="A5538" s="50" t="str">
        <f>"50100-10205426"</f>
        <v>50100-10205426</v>
      </c>
      <c r="B5538" s="50" t="str">
        <f>"97/02/19"</f>
        <v>97/02/19</v>
      </c>
      <c r="C5538" s="50" t="s">
        <v>13753</v>
      </c>
      <c r="D5538" s="12" t="s">
        <v>13402</v>
      </c>
      <c r="E5538" s="12" t="s">
        <v>13333</v>
      </c>
      <c r="F5538" s="49">
        <v>500000</v>
      </c>
      <c r="G5538" s="77" t="str">
        <f>"SHINING GREEN STAR FZE"</f>
        <v>SHINING GREEN STAR FZE</v>
      </c>
      <c r="H5538" s="14" t="str">
        <f t="shared" si="168"/>
        <v>true</v>
      </c>
      <c r="I5538" s="14" t="s">
        <v>2458</v>
      </c>
      <c r="J5538" s="33" t="e">
        <f>VLOOKUP(C5538,شرکتها!A:B,2,FALSE)</f>
        <v>#N/A</v>
      </c>
      <c r="K5538" s="33" t="s">
        <v>13739</v>
      </c>
      <c r="L5538" s="53" t="str">
        <f>" ميانمار"</f>
        <v xml:space="preserve"> ميانمار</v>
      </c>
      <c r="M5538" s="68" t="s">
        <v>9999</v>
      </c>
      <c r="N5538" s="53" t="str">
        <f t="shared" si="170"/>
        <v>منطقه ويژه اقتصادي شهيد رجايي</v>
      </c>
      <c r="O5538" s="53">
        <v>50100</v>
      </c>
      <c r="P5538" s="198" t="str">
        <f>"1396548703001"</f>
        <v>1396548703001</v>
      </c>
    </row>
    <row r="5539" spans="1:16" ht="18.75" hidden="1">
      <c r="A5539" s="50" t="str">
        <f>"50100-10205426"</f>
        <v>50100-10205426</v>
      </c>
      <c r="B5539" s="50" t="str">
        <f>"97/02/19"</f>
        <v>97/02/19</v>
      </c>
      <c r="C5539" s="50" t="s">
        <v>13754</v>
      </c>
      <c r="D5539" s="12" t="s">
        <v>13385</v>
      </c>
      <c r="E5539" s="12" t="s">
        <v>13333</v>
      </c>
      <c r="F5539" s="49">
        <v>124260</v>
      </c>
      <c r="G5539" s="77" t="str">
        <f>"SHINING GREEN STAR FZE"</f>
        <v>SHINING GREEN STAR FZE</v>
      </c>
      <c r="H5539" s="14" t="str">
        <f t="shared" si="168"/>
        <v>true</v>
      </c>
      <c r="I5539" s="14" t="s">
        <v>2458</v>
      </c>
      <c r="J5539" s="33" t="e">
        <f>VLOOKUP(C5539,شرکتها!A:B,2,FALSE)</f>
        <v>#N/A</v>
      </c>
      <c r="K5539" s="33" t="s">
        <v>13739</v>
      </c>
      <c r="L5539" s="53" t="str">
        <f>" ميانمار"</f>
        <v xml:space="preserve"> ميانمار</v>
      </c>
      <c r="M5539" s="68" t="s">
        <v>9999</v>
      </c>
      <c r="N5539" s="53" t="str">
        <f t="shared" si="170"/>
        <v>منطقه ويژه اقتصادي شهيد رجايي</v>
      </c>
      <c r="O5539" s="53">
        <v>50100</v>
      </c>
      <c r="P5539" s="198" t="str">
        <f>"1396548703001"</f>
        <v>1396548703001</v>
      </c>
    </row>
    <row r="5540" spans="1:16" ht="18.75" hidden="1">
      <c r="A5540" s="50" t="str">
        <f>"50100-10205426"</f>
        <v>50100-10205426</v>
      </c>
      <c r="B5540" s="50" t="str">
        <f>"97/02/19"</f>
        <v>97/02/19</v>
      </c>
      <c r="C5540" s="50" t="s">
        <v>13755</v>
      </c>
      <c r="D5540" s="12" t="s">
        <v>13273</v>
      </c>
      <c r="E5540" s="12" t="s">
        <v>13333</v>
      </c>
      <c r="F5540" s="49">
        <v>298440</v>
      </c>
      <c r="G5540" s="77" t="str">
        <f>"SHINING GREEN STAR FZE"</f>
        <v>SHINING GREEN STAR FZE</v>
      </c>
      <c r="H5540" s="14" t="str">
        <f t="shared" si="168"/>
        <v>true</v>
      </c>
      <c r="I5540" s="14" t="s">
        <v>2458</v>
      </c>
      <c r="J5540" s="33" t="e">
        <f>VLOOKUP(C5540,شرکتها!A:B,2,FALSE)</f>
        <v>#N/A</v>
      </c>
      <c r="K5540" s="33" t="s">
        <v>13739</v>
      </c>
      <c r="L5540" s="53" t="str">
        <f>" ميانمار"</f>
        <v xml:space="preserve"> ميانمار</v>
      </c>
      <c r="M5540" s="68" t="s">
        <v>9999</v>
      </c>
      <c r="N5540" s="53" t="str">
        <f t="shared" si="170"/>
        <v>منطقه ويژه اقتصادي شهيد رجايي</v>
      </c>
      <c r="O5540" s="53">
        <v>50100</v>
      </c>
      <c r="P5540" s="198" t="str">
        <f>"1396548703001"</f>
        <v>1396548703001</v>
      </c>
    </row>
    <row r="5541" spans="1:16" ht="18.75" hidden="1">
      <c r="A5541" s="50" t="str">
        <f>"50100-10213166"</f>
        <v>50100-10213166</v>
      </c>
      <c r="B5541" s="50" t="str">
        <f>"97/02/22"</f>
        <v>97/02/22</v>
      </c>
      <c r="C5541" s="50" t="s">
        <v>13607</v>
      </c>
      <c r="D5541" s="12" t="s">
        <v>13549</v>
      </c>
      <c r="E5541" s="12" t="s">
        <v>13333</v>
      </c>
      <c r="F5541" s="49">
        <v>56464</v>
      </c>
      <c r="G5541" s="77" t="str">
        <f>"Black Gold Traders FZE"</f>
        <v>Black Gold Traders FZE</v>
      </c>
      <c r="H5541" s="14" t="str">
        <f t="shared" si="168"/>
        <v>true</v>
      </c>
      <c r="I5541" s="14" t="s">
        <v>2458</v>
      </c>
      <c r="J5541" s="33" t="s">
        <v>7110</v>
      </c>
      <c r="K5541" s="33" t="s">
        <v>13739</v>
      </c>
      <c r="L5541" s="53" t="str">
        <f>"هند"</f>
        <v>هند</v>
      </c>
      <c r="M5541" s="68" t="str">
        <f t="shared" ref="M5541:M5546" si="172">"بشكه"</f>
        <v>بشكه</v>
      </c>
      <c r="N5541" s="53" t="str">
        <f t="shared" si="170"/>
        <v>منطقه ويژه اقتصادي شهيد رجايي</v>
      </c>
      <c r="O5541" s="53">
        <v>50100</v>
      </c>
      <c r="P5541" s="198" t="str">
        <f>"1396546033001"</f>
        <v>1396546033001</v>
      </c>
    </row>
    <row r="5542" spans="1:16" ht="18.75" hidden="1">
      <c r="A5542" s="50" t="str">
        <f>"50100-10213166"</f>
        <v>50100-10213166</v>
      </c>
      <c r="B5542" s="50" t="str">
        <f>"97/02/22"</f>
        <v>97/02/22</v>
      </c>
      <c r="C5542" s="50" t="s">
        <v>13604</v>
      </c>
      <c r="D5542" s="12" t="s">
        <v>13672</v>
      </c>
      <c r="E5542" s="12" t="s">
        <v>13333</v>
      </c>
      <c r="F5542" s="49">
        <v>75556</v>
      </c>
      <c r="G5542" s="77" t="str">
        <f>"Black Gold Traders FZE"</f>
        <v>Black Gold Traders FZE</v>
      </c>
      <c r="H5542" s="14" t="str">
        <f t="shared" si="168"/>
        <v>true</v>
      </c>
      <c r="I5542" s="14" t="s">
        <v>2458</v>
      </c>
      <c r="J5542" s="33" t="s">
        <v>7110</v>
      </c>
      <c r="K5542" s="33" t="s">
        <v>13739</v>
      </c>
      <c r="L5542" s="53" t="str">
        <f>"هند"</f>
        <v>هند</v>
      </c>
      <c r="M5542" s="68" t="str">
        <f t="shared" si="172"/>
        <v>بشكه</v>
      </c>
      <c r="N5542" s="53" t="str">
        <f t="shared" si="170"/>
        <v>منطقه ويژه اقتصادي شهيد رجايي</v>
      </c>
      <c r="O5542" s="53">
        <v>50100</v>
      </c>
      <c r="P5542" s="198" t="str">
        <f>"1396519128001"</f>
        <v>1396519128001</v>
      </c>
    </row>
    <row r="5543" spans="1:16" ht="18.75" hidden="1">
      <c r="A5543" s="50" t="str">
        <f>"50100-10213166"</f>
        <v>50100-10213166</v>
      </c>
      <c r="B5543" s="50" t="str">
        <f>"97/02/22"</f>
        <v>97/02/22</v>
      </c>
      <c r="C5543" s="50" t="s">
        <v>13756</v>
      </c>
      <c r="D5543" s="12" t="s">
        <v>13623</v>
      </c>
      <c r="E5543" s="12" t="s">
        <v>13333</v>
      </c>
      <c r="F5543" s="49">
        <v>670000</v>
      </c>
      <c r="G5543" s="77" t="str">
        <f>"Black Gold Traders FZE"</f>
        <v>Black Gold Traders FZE</v>
      </c>
      <c r="H5543" s="14" t="str">
        <f t="shared" si="168"/>
        <v>true</v>
      </c>
      <c r="I5543" s="14" t="s">
        <v>2458</v>
      </c>
      <c r="J5543" s="33" t="s">
        <v>7110</v>
      </c>
      <c r="K5543" s="33" t="s">
        <v>13739</v>
      </c>
      <c r="L5543" s="53" t="str">
        <f>"هند"</f>
        <v>هند</v>
      </c>
      <c r="M5543" s="68" t="str">
        <f t="shared" si="172"/>
        <v>بشكه</v>
      </c>
      <c r="N5543" s="53" t="str">
        <f t="shared" si="170"/>
        <v>منطقه ويژه اقتصادي شهيد رجايي</v>
      </c>
      <c r="O5543" s="53">
        <v>50100</v>
      </c>
      <c r="P5543" s="198" t="str">
        <f>"1396546033001"</f>
        <v>1396546033001</v>
      </c>
    </row>
    <row r="5544" spans="1:16" ht="18.75" hidden="1">
      <c r="A5544" s="50" t="str">
        <f>"50100-10219775"</f>
        <v>50100-10219775</v>
      </c>
      <c r="B5544" s="50" t="str">
        <f>"97/02/23"</f>
        <v>97/02/23</v>
      </c>
      <c r="C5544" s="50" t="s">
        <v>13757</v>
      </c>
      <c r="D5544" s="12" t="s">
        <v>12895</v>
      </c>
      <c r="E5544" s="12" t="s">
        <v>4971</v>
      </c>
      <c r="F5544" s="49">
        <v>100000</v>
      </c>
      <c r="G5544" s="77" t="str">
        <f>"LLC Sebco Bitumen"</f>
        <v>LLC Sebco Bitumen</v>
      </c>
      <c r="H5544" s="14" t="str">
        <f t="shared" si="168"/>
        <v>true</v>
      </c>
      <c r="I5544" s="14" t="s">
        <v>2458</v>
      </c>
      <c r="J5544" s="33" t="s">
        <v>7110</v>
      </c>
      <c r="K5544" s="33" t="s">
        <v>13739</v>
      </c>
      <c r="L5544" s="53" t="str">
        <f>"ليبريا"</f>
        <v>ليبريا</v>
      </c>
      <c r="M5544" s="68" t="str">
        <f t="shared" si="172"/>
        <v>بشكه</v>
      </c>
      <c r="N5544" s="53" t="str">
        <f t="shared" si="170"/>
        <v>منطقه ويژه اقتصادي شهيد رجايي</v>
      </c>
      <c r="O5544" s="53">
        <v>50100</v>
      </c>
      <c r="P5544" s="198" t="str">
        <f>"1396546618001"</f>
        <v>1396546618001</v>
      </c>
    </row>
    <row r="5545" spans="1:16" ht="18.75" hidden="1">
      <c r="A5545" s="50" t="str">
        <f>"50100-10188239"</f>
        <v>50100-10188239</v>
      </c>
      <c r="B5545" s="50" t="str">
        <f>"97/02/16"</f>
        <v>97/02/16</v>
      </c>
      <c r="C5545" s="50" t="s">
        <v>13758</v>
      </c>
      <c r="D5545" s="12" t="s">
        <v>13759</v>
      </c>
      <c r="E5545" s="12" t="s">
        <v>13333</v>
      </c>
      <c r="F5545" s="49">
        <v>491185</v>
      </c>
      <c r="G5545" s="77" t="str">
        <f>"Black Gold Traders FZE"</f>
        <v>Black Gold Traders FZE</v>
      </c>
      <c r="H5545" s="14" t="str">
        <f t="shared" si="168"/>
        <v>true</v>
      </c>
      <c r="I5545" s="14" t="s">
        <v>2458</v>
      </c>
      <c r="J5545" s="33" t="s">
        <v>7110</v>
      </c>
      <c r="K5545" s="33" t="s">
        <v>13739</v>
      </c>
      <c r="L5545" s="53" t="str">
        <f>"هند"</f>
        <v>هند</v>
      </c>
      <c r="M5545" s="68" t="str">
        <f t="shared" si="172"/>
        <v>بشكه</v>
      </c>
      <c r="N5545" s="53" t="str">
        <f t="shared" si="170"/>
        <v>منطقه ويژه اقتصادي شهيد رجايي</v>
      </c>
      <c r="O5545" s="53">
        <v>50100</v>
      </c>
      <c r="P5545" s="198" t="str">
        <f>"1396548895001"</f>
        <v>1396548895001</v>
      </c>
    </row>
    <row r="5546" spans="1:16" ht="18.75" hidden="1">
      <c r="A5546" s="50" t="str">
        <f>"50100-10219920"</f>
        <v>50100-10219920</v>
      </c>
      <c r="B5546" s="50" t="str">
        <f>"97/02/23"</f>
        <v>97/02/23</v>
      </c>
      <c r="C5546" s="50" t="s">
        <v>13760</v>
      </c>
      <c r="D5546" s="12" t="s">
        <v>13473</v>
      </c>
      <c r="E5546" s="12" t="s">
        <v>13333</v>
      </c>
      <c r="F5546" s="49">
        <v>495063</v>
      </c>
      <c r="G5546" s="77" t="str">
        <f>"LLC Black Gem Business"</f>
        <v>LLC Black Gem Business</v>
      </c>
      <c r="H5546" s="14" t="str">
        <f t="shared" si="168"/>
        <v>true</v>
      </c>
      <c r="I5546" s="14" t="s">
        <v>2458</v>
      </c>
      <c r="J5546" s="33" t="s">
        <v>7110</v>
      </c>
      <c r="K5546" s="33" t="s">
        <v>13739</v>
      </c>
      <c r="L5546" s="53" t="str">
        <f>"هند"</f>
        <v>هند</v>
      </c>
      <c r="M5546" s="68" t="str">
        <f t="shared" si="172"/>
        <v>بشكه</v>
      </c>
      <c r="N5546" s="53" t="str">
        <f t="shared" si="170"/>
        <v>منطقه ويژه اقتصادي شهيد رجايي</v>
      </c>
      <c r="O5546" s="53">
        <v>50100</v>
      </c>
      <c r="P5546" s="198" t="str">
        <f>"1397558772001"</f>
        <v>1397558772001</v>
      </c>
    </row>
    <row r="5547" spans="1:16" ht="18.75" hidden="1">
      <c r="A5547" s="50" t="str">
        <f>"50100-10205426"</f>
        <v>50100-10205426</v>
      </c>
      <c r="B5547" s="50" t="str">
        <f>"97/02/19"</f>
        <v>97/02/19</v>
      </c>
      <c r="C5547" s="50" t="s">
        <v>13761</v>
      </c>
      <c r="D5547" s="12" t="s">
        <v>13351</v>
      </c>
      <c r="E5547" s="12" t="s">
        <v>13333</v>
      </c>
      <c r="F5547" s="49">
        <v>997480</v>
      </c>
      <c r="G5547" s="77" t="str">
        <f>"SHINING GREEN STAR FZE"</f>
        <v>SHINING GREEN STAR FZE</v>
      </c>
      <c r="H5547" s="14" t="str">
        <f t="shared" si="168"/>
        <v>true</v>
      </c>
      <c r="I5547" s="14" t="s">
        <v>2458</v>
      </c>
      <c r="J5547" s="33" t="e">
        <f>VLOOKUP(C5547,شرکتها!A:B,2,FALSE)</f>
        <v>#N/A</v>
      </c>
      <c r="K5547" s="33" t="s">
        <v>13739</v>
      </c>
      <c r="L5547" s="53" t="str">
        <f>" ميانمار"</f>
        <v xml:space="preserve"> ميانمار</v>
      </c>
      <c r="M5547" s="68" t="s">
        <v>9999</v>
      </c>
      <c r="N5547" s="53" t="str">
        <f t="shared" si="170"/>
        <v>منطقه ويژه اقتصادي شهيد رجايي</v>
      </c>
      <c r="O5547" s="53">
        <v>50100</v>
      </c>
      <c r="P5547" s="198" t="str">
        <f>"1396548703001"</f>
        <v>1396548703001</v>
      </c>
    </row>
    <row r="5548" spans="1:16" ht="18.75" hidden="1">
      <c r="A5548" s="50" t="str">
        <f>"50100-10193826"</f>
        <v>50100-10193826</v>
      </c>
      <c r="B5548" s="50" t="str">
        <f>"97/02/17"</f>
        <v>97/02/17</v>
      </c>
      <c r="C5548" s="50" t="s">
        <v>13762</v>
      </c>
      <c r="D5548" s="12" t="s">
        <v>13380</v>
      </c>
      <c r="E5548" s="12" t="s">
        <v>13333</v>
      </c>
      <c r="F5548" s="49">
        <v>499180</v>
      </c>
      <c r="G5548" s="77" t="str">
        <f>"DAXON PETROLEUM"</f>
        <v>DAXON PETROLEUM</v>
      </c>
      <c r="H5548" s="14" t="str">
        <f t="shared" si="168"/>
        <v>true</v>
      </c>
      <c r="I5548" s="14" t="s">
        <v>2458</v>
      </c>
      <c r="J5548" s="33" t="s">
        <v>7110</v>
      </c>
      <c r="K5548" s="33" t="s">
        <v>13739</v>
      </c>
      <c r="L5548" s="53" t="str">
        <f>"سريلانکا"</f>
        <v>سريلانکا</v>
      </c>
      <c r="M5548" s="68" t="str">
        <f>"بشكه"</f>
        <v>بشكه</v>
      </c>
      <c r="N5548" s="53" t="str">
        <f t="shared" si="170"/>
        <v>منطقه ويژه اقتصادي شهيد رجايي</v>
      </c>
      <c r="O5548" s="53">
        <v>50100</v>
      </c>
      <c r="P5548" s="198" t="str">
        <f>"1396548700001"</f>
        <v>1396548700001</v>
      </c>
    </row>
    <row r="5549" spans="1:16" ht="18.75" hidden="1">
      <c r="A5549" s="50" t="str">
        <f>"50100-10205426"</f>
        <v>50100-10205426</v>
      </c>
      <c r="B5549" s="50" t="str">
        <f>"97/02/19"</f>
        <v>97/02/19</v>
      </c>
      <c r="C5549" s="50" t="s">
        <v>13747</v>
      </c>
      <c r="D5549" s="12" t="s">
        <v>13351</v>
      </c>
      <c r="E5549" s="12" t="s">
        <v>13333</v>
      </c>
      <c r="F5549" s="49">
        <v>458864</v>
      </c>
      <c r="G5549" s="77" t="str">
        <f>"SHINING GREEN STAR FZE"</f>
        <v>SHINING GREEN STAR FZE</v>
      </c>
      <c r="H5549" s="14" t="str">
        <f t="shared" si="168"/>
        <v>true</v>
      </c>
      <c r="I5549" s="14" t="s">
        <v>2458</v>
      </c>
      <c r="J5549" s="33" t="e">
        <f>VLOOKUP(C5549,شرکتها!A:B,2,FALSE)</f>
        <v>#N/A</v>
      </c>
      <c r="K5549" s="33" t="s">
        <v>13739</v>
      </c>
      <c r="L5549" s="53" t="str">
        <f>" ميانمار"</f>
        <v xml:space="preserve"> ميانمار</v>
      </c>
      <c r="M5549" s="68" t="s">
        <v>9999</v>
      </c>
      <c r="N5549" s="53" t="str">
        <f t="shared" si="170"/>
        <v>منطقه ويژه اقتصادي شهيد رجايي</v>
      </c>
      <c r="O5549" s="53">
        <v>50100</v>
      </c>
      <c r="P5549" s="198" t="str">
        <f>"1396548703001"</f>
        <v>1396548703001</v>
      </c>
    </row>
    <row r="5550" spans="1:16" ht="18.75" hidden="1">
      <c r="A5550" s="50" t="str">
        <f>"50100-10201955"</f>
        <v>50100-10201955</v>
      </c>
      <c r="B5550" s="50" t="str">
        <f>"97/02/19"</f>
        <v>97/02/19</v>
      </c>
      <c r="C5550" s="50" t="s">
        <v>13763</v>
      </c>
      <c r="D5550" s="12" t="s">
        <v>12525</v>
      </c>
      <c r="E5550" s="12" t="s">
        <v>4971</v>
      </c>
      <c r="F5550" s="49">
        <v>96452</v>
      </c>
      <c r="G5550" s="77" t="str">
        <f>"LLC Sebco Bitumen"</f>
        <v>LLC Sebco Bitumen</v>
      </c>
      <c r="H5550" s="14" t="str">
        <f t="shared" si="168"/>
        <v>true</v>
      </c>
      <c r="I5550" s="14" t="s">
        <v>2458</v>
      </c>
      <c r="J5550" s="33" t="s">
        <v>7110</v>
      </c>
      <c r="K5550" s="33" t="s">
        <v>13739</v>
      </c>
      <c r="L5550" s="53" t="str">
        <f>"کامرون"</f>
        <v>کامرون</v>
      </c>
      <c r="M5550" s="68" t="str">
        <f>"بشكه"</f>
        <v>بشكه</v>
      </c>
      <c r="N5550" s="53" t="str">
        <f t="shared" si="170"/>
        <v>منطقه ويژه اقتصادي شهيد رجايي</v>
      </c>
      <c r="O5550" s="53">
        <v>50100</v>
      </c>
      <c r="P5550" s="198" t="str">
        <f>"1396534910001"</f>
        <v>1396534910001</v>
      </c>
    </row>
    <row r="5551" spans="1:16" ht="18.75" hidden="1">
      <c r="A5551" s="50" t="str">
        <f>"50100-10197432"</f>
        <v>50100-10197432</v>
      </c>
      <c r="B5551" s="50" t="str">
        <f>"97/02/18"</f>
        <v>97/02/18</v>
      </c>
      <c r="C5551" s="50" t="s">
        <v>13742</v>
      </c>
      <c r="D5551" s="12" t="s">
        <v>12717</v>
      </c>
      <c r="E5551" s="12" t="s">
        <v>4971</v>
      </c>
      <c r="F5551" s="49">
        <v>795520</v>
      </c>
      <c r="G5551" s="77" t="str">
        <f>"GLOBUS INTERNATIONAL FZE"</f>
        <v>GLOBUS INTERNATIONAL FZE</v>
      </c>
      <c r="H5551" s="14" t="str">
        <f t="shared" si="168"/>
        <v>true</v>
      </c>
      <c r="I5551" s="14" t="s">
        <v>2458</v>
      </c>
      <c r="J5551" s="33" t="s">
        <v>7110</v>
      </c>
      <c r="K5551" s="33" t="s">
        <v>13739</v>
      </c>
      <c r="L5551" s="53" t="str">
        <f>" امارات متحده عربي"</f>
        <v xml:space="preserve"> امارات متحده عربي</v>
      </c>
      <c r="M5551" s="68" t="str">
        <f>"بشكه"</f>
        <v>بشكه</v>
      </c>
      <c r="N5551" s="53" t="str">
        <f t="shared" si="170"/>
        <v>منطقه ويژه اقتصادي شهيد رجايي</v>
      </c>
      <c r="O5551" s="53">
        <v>50100</v>
      </c>
      <c r="P5551" s="198" t="str">
        <f>"1396539406001"</f>
        <v>1396539406001</v>
      </c>
    </row>
    <row r="5552" spans="1:16" ht="18.75" hidden="1">
      <c r="A5552" s="50" t="str">
        <f>"50100-10201955"</f>
        <v>50100-10201955</v>
      </c>
      <c r="B5552" s="50" t="str">
        <f>"97/02/19"</f>
        <v>97/02/19</v>
      </c>
      <c r="C5552" s="50" t="s">
        <v>13764</v>
      </c>
      <c r="D5552" s="12" t="s">
        <v>13356</v>
      </c>
      <c r="E5552" s="12" t="s">
        <v>13333</v>
      </c>
      <c r="F5552" s="49">
        <v>641334</v>
      </c>
      <c r="G5552" s="77" t="str">
        <f>"LLC Sebco Bitumen"</f>
        <v>LLC Sebco Bitumen</v>
      </c>
      <c r="H5552" s="14" t="str">
        <f t="shared" si="168"/>
        <v>true</v>
      </c>
      <c r="I5552" s="14" t="s">
        <v>2458</v>
      </c>
      <c r="J5552" s="33" t="s">
        <v>7110</v>
      </c>
      <c r="K5552" s="33" t="s">
        <v>13739</v>
      </c>
      <c r="L5552" s="53" t="str">
        <f>"کامرون"</f>
        <v>کامرون</v>
      </c>
      <c r="M5552" s="68" t="str">
        <f>"بشكه"</f>
        <v>بشكه</v>
      </c>
      <c r="N5552" s="53" t="str">
        <f t="shared" si="170"/>
        <v>منطقه ويژه اقتصادي شهيد رجايي</v>
      </c>
      <c r="O5552" s="53">
        <v>50100</v>
      </c>
      <c r="P5552" s="198" t="str">
        <f>"1396548704001"</f>
        <v>1396548704001</v>
      </c>
    </row>
    <row r="5553" spans="1:16" ht="18.75" hidden="1">
      <c r="A5553" s="50" t="str">
        <f>"50100-10201955"</f>
        <v>50100-10201955</v>
      </c>
      <c r="B5553" s="50" t="str">
        <f>"97/02/19"</f>
        <v>97/02/19</v>
      </c>
      <c r="C5553" s="50" t="s">
        <v>13765</v>
      </c>
      <c r="D5553" s="12" t="s">
        <v>12525</v>
      </c>
      <c r="E5553" s="12" t="s">
        <v>4971</v>
      </c>
      <c r="F5553" s="49">
        <v>100000</v>
      </c>
      <c r="G5553" s="77" t="str">
        <f>"LLC Sebco Bitumen"</f>
        <v>LLC Sebco Bitumen</v>
      </c>
      <c r="H5553" s="14" t="str">
        <f t="shared" si="168"/>
        <v>true</v>
      </c>
      <c r="I5553" s="14" t="s">
        <v>2458</v>
      </c>
      <c r="J5553" s="33" t="s">
        <v>7110</v>
      </c>
      <c r="K5553" s="33" t="s">
        <v>13739</v>
      </c>
      <c r="L5553" s="53" t="str">
        <f>"کامرون"</f>
        <v>کامرون</v>
      </c>
      <c r="M5553" s="68" t="str">
        <f>"بشكه"</f>
        <v>بشكه</v>
      </c>
      <c r="N5553" s="53" t="str">
        <f t="shared" si="170"/>
        <v>منطقه ويژه اقتصادي شهيد رجايي</v>
      </c>
      <c r="O5553" s="53">
        <v>50100</v>
      </c>
      <c r="P5553" s="198" t="str">
        <f>"1396534910001"</f>
        <v>1396534910001</v>
      </c>
    </row>
    <row r="5554" spans="1:16" ht="18.75" hidden="1">
      <c r="A5554" s="50" t="str">
        <f>"50100-10205426"</f>
        <v>50100-10205426</v>
      </c>
      <c r="B5554" s="50" t="str">
        <f>"97/02/19"</f>
        <v>97/02/19</v>
      </c>
      <c r="C5554" s="50" t="s">
        <v>13766</v>
      </c>
      <c r="D5554" s="12" t="s">
        <v>13639</v>
      </c>
      <c r="E5554" s="12" t="s">
        <v>13333</v>
      </c>
      <c r="F5554" s="49">
        <v>85956</v>
      </c>
      <c r="G5554" s="77" t="str">
        <f>"SHINING GREEN STAR FZE"</f>
        <v>SHINING GREEN STAR FZE</v>
      </c>
      <c r="H5554" s="14" t="str">
        <f t="shared" si="168"/>
        <v>true</v>
      </c>
      <c r="I5554" s="14" t="s">
        <v>2458</v>
      </c>
      <c r="J5554" s="33" t="e">
        <f>VLOOKUP(C5554,شرکتها!A:B,2,FALSE)</f>
        <v>#N/A</v>
      </c>
      <c r="K5554" s="33" t="s">
        <v>13739</v>
      </c>
      <c r="L5554" s="53" t="str">
        <f>" ميانمار"</f>
        <v xml:space="preserve"> ميانمار</v>
      </c>
      <c r="M5554" s="68" t="s">
        <v>9999</v>
      </c>
      <c r="N5554" s="53" t="str">
        <f t="shared" si="170"/>
        <v>منطقه ويژه اقتصادي شهيد رجايي</v>
      </c>
      <c r="O5554" s="53">
        <v>50100</v>
      </c>
      <c r="P5554" s="198" t="str">
        <f>"1396548703001"</f>
        <v>1396548703001</v>
      </c>
    </row>
    <row r="5555" spans="1:16" ht="18.75" hidden="1">
      <c r="A5555" s="50" t="str">
        <f>"50100-10197469"</f>
        <v>50100-10197469</v>
      </c>
      <c r="B5555" s="50" t="str">
        <f>"97/02/18"</f>
        <v>97/02/18</v>
      </c>
      <c r="C5555" s="50" t="s">
        <v>13767</v>
      </c>
      <c r="D5555" s="12" t="s">
        <v>13184</v>
      </c>
      <c r="E5555" s="12" t="s">
        <v>13333</v>
      </c>
      <c r="F5555" s="49">
        <v>173486</v>
      </c>
      <c r="G5555" s="77" t="str">
        <f>"AL MASAR PETROLUME L.L.C"</f>
        <v>AL MASAR PETROLUME L.L.C</v>
      </c>
      <c r="H5555" s="14" t="str">
        <f t="shared" si="168"/>
        <v>true</v>
      </c>
      <c r="I5555" s="14" t="s">
        <v>2458</v>
      </c>
      <c r="J5555" s="33" t="e">
        <f>VLOOKUP(C5555,شرکتها!A:B,2,FALSE)</f>
        <v>#N/A</v>
      </c>
      <c r="K5555" s="33" t="s">
        <v>13739</v>
      </c>
      <c r="L5555" s="53" t="str">
        <f>"بنگلادش"</f>
        <v>بنگلادش</v>
      </c>
      <c r="M5555" s="68" t="str">
        <f t="shared" ref="M5555:M5561" si="173">"بشكه"</f>
        <v>بشكه</v>
      </c>
      <c r="N5555" s="53" t="str">
        <f t="shared" si="170"/>
        <v>منطقه ويژه اقتصادي شهيد رجايي</v>
      </c>
      <c r="O5555" s="53">
        <v>50100</v>
      </c>
      <c r="P5555" s="198" t="str">
        <f>"1396536910001"</f>
        <v>1396536910001</v>
      </c>
    </row>
    <row r="5556" spans="1:16" ht="18.75" hidden="1">
      <c r="A5556" s="50" t="str">
        <f>"50100-10197469"</f>
        <v>50100-10197469</v>
      </c>
      <c r="B5556" s="50" t="str">
        <f>"97/02/18"</f>
        <v>97/02/18</v>
      </c>
      <c r="C5556" s="50" t="s">
        <v>13606</v>
      </c>
      <c r="D5556" s="12" t="s">
        <v>13184</v>
      </c>
      <c r="E5556" s="12" t="s">
        <v>13333</v>
      </c>
      <c r="F5556" s="49">
        <v>11036</v>
      </c>
      <c r="G5556" s="77" t="str">
        <f>"AL MASAR PETROLUME L.L.C"</f>
        <v>AL MASAR PETROLUME L.L.C</v>
      </c>
      <c r="H5556" s="14" t="str">
        <f t="shared" si="168"/>
        <v>true</v>
      </c>
      <c r="I5556" s="14" t="s">
        <v>2458</v>
      </c>
      <c r="J5556" s="33" t="e">
        <f>VLOOKUP(C5556,شرکتها!A:B,2,FALSE)</f>
        <v>#N/A</v>
      </c>
      <c r="K5556" s="33" t="s">
        <v>13739</v>
      </c>
      <c r="L5556" s="53" t="str">
        <f>"بنگلادش"</f>
        <v>بنگلادش</v>
      </c>
      <c r="M5556" s="68" t="str">
        <f t="shared" si="173"/>
        <v>بشكه</v>
      </c>
      <c r="N5556" s="53" t="str">
        <f t="shared" si="170"/>
        <v>منطقه ويژه اقتصادي شهيد رجايي</v>
      </c>
      <c r="O5556" s="53">
        <v>50100</v>
      </c>
      <c r="P5556" s="198" t="str">
        <f>"1396536910001"</f>
        <v>1396536910001</v>
      </c>
    </row>
    <row r="5557" spans="1:16" ht="18.75" hidden="1">
      <c r="A5557" s="50" t="str">
        <f>"50100-10197469"</f>
        <v>50100-10197469</v>
      </c>
      <c r="B5557" s="50" t="str">
        <f>"97/02/18"</f>
        <v>97/02/18</v>
      </c>
      <c r="C5557" s="50" t="s">
        <v>13550</v>
      </c>
      <c r="D5557" s="12" t="s">
        <v>13184</v>
      </c>
      <c r="E5557" s="12" t="s">
        <v>13333</v>
      </c>
      <c r="F5557" s="49">
        <v>310522</v>
      </c>
      <c r="G5557" s="77" t="str">
        <f>"AL MASAR PETROLUME L.L.C"</f>
        <v>AL MASAR PETROLUME L.L.C</v>
      </c>
      <c r="H5557" s="14" t="str">
        <f t="shared" ref="H5557:H5620" si="174">IF(I5557="نامشخص",IF(E5557&gt;C5557,"false","true"),IF(E5557&gt;I5557,"false","true"))</f>
        <v>true</v>
      </c>
      <c r="I5557" s="14" t="s">
        <v>2458</v>
      </c>
      <c r="J5557" s="33" t="e">
        <f>VLOOKUP(C5557,شرکتها!A:B,2,FALSE)</f>
        <v>#N/A</v>
      </c>
      <c r="K5557" s="33" t="s">
        <v>13739</v>
      </c>
      <c r="L5557" s="53" t="str">
        <f>"بنگلادش"</f>
        <v>بنگلادش</v>
      </c>
      <c r="M5557" s="68" t="str">
        <f t="shared" si="173"/>
        <v>بشكه</v>
      </c>
      <c r="N5557" s="53" t="str">
        <f t="shared" si="170"/>
        <v>منطقه ويژه اقتصادي شهيد رجايي</v>
      </c>
      <c r="O5557" s="53">
        <v>50100</v>
      </c>
      <c r="P5557" s="198" t="str">
        <f>"1396536910001"</f>
        <v>1396536910001</v>
      </c>
    </row>
    <row r="5558" spans="1:16" ht="18.75" hidden="1">
      <c r="A5558" s="50" t="str">
        <f>"50100-10216702"</f>
        <v>50100-10216702</v>
      </c>
      <c r="B5558" s="50" t="str">
        <f>"97/02/23"</f>
        <v>97/02/23</v>
      </c>
      <c r="C5558" s="50" t="s">
        <v>13749</v>
      </c>
      <c r="D5558" s="12" t="s">
        <v>13343</v>
      </c>
      <c r="E5558" s="12" t="s">
        <v>13333</v>
      </c>
      <c r="F5558" s="49">
        <v>292536</v>
      </c>
      <c r="G5558" s="77" t="str">
        <f>"DAXON PETROLEUM"</f>
        <v>DAXON PETROLEUM</v>
      </c>
      <c r="H5558" s="14" t="str">
        <f t="shared" si="174"/>
        <v>true</v>
      </c>
      <c r="I5558" s="14" t="s">
        <v>2458</v>
      </c>
      <c r="J5558" s="33" t="s">
        <v>7110</v>
      </c>
      <c r="K5558" s="33" t="s">
        <v>13739</v>
      </c>
      <c r="L5558" s="53" t="str">
        <f>"سريلانکا"</f>
        <v>سريلانکا</v>
      </c>
      <c r="M5558" s="68" t="str">
        <f t="shared" si="173"/>
        <v>بشكه</v>
      </c>
      <c r="N5558" s="53" t="str">
        <f t="shared" si="170"/>
        <v>منطقه ويژه اقتصادي شهيد رجايي</v>
      </c>
      <c r="O5558" s="53">
        <v>50100</v>
      </c>
      <c r="P5558" s="198" t="str">
        <f>"1396548708001"</f>
        <v>1396548708001</v>
      </c>
    </row>
    <row r="5559" spans="1:16" ht="18.75" hidden="1">
      <c r="A5559" s="50" t="str">
        <f>"50100-10216702"</f>
        <v>50100-10216702</v>
      </c>
      <c r="B5559" s="50" t="str">
        <f>"97/02/23"</f>
        <v>97/02/23</v>
      </c>
      <c r="C5559" s="50" t="s">
        <v>13768</v>
      </c>
      <c r="D5559" s="12" t="s">
        <v>13356</v>
      </c>
      <c r="E5559" s="12" t="s">
        <v>13333</v>
      </c>
      <c r="F5559" s="49">
        <v>400424</v>
      </c>
      <c r="G5559" s="77" t="str">
        <f>"DAXON PETROLEUM"</f>
        <v>DAXON PETROLEUM</v>
      </c>
      <c r="H5559" s="14" t="str">
        <f t="shared" si="174"/>
        <v>true</v>
      </c>
      <c r="I5559" s="14" t="s">
        <v>2458</v>
      </c>
      <c r="J5559" s="33" t="s">
        <v>7110</v>
      </c>
      <c r="K5559" s="33" t="s">
        <v>13739</v>
      </c>
      <c r="L5559" s="53" t="str">
        <f>"سريلانکا"</f>
        <v>سريلانکا</v>
      </c>
      <c r="M5559" s="68" t="str">
        <f t="shared" si="173"/>
        <v>بشكه</v>
      </c>
      <c r="N5559" s="53" t="str">
        <f t="shared" si="170"/>
        <v>منطقه ويژه اقتصادي شهيد رجايي</v>
      </c>
      <c r="O5559" s="53">
        <v>50100</v>
      </c>
      <c r="P5559" s="198" t="str">
        <f>"1396548708001"</f>
        <v>1396548708001</v>
      </c>
    </row>
    <row r="5560" spans="1:16" ht="18.75" hidden="1">
      <c r="A5560" s="50" t="str">
        <f>"50100-10207384"</f>
        <v>50100-10207384</v>
      </c>
      <c r="B5560" s="50" t="str">
        <f>"97/02/20"</f>
        <v>97/02/20</v>
      </c>
      <c r="C5560" s="50" t="s">
        <v>13769</v>
      </c>
      <c r="D5560" s="12" t="s">
        <v>13770</v>
      </c>
      <c r="E5560" s="12" t="s">
        <v>13333</v>
      </c>
      <c r="F5560" s="49">
        <v>980100</v>
      </c>
      <c r="G5560" s="77" t="s">
        <v>6298</v>
      </c>
      <c r="H5560" s="14" t="str">
        <f t="shared" si="174"/>
        <v>true</v>
      </c>
      <c r="I5560" s="14" t="s">
        <v>2458</v>
      </c>
      <c r="J5560" s="33" t="s">
        <v>7110</v>
      </c>
      <c r="K5560" s="33" t="s">
        <v>13739</v>
      </c>
      <c r="L5560" s="53" t="str">
        <f>"چين"</f>
        <v>چين</v>
      </c>
      <c r="M5560" s="68" t="str">
        <f t="shared" si="173"/>
        <v>بشكه</v>
      </c>
      <c r="N5560" s="53" t="str">
        <f t="shared" si="170"/>
        <v>منطقه ويژه اقتصادي شهيد رجايي</v>
      </c>
      <c r="O5560" s="53">
        <v>50100</v>
      </c>
      <c r="P5560" s="198">
        <v>1396548704001</v>
      </c>
    </row>
    <row r="5561" spans="1:16" ht="18.75" hidden="1">
      <c r="A5561" s="50" t="str">
        <f>"50100-10200413"</f>
        <v>50100-10200413</v>
      </c>
      <c r="B5561" s="50" t="str">
        <f>"97/02/18"</f>
        <v>97/02/18</v>
      </c>
      <c r="C5561" s="50" t="s">
        <v>13771</v>
      </c>
      <c r="D5561" s="12" t="s">
        <v>12530</v>
      </c>
      <c r="E5561" s="12" t="s">
        <v>4971</v>
      </c>
      <c r="F5561" s="49">
        <v>240000</v>
      </c>
      <c r="G5561" s="77" t="str">
        <f>"LLC Sebco Bitumen"</f>
        <v>LLC Sebco Bitumen</v>
      </c>
      <c r="H5561" s="14" t="str">
        <f t="shared" si="174"/>
        <v>true</v>
      </c>
      <c r="I5561" s="14" t="s">
        <v>2458</v>
      </c>
      <c r="J5561" s="33" t="s">
        <v>7110</v>
      </c>
      <c r="K5561" s="33" t="s">
        <v>13739</v>
      </c>
      <c r="L5561" s="53" t="str">
        <f>"سنگال"</f>
        <v>سنگال</v>
      </c>
      <c r="M5561" s="68" t="str">
        <f t="shared" si="173"/>
        <v>بشكه</v>
      </c>
      <c r="N5561" s="53" t="str">
        <f t="shared" si="170"/>
        <v>منطقه ويژه اقتصادي شهيد رجايي</v>
      </c>
      <c r="O5561" s="53">
        <v>50100</v>
      </c>
      <c r="P5561" s="198" t="str">
        <f>"1396534910001"</f>
        <v>1396534910001</v>
      </c>
    </row>
    <row r="5562" spans="1:16" ht="18.75" hidden="1">
      <c r="A5562" s="50" t="str">
        <f>"50100-10196009"</f>
        <v>50100-10196009</v>
      </c>
      <c r="B5562" s="50" t="str">
        <f>"97/02/17"</f>
        <v>97/02/17</v>
      </c>
      <c r="C5562" s="50" t="s">
        <v>13344</v>
      </c>
      <c r="D5562" s="12" t="s">
        <v>13200</v>
      </c>
      <c r="E5562" s="12" t="s">
        <v>4971</v>
      </c>
      <c r="F5562" s="49">
        <v>181069</v>
      </c>
      <c r="G5562" s="77" t="str">
        <f>"BITUBIZ FZE"</f>
        <v>BITUBIZ FZE</v>
      </c>
      <c r="H5562" s="14" t="str">
        <f t="shared" si="174"/>
        <v>true</v>
      </c>
      <c r="I5562" s="14" t="s">
        <v>2458</v>
      </c>
      <c r="J5562" s="33" t="s">
        <v>7110</v>
      </c>
      <c r="K5562" s="33" t="s">
        <v>13739</v>
      </c>
      <c r="L5562" s="53" t="str">
        <f>"پاکستان"</f>
        <v>پاکستان</v>
      </c>
      <c r="M5562" s="68" t="s">
        <v>9999</v>
      </c>
      <c r="N5562" s="53" t="str">
        <f t="shared" si="170"/>
        <v>منطقه ويژه اقتصادي شهيد رجايي</v>
      </c>
      <c r="O5562" s="53">
        <v>50100</v>
      </c>
      <c r="P5562" s="198" t="str">
        <f>"1396542481001"</f>
        <v>1396542481001</v>
      </c>
    </row>
    <row r="5563" spans="1:16" ht="18.75" hidden="1">
      <c r="A5563" s="50" t="str">
        <f>"50100-10223019"</f>
        <v>50100-10223019</v>
      </c>
      <c r="B5563" s="50" t="str">
        <f>"97/02/24"</f>
        <v>97/02/24</v>
      </c>
      <c r="C5563" s="50" t="s">
        <v>13772</v>
      </c>
      <c r="D5563" s="12" t="s">
        <v>13331</v>
      </c>
      <c r="E5563" s="12" t="s">
        <v>13333</v>
      </c>
      <c r="F5563" s="49">
        <v>165000</v>
      </c>
      <c r="G5563" s="77" t="str">
        <f>"DAXON PETROLEUM"</f>
        <v>DAXON PETROLEUM</v>
      </c>
      <c r="H5563" s="14" t="str">
        <f t="shared" si="174"/>
        <v>true</v>
      </c>
      <c r="I5563" s="14" t="s">
        <v>2458</v>
      </c>
      <c r="J5563" s="33" t="s">
        <v>7110</v>
      </c>
      <c r="K5563" s="33" t="s">
        <v>13739</v>
      </c>
      <c r="L5563" s="53" t="str">
        <f>"اندونزي"</f>
        <v>اندونزي</v>
      </c>
      <c r="M5563" s="68" t="str">
        <f>"بشكه"</f>
        <v>بشكه</v>
      </c>
      <c r="N5563" s="53" t="str">
        <f t="shared" si="170"/>
        <v>منطقه ويژه اقتصادي شهيد رجايي</v>
      </c>
      <c r="O5563" s="53">
        <v>50100</v>
      </c>
      <c r="P5563" s="198" t="str">
        <f>"1396548700001"</f>
        <v>1396548700001</v>
      </c>
    </row>
    <row r="5564" spans="1:16" ht="18.75" hidden="1">
      <c r="A5564" s="50" t="str">
        <f>"50100-10200046"</f>
        <v>50100-10200046</v>
      </c>
      <c r="B5564" s="50" t="str">
        <f>"97/02/18"</f>
        <v>97/02/18</v>
      </c>
      <c r="C5564" s="50" t="s">
        <v>13773</v>
      </c>
      <c r="D5564" s="12" t="s">
        <v>13402</v>
      </c>
      <c r="E5564" s="12" t="s">
        <v>13333</v>
      </c>
      <c r="F5564" s="49">
        <v>484440</v>
      </c>
      <c r="G5564" s="77" t="str">
        <f>"BITUBIZ FZE"</f>
        <v>BITUBIZ FZE</v>
      </c>
      <c r="H5564" s="14" t="str">
        <f t="shared" si="174"/>
        <v>true</v>
      </c>
      <c r="I5564" s="14" t="s">
        <v>2458</v>
      </c>
      <c r="J5564" s="33" t="s">
        <v>7110</v>
      </c>
      <c r="K5564" s="33" t="s">
        <v>13739</v>
      </c>
      <c r="L5564" s="53" t="str">
        <f>"سريلانکا"</f>
        <v>سريلانکا</v>
      </c>
      <c r="M5564" s="68" t="str">
        <f>"بشكه"</f>
        <v>بشكه</v>
      </c>
      <c r="N5564" s="53" t="str">
        <f t="shared" si="170"/>
        <v>منطقه ويژه اقتصادي شهيد رجايي</v>
      </c>
      <c r="O5564" s="53">
        <v>50100</v>
      </c>
      <c r="P5564" s="198" t="str">
        <f>"1397558719001"</f>
        <v>1397558719001</v>
      </c>
    </row>
    <row r="5565" spans="1:16" ht="18.75" hidden="1">
      <c r="A5565" s="50" t="str">
        <f>"50100-10219775"</f>
        <v>50100-10219775</v>
      </c>
      <c r="B5565" s="50" t="str">
        <f>"97/02/23"</f>
        <v>97/02/23</v>
      </c>
      <c r="C5565" s="50" t="s">
        <v>13742</v>
      </c>
      <c r="D5565" s="12" t="s">
        <v>12717</v>
      </c>
      <c r="E5565" s="12" t="s">
        <v>4971</v>
      </c>
      <c r="F5565" s="49">
        <v>310065</v>
      </c>
      <c r="G5565" s="77" t="str">
        <f>"GLOBUS INTERNATIONAL FZE"</f>
        <v>GLOBUS INTERNATIONAL FZE</v>
      </c>
      <c r="H5565" s="14" t="str">
        <f t="shared" si="174"/>
        <v>true</v>
      </c>
      <c r="I5565" s="14" t="s">
        <v>2458</v>
      </c>
      <c r="J5565" s="33" t="s">
        <v>7110</v>
      </c>
      <c r="K5565" s="33" t="s">
        <v>13739</v>
      </c>
      <c r="L5565" s="53" t="str">
        <f>"ليبريا"</f>
        <v>ليبريا</v>
      </c>
      <c r="M5565" s="68" t="str">
        <f>"بشكه"</f>
        <v>بشكه</v>
      </c>
      <c r="N5565" s="53" t="str">
        <f t="shared" si="170"/>
        <v>منطقه ويژه اقتصادي شهيد رجايي</v>
      </c>
      <c r="O5565" s="53">
        <v>50100</v>
      </c>
      <c r="P5565" s="198" t="str">
        <f>"1396539406001"</f>
        <v>1396539406001</v>
      </c>
    </row>
    <row r="5566" spans="1:16" ht="18.75" hidden="1">
      <c r="A5566" s="50" t="str">
        <f>"50100-10193524"</f>
        <v>50100-10193524</v>
      </c>
      <c r="B5566" s="50" t="str">
        <f>"97/02/17"</f>
        <v>97/02/17</v>
      </c>
      <c r="C5566" s="50" t="s">
        <v>13774</v>
      </c>
      <c r="D5566" s="12" t="s">
        <v>12701</v>
      </c>
      <c r="E5566" s="12" t="s">
        <v>4971</v>
      </c>
      <c r="F5566" s="49">
        <v>497655</v>
      </c>
      <c r="G5566" s="77" t="str">
        <f>"SHINING GREEN STAR FZE"</f>
        <v>SHINING GREEN STAR FZE</v>
      </c>
      <c r="H5566" s="14" t="str">
        <f t="shared" si="174"/>
        <v>true</v>
      </c>
      <c r="I5566" s="14" t="s">
        <v>2458</v>
      </c>
      <c r="J5566" s="33" t="s">
        <v>7110</v>
      </c>
      <c r="K5566" s="33" t="s">
        <v>13739</v>
      </c>
      <c r="L5566" s="53" t="str">
        <f>" ميانمار"</f>
        <v xml:space="preserve"> ميانمار</v>
      </c>
      <c r="M5566" s="68" t="str">
        <f>"بشكه"</f>
        <v>بشكه</v>
      </c>
      <c r="N5566" s="53" t="str">
        <f t="shared" si="170"/>
        <v>منطقه ويژه اقتصادي شهيد رجايي</v>
      </c>
      <c r="O5566" s="53">
        <v>50100</v>
      </c>
      <c r="P5566" s="198" t="str">
        <f>"1396540543001"</f>
        <v>1396540543001</v>
      </c>
    </row>
    <row r="5567" spans="1:16" ht="18.75" hidden="1">
      <c r="A5567" s="50" t="str">
        <f>"50100-10190467"</f>
        <v>50100-10190467</v>
      </c>
      <c r="B5567" s="50" t="str">
        <f>"97/02/16"</f>
        <v>97/02/16</v>
      </c>
      <c r="C5567" s="50" t="s">
        <v>13775</v>
      </c>
      <c r="D5567" s="12" t="s">
        <v>13776</v>
      </c>
      <c r="E5567" s="12" t="s">
        <v>13333</v>
      </c>
      <c r="F5567" s="49">
        <v>3097126</v>
      </c>
      <c r="G5567" s="77" t="str">
        <f>"AL MASAR PETROLUME L.L.C"</f>
        <v>AL MASAR PETROLUME L.L.C</v>
      </c>
      <c r="H5567" s="14" t="str">
        <f t="shared" si="174"/>
        <v>true</v>
      </c>
      <c r="I5567" s="14" t="s">
        <v>2458</v>
      </c>
      <c r="J5567" s="33" t="e">
        <f>VLOOKUP(C5567,شرکتها!A:B,2,FALSE)</f>
        <v>#N/A</v>
      </c>
      <c r="K5567" s="33" t="s">
        <v>13739</v>
      </c>
      <c r="L5567" s="53" t="str">
        <f>"قطر"</f>
        <v>قطر</v>
      </c>
      <c r="M5567" s="68" t="str">
        <f>"فله"</f>
        <v>فله</v>
      </c>
      <c r="N5567" s="53" t="str">
        <f t="shared" si="170"/>
        <v>منطقه ويژه اقتصادي شهيد رجايي</v>
      </c>
      <c r="O5567" s="53">
        <v>50100</v>
      </c>
      <c r="P5567" s="198" t="str">
        <f>"1397560052001"</f>
        <v>1397560052001</v>
      </c>
    </row>
    <row r="5568" spans="1:16" ht="18.75" hidden="1">
      <c r="A5568" s="50" t="str">
        <f>"50100-10201955"</f>
        <v>50100-10201955</v>
      </c>
      <c r="B5568" s="50" t="str">
        <f>"97/02/19"</f>
        <v>97/02/19</v>
      </c>
      <c r="C5568" s="50" t="s">
        <v>13601</v>
      </c>
      <c r="D5568" s="12" t="s">
        <v>12880</v>
      </c>
      <c r="E5568" s="12" t="s">
        <v>4971</v>
      </c>
      <c r="F5568" s="49">
        <v>145317</v>
      </c>
      <c r="G5568" s="77" t="str">
        <f>"LLC Sebco Bitumen"</f>
        <v>LLC Sebco Bitumen</v>
      </c>
      <c r="H5568" s="14" t="str">
        <f t="shared" si="174"/>
        <v>true</v>
      </c>
      <c r="I5568" s="14" t="s">
        <v>2458</v>
      </c>
      <c r="J5568" s="33" t="s">
        <v>7110</v>
      </c>
      <c r="K5568" s="33" t="s">
        <v>13739</v>
      </c>
      <c r="L5568" s="53" t="str">
        <f>"کامرون"</f>
        <v>کامرون</v>
      </c>
      <c r="M5568" s="68" t="str">
        <f>"بشكه"</f>
        <v>بشكه</v>
      </c>
      <c r="N5568" s="53" t="str">
        <f t="shared" si="170"/>
        <v>منطقه ويژه اقتصادي شهيد رجايي</v>
      </c>
      <c r="O5568" s="53">
        <v>50100</v>
      </c>
      <c r="P5568" s="198" t="str">
        <f>"1396548704001"</f>
        <v>1396548704001</v>
      </c>
    </row>
    <row r="5569" spans="1:16" ht="18.75" hidden="1">
      <c r="A5569" s="50" t="str">
        <f>"50100-10201955"</f>
        <v>50100-10201955</v>
      </c>
      <c r="B5569" s="50" t="str">
        <f>"97/02/19"</f>
        <v>97/02/19</v>
      </c>
      <c r="C5569" s="50" t="s">
        <v>13777</v>
      </c>
      <c r="D5569" s="12" t="s">
        <v>12525</v>
      </c>
      <c r="E5569" s="12" t="s">
        <v>4971</v>
      </c>
      <c r="F5569" s="49">
        <v>199884</v>
      </c>
      <c r="G5569" s="77" t="str">
        <f>"LLC Sebco Bitumen"</f>
        <v>LLC Sebco Bitumen</v>
      </c>
      <c r="H5569" s="14" t="str">
        <f t="shared" si="174"/>
        <v>true</v>
      </c>
      <c r="I5569" s="14" t="s">
        <v>2458</v>
      </c>
      <c r="J5569" s="33" t="s">
        <v>7110</v>
      </c>
      <c r="K5569" s="33" t="s">
        <v>13739</v>
      </c>
      <c r="L5569" s="53" t="str">
        <f>"کامرون"</f>
        <v>کامرون</v>
      </c>
      <c r="M5569" s="68" t="str">
        <f>"بشكه"</f>
        <v>بشكه</v>
      </c>
      <c r="N5569" s="53" t="str">
        <f t="shared" si="170"/>
        <v>منطقه ويژه اقتصادي شهيد رجايي</v>
      </c>
      <c r="O5569" s="53">
        <v>50100</v>
      </c>
      <c r="P5569" s="198" t="str">
        <f>"1396534910001"</f>
        <v>1396534910001</v>
      </c>
    </row>
    <row r="5570" spans="1:16" ht="18.75" hidden="1">
      <c r="A5570" s="50" t="str">
        <f>"50100-10222792"</f>
        <v>50100-10222792</v>
      </c>
      <c r="B5570" s="50" t="str">
        <f>"97/02/24"</f>
        <v>97/02/24</v>
      </c>
      <c r="C5570" s="50" t="s">
        <v>13778</v>
      </c>
      <c r="D5570" s="12" t="s">
        <v>13779</v>
      </c>
      <c r="E5570" s="12" t="s">
        <v>4971</v>
      </c>
      <c r="F5570" s="49">
        <v>500000</v>
      </c>
      <c r="G5570" s="77" t="str">
        <f>"SHINING GREEN STAR FZE"</f>
        <v>SHINING GREEN STAR FZE</v>
      </c>
      <c r="H5570" s="14" t="str">
        <f t="shared" si="174"/>
        <v>true</v>
      </c>
      <c r="I5570" s="14" t="s">
        <v>2458</v>
      </c>
      <c r="J5570" s="33" t="s">
        <v>7110</v>
      </c>
      <c r="K5570" s="33" t="s">
        <v>13739</v>
      </c>
      <c r="L5570" s="53" t="str">
        <f>"تانزانيا"</f>
        <v>تانزانيا</v>
      </c>
      <c r="M5570" s="68" t="str">
        <f>"بشكه"</f>
        <v>بشكه</v>
      </c>
      <c r="N5570" s="53" t="str">
        <f t="shared" si="170"/>
        <v>منطقه ويژه اقتصادي شهيد رجايي</v>
      </c>
      <c r="O5570" s="53">
        <v>50100</v>
      </c>
      <c r="P5570" s="198" t="str">
        <f>"1396534602001"</f>
        <v>1396534602001</v>
      </c>
    </row>
    <row r="5571" spans="1:16" ht="18.75" hidden="1">
      <c r="A5571" s="50" t="str">
        <f>"50100-10222792"</f>
        <v>50100-10222792</v>
      </c>
      <c r="B5571" s="50" t="str">
        <f>"97/02/24"</f>
        <v>97/02/24</v>
      </c>
      <c r="C5571" s="50" t="s">
        <v>13780</v>
      </c>
      <c r="D5571" s="12" t="s">
        <v>12615</v>
      </c>
      <c r="E5571" s="12" t="s">
        <v>4971</v>
      </c>
      <c r="F5571" s="49">
        <v>500000</v>
      </c>
      <c r="G5571" s="77" t="str">
        <f>"SHINING GREEN STAR FZE"</f>
        <v>SHINING GREEN STAR FZE</v>
      </c>
      <c r="H5571" s="14" t="str">
        <f t="shared" si="174"/>
        <v>true</v>
      </c>
      <c r="I5571" s="14" t="s">
        <v>2458</v>
      </c>
      <c r="J5571" s="33" t="s">
        <v>7110</v>
      </c>
      <c r="K5571" s="33" t="s">
        <v>13739</v>
      </c>
      <c r="L5571" s="53" t="str">
        <f>"تانزانيا"</f>
        <v>تانزانيا</v>
      </c>
      <c r="M5571" s="68" t="str">
        <f>"بشكه"</f>
        <v>بشكه</v>
      </c>
      <c r="N5571" s="53" t="str">
        <f t="shared" si="170"/>
        <v>منطقه ويژه اقتصادي شهيد رجايي</v>
      </c>
      <c r="O5571" s="53">
        <v>50100</v>
      </c>
      <c r="P5571" s="198" t="str">
        <f>"1396534602001"</f>
        <v>1396534602001</v>
      </c>
    </row>
    <row r="5572" spans="1:16" ht="18.75" hidden="1">
      <c r="A5572" s="50" t="str">
        <f>"50100-10213877"</f>
        <v>50100-10213877</v>
      </c>
      <c r="B5572" s="50" t="str">
        <f>"97/02/22"</f>
        <v>97/02/22</v>
      </c>
      <c r="C5572" s="50" t="s">
        <v>13781</v>
      </c>
      <c r="D5572" s="12" t="s">
        <v>13741</v>
      </c>
      <c r="E5572" s="12" t="s">
        <v>13333</v>
      </c>
      <c r="F5572" s="49">
        <v>3796724</v>
      </c>
      <c r="G5572" s="77" t="str">
        <f>"AL MASAR PETROLUME L.L.C"</f>
        <v>AL MASAR PETROLUME L.L.C</v>
      </c>
      <c r="H5572" s="14" t="str">
        <f t="shared" si="174"/>
        <v>true</v>
      </c>
      <c r="I5572" s="14" t="s">
        <v>2458</v>
      </c>
      <c r="J5572" s="33" t="e">
        <f>VLOOKUP(C5572,شرکتها!A:B,2,FALSE)</f>
        <v>#N/A</v>
      </c>
      <c r="K5572" s="33" t="s">
        <v>13739</v>
      </c>
      <c r="L5572" s="53" t="str">
        <f>"قطر"</f>
        <v>قطر</v>
      </c>
      <c r="M5572" s="68" t="s">
        <v>8914</v>
      </c>
      <c r="N5572" s="53" t="str">
        <f t="shared" si="170"/>
        <v>منطقه ويژه اقتصادي شهيد رجايي</v>
      </c>
      <c r="O5572" s="53">
        <v>50100</v>
      </c>
      <c r="P5572" s="198" t="str">
        <f>"1397560052001"</f>
        <v>1397560052001</v>
      </c>
    </row>
    <row r="5573" spans="1:16" ht="18.75" hidden="1">
      <c r="A5573" s="50" t="str">
        <f>"50100-10219775"</f>
        <v>50100-10219775</v>
      </c>
      <c r="B5573" s="50" t="str">
        <f>"97/02/23"</f>
        <v>97/02/23</v>
      </c>
      <c r="C5573" s="50" t="s">
        <v>13782</v>
      </c>
      <c r="D5573" s="12" t="s">
        <v>12895</v>
      </c>
      <c r="E5573" s="12" t="s">
        <v>4971</v>
      </c>
      <c r="F5573" s="49">
        <v>84390</v>
      </c>
      <c r="G5573" s="77" t="str">
        <f>"LLC Sebco Bitumen"</f>
        <v>LLC Sebco Bitumen</v>
      </c>
      <c r="H5573" s="14" t="str">
        <f t="shared" si="174"/>
        <v>true</v>
      </c>
      <c r="I5573" s="14" t="s">
        <v>2458</v>
      </c>
      <c r="J5573" s="33" t="s">
        <v>7110</v>
      </c>
      <c r="K5573" s="33" t="s">
        <v>13739</v>
      </c>
      <c r="L5573" s="53" t="str">
        <f>"ليبريا"</f>
        <v>ليبريا</v>
      </c>
      <c r="M5573" s="68" t="str">
        <f>"بشكه"</f>
        <v>بشكه</v>
      </c>
      <c r="N5573" s="53" t="str">
        <f t="shared" si="170"/>
        <v>منطقه ويژه اقتصادي شهيد رجايي</v>
      </c>
      <c r="O5573" s="53">
        <v>50100</v>
      </c>
      <c r="P5573" s="198" t="str">
        <f>"1396546618001"</f>
        <v>1396546618001</v>
      </c>
    </row>
    <row r="5574" spans="1:16" ht="18.75" hidden="1">
      <c r="A5574" s="50" t="str">
        <f>"50100-10200413"</f>
        <v>50100-10200413</v>
      </c>
      <c r="B5574" s="50" t="str">
        <f>"97/02/18"</f>
        <v>97/02/18</v>
      </c>
      <c r="C5574" s="50" t="s">
        <v>13588</v>
      </c>
      <c r="D5574" s="12" t="s">
        <v>12829</v>
      </c>
      <c r="E5574" s="12" t="s">
        <v>4971</v>
      </c>
      <c r="F5574" s="49">
        <v>49380</v>
      </c>
      <c r="G5574" s="77" t="str">
        <f>"LLC Sebco Bitumen"</f>
        <v>LLC Sebco Bitumen</v>
      </c>
      <c r="H5574" s="14" t="str">
        <f t="shared" si="174"/>
        <v>true</v>
      </c>
      <c r="I5574" s="14" t="s">
        <v>2458</v>
      </c>
      <c r="J5574" s="33" t="s">
        <v>7110</v>
      </c>
      <c r="K5574" s="33" t="s">
        <v>13739</v>
      </c>
      <c r="L5574" s="53" t="str">
        <f>"سنگال"</f>
        <v>سنگال</v>
      </c>
      <c r="M5574" s="68" t="str">
        <f>"بشكه"</f>
        <v>بشكه</v>
      </c>
      <c r="N5574" s="53" t="str">
        <f t="shared" si="170"/>
        <v>منطقه ويژه اقتصادي شهيد رجايي</v>
      </c>
      <c r="O5574" s="53">
        <v>50100</v>
      </c>
      <c r="P5574" s="198" t="str">
        <f>"1396534910001"</f>
        <v>1396534910001</v>
      </c>
    </row>
    <row r="5575" spans="1:16" ht="18.75" hidden="1">
      <c r="A5575" s="50" t="str">
        <f>"50100-10200413"</f>
        <v>50100-10200413</v>
      </c>
      <c r="B5575" s="50" t="str">
        <f>"97/02/18"</f>
        <v>97/02/18</v>
      </c>
      <c r="C5575" s="50" t="s">
        <v>13783</v>
      </c>
      <c r="D5575" s="12" t="s">
        <v>12477</v>
      </c>
      <c r="E5575" s="12" t="s">
        <v>4971</v>
      </c>
      <c r="F5575" s="49">
        <v>110000</v>
      </c>
      <c r="G5575" s="77" t="str">
        <f>"LLC Sebco Bitumen"</f>
        <v>LLC Sebco Bitumen</v>
      </c>
      <c r="H5575" s="14" t="str">
        <f t="shared" si="174"/>
        <v>true</v>
      </c>
      <c r="I5575" s="14" t="s">
        <v>2458</v>
      </c>
      <c r="J5575" s="33" t="s">
        <v>7110</v>
      </c>
      <c r="K5575" s="33" t="s">
        <v>13739</v>
      </c>
      <c r="L5575" s="53" t="str">
        <f>"سنگال"</f>
        <v>سنگال</v>
      </c>
      <c r="M5575" s="68" t="str">
        <f>"بشكه"</f>
        <v>بشكه</v>
      </c>
      <c r="N5575" s="53" t="str">
        <f t="shared" si="170"/>
        <v>منطقه ويژه اقتصادي شهيد رجايي</v>
      </c>
      <c r="O5575" s="53">
        <v>50100</v>
      </c>
      <c r="P5575" s="198" t="str">
        <f>"1396534910001"</f>
        <v>1396534910001</v>
      </c>
    </row>
    <row r="5576" spans="1:16" ht="18.75" hidden="1">
      <c r="A5576" s="50" t="str">
        <f>"50100-10200413"</f>
        <v>50100-10200413</v>
      </c>
      <c r="B5576" s="50" t="str">
        <f>"97/02/18"</f>
        <v>97/02/18</v>
      </c>
      <c r="C5576" s="50" t="s">
        <v>13784</v>
      </c>
      <c r="D5576" s="12" t="s">
        <v>12477</v>
      </c>
      <c r="E5576" s="12" t="s">
        <v>4971</v>
      </c>
      <c r="F5576" s="49">
        <v>399420</v>
      </c>
      <c r="G5576" s="77" t="str">
        <f>"LLC Sebco Bitumen"</f>
        <v>LLC Sebco Bitumen</v>
      </c>
      <c r="H5576" s="14" t="str">
        <f t="shared" si="174"/>
        <v>true</v>
      </c>
      <c r="I5576" s="14" t="s">
        <v>2458</v>
      </c>
      <c r="J5576" s="33" t="s">
        <v>7110</v>
      </c>
      <c r="K5576" s="33" t="s">
        <v>13739</v>
      </c>
      <c r="L5576" s="53" t="str">
        <f>"سنگال"</f>
        <v>سنگال</v>
      </c>
      <c r="M5576" s="68" t="str">
        <f>"بشكه"</f>
        <v>بشكه</v>
      </c>
      <c r="N5576" s="53" t="str">
        <f t="shared" si="170"/>
        <v>منطقه ويژه اقتصادي شهيد رجايي</v>
      </c>
      <c r="O5576" s="53">
        <v>50100</v>
      </c>
      <c r="P5576" s="198" t="str">
        <f>"1396534910001"</f>
        <v>1396534910001</v>
      </c>
    </row>
    <row r="5577" spans="1:16" ht="18.75" hidden="1">
      <c r="A5577" s="50" t="str">
        <f>"50100-10200413"</f>
        <v>50100-10200413</v>
      </c>
      <c r="B5577" s="50" t="str">
        <f>"97/02/18"</f>
        <v>97/02/18</v>
      </c>
      <c r="C5577" s="50" t="s">
        <v>13785</v>
      </c>
      <c r="D5577" s="12" t="s">
        <v>12627</v>
      </c>
      <c r="E5577" s="12" t="s">
        <v>4971</v>
      </c>
      <c r="F5577" s="49">
        <v>200000</v>
      </c>
      <c r="G5577" s="77" t="str">
        <f>"LLC Sebco Bitumen"</f>
        <v>LLC Sebco Bitumen</v>
      </c>
      <c r="H5577" s="14" t="str">
        <f t="shared" si="174"/>
        <v>true</v>
      </c>
      <c r="I5577" s="14" t="s">
        <v>2458</v>
      </c>
      <c r="J5577" s="33" t="s">
        <v>7110</v>
      </c>
      <c r="K5577" s="33" t="s">
        <v>13739</v>
      </c>
      <c r="L5577" s="53" t="str">
        <f>"سنگال"</f>
        <v>سنگال</v>
      </c>
      <c r="M5577" s="68" t="str">
        <f>"بشكه"</f>
        <v>بشكه</v>
      </c>
      <c r="N5577" s="53" t="str">
        <f t="shared" si="170"/>
        <v>منطقه ويژه اقتصادي شهيد رجايي</v>
      </c>
      <c r="O5577" s="53">
        <v>50100</v>
      </c>
      <c r="P5577" s="198" t="str">
        <f>"1396534910001"</f>
        <v>1396534910001</v>
      </c>
    </row>
    <row r="5578" spans="1:16" ht="18.75" hidden="1">
      <c r="A5578" s="50" t="str">
        <f>"50100-10190602"</f>
        <v>50100-10190602</v>
      </c>
      <c r="B5578" s="50" t="str">
        <f>"97/02/16"</f>
        <v>97/02/16</v>
      </c>
      <c r="C5578" s="50" t="s">
        <v>13786</v>
      </c>
      <c r="D5578" s="12" t="s">
        <v>13787</v>
      </c>
      <c r="E5578" s="12" t="s">
        <v>13333</v>
      </c>
      <c r="F5578" s="49">
        <v>3296360</v>
      </c>
      <c r="G5578" s="77" t="str">
        <f>"AL MASAR PETROLUME L.L.C"</f>
        <v>AL MASAR PETROLUME L.L.C</v>
      </c>
      <c r="H5578" s="14" t="str">
        <f t="shared" si="174"/>
        <v>true</v>
      </c>
      <c r="I5578" s="14" t="s">
        <v>2458</v>
      </c>
      <c r="J5578" s="33" t="e">
        <f>VLOOKUP(C5578,شرکتها!A:B,2,FALSE)</f>
        <v>#N/A</v>
      </c>
      <c r="K5578" s="33" t="s">
        <v>13739</v>
      </c>
      <c r="L5578" s="53" t="str">
        <f>"قطر"</f>
        <v>قطر</v>
      </c>
      <c r="M5578" s="68" t="str">
        <f>"فله"</f>
        <v>فله</v>
      </c>
      <c r="N5578" s="53" t="str">
        <f t="shared" si="170"/>
        <v>منطقه ويژه اقتصادي شهيد رجايي</v>
      </c>
      <c r="O5578" s="53">
        <v>50100</v>
      </c>
      <c r="P5578" s="198" t="str">
        <f>"1397560052001"</f>
        <v>1397560052001</v>
      </c>
    </row>
    <row r="5579" spans="1:16" ht="18.75" hidden="1">
      <c r="A5579" s="50" t="str">
        <f>"45100-802945"</f>
        <v>45100-802945</v>
      </c>
      <c r="B5579" s="50" t="str">
        <f>"97/03/02"</f>
        <v>97/03/02</v>
      </c>
      <c r="C5579" s="50" t="s">
        <v>13788</v>
      </c>
      <c r="D5579" s="12" t="s">
        <v>13575</v>
      </c>
      <c r="E5579" s="12" t="s">
        <v>13333</v>
      </c>
      <c r="F5579" s="49">
        <v>400000</v>
      </c>
      <c r="G5579" s="77" t="str">
        <f t="shared" ref="G5579:G5585" si="175">"Black Gold Traders FZE"</f>
        <v>Black Gold Traders FZE</v>
      </c>
      <c r="H5579" s="14" t="str">
        <f t="shared" si="174"/>
        <v>true</v>
      </c>
      <c r="I5579" s="14" t="s">
        <v>2458</v>
      </c>
      <c r="J5579" s="33" t="s">
        <v>7110</v>
      </c>
      <c r="K5579" s="33" t="s">
        <v>13739</v>
      </c>
      <c r="L5579" s="53" t="str">
        <f t="shared" ref="L5579:L5586" si="176">" امارات متحده عربي"</f>
        <v xml:space="preserve"> امارات متحده عربي</v>
      </c>
      <c r="M5579" s="68" t="str">
        <f t="shared" ref="M5579:M5586" si="177">"فله"</f>
        <v>فله</v>
      </c>
      <c r="N5579" s="53" t="str">
        <f t="shared" ref="N5579:N5586" si="178">"منطقه ويژه اقتصادي بوشهر 1"</f>
        <v>منطقه ويژه اقتصادي بوشهر 1</v>
      </c>
      <c r="O5579" s="53">
        <v>45100</v>
      </c>
      <c r="P5579" s="198" t="str">
        <f>"1396548707001"</f>
        <v>1396548707001</v>
      </c>
    </row>
    <row r="5580" spans="1:16" ht="18.75" hidden="1">
      <c r="A5580" s="50" t="str">
        <f>"45100-798457"</f>
        <v>45100-798457</v>
      </c>
      <c r="B5580" s="50" t="str">
        <f>"97/02/22"</f>
        <v>97/02/22</v>
      </c>
      <c r="C5580" s="50" t="s">
        <v>13608</v>
      </c>
      <c r="D5580" s="12" t="s">
        <v>12601</v>
      </c>
      <c r="E5580" s="12" t="s">
        <v>4971</v>
      </c>
      <c r="F5580" s="49">
        <v>275390</v>
      </c>
      <c r="G5580" s="77" t="str">
        <f t="shared" si="175"/>
        <v>Black Gold Traders FZE</v>
      </c>
      <c r="H5580" s="14" t="str">
        <f t="shared" si="174"/>
        <v>true</v>
      </c>
      <c r="I5580" s="14" t="s">
        <v>2458</v>
      </c>
      <c r="J5580" s="33" t="s">
        <v>7110</v>
      </c>
      <c r="K5580" s="33" t="s">
        <v>13739</v>
      </c>
      <c r="L5580" s="53" t="str">
        <f t="shared" si="176"/>
        <v xml:space="preserve"> امارات متحده عربي</v>
      </c>
      <c r="M5580" s="68" t="str">
        <f t="shared" si="177"/>
        <v>فله</v>
      </c>
      <c r="N5580" s="53" t="str">
        <f t="shared" si="178"/>
        <v>منطقه ويژه اقتصادي بوشهر 1</v>
      </c>
      <c r="O5580" s="53">
        <v>45100</v>
      </c>
      <c r="P5580" s="198" t="str">
        <f>"1396538725001"</f>
        <v>1396538725001</v>
      </c>
    </row>
    <row r="5581" spans="1:16" ht="18.75" hidden="1">
      <c r="A5581" s="50" t="str">
        <f>"45100-798457"</f>
        <v>45100-798457</v>
      </c>
      <c r="B5581" s="50" t="str">
        <f>"97/02/22"</f>
        <v>97/02/22</v>
      </c>
      <c r="C5581" s="50" t="s">
        <v>13789</v>
      </c>
      <c r="D5581" s="12" t="s">
        <v>13402</v>
      </c>
      <c r="E5581" s="12" t="s">
        <v>13333</v>
      </c>
      <c r="F5581" s="49">
        <v>607463</v>
      </c>
      <c r="G5581" s="77" t="str">
        <f t="shared" si="175"/>
        <v>Black Gold Traders FZE</v>
      </c>
      <c r="H5581" s="14" t="str">
        <f t="shared" si="174"/>
        <v>true</v>
      </c>
      <c r="I5581" s="14" t="s">
        <v>2458</v>
      </c>
      <c r="J5581" s="33" t="s">
        <v>7110</v>
      </c>
      <c r="K5581" s="33" t="s">
        <v>13739</v>
      </c>
      <c r="L5581" s="53" t="str">
        <f t="shared" si="176"/>
        <v xml:space="preserve"> امارات متحده عربي</v>
      </c>
      <c r="M5581" s="68" t="str">
        <f t="shared" si="177"/>
        <v>فله</v>
      </c>
      <c r="N5581" s="53" t="str">
        <f t="shared" si="178"/>
        <v>منطقه ويژه اقتصادي بوشهر 1</v>
      </c>
      <c r="O5581" s="53">
        <v>45100</v>
      </c>
      <c r="P5581" s="198" t="str">
        <f>"1396546033001"</f>
        <v>1396546033001</v>
      </c>
    </row>
    <row r="5582" spans="1:16" ht="18.75" hidden="1">
      <c r="A5582" s="50" t="str">
        <f>"45100-798457"</f>
        <v>45100-798457</v>
      </c>
      <c r="B5582" s="50" t="str">
        <f>"97/02/22"</f>
        <v>97/02/22</v>
      </c>
      <c r="C5582" s="50" t="s">
        <v>12687</v>
      </c>
      <c r="D5582" s="12" t="s">
        <v>9997</v>
      </c>
      <c r="E5582" s="12" t="s">
        <v>4971</v>
      </c>
      <c r="F5582" s="49">
        <v>15040</v>
      </c>
      <c r="G5582" s="77" t="str">
        <f t="shared" si="175"/>
        <v>Black Gold Traders FZE</v>
      </c>
      <c r="H5582" s="14" t="str">
        <f t="shared" si="174"/>
        <v>true</v>
      </c>
      <c r="I5582" s="14" t="s">
        <v>2458</v>
      </c>
      <c r="J5582" s="33" t="s">
        <v>7110</v>
      </c>
      <c r="K5582" s="33" t="s">
        <v>13739</v>
      </c>
      <c r="L5582" s="53" t="str">
        <f t="shared" si="176"/>
        <v xml:space="preserve"> امارات متحده عربي</v>
      </c>
      <c r="M5582" s="68" t="str">
        <f t="shared" si="177"/>
        <v>فله</v>
      </c>
      <c r="N5582" s="53" t="str">
        <f t="shared" si="178"/>
        <v>منطقه ويژه اقتصادي بوشهر 1</v>
      </c>
      <c r="O5582" s="53">
        <v>45100</v>
      </c>
      <c r="P5582" s="198" t="str">
        <f>"1396521460001"</f>
        <v>1396521460001</v>
      </c>
    </row>
    <row r="5583" spans="1:16" ht="18.75" hidden="1">
      <c r="A5583" s="50" t="str">
        <f>"45100-798457"</f>
        <v>45100-798457</v>
      </c>
      <c r="B5583" s="50" t="str">
        <f>"97/02/22"</f>
        <v>97/02/22</v>
      </c>
      <c r="C5583" s="50" t="s">
        <v>12865</v>
      </c>
      <c r="D5583" s="12" t="s">
        <v>10012</v>
      </c>
      <c r="E5583" s="12" t="s">
        <v>4971</v>
      </c>
      <c r="F5583" s="49">
        <v>297958</v>
      </c>
      <c r="G5583" s="77" t="str">
        <f t="shared" si="175"/>
        <v>Black Gold Traders FZE</v>
      </c>
      <c r="H5583" s="14" t="str">
        <f t="shared" si="174"/>
        <v>true</v>
      </c>
      <c r="I5583" s="14" t="s">
        <v>2458</v>
      </c>
      <c r="J5583" s="33" t="s">
        <v>7110</v>
      </c>
      <c r="K5583" s="33" t="s">
        <v>13739</v>
      </c>
      <c r="L5583" s="53" t="str">
        <f t="shared" si="176"/>
        <v xml:space="preserve"> امارات متحده عربي</v>
      </c>
      <c r="M5583" s="68" t="str">
        <f t="shared" si="177"/>
        <v>فله</v>
      </c>
      <c r="N5583" s="53" t="str">
        <f t="shared" si="178"/>
        <v>منطقه ويژه اقتصادي بوشهر 1</v>
      </c>
      <c r="O5583" s="53">
        <v>45100</v>
      </c>
      <c r="P5583" s="198" t="str">
        <f>"1396524005001"</f>
        <v>1396524005001</v>
      </c>
    </row>
    <row r="5584" spans="1:16" ht="18.75" hidden="1">
      <c r="A5584" s="50" t="str">
        <f>"45100-798457"</f>
        <v>45100-798457</v>
      </c>
      <c r="B5584" s="50" t="str">
        <f>"97/02/22"</f>
        <v>97/02/22</v>
      </c>
      <c r="C5584" s="50" t="s">
        <v>12401</v>
      </c>
      <c r="D5584" s="12" t="s">
        <v>9934</v>
      </c>
      <c r="E5584" s="12" t="s">
        <v>4971</v>
      </c>
      <c r="F5584" s="49">
        <v>101291</v>
      </c>
      <c r="G5584" s="77" t="str">
        <f t="shared" si="175"/>
        <v>Black Gold Traders FZE</v>
      </c>
      <c r="H5584" s="14" t="str">
        <f t="shared" si="174"/>
        <v>true</v>
      </c>
      <c r="I5584" s="14" t="s">
        <v>2458</v>
      </c>
      <c r="J5584" s="33" t="s">
        <v>7110</v>
      </c>
      <c r="K5584" s="33" t="s">
        <v>13739</v>
      </c>
      <c r="L5584" s="53" t="str">
        <f t="shared" si="176"/>
        <v xml:space="preserve"> امارات متحده عربي</v>
      </c>
      <c r="M5584" s="68" t="str">
        <f t="shared" si="177"/>
        <v>فله</v>
      </c>
      <c r="N5584" s="53" t="str">
        <f t="shared" si="178"/>
        <v>منطقه ويژه اقتصادي بوشهر 1</v>
      </c>
      <c r="O5584" s="53">
        <v>45100</v>
      </c>
      <c r="P5584" s="198" t="str">
        <f>"1396521453001"</f>
        <v>1396521453001</v>
      </c>
    </row>
    <row r="5585" spans="1:16" ht="18.75" hidden="1">
      <c r="A5585" s="50" t="str">
        <f>"45100-802945"</f>
        <v>45100-802945</v>
      </c>
      <c r="B5585" s="50" t="str">
        <f>"97/03/02"</f>
        <v>97/03/02</v>
      </c>
      <c r="C5585" s="50" t="s">
        <v>13789</v>
      </c>
      <c r="D5585" s="12" t="s">
        <v>13402</v>
      </c>
      <c r="E5585" s="12" t="s">
        <v>13333</v>
      </c>
      <c r="F5585" s="49">
        <v>392537</v>
      </c>
      <c r="G5585" s="77" t="str">
        <f t="shared" si="175"/>
        <v>Black Gold Traders FZE</v>
      </c>
      <c r="H5585" s="14" t="str">
        <f t="shared" si="174"/>
        <v>true</v>
      </c>
      <c r="I5585" s="14" t="s">
        <v>2458</v>
      </c>
      <c r="J5585" s="33" t="s">
        <v>7110</v>
      </c>
      <c r="K5585" s="33" t="s">
        <v>13739</v>
      </c>
      <c r="L5585" s="53" t="str">
        <f t="shared" si="176"/>
        <v xml:space="preserve"> امارات متحده عربي</v>
      </c>
      <c r="M5585" s="68" t="str">
        <f t="shared" si="177"/>
        <v>فله</v>
      </c>
      <c r="N5585" s="53" t="str">
        <f t="shared" si="178"/>
        <v>منطقه ويژه اقتصادي بوشهر 1</v>
      </c>
      <c r="O5585" s="53">
        <v>45100</v>
      </c>
      <c r="P5585" s="198" t="str">
        <f>"1396546033001"</f>
        <v>1396546033001</v>
      </c>
    </row>
    <row r="5586" spans="1:16" ht="18.75" hidden="1">
      <c r="A5586" s="50" t="str">
        <f>"45100-802945"</f>
        <v>45100-802945</v>
      </c>
      <c r="B5586" s="50" t="str">
        <f>"97/03/02"</f>
        <v>97/03/02</v>
      </c>
      <c r="C5586" s="50" t="s">
        <v>13790</v>
      </c>
      <c r="D5586" s="12" t="s">
        <v>13759</v>
      </c>
      <c r="E5586" s="12" t="s">
        <v>13333</v>
      </c>
      <c r="F5586" s="49">
        <v>194169</v>
      </c>
      <c r="G5586" s="77" t="str">
        <f>"LLC Black Gem Business"</f>
        <v>LLC Black Gem Business</v>
      </c>
      <c r="H5586" s="14" t="str">
        <f t="shared" si="174"/>
        <v>true</v>
      </c>
      <c r="I5586" s="14" t="s">
        <v>2458</v>
      </c>
      <c r="J5586" s="33" t="s">
        <v>7110</v>
      </c>
      <c r="K5586" s="33" t="s">
        <v>13739</v>
      </c>
      <c r="L5586" s="53" t="str">
        <f t="shared" si="176"/>
        <v xml:space="preserve"> امارات متحده عربي</v>
      </c>
      <c r="M5586" s="68" t="str">
        <f t="shared" si="177"/>
        <v>فله</v>
      </c>
      <c r="N5586" s="53" t="str">
        <f t="shared" si="178"/>
        <v>منطقه ويژه اقتصادي بوشهر 1</v>
      </c>
      <c r="O5586" s="53">
        <v>45100</v>
      </c>
      <c r="P5586" s="198" t="str">
        <f>"1397558772001"</f>
        <v>1397558772001</v>
      </c>
    </row>
    <row r="5587" spans="1:16" ht="18.75" hidden="1">
      <c r="A5587" s="50" t="str">
        <f>"15100-583449"</f>
        <v>15100-583449</v>
      </c>
      <c r="B5587" s="50" t="str">
        <f>"97/02/20"</f>
        <v>97/02/20</v>
      </c>
      <c r="C5587" s="50" t="s">
        <v>13707</v>
      </c>
      <c r="D5587" s="12" t="s">
        <v>13380</v>
      </c>
      <c r="E5587" s="12" t="s">
        <v>13333</v>
      </c>
      <c r="F5587" s="49">
        <v>74220</v>
      </c>
      <c r="G5587" s="77" t="str">
        <f>"DAXON PETROLEUM"</f>
        <v>DAXON PETROLEUM</v>
      </c>
      <c r="H5587" s="14" t="str">
        <f t="shared" si="174"/>
        <v>true</v>
      </c>
      <c r="I5587" s="14" t="s">
        <v>2458</v>
      </c>
      <c r="J5587" s="33" t="s">
        <v>7110</v>
      </c>
      <c r="K5587" s="33" t="s">
        <v>13739</v>
      </c>
      <c r="L5587" s="53" t="str">
        <f t="shared" ref="L5587:L5639" si="179">"پاکستان"</f>
        <v>پاکستان</v>
      </c>
      <c r="M5587" s="68" t="str">
        <f>"بشكه"</f>
        <v>بشكه</v>
      </c>
      <c r="N5587" s="53" t="str">
        <f>"تفتان (ميرجاوه)"</f>
        <v>تفتان (ميرجاوه)</v>
      </c>
      <c r="O5587" s="53">
        <v>55200</v>
      </c>
      <c r="P5587" s="198" t="str">
        <f>"1396548700001"</f>
        <v>1396548700001</v>
      </c>
    </row>
    <row r="5588" spans="1:16" ht="18.75" hidden="1">
      <c r="A5588" s="50" t="str">
        <f>"15100-583449"</f>
        <v>15100-583449</v>
      </c>
      <c r="B5588" s="50" t="str">
        <f>"97/02/20"</f>
        <v>97/02/20</v>
      </c>
      <c r="C5588" s="50" t="s">
        <v>13791</v>
      </c>
      <c r="D5588" s="12" t="s">
        <v>13343</v>
      </c>
      <c r="E5588" s="12" t="s">
        <v>13333</v>
      </c>
      <c r="F5588" s="49">
        <v>27860</v>
      </c>
      <c r="G5588" s="77" t="str">
        <f>"DAXON PETROLEUM"</f>
        <v>DAXON PETROLEUM</v>
      </c>
      <c r="H5588" s="14" t="str">
        <f t="shared" si="174"/>
        <v>true</v>
      </c>
      <c r="I5588" s="14" t="s">
        <v>2458</v>
      </c>
      <c r="J5588" s="33" t="s">
        <v>7110</v>
      </c>
      <c r="K5588" s="33" t="s">
        <v>13739</v>
      </c>
      <c r="L5588" s="53" t="str">
        <f t="shared" si="179"/>
        <v>پاکستان</v>
      </c>
      <c r="M5588" s="68" t="str">
        <f>"بشكه"</f>
        <v>بشكه</v>
      </c>
      <c r="N5588" s="53" t="str">
        <f>"تفتان (ميرجاوه)"</f>
        <v>تفتان (ميرجاوه)</v>
      </c>
      <c r="O5588" s="53">
        <v>55200</v>
      </c>
      <c r="P5588" s="198" t="str">
        <f>"1396548700001"</f>
        <v>1396548700001</v>
      </c>
    </row>
    <row r="5589" spans="1:16" ht="18.75" hidden="1">
      <c r="A5589" s="50" t="str">
        <f>"15100-584101"</f>
        <v>15100-584101</v>
      </c>
      <c r="B5589" s="50" t="str">
        <f t="shared" ref="B5589:B5599" si="180">"97/02/22"</f>
        <v>97/02/22</v>
      </c>
      <c r="C5589" s="50" t="s">
        <v>13792</v>
      </c>
      <c r="D5589" s="12" t="s">
        <v>13318</v>
      </c>
      <c r="E5589" s="12" t="s">
        <v>13333</v>
      </c>
      <c r="F5589" s="49">
        <v>99850</v>
      </c>
      <c r="G5589" s="77" t="str">
        <f>"LLC Sebco Bitumen"</f>
        <v>LLC Sebco Bitumen</v>
      </c>
      <c r="H5589" s="14" t="str">
        <f t="shared" si="174"/>
        <v>true</v>
      </c>
      <c r="I5589" s="14" t="s">
        <v>2458</v>
      </c>
      <c r="J5589" s="33" t="s">
        <v>7110</v>
      </c>
      <c r="K5589" s="33" t="s">
        <v>13739</v>
      </c>
      <c r="L5589" s="53" t="str">
        <f t="shared" si="179"/>
        <v>پاکستان</v>
      </c>
      <c r="M5589" s="68" t="str">
        <f>"بشكه"</f>
        <v>بشكه</v>
      </c>
      <c r="N5589" s="53" t="str">
        <f>"تفتان (ميرجاوه)"</f>
        <v>تفتان (ميرجاوه)</v>
      </c>
      <c r="O5589" s="53">
        <v>55200</v>
      </c>
      <c r="P5589" s="198" t="str">
        <f>"1396548704001"</f>
        <v>1396548704001</v>
      </c>
    </row>
    <row r="5590" spans="1:16" ht="18.75" hidden="1">
      <c r="A5590" s="50" t="str">
        <f>"15100-584098"</f>
        <v>15100-584098</v>
      </c>
      <c r="B5590" s="50" t="str">
        <f t="shared" si="180"/>
        <v>97/02/22</v>
      </c>
      <c r="C5590" s="50" t="s">
        <v>13792</v>
      </c>
      <c r="D5590" s="12" t="s">
        <v>13318</v>
      </c>
      <c r="E5590" s="12" t="s">
        <v>13333</v>
      </c>
      <c r="F5590" s="49">
        <v>88920</v>
      </c>
      <c r="G5590" s="77" t="str">
        <f>"LLC Sebco Bitumen"</f>
        <v>LLC Sebco Bitumen</v>
      </c>
      <c r="H5590" s="14" t="str">
        <f t="shared" si="174"/>
        <v>true</v>
      </c>
      <c r="I5590" s="14" t="s">
        <v>2458</v>
      </c>
      <c r="J5590" s="33" t="s">
        <v>7110</v>
      </c>
      <c r="K5590" s="33" t="s">
        <v>13739</v>
      </c>
      <c r="L5590" s="53" t="str">
        <f t="shared" si="179"/>
        <v>پاکستان</v>
      </c>
      <c r="M5590" s="68" t="str">
        <f>"فله"</f>
        <v>فله</v>
      </c>
      <c r="N5590" s="53" t="str">
        <f>"بازارچه ريمدان"</f>
        <v>بازارچه ريمدان</v>
      </c>
      <c r="O5590" s="53">
        <v>55112</v>
      </c>
      <c r="P5590" s="198" t="str">
        <f>"1396548704001"</f>
        <v>1396548704001</v>
      </c>
    </row>
    <row r="5591" spans="1:16" ht="18.75" hidden="1">
      <c r="A5591" s="50" t="str">
        <f>"15100-584071"</f>
        <v>15100-584071</v>
      </c>
      <c r="B5591" s="50" t="str">
        <f t="shared" si="180"/>
        <v>97/02/22</v>
      </c>
      <c r="C5591" s="50" t="s">
        <v>13792</v>
      </c>
      <c r="D5591" s="12" t="s">
        <v>13318</v>
      </c>
      <c r="E5591" s="12" t="s">
        <v>13333</v>
      </c>
      <c r="F5591" s="49">
        <v>47500</v>
      </c>
      <c r="G5591" s="77" t="str">
        <f>"LLC Sebco Bitumen"</f>
        <v>LLC Sebco Bitumen</v>
      </c>
      <c r="H5591" s="14" t="str">
        <f t="shared" si="174"/>
        <v>true</v>
      </c>
      <c r="I5591" s="14" t="s">
        <v>2458</v>
      </c>
      <c r="J5591" s="33" t="s">
        <v>7110</v>
      </c>
      <c r="K5591" s="33" t="s">
        <v>13739</v>
      </c>
      <c r="L5591" s="53" t="str">
        <f t="shared" si="179"/>
        <v>پاکستان</v>
      </c>
      <c r="M5591" s="68" t="str">
        <f>"فله"</f>
        <v>فله</v>
      </c>
      <c r="N5591" s="53" t="str">
        <f>"تفتان (ميرجاوه)"</f>
        <v>تفتان (ميرجاوه)</v>
      </c>
      <c r="O5591" s="53">
        <v>55200</v>
      </c>
      <c r="P5591" s="198" t="str">
        <f>"1396548704001"</f>
        <v>1396548704001</v>
      </c>
    </row>
    <row r="5592" spans="1:16" ht="18.75" hidden="1">
      <c r="A5592" s="50" t="str">
        <f>"15100-584101"</f>
        <v>15100-584101</v>
      </c>
      <c r="B5592" s="50" t="str">
        <f t="shared" si="180"/>
        <v>97/02/22</v>
      </c>
      <c r="C5592" s="50" t="s">
        <v>13793</v>
      </c>
      <c r="D5592" s="12" t="s">
        <v>13318</v>
      </c>
      <c r="E5592" s="12" t="s">
        <v>13333</v>
      </c>
      <c r="F5592" s="49">
        <v>71310</v>
      </c>
      <c r="G5592" s="77" t="str">
        <f>"LLC Sebco Bitumen"</f>
        <v>LLC Sebco Bitumen</v>
      </c>
      <c r="H5592" s="14" t="str">
        <f t="shared" si="174"/>
        <v>true</v>
      </c>
      <c r="I5592" s="14" t="s">
        <v>2458</v>
      </c>
      <c r="J5592" s="33" t="s">
        <v>7110</v>
      </c>
      <c r="K5592" s="33" t="s">
        <v>13739</v>
      </c>
      <c r="L5592" s="53" t="str">
        <f t="shared" si="179"/>
        <v>پاکستان</v>
      </c>
      <c r="M5592" s="68" t="str">
        <f>"بشكه"</f>
        <v>بشكه</v>
      </c>
      <c r="N5592" s="53" t="str">
        <f>"تفتان (ميرجاوه)"</f>
        <v>تفتان (ميرجاوه)</v>
      </c>
      <c r="O5592" s="53">
        <v>55200</v>
      </c>
      <c r="P5592" s="198" t="str">
        <f>"1396548704001"</f>
        <v>1396548704001</v>
      </c>
    </row>
    <row r="5593" spans="1:16" ht="18.75" hidden="1">
      <c r="A5593" s="50" t="str">
        <f>"15100-584062"</f>
        <v>15100-584062</v>
      </c>
      <c r="B5593" s="50" t="str">
        <f t="shared" si="180"/>
        <v>97/02/22</v>
      </c>
      <c r="C5593" s="50" t="s">
        <v>13794</v>
      </c>
      <c r="D5593" s="12" t="s">
        <v>13318</v>
      </c>
      <c r="E5593" s="12" t="s">
        <v>13333</v>
      </c>
      <c r="F5593" s="49">
        <v>69580</v>
      </c>
      <c r="G5593" s="77" t="str">
        <f>"DAXON PETROLEUM"</f>
        <v>DAXON PETROLEUM</v>
      </c>
      <c r="H5593" s="14" t="str">
        <f t="shared" si="174"/>
        <v>true</v>
      </c>
      <c r="I5593" s="14" t="s">
        <v>2458</v>
      </c>
      <c r="J5593" s="33" t="s">
        <v>7110</v>
      </c>
      <c r="K5593" s="33" t="s">
        <v>13739</v>
      </c>
      <c r="L5593" s="53" t="str">
        <f t="shared" si="179"/>
        <v>پاکستان</v>
      </c>
      <c r="M5593" s="68" t="str">
        <f>"بشكه"</f>
        <v>بشكه</v>
      </c>
      <c r="N5593" s="53" t="str">
        <f>"پيشين"</f>
        <v>پيشين</v>
      </c>
      <c r="O5593" s="53">
        <v>55301</v>
      </c>
      <c r="P5593" s="198" t="str">
        <f>"1396548700001"</f>
        <v>1396548700001</v>
      </c>
    </row>
    <row r="5594" spans="1:16" ht="18.75" hidden="1">
      <c r="A5594" s="50" t="str">
        <f>"15100-584062"</f>
        <v>15100-584062</v>
      </c>
      <c r="B5594" s="50" t="str">
        <f t="shared" si="180"/>
        <v>97/02/22</v>
      </c>
      <c r="C5594" s="50" t="s">
        <v>13793</v>
      </c>
      <c r="D5594" s="12" t="s">
        <v>13318</v>
      </c>
      <c r="E5594" s="12" t="s">
        <v>13333</v>
      </c>
      <c r="F5594" s="49">
        <v>228690</v>
      </c>
      <c r="G5594" s="77" t="str">
        <f>"LLC Sebco Bitumen"</f>
        <v>LLC Sebco Bitumen</v>
      </c>
      <c r="H5594" s="14" t="str">
        <f t="shared" si="174"/>
        <v>true</v>
      </c>
      <c r="I5594" s="14" t="s">
        <v>2458</v>
      </c>
      <c r="J5594" s="33" t="s">
        <v>7110</v>
      </c>
      <c r="K5594" s="33" t="s">
        <v>13739</v>
      </c>
      <c r="L5594" s="53" t="str">
        <f t="shared" si="179"/>
        <v>پاکستان</v>
      </c>
      <c r="M5594" s="68" t="str">
        <f>"بشكه"</f>
        <v>بشكه</v>
      </c>
      <c r="N5594" s="53" t="str">
        <f>"پيشين"</f>
        <v>پيشين</v>
      </c>
      <c r="O5594" s="53">
        <v>55301</v>
      </c>
      <c r="P5594" s="198" t="str">
        <f>"1396548704001"</f>
        <v>1396548704001</v>
      </c>
    </row>
    <row r="5595" spans="1:16" ht="18.75" hidden="1">
      <c r="A5595" s="50" t="str">
        <f>"15100-584101"</f>
        <v>15100-584101</v>
      </c>
      <c r="B5595" s="50" t="str">
        <f t="shared" si="180"/>
        <v>97/02/22</v>
      </c>
      <c r="C5595" s="50" t="s">
        <v>13795</v>
      </c>
      <c r="D5595" s="12" t="s">
        <v>13184</v>
      </c>
      <c r="E5595" s="12" t="s">
        <v>13333</v>
      </c>
      <c r="F5595" s="49">
        <v>72390</v>
      </c>
      <c r="G5595" s="77" t="str">
        <f>"LLC Sebco Bitumen"</f>
        <v>LLC Sebco Bitumen</v>
      </c>
      <c r="H5595" s="14" t="str">
        <f t="shared" si="174"/>
        <v>true</v>
      </c>
      <c r="I5595" s="14" t="s">
        <v>2458</v>
      </c>
      <c r="J5595" s="33" t="s">
        <v>7110</v>
      </c>
      <c r="K5595" s="33" t="s">
        <v>13739</v>
      </c>
      <c r="L5595" s="53" t="str">
        <f t="shared" si="179"/>
        <v>پاکستان</v>
      </c>
      <c r="M5595" s="68" t="str">
        <f>"بشكه"</f>
        <v>بشكه</v>
      </c>
      <c r="N5595" s="53" t="str">
        <f>"تفتان (ميرجاوه)"</f>
        <v>تفتان (ميرجاوه)</v>
      </c>
      <c r="O5595" s="53">
        <v>55200</v>
      </c>
      <c r="P5595" s="198" t="str">
        <f>"1396548704001"</f>
        <v>1396548704001</v>
      </c>
    </row>
    <row r="5596" spans="1:16" ht="18.75" hidden="1">
      <c r="A5596" s="50" t="str">
        <f>"15100-584068"</f>
        <v>15100-584068</v>
      </c>
      <c r="B5596" s="50" t="str">
        <f t="shared" si="180"/>
        <v>97/02/22</v>
      </c>
      <c r="C5596" s="50" t="s">
        <v>13792</v>
      </c>
      <c r="D5596" s="12" t="s">
        <v>13318</v>
      </c>
      <c r="E5596" s="12" t="s">
        <v>13333</v>
      </c>
      <c r="F5596" s="49">
        <v>63730</v>
      </c>
      <c r="G5596" s="77" t="str">
        <f>"LLC Sebco Bitumen"</f>
        <v>LLC Sebco Bitumen</v>
      </c>
      <c r="H5596" s="14" t="str">
        <f t="shared" si="174"/>
        <v>true</v>
      </c>
      <c r="I5596" s="14" t="s">
        <v>2458</v>
      </c>
      <c r="J5596" s="33" t="s">
        <v>7110</v>
      </c>
      <c r="K5596" s="33" t="s">
        <v>13739</v>
      </c>
      <c r="L5596" s="53" t="str">
        <f t="shared" si="179"/>
        <v>پاکستان</v>
      </c>
      <c r="M5596" s="68" t="str">
        <f>"فله"</f>
        <v>فله</v>
      </c>
      <c r="N5596" s="53" t="str">
        <f>"پيشين"</f>
        <v>پيشين</v>
      </c>
      <c r="O5596" s="53">
        <v>55301</v>
      </c>
      <c r="P5596" s="198" t="str">
        <f>"1396548704001"</f>
        <v>1396548704001</v>
      </c>
    </row>
    <row r="5597" spans="1:16" ht="18.75" hidden="1">
      <c r="A5597" s="50" t="str">
        <f>"15100-584068"</f>
        <v>15100-584068</v>
      </c>
      <c r="B5597" s="50" t="str">
        <f t="shared" si="180"/>
        <v>97/02/22</v>
      </c>
      <c r="C5597" s="50" t="s">
        <v>13796</v>
      </c>
      <c r="D5597" s="12" t="s">
        <v>13266</v>
      </c>
      <c r="E5597" s="12" t="s">
        <v>13333</v>
      </c>
      <c r="F5597" s="49">
        <v>820000</v>
      </c>
      <c r="G5597" s="77" t="str">
        <f>"LLC Sebco Bitumen"</f>
        <v>LLC Sebco Bitumen</v>
      </c>
      <c r="H5597" s="14" t="str">
        <f t="shared" si="174"/>
        <v>true</v>
      </c>
      <c r="I5597" s="14" t="s">
        <v>2458</v>
      </c>
      <c r="J5597" s="33" t="s">
        <v>7110</v>
      </c>
      <c r="K5597" s="33" t="s">
        <v>13739</v>
      </c>
      <c r="L5597" s="53" t="str">
        <f t="shared" si="179"/>
        <v>پاکستان</v>
      </c>
      <c r="M5597" s="68" t="str">
        <f>"فله"</f>
        <v>فله</v>
      </c>
      <c r="N5597" s="53" t="str">
        <f>"پيشين"</f>
        <v>پيشين</v>
      </c>
      <c r="O5597" s="53">
        <v>55301</v>
      </c>
      <c r="P5597" s="198" t="str">
        <f>"1396548704001"</f>
        <v>1396548704001</v>
      </c>
    </row>
    <row r="5598" spans="1:16" ht="18.75" hidden="1">
      <c r="A5598" s="50" t="str">
        <f>"15100-584023"</f>
        <v>15100-584023</v>
      </c>
      <c r="B5598" s="50" t="str">
        <f t="shared" si="180"/>
        <v>97/02/22</v>
      </c>
      <c r="C5598" s="50" t="s">
        <v>13797</v>
      </c>
      <c r="D5598" s="12" t="s">
        <v>13639</v>
      </c>
      <c r="E5598" s="12" t="s">
        <v>13333</v>
      </c>
      <c r="F5598" s="49">
        <v>288850</v>
      </c>
      <c r="G5598" s="77" t="str">
        <f>"PETRO FOLIO"</f>
        <v>PETRO FOLIO</v>
      </c>
      <c r="H5598" s="14" t="str">
        <f t="shared" si="174"/>
        <v>true</v>
      </c>
      <c r="I5598" s="14" t="s">
        <v>2458</v>
      </c>
      <c r="J5598" s="33" t="s">
        <v>7110</v>
      </c>
      <c r="K5598" s="33" t="s">
        <v>13739</v>
      </c>
      <c r="L5598" s="53" t="str">
        <f t="shared" si="179"/>
        <v>پاکستان</v>
      </c>
      <c r="M5598" s="68" t="str">
        <f>"بشكه"</f>
        <v>بشكه</v>
      </c>
      <c r="N5598" s="53" t="str">
        <f>"تفتان (ميرجاوه)"</f>
        <v>تفتان (ميرجاوه)</v>
      </c>
      <c r="O5598" s="53">
        <v>55200</v>
      </c>
      <c r="P5598" s="198" t="str">
        <f>"1397558725001"</f>
        <v>1397558725001</v>
      </c>
    </row>
    <row r="5599" spans="1:16" ht="18.75" hidden="1">
      <c r="A5599" s="50" t="str">
        <f>"15100-584068"</f>
        <v>15100-584068</v>
      </c>
      <c r="B5599" s="50" t="str">
        <f t="shared" si="180"/>
        <v>97/02/22</v>
      </c>
      <c r="C5599" s="50" t="s">
        <v>13795</v>
      </c>
      <c r="D5599" s="12" t="s">
        <v>13184</v>
      </c>
      <c r="E5599" s="12" t="s">
        <v>13333</v>
      </c>
      <c r="F5599" s="49">
        <v>154780</v>
      </c>
      <c r="G5599" s="77" t="str">
        <f>"LLC Sebco Bitumen"</f>
        <v>LLC Sebco Bitumen</v>
      </c>
      <c r="H5599" s="14" t="str">
        <f t="shared" si="174"/>
        <v>true</v>
      </c>
      <c r="I5599" s="14" t="s">
        <v>2458</v>
      </c>
      <c r="J5599" s="33" t="s">
        <v>7110</v>
      </c>
      <c r="K5599" s="33" t="s">
        <v>13739</v>
      </c>
      <c r="L5599" s="53" t="str">
        <f t="shared" si="179"/>
        <v>پاکستان</v>
      </c>
      <c r="M5599" s="68" t="str">
        <f>"فله"</f>
        <v>فله</v>
      </c>
      <c r="N5599" s="53" t="str">
        <f>"پيشين"</f>
        <v>پيشين</v>
      </c>
      <c r="O5599" s="53">
        <v>55301</v>
      </c>
      <c r="P5599" s="198" t="str">
        <f>"1396548704001"</f>
        <v>1396548704001</v>
      </c>
    </row>
    <row r="5600" spans="1:16" ht="18.75" hidden="1">
      <c r="A5600" s="50" t="str">
        <f>"15100-580514"</f>
        <v>15100-580514</v>
      </c>
      <c r="B5600" s="50" t="str">
        <f>"97/02/16"</f>
        <v>97/02/16</v>
      </c>
      <c r="C5600" s="50" t="s">
        <v>13798</v>
      </c>
      <c r="D5600" s="12" t="s">
        <v>13549</v>
      </c>
      <c r="E5600" s="12" t="s">
        <v>13333</v>
      </c>
      <c r="F5600" s="49">
        <v>48080</v>
      </c>
      <c r="G5600" s="77" t="str">
        <f>"LEADING IN HIGHER OBJECTIVES LLC"</f>
        <v>LEADING IN HIGHER OBJECTIVES LLC</v>
      </c>
      <c r="H5600" s="14" t="str">
        <f t="shared" si="174"/>
        <v>true</v>
      </c>
      <c r="I5600" s="14" t="s">
        <v>2458</v>
      </c>
      <c r="J5600" s="33" t="s">
        <v>7110</v>
      </c>
      <c r="K5600" s="33" t="s">
        <v>13739</v>
      </c>
      <c r="L5600" s="53" t="str">
        <f t="shared" si="179"/>
        <v>پاکستان</v>
      </c>
      <c r="M5600" s="68" t="str">
        <f>"فله"</f>
        <v>فله</v>
      </c>
      <c r="N5600" s="53" t="str">
        <f>"بازارچه ريمدان"</f>
        <v>بازارچه ريمدان</v>
      </c>
      <c r="O5600" s="53">
        <v>55112</v>
      </c>
      <c r="P5600" s="198" t="str">
        <f>"1397558721001"</f>
        <v>1397558721001</v>
      </c>
    </row>
    <row r="5601" spans="1:16" ht="18.75" hidden="1">
      <c r="A5601" s="50" t="str">
        <f>"15100-581328"</f>
        <v>15100-581328</v>
      </c>
      <c r="B5601" s="50" t="str">
        <f>"97/02/17"</f>
        <v>97/02/17</v>
      </c>
      <c r="C5601" s="50" t="s">
        <v>13719</v>
      </c>
      <c r="D5601" s="12" t="s">
        <v>13549</v>
      </c>
      <c r="E5601" s="12" t="s">
        <v>13333</v>
      </c>
      <c r="F5601" s="49">
        <v>84230</v>
      </c>
      <c r="G5601" s="77" t="str">
        <f>"PETRO FOLIO"</f>
        <v>PETRO FOLIO</v>
      </c>
      <c r="H5601" s="14" t="str">
        <f t="shared" si="174"/>
        <v>true</v>
      </c>
      <c r="I5601" s="14" t="s">
        <v>2458</v>
      </c>
      <c r="J5601" s="33" t="s">
        <v>7110</v>
      </c>
      <c r="K5601" s="33" t="s">
        <v>13739</v>
      </c>
      <c r="L5601" s="53" t="str">
        <f t="shared" si="179"/>
        <v>پاکستان</v>
      </c>
      <c r="M5601" s="68" t="str">
        <f>"بشكه"</f>
        <v>بشكه</v>
      </c>
      <c r="N5601" s="53" t="str">
        <f>"تفتان (ميرجاوه)"</f>
        <v>تفتان (ميرجاوه)</v>
      </c>
      <c r="O5601" s="53">
        <v>55200</v>
      </c>
      <c r="P5601" s="198" t="str">
        <f>"1397558725001"</f>
        <v>1397558725001</v>
      </c>
    </row>
    <row r="5602" spans="1:16" ht="18.75" hidden="1">
      <c r="A5602" s="50" t="str">
        <f>"15100-581340"</f>
        <v>15100-581340</v>
      </c>
      <c r="B5602" s="50" t="str">
        <f>"97/02/17"</f>
        <v>97/02/17</v>
      </c>
      <c r="C5602" s="50" t="s">
        <v>13719</v>
      </c>
      <c r="D5602" s="12" t="s">
        <v>13549</v>
      </c>
      <c r="E5602" s="12" t="s">
        <v>13333</v>
      </c>
      <c r="F5602" s="49">
        <v>114420</v>
      </c>
      <c r="G5602" s="77" t="str">
        <f>"PETRO FOLIO"</f>
        <v>PETRO FOLIO</v>
      </c>
      <c r="H5602" s="14" t="str">
        <f t="shared" si="174"/>
        <v>true</v>
      </c>
      <c r="I5602" s="14" t="s">
        <v>2458</v>
      </c>
      <c r="J5602" s="33" t="s">
        <v>7110</v>
      </c>
      <c r="K5602" s="33" t="s">
        <v>13739</v>
      </c>
      <c r="L5602" s="53" t="str">
        <f t="shared" si="179"/>
        <v>پاکستان</v>
      </c>
      <c r="M5602" s="68" t="str">
        <f>"بشكه"</f>
        <v>بشكه</v>
      </c>
      <c r="N5602" s="53" t="str">
        <f>"پيشين"</f>
        <v>پيشين</v>
      </c>
      <c r="O5602" s="53">
        <v>55301</v>
      </c>
      <c r="P5602" s="198" t="str">
        <f>"1397558725001"</f>
        <v>1397558725001</v>
      </c>
    </row>
    <row r="5603" spans="1:16" ht="18.75" hidden="1">
      <c r="A5603" s="50" t="str">
        <f>"15100-581328"</f>
        <v>15100-581328</v>
      </c>
      <c r="B5603" s="50" t="str">
        <f>"97/02/17"</f>
        <v>97/02/17</v>
      </c>
      <c r="C5603" s="50" t="s">
        <v>13752</v>
      </c>
      <c r="D5603" s="12" t="s">
        <v>12928</v>
      </c>
      <c r="E5603" s="12" t="s">
        <v>4971</v>
      </c>
      <c r="F5603" s="49">
        <v>237460</v>
      </c>
      <c r="G5603" s="77" t="str">
        <f>"BITUBIZ FZE"</f>
        <v>BITUBIZ FZE</v>
      </c>
      <c r="H5603" s="14" t="str">
        <f t="shared" si="174"/>
        <v>true</v>
      </c>
      <c r="I5603" s="14" t="s">
        <v>2458</v>
      </c>
      <c r="J5603" s="33" t="s">
        <v>7110</v>
      </c>
      <c r="K5603" s="33" t="s">
        <v>13739</v>
      </c>
      <c r="L5603" s="53" t="str">
        <f t="shared" si="179"/>
        <v>پاکستان</v>
      </c>
      <c r="M5603" s="68" t="str">
        <f>"بشكه"</f>
        <v>بشكه</v>
      </c>
      <c r="N5603" s="53" t="str">
        <f>"تفتان (ميرجاوه)"</f>
        <v>تفتان (ميرجاوه)</v>
      </c>
      <c r="O5603" s="53">
        <v>55200</v>
      </c>
      <c r="P5603" s="198" t="str">
        <f>"1396542481001"</f>
        <v>1396542481001</v>
      </c>
    </row>
    <row r="5604" spans="1:16" ht="18.75" hidden="1">
      <c r="A5604" s="50" t="str">
        <f>"15100-581957"</f>
        <v>15100-581957</v>
      </c>
      <c r="B5604" s="50" t="str">
        <f>"97/02/18"</f>
        <v>97/02/18</v>
      </c>
      <c r="C5604" s="50" t="s">
        <v>13718</v>
      </c>
      <c r="D5604" s="12" t="s">
        <v>13184</v>
      </c>
      <c r="E5604" s="12" t="s">
        <v>13333</v>
      </c>
      <c r="F5604" s="49">
        <v>40000</v>
      </c>
      <c r="G5604" s="77" t="str">
        <f>"HERAT GHORBAND CONSTRUCTION COMPANY"</f>
        <v>HERAT GHORBAND CONSTRUCTION COMPANY</v>
      </c>
      <c r="H5604" s="14" t="str">
        <f t="shared" si="174"/>
        <v>true</v>
      </c>
      <c r="I5604" s="14" t="s">
        <v>2458</v>
      </c>
      <c r="J5604" s="33" t="s">
        <v>7110</v>
      </c>
      <c r="K5604" s="33" t="s">
        <v>13739</v>
      </c>
      <c r="L5604" s="53" t="str">
        <f t="shared" si="179"/>
        <v>پاکستان</v>
      </c>
      <c r="M5604" s="68" t="str">
        <f t="shared" ref="M5604:M5609" si="181">"فله"</f>
        <v>فله</v>
      </c>
      <c r="N5604" s="53" t="str">
        <f>"پيشين"</f>
        <v>پيشين</v>
      </c>
      <c r="O5604" s="53">
        <v>55301</v>
      </c>
      <c r="P5604" s="198" t="str">
        <f>"1396553902001"</f>
        <v>1396553902001</v>
      </c>
    </row>
    <row r="5605" spans="1:16" ht="18.75" hidden="1">
      <c r="A5605" s="50" t="str">
        <f>"15100-581265"</f>
        <v>15100-581265</v>
      </c>
      <c r="B5605" s="50" t="str">
        <f>"97/02/17"</f>
        <v>97/02/17</v>
      </c>
      <c r="C5605" s="50" t="s">
        <v>13728</v>
      </c>
      <c r="D5605" s="12" t="s">
        <v>13356</v>
      </c>
      <c r="E5605" s="12" t="s">
        <v>13333</v>
      </c>
      <c r="F5605" s="49">
        <v>32100</v>
      </c>
      <c r="G5605" s="77" t="str">
        <f>"M/S J.K. Khan Group"</f>
        <v>M/S J.K. Khan Group</v>
      </c>
      <c r="H5605" s="14" t="str">
        <f t="shared" si="174"/>
        <v>true</v>
      </c>
      <c r="I5605" s="14" t="s">
        <v>2458</v>
      </c>
      <c r="J5605" s="33" t="s">
        <v>7110</v>
      </c>
      <c r="K5605" s="33" t="s">
        <v>13739</v>
      </c>
      <c r="L5605" s="53" t="str">
        <f t="shared" si="179"/>
        <v>پاکستان</v>
      </c>
      <c r="M5605" s="68" t="str">
        <f t="shared" si="181"/>
        <v>فله</v>
      </c>
      <c r="N5605" s="53" t="str">
        <f>"بازارچه کوهک سراوان"</f>
        <v>بازارچه کوهک سراوان</v>
      </c>
      <c r="O5605" s="53">
        <v>55107</v>
      </c>
      <c r="P5605" s="198" t="str">
        <f>"1396552143001"</f>
        <v>1396552143001</v>
      </c>
    </row>
    <row r="5606" spans="1:16" ht="18.75" hidden="1">
      <c r="A5606" s="50" t="str">
        <f>"15100-580511"</f>
        <v>15100-580511</v>
      </c>
      <c r="B5606" s="50" t="str">
        <f>"97/02/16"</f>
        <v>97/02/16</v>
      </c>
      <c r="C5606" s="50" t="s">
        <v>13799</v>
      </c>
      <c r="D5606" s="12" t="s">
        <v>13563</v>
      </c>
      <c r="E5606" s="12" t="s">
        <v>13333</v>
      </c>
      <c r="F5606" s="49">
        <v>22560</v>
      </c>
      <c r="G5606" s="77" t="str">
        <f>"DAXON PETROLEUM"</f>
        <v>DAXON PETROLEUM</v>
      </c>
      <c r="H5606" s="14" t="str">
        <f t="shared" si="174"/>
        <v>true</v>
      </c>
      <c r="I5606" s="14" t="s">
        <v>2458</v>
      </c>
      <c r="J5606" s="33" t="s">
        <v>7110</v>
      </c>
      <c r="K5606" s="33" t="s">
        <v>13739</v>
      </c>
      <c r="L5606" s="53" t="str">
        <f t="shared" si="179"/>
        <v>پاکستان</v>
      </c>
      <c r="M5606" s="68" t="str">
        <f t="shared" si="181"/>
        <v>فله</v>
      </c>
      <c r="N5606" s="53" t="str">
        <f>"پيشين"</f>
        <v>پيشين</v>
      </c>
      <c r="O5606" s="53">
        <v>55301</v>
      </c>
      <c r="P5606" s="198" t="str">
        <f>"1396548708001"</f>
        <v>1396548708001</v>
      </c>
    </row>
    <row r="5607" spans="1:16" ht="18.75" hidden="1">
      <c r="A5607" s="50" t="str">
        <f>"15100-581265"</f>
        <v>15100-581265</v>
      </c>
      <c r="B5607" s="50" t="str">
        <f>"97/02/17"</f>
        <v>97/02/17</v>
      </c>
      <c r="C5607" s="50" t="s">
        <v>13631</v>
      </c>
      <c r="D5607" s="12" t="s">
        <v>13385</v>
      </c>
      <c r="E5607" s="12" t="s">
        <v>13333</v>
      </c>
      <c r="F5607" s="49">
        <v>6060</v>
      </c>
      <c r="G5607" s="77" t="str">
        <f>"M/S J.K. Khan Group"</f>
        <v>M/S J.K. Khan Group</v>
      </c>
      <c r="H5607" s="14" t="str">
        <f t="shared" si="174"/>
        <v>true</v>
      </c>
      <c r="I5607" s="14" t="s">
        <v>2458</v>
      </c>
      <c r="J5607" s="33" t="s">
        <v>7110</v>
      </c>
      <c r="K5607" s="33" t="s">
        <v>13739</v>
      </c>
      <c r="L5607" s="53" t="str">
        <f t="shared" si="179"/>
        <v>پاکستان</v>
      </c>
      <c r="M5607" s="68" t="str">
        <f t="shared" si="181"/>
        <v>فله</v>
      </c>
      <c r="N5607" s="53" t="str">
        <f>"بازارچه کوهک سراوان"</f>
        <v>بازارچه کوهک سراوان</v>
      </c>
      <c r="O5607" s="53">
        <v>55107</v>
      </c>
      <c r="P5607" s="198" t="str">
        <f>"1396552143001"</f>
        <v>1396552143001</v>
      </c>
    </row>
    <row r="5608" spans="1:16" ht="18.75" hidden="1">
      <c r="A5608" s="50" t="str">
        <f>"15100-580511"</f>
        <v>15100-580511</v>
      </c>
      <c r="B5608" s="50" t="str">
        <f>"97/02/16"</f>
        <v>97/02/16</v>
      </c>
      <c r="C5608" s="50" t="s">
        <v>13616</v>
      </c>
      <c r="D5608" s="12" t="s">
        <v>13356</v>
      </c>
      <c r="E5608" s="12" t="s">
        <v>13333</v>
      </c>
      <c r="F5608" s="49">
        <v>91220</v>
      </c>
      <c r="G5608" s="77" t="str">
        <f>"SHINING GREEN STAR FZE"</f>
        <v>SHINING GREEN STAR FZE</v>
      </c>
      <c r="H5608" s="14" t="str">
        <f t="shared" si="174"/>
        <v>true</v>
      </c>
      <c r="I5608" s="14" t="s">
        <v>2458</v>
      </c>
      <c r="J5608" s="33" t="e">
        <f>VLOOKUP(C5608,شرکتها!A:B,2,FALSE)</f>
        <v>#N/A</v>
      </c>
      <c r="K5608" s="33" t="s">
        <v>13739</v>
      </c>
      <c r="L5608" s="53" t="str">
        <f t="shared" si="179"/>
        <v>پاکستان</v>
      </c>
      <c r="M5608" s="68" t="str">
        <f t="shared" si="181"/>
        <v>فله</v>
      </c>
      <c r="N5608" s="53" t="str">
        <f t="shared" ref="N5608:N5613" si="182">"پيشين"</f>
        <v>پيشين</v>
      </c>
      <c r="O5608" s="53">
        <v>55301</v>
      </c>
      <c r="P5608" s="198" t="str">
        <f>"1396548703001"</f>
        <v>1396548703001</v>
      </c>
    </row>
    <row r="5609" spans="1:16" ht="18.75" hidden="1">
      <c r="A5609" s="50" t="str">
        <f>"15100-580511"</f>
        <v>15100-580511</v>
      </c>
      <c r="B5609" s="50" t="str">
        <f>"97/02/16"</f>
        <v>97/02/16</v>
      </c>
      <c r="C5609" s="50" t="s">
        <v>13800</v>
      </c>
      <c r="D5609" s="12" t="s">
        <v>13549</v>
      </c>
      <c r="E5609" s="12" t="s">
        <v>13333</v>
      </c>
      <c r="F5609" s="49">
        <v>66240</v>
      </c>
      <c r="G5609" s="77" t="str">
        <f>"West Asia Sun LLC"</f>
        <v>West Asia Sun LLC</v>
      </c>
      <c r="H5609" s="14" t="str">
        <f t="shared" si="174"/>
        <v>true</v>
      </c>
      <c r="I5609" s="14" t="s">
        <v>2458</v>
      </c>
      <c r="J5609" s="33" t="s">
        <v>7110</v>
      </c>
      <c r="K5609" s="33" t="s">
        <v>13739</v>
      </c>
      <c r="L5609" s="53" t="str">
        <f t="shared" si="179"/>
        <v>پاکستان</v>
      </c>
      <c r="M5609" s="68" t="str">
        <f t="shared" si="181"/>
        <v>فله</v>
      </c>
      <c r="N5609" s="53" t="str">
        <f t="shared" si="182"/>
        <v>پيشين</v>
      </c>
      <c r="O5609" s="53">
        <v>55301</v>
      </c>
      <c r="P5609" s="198" t="str">
        <f>"1397558724001"</f>
        <v>1397558724001</v>
      </c>
    </row>
    <row r="5610" spans="1:16" ht="18.75" hidden="1">
      <c r="A5610" s="50" t="str">
        <f>"15100-583488"</f>
        <v>15100-583488</v>
      </c>
      <c r="B5610" s="50" t="str">
        <f>"97/02/20"</f>
        <v>97/02/20</v>
      </c>
      <c r="C5610" s="50" t="s">
        <v>13794</v>
      </c>
      <c r="D5610" s="12" t="s">
        <v>13318</v>
      </c>
      <c r="E5610" s="12" t="s">
        <v>13333</v>
      </c>
      <c r="F5610" s="49">
        <v>180180</v>
      </c>
      <c r="G5610" s="77" t="str">
        <f>"DAXON PETROLEUM"</f>
        <v>DAXON PETROLEUM</v>
      </c>
      <c r="H5610" s="14" t="str">
        <f t="shared" si="174"/>
        <v>true</v>
      </c>
      <c r="I5610" s="14" t="s">
        <v>2458</v>
      </c>
      <c r="J5610" s="33" t="s">
        <v>7110</v>
      </c>
      <c r="K5610" s="33" t="s">
        <v>13739</v>
      </c>
      <c r="L5610" s="53" t="str">
        <f t="shared" si="179"/>
        <v>پاکستان</v>
      </c>
      <c r="M5610" s="68" t="str">
        <f>"بشكه"</f>
        <v>بشكه</v>
      </c>
      <c r="N5610" s="53" t="str">
        <f t="shared" si="182"/>
        <v>پيشين</v>
      </c>
      <c r="O5610" s="53">
        <v>55301</v>
      </c>
      <c r="P5610" s="198" t="str">
        <f>"1396548700001"</f>
        <v>1396548700001</v>
      </c>
    </row>
    <row r="5611" spans="1:16" ht="18.75" hidden="1">
      <c r="A5611" s="50" t="str">
        <f>"15100-580511"</f>
        <v>15100-580511</v>
      </c>
      <c r="B5611" s="50" t="str">
        <f>"97/02/16"</f>
        <v>97/02/16</v>
      </c>
      <c r="C5611" s="50" t="s">
        <v>13798</v>
      </c>
      <c r="D5611" s="12" t="s">
        <v>13549</v>
      </c>
      <c r="E5611" s="12" t="s">
        <v>13333</v>
      </c>
      <c r="F5611" s="49">
        <v>161620</v>
      </c>
      <c r="G5611" s="77" t="str">
        <f>"LEADING IN HIGHER OBJECTIVES LLC"</f>
        <v>LEADING IN HIGHER OBJECTIVES LLC</v>
      </c>
      <c r="H5611" s="14" t="str">
        <f t="shared" si="174"/>
        <v>true</v>
      </c>
      <c r="I5611" s="14" t="s">
        <v>2458</v>
      </c>
      <c r="J5611" s="33" t="s">
        <v>7110</v>
      </c>
      <c r="K5611" s="33" t="s">
        <v>13739</v>
      </c>
      <c r="L5611" s="53" t="str">
        <f t="shared" si="179"/>
        <v>پاکستان</v>
      </c>
      <c r="M5611" s="68" t="str">
        <f t="shared" ref="M5611:M5617" si="183">"فله"</f>
        <v>فله</v>
      </c>
      <c r="N5611" s="53" t="str">
        <f t="shared" si="182"/>
        <v>پيشين</v>
      </c>
      <c r="O5611" s="53">
        <v>55301</v>
      </c>
      <c r="P5611" s="198" t="str">
        <f>"1397558721001"</f>
        <v>1397558721001</v>
      </c>
    </row>
    <row r="5612" spans="1:16" ht="18.75" hidden="1">
      <c r="A5612" s="50" t="str">
        <f>"15100-580511"</f>
        <v>15100-580511</v>
      </c>
      <c r="B5612" s="50" t="str">
        <f>"97/02/16"</f>
        <v>97/02/16</v>
      </c>
      <c r="C5612" s="50" t="s">
        <v>13697</v>
      </c>
      <c r="D5612" s="12" t="s">
        <v>13672</v>
      </c>
      <c r="E5612" s="12" t="s">
        <v>13333</v>
      </c>
      <c r="F5612" s="49">
        <v>84100</v>
      </c>
      <c r="G5612" s="77" t="str">
        <f>"PETRO FOLIO"</f>
        <v>PETRO FOLIO</v>
      </c>
      <c r="H5612" s="14" t="str">
        <f t="shared" si="174"/>
        <v>true</v>
      </c>
      <c r="I5612" s="14" t="s">
        <v>2458</v>
      </c>
      <c r="J5612" s="33" t="s">
        <v>7110</v>
      </c>
      <c r="K5612" s="33" t="s">
        <v>13739</v>
      </c>
      <c r="L5612" s="53" t="str">
        <f t="shared" si="179"/>
        <v>پاکستان</v>
      </c>
      <c r="M5612" s="68" t="str">
        <f t="shared" si="183"/>
        <v>فله</v>
      </c>
      <c r="N5612" s="53" t="str">
        <f t="shared" si="182"/>
        <v>پيشين</v>
      </c>
      <c r="O5612" s="53">
        <v>55301</v>
      </c>
      <c r="P5612" s="198" t="str">
        <f>"1397558725001"</f>
        <v>1397558725001</v>
      </c>
    </row>
    <row r="5613" spans="1:16" ht="18.75" hidden="1">
      <c r="A5613" s="50" t="str">
        <f>"15100-580511"</f>
        <v>15100-580511</v>
      </c>
      <c r="B5613" s="50" t="str">
        <f>"97/02/16"</f>
        <v>97/02/16</v>
      </c>
      <c r="C5613" s="50" t="s">
        <v>13719</v>
      </c>
      <c r="D5613" s="12" t="s">
        <v>13549</v>
      </c>
      <c r="E5613" s="12" t="s">
        <v>13333</v>
      </c>
      <c r="F5613" s="49">
        <v>69140</v>
      </c>
      <c r="G5613" s="77" t="str">
        <f>"PETRO FOLIO"</f>
        <v>PETRO FOLIO</v>
      </c>
      <c r="H5613" s="14" t="str">
        <f t="shared" si="174"/>
        <v>true</v>
      </c>
      <c r="I5613" s="14" t="s">
        <v>2458</v>
      </c>
      <c r="J5613" s="33" t="s">
        <v>7110</v>
      </c>
      <c r="K5613" s="33" t="s">
        <v>13739</v>
      </c>
      <c r="L5613" s="53" t="str">
        <f t="shared" si="179"/>
        <v>پاکستان</v>
      </c>
      <c r="M5613" s="68" t="str">
        <f t="shared" si="183"/>
        <v>فله</v>
      </c>
      <c r="N5613" s="53" t="str">
        <f t="shared" si="182"/>
        <v>پيشين</v>
      </c>
      <c r="O5613" s="53">
        <v>55301</v>
      </c>
      <c r="P5613" s="198" t="str">
        <f>"1397558725001"</f>
        <v>1397558725001</v>
      </c>
    </row>
    <row r="5614" spans="1:16" ht="18.75" hidden="1">
      <c r="A5614" s="50" t="str">
        <f>"15100-581265"</f>
        <v>15100-581265</v>
      </c>
      <c r="B5614" s="50" t="str">
        <f>"97/02/17"</f>
        <v>97/02/17</v>
      </c>
      <c r="C5614" s="50" t="s">
        <v>13720</v>
      </c>
      <c r="D5614" s="12" t="s">
        <v>13672</v>
      </c>
      <c r="E5614" s="12" t="s">
        <v>13333</v>
      </c>
      <c r="F5614" s="49">
        <v>15000</v>
      </c>
      <c r="G5614" s="77" t="str">
        <f>"M/S J.K. Khan Group"</f>
        <v>M/S J.K. Khan Group</v>
      </c>
      <c r="H5614" s="14" t="str">
        <f t="shared" si="174"/>
        <v>true</v>
      </c>
      <c r="I5614" s="14" t="s">
        <v>2458</v>
      </c>
      <c r="J5614" s="33" t="s">
        <v>7110</v>
      </c>
      <c r="K5614" s="33" t="s">
        <v>13739</v>
      </c>
      <c r="L5614" s="53" t="str">
        <f t="shared" si="179"/>
        <v>پاکستان</v>
      </c>
      <c r="M5614" s="68" t="str">
        <f t="shared" si="183"/>
        <v>فله</v>
      </c>
      <c r="N5614" s="53" t="str">
        <f>"بازارچه کوهک سراوان"</f>
        <v>بازارچه کوهک سراوان</v>
      </c>
      <c r="O5614" s="53">
        <v>55107</v>
      </c>
      <c r="P5614" s="198" t="str">
        <f>"1396544239001"</f>
        <v>1396544239001</v>
      </c>
    </row>
    <row r="5615" spans="1:16" ht="18.75" hidden="1">
      <c r="A5615" s="50" t="str">
        <f>"15100-581265"</f>
        <v>15100-581265</v>
      </c>
      <c r="B5615" s="50" t="str">
        <f>"97/02/17"</f>
        <v>97/02/17</v>
      </c>
      <c r="C5615" s="50" t="s">
        <v>13683</v>
      </c>
      <c r="D5615" s="12" t="s">
        <v>13310</v>
      </c>
      <c r="E5615" s="12" t="s">
        <v>13333</v>
      </c>
      <c r="F5615" s="49">
        <v>44600</v>
      </c>
      <c r="G5615" s="77" t="str">
        <f>"M/S J.K. Khan Group"</f>
        <v>M/S J.K. Khan Group</v>
      </c>
      <c r="H5615" s="14" t="str">
        <f t="shared" si="174"/>
        <v>true</v>
      </c>
      <c r="I5615" s="14" t="s">
        <v>2458</v>
      </c>
      <c r="J5615" s="33" t="s">
        <v>7110</v>
      </c>
      <c r="K5615" s="33" t="s">
        <v>13739</v>
      </c>
      <c r="L5615" s="53" t="str">
        <f t="shared" si="179"/>
        <v>پاکستان</v>
      </c>
      <c r="M5615" s="68" t="str">
        <f t="shared" si="183"/>
        <v>فله</v>
      </c>
      <c r="N5615" s="53" t="str">
        <f>"بازارچه کوهک سراوان"</f>
        <v>بازارچه کوهک سراوان</v>
      </c>
      <c r="O5615" s="53">
        <v>55107</v>
      </c>
      <c r="P5615" s="198" t="str">
        <f>"1396552143001"</f>
        <v>1396552143001</v>
      </c>
    </row>
    <row r="5616" spans="1:16" ht="18.75" hidden="1">
      <c r="A5616" s="50" t="str">
        <f>"15100-581957"</f>
        <v>15100-581957</v>
      </c>
      <c r="B5616" s="50" t="str">
        <f>"97/02/18"</f>
        <v>97/02/18</v>
      </c>
      <c r="C5616" s="50" t="s">
        <v>13791</v>
      </c>
      <c r="D5616" s="12" t="s">
        <v>13343</v>
      </c>
      <c r="E5616" s="12" t="s">
        <v>13333</v>
      </c>
      <c r="F5616" s="49">
        <v>259780</v>
      </c>
      <c r="G5616" s="77" t="str">
        <f>"DAXON PETROLEUM"</f>
        <v>DAXON PETROLEUM</v>
      </c>
      <c r="H5616" s="14" t="str">
        <f t="shared" si="174"/>
        <v>true</v>
      </c>
      <c r="I5616" s="14" t="s">
        <v>2458</v>
      </c>
      <c r="J5616" s="33" t="s">
        <v>7110</v>
      </c>
      <c r="K5616" s="33" t="s">
        <v>13739</v>
      </c>
      <c r="L5616" s="53" t="str">
        <f t="shared" si="179"/>
        <v>پاکستان</v>
      </c>
      <c r="M5616" s="68" t="str">
        <f t="shared" si="183"/>
        <v>فله</v>
      </c>
      <c r="N5616" s="53" t="str">
        <f>"پيشين"</f>
        <v>پيشين</v>
      </c>
      <c r="O5616" s="53">
        <v>55301</v>
      </c>
      <c r="P5616" s="198" t="str">
        <f>"1396548700001"</f>
        <v>1396548700001</v>
      </c>
    </row>
    <row r="5617" spans="1:16" ht="18.75" hidden="1">
      <c r="A5617" s="50" t="str">
        <f>"15100-581966"</f>
        <v>15100-581966</v>
      </c>
      <c r="B5617" s="50" t="str">
        <f>"97/02/18"</f>
        <v>97/02/18</v>
      </c>
      <c r="C5617" s="50" t="s">
        <v>13801</v>
      </c>
      <c r="D5617" s="12" t="s">
        <v>13563</v>
      </c>
      <c r="E5617" s="12" t="s">
        <v>13333</v>
      </c>
      <c r="F5617" s="49">
        <v>7540</v>
      </c>
      <c r="G5617" s="77" t="str">
        <f>"SHINING GREEN STAR FZE"</f>
        <v>SHINING GREEN STAR FZE</v>
      </c>
      <c r="H5617" s="14" t="str">
        <f t="shared" si="174"/>
        <v>true</v>
      </c>
      <c r="I5617" s="14" t="s">
        <v>2458</v>
      </c>
      <c r="J5617" s="33" t="e">
        <f>VLOOKUP(C5617,شرکتها!A:B,2,FALSE)</f>
        <v>#N/A</v>
      </c>
      <c r="K5617" s="33" t="s">
        <v>13739</v>
      </c>
      <c r="L5617" s="53" t="str">
        <f t="shared" si="179"/>
        <v>پاکستان</v>
      </c>
      <c r="M5617" s="68" t="str">
        <f t="shared" si="183"/>
        <v>فله</v>
      </c>
      <c r="N5617" s="53" t="str">
        <f>"بازارچه ريمدان"</f>
        <v>بازارچه ريمدان</v>
      </c>
      <c r="O5617" s="53">
        <v>55112</v>
      </c>
      <c r="P5617" s="198" t="str">
        <f>"1396548703001"</f>
        <v>1396548703001</v>
      </c>
    </row>
    <row r="5618" spans="1:16" ht="18.75" hidden="1">
      <c r="A5618" s="50" t="str">
        <f>"15100-583485"</f>
        <v>15100-583485</v>
      </c>
      <c r="B5618" s="50" t="str">
        <f>"97/02/20"</f>
        <v>97/02/20</v>
      </c>
      <c r="C5618" s="50" t="s">
        <v>13707</v>
      </c>
      <c r="D5618" s="12" t="s">
        <v>13380</v>
      </c>
      <c r="E5618" s="12" t="s">
        <v>13333</v>
      </c>
      <c r="F5618" s="49">
        <v>69850</v>
      </c>
      <c r="G5618" s="77" t="str">
        <f>"DAXON PETROLEUM"</f>
        <v>DAXON PETROLEUM</v>
      </c>
      <c r="H5618" s="14" t="str">
        <f t="shared" si="174"/>
        <v>true</v>
      </c>
      <c r="I5618" s="14" t="s">
        <v>2458</v>
      </c>
      <c r="J5618" s="33" t="s">
        <v>7110</v>
      </c>
      <c r="K5618" s="33" t="s">
        <v>13739</v>
      </c>
      <c r="L5618" s="53" t="str">
        <f t="shared" si="179"/>
        <v>پاکستان</v>
      </c>
      <c r="M5618" s="68" t="str">
        <f>"بشكه"</f>
        <v>بشكه</v>
      </c>
      <c r="N5618" s="53" t="str">
        <f>"بازارچه ريمدان"</f>
        <v>بازارچه ريمدان</v>
      </c>
      <c r="O5618" s="53">
        <v>55112</v>
      </c>
      <c r="P5618" s="198" t="str">
        <f>"1396548700001"</f>
        <v>1396548700001</v>
      </c>
    </row>
    <row r="5619" spans="1:16" ht="18.75" hidden="1">
      <c r="A5619" s="50" t="str">
        <f>"15100-581966"</f>
        <v>15100-581966</v>
      </c>
      <c r="B5619" s="50" t="str">
        <f>"97/02/18"</f>
        <v>97/02/18</v>
      </c>
      <c r="C5619" s="50" t="s">
        <v>13616</v>
      </c>
      <c r="D5619" s="12" t="s">
        <v>13356</v>
      </c>
      <c r="E5619" s="12" t="s">
        <v>13333</v>
      </c>
      <c r="F5619" s="49">
        <v>60580</v>
      </c>
      <c r="G5619" s="77" t="str">
        <f>"SHINING GREEN STAR FZE"</f>
        <v>SHINING GREEN STAR FZE</v>
      </c>
      <c r="H5619" s="14" t="str">
        <f t="shared" si="174"/>
        <v>true</v>
      </c>
      <c r="I5619" s="14" t="s">
        <v>2458</v>
      </c>
      <c r="J5619" s="33" t="e">
        <f>VLOOKUP(C5619,شرکتها!A:B,2,FALSE)</f>
        <v>#N/A</v>
      </c>
      <c r="K5619" s="33" t="s">
        <v>13739</v>
      </c>
      <c r="L5619" s="53" t="str">
        <f t="shared" si="179"/>
        <v>پاکستان</v>
      </c>
      <c r="M5619" s="68" t="str">
        <f>"فله"</f>
        <v>فله</v>
      </c>
      <c r="N5619" s="53" t="str">
        <f>"بازارچه ريمدان"</f>
        <v>بازارچه ريمدان</v>
      </c>
      <c r="O5619" s="53">
        <v>55112</v>
      </c>
      <c r="P5619" s="198" t="str">
        <f>"1396548703001"</f>
        <v>1396548703001</v>
      </c>
    </row>
    <row r="5620" spans="1:16" ht="18.75" hidden="1">
      <c r="A5620" s="50" t="str">
        <f>"15100-581957"</f>
        <v>15100-581957</v>
      </c>
      <c r="B5620" s="50" t="str">
        <f>"97/02/18"</f>
        <v>97/02/18</v>
      </c>
      <c r="C5620" s="50" t="s">
        <v>13616</v>
      </c>
      <c r="D5620" s="12" t="s">
        <v>13356</v>
      </c>
      <c r="E5620" s="12" t="s">
        <v>13333</v>
      </c>
      <c r="F5620" s="49">
        <v>4400</v>
      </c>
      <c r="G5620" s="77" t="str">
        <f>"SHINING GREEN STAR FZE"</f>
        <v>SHINING GREEN STAR FZE</v>
      </c>
      <c r="H5620" s="14" t="str">
        <f t="shared" si="174"/>
        <v>true</v>
      </c>
      <c r="I5620" s="14" t="s">
        <v>2458</v>
      </c>
      <c r="J5620" s="33" t="e">
        <f>VLOOKUP(C5620,شرکتها!A:B,2,FALSE)</f>
        <v>#N/A</v>
      </c>
      <c r="K5620" s="33" t="s">
        <v>13739</v>
      </c>
      <c r="L5620" s="53" t="str">
        <f t="shared" si="179"/>
        <v>پاکستان</v>
      </c>
      <c r="M5620" s="68" t="str">
        <f>"فله"</f>
        <v>فله</v>
      </c>
      <c r="N5620" s="53" t="str">
        <f>"پيشين"</f>
        <v>پيشين</v>
      </c>
      <c r="O5620" s="53">
        <v>55301</v>
      </c>
      <c r="P5620" s="198" t="str">
        <f>"1396548703001"</f>
        <v>1396548703001</v>
      </c>
    </row>
    <row r="5621" spans="1:16" ht="18.75" hidden="1">
      <c r="A5621" s="50" t="str">
        <f>"15100-583515"</f>
        <v>15100-583515</v>
      </c>
      <c r="B5621" s="50" t="str">
        <f>"97/02/20"</f>
        <v>97/02/20</v>
      </c>
      <c r="C5621" s="50" t="s">
        <v>13802</v>
      </c>
      <c r="D5621" s="12" t="s">
        <v>13318</v>
      </c>
      <c r="E5621" s="12" t="s">
        <v>13333</v>
      </c>
      <c r="F5621" s="49">
        <v>24440</v>
      </c>
      <c r="G5621" s="77" t="str">
        <f>"DAXON PETROLEUM"</f>
        <v>DAXON PETROLEUM</v>
      </c>
      <c r="H5621" s="14" t="str">
        <f t="shared" ref="H5621:H5639" si="184">IF(I5621="نامشخص",IF(E5621&gt;C5621,"false","true"),IF(E5621&gt;I5621,"false","true"))</f>
        <v>true</v>
      </c>
      <c r="I5621" s="14" t="s">
        <v>2458</v>
      </c>
      <c r="J5621" s="33" t="s">
        <v>7110</v>
      </c>
      <c r="K5621" s="33" t="s">
        <v>13739</v>
      </c>
      <c r="L5621" s="53" t="str">
        <f t="shared" si="179"/>
        <v>پاکستان</v>
      </c>
      <c r="M5621" s="68" t="str">
        <f>"فله"</f>
        <v>فله</v>
      </c>
      <c r="N5621" s="53" t="str">
        <f>"تفتان (ميرجاوه)"</f>
        <v>تفتان (ميرجاوه)</v>
      </c>
      <c r="O5621" s="53">
        <v>55200</v>
      </c>
      <c r="P5621" s="198" t="str">
        <f>"1396548700001"</f>
        <v>1396548700001</v>
      </c>
    </row>
    <row r="5622" spans="1:16" ht="18.75" hidden="1">
      <c r="A5622" s="50" t="str">
        <f>"15100-583479"</f>
        <v>15100-583479</v>
      </c>
      <c r="B5622" s="50" t="str">
        <f>"97/02/20"</f>
        <v>97/02/20</v>
      </c>
      <c r="C5622" s="50" t="s">
        <v>13803</v>
      </c>
      <c r="D5622" s="12" t="s">
        <v>13318</v>
      </c>
      <c r="E5622" s="12" t="s">
        <v>13333</v>
      </c>
      <c r="F5622" s="49">
        <v>147520</v>
      </c>
      <c r="G5622" s="77" t="str">
        <f>"DAXON PETROLEUM"</f>
        <v>DAXON PETROLEUM</v>
      </c>
      <c r="H5622" s="14" t="str">
        <f t="shared" si="184"/>
        <v>true</v>
      </c>
      <c r="I5622" s="14" t="s">
        <v>2458</v>
      </c>
      <c r="J5622" s="33" t="s">
        <v>7110</v>
      </c>
      <c r="K5622" s="33" t="s">
        <v>13739</v>
      </c>
      <c r="L5622" s="53" t="str">
        <f t="shared" si="179"/>
        <v>پاکستان</v>
      </c>
      <c r="M5622" s="68" t="str">
        <f>"بشكه"</f>
        <v>بشكه</v>
      </c>
      <c r="N5622" s="53" t="str">
        <f>"بازارچه کوهک سراوان"</f>
        <v>بازارچه کوهک سراوان</v>
      </c>
      <c r="O5622" s="53">
        <v>55107</v>
      </c>
      <c r="P5622" s="198" t="str">
        <f>"1396548700001"</f>
        <v>1396548700001</v>
      </c>
    </row>
    <row r="5623" spans="1:16" ht="18.75" hidden="1">
      <c r="A5623" s="50" t="str">
        <f>"15100-582761"</f>
        <v>15100-582761</v>
      </c>
      <c r="B5623" s="50" t="str">
        <f>"97/02/19"</f>
        <v>97/02/19</v>
      </c>
      <c r="C5623" s="50" t="s">
        <v>13804</v>
      </c>
      <c r="D5623" s="12" t="s">
        <v>9832</v>
      </c>
      <c r="E5623" s="12" t="s">
        <v>4971</v>
      </c>
      <c r="F5623" s="49">
        <v>199900</v>
      </c>
      <c r="G5623" s="77" t="str">
        <f>"M/S J.K. Khan Group"</f>
        <v>M/S J.K. Khan Group</v>
      </c>
      <c r="H5623" s="14" t="str">
        <f t="shared" si="184"/>
        <v>true</v>
      </c>
      <c r="I5623" s="14" t="s">
        <v>2458</v>
      </c>
      <c r="J5623" s="33" t="s">
        <v>7110</v>
      </c>
      <c r="K5623" s="33" t="s">
        <v>13739</v>
      </c>
      <c r="L5623" s="53" t="str">
        <f t="shared" si="179"/>
        <v>پاکستان</v>
      </c>
      <c r="M5623" s="68" t="str">
        <f>"فله"</f>
        <v>فله</v>
      </c>
      <c r="N5623" s="53" t="str">
        <f>"پيشين"</f>
        <v>پيشين</v>
      </c>
      <c r="O5623" s="53">
        <v>55301</v>
      </c>
      <c r="P5623" s="198" t="str">
        <f>"1396516973001"</f>
        <v>1396516973001</v>
      </c>
    </row>
    <row r="5624" spans="1:16" ht="18.75" hidden="1">
      <c r="A5624" s="50" t="str">
        <f>"15100-582761"</f>
        <v>15100-582761</v>
      </c>
      <c r="B5624" s="50" t="str">
        <f>"97/02/19"</f>
        <v>97/02/19</v>
      </c>
      <c r="C5624" s="50" t="s">
        <v>13805</v>
      </c>
      <c r="D5624" s="12" t="s">
        <v>9934</v>
      </c>
      <c r="E5624" s="12" t="s">
        <v>4971</v>
      </c>
      <c r="F5624" s="49">
        <v>128960</v>
      </c>
      <c r="G5624" s="77" t="str">
        <f>"M/S J.K. Khan Group"</f>
        <v>M/S J.K. Khan Group</v>
      </c>
      <c r="H5624" s="14" t="str">
        <f t="shared" si="184"/>
        <v>true</v>
      </c>
      <c r="I5624" s="14" t="s">
        <v>2458</v>
      </c>
      <c r="J5624" s="33" t="s">
        <v>7110</v>
      </c>
      <c r="K5624" s="33" t="s">
        <v>13739</v>
      </c>
      <c r="L5624" s="53" t="str">
        <f t="shared" si="179"/>
        <v>پاکستان</v>
      </c>
      <c r="M5624" s="68" t="str">
        <f>"فله"</f>
        <v>فله</v>
      </c>
      <c r="N5624" s="53" t="str">
        <f>"پيشين"</f>
        <v>پيشين</v>
      </c>
      <c r="O5624" s="53">
        <v>55301</v>
      </c>
      <c r="P5624" s="198" t="str">
        <f>"1396521455001"</f>
        <v>1396521455001</v>
      </c>
    </row>
    <row r="5625" spans="1:16" ht="18.75" hidden="1">
      <c r="A5625" s="50" t="str">
        <f>"15100-583488"</f>
        <v>15100-583488</v>
      </c>
      <c r="B5625" s="50" t="str">
        <f>"97/02/20"</f>
        <v>97/02/20</v>
      </c>
      <c r="C5625" s="50" t="s">
        <v>13803</v>
      </c>
      <c r="D5625" s="12" t="s">
        <v>13318</v>
      </c>
      <c r="E5625" s="12" t="s">
        <v>13333</v>
      </c>
      <c r="F5625" s="49">
        <v>100710</v>
      </c>
      <c r="G5625" s="77" t="str">
        <f>"DAXON PETROLEUM"</f>
        <v>DAXON PETROLEUM</v>
      </c>
      <c r="H5625" s="14" t="str">
        <f t="shared" si="184"/>
        <v>true</v>
      </c>
      <c r="I5625" s="14" t="s">
        <v>2458</v>
      </c>
      <c r="J5625" s="33" t="s">
        <v>7110</v>
      </c>
      <c r="K5625" s="33" t="s">
        <v>13739</v>
      </c>
      <c r="L5625" s="53" t="str">
        <f t="shared" si="179"/>
        <v>پاکستان</v>
      </c>
      <c r="M5625" s="68" t="str">
        <f>"بشكه"</f>
        <v>بشكه</v>
      </c>
      <c r="N5625" s="53" t="str">
        <f>"پيشين"</f>
        <v>پيشين</v>
      </c>
      <c r="O5625" s="53">
        <v>55301</v>
      </c>
      <c r="P5625" s="198" t="str">
        <f>"1396548700001"</f>
        <v>1396548700001</v>
      </c>
    </row>
    <row r="5626" spans="1:16" ht="18.75" hidden="1">
      <c r="A5626" s="50" t="str">
        <f>"15100-581349"</f>
        <v>15100-581349</v>
      </c>
      <c r="B5626" s="50" t="str">
        <f>"97/02/17"</f>
        <v>97/02/17</v>
      </c>
      <c r="C5626" s="50" t="s">
        <v>13737</v>
      </c>
      <c r="D5626" s="12" t="s">
        <v>13672</v>
      </c>
      <c r="E5626" s="12" t="s">
        <v>13333</v>
      </c>
      <c r="F5626" s="49">
        <v>23620</v>
      </c>
      <c r="G5626" s="77" t="str">
        <f>"LEADING IN HIGHER OBJECTIVES LLC"</f>
        <v>LEADING IN HIGHER OBJECTIVES LLC</v>
      </c>
      <c r="H5626" s="14" t="str">
        <f t="shared" si="184"/>
        <v>true</v>
      </c>
      <c r="I5626" s="14" t="s">
        <v>2458</v>
      </c>
      <c r="J5626" s="33" t="s">
        <v>7110</v>
      </c>
      <c r="K5626" s="33" t="s">
        <v>13739</v>
      </c>
      <c r="L5626" s="53" t="str">
        <f t="shared" si="179"/>
        <v>پاکستان</v>
      </c>
      <c r="M5626" s="68" t="str">
        <f>"بشكه"</f>
        <v>بشكه</v>
      </c>
      <c r="N5626" s="53" t="str">
        <f>"بازارچه کوهک سراوان"</f>
        <v>بازارچه کوهک سراوان</v>
      </c>
      <c r="O5626" s="53">
        <v>55107</v>
      </c>
      <c r="P5626" s="198" t="str">
        <f>"1397558721001"</f>
        <v>1397558721001</v>
      </c>
    </row>
    <row r="5627" spans="1:16" ht="18.75" hidden="1">
      <c r="A5627" s="50" t="str">
        <f>"15100-583503"</f>
        <v>15100-583503</v>
      </c>
      <c r="B5627" s="50" t="str">
        <f>"97/02/20"</f>
        <v>97/02/20</v>
      </c>
      <c r="C5627" s="50" t="s">
        <v>13802</v>
      </c>
      <c r="D5627" s="12" t="s">
        <v>13318</v>
      </c>
      <c r="E5627" s="12" t="s">
        <v>13333</v>
      </c>
      <c r="F5627" s="49">
        <v>567160</v>
      </c>
      <c r="G5627" s="77" t="str">
        <f>"DAXON PETROLEUM"</f>
        <v>DAXON PETROLEUM</v>
      </c>
      <c r="H5627" s="14" t="str">
        <f t="shared" si="184"/>
        <v>true</v>
      </c>
      <c r="I5627" s="14" t="s">
        <v>2458</v>
      </c>
      <c r="J5627" s="33" t="s">
        <v>7110</v>
      </c>
      <c r="K5627" s="33" t="s">
        <v>13739</v>
      </c>
      <c r="L5627" s="53" t="str">
        <f t="shared" si="179"/>
        <v>پاکستان</v>
      </c>
      <c r="M5627" s="68" t="str">
        <f>"فله"</f>
        <v>فله</v>
      </c>
      <c r="N5627" s="53" t="str">
        <f>"پيشين"</f>
        <v>پيشين</v>
      </c>
      <c r="O5627" s="53">
        <v>55301</v>
      </c>
      <c r="P5627" s="198" t="str">
        <f>"1396548700001"</f>
        <v>1396548700001</v>
      </c>
    </row>
    <row r="5628" spans="1:16" ht="18.75" hidden="1">
      <c r="A5628" s="50" t="str">
        <f>"15100-582023"</f>
        <v>15100-582023</v>
      </c>
      <c r="B5628" s="50" t="str">
        <f>"97/02/18"</f>
        <v>97/02/18</v>
      </c>
      <c r="C5628" s="50" t="s">
        <v>13791</v>
      </c>
      <c r="D5628" s="12" t="s">
        <v>13343</v>
      </c>
      <c r="E5628" s="12" t="s">
        <v>13333</v>
      </c>
      <c r="F5628" s="49">
        <v>25480</v>
      </c>
      <c r="G5628" s="77" t="str">
        <f>"DAXON PETROLEUM"</f>
        <v>DAXON PETROLEUM</v>
      </c>
      <c r="H5628" s="14" t="str">
        <f t="shared" si="184"/>
        <v>true</v>
      </c>
      <c r="I5628" s="14" t="s">
        <v>2458</v>
      </c>
      <c r="J5628" s="33" t="s">
        <v>7110</v>
      </c>
      <c r="K5628" s="33" t="s">
        <v>13739</v>
      </c>
      <c r="L5628" s="53" t="str">
        <f t="shared" si="179"/>
        <v>پاکستان</v>
      </c>
      <c r="M5628" s="68" t="str">
        <f>"فله"</f>
        <v>فله</v>
      </c>
      <c r="N5628" s="53" t="str">
        <f>"بازارچه کوهک سراوان"</f>
        <v>بازارچه کوهک سراوان</v>
      </c>
      <c r="O5628" s="53">
        <v>55107</v>
      </c>
      <c r="P5628" s="198" t="str">
        <f>"1396548700001"</f>
        <v>1396548700001</v>
      </c>
    </row>
    <row r="5629" spans="1:16" ht="18.75" hidden="1">
      <c r="A5629" s="50" t="str">
        <f>"15100-582014"</f>
        <v>15100-582014</v>
      </c>
      <c r="B5629" s="50" t="str">
        <f>"97/02/18"</f>
        <v>97/02/18</v>
      </c>
      <c r="C5629" s="50" t="s">
        <v>13791</v>
      </c>
      <c r="D5629" s="12" t="s">
        <v>13343</v>
      </c>
      <c r="E5629" s="12" t="s">
        <v>13333</v>
      </c>
      <c r="F5629" s="49">
        <v>248030</v>
      </c>
      <c r="G5629" s="77" t="str">
        <f>"DAXON PETROLEUM"</f>
        <v>DAXON PETROLEUM</v>
      </c>
      <c r="H5629" s="14" t="str">
        <f t="shared" si="184"/>
        <v>true</v>
      </c>
      <c r="I5629" s="14" t="s">
        <v>2458</v>
      </c>
      <c r="J5629" s="33" t="s">
        <v>7110</v>
      </c>
      <c r="K5629" s="33" t="s">
        <v>13739</v>
      </c>
      <c r="L5629" s="53" t="str">
        <f t="shared" si="179"/>
        <v>پاکستان</v>
      </c>
      <c r="M5629" s="68" t="str">
        <f>"بشكه"</f>
        <v>بشكه</v>
      </c>
      <c r="N5629" s="53" t="str">
        <f>"تفتان (ميرجاوه)"</f>
        <v>تفتان (ميرجاوه)</v>
      </c>
      <c r="O5629" s="53">
        <v>55200</v>
      </c>
      <c r="P5629" s="198" t="str">
        <f>"1396548700001"</f>
        <v>1396548700001</v>
      </c>
    </row>
    <row r="5630" spans="1:16" ht="18.75" hidden="1">
      <c r="A5630" s="50" t="str">
        <f>"15100-583503"</f>
        <v>15100-583503</v>
      </c>
      <c r="B5630" s="50" t="str">
        <f>"97/02/20"</f>
        <v>97/02/20</v>
      </c>
      <c r="C5630" s="50" t="s">
        <v>13794</v>
      </c>
      <c r="D5630" s="12" t="s">
        <v>13318</v>
      </c>
      <c r="E5630" s="12" t="s">
        <v>13333</v>
      </c>
      <c r="F5630" s="49">
        <v>130240</v>
      </c>
      <c r="G5630" s="77" t="str">
        <f>"DAXON PETROLEUM"</f>
        <v>DAXON PETROLEUM</v>
      </c>
      <c r="H5630" s="14" t="str">
        <f t="shared" si="184"/>
        <v>true</v>
      </c>
      <c r="I5630" s="14" t="s">
        <v>2458</v>
      </c>
      <c r="J5630" s="33" t="s">
        <v>7110</v>
      </c>
      <c r="K5630" s="33" t="s">
        <v>13739</v>
      </c>
      <c r="L5630" s="53" t="str">
        <f t="shared" si="179"/>
        <v>پاکستان</v>
      </c>
      <c r="M5630" s="68" t="str">
        <f>"فله"</f>
        <v>فله</v>
      </c>
      <c r="N5630" s="53" t="str">
        <f>"پيشين"</f>
        <v>پيشين</v>
      </c>
      <c r="O5630" s="53">
        <v>55301</v>
      </c>
      <c r="P5630" s="198" t="str">
        <f>"1396548700001"</f>
        <v>1396548700001</v>
      </c>
    </row>
    <row r="5631" spans="1:16" ht="18.75" hidden="1">
      <c r="A5631" s="50" t="str">
        <f>"15100-583461"</f>
        <v>15100-583461</v>
      </c>
      <c r="B5631" s="50" t="str">
        <f>"97/02/20"</f>
        <v>97/02/20</v>
      </c>
      <c r="C5631" s="50" t="s">
        <v>13797</v>
      </c>
      <c r="D5631" s="12" t="s">
        <v>13639</v>
      </c>
      <c r="E5631" s="12" t="s">
        <v>13333</v>
      </c>
      <c r="F5631" s="49">
        <v>188620</v>
      </c>
      <c r="G5631" s="77" t="str">
        <f>"PETRO FOLIO"</f>
        <v>PETRO FOLIO</v>
      </c>
      <c r="H5631" s="14" t="str">
        <f t="shared" si="184"/>
        <v>true</v>
      </c>
      <c r="I5631" s="14" t="s">
        <v>2458</v>
      </c>
      <c r="J5631" s="33" t="s">
        <v>7110</v>
      </c>
      <c r="K5631" s="33" t="s">
        <v>13739</v>
      </c>
      <c r="L5631" s="53" t="str">
        <f t="shared" si="179"/>
        <v>پاکستان</v>
      </c>
      <c r="M5631" s="68" t="str">
        <f>"فله"</f>
        <v>فله</v>
      </c>
      <c r="N5631" s="53" t="str">
        <f>"بازارچه ريمدان"</f>
        <v>بازارچه ريمدان</v>
      </c>
      <c r="O5631" s="53">
        <v>55112</v>
      </c>
      <c r="P5631" s="198" t="str">
        <f>"1397558725001"</f>
        <v>1397558725001</v>
      </c>
    </row>
    <row r="5632" spans="1:16" ht="18.75" hidden="1">
      <c r="A5632" s="50" t="str">
        <f>"15100-581993"</f>
        <v>15100-581993</v>
      </c>
      <c r="B5632" s="50" t="str">
        <f>"97/02/18"</f>
        <v>97/02/18</v>
      </c>
      <c r="C5632" s="50" t="s">
        <v>13791</v>
      </c>
      <c r="D5632" s="12" t="s">
        <v>13343</v>
      </c>
      <c r="E5632" s="12" t="s">
        <v>13333</v>
      </c>
      <c r="F5632" s="49">
        <v>438850</v>
      </c>
      <c r="G5632" s="77" t="str">
        <f>"DAXON PETROLEUM"</f>
        <v>DAXON PETROLEUM</v>
      </c>
      <c r="H5632" s="14" t="str">
        <f t="shared" si="184"/>
        <v>true</v>
      </c>
      <c r="I5632" s="14" t="s">
        <v>2458</v>
      </c>
      <c r="J5632" s="33" t="s">
        <v>7110</v>
      </c>
      <c r="K5632" s="33" t="s">
        <v>13739</v>
      </c>
      <c r="L5632" s="53" t="str">
        <f t="shared" si="179"/>
        <v>پاکستان</v>
      </c>
      <c r="M5632" s="68" t="str">
        <f t="shared" ref="M5632:M5633" si="185">"بشكه"</f>
        <v>بشكه</v>
      </c>
      <c r="N5632" s="53" t="str">
        <f>"پيشين"</f>
        <v>پيشين</v>
      </c>
      <c r="O5632" s="53">
        <v>55301</v>
      </c>
      <c r="P5632" s="198" t="str">
        <f>"1396548700001"</f>
        <v>1396548700001</v>
      </c>
    </row>
    <row r="5633" spans="1:16" ht="18.75" hidden="1">
      <c r="A5633" s="50" t="str">
        <f>"15100-580562"</f>
        <v>15100-580562</v>
      </c>
      <c r="B5633" s="50" t="str">
        <f>"97/02/16"</f>
        <v>97/02/16</v>
      </c>
      <c r="C5633" s="50" t="s">
        <v>13806</v>
      </c>
      <c r="D5633" s="12" t="s">
        <v>13385</v>
      </c>
      <c r="E5633" s="12" t="s">
        <v>13333</v>
      </c>
      <c r="F5633" s="49">
        <v>271840</v>
      </c>
      <c r="G5633" s="77" t="str">
        <f>"LLC Sebco Bitumen"</f>
        <v>LLC Sebco Bitumen</v>
      </c>
      <c r="H5633" s="14" t="str">
        <f t="shared" si="184"/>
        <v>true</v>
      </c>
      <c r="I5633" s="14" t="s">
        <v>2458</v>
      </c>
      <c r="J5633" s="33" t="s">
        <v>7110</v>
      </c>
      <c r="K5633" s="33" t="s">
        <v>13739</v>
      </c>
      <c r="L5633" s="53" t="str">
        <f t="shared" si="179"/>
        <v>پاکستان</v>
      </c>
      <c r="M5633" s="68" t="str">
        <f t="shared" si="185"/>
        <v>بشكه</v>
      </c>
      <c r="N5633" s="53" t="str">
        <f>"تفتان (ميرجاوه)"</f>
        <v>تفتان (ميرجاوه)</v>
      </c>
      <c r="O5633" s="53">
        <v>55200</v>
      </c>
      <c r="P5633" s="198" t="str">
        <f>"1396548704001"</f>
        <v>1396548704001</v>
      </c>
    </row>
    <row r="5634" spans="1:16" ht="18.75" hidden="1">
      <c r="A5634" s="50" t="str">
        <f>"15100-581301"</f>
        <v>15100-581301</v>
      </c>
      <c r="B5634" s="50" t="str">
        <f>"97/02/17"</f>
        <v>97/02/17</v>
      </c>
      <c r="C5634" s="50" t="s">
        <v>13801</v>
      </c>
      <c r="D5634" s="12" t="s">
        <v>13563</v>
      </c>
      <c r="E5634" s="12" t="s">
        <v>13333</v>
      </c>
      <c r="F5634" s="49">
        <v>542460</v>
      </c>
      <c r="G5634" s="77" t="str">
        <f>"SHINING GREEN STAR FZE"</f>
        <v>SHINING GREEN STAR FZE</v>
      </c>
      <c r="H5634" s="14" t="str">
        <f t="shared" si="184"/>
        <v>true</v>
      </c>
      <c r="I5634" s="14" t="s">
        <v>2458</v>
      </c>
      <c r="J5634" s="33" t="e">
        <f>VLOOKUP(C5634,شرکتها!A:B,2,FALSE)</f>
        <v>#N/A</v>
      </c>
      <c r="K5634" s="33" t="s">
        <v>13739</v>
      </c>
      <c r="L5634" s="53" t="str">
        <f t="shared" si="179"/>
        <v>پاکستان</v>
      </c>
      <c r="M5634" s="68" t="str">
        <f>"فله"</f>
        <v>فله</v>
      </c>
      <c r="N5634" s="53" t="str">
        <f>"پيشين"</f>
        <v>پيشين</v>
      </c>
      <c r="O5634" s="53">
        <v>55301</v>
      </c>
      <c r="P5634" s="198" t="str">
        <f>"1396548703001"</f>
        <v>1396548703001</v>
      </c>
    </row>
    <row r="5635" spans="1:16" ht="18.75" hidden="1">
      <c r="A5635" s="50" t="str">
        <f>"15100-581301"</f>
        <v>15100-581301</v>
      </c>
      <c r="B5635" s="50" t="str">
        <f>"97/02/17"</f>
        <v>97/02/17</v>
      </c>
      <c r="C5635" s="50" t="s">
        <v>13713</v>
      </c>
      <c r="D5635" s="12" t="s">
        <v>13385</v>
      </c>
      <c r="E5635" s="12" t="s">
        <v>13333</v>
      </c>
      <c r="F5635" s="49">
        <v>81500</v>
      </c>
      <c r="G5635" s="77" t="str">
        <f>"LEADING IN HIGHER OBJECTIVES LLC"</f>
        <v>LEADING IN HIGHER OBJECTIVES LLC</v>
      </c>
      <c r="H5635" s="14" t="str">
        <f t="shared" si="184"/>
        <v>true</v>
      </c>
      <c r="I5635" s="14" t="s">
        <v>2458</v>
      </c>
      <c r="J5635" s="33" t="s">
        <v>7110</v>
      </c>
      <c r="K5635" s="33" t="s">
        <v>13739</v>
      </c>
      <c r="L5635" s="53" t="str">
        <f t="shared" si="179"/>
        <v>پاکستان</v>
      </c>
      <c r="M5635" s="68" t="str">
        <f>"فله"</f>
        <v>فله</v>
      </c>
      <c r="N5635" s="53" t="str">
        <f>"پيشين"</f>
        <v>پيشين</v>
      </c>
      <c r="O5635" s="53">
        <v>55301</v>
      </c>
      <c r="P5635" s="198" t="str">
        <f>"1397558721001"</f>
        <v>1397558721001</v>
      </c>
    </row>
    <row r="5636" spans="1:16" ht="18.75" hidden="1">
      <c r="A5636" s="50" t="str">
        <f>"15100-582737"</f>
        <v>15100-582737</v>
      </c>
      <c r="B5636" s="50" t="str">
        <f>"97/02/19"</f>
        <v>97/02/19</v>
      </c>
      <c r="C5636" s="50" t="s">
        <v>13804</v>
      </c>
      <c r="D5636" s="12" t="s">
        <v>9832</v>
      </c>
      <c r="E5636" s="12" t="s">
        <v>4971</v>
      </c>
      <c r="F5636" s="49">
        <v>47280</v>
      </c>
      <c r="G5636" s="77" t="str">
        <f>"M/S J.K. Khan Group"</f>
        <v>M/S J.K. Khan Group</v>
      </c>
      <c r="H5636" s="14" t="str">
        <f t="shared" si="184"/>
        <v>true</v>
      </c>
      <c r="I5636" s="14" t="s">
        <v>2458</v>
      </c>
      <c r="J5636" s="33" t="s">
        <v>7110</v>
      </c>
      <c r="K5636" s="33" t="s">
        <v>13739</v>
      </c>
      <c r="L5636" s="53" t="str">
        <f t="shared" si="179"/>
        <v>پاکستان</v>
      </c>
      <c r="M5636" s="68" t="str">
        <f>"فله"</f>
        <v>فله</v>
      </c>
      <c r="N5636" s="53" t="str">
        <f>"بازارچه ريمدان"</f>
        <v>بازارچه ريمدان</v>
      </c>
      <c r="O5636" s="53">
        <v>55112</v>
      </c>
      <c r="P5636" s="198" t="str">
        <f>"1396516973001"</f>
        <v>1396516973001</v>
      </c>
    </row>
    <row r="5637" spans="1:16" ht="18.75" hidden="1">
      <c r="A5637" s="50" t="str">
        <f>"15100-582797"</f>
        <v>15100-582797</v>
      </c>
      <c r="B5637" s="50" t="str">
        <f>"97/02/19"</f>
        <v>97/02/19</v>
      </c>
      <c r="C5637" s="50" t="s">
        <v>13805</v>
      </c>
      <c r="D5637" s="12" t="s">
        <v>9934</v>
      </c>
      <c r="E5637" s="12" t="s">
        <v>4971</v>
      </c>
      <c r="F5637" s="49">
        <v>164510</v>
      </c>
      <c r="G5637" s="77" t="str">
        <f>"M/S J.K. Khan Group"</f>
        <v>M/S J.K. Khan Group</v>
      </c>
      <c r="H5637" s="14" t="str">
        <f t="shared" si="184"/>
        <v>true</v>
      </c>
      <c r="I5637" s="14" t="s">
        <v>2458</v>
      </c>
      <c r="J5637" s="33" t="s">
        <v>7110</v>
      </c>
      <c r="K5637" s="33" t="s">
        <v>13739</v>
      </c>
      <c r="L5637" s="53" t="str">
        <f t="shared" si="179"/>
        <v>پاکستان</v>
      </c>
      <c r="M5637" s="68" t="str">
        <f t="shared" ref="M5637:M5640" si="186">"بشكه"</f>
        <v>بشكه</v>
      </c>
      <c r="N5637" s="53" t="str">
        <f>"پيشين"</f>
        <v>پيشين</v>
      </c>
      <c r="O5637" s="53">
        <v>55301</v>
      </c>
      <c r="P5637" s="198" t="str">
        <f>"1396521455001"</f>
        <v>1396521455001</v>
      </c>
    </row>
    <row r="5638" spans="1:16" ht="18.75" hidden="1">
      <c r="A5638" s="50" t="str">
        <f>"15100-580532"</f>
        <v>15100-580532</v>
      </c>
      <c r="B5638" s="50" t="str">
        <f>"97/02/16"</f>
        <v>97/02/16</v>
      </c>
      <c r="C5638" s="50" t="s">
        <v>13798</v>
      </c>
      <c r="D5638" s="12" t="s">
        <v>13549</v>
      </c>
      <c r="E5638" s="12" t="s">
        <v>13333</v>
      </c>
      <c r="F5638" s="49">
        <v>71820</v>
      </c>
      <c r="G5638" s="77" t="str">
        <f>"LEADING IN HIGHER OBJECTIVES LLC"</f>
        <v>LEADING IN HIGHER OBJECTIVES LLC</v>
      </c>
      <c r="H5638" s="14" t="str">
        <f t="shared" si="184"/>
        <v>true</v>
      </c>
      <c r="I5638" s="14" t="s">
        <v>2458</v>
      </c>
      <c r="J5638" s="33" t="s">
        <v>7110</v>
      </c>
      <c r="K5638" s="33" t="s">
        <v>13739</v>
      </c>
      <c r="L5638" s="53" t="str">
        <f t="shared" si="179"/>
        <v>پاکستان</v>
      </c>
      <c r="M5638" s="68" t="str">
        <f t="shared" si="186"/>
        <v>بشكه</v>
      </c>
      <c r="N5638" s="53" t="str">
        <f>"بازارچه کوهک سراوان"</f>
        <v>بازارچه کوهک سراوان</v>
      </c>
      <c r="O5638" s="53">
        <v>55107</v>
      </c>
      <c r="P5638" s="198" t="str">
        <f>"1397558721001"</f>
        <v>1397558721001</v>
      </c>
    </row>
    <row r="5639" spans="1:16" ht="18.75" hidden="1">
      <c r="A5639" s="50" t="str">
        <f>"15100-580550"</f>
        <v>15100-580550</v>
      </c>
      <c r="B5639" s="50" t="str">
        <f>"97/02/16"</f>
        <v>97/02/16</v>
      </c>
      <c r="C5639" s="50" t="s">
        <v>13806</v>
      </c>
      <c r="D5639" s="12" t="s">
        <v>13385</v>
      </c>
      <c r="E5639" s="12" t="s">
        <v>13333</v>
      </c>
      <c r="F5639" s="49">
        <v>301390</v>
      </c>
      <c r="G5639" s="77" t="str">
        <f>"LLC Sebco Bitumen"</f>
        <v>LLC Sebco Bitumen</v>
      </c>
      <c r="H5639" s="14" t="str">
        <f t="shared" si="184"/>
        <v>true</v>
      </c>
      <c r="I5639" s="14" t="s">
        <v>2458</v>
      </c>
      <c r="J5639" s="33" t="s">
        <v>7110</v>
      </c>
      <c r="K5639" s="33" t="s">
        <v>13739</v>
      </c>
      <c r="L5639" s="53" t="str">
        <f t="shared" si="179"/>
        <v>پاکستان</v>
      </c>
      <c r="M5639" s="68" t="str">
        <f t="shared" si="186"/>
        <v>بشكه</v>
      </c>
      <c r="N5639" s="53" t="str">
        <f>"پيشين"</f>
        <v>پيشين</v>
      </c>
      <c r="O5639" s="53">
        <v>55301</v>
      </c>
      <c r="P5639" s="198" t="str">
        <f>"1396548704001"</f>
        <v>1396548704001</v>
      </c>
    </row>
    <row r="5640" spans="1:16" ht="18.75" hidden="1">
      <c r="A5640" s="50" t="s">
        <v>13807</v>
      </c>
      <c r="B5640" s="50" t="s">
        <v>13808</v>
      </c>
      <c r="C5640" s="50" t="s">
        <v>13809</v>
      </c>
      <c r="D5640" s="12" t="s">
        <v>13549</v>
      </c>
      <c r="E5640" s="12" t="s">
        <v>13333</v>
      </c>
      <c r="F5640" s="49">
        <v>59880</v>
      </c>
      <c r="G5640" s="77" t="s">
        <v>5609</v>
      </c>
      <c r="H5640" s="14" t="str">
        <f t="shared" ref="H5640" si="187">IF(I5640="نامشخص",IF(E5640&gt;C5640,"false","true"),IF(E5640&gt;I5640,"false","true"))</f>
        <v>true</v>
      </c>
      <c r="I5640" s="14" t="s">
        <v>2458</v>
      </c>
      <c r="J5640" s="33" t="s">
        <v>7110</v>
      </c>
      <c r="K5640" s="33" t="s">
        <v>13810</v>
      </c>
      <c r="L5640" s="53" t="s">
        <v>6054</v>
      </c>
      <c r="M5640" s="68" t="str">
        <f t="shared" si="186"/>
        <v>بشكه</v>
      </c>
      <c r="N5640" s="53" t="s">
        <v>6285</v>
      </c>
      <c r="O5640" s="53">
        <v>55200</v>
      </c>
      <c r="P5640" s="198" t="s">
        <v>12669</v>
      </c>
    </row>
    <row r="5641" spans="1:16" ht="18.75" hidden="1">
      <c r="A5641" s="50" t="s">
        <v>13811</v>
      </c>
      <c r="B5641" s="50" t="s">
        <v>13812</v>
      </c>
      <c r="C5641" s="50" t="s">
        <v>13813</v>
      </c>
      <c r="D5641" s="12" t="s">
        <v>13273</v>
      </c>
      <c r="E5641" s="12" t="s">
        <v>13333</v>
      </c>
      <c r="F5641" s="49">
        <v>132640</v>
      </c>
      <c r="G5641" s="77" t="s">
        <v>5611</v>
      </c>
      <c r="H5641" s="14" t="str">
        <f t="shared" ref="H5641:H5704" si="188">IF(I5641="نامشخص",IF(E5641&gt;C5641,"false","true"),IF(E5641&gt;I5641,"false","true"))</f>
        <v>true</v>
      </c>
      <c r="I5641" s="14" t="s">
        <v>2458</v>
      </c>
      <c r="J5641" s="33" t="s">
        <v>7110</v>
      </c>
      <c r="K5641" s="33" t="s">
        <v>13810</v>
      </c>
      <c r="L5641" s="53" t="s">
        <v>6054</v>
      </c>
      <c r="M5641" s="68" t="s">
        <v>8913</v>
      </c>
      <c r="N5641" s="53" t="s">
        <v>6076</v>
      </c>
      <c r="O5641" s="53">
        <v>55301</v>
      </c>
      <c r="P5641" s="198" t="s">
        <v>12934</v>
      </c>
    </row>
    <row r="5642" spans="1:16" ht="18.75" hidden="1">
      <c r="A5642" s="50" t="s">
        <v>13814</v>
      </c>
      <c r="B5642" s="50" t="s">
        <v>13815</v>
      </c>
      <c r="C5642" s="50" t="s">
        <v>13719</v>
      </c>
      <c r="D5642" s="12" t="s">
        <v>13549</v>
      </c>
      <c r="E5642" s="12" t="s">
        <v>13333</v>
      </c>
      <c r="F5642" s="49">
        <v>48320</v>
      </c>
      <c r="G5642" s="77" t="s">
        <v>13816</v>
      </c>
      <c r="H5642" s="14" t="str">
        <f t="shared" si="188"/>
        <v>true</v>
      </c>
      <c r="I5642" s="14" t="s">
        <v>2458</v>
      </c>
      <c r="J5642" s="33" t="s">
        <v>7110</v>
      </c>
      <c r="K5642" s="33" t="s">
        <v>13810</v>
      </c>
      <c r="L5642" s="53" t="s">
        <v>6054</v>
      </c>
      <c r="M5642" s="68" t="str">
        <f t="shared" ref="M5642:M5645" si="189">"بشكه"</f>
        <v>بشكه</v>
      </c>
      <c r="N5642" s="53" t="s">
        <v>6285</v>
      </c>
      <c r="O5642" s="53">
        <v>55200</v>
      </c>
      <c r="P5642" s="198" t="s">
        <v>13625</v>
      </c>
    </row>
    <row r="5643" spans="1:16" ht="18.75" hidden="1">
      <c r="A5643" s="50" t="s">
        <v>13814</v>
      </c>
      <c r="B5643" s="50" t="s">
        <v>13815</v>
      </c>
      <c r="C5643" s="50" t="s">
        <v>13802</v>
      </c>
      <c r="D5643" s="12" t="s">
        <v>13318</v>
      </c>
      <c r="E5643" s="12" t="s">
        <v>13333</v>
      </c>
      <c r="F5643" s="49">
        <v>28400</v>
      </c>
      <c r="G5643" s="77" t="s">
        <v>5609</v>
      </c>
      <c r="H5643" s="14" t="str">
        <f t="shared" si="188"/>
        <v>true</v>
      </c>
      <c r="I5643" s="14" t="s">
        <v>2458</v>
      </c>
      <c r="J5643" s="33" t="s">
        <v>7110</v>
      </c>
      <c r="K5643" s="33" t="s">
        <v>13810</v>
      </c>
      <c r="L5643" s="53" t="s">
        <v>6054</v>
      </c>
      <c r="M5643" s="68" t="str">
        <f t="shared" si="189"/>
        <v>بشكه</v>
      </c>
      <c r="N5643" s="53" t="s">
        <v>6285</v>
      </c>
      <c r="O5643" s="53">
        <v>55200</v>
      </c>
      <c r="P5643" s="198" t="s">
        <v>12669</v>
      </c>
    </row>
    <row r="5644" spans="1:16" ht="18.75" hidden="1">
      <c r="A5644" s="50" t="s">
        <v>13817</v>
      </c>
      <c r="B5644" s="50" t="s">
        <v>13818</v>
      </c>
      <c r="C5644" s="50" t="s">
        <v>13819</v>
      </c>
      <c r="D5644" s="12" t="s">
        <v>13326</v>
      </c>
      <c r="E5644" s="12" t="s">
        <v>13333</v>
      </c>
      <c r="F5644" s="49">
        <v>479510</v>
      </c>
      <c r="G5644" s="77" t="s">
        <v>5609</v>
      </c>
      <c r="H5644" s="14" t="str">
        <f t="shared" si="188"/>
        <v>true</v>
      </c>
      <c r="I5644" s="14" t="s">
        <v>2458</v>
      </c>
      <c r="J5644" s="33" t="s">
        <v>7110</v>
      </c>
      <c r="K5644" s="33" t="s">
        <v>13810</v>
      </c>
      <c r="L5644" s="53" t="s">
        <v>6054</v>
      </c>
      <c r="M5644" s="68" t="str">
        <f t="shared" si="189"/>
        <v>بشكه</v>
      </c>
      <c r="N5644" s="53" t="s">
        <v>6076</v>
      </c>
      <c r="O5644" s="53">
        <v>55301</v>
      </c>
      <c r="P5644" s="198" t="s">
        <v>12669</v>
      </c>
    </row>
    <row r="5645" spans="1:16" ht="18.75" hidden="1">
      <c r="A5645" s="50" t="s">
        <v>13807</v>
      </c>
      <c r="B5645" s="50" t="s">
        <v>13808</v>
      </c>
      <c r="C5645" s="50" t="s">
        <v>13797</v>
      </c>
      <c r="D5645" s="12" t="s">
        <v>13639</v>
      </c>
      <c r="E5645" s="12" t="s">
        <v>13333</v>
      </c>
      <c r="F5645" s="49">
        <v>131370</v>
      </c>
      <c r="G5645" s="77" t="s">
        <v>13816</v>
      </c>
      <c r="H5645" s="14" t="str">
        <f t="shared" si="188"/>
        <v>true</v>
      </c>
      <c r="I5645" s="14" t="s">
        <v>2458</v>
      </c>
      <c r="J5645" s="33" t="s">
        <v>7110</v>
      </c>
      <c r="K5645" s="33" t="s">
        <v>13810</v>
      </c>
      <c r="L5645" s="53" t="s">
        <v>6054</v>
      </c>
      <c r="M5645" s="68" t="str">
        <f t="shared" si="189"/>
        <v>بشكه</v>
      </c>
      <c r="N5645" s="53" t="s">
        <v>6285</v>
      </c>
      <c r="O5645" s="53">
        <v>55200</v>
      </c>
      <c r="P5645" s="198" t="s">
        <v>13625</v>
      </c>
    </row>
    <row r="5646" spans="1:16" ht="18.75" hidden="1">
      <c r="A5646" s="50" t="s">
        <v>13820</v>
      </c>
      <c r="B5646" s="50" t="s">
        <v>13808</v>
      </c>
      <c r="C5646" s="50" t="s">
        <v>13443</v>
      </c>
      <c r="D5646" s="12" t="s">
        <v>12880</v>
      </c>
      <c r="E5646" s="12" t="s">
        <v>4971</v>
      </c>
      <c r="F5646" s="49">
        <v>17990</v>
      </c>
      <c r="G5646" s="77" t="s">
        <v>6300</v>
      </c>
      <c r="H5646" s="14" t="str">
        <f t="shared" si="188"/>
        <v>true</v>
      </c>
      <c r="I5646" s="14" t="s">
        <v>2458</v>
      </c>
      <c r="J5646" s="33" t="s">
        <v>7110</v>
      </c>
      <c r="K5646" s="33" t="s">
        <v>13810</v>
      </c>
      <c r="L5646" s="53" t="s">
        <v>6054</v>
      </c>
      <c r="M5646" s="68" t="s">
        <v>8913</v>
      </c>
      <c r="N5646" s="53" t="s">
        <v>6286</v>
      </c>
      <c r="O5646" s="53">
        <v>55107</v>
      </c>
      <c r="P5646" s="198" t="s">
        <v>12220</v>
      </c>
    </row>
    <row r="5647" spans="1:16" ht="18.75" hidden="1">
      <c r="A5647" s="50" t="s">
        <v>13820</v>
      </c>
      <c r="B5647" s="50" t="s">
        <v>13808</v>
      </c>
      <c r="C5647" s="50" t="s">
        <v>13797</v>
      </c>
      <c r="D5647" s="12" t="s">
        <v>13639</v>
      </c>
      <c r="E5647" s="12" t="s">
        <v>13333</v>
      </c>
      <c r="F5647" s="49">
        <v>1670</v>
      </c>
      <c r="G5647" s="77" t="s">
        <v>13816</v>
      </c>
      <c r="H5647" s="14" t="str">
        <f t="shared" si="188"/>
        <v>true</v>
      </c>
      <c r="I5647" s="14" t="s">
        <v>2458</v>
      </c>
      <c r="J5647" s="33" t="s">
        <v>7110</v>
      </c>
      <c r="K5647" s="33" t="s">
        <v>13810</v>
      </c>
      <c r="L5647" s="53" t="s">
        <v>6054</v>
      </c>
      <c r="M5647" s="68" t="s">
        <v>8913</v>
      </c>
      <c r="N5647" s="53" t="s">
        <v>6286</v>
      </c>
      <c r="O5647" s="53">
        <v>55107</v>
      </c>
      <c r="P5647" s="198" t="s">
        <v>13625</v>
      </c>
    </row>
    <row r="5648" spans="1:16" ht="18.75" hidden="1">
      <c r="A5648" s="50" t="s">
        <v>13821</v>
      </c>
      <c r="B5648" s="50" t="s">
        <v>13822</v>
      </c>
      <c r="C5648" s="50" t="s">
        <v>13797</v>
      </c>
      <c r="D5648" s="12" t="s">
        <v>13639</v>
      </c>
      <c r="E5648" s="12" t="s">
        <v>13333</v>
      </c>
      <c r="F5648" s="49">
        <v>25530</v>
      </c>
      <c r="G5648" s="77" t="s">
        <v>13816</v>
      </c>
      <c r="H5648" s="14" t="str">
        <f t="shared" si="188"/>
        <v>true</v>
      </c>
      <c r="I5648" s="14" t="s">
        <v>2458</v>
      </c>
      <c r="J5648" s="33" t="s">
        <v>7110</v>
      </c>
      <c r="K5648" s="33" t="s">
        <v>13810</v>
      </c>
      <c r="L5648" s="53" t="s">
        <v>6054</v>
      </c>
      <c r="M5648" s="68" t="str">
        <f>"بشكه"</f>
        <v>بشكه</v>
      </c>
      <c r="N5648" s="53" t="s">
        <v>6285</v>
      </c>
      <c r="O5648" s="53">
        <v>55200</v>
      </c>
      <c r="P5648" s="198" t="s">
        <v>13625</v>
      </c>
    </row>
    <row r="5649" spans="1:16" ht="18.75" hidden="1">
      <c r="A5649" s="50" t="s">
        <v>13823</v>
      </c>
      <c r="B5649" s="50" t="s">
        <v>13818</v>
      </c>
      <c r="C5649" s="50" t="s">
        <v>13819</v>
      </c>
      <c r="D5649" s="12" t="s">
        <v>13326</v>
      </c>
      <c r="E5649" s="12" t="s">
        <v>13333</v>
      </c>
      <c r="F5649" s="49">
        <v>19290</v>
      </c>
      <c r="G5649" s="77" t="s">
        <v>5609</v>
      </c>
      <c r="H5649" s="14" t="str">
        <f t="shared" si="188"/>
        <v>true</v>
      </c>
      <c r="I5649" s="14" t="s">
        <v>2458</v>
      </c>
      <c r="J5649" s="33" t="s">
        <v>7110</v>
      </c>
      <c r="K5649" s="33" t="s">
        <v>13810</v>
      </c>
      <c r="L5649" s="53" t="s">
        <v>6054</v>
      </c>
      <c r="M5649" s="68" t="s">
        <v>8913</v>
      </c>
      <c r="N5649" s="53" t="s">
        <v>6076</v>
      </c>
      <c r="O5649" s="53">
        <v>55301</v>
      </c>
      <c r="P5649" s="198" t="s">
        <v>12669</v>
      </c>
    </row>
    <row r="5650" spans="1:16" ht="18.75" hidden="1">
      <c r="A5650" s="50" t="s">
        <v>13807</v>
      </c>
      <c r="B5650" s="50" t="s">
        <v>13808</v>
      </c>
      <c r="C5650" s="50" t="s">
        <v>13824</v>
      </c>
      <c r="D5650" s="12" t="s">
        <v>13639</v>
      </c>
      <c r="E5650" s="12" t="s">
        <v>13333</v>
      </c>
      <c r="F5650" s="49">
        <v>49430</v>
      </c>
      <c r="G5650" s="77" t="s">
        <v>13825</v>
      </c>
      <c r="H5650" s="14" t="str">
        <f t="shared" si="188"/>
        <v>true</v>
      </c>
      <c r="I5650" s="14" t="s">
        <v>2458</v>
      </c>
      <c r="J5650" s="33" t="s">
        <v>7110</v>
      </c>
      <c r="K5650" s="33" t="s">
        <v>13810</v>
      </c>
      <c r="L5650" s="53" t="s">
        <v>6054</v>
      </c>
      <c r="M5650" s="68" t="str">
        <f t="shared" ref="M5650:M5652" si="190">"بشكه"</f>
        <v>بشكه</v>
      </c>
      <c r="N5650" s="53" t="s">
        <v>6285</v>
      </c>
      <c r="O5650" s="53">
        <v>55200</v>
      </c>
      <c r="P5650" s="198" t="s">
        <v>13715</v>
      </c>
    </row>
    <row r="5651" spans="1:16" ht="18.75" hidden="1">
      <c r="A5651" s="50" t="s">
        <v>13826</v>
      </c>
      <c r="B5651" s="50" t="s">
        <v>13827</v>
      </c>
      <c r="C5651" s="50" t="s">
        <v>13795</v>
      </c>
      <c r="D5651" s="12" t="s">
        <v>13184</v>
      </c>
      <c r="E5651" s="12" t="s">
        <v>13333</v>
      </c>
      <c r="F5651" s="49">
        <v>158630</v>
      </c>
      <c r="G5651" s="77" t="s">
        <v>5611</v>
      </c>
      <c r="H5651" s="14" t="str">
        <f t="shared" si="188"/>
        <v>true</v>
      </c>
      <c r="I5651" s="14" t="s">
        <v>2458</v>
      </c>
      <c r="J5651" s="33" t="s">
        <v>7110</v>
      </c>
      <c r="K5651" s="33" t="s">
        <v>13810</v>
      </c>
      <c r="L5651" s="53" t="s">
        <v>6054</v>
      </c>
      <c r="M5651" s="68" t="str">
        <f t="shared" si="190"/>
        <v>بشكه</v>
      </c>
      <c r="N5651" s="53" t="s">
        <v>6076</v>
      </c>
      <c r="O5651" s="53">
        <v>55301</v>
      </c>
      <c r="P5651" s="198" t="s">
        <v>12934</v>
      </c>
    </row>
    <row r="5652" spans="1:16" ht="18.75" hidden="1">
      <c r="A5652" s="50" t="s">
        <v>13814</v>
      </c>
      <c r="B5652" s="50" t="s">
        <v>13815</v>
      </c>
      <c r="C5652" s="50" t="s">
        <v>13828</v>
      </c>
      <c r="D5652" s="12" t="s">
        <v>13308</v>
      </c>
      <c r="E5652" s="12" t="s">
        <v>13333</v>
      </c>
      <c r="F5652" s="49">
        <v>160040</v>
      </c>
      <c r="G5652" s="77" t="s">
        <v>5609</v>
      </c>
      <c r="H5652" s="14" t="str">
        <f t="shared" si="188"/>
        <v>true</v>
      </c>
      <c r="I5652" s="14" t="s">
        <v>2458</v>
      </c>
      <c r="J5652" s="33" t="s">
        <v>7110</v>
      </c>
      <c r="K5652" s="33" t="s">
        <v>13810</v>
      </c>
      <c r="L5652" s="53" t="s">
        <v>6054</v>
      </c>
      <c r="M5652" s="68" t="str">
        <f t="shared" si="190"/>
        <v>بشكه</v>
      </c>
      <c r="N5652" s="53" t="s">
        <v>6285</v>
      </c>
      <c r="O5652" s="53">
        <v>55200</v>
      </c>
      <c r="P5652" s="198" t="s">
        <v>12669</v>
      </c>
    </row>
    <row r="5653" spans="1:16" ht="18.75" hidden="1">
      <c r="A5653" s="50" t="s">
        <v>13820</v>
      </c>
      <c r="B5653" s="50" t="s">
        <v>13808</v>
      </c>
      <c r="C5653" s="50" t="s">
        <v>13683</v>
      </c>
      <c r="D5653" s="12" t="s">
        <v>13310</v>
      </c>
      <c r="E5653" s="12" t="s">
        <v>13333</v>
      </c>
      <c r="F5653" s="49">
        <v>24920</v>
      </c>
      <c r="G5653" s="77" t="s">
        <v>5647</v>
      </c>
      <c r="H5653" s="14" t="str">
        <f t="shared" si="188"/>
        <v>true</v>
      </c>
      <c r="I5653" s="14" t="s">
        <v>2458</v>
      </c>
      <c r="J5653" s="33" t="s">
        <v>7110</v>
      </c>
      <c r="K5653" s="33" t="s">
        <v>13810</v>
      </c>
      <c r="L5653" s="53" t="s">
        <v>6054</v>
      </c>
      <c r="M5653" s="68" t="s">
        <v>8913</v>
      </c>
      <c r="N5653" s="53" t="s">
        <v>6286</v>
      </c>
      <c r="O5653" s="53">
        <v>55107</v>
      </c>
      <c r="P5653" s="198" t="s">
        <v>13068</v>
      </c>
    </row>
    <row r="5654" spans="1:16" ht="18.75" hidden="1">
      <c r="A5654" s="50" t="s">
        <v>13829</v>
      </c>
      <c r="B5654" s="50" t="s">
        <v>13827</v>
      </c>
      <c r="C5654" s="50" t="s">
        <v>13830</v>
      </c>
      <c r="D5654" s="12" t="s">
        <v>13184</v>
      </c>
      <c r="E5654" s="12" t="s">
        <v>13333</v>
      </c>
      <c r="F5654" s="49">
        <v>114040</v>
      </c>
      <c r="G5654" s="77" t="s">
        <v>5609</v>
      </c>
      <c r="H5654" s="14" t="str">
        <f t="shared" si="188"/>
        <v>true</v>
      </c>
      <c r="I5654" s="14" t="s">
        <v>2458</v>
      </c>
      <c r="J5654" s="33" t="s">
        <v>7110</v>
      </c>
      <c r="K5654" s="33" t="s">
        <v>13810</v>
      </c>
      <c r="L5654" s="53" t="s">
        <v>6054</v>
      </c>
      <c r="M5654" s="68" t="s">
        <v>8913</v>
      </c>
      <c r="N5654" s="53" t="s">
        <v>6285</v>
      </c>
      <c r="O5654" s="53">
        <v>55200</v>
      </c>
      <c r="P5654" s="198" t="s">
        <v>12669</v>
      </c>
    </row>
    <row r="5655" spans="1:16" ht="18.75" hidden="1">
      <c r="A5655" s="50" t="s">
        <v>13831</v>
      </c>
      <c r="B5655" s="50" t="s">
        <v>13812</v>
      </c>
      <c r="C5655" s="50" t="s">
        <v>13830</v>
      </c>
      <c r="D5655" s="12" t="s">
        <v>13184</v>
      </c>
      <c r="E5655" s="12" t="s">
        <v>13333</v>
      </c>
      <c r="F5655" s="49">
        <v>29534</v>
      </c>
      <c r="G5655" s="77" t="s">
        <v>5609</v>
      </c>
      <c r="H5655" s="14" t="str">
        <f t="shared" si="188"/>
        <v>true</v>
      </c>
      <c r="I5655" s="14" t="s">
        <v>2458</v>
      </c>
      <c r="J5655" s="33" t="s">
        <v>7110</v>
      </c>
      <c r="K5655" s="33" t="s">
        <v>13810</v>
      </c>
      <c r="L5655" s="53" t="s">
        <v>6054</v>
      </c>
      <c r="M5655" s="68" t="str">
        <f t="shared" ref="M5655:M5658" si="191">"بشكه"</f>
        <v>بشكه</v>
      </c>
      <c r="N5655" s="53" t="s">
        <v>6076</v>
      </c>
      <c r="O5655" s="53">
        <v>55301</v>
      </c>
      <c r="P5655" s="198" t="s">
        <v>12669</v>
      </c>
    </row>
    <row r="5656" spans="1:16" ht="18.75" hidden="1">
      <c r="A5656" s="50" t="s">
        <v>13831</v>
      </c>
      <c r="B5656" s="50" t="s">
        <v>13812</v>
      </c>
      <c r="C5656" s="50" t="s">
        <v>13832</v>
      </c>
      <c r="D5656" s="12" t="s">
        <v>13575</v>
      </c>
      <c r="E5656" s="12" t="s">
        <v>13333</v>
      </c>
      <c r="F5656" s="49">
        <v>272146</v>
      </c>
      <c r="G5656" s="77" t="s">
        <v>5773</v>
      </c>
      <c r="H5656" s="14" t="str">
        <f t="shared" si="188"/>
        <v>true</v>
      </c>
      <c r="I5656" s="14" t="s">
        <v>2458</v>
      </c>
      <c r="J5656" s="33" t="s">
        <v>7110</v>
      </c>
      <c r="K5656" s="33" t="s">
        <v>13810</v>
      </c>
      <c r="L5656" s="53" t="s">
        <v>6054</v>
      </c>
      <c r="M5656" s="68" t="str">
        <f t="shared" si="191"/>
        <v>بشكه</v>
      </c>
      <c r="N5656" s="53" t="s">
        <v>6076</v>
      </c>
      <c r="O5656" s="53">
        <v>55301</v>
      </c>
      <c r="P5656" s="198" t="s">
        <v>13664</v>
      </c>
    </row>
    <row r="5657" spans="1:16" ht="18.75" hidden="1">
      <c r="A5657" s="50" t="s">
        <v>13821</v>
      </c>
      <c r="B5657" s="50" t="s">
        <v>13822</v>
      </c>
      <c r="C5657" s="50" t="s">
        <v>13833</v>
      </c>
      <c r="D5657" s="12" t="s">
        <v>13473</v>
      </c>
      <c r="E5657" s="12" t="s">
        <v>13333</v>
      </c>
      <c r="F5657" s="49">
        <v>201610</v>
      </c>
      <c r="G5657" s="77" t="s">
        <v>13816</v>
      </c>
      <c r="H5657" s="14" t="str">
        <f t="shared" si="188"/>
        <v>true</v>
      </c>
      <c r="I5657" s="14" t="s">
        <v>2458</v>
      </c>
      <c r="J5657" s="33" t="s">
        <v>7110</v>
      </c>
      <c r="K5657" s="33" t="s">
        <v>13810</v>
      </c>
      <c r="L5657" s="53" t="s">
        <v>6054</v>
      </c>
      <c r="M5657" s="68" t="str">
        <f t="shared" si="191"/>
        <v>بشكه</v>
      </c>
      <c r="N5657" s="53" t="s">
        <v>6285</v>
      </c>
      <c r="O5657" s="53">
        <v>55200</v>
      </c>
      <c r="P5657" s="198" t="s">
        <v>13625</v>
      </c>
    </row>
    <row r="5658" spans="1:16" ht="18.75" hidden="1">
      <c r="A5658" s="50" t="s">
        <v>13834</v>
      </c>
      <c r="B5658" s="50" t="s">
        <v>13835</v>
      </c>
      <c r="C5658" s="50" t="s">
        <v>13833</v>
      </c>
      <c r="D5658" s="12" t="s">
        <v>13473</v>
      </c>
      <c r="E5658" s="12" t="s">
        <v>13333</v>
      </c>
      <c r="F5658" s="49">
        <v>270470</v>
      </c>
      <c r="G5658" s="77" t="s">
        <v>13816</v>
      </c>
      <c r="H5658" s="14" t="str">
        <f t="shared" si="188"/>
        <v>true</v>
      </c>
      <c r="I5658" s="14" t="s">
        <v>2458</v>
      </c>
      <c r="J5658" s="33" t="s">
        <v>7110</v>
      </c>
      <c r="K5658" s="33" t="s">
        <v>13810</v>
      </c>
      <c r="L5658" s="53" t="s">
        <v>6054</v>
      </c>
      <c r="M5658" s="68" t="str">
        <f t="shared" si="191"/>
        <v>بشكه</v>
      </c>
      <c r="N5658" s="53" t="s">
        <v>6285</v>
      </c>
      <c r="O5658" s="53">
        <v>55200</v>
      </c>
      <c r="P5658" s="198" t="s">
        <v>13625</v>
      </c>
    </row>
    <row r="5659" spans="1:16" ht="18.75" hidden="1">
      <c r="A5659" s="50" t="s">
        <v>13823</v>
      </c>
      <c r="B5659" s="50" t="s">
        <v>13818</v>
      </c>
      <c r="C5659" s="50" t="s">
        <v>13830</v>
      </c>
      <c r="D5659" s="12" t="s">
        <v>13184</v>
      </c>
      <c r="E5659" s="12" t="s">
        <v>13333</v>
      </c>
      <c r="F5659" s="49">
        <v>149811</v>
      </c>
      <c r="G5659" s="77" t="s">
        <v>5609</v>
      </c>
      <c r="H5659" s="14" t="str">
        <f t="shared" si="188"/>
        <v>true</v>
      </c>
      <c r="I5659" s="14" t="s">
        <v>2458</v>
      </c>
      <c r="J5659" s="33" t="s">
        <v>7110</v>
      </c>
      <c r="K5659" s="33" t="s">
        <v>13810</v>
      </c>
      <c r="L5659" s="53" t="s">
        <v>6054</v>
      </c>
      <c r="M5659" s="68" t="s">
        <v>8913</v>
      </c>
      <c r="N5659" s="53" t="s">
        <v>6076</v>
      </c>
      <c r="O5659" s="53">
        <v>55301</v>
      </c>
      <c r="P5659" s="198" t="s">
        <v>12669</v>
      </c>
    </row>
    <row r="5660" spans="1:16" ht="18.75" hidden="1">
      <c r="A5660" s="50" t="s">
        <v>13836</v>
      </c>
      <c r="B5660" s="50" t="s">
        <v>13827</v>
      </c>
      <c r="C5660" s="50" t="s">
        <v>13830</v>
      </c>
      <c r="D5660" s="12" t="s">
        <v>13184</v>
      </c>
      <c r="E5660" s="12" t="s">
        <v>13333</v>
      </c>
      <c r="F5660" s="49">
        <v>750915</v>
      </c>
      <c r="G5660" s="77" t="s">
        <v>5609</v>
      </c>
      <c r="H5660" s="14" t="str">
        <f t="shared" si="188"/>
        <v>true</v>
      </c>
      <c r="I5660" s="14" t="s">
        <v>2458</v>
      </c>
      <c r="J5660" s="33" t="s">
        <v>7110</v>
      </c>
      <c r="K5660" s="33" t="s">
        <v>13810</v>
      </c>
      <c r="L5660" s="53" t="s">
        <v>6054</v>
      </c>
      <c r="M5660" s="68" t="str">
        <f t="shared" ref="M5660:M5665" si="192">"بشكه"</f>
        <v>بشكه</v>
      </c>
      <c r="N5660" s="53" t="s">
        <v>6285</v>
      </c>
      <c r="O5660" s="53">
        <v>55200</v>
      </c>
      <c r="P5660" s="198" t="s">
        <v>12669</v>
      </c>
    </row>
    <row r="5661" spans="1:16" ht="18.75" hidden="1">
      <c r="A5661" s="50" t="s">
        <v>13836</v>
      </c>
      <c r="B5661" s="50" t="s">
        <v>13827</v>
      </c>
      <c r="C5661" s="50" t="s">
        <v>13837</v>
      </c>
      <c r="D5661" s="12" t="s">
        <v>13552</v>
      </c>
      <c r="E5661" s="12" t="s">
        <v>13333</v>
      </c>
      <c r="F5661" s="49">
        <v>200000</v>
      </c>
      <c r="G5661" s="77" t="s">
        <v>9756</v>
      </c>
      <c r="H5661" s="14" t="str">
        <f t="shared" si="188"/>
        <v>true</v>
      </c>
      <c r="I5661" s="14" t="s">
        <v>2458</v>
      </c>
      <c r="J5661" s="33" t="s">
        <v>7110</v>
      </c>
      <c r="K5661" s="33" t="s">
        <v>13810</v>
      </c>
      <c r="L5661" s="53" t="s">
        <v>6054</v>
      </c>
      <c r="M5661" s="68" t="str">
        <f t="shared" si="192"/>
        <v>بشكه</v>
      </c>
      <c r="N5661" s="53" t="s">
        <v>6285</v>
      </c>
      <c r="O5661" s="53">
        <v>55200</v>
      </c>
      <c r="P5661" s="198" t="s">
        <v>7253</v>
      </c>
    </row>
    <row r="5662" spans="1:16" ht="18.75" hidden="1">
      <c r="A5662" s="50" t="s">
        <v>13834</v>
      </c>
      <c r="B5662" s="50" t="s">
        <v>13835</v>
      </c>
      <c r="C5662" s="50" t="s">
        <v>13838</v>
      </c>
      <c r="D5662" s="12" t="s">
        <v>13385</v>
      </c>
      <c r="E5662" s="12" t="s">
        <v>13333</v>
      </c>
      <c r="F5662" s="49">
        <v>66560</v>
      </c>
      <c r="G5662" s="77" t="s">
        <v>5611</v>
      </c>
      <c r="H5662" s="14" t="str">
        <f t="shared" si="188"/>
        <v>true</v>
      </c>
      <c r="I5662" s="14" t="s">
        <v>2458</v>
      </c>
      <c r="J5662" s="33" t="s">
        <v>7110</v>
      </c>
      <c r="K5662" s="33" t="s">
        <v>13810</v>
      </c>
      <c r="L5662" s="53" t="s">
        <v>6054</v>
      </c>
      <c r="M5662" s="68" t="str">
        <f t="shared" si="192"/>
        <v>بشكه</v>
      </c>
      <c r="N5662" s="53" t="s">
        <v>6285</v>
      </c>
      <c r="O5662" s="53">
        <v>55200</v>
      </c>
      <c r="P5662" s="198" t="s">
        <v>12934</v>
      </c>
    </row>
    <row r="5663" spans="1:16" ht="18.75" hidden="1">
      <c r="A5663" s="50" t="s">
        <v>13839</v>
      </c>
      <c r="B5663" s="50" t="s">
        <v>13818</v>
      </c>
      <c r="C5663" s="50" t="s">
        <v>13840</v>
      </c>
      <c r="D5663" s="12" t="s">
        <v>13741</v>
      </c>
      <c r="E5663" s="12" t="s">
        <v>13333</v>
      </c>
      <c r="F5663" s="49">
        <v>139939</v>
      </c>
      <c r="G5663" s="77" t="s">
        <v>13816</v>
      </c>
      <c r="H5663" s="14" t="str">
        <f t="shared" si="188"/>
        <v>true</v>
      </c>
      <c r="I5663" s="14" t="s">
        <v>2458</v>
      </c>
      <c r="J5663" s="33" t="s">
        <v>7110</v>
      </c>
      <c r="K5663" s="33" t="s">
        <v>13810</v>
      </c>
      <c r="L5663" s="53" t="s">
        <v>6054</v>
      </c>
      <c r="M5663" s="68" t="str">
        <f t="shared" si="192"/>
        <v>بشكه</v>
      </c>
      <c r="N5663" s="53" t="s">
        <v>6285</v>
      </c>
      <c r="O5663" s="53">
        <v>55200</v>
      </c>
      <c r="P5663" s="198" t="s">
        <v>13625</v>
      </c>
    </row>
    <row r="5664" spans="1:16" ht="18.75" hidden="1">
      <c r="A5664" s="50" t="s">
        <v>13839</v>
      </c>
      <c r="B5664" s="50" t="s">
        <v>13818</v>
      </c>
      <c r="C5664" s="50" t="s">
        <v>13841</v>
      </c>
      <c r="D5664" s="12" t="s">
        <v>13549</v>
      </c>
      <c r="E5664" s="12" t="s">
        <v>13333</v>
      </c>
      <c r="F5664" s="49">
        <v>150000</v>
      </c>
      <c r="G5664" s="77" t="s">
        <v>5647</v>
      </c>
      <c r="H5664" s="14" t="str">
        <f t="shared" si="188"/>
        <v>true</v>
      </c>
      <c r="I5664" s="14" t="s">
        <v>2458</v>
      </c>
      <c r="J5664" s="33" t="s">
        <v>7110</v>
      </c>
      <c r="K5664" s="33" t="s">
        <v>13810</v>
      </c>
      <c r="L5664" s="53" t="s">
        <v>6054</v>
      </c>
      <c r="M5664" s="68" t="str">
        <f t="shared" si="192"/>
        <v>بشكه</v>
      </c>
      <c r="N5664" s="53" t="s">
        <v>6285</v>
      </c>
      <c r="O5664" s="53">
        <v>55200</v>
      </c>
      <c r="P5664" s="198" t="s">
        <v>13842</v>
      </c>
    </row>
    <row r="5665" spans="1:16" ht="18.75" hidden="1">
      <c r="A5665" s="50" t="s">
        <v>13807</v>
      </c>
      <c r="B5665" s="50" t="s">
        <v>13808</v>
      </c>
      <c r="C5665" s="50" t="s">
        <v>13663</v>
      </c>
      <c r="D5665" s="12" t="s">
        <v>13549</v>
      </c>
      <c r="E5665" s="12" t="s">
        <v>13333</v>
      </c>
      <c r="F5665" s="49">
        <v>54320</v>
      </c>
      <c r="G5665" s="77" t="s">
        <v>5773</v>
      </c>
      <c r="H5665" s="14" t="str">
        <f t="shared" si="188"/>
        <v>true</v>
      </c>
      <c r="I5665" s="14" t="s">
        <v>2458</v>
      </c>
      <c r="J5665" s="33" t="s">
        <v>7110</v>
      </c>
      <c r="K5665" s="33" t="s">
        <v>13810</v>
      </c>
      <c r="L5665" s="53" t="s">
        <v>6054</v>
      </c>
      <c r="M5665" s="68" t="str">
        <f t="shared" si="192"/>
        <v>بشكه</v>
      </c>
      <c r="N5665" s="53" t="s">
        <v>6285</v>
      </c>
      <c r="O5665" s="53">
        <v>55200</v>
      </c>
      <c r="P5665" s="198" t="s">
        <v>13664</v>
      </c>
    </row>
    <row r="5666" spans="1:16" ht="18.75" hidden="1">
      <c r="A5666" s="50" t="s">
        <v>13811</v>
      </c>
      <c r="B5666" s="50" t="s">
        <v>13812</v>
      </c>
      <c r="C5666" s="50" t="s">
        <v>13832</v>
      </c>
      <c r="D5666" s="12" t="s">
        <v>13575</v>
      </c>
      <c r="E5666" s="12" t="s">
        <v>13333</v>
      </c>
      <c r="F5666" s="49">
        <v>4920</v>
      </c>
      <c r="G5666" s="77" t="s">
        <v>5773</v>
      </c>
      <c r="H5666" s="14" t="str">
        <f t="shared" si="188"/>
        <v>true</v>
      </c>
      <c r="I5666" s="14" t="s">
        <v>2458</v>
      </c>
      <c r="J5666" s="33" t="s">
        <v>7110</v>
      </c>
      <c r="K5666" s="33" t="s">
        <v>13810</v>
      </c>
      <c r="L5666" s="53" t="s">
        <v>6054</v>
      </c>
      <c r="M5666" s="68" t="s">
        <v>8913</v>
      </c>
      <c r="N5666" s="53" t="s">
        <v>6076</v>
      </c>
      <c r="O5666" s="53">
        <v>55301</v>
      </c>
      <c r="P5666" s="198" t="s">
        <v>13664</v>
      </c>
    </row>
    <row r="5667" spans="1:16" ht="18.75" hidden="1">
      <c r="A5667" s="50" t="s">
        <v>13823</v>
      </c>
      <c r="B5667" s="50" t="s">
        <v>13818</v>
      </c>
      <c r="C5667" s="50" t="s">
        <v>13737</v>
      </c>
      <c r="D5667" s="12" t="s">
        <v>13672</v>
      </c>
      <c r="E5667" s="12" t="s">
        <v>13333</v>
      </c>
      <c r="F5667" s="49">
        <v>12619</v>
      </c>
      <c r="G5667" s="77" t="s">
        <v>13825</v>
      </c>
      <c r="H5667" s="14" t="str">
        <f t="shared" si="188"/>
        <v>true</v>
      </c>
      <c r="I5667" s="14" t="s">
        <v>2458</v>
      </c>
      <c r="J5667" s="33" t="s">
        <v>7110</v>
      </c>
      <c r="K5667" s="33" t="s">
        <v>13810</v>
      </c>
      <c r="L5667" s="53" t="s">
        <v>6054</v>
      </c>
      <c r="M5667" s="68" t="s">
        <v>8913</v>
      </c>
      <c r="N5667" s="53" t="s">
        <v>6076</v>
      </c>
      <c r="O5667" s="53">
        <v>55301</v>
      </c>
      <c r="P5667" s="198" t="s">
        <v>13715</v>
      </c>
    </row>
    <row r="5668" spans="1:16" ht="18.75" hidden="1">
      <c r="A5668" s="50" t="s">
        <v>13839</v>
      </c>
      <c r="B5668" s="50" t="s">
        <v>13818</v>
      </c>
      <c r="C5668" s="50" t="s">
        <v>13843</v>
      </c>
      <c r="D5668" s="12" t="s">
        <v>13552</v>
      </c>
      <c r="E5668" s="12" t="s">
        <v>13333</v>
      </c>
      <c r="F5668" s="49">
        <v>100000</v>
      </c>
      <c r="G5668" s="77" t="s">
        <v>5607</v>
      </c>
      <c r="H5668" s="14" t="str">
        <f t="shared" si="188"/>
        <v>true</v>
      </c>
      <c r="I5668" s="14" t="s">
        <v>2458</v>
      </c>
      <c r="J5668" s="33" t="e">
        <f>VLOOKUP(C5668,شرکتها!A:B,2,FALSE)</f>
        <v>#N/A</v>
      </c>
      <c r="K5668" s="33" t="s">
        <v>13810</v>
      </c>
      <c r="L5668" s="53" t="s">
        <v>6054</v>
      </c>
      <c r="M5668" s="68" t="str">
        <f t="shared" ref="M5668:M5671" si="193">"بشكه"</f>
        <v>بشكه</v>
      </c>
      <c r="N5668" s="53" t="s">
        <v>6285</v>
      </c>
      <c r="O5668" s="53">
        <v>55200</v>
      </c>
      <c r="P5668" s="198" t="s">
        <v>12929</v>
      </c>
    </row>
    <row r="5669" spans="1:16" ht="18.75" hidden="1">
      <c r="A5669" s="50" t="s">
        <v>13844</v>
      </c>
      <c r="B5669" s="50" t="s">
        <v>13822</v>
      </c>
      <c r="C5669" s="50" t="s">
        <v>13737</v>
      </c>
      <c r="D5669" s="12" t="s">
        <v>13672</v>
      </c>
      <c r="E5669" s="12" t="s">
        <v>13333</v>
      </c>
      <c r="F5669" s="49">
        <v>24030</v>
      </c>
      <c r="G5669" s="77" t="s">
        <v>13825</v>
      </c>
      <c r="H5669" s="14" t="str">
        <f t="shared" si="188"/>
        <v>true</v>
      </c>
      <c r="I5669" s="14" t="s">
        <v>2458</v>
      </c>
      <c r="J5669" s="33" t="s">
        <v>7110</v>
      </c>
      <c r="K5669" s="33" t="s">
        <v>13810</v>
      </c>
      <c r="L5669" s="53" t="s">
        <v>6054</v>
      </c>
      <c r="M5669" s="68" t="str">
        <f t="shared" si="193"/>
        <v>بشكه</v>
      </c>
      <c r="N5669" s="53" t="s">
        <v>6076</v>
      </c>
      <c r="O5669" s="53">
        <v>55301</v>
      </c>
      <c r="P5669" s="198" t="s">
        <v>13715</v>
      </c>
    </row>
    <row r="5670" spans="1:16" ht="18.75" hidden="1">
      <c r="A5670" s="50" t="s">
        <v>13817</v>
      </c>
      <c r="B5670" s="50" t="s">
        <v>13818</v>
      </c>
      <c r="C5670" s="50" t="s">
        <v>13833</v>
      </c>
      <c r="D5670" s="12" t="s">
        <v>13473</v>
      </c>
      <c r="E5670" s="12" t="s">
        <v>13333</v>
      </c>
      <c r="F5670" s="49">
        <v>470000</v>
      </c>
      <c r="G5670" s="77" t="s">
        <v>13816</v>
      </c>
      <c r="H5670" s="14" t="str">
        <f t="shared" si="188"/>
        <v>true</v>
      </c>
      <c r="I5670" s="14" t="s">
        <v>2458</v>
      </c>
      <c r="J5670" s="33" t="s">
        <v>7110</v>
      </c>
      <c r="K5670" s="33" t="s">
        <v>13810</v>
      </c>
      <c r="L5670" s="53" t="s">
        <v>6054</v>
      </c>
      <c r="M5670" s="68" t="str">
        <f t="shared" si="193"/>
        <v>بشكه</v>
      </c>
      <c r="N5670" s="53" t="s">
        <v>6076</v>
      </c>
      <c r="O5670" s="53">
        <v>55301</v>
      </c>
      <c r="P5670" s="198" t="s">
        <v>13625</v>
      </c>
    </row>
    <row r="5671" spans="1:16" ht="18.75" hidden="1">
      <c r="A5671" s="50" t="s">
        <v>13839</v>
      </c>
      <c r="B5671" s="50" t="s">
        <v>13818</v>
      </c>
      <c r="C5671" s="50" t="s">
        <v>13737</v>
      </c>
      <c r="D5671" s="12" t="s">
        <v>13672</v>
      </c>
      <c r="E5671" s="12" t="s">
        <v>13333</v>
      </c>
      <c r="F5671" s="49">
        <v>315941</v>
      </c>
      <c r="G5671" s="77" t="s">
        <v>13825</v>
      </c>
      <c r="H5671" s="14" t="str">
        <f t="shared" si="188"/>
        <v>true</v>
      </c>
      <c r="I5671" s="14" t="s">
        <v>2458</v>
      </c>
      <c r="J5671" s="33" t="s">
        <v>7110</v>
      </c>
      <c r="K5671" s="33" t="s">
        <v>13810</v>
      </c>
      <c r="L5671" s="53" t="s">
        <v>6054</v>
      </c>
      <c r="M5671" s="68" t="str">
        <f t="shared" si="193"/>
        <v>بشكه</v>
      </c>
      <c r="N5671" s="53" t="s">
        <v>6285</v>
      </c>
      <c r="O5671" s="53">
        <v>55200</v>
      </c>
      <c r="P5671" s="198" t="s">
        <v>13715</v>
      </c>
    </row>
    <row r="5672" spans="1:16" ht="18.75" hidden="1">
      <c r="A5672" s="50" t="s">
        <v>13845</v>
      </c>
      <c r="B5672" s="50" t="s">
        <v>13815</v>
      </c>
      <c r="C5672" s="50" t="s">
        <v>13838</v>
      </c>
      <c r="D5672" s="12" t="s">
        <v>13385</v>
      </c>
      <c r="E5672" s="12" t="s">
        <v>13333</v>
      </c>
      <c r="F5672" s="49">
        <v>476600</v>
      </c>
      <c r="G5672" s="77" t="s">
        <v>5611</v>
      </c>
      <c r="H5672" s="14" t="str">
        <f t="shared" si="188"/>
        <v>true</v>
      </c>
      <c r="I5672" s="14" t="s">
        <v>2458</v>
      </c>
      <c r="J5672" s="33" t="s">
        <v>7110</v>
      </c>
      <c r="K5672" s="33" t="s">
        <v>13810</v>
      </c>
      <c r="L5672" s="53" t="s">
        <v>6054</v>
      </c>
      <c r="M5672" s="68" t="s">
        <v>8913</v>
      </c>
      <c r="N5672" s="53" t="s">
        <v>6076</v>
      </c>
      <c r="O5672" s="53">
        <v>55301</v>
      </c>
      <c r="P5672" s="198" t="s">
        <v>12934</v>
      </c>
    </row>
    <row r="5673" spans="1:16" ht="18.75" hidden="1">
      <c r="A5673" s="50" t="s">
        <v>13823</v>
      </c>
      <c r="B5673" s="50" t="s">
        <v>13818</v>
      </c>
      <c r="C5673" s="50" t="s">
        <v>13800</v>
      </c>
      <c r="D5673" s="12" t="s">
        <v>13549</v>
      </c>
      <c r="E5673" s="12" t="s">
        <v>13333</v>
      </c>
      <c r="F5673" s="49">
        <v>237760</v>
      </c>
      <c r="G5673" s="77" t="s">
        <v>12590</v>
      </c>
      <c r="H5673" s="14" t="str">
        <f t="shared" si="188"/>
        <v>true</v>
      </c>
      <c r="I5673" s="14" t="s">
        <v>2458</v>
      </c>
      <c r="J5673" s="33" t="s">
        <v>7110</v>
      </c>
      <c r="K5673" s="33" t="s">
        <v>13810</v>
      </c>
      <c r="L5673" s="53" t="s">
        <v>6054</v>
      </c>
      <c r="M5673" s="68" t="s">
        <v>8913</v>
      </c>
      <c r="N5673" s="53" t="s">
        <v>6076</v>
      </c>
      <c r="O5673" s="53">
        <v>55301</v>
      </c>
      <c r="P5673" s="198" t="s">
        <v>13670</v>
      </c>
    </row>
    <row r="5674" spans="1:16" ht="18.75" hidden="1">
      <c r="A5674" s="50" t="s">
        <v>13836</v>
      </c>
      <c r="B5674" s="50" t="s">
        <v>13827</v>
      </c>
      <c r="C5674" s="50" t="s">
        <v>13430</v>
      </c>
      <c r="D5674" s="12" t="s">
        <v>13266</v>
      </c>
      <c r="E5674" s="12" t="s">
        <v>13333</v>
      </c>
      <c r="F5674" s="49">
        <v>161185</v>
      </c>
      <c r="G5674" s="77" t="s">
        <v>5631</v>
      </c>
      <c r="H5674" s="14" t="str">
        <f t="shared" si="188"/>
        <v>true</v>
      </c>
      <c r="I5674" s="14" t="s">
        <v>2458</v>
      </c>
      <c r="J5674" s="33" t="s">
        <v>7110</v>
      </c>
      <c r="K5674" s="33" t="s">
        <v>13810</v>
      </c>
      <c r="L5674" s="53" t="s">
        <v>6054</v>
      </c>
      <c r="M5674" s="68" t="str">
        <f t="shared" ref="M5674:M5676" si="194">"بشكه"</f>
        <v>بشكه</v>
      </c>
      <c r="N5674" s="53" t="s">
        <v>6285</v>
      </c>
      <c r="O5674" s="53">
        <v>55200</v>
      </c>
      <c r="P5674" s="198" t="s">
        <v>12220</v>
      </c>
    </row>
    <row r="5675" spans="1:16" ht="18.75" hidden="1">
      <c r="A5675" s="50" t="s">
        <v>13836</v>
      </c>
      <c r="B5675" s="50" t="s">
        <v>13827</v>
      </c>
      <c r="C5675" s="50" t="s">
        <v>13846</v>
      </c>
      <c r="D5675" s="12" t="s">
        <v>13639</v>
      </c>
      <c r="E5675" s="12" t="s">
        <v>13333</v>
      </c>
      <c r="F5675" s="49">
        <v>249500</v>
      </c>
      <c r="G5675" s="77" t="s">
        <v>9756</v>
      </c>
      <c r="H5675" s="14" t="str">
        <f t="shared" si="188"/>
        <v>true</v>
      </c>
      <c r="I5675" s="14" t="s">
        <v>2458</v>
      </c>
      <c r="J5675" s="33" t="s">
        <v>7110</v>
      </c>
      <c r="K5675" s="33" t="s">
        <v>13810</v>
      </c>
      <c r="L5675" s="53" t="s">
        <v>6054</v>
      </c>
      <c r="M5675" s="68" t="str">
        <f t="shared" si="194"/>
        <v>بشكه</v>
      </c>
      <c r="N5675" s="53" t="s">
        <v>6285</v>
      </c>
      <c r="O5675" s="53">
        <v>55200</v>
      </c>
      <c r="P5675" s="198" t="s">
        <v>7253</v>
      </c>
    </row>
    <row r="5676" spans="1:16" ht="18.75" hidden="1">
      <c r="A5676" s="50" t="s">
        <v>13847</v>
      </c>
      <c r="B5676" s="50" t="s">
        <v>13770</v>
      </c>
      <c r="C5676" s="50" t="s">
        <v>13809</v>
      </c>
      <c r="D5676" s="12" t="s">
        <v>13549</v>
      </c>
      <c r="E5676" s="12" t="s">
        <v>13333</v>
      </c>
      <c r="F5676" s="49">
        <v>240120</v>
      </c>
      <c r="G5676" s="77" t="s">
        <v>5609</v>
      </c>
      <c r="H5676" s="14" t="str">
        <f t="shared" si="188"/>
        <v>true</v>
      </c>
      <c r="I5676" s="14" t="s">
        <v>2458</v>
      </c>
      <c r="J5676" s="33" t="s">
        <v>7110</v>
      </c>
      <c r="K5676" s="33" t="s">
        <v>13810</v>
      </c>
      <c r="L5676" s="53" t="s">
        <v>6054</v>
      </c>
      <c r="M5676" s="68" t="str">
        <f t="shared" si="194"/>
        <v>بشكه</v>
      </c>
      <c r="N5676" s="53" t="s">
        <v>6285</v>
      </c>
      <c r="O5676" s="53">
        <v>55200</v>
      </c>
      <c r="P5676" s="198" t="s">
        <v>12669</v>
      </c>
    </row>
    <row r="5677" spans="1:16" ht="18.75" hidden="1">
      <c r="A5677" s="50" t="s">
        <v>13829</v>
      </c>
      <c r="B5677" s="50" t="s">
        <v>13827</v>
      </c>
      <c r="C5677" s="50" t="s">
        <v>13848</v>
      </c>
      <c r="D5677" s="12" t="s">
        <v>13273</v>
      </c>
      <c r="E5677" s="12" t="s">
        <v>13333</v>
      </c>
      <c r="F5677" s="49">
        <v>100420</v>
      </c>
      <c r="G5677" s="77" t="s">
        <v>5611</v>
      </c>
      <c r="H5677" s="14" t="str">
        <f t="shared" si="188"/>
        <v>true</v>
      </c>
      <c r="I5677" s="14" t="s">
        <v>2458</v>
      </c>
      <c r="J5677" s="33" t="s">
        <v>7110</v>
      </c>
      <c r="K5677" s="33" t="s">
        <v>13810</v>
      </c>
      <c r="L5677" s="53" t="s">
        <v>6054</v>
      </c>
      <c r="M5677" s="68" t="s">
        <v>8913</v>
      </c>
      <c r="N5677" s="53" t="s">
        <v>6285</v>
      </c>
      <c r="O5677" s="53">
        <v>55200</v>
      </c>
      <c r="P5677" s="198" t="s">
        <v>12934</v>
      </c>
    </row>
    <row r="5678" spans="1:16" ht="18.75" hidden="1">
      <c r="A5678" s="50" t="s">
        <v>13836</v>
      </c>
      <c r="B5678" s="50" t="s">
        <v>13827</v>
      </c>
      <c r="C5678" s="50" t="s">
        <v>13806</v>
      </c>
      <c r="D5678" s="12" t="s">
        <v>13385</v>
      </c>
      <c r="E5678" s="12" t="s">
        <v>13333</v>
      </c>
      <c r="F5678" s="49">
        <v>226770</v>
      </c>
      <c r="G5678" s="77" t="s">
        <v>5611</v>
      </c>
      <c r="H5678" s="14" t="str">
        <f t="shared" si="188"/>
        <v>true</v>
      </c>
      <c r="I5678" s="14" t="s">
        <v>2458</v>
      </c>
      <c r="J5678" s="33" t="s">
        <v>7110</v>
      </c>
      <c r="K5678" s="33" t="s">
        <v>13810</v>
      </c>
      <c r="L5678" s="53" t="s">
        <v>6054</v>
      </c>
      <c r="M5678" s="68" t="str">
        <f t="shared" ref="M5678:M5684" si="195">"بشكه"</f>
        <v>بشكه</v>
      </c>
      <c r="N5678" s="53" t="s">
        <v>6285</v>
      </c>
      <c r="O5678" s="53">
        <v>55200</v>
      </c>
      <c r="P5678" s="198" t="s">
        <v>12934</v>
      </c>
    </row>
    <row r="5679" spans="1:16" ht="18.75" hidden="1">
      <c r="A5679" s="50" t="s">
        <v>13836</v>
      </c>
      <c r="B5679" s="50" t="s">
        <v>13827</v>
      </c>
      <c r="C5679" s="50" t="s">
        <v>13849</v>
      </c>
      <c r="D5679" s="12" t="s">
        <v>13563</v>
      </c>
      <c r="E5679" s="12" t="s">
        <v>13333</v>
      </c>
      <c r="F5679" s="49">
        <v>500000</v>
      </c>
      <c r="G5679" s="77" t="s">
        <v>5609</v>
      </c>
      <c r="H5679" s="14" t="str">
        <f t="shared" si="188"/>
        <v>true</v>
      </c>
      <c r="I5679" s="14" t="s">
        <v>2458</v>
      </c>
      <c r="J5679" s="33" t="s">
        <v>7110</v>
      </c>
      <c r="K5679" s="33" t="s">
        <v>13810</v>
      </c>
      <c r="L5679" s="53" t="s">
        <v>6054</v>
      </c>
      <c r="M5679" s="68" t="str">
        <f t="shared" si="195"/>
        <v>بشكه</v>
      </c>
      <c r="N5679" s="53" t="s">
        <v>6285</v>
      </c>
      <c r="O5679" s="53">
        <v>55200</v>
      </c>
      <c r="P5679" s="198" t="s">
        <v>12669</v>
      </c>
    </row>
    <row r="5680" spans="1:16" ht="18.75" hidden="1">
      <c r="A5680" s="50" t="s">
        <v>13814</v>
      </c>
      <c r="B5680" s="50" t="s">
        <v>13815</v>
      </c>
      <c r="C5680" s="50" t="s">
        <v>13824</v>
      </c>
      <c r="D5680" s="12" t="s">
        <v>13639</v>
      </c>
      <c r="E5680" s="12" t="s">
        <v>13333</v>
      </c>
      <c r="F5680" s="49">
        <v>300000</v>
      </c>
      <c r="G5680" s="77" t="s">
        <v>13825</v>
      </c>
      <c r="H5680" s="14" t="str">
        <f t="shared" si="188"/>
        <v>true</v>
      </c>
      <c r="I5680" s="14" t="s">
        <v>2458</v>
      </c>
      <c r="J5680" s="33" t="s">
        <v>7110</v>
      </c>
      <c r="K5680" s="33" t="s">
        <v>13810</v>
      </c>
      <c r="L5680" s="53" t="s">
        <v>6054</v>
      </c>
      <c r="M5680" s="68" t="str">
        <f t="shared" si="195"/>
        <v>بشكه</v>
      </c>
      <c r="N5680" s="53" t="s">
        <v>6285</v>
      </c>
      <c r="O5680" s="53">
        <v>55200</v>
      </c>
      <c r="P5680" s="198" t="s">
        <v>13715</v>
      </c>
    </row>
    <row r="5681" spans="1:16" ht="18.75" hidden="1">
      <c r="A5681" s="50" t="s">
        <v>13821</v>
      </c>
      <c r="B5681" s="50" t="s">
        <v>13822</v>
      </c>
      <c r="C5681" s="50" t="s">
        <v>13824</v>
      </c>
      <c r="D5681" s="12" t="s">
        <v>13639</v>
      </c>
      <c r="E5681" s="12" t="s">
        <v>13333</v>
      </c>
      <c r="F5681" s="49">
        <v>264050</v>
      </c>
      <c r="G5681" s="77" t="s">
        <v>13825</v>
      </c>
      <c r="H5681" s="14" t="str">
        <f t="shared" si="188"/>
        <v>true</v>
      </c>
      <c r="I5681" s="14" t="s">
        <v>2458</v>
      </c>
      <c r="J5681" s="33" t="s">
        <v>7110</v>
      </c>
      <c r="K5681" s="33" t="s">
        <v>13810</v>
      </c>
      <c r="L5681" s="53" t="s">
        <v>6054</v>
      </c>
      <c r="M5681" s="68" t="str">
        <f t="shared" si="195"/>
        <v>بشكه</v>
      </c>
      <c r="N5681" s="53" t="s">
        <v>6285</v>
      </c>
      <c r="O5681" s="53">
        <v>55200</v>
      </c>
      <c r="P5681" s="198" t="s">
        <v>13715</v>
      </c>
    </row>
    <row r="5682" spans="1:16" ht="18.75" hidden="1">
      <c r="A5682" s="50" t="s">
        <v>13850</v>
      </c>
      <c r="B5682" s="50" t="s">
        <v>13851</v>
      </c>
      <c r="C5682" s="50" t="s">
        <v>13824</v>
      </c>
      <c r="D5682" s="12" t="s">
        <v>13639</v>
      </c>
      <c r="E5682" s="12" t="s">
        <v>13333</v>
      </c>
      <c r="F5682" s="49">
        <v>117720</v>
      </c>
      <c r="G5682" s="77" t="s">
        <v>13825</v>
      </c>
      <c r="H5682" s="14" t="str">
        <f t="shared" si="188"/>
        <v>true</v>
      </c>
      <c r="I5682" s="14" t="s">
        <v>2458</v>
      </c>
      <c r="J5682" s="33" t="s">
        <v>7110</v>
      </c>
      <c r="K5682" s="33" t="s">
        <v>13810</v>
      </c>
      <c r="L5682" s="53" t="s">
        <v>6054</v>
      </c>
      <c r="M5682" s="68" t="str">
        <f t="shared" si="195"/>
        <v>بشكه</v>
      </c>
      <c r="N5682" s="53" t="s">
        <v>6285</v>
      </c>
      <c r="O5682" s="53">
        <v>55200</v>
      </c>
      <c r="P5682" s="198" t="s">
        <v>13715</v>
      </c>
    </row>
    <row r="5683" spans="1:16" ht="18.75" hidden="1">
      <c r="A5683" s="50" t="s">
        <v>13817</v>
      </c>
      <c r="B5683" s="50" t="s">
        <v>13818</v>
      </c>
      <c r="C5683" s="50" t="s">
        <v>13824</v>
      </c>
      <c r="D5683" s="12" t="s">
        <v>13639</v>
      </c>
      <c r="E5683" s="12" t="s">
        <v>13333</v>
      </c>
      <c r="F5683" s="49">
        <v>46500</v>
      </c>
      <c r="G5683" s="77" t="s">
        <v>13825</v>
      </c>
      <c r="H5683" s="14" t="str">
        <f t="shared" si="188"/>
        <v>true</v>
      </c>
      <c r="I5683" s="14" t="s">
        <v>2458</v>
      </c>
      <c r="J5683" s="33" t="s">
        <v>7110</v>
      </c>
      <c r="K5683" s="33" t="s">
        <v>13810</v>
      </c>
      <c r="L5683" s="53" t="s">
        <v>6054</v>
      </c>
      <c r="M5683" s="68" t="str">
        <f t="shared" si="195"/>
        <v>بشكه</v>
      </c>
      <c r="N5683" s="53" t="s">
        <v>6076</v>
      </c>
      <c r="O5683" s="53">
        <v>55301</v>
      </c>
      <c r="P5683" s="198" t="s">
        <v>13715</v>
      </c>
    </row>
    <row r="5684" spans="1:16" ht="18.75" hidden="1">
      <c r="A5684" s="50" t="s">
        <v>13852</v>
      </c>
      <c r="B5684" s="50" t="s">
        <v>13815</v>
      </c>
      <c r="C5684" s="50" t="s">
        <v>13838</v>
      </c>
      <c r="D5684" s="12" t="s">
        <v>13385</v>
      </c>
      <c r="E5684" s="12" t="s">
        <v>13333</v>
      </c>
      <c r="F5684" s="49">
        <v>95720</v>
      </c>
      <c r="G5684" s="77" t="s">
        <v>5611</v>
      </c>
      <c r="H5684" s="14" t="str">
        <f t="shared" si="188"/>
        <v>true</v>
      </c>
      <c r="I5684" s="14" t="s">
        <v>2458</v>
      </c>
      <c r="J5684" s="33" t="s">
        <v>7110</v>
      </c>
      <c r="K5684" s="33" t="s">
        <v>13810</v>
      </c>
      <c r="L5684" s="53" t="s">
        <v>6054</v>
      </c>
      <c r="M5684" s="68" t="str">
        <f t="shared" si="195"/>
        <v>بشكه</v>
      </c>
      <c r="N5684" s="53" t="s">
        <v>6076</v>
      </c>
      <c r="O5684" s="53">
        <v>55301</v>
      </c>
      <c r="P5684" s="198" t="s">
        <v>12934</v>
      </c>
    </row>
    <row r="5685" spans="1:16" ht="18.75" hidden="1">
      <c r="A5685" s="50" t="s">
        <v>13853</v>
      </c>
      <c r="B5685" s="50" t="s">
        <v>13613</v>
      </c>
      <c r="C5685" s="50" t="s">
        <v>13854</v>
      </c>
      <c r="D5685" s="12" t="s">
        <v>13759</v>
      </c>
      <c r="E5685" s="12" t="s">
        <v>13333</v>
      </c>
      <c r="F5685" s="49">
        <v>148320</v>
      </c>
      <c r="G5685" s="77" t="s">
        <v>13816</v>
      </c>
      <c r="H5685" s="14" t="str">
        <f t="shared" si="188"/>
        <v>true</v>
      </c>
      <c r="I5685" s="14" t="s">
        <v>2458</v>
      </c>
      <c r="J5685" s="33" t="s">
        <v>7110</v>
      </c>
      <c r="K5685" s="33" t="s">
        <v>13810</v>
      </c>
      <c r="L5685" s="53" t="s">
        <v>6054</v>
      </c>
      <c r="M5685" s="68" t="s">
        <v>8913</v>
      </c>
      <c r="N5685" s="53" t="s">
        <v>6076</v>
      </c>
      <c r="O5685" s="53">
        <v>55301</v>
      </c>
      <c r="P5685" s="198" t="s">
        <v>13625</v>
      </c>
    </row>
    <row r="5686" spans="1:16" ht="18.75" hidden="1">
      <c r="A5686" s="50" t="s">
        <v>13855</v>
      </c>
      <c r="B5686" s="50" t="s">
        <v>13613</v>
      </c>
      <c r="C5686" s="50" t="s">
        <v>13795</v>
      </c>
      <c r="D5686" s="12" t="s">
        <v>13184</v>
      </c>
      <c r="E5686" s="12" t="s">
        <v>13333</v>
      </c>
      <c r="F5686" s="49">
        <v>215150</v>
      </c>
      <c r="G5686" s="77" t="s">
        <v>5611</v>
      </c>
      <c r="H5686" s="14" t="str">
        <f t="shared" si="188"/>
        <v>true</v>
      </c>
      <c r="I5686" s="14" t="s">
        <v>2458</v>
      </c>
      <c r="J5686" s="33" t="s">
        <v>7110</v>
      </c>
      <c r="K5686" s="33" t="s">
        <v>13810</v>
      </c>
      <c r="L5686" s="53" t="s">
        <v>6054</v>
      </c>
      <c r="M5686" s="68" t="str">
        <f>"بشكه"</f>
        <v>بشكه</v>
      </c>
      <c r="N5686" s="53" t="s">
        <v>6285</v>
      </c>
      <c r="O5686" s="53">
        <v>55200</v>
      </c>
      <c r="P5686" s="198" t="s">
        <v>12934</v>
      </c>
    </row>
    <row r="5687" spans="1:16" ht="18.75" hidden="1">
      <c r="A5687" s="50" t="s">
        <v>13853</v>
      </c>
      <c r="B5687" s="50" t="s">
        <v>13613</v>
      </c>
      <c r="C5687" s="50" t="s">
        <v>13795</v>
      </c>
      <c r="D5687" s="12" t="s">
        <v>13184</v>
      </c>
      <c r="E5687" s="12" t="s">
        <v>13333</v>
      </c>
      <c r="F5687" s="49">
        <v>8940</v>
      </c>
      <c r="G5687" s="77" t="s">
        <v>5611</v>
      </c>
      <c r="H5687" s="14" t="str">
        <f t="shared" si="188"/>
        <v>true</v>
      </c>
      <c r="I5687" s="14" t="s">
        <v>2458</v>
      </c>
      <c r="J5687" s="33" t="s">
        <v>7110</v>
      </c>
      <c r="K5687" s="33" t="s">
        <v>13810</v>
      </c>
      <c r="L5687" s="53" t="s">
        <v>6054</v>
      </c>
      <c r="M5687" s="68" t="s">
        <v>8913</v>
      </c>
      <c r="N5687" s="53" t="s">
        <v>6076</v>
      </c>
      <c r="O5687" s="53">
        <v>55301</v>
      </c>
      <c r="P5687" s="198" t="s">
        <v>12934</v>
      </c>
    </row>
    <row r="5688" spans="1:16" ht="18.75" hidden="1">
      <c r="A5688" s="50" t="str">
        <f>"50100-10263039"</f>
        <v>50100-10263039</v>
      </c>
      <c r="B5688" s="50" t="str">
        <f>"97/03/02"</f>
        <v>97/03/02</v>
      </c>
      <c r="C5688" s="50" t="s">
        <v>13856</v>
      </c>
      <c r="D5688" s="12" t="s">
        <v>13266</v>
      </c>
      <c r="E5688" s="12" t="s">
        <v>13333</v>
      </c>
      <c r="F5688" s="49">
        <v>705275</v>
      </c>
      <c r="G5688" s="77" t="s">
        <v>5611</v>
      </c>
      <c r="H5688" s="14" t="str">
        <f t="shared" si="188"/>
        <v>true</v>
      </c>
      <c r="I5688" s="14" t="s">
        <v>2458</v>
      </c>
      <c r="J5688" s="33" t="s">
        <v>7110</v>
      </c>
      <c r="K5688" s="33" t="s">
        <v>13810</v>
      </c>
      <c r="L5688" s="53" t="str">
        <f>" امارات متحده عربي"</f>
        <v xml:space="preserve"> امارات متحده عربي</v>
      </c>
      <c r="M5688" s="68" t="str">
        <f t="shared" ref="M5688:M5703" si="196">"بشكه"</f>
        <v>بشكه</v>
      </c>
      <c r="N5688" s="53" t="str">
        <f t="shared" ref="N5688:N5723" si="197">"منطقه ويژه اقتصادي شهيد رجايي"</f>
        <v>منطقه ويژه اقتصادي شهيد رجايي</v>
      </c>
      <c r="O5688" s="53">
        <v>50100</v>
      </c>
      <c r="P5688" s="198" t="str">
        <f>"1396548704001"</f>
        <v>1396548704001</v>
      </c>
    </row>
    <row r="5689" spans="1:16" ht="18.75" hidden="1">
      <c r="A5689" s="50" t="str">
        <f>"50100-10263012"</f>
        <v>50100-10263012</v>
      </c>
      <c r="B5689" s="50" t="str">
        <f>"97/03/02"</f>
        <v>97/03/02</v>
      </c>
      <c r="C5689" s="50" t="s">
        <v>13857</v>
      </c>
      <c r="D5689" s="12" t="s">
        <v>12898</v>
      </c>
      <c r="E5689" s="12" t="s">
        <v>4971</v>
      </c>
      <c r="F5689" s="49">
        <v>140000</v>
      </c>
      <c r="G5689" s="77" t="s">
        <v>6298</v>
      </c>
      <c r="H5689" s="14" t="str">
        <f t="shared" si="188"/>
        <v>true</v>
      </c>
      <c r="I5689" s="14" t="s">
        <v>2458</v>
      </c>
      <c r="J5689" s="33" t="s">
        <v>7110</v>
      </c>
      <c r="K5689" s="33" t="s">
        <v>13810</v>
      </c>
      <c r="L5689" s="53" t="str">
        <f t="shared" ref="L5689:L5694" si="198">"هند"</f>
        <v>هند</v>
      </c>
      <c r="M5689" s="68" t="str">
        <f t="shared" si="196"/>
        <v>بشكه</v>
      </c>
      <c r="N5689" s="53" t="str">
        <f t="shared" si="197"/>
        <v>منطقه ويژه اقتصادي شهيد رجايي</v>
      </c>
      <c r="O5689" s="53">
        <v>50100</v>
      </c>
      <c r="P5689" s="198" t="str">
        <f>"1396548704001"</f>
        <v>1396548704001</v>
      </c>
    </row>
    <row r="5690" spans="1:16" ht="18.75" hidden="1">
      <c r="A5690" s="50" t="str">
        <f>"50100-10263012"</f>
        <v>50100-10263012</v>
      </c>
      <c r="B5690" s="50" t="str">
        <f>"97/03/02"</f>
        <v>97/03/02</v>
      </c>
      <c r="C5690" s="50" t="s">
        <v>13858</v>
      </c>
      <c r="D5690" s="12" t="s">
        <v>12878</v>
      </c>
      <c r="E5690" s="12" t="s">
        <v>4971</v>
      </c>
      <c r="F5690" s="49">
        <v>190000</v>
      </c>
      <c r="G5690" s="77" t="s">
        <v>6298</v>
      </c>
      <c r="H5690" s="14" t="str">
        <f t="shared" si="188"/>
        <v>true</v>
      </c>
      <c r="I5690" s="14" t="s">
        <v>2458</v>
      </c>
      <c r="J5690" s="33" t="s">
        <v>7110</v>
      </c>
      <c r="K5690" s="33" t="s">
        <v>13810</v>
      </c>
      <c r="L5690" s="53" t="str">
        <f t="shared" si="198"/>
        <v>هند</v>
      </c>
      <c r="M5690" s="68" t="str">
        <f t="shared" si="196"/>
        <v>بشكه</v>
      </c>
      <c r="N5690" s="53" t="str">
        <f t="shared" si="197"/>
        <v>منطقه ويژه اقتصادي شهيد رجايي</v>
      </c>
      <c r="O5690" s="53">
        <v>50100</v>
      </c>
      <c r="P5690" s="198" t="str">
        <f>"1396548704001"</f>
        <v>1396548704001</v>
      </c>
    </row>
    <row r="5691" spans="1:16" ht="18.75" hidden="1">
      <c r="A5691" s="50" t="str">
        <f>"50100-10263012"</f>
        <v>50100-10263012</v>
      </c>
      <c r="B5691" s="50" t="str">
        <f>"97/03/02"</f>
        <v>97/03/02</v>
      </c>
      <c r="C5691" s="50" t="s">
        <v>13859</v>
      </c>
      <c r="D5691" s="12" t="s">
        <v>13002</v>
      </c>
      <c r="E5691" s="12" t="s">
        <v>4971</v>
      </c>
      <c r="F5691" s="49">
        <v>146760</v>
      </c>
      <c r="G5691" s="77" t="s">
        <v>6298</v>
      </c>
      <c r="H5691" s="14" t="str">
        <f t="shared" si="188"/>
        <v>true</v>
      </c>
      <c r="I5691" s="14" t="s">
        <v>2458</v>
      </c>
      <c r="J5691" s="33" t="s">
        <v>7110</v>
      </c>
      <c r="K5691" s="33" t="s">
        <v>13810</v>
      </c>
      <c r="L5691" s="53" t="str">
        <f t="shared" si="198"/>
        <v>هند</v>
      </c>
      <c r="M5691" s="68" t="str">
        <f t="shared" si="196"/>
        <v>بشكه</v>
      </c>
      <c r="N5691" s="53" t="str">
        <f t="shared" si="197"/>
        <v>منطقه ويژه اقتصادي شهيد رجايي</v>
      </c>
      <c r="O5691" s="53">
        <v>50100</v>
      </c>
      <c r="P5691" s="198" t="str">
        <f>"1396548704001"</f>
        <v>1396548704001</v>
      </c>
    </row>
    <row r="5692" spans="1:16" ht="18.75" hidden="1">
      <c r="A5692" s="50" t="str">
        <f>"50100-10263012"</f>
        <v>50100-10263012</v>
      </c>
      <c r="B5692" s="50" t="str">
        <f>"97/03/02"</f>
        <v>97/03/02</v>
      </c>
      <c r="C5692" s="50" t="s">
        <v>13860</v>
      </c>
      <c r="D5692" s="12" t="s">
        <v>12878</v>
      </c>
      <c r="E5692" s="12" t="s">
        <v>4971</v>
      </c>
      <c r="F5692" s="49">
        <v>2750</v>
      </c>
      <c r="G5692" s="77" t="s">
        <v>6298</v>
      </c>
      <c r="H5692" s="14" t="str">
        <f t="shared" si="188"/>
        <v>true</v>
      </c>
      <c r="I5692" s="14" t="s">
        <v>2458</v>
      </c>
      <c r="J5692" s="33" t="s">
        <v>7110</v>
      </c>
      <c r="K5692" s="33" t="s">
        <v>13810</v>
      </c>
      <c r="L5692" s="53" t="str">
        <f t="shared" si="198"/>
        <v>هند</v>
      </c>
      <c r="M5692" s="68" t="str">
        <f t="shared" si="196"/>
        <v>بشكه</v>
      </c>
      <c r="N5692" s="53" t="str">
        <f t="shared" si="197"/>
        <v>منطقه ويژه اقتصادي شهيد رجايي</v>
      </c>
      <c r="O5692" s="53">
        <v>50100</v>
      </c>
      <c r="P5692" s="198" t="str">
        <f>"1396548704001"</f>
        <v>1396548704001</v>
      </c>
    </row>
    <row r="5693" spans="1:16" ht="18.75" hidden="1">
      <c r="A5693" s="50" t="str">
        <f>"50100-10269148"</f>
        <v>50100-10269148</v>
      </c>
      <c r="B5693" s="50" t="str">
        <f>"97/03/05"</f>
        <v>97/03/05</v>
      </c>
      <c r="C5693" s="50" t="s">
        <v>13861</v>
      </c>
      <c r="D5693" s="12" t="s">
        <v>13563</v>
      </c>
      <c r="E5693" s="12" t="s">
        <v>13333</v>
      </c>
      <c r="F5693" s="49">
        <v>499460</v>
      </c>
      <c r="G5693" s="77" t="s">
        <v>5609</v>
      </c>
      <c r="H5693" s="14" t="str">
        <f t="shared" si="188"/>
        <v>true</v>
      </c>
      <c r="I5693" s="14" t="s">
        <v>2458</v>
      </c>
      <c r="J5693" s="33" t="s">
        <v>7110</v>
      </c>
      <c r="K5693" s="33" t="s">
        <v>13810</v>
      </c>
      <c r="L5693" s="53" t="str">
        <f t="shared" si="198"/>
        <v>هند</v>
      </c>
      <c r="M5693" s="68" t="str">
        <f t="shared" si="196"/>
        <v>بشكه</v>
      </c>
      <c r="N5693" s="53" t="str">
        <f t="shared" si="197"/>
        <v>منطقه ويژه اقتصادي شهيد رجايي</v>
      </c>
      <c r="O5693" s="53">
        <v>50100</v>
      </c>
      <c r="P5693" s="198" t="str">
        <f>"1396548700001"</f>
        <v>1396548700001</v>
      </c>
    </row>
    <row r="5694" spans="1:16" ht="18.75" hidden="1">
      <c r="A5694" s="50" t="str">
        <f>"50100-10269971"</f>
        <v>50100-10269971</v>
      </c>
      <c r="B5694" s="50" t="str">
        <f>"97/03/05"</f>
        <v>97/03/05</v>
      </c>
      <c r="C5694" s="50" t="s">
        <v>13862</v>
      </c>
      <c r="D5694" s="12" t="s">
        <v>13356</v>
      </c>
      <c r="E5694" s="12" t="s">
        <v>13333</v>
      </c>
      <c r="F5694" s="49">
        <v>99085</v>
      </c>
      <c r="G5694" s="77" t="s">
        <v>5609</v>
      </c>
      <c r="H5694" s="14" t="str">
        <f t="shared" si="188"/>
        <v>true</v>
      </c>
      <c r="I5694" s="14" t="s">
        <v>2458</v>
      </c>
      <c r="J5694" s="33" t="s">
        <v>7110</v>
      </c>
      <c r="K5694" s="33" t="s">
        <v>13810</v>
      </c>
      <c r="L5694" s="53" t="str">
        <f t="shared" si="198"/>
        <v>هند</v>
      </c>
      <c r="M5694" s="68" t="str">
        <f t="shared" si="196"/>
        <v>بشكه</v>
      </c>
      <c r="N5694" s="53" t="str">
        <f t="shared" si="197"/>
        <v>منطقه ويژه اقتصادي شهيد رجايي</v>
      </c>
      <c r="O5694" s="53">
        <v>50100</v>
      </c>
      <c r="P5694" s="198" t="str">
        <f>"1396548700001"</f>
        <v>1396548700001</v>
      </c>
    </row>
    <row r="5695" spans="1:16" ht="18.75" hidden="1">
      <c r="A5695" s="50" t="str">
        <f>"50100-10287346"</f>
        <v>50100-10287346</v>
      </c>
      <c r="B5695" s="50" t="str">
        <f>"97/03/09"</f>
        <v>97/03/09</v>
      </c>
      <c r="C5695" s="50" t="s">
        <v>13863</v>
      </c>
      <c r="D5695" s="12" t="s">
        <v>13477</v>
      </c>
      <c r="E5695" s="12" t="s">
        <v>13333</v>
      </c>
      <c r="F5695" s="49">
        <v>492470</v>
      </c>
      <c r="G5695" s="77" t="s">
        <v>5779</v>
      </c>
      <c r="H5695" s="14" t="str">
        <f t="shared" si="188"/>
        <v>true</v>
      </c>
      <c r="I5695" s="14" t="s">
        <v>2458</v>
      </c>
      <c r="J5695" s="33" t="e">
        <f>VLOOKUP(C5695,شرکتها!A:B,2,FALSE)</f>
        <v>#N/A</v>
      </c>
      <c r="K5695" s="33" t="s">
        <v>13810</v>
      </c>
      <c r="L5695" s="53" t="str">
        <f>"تانزانيا"</f>
        <v>تانزانيا</v>
      </c>
      <c r="M5695" s="68" t="str">
        <f t="shared" si="196"/>
        <v>بشكه</v>
      </c>
      <c r="N5695" s="53" t="str">
        <f t="shared" si="197"/>
        <v>منطقه ويژه اقتصادي شهيد رجايي</v>
      </c>
      <c r="O5695" s="53">
        <v>50100</v>
      </c>
      <c r="P5695" s="198" t="str">
        <f>"1396546035001"</f>
        <v>1396546035001</v>
      </c>
    </row>
    <row r="5696" spans="1:16" ht="18.75" hidden="1">
      <c r="A5696" s="50" t="str">
        <f>"50100-10263039"</f>
        <v>50100-10263039</v>
      </c>
      <c r="B5696" s="50" t="str">
        <f>"97/03/02"</f>
        <v>97/03/02</v>
      </c>
      <c r="C5696" s="50" t="s">
        <v>13864</v>
      </c>
      <c r="D5696" s="12" t="s">
        <v>13184</v>
      </c>
      <c r="E5696" s="12" t="s">
        <v>13333</v>
      </c>
      <c r="F5696" s="49">
        <v>287475</v>
      </c>
      <c r="G5696" s="77" t="s">
        <v>5611</v>
      </c>
      <c r="H5696" s="14" t="str">
        <f t="shared" si="188"/>
        <v>true</v>
      </c>
      <c r="I5696" s="14" t="s">
        <v>2458</v>
      </c>
      <c r="J5696" s="33" t="s">
        <v>7110</v>
      </c>
      <c r="K5696" s="33" t="s">
        <v>13810</v>
      </c>
      <c r="L5696" s="53" t="str">
        <f>" امارات متحده عربي"</f>
        <v xml:space="preserve"> امارات متحده عربي</v>
      </c>
      <c r="M5696" s="68" t="str">
        <f t="shared" si="196"/>
        <v>بشكه</v>
      </c>
      <c r="N5696" s="53" t="str">
        <f t="shared" si="197"/>
        <v>منطقه ويژه اقتصادي شهيد رجايي</v>
      </c>
      <c r="O5696" s="53">
        <v>50100</v>
      </c>
      <c r="P5696" s="198" t="str">
        <f>"1396548704001"</f>
        <v>1396548704001</v>
      </c>
    </row>
    <row r="5697" spans="1:16" ht="18.75" hidden="1">
      <c r="A5697" s="50" t="str">
        <f>"50100-10262922"</f>
        <v>50100-10262922</v>
      </c>
      <c r="B5697" s="50" t="str">
        <f>"97/03/02"</f>
        <v>97/03/02</v>
      </c>
      <c r="C5697" s="50" t="s">
        <v>13860</v>
      </c>
      <c r="D5697" s="12" t="s">
        <v>12878</v>
      </c>
      <c r="E5697" s="12" t="s">
        <v>4971</v>
      </c>
      <c r="F5697" s="49">
        <v>197250</v>
      </c>
      <c r="G5697" s="77" t="s">
        <v>6298</v>
      </c>
      <c r="H5697" s="14" t="str">
        <f t="shared" si="188"/>
        <v>true</v>
      </c>
      <c r="I5697" s="14" t="s">
        <v>2458</v>
      </c>
      <c r="J5697" s="33" t="s">
        <v>7110</v>
      </c>
      <c r="K5697" s="33" t="s">
        <v>13810</v>
      </c>
      <c r="L5697" s="53" t="str">
        <f>"سنگال"</f>
        <v>سنگال</v>
      </c>
      <c r="M5697" s="68" t="str">
        <f t="shared" si="196"/>
        <v>بشكه</v>
      </c>
      <c r="N5697" s="53" t="str">
        <f t="shared" si="197"/>
        <v>منطقه ويژه اقتصادي شهيد رجايي</v>
      </c>
      <c r="O5697" s="53">
        <v>50100</v>
      </c>
      <c r="P5697" s="198" t="str">
        <f>"1396548704001"</f>
        <v>1396548704001</v>
      </c>
    </row>
    <row r="5698" spans="1:16" ht="18.75" hidden="1">
      <c r="A5698" s="50" t="str">
        <f>"50100-10262922"</f>
        <v>50100-10262922</v>
      </c>
      <c r="B5698" s="50" t="str">
        <f>"97/03/02"</f>
        <v>97/03/02</v>
      </c>
      <c r="C5698" s="50" t="s">
        <v>13865</v>
      </c>
      <c r="D5698" s="12" t="s">
        <v>13310</v>
      </c>
      <c r="E5698" s="12" t="s">
        <v>13333</v>
      </c>
      <c r="F5698" s="49">
        <v>570000</v>
      </c>
      <c r="G5698" s="77" t="s">
        <v>5611</v>
      </c>
      <c r="H5698" s="14" t="str">
        <f t="shared" si="188"/>
        <v>true</v>
      </c>
      <c r="I5698" s="14" t="s">
        <v>2458</v>
      </c>
      <c r="J5698" s="33" t="s">
        <v>7110</v>
      </c>
      <c r="K5698" s="33" t="s">
        <v>13810</v>
      </c>
      <c r="L5698" s="53" t="str">
        <f>"سنگال"</f>
        <v>سنگال</v>
      </c>
      <c r="M5698" s="68" t="str">
        <f t="shared" si="196"/>
        <v>بشكه</v>
      </c>
      <c r="N5698" s="53" t="str">
        <f t="shared" si="197"/>
        <v>منطقه ويژه اقتصادي شهيد رجايي</v>
      </c>
      <c r="O5698" s="53">
        <v>50100</v>
      </c>
      <c r="P5698" s="198" t="str">
        <f>"1396548704001"</f>
        <v>1396548704001</v>
      </c>
    </row>
    <row r="5699" spans="1:16" ht="18.75" hidden="1">
      <c r="A5699" s="50" t="str">
        <f>"50100-10262922"</f>
        <v>50100-10262922</v>
      </c>
      <c r="B5699" s="50" t="str">
        <f>"97/03/02"</f>
        <v>97/03/02</v>
      </c>
      <c r="C5699" s="50" t="s">
        <v>13866</v>
      </c>
      <c r="D5699" s="12" t="s">
        <v>12867</v>
      </c>
      <c r="E5699" s="12" t="s">
        <v>4971</v>
      </c>
      <c r="F5699" s="49">
        <v>220000</v>
      </c>
      <c r="G5699" s="77" t="s">
        <v>6298</v>
      </c>
      <c r="H5699" s="14" t="str">
        <f t="shared" si="188"/>
        <v>true</v>
      </c>
      <c r="I5699" s="14" t="s">
        <v>2458</v>
      </c>
      <c r="J5699" s="33" t="s">
        <v>7110</v>
      </c>
      <c r="K5699" s="33" t="s">
        <v>13810</v>
      </c>
      <c r="L5699" s="53" t="str">
        <f>"سنگال"</f>
        <v>سنگال</v>
      </c>
      <c r="M5699" s="68" t="str">
        <f t="shared" si="196"/>
        <v>بشكه</v>
      </c>
      <c r="N5699" s="53" t="str">
        <f t="shared" si="197"/>
        <v>منطقه ويژه اقتصادي شهيد رجايي</v>
      </c>
      <c r="O5699" s="53">
        <v>50100</v>
      </c>
      <c r="P5699" s="198" t="str">
        <f>"1396546618001"</f>
        <v>1396546618001</v>
      </c>
    </row>
    <row r="5700" spans="1:16" ht="18.75" hidden="1">
      <c r="A5700" s="50" t="str">
        <f>"50100-10263627"</f>
        <v>50100-10263627</v>
      </c>
      <c r="B5700" s="50" t="str">
        <f>"97/03/03"</f>
        <v>97/03/03</v>
      </c>
      <c r="C5700" s="50" t="s">
        <v>13867</v>
      </c>
      <c r="D5700" s="12" t="s">
        <v>13477</v>
      </c>
      <c r="E5700" s="12" t="s">
        <v>13333</v>
      </c>
      <c r="F5700" s="49">
        <v>494867</v>
      </c>
      <c r="G5700" s="77" t="s">
        <v>5853</v>
      </c>
      <c r="H5700" s="14" t="str">
        <f t="shared" si="188"/>
        <v>true</v>
      </c>
      <c r="I5700" s="14" t="s">
        <v>2458</v>
      </c>
      <c r="J5700" s="33" t="s">
        <v>7110</v>
      </c>
      <c r="K5700" s="33" t="s">
        <v>13810</v>
      </c>
      <c r="L5700" s="53" t="str">
        <f>"اندونزي"</f>
        <v>اندونزي</v>
      </c>
      <c r="M5700" s="68" t="str">
        <f t="shared" si="196"/>
        <v>بشكه</v>
      </c>
      <c r="N5700" s="53" t="str">
        <f t="shared" si="197"/>
        <v>منطقه ويژه اقتصادي شهيد رجايي</v>
      </c>
      <c r="O5700" s="53">
        <v>50100</v>
      </c>
      <c r="P5700" s="198" t="str">
        <f>"1397558772001"</f>
        <v>1397558772001</v>
      </c>
    </row>
    <row r="5701" spans="1:16" ht="18.75" hidden="1">
      <c r="A5701" s="50" t="str">
        <f>"50100-10261449"</f>
        <v>50100-10261449</v>
      </c>
      <c r="B5701" s="50" t="str">
        <f>"97/03/02"</f>
        <v>97/03/02</v>
      </c>
      <c r="C5701" s="50" t="s">
        <v>13868</v>
      </c>
      <c r="D5701" s="12" t="s">
        <v>13770</v>
      </c>
      <c r="E5701" s="12" t="s">
        <v>13333</v>
      </c>
      <c r="F5701" s="49">
        <v>3298371</v>
      </c>
      <c r="G5701" s="77" t="s">
        <v>5779</v>
      </c>
      <c r="H5701" s="14" t="str">
        <f t="shared" si="188"/>
        <v>true</v>
      </c>
      <c r="I5701" s="14" t="s">
        <v>2458</v>
      </c>
      <c r="J5701" s="33" t="e">
        <f>VLOOKUP(C5701,شرکتها!A:B,2,FALSE)</f>
        <v>#N/A</v>
      </c>
      <c r="K5701" s="33" t="s">
        <v>13810</v>
      </c>
      <c r="L5701" s="53" t="str">
        <f>"قطر"</f>
        <v>قطر</v>
      </c>
      <c r="M5701" s="68" t="str">
        <f t="shared" si="196"/>
        <v>بشكه</v>
      </c>
      <c r="N5701" s="53" t="str">
        <f t="shared" si="197"/>
        <v>منطقه ويژه اقتصادي شهيد رجايي</v>
      </c>
      <c r="O5701" s="53">
        <v>50100</v>
      </c>
      <c r="P5701" s="198" t="str">
        <f>"1397560052001"</f>
        <v>1397560052001</v>
      </c>
    </row>
    <row r="5702" spans="1:16" ht="18.75" hidden="1">
      <c r="A5702" s="50" t="str">
        <f>"50100-10276122"</f>
        <v>50100-10276122</v>
      </c>
      <c r="B5702" s="50" t="str">
        <f>"97/03/06"</f>
        <v>97/03/06</v>
      </c>
      <c r="C5702" s="50" t="s">
        <v>13869</v>
      </c>
      <c r="D5702" s="12" t="s">
        <v>13385</v>
      </c>
      <c r="E5702" s="12" t="s">
        <v>13333</v>
      </c>
      <c r="F5702" s="49">
        <v>99895</v>
      </c>
      <c r="G5702" s="77" t="s">
        <v>5609</v>
      </c>
      <c r="H5702" s="14" t="str">
        <f t="shared" si="188"/>
        <v>true</v>
      </c>
      <c r="I5702" s="14" t="s">
        <v>2458</v>
      </c>
      <c r="J5702" s="33" t="s">
        <v>7110</v>
      </c>
      <c r="K5702" s="33" t="s">
        <v>13810</v>
      </c>
      <c r="L5702" s="53" t="str">
        <f>"مالزي"</f>
        <v>مالزي</v>
      </c>
      <c r="M5702" s="68" t="str">
        <f t="shared" si="196"/>
        <v>بشكه</v>
      </c>
      <c r="N5702" s="53" t="str">
        <f t="shared" si="197"/>
        <v>منطقه ويژه اقتصادي شهيد رجايي</v>
      </c>
      <c r="O5702" s="53">
        <v>50100</v>
      </c>
      <c r="P5702" s="198" t="str">
        <f>"1396548708001"</f>
        <v>1396548708001</v>
      </c>
    </row>
    <row r="5703" spans="1:16" ht="18.75" hidden="1">
      <c r="A5703" s="50" t="str">
        <f>"50100-10302408"</f>
        <v>50100-10302408</v>
      </c>
      <c r="B5703" s="50" t="str">
        <f>"97/03/13"</f>
        <v>97/03/13</v>
      </c>
      <c r="C5703" s="50" t="s">
        <v>13772</v>
      </c>
      <c r="D5703" s="12" t="s">
        <v>13331</v>
      </c>
      <c r="E5703" s="12" t="s">
        <v>13333</v>
      </c>
      <c r="F5703" s="49">
        <v>300000</v>
      </c>
      <c r="G5703" s="77" t="s">
        <v>5609</v>
      </c>
      <c r="H5703" s="14" t="str">
        <f t="shared" si="188"/>
        <v>true</v>
      </c>
      <c r="I5703" s="14" t="s">
        <v>2458</v>
      </c>
      <c r="J5703" s="33" t="s">
        <v>7110</v>
      </c>
      <c r="K5703" s="33" t="s">
        <v>13810</v>
      </c>
      <c r="L5703" s="53" t="str">
        <f>"اندونزي"</f>
        <v>اندونزي</v>
      </c>
      <c r="M5703" s="68" t="str">
        <f t="shared" si="196"/>
        <v>بشكه</v>
      </c>
      <c r="N5703" s="53" t="str">
        <f t="shared" si="197"/>
        <v>منطقه ويژه اقتصادي شهيد رجايي</v>
      </c>
      <c r="O5703" s="53">
        <v>50100</v>
      </c>
      <c r="P5703" s="198" t="str">
        <f>"1396548700001"</f>
        <v>1396548700001</v>
      </c>
    </row>
    <row r="5704" spans="1:16" ht="18.75" hidden="1">
      <c r="A5704" s="50" t="str">
        <f>"50100-10098084"</f>
        <v>50100-10098084</v>
      </c>
      <c r="B5704" s="50" t="str">
        <f>"97/01/26"</f>
        <v>97/01/26</v>
      </c>
      <c r="C5704" s="50" t="s">
        <v>13870</v>
      </c>
      <c r="D5704" s="12" t="s">
        <v>13613</v>
      </c>
      <c r="E5704" s="12" t="s">
        <v>13333</v>
      </c>
      <c r="F5704" s="49">
        <v>947985</v>
      </c>
      <c r="G5704" s="77" t="s">
        <v>5779</v>
      </c>
      <c r="H5704" s="14" t="str">
        <f t="shared" si="188"/>
        <v>true</v>
      </c>
      <c r="I5704" s="14" t="s">
        <v>2458</v>
      </c>
      <c r="J5704" s="33" t="e">
        <f>VLOOKUP(C5704,شرکتها!A:B,2,FALSE)</f>
        <v>#N/A</v>
      </c>
      <c r="K5704" s="33" t="s">
        <v>13810</v>
      </c>
      <c r="L5704" s="53" t="str">
        <f>"عمان"</f>
        <v>عمان</v>
      </c>
      <c r="M5704" s="68" t="str">
        <f>"فله"</f>
        <v>فله</v>
      </c>
      <c r="N5704" s="53" t="str">
        <f t="shared" si="197"/>
        <v>منطقه ويژه اقتصادي شهيد رجايي</v>
      </c>
      <c r="O5704" s="53">
        <v>50100</v>
      </c>
      <c r="P5704" s="198" t="str">
        <f>"1396546035001"</f>
        <v>1396546035001</v>
      </c>
    </row>
    <row r="5705" spans="1:16" ht="18.75" hidden="1">
      <c r="A5705" s="50" t="str">
        <f>"50100-10268762"</f>
        <v>50100-10268762</v>
      </c>
      <c r="B5705" s="50" t="str">
        <f>"97/03/05"</f>
        <v>97/03/05</v>
      </c>
      <c r="C5705" s="50" t="s">
        <v>13871</v>
      </c>
      <c r="D5705" s="12" t="s">
        <v>13770</v>
      </c>
      <c r="E5705" s="12" t="s">
        <v>13333</v>
      </c>
      <c r="F5705" s="49">
        <v>493167</v>
      </c>
      <c r="G5705" s="77" t="s">
        <v>5609</v>
      </c>
      <c r="H5705" s="14" t="str">
        <f t="shared" ref="H5705:H5768" si="199">IF(I5705="نامشخص",IF(E5705&gt;C5705,"false","true"),IF(E5705&gt;I5705,"false","true"))</f>
        <v>true</v>
      </c>
      <c r="I5705" s="14" t="s">
        <v>2458</v>
      </c>
      <c r="J5705" s="33" t="s">
        <v>7110</v>
      </c>
      <c r="K5705" s="33" t="s">
        <v>13810</v>
      </c>
      <c r="L5705" s="53" t="str">
        <f>"هند"</f>
        <v>هند</v>
      </c>
      <c r="M5705" s="68" t="str">
        <f t="shared" ref="M5705:M5712" si="200">"بشكه"</f>
        <v>بشكه</v>
      </c>
      <c r="N5705" s="53" t="str">
        <f t="shared" si="197"/>
        <v>منطقه ويژه اقتصادي شهيد رجايي</v>
      </c>
      <c r="O5705" s="53">
        <v>50100</v>
      </c>
      <c r="P5705" s="198" t="str">
        <f>"1397558729001"</f>
        <v>1397558729001</v>
      </c>
    </row>
    <row r="5706" spans="1:16" ht="18.75" hidden="1">
      <c r="A5706" s="50" t="str">
        <f>"50100-10268969"</f>
        <v>50100-10268969</v>
      </c>
      <c r="B5706" s="50" t="str">
        <f>"97/03/05"</f>
        <v>97/03/05</v>
      </c>
      <c r="C5706" s="50" t="s">
        <v>13872</v>
      </c>
      <c r="D5706" s="12" t="s">
        <v>13808</v>
      </c>
      <c r="E5706" s="12" t="s">
        <v>13333</v>
      </c>
      <c r="F5706" s="49">
        <v>295894</v>
      </c>
      <c r="G5706" s="77" t="s">
        <v>5611</v>
      </c>
      <c r="H5706" s="14" t="str">
        <f t="shared" si="199"/>
        <v>true</v>
      </c>
      <c r="I5706" s="14" t="s">
        <v>2458</v>
      </c>
      <c r="J5706" s="33" t="s">
        <v>7110</v>
      </c>
      <c r="K5706" s="33" t="s">
        <v>13810</v>
      </c>
      <c r="L5706" s="53" t="str">
        <f>"هند"</f>
        <v>هند</v>
      </c>
      <c r="M5706" s="68" t="str">
        <f t="shared" si="200"/>
        <v>بشكه</v>
      </c>
      <c r="N5706" s="53" t="str">
        <f t="shared" si="197"/>
        <v>منطقه ويژه اقتصادي شهيد رجايي</v>
      </c>
      <c r="O5706" s="53">
        <v>50100</v>
      </c>
      <c r="P5706" s="198" t="str">
        <f>"1397558720001"</f>
        <v>1397558720001</v>
      </c>
    </row>
    <row r="5707" spans="1:16" ht="18.75" hidden="1">
      <c r="A5707" s="50" t="str">
        <f>"50100-10263129"</f>
        <v>50100-10263129</v>
      </c>
      <c r="B5707" s="50" t="str">
        <f>"97/03/02"</f>
        <v>97/03/02</v>
      </c>
      <c r="C5707" s="50" t="s">
        <v>13873</v>
      </c>
      <c r="D5707" s="12" t="s">
        <v>13184</v>
      </c>
      <c r="E5707" s="12" t="s">
        <v>13333</v>
      </c>
      <c r="F5707" s="49">
        <v>475382</v>
      </c>
      <c r="G5707" s="77" t="s">
        <v>5779</v>
      </c>
      <c r="H5707" s="14" t="str">
        <f t="shared" si="199"/>
        <v>true</v>
      </c>
      <c r="I5707" s="14" t="s">
        <v>2458</v>
      </c>
      <c r="J5707" s="33" t="e">
        <f>VLOOKUP(C5707,شرکتها!A:B,2,FALSE)</f>
        <v>#N/A</v>
      </c>
      <c r="K5707" s="33" t="s">
        <v>13810</v>
      </c>
      <c r="L5707" s="53" t="str">
        <f>"کنيا"</f>
        <v>کنيا</v>
      </c>
      <c r="M5707" s="68" t="str">
        <f t="shared" si="200"/>
        <v>بشكه</v>
      </c>
      <c r="N5707" s="53" t="str">
        <f t="shared" si="197"/>
        <v>منطقه ويژه اقتصادي شهيد رجايي</v>
      </c>
      <c r="O5707" s="53">
        <v>50100</v>
      </c>
      <c r="P5707" s="198" t="str">
        <f>"1396536910001"</f>
        <v>1396536910001</v>
      </c>
    </row>
    <row r="5708" spans="1:16" ht="18.75" hidden="1">
      <c r="A5708" s="50" t="str">
        <f>"50100-10301951"</f>
        <v>50100-10301951</v>
      </c>
      <c r="B5708" s="50" t="str">
        <f>"97/03/13"</f>
        <v>97/03/13</v>
      </c>
      <c r="C5708" s="50" t="s">
        <v>13867</v>
      </c>
      <c r="D5708" s="12" t="s">
        <v>13477</v>
      </c>
      <c r="E5708" s="12" t="s">
        <v>13333</v>
      </c>
      <c r="F5708" s="49">
        <v>502092</v>
      </c>
      <c r="G5708" s="77" t="s">
        <v>5853</v>
      </c>
      <c r="H5708" s="14" t="str">
        <f t="shared" si="199"/>
        <v>true</v>
      </c>
      <c r="I5708" s="14" t="s">
        <v>2458</v>
      </c>
      <c r="J5708" s="33" t="s">
        <v>7110</v>
      </c>
      <c r="K5708" s="33" t="s">
        <v>13810</v>
      </c>
      <c r="L5708" s="53" t="str">
        <f>"جيبوتي"</f>
        <v>جيبوتي</v>
      </c>
      <c r="M5708" s="68" t="str">
        <f t="shared" si="200"/>
        <v>بشكه</v>
      </c>
      <c r="N5708" s="53" t="str">
        <f t="shared" si="197"/>
        <v>منطقه ويژه اقتصادي شهيد رجايي</v>
      </c>
      <c r="O5708" s="53">
        <v>50100</v>
      </c>
      <c r="P5708" s="198" t="str">
        <f>"1397558772001"</f>
        <v>1397558772001</v>
      </c>
    </row>
    <row r="5709" spans="1:16" ht="18.75" hidden="1">
      <c r="A5709" s="50" t="str">
        <f>"50100-10301951"</f>
        <v>50100-10301951</v>
      </c>
      <c r="B5709" s="50" t="str">
        <f>"97/03/13"</f>
        <v>97/03/13</v>
      </c>
      <c r="C5709" s="50" t="s">
        <v>13874</v>
      </c>
      <c r="D5709" s="12" t="s">
        <v>13770</v>
      </c>
      <c r="E5709" s="12" t="s">
        <v>13333</v>
      </c>
      <c r="F5709" s="49">
        <v>499408</v>
      </c>
      <c r="G5709" s="77" t="s">
        <v>5853</v>
      </c>
      <c r="H5709" s="14" t="str">
        <f t="shared" si="199"/>
        <v>true</v>
      </c>
      <c r="I5709" s="14" t="s">
        <v>2458</v>
      </c>
      <c r="J5709" s="33" t="s">
        <v>7110</v>
      </c>
      <c r="K5709" s="33" t="s">
        <v>13810</v>
      </c>
      <c r="L5709" s="53" t="str">
        <f>"جيبوتي"</f>
        <v>جيبوتي</v>
      </c>
      <c r="M5709" s="68" t="str">
        <f t="shared" si="200"/>
        <v>بشكه</v>
      </c>
      <c r="N5709" s="53" t="str">
        <f t="shared" si="197"/>
        <v>منطقه ويژه اقتصادي شهيد رجايي</v>
      </c>
      <c r="O5709" s="53">
        <v>50100</v>
      </c>
      <c r="P5709" s="198" t="str">
        <f>"1397558772001"</f>
        <v>1397558772001</v>
      </c>
    </row>
    <row r="5710" spans="1:16" ht="18.75" hidden="1">
      <c r="A5710" s="50" t="str">
        <f>"50100-10263639"</f>
        <v>50100-10263639</v>
      </c>
      <c r="B5710" s="50" t="str">
        <f>"97/03/03"</f>
        <v>97/03/03</v>
      </c>
      <c r="C5710" s="50" t="s">
        <v>13875</v>
      </c>
      <c r="D5710" s="12" t="s">
        <v>13266</v>
      </c>
      <c r="E5710" s="12" t="s">
        <v>13333</v>
      </c>
      <c r="F5710" s="49">
        <v>189202</v>
      </c>
      <c r="G5710" s="77" t="s">
        <v>5611</v>
      </c>
      <c r="H5710" s="14" t="str">
        <f t="shared" si="199"/>
        <v>true</v>
      </c>
      <c r="I5710" s="14" t="s">
        <v>2458</v>
      </c>
      <c r="J5710" s="33" t="s">
        <v>7110</v>
      </c>
      <c r="K5710" s="33" t="s">
        <v>13810</v>
      </c>
      <c r="L5710" s="53" t="str">
        <f>"ليبريا"</f>
        <v>ليبريا</v>
      </c>
      <c r="M5710" s="68" t="str">
        <f t="shared" si="200"/>
        <v>بشكه</v>
      </c>
      <c r="N5710" s="53" t="str">
        <f t="shared" si="197"/>
        <v>منطقه ويژه اقتصادي شهيد رجايي</v>
      </c>
      <c r="O5710" s="53">
        <v>50100</v>
      </c>
      <c r="P5710" s="198" t="str">
        <f>"1396548704001"</f>
        <v>1396548704001</v>
      </c>
    </row>
    <row r="5711" spans="1:16" ht="18.75" hidden="1">
      <c r="A5711" s="50" t="str">
        <f>"50100-10263639"</f>
        <v>50100-10263639</v>
      </c>
      <c r="B5711" s="50" t="str">
        <f>"97/03/03"</f>
        <v>97/03/03</v>
      </c>
      <c r="C5711" s="50" t="s">
        <v>13876</v>
      </c>
      <c r="D5711" s="12" t="s">
        <v>13266</v>
      </c>
      <c r="E5711" s="12" t="s">
        <v>13333</v>
      </c>
      <c r="F5711" s="49">
        <v>700000</v>
      </c>
      <c r="G5711" s="77" t="s">
        <v>5611</v>
      </c>
      <c r="H5711" s="14" t="str">
        <f t="shared" si="199"/>
        <v>true</v>
      </c>
      <c r="I5711" s="14" t="s">
        <v>2458</v>
      </c>
      <c r="J5711" s="33" t="s">
        <v>7110</v>
      </c>
      <c r="K5711" s="33" t="s">
        <v>13810</v>
      </c>
      <c r="L5711" s="53" t="str">
        <f>"ليبريا"</f>
        <v>ليبريا</v>
      </c>
      <c r="M5711" s="68" t="str">
        <f t="shared" si="200"/>
        <v>بشكه</v>
      </c>
      <c r="N5711" s="53" t="str">
        <f t="shared" si="197"/>
        <v>منطقه ويژه اقتصادي شهيد رجايي</v>
      </c>
      <c r="O5711" s="53">
        <v>50100</v>
      </c>
      <c r="P5711" s="198" t="str">
        <f>"1396548704001"</f>
        <v>1396548704001</v>
      </c>
    </row>
    <row r="5712" spans="1:16" ht="18.75" hidden="1">
      <c r="A5712" s="50" t="str">
        <f>"50100-10300514"</f>
        <v>50100-10300514</v>
      </c>
      <c r="B5712" s="50" t="str">
        <f>"97/03/12"</f>
        <v>97/03/12</v>
      </c>
      <c r="C5712" s="50" t="s">
        <v>13869</v>
      </c>
      <c r="D5712" s="12" t="s">
        <v>13385</v>
      </c>
      <c r="E5712" s="12" t="s">
        <v>13333</v>
      </c>
      <c r="F5712" s="49">
        <v>120098</v>
      </c>
      <c r="G5712" s="77" t="s">
        <v>5609</v>
      </c>
      <c r="H5712" s="14" t="str">
        <f t="shared" si="199"/>
        <v>true</v>
      </c>
      <c r="I5712" s="14" t="s">
        <v>2458</v>
      </c>
      <c r="J5712" s="33" t="s">
        <v>7110</v>
      </c>
      <c r="K5712" s="33" t="s">
        <v>13810</v>
      </c>
      <c r="L5712" s="53" t="str">
        <f>"استراليا"</f>
        <v>استراليا</v>
      </c>
      <c r="M5712" s="68" t="str">
        <f t="shared" si="200"/>
        <v>بشكه</v>
      </c>
      <c r="N5712" s="53" t="str">
        <f t="shared" si="197"/>
        <v>منطقه ويژه اقتصادي شهيد رجايي</v>
      </c>
      <c r="O5712" s="53">
        <v>50100</v>
      </c>
      <c r="P5712" s="198" t="str">
        <f>"1396548708001"</f>
        <v>1396548708001</v>
      </c>
    </row>
    <row r="5713" spans="1:16" ht="18.75" hidden="1">
      <c r="A5713" s="50" t="str">
        <f>"50100-10261284"</f>
        <v>50100-10261284</v>
      </c>
      <c r="B5713" s="50" t="str">
        <f>"97/03/02"</f>
        <v>97/03/02</v>
      </c>
      <c r="C5713" s="50" t="s">
        <v>13877</v>
      </c>
      <c r="D5713" s="12" t="s">
        <v>13613</v>
      </c>
      <c r="E5713" s="12" t="s">
        <v>13333</v>
      </c>
      <c r="F5713" s="49">
        <v>3098052</v>
      </c>
      <c r="G5713" s="77" t="s">
        <v>5779</v>
      </c>
      <c r="H5713" s="14" t="str">
        <f t="shared" si="199"/>
        <v>true</v>
      </c>
      <c r="I5713" s="14" t="s">
        <v>2458</v>
      </c>
      <c r="J5713" s="33" t="e">
        <f>VLOOKUP(C5713,شرکتها!A:B,2,FALSE)</f>
        <v>#N/A</v>
      </c>
      <c r="K5713" s="33" t="s">
        <v>13810</v>
      </c>
      <c r="L5713" s="53" t="str">
        <f>"قطر"</f>
        <v>قطر</v>
      </c>
      <c r="M5713" s="68" t="str">
        <f>"فله"</f>
        <v>فله</v>
      </c>
      <c r="N5713" s="53" t="str">
        <f t="shared" si="197"/>
        <v>منطقه ويژه اقتصادي شهيد رجايي</v>
      </c>
      <c r="O5713" s="53">
        <v>50100</v>
      </c>
      <c r="P5713" s="198" t="str">
        <f>"1397560052001"</f>
        <v>1397560052001</v>
      </c>
    </row>
    <row r="5714" spans="1:16" ht="18.75" hidden="1">
      <c r="A5714" s="50" t="str">
        <f>"50100-10276075"</f>
        <v>50100-10276075</v>
      </c>
      <c r="B5714" s="50" t="str">
        <f>"97/03/06"</f>
        <v>97/03/06</v>
      </c>
      <c r="C5714" s="50" t="s">
        <v>13878</v>
      </c>
      <c r="D5714" s="12" t="s">
        <v>13818</v>
      </c>
      <c r="E5714" s="12" t="s">
        <v>13333</v>
      </c>
      <c r="F5714" s="49">
        <v>3096172</v>
      </c>
      <c r="G5714" s="77" t="s">
        <v>5779</v>
      </c>
      <c r="H5714" s="14" t="str">
        <f t="shared" si="199"/>
        <v>true</v>
      </c>
      <c r="I5714" s="14" t="s">
        <v>2458</v>
      </c>
      <c r="J5714" s="33" t="e">
        <f>VLOOKUP(C5714,شرکتها!A:B,2,FALSE)</f>
        <v>#N/A</v>
      </c>
      <c r="K5714" s="33" t="s">
        <v>13810</v>
      </c>
      <c r="L5714" s="53" t="str">
        <f>"قطر"</f>
        <v>قطر</v>
      </c>
      <c r="M5714" s="68" t="str">
        <f t="shared" ref="M5714:M5717" si="201">"بشكه"</f>
        <v>بشكه</v>
      </c>
      <c r="N5714" s="53" t="str">
        <f t="shared" si="197"/>
        <v>منطقه ويژه اقتصادي شهيد رجايي</v>
      </c>
      <c r="O5714" s="53">
        <v>50100</v>
      </c>
      <c r="P5714" s="198" t="str">
        <f>"1397561063001"</f>
        <v>1397561063001</v>
      </c>
    </row>
    <row r="5715" spans="1:16" ht="18.75" hidden="1">
      <c r="A5715" s="50" t="str">
        <f>"50100-10263645"</f>
        <v>50100-10263645</v>
      </c>
      <c r="B5715" s="50" t="str">
        <f>"97/03/03"</f>
        <v>97/03/03</v>
      </c>
      <c r="C5715" s="50" t="s">
        <v>13875</v>
      </c>
      <c r="D5715" s="12" t="s">
        <v>13266</v>
      </c>
      <c r="E5715" s="12" t="s">
        <v>13333</v>
      </c>
      <c r="F5715" s="49">
        <v>98135</v>
      </c>
      <c r="G5715" s="77" t="s">
        <v>5611</v>
      </c>
      <c r="H5715" s="14" t="str">
        <f t="shared" si="199"/>
        <v>true</v>
      </c>
      <c r="I5715" s="14" t="s">
        <v>2458</v>
      </c>
      <c r="J5715" s="33" t="s">
        <v>7110</v>
      </c>
      <c r="K5715" s="33" t="s">
        <v>13810</v>
      </c>
      <c r="L5715" s="53" t="str">
        <f>"کامرون"</f>
        <v>کامرون</v>
      </c>
      <c r="M5715" s="68" t="str">
        <f t="shared" si="201"/>
        <v>بشكه</v>
      </c>
      <c r="N5715" s="53" t="str">
        <f t="shared" si="197"/>
        <v>منطقه ويژه اقتصادي شهيد رجايي</v>
      </c>
      <c r="O5715" s="53">
        <v>50100</v>
      </c>
      <c r="P5715" s="198" t="str">
        <f>"1396548704001"</f>
        <v>1396548704001</v>
      </c>
    </row>
    <row r="5716" spans="1:16" ht="18.75" hidden="1">
      <c r="A5716" s="50" t="str">
        <f>"50100-10262476"</f>
        <v>50100-10262476</v>
      </c>
      <c r="B5716" s="50" t="str">
        <f>"97/03/02"</f>
        <v>97/03/02</v>
      </c>
      <c r="C5716" s="50" t="s">
        <v>13767</v>
      </c>
      <c r="D5716" s="12" t="s">
        <v>13184</v>
      </c>
      <c r="E5716" s="12" t="s">
        <v>13333</v>
      </c>
      <c r="F5716" s="49">
        <v>26514</v>
      </c>
      <c r="G5716" s="77" t="s">
        <v>5779</v>
      </c>
      <c r="H5716" s="14" t="str">
        <f t="shared" si="199"/>
        <v>true</v>
      </c>
      <c r="I5716" s="14" t="s">
        <v>2458</v>
      </c>
      <c r="J5716" s="33" t="e">
        <f>VLOOKUP(C5716,شرکتها!A:B,2,FALSE)</f>
        <v>#N/A</v>
      </c>
      <c r="K5716" s="33" t="s">
        <v>13810</v>
      </c>
      <c r="L5716" s="53" t="str">
        <f>"کنيا"</f>
        <v>کنيا</v>
      </c>
      <c r="M5716" s="68" t="str">
        <f t="shared" si="201"/>
        <v>بشكه</v>
      </c>
      <c r="N5716" s="53" t="str">
        <f t="shared" si="197"/>
        <v>منطقه ويژه اقتصادي شهيد رجايي</v>
      </c>
      <c r="O5716" s="53">
        <v>50100</v>
      </c>
      <c r="P5716" s="198" t="str">
        <f>"1396536910001"</f>
        <v>1396536910001</v>
      </c>
    </row>
    <row r="5717" spans="1:16" ht="18.75" hidden="1">
      <c r="A5717" s="50" t="str">
        <f>"50100-10262476"</f>
        <v>50100-10262476</v>
      </c>
      <c r="B5717" s="50" t="str">
        <f>"97/03/02"</f>
        <v>97/03/02</v>
      </c>
      <c r="C5717" s="50" t="s">
        <v>13873</v>
      </c>
      <c r="D5717" s="12" t="s">
        <v>13184</v>
      </c>
      <c r="E5717" s="12" t="s">
        <v>13333</v>
      </c>
      <c r="F5717" s="49">
        <v>290345</v>
      </c>
      <c r="G5717" s="77" t="s">
        <v>5779</v>
      </c>
      <c r="H5717" s="14" t="str">
        <f t="shared" si="199"/>
        <v>true</v>
      </c>
      <c r="I5717" s="14" t="s">
        <v>2458</v>
      </c>
      <c r="J5717" s="33" t="e">
        <f>VLOOKUP(C5717,شرکتها!A:B,2,FALSE)</f>
        <v>#N/A</v>
      </c>
      <c r="K5717" s="33" t="s">
        <v>13810</v>
      </c>
      <c r="L5717" s="53" t="str">
        <f>"کنيا"</f>
        <v>کنيا</v>
      </c>
      <c r="M5717" s="68" t="str">
        <f t="shared" si="201"/>
        <v>بشكه</v>
      </c>
      <c r="N5717" s="53" t="str">
        <f t="shared" si="197"/>
        <v>منطقه ويژه اقتصادي شهيد رجايي</v>
      </c>
      <c r="O5717" s="53">
        <v>50100</v>
      </c>
      <c r="P5717" s="198" t="str">
        <f>"1396536910001"</f>
        <v>1396536910001</v>
      </c>
    </row>
    <row r="5718" spans="1:16" ht="18.75" hidden="1">
      <c r="A5718" s="50" t="str">
        <f>"50100-10285558"</f>
        <v>50100-10285558</v>
      </c>
      <c r="B5718" s="50" t="str">
        <f>"97/03/08"</f>
        <v>97/03/08</v>
      </c>
      <c r="C5718" s="50" t="s">
        <v>13879</v>
      </c>
      <c r="D5718" s="12" t="s">
        <v>13827</v>
      </c>
      <c r="E5718" s="12" t="s">
        <v>13333</v>
      </c>
      <c r="F5718" s="49">
        <v>3095621</v>
      </c>
      <c r="G5718" s="77" t="s">
        <v>5779</v>
      </c>
      <c r="H5718" s="14" t="str">
        <f t="shared" si="199"/>
        <v>true</v>
      </c>
      <c r="I5718" s="14" t="s">
        <v>2458</v>
      </c>
      <c r="J5718" s="33" t="e">
        <f>VLOOKUP(C5718,شرکتها!A:B,2,FALSE)</f>
        <v>#N/A</v>
      </c>
      <c r="K5718" s="33" t="s">
        <v>13810</v>
      </c>
      <c r="L5718" s="53" t="str">
        <f>"قطر"</f>
        <v>قطر</v>
      </c>
      <c r="M5718" s="68" t="str">
        <f>"فله"</f>
        <v>فله</v>
      </c>
      <c r="N5718" s="53" t="str">
        <f t="shared" si="197"/>
        <v>منطقه ويژه اقتصادي شهيد رجايي</v>
      </c>
      <c r="O5718" s="53">
        <v>50100</v>
      </c>
      <c r="P5718" s="198" t="str">
        <f>"1397561063001"</f>
        <v>1397561063001</v>
      </c>
    </row>
    <row r="5719" spans="1:16" ht="18.75" hidden="1">
      <c r="A5719" s="50" t="str">
        <f>"50100-10262263"</f>
        <v>50100-10262263</v>
      </c>
      <c r="B5719" s="50" t="str">
        <f>"97/03/02"</f>
        <v>97/03/02</v>
      </c>
      <c r="C5719" s="50" t="s">
        <v>13768</v>
      </c>
      <c r="D5719" s="12" t="s">
        <v>13356</v>
      </c>
      <c r="E5719" s="12" t="s">
        <v>13333</v>
      </c>
      <c r="F5719" s="49">
        <v>412780</v>
      </c>
      <c r="G5719" s="77" t="s">
        <v>5609</v>
      </c>
      <c r="H5719" s="14" t="str">
        <f t="shared" si="199"/>
        <v>true</v>
      </c>
      <c r="I5719" s="14" t="s">
        <v>2458</v>
      </c>
      <c r="J5719" s="33" t="s">
        <v>7110</v>
      </c>
      <c r="K5719" s="33" t="s">
        <v>13810</v>
      </c>
      <c r="L5719" s="53" t="str">
        <f>"هند"</f>
        <v>هند</v>
      </c>
      <c r="M5719" s="68" t="str">
        <f t="shared" ref="M5719:M5723" si="202">"بشكه"</f>
        <v>بشكه</v>
      </c>
      <c r="N5719" s="53" t="str">
        <f t="shared" si="197"/>
        <v>منطقه ويژه اقتصادي شهيد رجايي</v>
      </c>
      <c r="O5719" s="53">
        <v>50100</v>
      </c>
      <c r="P5719" s="198" t="str">
        <f>"1396548708001"</f>
        <v>1396548708001</v>
      </c>
    </row>
    <row r="5720" spans="1:16" ht="18.75" hidden="1">
      <c r="A5720" s="50" t="str">
        <f>"50100-10275801"</f>
        <v>50100-10275801</v>
      </c>
      <c r="B5720" s="50" t="str">
        <f>"97/03/06"</f>
        <v>97/03/06</v>
      </c>
      <c r="C5720" s="50" t="s">
        <v>13873</v>
      </c>
      <c r="D5720" s="12" t="s">
        <v>13184</v>
      </c>
      <c r="E5720" s="12" t="s">
        <v>13333</v>
      </c>
      <c r="F5720" s="49">
        <v>215358</v>
      </c>
      <c r="G5720" s="77" t="s">
        <v>5779</v>
      </c>
      <c r="H5720" s="14" t="str">
        <f t="shared" si="199"/>
        <v>true</v>
      </c>
      <c r="I5720" s="14" t="s">
        <v>2458</v>
      </c>
      <c r="J5720" s="33" t="e">
        <f>VLOOKUP(C5720,شرکتها!A:B,2,FALSE)</f>
        <v>#N/A</v>
      </c>
      <c r="K5720" s="33" t="s">
        <v>13810</v>
      </c>
      <c r="L5720" s="53" t="str">
        <f>"کنيا"</f>
        <v>کنيا</v>
      </c>
      <c r="M5720" s="68" t="str">
        <f t="shared" si="202"/>
        <v>بشكه</v>
      </c>
      <c r="N5720" s="53" t="str">
        <f t="shared" si="197"/>
        <v>منطقه ويژه اقتصادي شهيد رجايي</v>
      </c>
      <c r="O5720" s="53">
        <v>50100</v>
      </c>
      <c r="P5720" s="198" t="str">
        <f>"1396536910001"</f>
        <v>1396536910001</v>
      </c>
    </row>
    <row r="5721" spans="1:16" ht="18.75" hidden="1">
      <c r="A5721" s="50" t="str">
        <f>"50100-10275801"</f>
        <v>50100-10275801</v>
      </c>
      <c r="B5721" s="50" t="str">
        <f>"97/03/06"</f>
        <v>97/03/06</v>
      </c>
      <c r="C5721" s="50" t="s">
        <v>13863</v>
      </c>
      <c r="D5721" s="12" t="s">
        <v>13477</v>
      </c>
      <c r="E5721" s="12" t="s">
        <v>13333</v>
      </c>
      <c r="F5721" s="49">
        <v>71024</v>
      </c>
      <c r="G5721" s="77" t="s">
        <v>5779</v>
      </c>
      <c r="H5721" s="14" t="str">
        <f t="shared" si="199"/>
        <v>true</v>
      </c>
      <c r="I5721" s="14" t="s">
        <v>2458</v>
      </c>
      <c r="J5721" s="33" t="e">
        <f>VLOOKUP(C5721,شرکتها!A:B,2,FALSE)</f>
        <v>#N/A</v>
      </c>
      <c r="K5721" s="33" t="s">
        <v>13810</v>
      </c>
      <c r="L5721" s="53" t="str">
        <f>"کنيا"</f>
        <v>کنيا</v>
      </c>
      <c r="M5721" s="68" t="str">
        <f t="shared" si="202"/>
        <v>بشكه</v>
      </c>
      <c r="N5721" s="53" t="str">
        <f t="shared" si="197"/>
        <v>منطقه ويژه اقتصادي شهيد رجايي</v>
      </c>
      <c r="O5721" s="53">
        <v>50100</v>
      </c>
      <c r="P5721" s="198" t="str">
        <f>"1396546035001"</f>
        <v>1396546035001</v>
      </c>
    </row>
    <row r="5722" spans="1:16" ht="18.75" hidden="1">
      <c r="A5722" s="50" t="str">
        <f>"50100-10269594"</f>
        <v>50100-10269594</v>
      </c>
      <c r="B5722" s="50" t="str">
        <f>"97/03/05"</f>
        <v>97/03/05</v>
      </c>
      <c r="C5722" s="50" t="s">
        <v>13880</v>
      </c>
      <c r="D5722" s="12" t="s">
        <v>13770</v>
      </c>
      <c r="E5722" s="12" t="s">
        <v>13333</v>
      </c>
      <c r="F5722" s="49">
        <v>1344441</v>
      </c>
      <c r="G5722" s="77" t="s">
        <v>13546</v>
      </c>
      <c r="H5722" s="14" t="str">
        <f t="shared" si="199"/>
        <v>true</v>
      </c>
      <c r="I5722" s="14" t="s">
        <v>2458</v>
      </c>
      <c r="J5722" s="33" t="s">
        <v>7110</v>
      </c>
      <c r="K5722" s="33" t="s">
        <v>13810</v>
      </c>
      <c r="L5722" s="53" t="str">
        <f>"هند"</f>
        <v>هند</v>
      </c>
      <c r="M5722" s="68" t="str">
        <f t="shared" si="202"/>
        <v>بشكه</v>
      </c>
      <c r="N5722" s="53" t="str">
        <f t="shared" si="197"/>
        <v>منطقه ويژه اقتصادي شهيد رجايي</v>
      </c>
      <c r="O5722" s="53">
        <v>50100</v>
      </c>
      <c r="P5722" s="198" t="str">
        <f>"1397558723001"</f>
        <v>1397558723001</v>
      </c>
    </row>
    <row r="5723" spans="1:16" ht="18.75" hidden="1">
      <c r="A5723" s="50" t="str">
        <f>"50100-10264240"</f>
        <v>50100-10264240</v>
      </c>
      <c r="B5723" s="50" t="str">
        <f>"97/03/03"</f>
        <v>97/03/03</v>
      </c>
      <c r="C5723" s="50" t="s">
        <v>13588</v>
      </c>
      <c r="D5723" s="12" t="s">
        <v>12829</v>
      </c>
      <c r="E5723" s="12" t="s">
        <v>4971</v>
      </c>
      <c r="F5723" s="49">
        <v>28971</v>
      </c>
      <c r="G5723" s="77" t="s">
        <v>6298</v>
      </c>
      <c r="H5723" s="14" t="str">
        <f t="shared" si="199"/>
        <v>true</v>
      </c>
      <c r="I5723" s="14" t="s">
        <v>2458</v>
      </c>
      <c r="J5723" s="33" t="s">
        <v>7110</v>
      </c>
      <c r="K5723" s="33" t="s">
        <v>13810</v>
      </c>
      <c r="L5723" s="53" t="str">
        <f>"کامرون"</f>
        <v>کامرون</v>
      </c>
      <c r="M5723" s="68" t="str">
        <f t="shared" si="202"/>
        <v>بشكه</v>
      </c>
      <c r="N5723" s="53" t="str">
        <f t="shared" si="197"/>
        <v>منطقه ويژه اقتصادي شهيد رجايي</v>
      </c>
      <c r="O5723" s="53">
        <v>50100</v>
      </c>
      <c r="P5723" s="198" t="str">
        <f>"1396534910001"</f>
        <v>1396534910001</v>
      </c>
    </row>
    <row r="5724" spans="1:16" ht="18.75" hidden="1">
      <c r="A5724" s="50" t="str">
        <f>"50100-10269091"</f>
        <v>50100-10269091</v>
      </c>
      <c r="B5724" s="50" t="str">
        <f>"97/03/05"</f>
        <v>97/03/05</v>
      </c>
      <c r="C5724" s="50" t="s">
        <v>13881</v>
      </c>
      <c r="D5724" s="12" t="s">
        <v>13808</v>
      </c>
      <c r="E5724" s="12" t="s">
        <v>13333</v>
      </c>
      <c r="F5724" s="49">
        <v>3799261</v>
      </c>
      <c r="G5724" s="77" t="s">
        <v>5779</v>
      </c>
      <c r="H5724" s="14" t="str">
        <f t="shared" si="199"/>
        <v>true</v>
      </c>
      <c r="I5724" s="14" t="s">
        <v>2458</v>
      </c>
      <c r="J5724" s="33" t="e">
        <f>VLOOKUP(C5724,شرکتها!A:B,2,FALSE)</f>
        <v>#N/A</v>
      </c>
      <c r="K5724" s="33" t="s">
        <v>13810</v>
      </c>
      <c r="L5724" s="53" t="str">
        <f>"قطر"</f>
        <v>قطر</v>
      </c>
      <c r="M5724" s="68" t="str">
        <f>"فله"</f>
        <v>فله</v>
      </c>
      <c r="N5724" s="53" t="s">
        <v>12407</v>
      </c>
      <c r="O5724" s="53">
        <v>50100</v>
      </c>
      <c r="P5724" s="198">
        <v>1397560052001</v>
      </c>
    </row>
    <row r="5725" spans="1:16" ht="18.75" hidden="1">
      <c r="A5725" s="50" t="str">
        <f>"50100-10263027"</f>
        <v>50100-10263027</v>
      </c>
      <c r="B5725" s="50" t="str">
        <f>"97/03/02"</f>
        <v>97/03/02</v>
      </c>
      <c r="C5725" s="50" t="s">
        <v>13864</v>
      </c>
      <c r="D5725" s="12" t="s">
        <v>13184</v>
      </c>
      <c r="E5725" s="12" t="s">
        <v>13333</v>
      </c>
      <c r="F5725" s="49">
        <v>212385</v>
      </c>
      <c r="G5725" s="77" t="s">
        <v>5611</v>
      </c>
      <c r="H5725" s="14" t="str">
        <f t="shared" si="199"/>
        <v>true</v>
      </c>
      <c r="I5725" s="14" t="s">
        <v>2458</v>
      </c>
      <c r="J5725" s="33" t="s">
        <v>7110</v>
      </c>
      <c r="K5725" s="33" t="s">
        <v>13810</v>
      </c>
      <c r="L5725" s="53" t="str">
        <f>"هند"</f>
        <v>هند</v>
      </c>
      <c r="M5725" s="68" t="str">
        <f t="shared" ref="M5725:M5731" si="203">"بشكه"</f>
        <v>بشكه</v>
      </c>
      <c r="N5725" s="53" t="str">
        <f t="shared" ref="N5725:N5734" si="204">"منطقه ويژه اقتصادي شهيد رجايي"</f>
        <v>منطقه ويژه اقتصادي شهيد رجايي</v>
      </c>
      <c r="O5725" s="53">
        <v>50100</v>
      </c>
      <c r="P5725" s="198" t="str">
        <f>"1396548704001"</f>
        <v>1396548704001</v>
      </c>
    </row>
    <row r="5726" spans="1:16" ht="18.75" hidden="1">
      <c r="A5726" s="50" t="str">
        <f>"50100-10286767"</f>
        <v>50100-10286767</v>
      </c>
      <c r="B5726" s="50" t="str">
        <f>"97/03/09"</f>
        <v>97/03/09</v>
      </c>
      <c r="C5726" s="50" t="s">
        <v>13882</v>
      </c>
      <c r="D5726" s="12" t="s">
        <v>9998</v>
      </c>
      <c r="E5726" s="12" t="s">
        <v>4971</v>
      </c>
      <c r="F5726" s="49">
        <v>492250</v>
      </c>
      <c r="G5726" s="77" t="s">
        <v>6298</v>
      </c>
      <c r="H5726" s="14" t="str">
        <f t="shared" si="199"/>
        <v>true</v>
      </c>
      <c r="I5726" s="14" t="s">
        <v>2458</v>
      </c>
      <c r="J5726" s="33" t="s">
        <v>7110</v>
      </c>
      <c r="K5726" s="33" t="s">
        <v>13810</v>
      </c>
      <c r="L5726" s="53" t="str">
        <f>"ليبريا"</f>
        <v>ليبريا</v>
      </c>
      <c r="M5726" s="68" t="str">
        <f t="shared" si="203"/>
        <v>بشكه</v>
      </c>
      <c r="N5726" s="53" t="str">
        <f t="shared" si="204"/>
        <v>منطقه ويژه اقتصادي شهيد رجايي</v>
      </c>
      <c r="O5726" s="53">
        <v>50100</v>
      </c>
      <c r="P5726" s="198" t="str">
        <f>"1396534910001"</f>
        <v>1396534910001</v>
      </c>
    </row>
    <row r="5727" spans="1:16" ht="18.75" hidden="1">
      <c r="A5727" s="50" t="str">
        <f>"50100-10263075"</f>
        <v>50100-10263075</v>
      </c>
      <c r="B5727" s="50" t="str">
        <f>"97/03/02"</f>
        <v>97/03/02</v>
      </c>
      <c r="C5727" s="50" t="s">
        <v>13856</v>
      </c>
      <c r="D5727" s="12" t="s">
        <v>13266</v>
      </c>
      <c r="E5727" s="12" t="s">
        <v>13333</v>
      </c>
      <c r="F5727" s="49">
        <v>94725</v>
      </c>
      <c r="G5727" s="77" t="s">
        <v>5611</v>
      </c>
      <c r="H5727" s="14" t="str">
        <f t="shared" si="199"/>
        <v>true</v>
      </c>
      <c r="I5727" s="14" t="s">
        <v>2458</v>
      </c>
      <c r="J5727" s="33" t="s">
        <v>7110</v>
      </c>
      <c r="K5727" s="33" t="s">
        <v>13810</v>
      </c>
      <c r="L5727" s="53" t="str">
        <f>"زيمباوه"</f>
        <v>زيمباوه</v>
      </c>
      <c r="M5727" s="68" t="str">
        <f t="shared" si="203"/>
        <v>بشكه</v>
      </c>
      <c r="N5727" s="53" t="str">
        <f t="shared" si="204"/>
        <v>منطقه ويژه اقتصادي شهيد رجايي</v>
      </c>
      <c r="O5727" s="53">
        <v>50100</v>
      </c>
      <c r="P5727" s="198" t="str">
        <f>"1396548704001"</f>
        <v>1396548704001</v>
      </c>
    </row>
    <row r="5728" spans="1:16" ht="18.75" hidden="1">
      <c r="A5728" s="50" t="str">
        <f>"50100-10264240"</f>
        <v>50100-10264240</v>
      </c>
      <c r="B5728" s="50" t="str">
        <f>"97/03/03"</f>
        <v>97/03/03</v>
      </c>
      <c r="C5728" s="50" t="s">
        <v>13883</v>
      </c>
      <c r="D5728" s="12" t="s">
        <v>13331</v>
      </c>
      <c r="E5728" s="12" t="s">
        <v>13333</v>
      </c>
      <c r="F5728" s="49">
        <v>64897</v>
      </c>
      <c r="G5728" s="77" t="s">
        <v>5611</v>
      </c>
      <c r="H5728" s="14" t="str">
        <f t="shared" si="199"/>
        <v>true</v>
      </c>
      <c r="I5728" s="14" t="s">
        <v>2458</v>
      </c>
      <c r="J5728" s="33" t="s">
        <v>7110</v>
      </c>
      <c r="K5728" s="33" t="s">
        <v>13810</v>
      </c>
      <c r="L5728" s="53" t="str">
        <f>"کامرون"</f>
        <v>کامرون</v>
      </c>
      <c r="M5728" s="68" t="str">
        <f t="shared" si="203"/>
        <v>بشكه</v>
      </c>
      <c r="N5728" s="53" t="str">
        <f t="shared" si="204"/>
        <v>منطقه ويژه اقتصادي شهيد رجايي</v>
      </c>
      <c r="O5728" s="53">
        <v>50100</v>
      </c>
      <c r="P5728" s="198" t="str">
        <f>"1396548704001"</f>
        <v>1396548704001</v>
      </c>
    </row>
    <row r="5729" spans="1:16" ht="18.75" hidden="1">
      <c r="A5729" s="50" t="str">
        <f>"50100-10264240"</f>
        <v>50100-10264240</v>
      </c>
      <c r="B5729" s="50" t="str">
        <f>"97/03/03"</f>
        <v>97/03/03</v>
      </c>
      <c r="C5729" s="50" t="s">
        <v>13884</v>
      </c>
      <c r="D5729" s="12" t="s">
        <v>12613</v>
      </c>
      <c r="E5729" s="12" t="s">
        <v>4971</v>
      </c>
      <c r="F5729" s="49">
        <v>80000</v>
      </c>
      <c r="G5729" s="77" t="s">
        <v>6298</v>
      </c>
      <c r="H5729" s="14" t="str">
        <f t="shared" si="199"/>
        <v>true</v>
      </c>
      <c r="I5729" s="14" t="s">
        <v>2458</v>
      </c>
      <c r="J5729" s="33" t="s">
        <v>7110</v>
      </c>
      <c r="K5729" s="33" t="s">
        <v>13810</v>
      </c>
      <c r="L5729" s="53" t="str">
        <f>"کامرون"</f>
        <v>کامرون</v>
      </c>
      <c r="M5729" s="68" t="str">
        <f t="shared" si="203"/>
        <v>بشكه</v>
      </c>
      <c r="N5729" s="53" t="str">
        <f t="shared" si="204"/>
        <v>منطقه ويژه اقتصادي شهيد رجايي</v>
      </c>
      <c r="O5729" s="53">
        <v>50100</v>
      </c>
      <c r="P5729" s="198" t="str">
        <f>"1396534910001"</f>
        <v>1396534910001</v>
      </c>
    </row>
    <row r="5730" spans="1:16" ht="18.75" hidden="1">
      <c r="A5730" s="50" t="str">
        <f>"50100-10263921"</f>
        <v>50100-10263921</v>
      </c>
      <c r="B5730" s="50" t="str">
        <f>"97/03/03"</f>
        <v>97/03/03</v>
      </c>
      <c r="C5730" s="50" t="s">
        <v>13862</v>
      </c>
      <c r="D5730" s="12" t="s">
        <v>13356</v>
      </c>
      <c r="E5730" s="12" t="s">
        <v>13333</v>
      </c>
      <c r="F5730" s="49">
        <v>1273</v>
      </c>
      <c r="G5730" s="77" t="s">
        <v>5609</v>
      </c>
      <c r="H5730" s="14" t="str">
        <f t="shared" si="199"/>
        <v>true</v>
      </c>
      <c r="I5730" s="14" t="s">
        <v>2458</v>
      </c>
      <c r="J5730" s="33" t="s">
        <v>7110</v>
      </c>
      <c r="K5730" s="33" t="s">
        <v>13810</v>
      </c>
      <c r="L5730" s="53" t="str">
        <f>"موزامبيك"</f>
        <v>موزامبيك</v>
      </c>
      <c r="M5730" s="68" t="str">
        <f t="shared" si="203"/>
        <v>بشكه</v>
      </c>
      <c r="N5730" s="53" t="str">
        <f t="shared" si="204"/>
        <v>منطقه ويژه اقتصادي شهيد رجايي</v>
      </c>
      <c r="O5730" s="53">
        <v>50100</v>
      </c>
      <c r="P5730" s="198" t="str">
        <f>"1396548700001"</f>
        <v>1396548700001</v>
      </c>
    </row>
    <row r="5731" spans="1:16" ht="18.75" hidden="1">
      <c r="A5731" s="50" t="str">
        <f>"50100-10262733"</f>
        <v>50100-10262733</v>
      </c>
      <c r="B5731" s="50" t="str">
        <f>"97/03/02"</f>
        <v>97/03/02</v>
      </c>
      <c r="C5731" s="50" t="s">
        <v>13885</v>
      </c>
      <c r="D5731" s="12" t="s">
        <v>9822</v>
      </c>
      <c r="E5731" s="12" t="s">
        <v>4971</v>
      </c>
      <c r="F5731" s="49">
        <v>238030</v>
      </c>
      <c r="G5731" s="77" t="s">
        <v>6453</v>
      </c>
      <c r="H5731" s="14" t="str">
        <f t="shared" si="199"/>
        <v>true</v>
      </c>
      <c r="I5731" s="14" t="s">
        <v>2458</v>
      </c>
      <c r="J5731" s="33" t="e">
        <f>VLOOKUP(C5731,شرکتها!A:B,2,FALSE)</f>
        <v>#N/A</v>
      </c>
      <c r="K5731" s="33" t="s">
        <v>13810</v>
      </c>
      <c r="L5731" s="53" t="str">
        <f>"سريلانکا"</f>
        <v>سريلانکا</v>
      </c>
      <c r="M5731" s="68" t="str">
        <f t="shared" si="203"/>
        <v>بشكه</v>
      </c>
      <c r="N5731" s="53" t="str">
        <f t="shared" si="204"/>
        <v>منطقه ويژه اقتصادي شهيد رجايي</v>
      </c>
      <c r="O5731" s="53">
        <v>50100</v>
      </c>
      <c r="P5731" s="198" t="str">
        <f>"1396522396001"</f>
        <v>1396522396001</v>
      </c>
    </row>
    <row r="5732" spans="1:16" ht="18.75" hidden="1">
      <c r="A5732" s="50" t="str">
        <f>"50100-10300349"</f>
        <v>50100-10300349</v>
      </c>
      <c r="B5732" s="50" t="str">
        <f>"97/03/12"</f>
        <v>97/03/12</v>
      </c>
      <c r="C5732" s="50" t="s">
        <v>13886</v>
      </c>
      <c r="D5732" s="12" t="s">
        <v>13812</v>
      </c>
      <c r="E5732" s="12" t="s">
        <v>13333</v>
      </c>
      <c r="F5732" s="49">
        <v>143077</v>
      </c>
      <c r="G5732" s="77" t="s">
        <v>5779</v>
      </c>
      <c r="H5732" s="14" t="str">
        <f t="shared" si="199"/>
        <v>true</v>
      </c>
      <c r="I5732" s="14" t="s">
        <v>2458</v>
      </c>
      <c r="J5732" s="33" t="e">
        <f>VLOOKUP(C5732,شرکتها!A:B,2,FALSE)</f>
        <v>#N/A</v>
      </c>
      <c r="K5732" s="33" t="s">
        <v>13810</v>
      </c>
      <c r="L5732" s="53" t="str">
        <f>"عمان"</f>
        <v>عمان</v>
      </c>
      <c r="M5732" s="68" t="str">
        <f>"فله"</f>
        <v>فله</v>
      </c>
      <c r="N5732" s="53" t="str">
        <f t="shared" si="204"/>
        <v>منطقه ويژه اقتصادي شهيد رجايي</v>
      </c>
      <c r="O5732" s="53">
        <v>50100</v>
      </c>
      <c r="P5732" s="198" t="str">
        <f>"1396491871001"</f>
        <v>1396491871001</v>
      </c>
    </row>
    <row r="5733" spans="1:16" ht="18.75" hidden="1">
      <c r="A5733" s="50" t="str">
        <f>"50100-10262636"</f>
        <v>50100-10262636</v>
      </c>
      <c r="B5733" s="50" t="str">
        <f>"97/03/02"</f>
        <v>97/03/02</v>
      </c>
      <c r="C5733" s="50" t="s">
        <v>13867</v>
      </c>
      <c r="D5733" s="12" t="s">
        <v>13477</v>
      </c>
      <c r="E5733" s="12" t="s">
        <v>13333</v>
      </c>
      <c r="F5733" s="49">
        <v>3041</v>
      </c>
      <c r="G5733" s="77" t="s">
        <v>5853</v>
      </c>
      <c r="H5733" s="14" t="str">
        <f t="shared" si="199"/>
        <v>true</v>
      </c>
      <c r="I5733" s="14" t="s">
        <v>2458</v>
      </c>
      <c r="J5733" s="33" t="s">
        <v>7110</v>
      </c>
      <c r="K5733" s="33" t="s">
        <v>13810</v>
      </c>
      <c r="L5733" s="53" t="str">
        <f>"هند"</f>
        <v>هند</v>
      </c>
      <c r="M5733" s="68" t="str">
        <f>"بشكه"</f>
        <v>بشكه</v>
      </c>
      <c r="N5733" s="53" t="str">
        <f t="shared" si="204"/>
        <v>منطقه ويژه اقتصادي شهيد رجايي</v>
      </c>
      <c r="O5733" s="53">
        <v>50100</v>
      </c>
      <c r="P5733" s="198" t="str">
        <f>"1397558772001"</f>
        <v>1397558772001</v>
      </c>
    </row>
    <row r="5734" spans="1:16" ht="18.75" hidden="1">
      <c r="A5734" s="50" t="str">
        <f>"50100-10300349"</f>
        <v>50100-10300349</v>
      </c>
      <c r="B5734" s="50" t="str">
        <f>"97/03/12"</f>
        <v>97/03/12</v>
      </c>
      <c r="C5734" s="50" t="s">
        <v>13887</v>
      </c>
      <c r="D5734" s="12" t="s">
        <v>13812</v>
      </c>
      <c r="E5734" s="12" t="s">
        <v>13333</v>
      </c>
      <c r="F5734" s="49">
        <v>800000</v>
      </c>
      <c r="G5734" s="77" t="s">
        <v>5779</v>
      </c>
      <c r="H5734" s="14" t="str">
        <f t="shared" si="199"/>
        <v>true</v>
      </c>
      <c r="I5734" s="14" t="s">
        <v>2458</v>
      </c>
      <c r="J5734" s="33" t="e">
        <f>VLOOKUP(C5734,شرکتها!A:B,2,FALSE)</f>
        <v>#N/A</v>
      </c>
      <c r="K5734" s="33" t="s">
        <v>13810</v>
      </c>
      <c r="L5734" s="53" t="str">
        <f>"عمان"</f>
        <v>عمان</v>
      </c>
      <c r="M5734" s="68" t="str">
        <f>"فله"</f>
        <v>فله</v>
      </c>
      <c r="N5734" s="53" t="str">
        <f t="shared" si="204"/>
        <v>منطقه ويژه اقتصادي شهيد رجايي</v>
      </c>
      <c r="O5734" s="53">
        <v>50100</v>
      </c>
      <c r="P5734" s="198" t="str">
        <f>"1397561063001"</f>
        <v>1397561063001</v>
      </c>
    </row>
    <row r="5735" spans="1:16" ht="18.75" hidden="1">
      <c r="A5735" s="50" t="str">
        <f>"50100-10268902"</f>
        <v>50100-10268902</v>
      </c>
      <c r="B5735" s="50" t="str">
        <f>"97/03/05"</f>
        <v>97/03/05</v>
      </c>
      <c r="C5735" s="50" t="s">
        <v>13888</v>
      </c>
      <c r="D5735" s="12" t="s">
        <v>13822</v>
      </c>
      <c r="E5735" s="12" t="s">
        <v>13333</v>
      </c>
      <c r="F5735" s="49">
        <v>493177</v>
      </c>
      <c r="G5735" s="77" t="s">
        <v>5609</v>
      </c>
      <c r="H5735" s="14" t="str">
        <f t="shared" si="199"/>
        <v>true</v>
      </c>
      <c r="I5735" s="14" t="s">
        <v>2458</v>
      </c>
      <c r="J5735" s="33" t="s">
        <v>7110</v>
      </c>
      <c r="K5735" s="33" t="s">
        <v>13810</v>
      </c>
      <c r="L5735" s="53" t="str">
        <f>"سريلانکا"</f>
        <v>سريلانکا</v>
      </c>
      <c r="M5735" s="68" t="str">
        <f t="shared" ref="M5735:M5752" si="205">"بشكه"</f>
        <v>بشكه</v>
      </c>
      <c r="N5735" s="53" t="s">
        <v>12407</v>
      </c>
      <c r="O5735" s="53">
        <v>50100</v>
      </c>
      <c r="P5735" s="198">
        <v>1397558729001</v>
      </c>
    </row>
    <row r="5736" spans="1:16" ht="18.75" hidden="1">
      <c r="A5736" s="50" t="str">
        <f>"50100-10262636"</f>
        <v>50100-10262636</v>
      </c>
      <c r="B5736" s="50" t="str">
        <f>"97/03/02"</f>
        <v>97/03/02</v>
      </c>
      <c r="C5736" s="50" t="s">
        <v>13760</v>
      </c>
      <c r="D5736" s="12" t="s">
        <v>13473</v>
      </c>
      <c r="E5736" s="12" t="s">
        <v>13333</v>
      </c>
      <c r="F5736" s="49">
        <v>254937</v>
      </c>
      <c r="G5736" s="77" t="s">
        <v>5853</v>
      </c>
      <c r="H5736" s="14" t="str">
        <f t="shared" si="199"/>
        <v>true</v>
      </c>
      <c r="I5736" s="14" t="s">
        <v>2458</v>
      </c>
      <c r="J5736" s="33" t="s">
        <v>7110</v>
      </c>
      <c r="K5736" s="33" t="s">
        <v>13810</v>
      </c>
      <c r="L5736" s="53" t="str">
        <f>"هند"</f>
        <v>هند</v>
      </c>
      <c r="M5736" s="68" t="str">
        <f t="shared" si="205"/>
        <v>بشكه</v>
      </c>
      <c r="N5736" s="53" t="str">
        <f t="shared" ref="N5736:N5752" si="206">"منطقه ويژه اقتصادي شهيد رجايي"</f>
        <v>منطقه ويژه اقتصادي شهيد رجايي</v>
      </c>
      <c r="O5736" s="53">
        <v>50100</v>
      </c>
      <c r="P5736" s="198" t="str">
        <f>"1397558772001"</f>
        <v>1397558772001</v>
      </c>
    </row>
    <row r="5737" spans="1:16" ht="18.75" hidden="1">
      <c r="A5737" s="50" t="str">
        <f>"50100-10263639"</f>
        <v>50100-10263639</v>
      </c>
      <c r="B5737" s="50" t="str">
        <f>"97/03/03"</f>
        <v>97/03/03</v>
      </c>
      <c r="C5737" s="50" t="s">
        <v>13889</v>
      </c>
      <c r="D5737" s="12" t="s">
        <v>13266</v>
      </c>
      <c r="E5737" s="12" t="s">
        <v>13333</v>
      </c>
      <c r="F5737" s="49">
        <v>100145</v>
      </c>
      <c r="G5737" s="77" t="s">
        <v>5611</v>
      </c>
      <c r="H5737" s="14" t="str">
        <f t="shared" si="199"/>
        <v>true</v>
      </c>
      <c r="I5737" s="14" t="s">
        <v>2458</v>
      </c>
      <c r="J5737" s="33" t="s">
        <v>7110</v>
      </c>
      <c r="K5737" s="33" t="s">
        <v>13810</v>
      </c>
      <c r="L5737" s="53" t="str">
        <f>"ليبريا"</f>
        <v>ليبريا</v>
      </c>
      <c r="M5737" s="68" t="str">
        <f t="shared" si="205"/>
        <v>بشكه</v>
      </c>
      <c r="N5737" s="53" t="str">
        <f t="shared" si="206"/>
        <v>منطقه ويژه اقتصادي شهيد رجايي</v>
      </c>
      <c r="O5737" s="53">
        <v>50100</v>
      </c>
      <c r="P5737" s="198" t="str">
        <f>"1396548704001"</f>
        <v>1396548704001</v>
      </c>
    </row>
    <row r="5738" spans="1:16" ht="18.75" hidden="1">
      <c r="A5738" s="50" t="str">
        <f>"50100-10263012"</f>
        <v>50100-10263012</v>
      </c>
      <c r="B5738" s="50" t="str">
        <f>"97/03/02"</f>
        <v>97/03/02</v>
      </c>
      <c r="C5738" s="50" t="s">
        <v>13890</v>
      </c>
      <c r="D5738" s="12" t="s">
        <v>12898</v>
      </c>
      <c r="E5738" s="12" t="s">
        <v>4971</v>
      </c>
      <c r="F5738" s="49">
        <v>16865</v>
      </c>
      <c r="G5738" s="77" t="s">
        <v>6298</v>
      </c>
      <c r="H5738" s="14" t="str">
        <f t="shared" si="199"/>
        <v>true</v>
      </c>
      <c r="I5738" s="14" t="s">
        <v>2458</v>
      </c>
      <c r="J5738" s="33" t="s">
        <v>7110</v>
      </c>
      <c r="K5738" s="33" t="s">
        <v>13810</v>
      </c>
      <c r="L5738" s="53" t="str">
        <f>"هند"</f>
        <v>هند</v>
      </c>
      <c r="M5738" s="68" t="str">
        <f t="shared" si="205"/>
        <v>بشكه</v>
      </c>
      <c r="N5738" s="53" t="str">
        <f t="shared" si="206"/>
        <v>منطقه ويژه اقتصادي شهيد رجايي</v>
      </c>
      <c r="O5738" s="53">
        <v>50100</v>
      </c>
      <c r="P5738" s="198" t="str">
        <f>"1396548704001"</f>
        <v>1396548704001</v>
      </c>
    </row>
    <row r="5739" spans="1:16" ht="18.75" hidden="1">
      <c r="A5739" s="50" t="str">
        <f>"50100-10269971"</f>
        <v>50100-10269971</v>
      </c>
      <c r="B5739" s="50" t="str">
        <f>"97/03/05"</f>
        <v>97/03/05</v>
      </c>
      <c r="C5739" s="50" t="s">
        <v>13891</v>
      </c>
      <c r="D5739" s="12" t="s">
        <v>13563</v>
      </c>
      <c r="E5739" s="12" t="s">
        <v>13333</v>
      </c>
      <c r="F5739" s="49">
        <v>400000</v>
      </c>
      <c r="G5739" s="77" t="s">
        <v>5609</v>
      </c>
      <c r="H5739" s="14" t="str">
        <f t="shared" si="199"/>
        <v>true</v>
      </c>
      <c r="I5739" s="14" t="s">
        <v>2458</v>
      </c>
      <c r="J5739" s="33" t="s">
        <v>7110</v>
      </c>
      <c r="K5739" s="33" t="s">
        <v>13810</v>
      </c>
      <c r="L5739" s="53" t="str">
        <f>"هند"</f>
        <v>هند</v>
      </c>
      <c r="M5739" s="68" t="str">
        <f t="shared" si="205"/>
        <v>بشكه</v>
      </c>
      <c r="N5739" s="53" t="str">
        <f t="shared" si="206"/>
        <v>منطقه ويژه اقتصادي شهيد رجايي</v>
      </c>
      <c r="O5739" s="53">
        <v>50100</v>
      </c>
      <c r="P5739" s="198" t="str">
        <f>"1396548700001"</f>
        <v>1396548700001</v>
      </c>
    </row>
    <row r="5740" spans="1:16" ht="18.75" hidden="1">
      <c r="A5740" s="50" t="str">
        <f>"50100-10263027"</f>
        <v>50100-10263027</v>
      </c>
      <c r="B5740" s="50" t="str">
        <f>"97/03/02"</f>
        <v>97/03/02</v>
      </c>
      <c r="C5740" s="50" t="s">
        <v>13890</v>
      </c>
      <c r="D5740" s="12" t="s">
        <v>12898</v>
      </c>
      <c r="E5740" s="12" t="s">
        <v>4971</v>
      </c>
      <c r="F5740" s="49">
        <v>82615</v>
      </c>
      <c r="G5740" s="77" t="s">
        <v>6298</v>
      </c>
      <c r="H5740" s="14" t="str">
        <f t="shared" si="199"/>
        <v>true</v>
      </c>
      <c r="I5740" s="14" t="s">
        <v>2458</v>
      </c>
      <c r="J5740" s="33" t="s">
        <v>7110</v>
      </c>
      <c r="K5740" s="33" t="s">
        <v>13810</v>
      </c>
      <c r="L5740" s="53" t="str">
        <f>"هند"</f>
        <v>هند</v>
      </c>
      <c r="M5740" s="68" t="str">
        <f t="shared" si="205"/>
        <v>بشكه</v>
      </c>
      <c r="N5740" s="53" t="str">
        <f t="shared" si="206"/>
        <v>منطقه ويژه اقتصادي شهيد رجايي</v>
      </c>
      <c r="O5740" s="53">
        <v>50100</v>
      </c>
      <c r="P5740" s="198" t="str">
        <f>"1396548704001"</f>
        <v>1396548704001</v>
      </c>
    </row>
    <row r="5741" spans="1:16" ht="18.75" hidden="1">
      <c r="A5741" s="50" t="str">
        <f>"50100-10263027"</f>
        <v>50100-10263027</v>
      </c>
      <c r="B5741" s="50" t="str">
        <f>"97/03/02"</f>
        <v>97/03/02</v>
      </c>
      <c r="C5741" s="50" t="s">
        <v>13892</v>
      </c>
      <c r="D5741" s="12" t="s">
        <v>13321</v>
      </c>
      <c r="E5741" s="12" t="s">
        <v>13333</v>
      </c>
      <c r="F5741" s="49">
        <v>200000</v>
      </c>
      <c r="G5741" s="77" t="s">
        <v>5611</v>
      </c>
      <c r="H5741" s="14" t="str">
        <f t="shared" si="199"/>
        <v>true</v>
      </c>
      <c r="I5741" s="14" t="s">
        <v>2458</v>
      </c>
      <c r="J5741" s="33" t="s">
        <v>7110</v>
      </c>
      <c r="K5741" s="33" t="s">
        <v>13810</v>
      </c>
      <c r="L5741" s="53" t="str">
        <f>"هند"</f>
        <v>هند</v>
      </c>
      <c r="M5741" s="68" t="str">
        <f t="shared" si="205"/>
        <v>بشكه</v>
      </c>
      <c r="N5741" s="53" t="str">
        <f t="shared" si="206"/>
        <v>منطقه ويژه اقتصادي شهيد رجايي</v>
      </c>
      <c r="O5741" s="53">
        <v>50100</v>
      </c>
      <c r="P5741" s="198" t="str">
        <f>"1396548704001"</f>
        <v>1396548704001</v>
      </c>
    </row>
    <row r="5742" spans="1:16" ht="18.75" hidden="1">
      <c r="A5742" s="50" t="str">
        <f>"50100-10261610"</f>
        <v>50100-10261610</v>
      </c>
      <c r="B5742" s="50" t="str">
        <f>"97/03/02"</f>
        <v>97/03/02</v>
      </c>
      <c r="C5742" s="50" t="s">
        <v>13893</v>
      </c>
      <c r="D5742" s="12" t="s">
        <v>13770</v>
      </c>
      <c r="E5742" s="12" t="s">
        <v>13333</v>
      </c>
      <c r="F5742" s="49">
        <v>493321</v>
      </c>
      <c r="G5742" s="77" t="s">
        <v>5611</v>
      </c>
      <c r="H5742" s="14" t="str">
        <f t="shared" si="199"/>
        <v>true</v>
      </c>
      <c r="I5742" s="14" t="s">
        <v>2458</v>
      </c>
      <c r="J5742" s="33" t="s">
        <v>7110</v>
      </c>
      <c r="K5742" s="33" t="s">
        <v>13810</v>
      </c>
      <c r="L5742" s="53" t="str">
        <f>"هند"</f>
        <v>هند</v>
      </c>
      <c r="M5742" s="68" t="str">
        <f t="shared" si="205"/>
        <v>بشكه</v>
      </c>
      <c r="N5742" s="53" t="str">
        <f t="shared" si="206"/>
        <v>منطقه ويژه اقتصادي شهيد رجايي</v>
      </c>
      <c r="O5742" s="53">
        <v>50100</v>
      </c>
      <c r="P5742" s="198" t="str">
        <f>"1397558720001"</f>
        <v>1397558720001</v>
      </c>
    </row>
    <row r="5743" spans="1:16" ht="18.75" hidden="1">
      <c r="A5743" s="50" t="str">
        <f>"50100-10270791"</f>
        <v>50100-10270791</v>
      </c>
      <c r="B5743" s="50" t="str">
        <f>"97/03/05"</f>
        <v>97/03/05</v>
      </c>
      <c r="C5743" s="50" t="s">
        <v>13894</v>
      </c>
      <c r="D5743" s="12" t="s">
        <v>13351</v>
      </c>
      <c r="E5743" s="12" t="s">
        <v>13333</v>
      </c>
      <c r="F5743" s="49">
        <v>198880</v>
      </c>
      <c r="G5743" s="77" t="s">
        <v>5611</v>
      </c>
      <c r="H5743" s="14" t="str">
        <f t="shared" si="199"/>
        <v>true</v>
      </c>
      <c r="I5743" s="14" t="s">
        <v>2458</v>
      </c>
      <c r="J5743" s="33" t="s">
        <v>7110</v>
      </c>
      <c r="K5743" s="33" t="s">
        <v>13810</v>
      </c>
      <c r="L5743" s="53" t="str">
        <f>"تانزانيا"</f>
        <v>تانزانيا</v>
      </c>
      <c r="M5743" s="68" t="str">
        <f t="shared" si="205"/>
        <v>بشكه</v>
      </c>
      <c r="N5743" s="53" t="str">
        <f t="shared" si="206"/>
        <v>منطقه ويژه اقتصادي شهيد رجايي</v>
      </c>
      <c r="O5743" s="53">
        <v>50100</v>
      </c>
      <c r="P5743" s="198" t="str">
        <f>"1396548704001"</f>
        <v>1396548704001</v>
      </c>
    </row>
    <row r="5744" spans="1:16" ht="18.75" hidden="1">
      <c r="A5744" s="50" t="str">
        <f>"50100-10262263"</f>
        <v>50100-10262263</v>
      </c>
      <c r="B5744" s="50" t="str">
        <f>"97/03/02"</f>
        <v>97/03/02</v>
      </c>
      <c r="C5744" s="50" t="s">
        <v>13895</v>
      </c>
      <c r="D5744" s="12" t="s">
        <v>13475</v>
      </c>
      <c r="E5744" s="12" t="s">
        <v>13333</v>
      </c>
      <c r="F5744" s="49">
        <v>143825</v>
      </c>
      <c r="G5744" s="77" t="s">
        <v>5609</v>
      </c>
      <c r="H5744" s="14" t="str">
        <f t="shared" si="199"/>
        <v>true</v>
      </c>
      <c r="I5744" s="14" t="s">
        <v>2458</v>
      </c>
      <c r="J5744" s="33" t="s">
        <v>7110</v>
      </c>
      <c r="K5744" s="33" t="s">
        <v>13810</v>
      </c>
      <c r="L5744" s="53" t="str">
        <f>"هند"</f>
        <v>هند</v>
      </c>
      <c r="M5744" s="68" t="str">
        <f t="shared" si="205"/>
        <v>بشكه</v>
      </c>
      <c r="N5744" s="53" t="str">
        <f t="shared" si="206"/>
        <v>منطقه ويژه اقتصادي شهيد رجايي</v>
      </c>
      <c r="O5744" s="53">
        <v>50100</v>
      </c>
      <c r="P5744" s="198" t="str">
        <f>"1396548708001"</f>
        <v>1396548708001</v>
      </c>
    </row>
    <row r="5745" spans="1:16" ht="18.75" hidden="1">
      <c r="A5745" s="50" t="str">
        <f>"50100-10275801"</f>
        <v>50100-10275801</v>
      </c>
      <c r="B5745" s="50" t="str">
        <f>"97/03/06"</f>
        <v>97/03/06</v>
      </c>
      <c r="C5745" s="50" t="s">
        <v>13896</v>
      </c>
      <c r="D5745" s="12" t="s">
        <v>8793</v>
      </c>
      <c r="E5745" s="12" t="s">
        <v>4971</v>
      </c>
      <c r="F5745" s="49">
        <v>68196</v>
      </c>
      <c r="G5745" s="77" t="s">
        <v>6452</v>
      </c>
      <c r="H5745" s="14" t="str">
        <f t="shared" si="199"/>
        <v>true</v>
      </c>
      <c r="I5745" s="14" t="s">
        <v>2458</v>
      </c>
      <c r="J5745" s="33" t="e">
        <f>VLOOKUP(C5745,شرکتها!A:B,2,FALSE)</f>
        <v>#N/A</v>
      </c>
      <c r="K5745" s="33" t="s">
        <v>13810</v>
      </c>
      <c r="L5745" s="53" t="str">
        <f>"کنيا"</f>
        <v>کنيا</v>
      </c>
      <c r="M5745" s="68" t="str">
        <f t="shared" si="205"/>
        <v>بشكه</v>
      </c>
      <c r="N5745" s="53" t="str">
        <f t="shared" si="206"/>
        <v>منطقه ويژه اقتصادي شهيد رجايي</v>
      </c>
      <c r="O5745" s="53">
        <v>50100</v>
      </c>
      <c r="P5745" s="198" t="str">
        <f>"1396516773001"</f>
        <v>1396516773001</v>
      </c>
    </row>
    <row r="5746" spans="1:16" ht="18.75" hidden="1">
      <c r="A5746" s="50" t="str">
        <f>"50100-10264240"</f>
        <v>50100-10264240</v>
      </c>
      <c r="B5746" s="50" t="str">
        <f>"97/03/03"</f>
        <v>97/03/03</v>
      </c>
      <c r="C5746" s="50" t="s">
        <v>13782</v>
      </c>
      <c r="D5746" s="12" t="s">
        <v>12895</v>
      </c>
      <c r="E5746" s="12" t="s">
        <v>4971</v>
      </c>
      <c r="F5746" s="49">
        <v>14790</v>
      </c>
      <c r="G5746" s="77" t="s">
        <v>6298</v>
      </c>
      <c r="H5746" s="14" t="str">
        <f t="shared" si="199"/>
        <v>true</v>
      </c>
      <c r="I5746" s="14" t="s">
        <v>2458</v>
      </c>
      <c r="J5746" s="33" t="s">
        <v>7110</v>
      </c>
      <c r="K5746" s="33" t="s">
        <v>13810</v>
      </c>
      <c r="L5746" s="53" t="str">
        <f>"کامرون"</f>
        <v>کامرون</v>
      </c>
      <c r="M5746" s="68" t="str">
        <f t="shared" si="205"/>
        <v>بشكه</v>
      </c>
      <c r="N5746" s="53" t="str">
        <f t="shared" si="206"/>
        <v>منطقه ويژه اقتصادي شهيد رجايي</v>
      </c>
      <c r="O5746" s="53">
        <v>50100</v>
      </c>
      <c r="P5746" s="198" t="str">
        <f>"1396546618001"</f>
        <v>1396546618001</v>
      </c>
    </row>
    <row r="5747" spans="1:16" ht="18.75" hidden="1">
      <c r="A5747" s="50" t="str">
        <f>"50100-10264240"</f>
        <v>50100-10264240</v>
      </c>
      <c r="B5747" s="50" t="str">
        <f>"97/03/03"</f>
        <v>97/03/03</v>
      </c>
      <c r="C5747" s="50" t="s">
        <v>13897</v>
      </c>
      <c r="D5747" s="12" t="s">
        <v>13331</v>
      </c>
      <c r="E5747" s="12" t="s">
        <v>13333</v>
      </c>
      <c r="F5747" s="49">
        <v>600000</v>
      </c>
      <c r="G5747" s="77" t="s">
        <v>5611</v>
      </c>
      <c r="H5747" s="14" t="str">
        <f t="shared" si="199"/>
        <v>true</v>
      </c>
      <c r="I5747" s="14" t="s">
        <v>2458</v>
      </c>
      <c r="J5747" s="33" t="s">
        <v>7110</v>
      </c>
      <c r="K5747" s="33" t="s">
        <v>13810</v>
      </c>
      <c r="L5747" s="53" t="str">
        <f>"کامرون"</f>
        <v>کامرون</v>
      </c>
      <c r="M5747" s="68" t="str">
        <f t="shared" si="205"/>
        <v>بشكه</v>
      </c>
      <c r="N5747" s="53" t="str">
        <f t="shared" si="206"/>
        <v>منطقه ويژه اقتصادي شهيد رجايي</v>
      </c>
      <c r="O5747" s="53">
        <v>50100</v>
      </c>
      <c r="P5747" s="198" t="str">
        <f>"1396548704001"</f>
        <v>1396548704001</v>
      </c>
    </row>
    <row r="5748" spans="1:16" ht="18.75" hidden="1">
      <c r="A5748" s="50" t="str">
        <f>"50100-10263921"</f>
        <v>50100-10263921</v>
      </c>
      <c r="B5748" s="50" t="str">
        <f>"97/03/03"</f>
        <v>97/03/03</v>
      </c>
      <c r="C5748" s="50" t="s">
        <v>13895</v>
      </c>
      <c r="D5748" s="12" t="s">
        <v>13475</v>
      </c>
      <c r="E5748" s="12" t="s">
        <v>13333</v>
      </c>
      <c r="F5748" s="49">
        <v>157015</v>
      </c>
      <c r="G5748" s="77" t="s">
        <v>5609</v>
      </c>
      <c r="H5748" s="14" t="str">
        <f t="shared" si="199"/>
        <v>true</v>
      </c>
      <c r="I5748" s="14" t="s">
        <v>2458</v>
      </c>
      <c r="J5748" s="33" t="s">
        <v>7110</v>
      </c>
      <c r="K5748" s="33" t="s">
        <v>13810</v>
      </c>
      <c r="L5748" s="53" t="str">
        <f>"موزامبيك"</f>
        <v>موزامبيك</v>
      </c>
      <c r="M5748" s="68" t="str">
        <f t="shared" si="205"/>
        <v>بشكه</v>
      </c>
      <c r="N5748" s="53" t="str">
        <f t="shared" si="206"/>
        <v>منطقه ويژه اقتصادي شهيد رجايي</v>
      </c>
      <c r="O5748" s="53">
        <v>50100</v>
      </c>
      <c r="P5748" s="198" t="str">
        <f>"1396548708001"</f>
        <v>1396548708001</v>
      </c>
    </row>
    <row r="5749" spans="1:16" ht="18.75" hidden="1">
      <c r="A5749" s="50" t="str">
        <f>"50100-10270605"</f>
        <v>50100-10270605</v>
      </c>
      <c r="B5749" s="50" t="str">
        <f>"97/03/05"</f>
        <v>97/03/05</v>
      </c>
      <c r="C5749" s="50" t="s">
        <v>13894</v>
      </c>
      <c r="D5749" s="12" t="s">
        <v>13351</v>
      </c>
      <c r="E5749" s="12" t="s">
        <v>13333</v>
      </c>
      <c r="F5749" s="49">
        <v>218163</v>
      </c>
      <c r="G5749" s="77" t="s">
        <v>5611</v>
      </c>
      <c r="H5749" s="14" t="str">
        <f t="shared" si="199"/>
        <v>true</v>
      </c>
      <c r="I5749" s="14" t="s">
        <v>2458</v>
      </c>
      <c r="J5749" s="33" t="s">
        <v>7110</v>
      </c>
      <c r="K5749" s="33" t="s">
        <v>13810</v>
      </c>
      <c r="L5749" s="53" t="str">
        <f>"کنيا"</f>
        <v>کنيا</v>
      </c>
      <c r="M5749" s="68" t="str">
        <f t="shared" si="205"/>
        <v>بشكه</v>
      </c>
      <c r="N5749" s="53" t="str">
        <f t="shared" si="206"/>
        <v>منطقه ويژه اقتصادي شهيد رجايي</v>
      </c>
      <c r="O5749" s="53">
        <v>50100</v>
      </c>
      <c r="P5749" s="198" t="str">
        <f>"1396548704001"</f>
        <v>1396548704001</v>
      </c>
    </row>
    <row r="5750" spans="1:16" ht="18.75" hidden="1">
      <c r="A5750" s="50" t="str">
        <f>"50100-10263075"</f>
        <v>50100-10263075</v>
      </c>
      <c r="B5750" s="50" t="str">
        <f>"97/03/02"</f>
        <v>97/03/02</v>
      </c>
      <c r="C5750" s="50" t="s">
        <v>13889</v>
      </c>
      <c r="D5750" s="12" t="s">
        <v>13266</v>
      </c>
      <c r="E5750" s="12" t="s">
        <v>13333</v>
      </c>
      <c r="F5750" s="49">
        <v>144855</v>
      </c>
      <c r="G5750" s="77" t="s">
        <v>5611</v>
      </c>
      <c r="H5750" s="14" t="str">
        <f t="shared" si="199"/>
        <v>true</v>
      </c>
      <c r="I5750" s="14" t="s">
        <v>2458</v>
      </c>
      <c r="J5750" s="33" t="s">
        <v>7110</v>
      </c>
      <c r="K5750" s="33" t="s">
        <v>13810</v>
      </c>
      <c r="L5750" s="53" t="str">
        <f>"زيمباوه"</f>
        <v>زيمباوه</v>
      </c>
      <c r="M5750" s="68" t="str">
        <f t="shared" si="205"/>
        <v>بشكه</v>
      </c>
      <c r="N5750" s="53" t="str">
        <f t="shared" si="206"/>
        <v>منطقه ويژه اقتصادي شهيد رجايي</v>
      </c>
      <c r="O5750" s="53">
        <v>50100</v>
      </c>
      <c r="P5750" s="198" t="str">
        <f>"1396548704001"</f>
        <v>1396548704001</v>
      </c>
    </row>
    <row r="5751" spans="1:16" ht="18.75" hidden="1">
      <c r="A5751" s="50" t="str">
        <f>"50100-10271048"</f>
        <v>50100-10271048</v>
      </c>
      <c r="B5751" s="50" t="str">
        <f>"97/03/05"</f>
        <v>97/03/05</v>
      </c>
      <c r="C5751" s="50" t="s">
        <v>13894</v>
      </c>
      <c r="D5751" s="12" t="s">
        <v>13351</v>
      </c>
      <c r="E5751" s="12" t="s">
        <v>13333</v>
      </c>
      <c r="F5751" s="49">
        <v>79640</v>
      </c>
      <c r="G5751" s="77" t="s">
        <v>5611</v>
      </c>
      <c r="H5751" s="14" t="str">
        <f t="shared" si="199"/>
        <v>true</v>
      </c>
      <c r="I5751" s="14" t="s">
        <v>2458</v>
      </c>
      <c r="J5751" s="33" t="s">
        <v>7110</v>
      </c>
      <c r="K5751" s="33" t="s">
        <v>13810</v>
      </c>
      <c r="L5751" s="53" t="s">
        <v>8681</v>
      </c>
      <c r="M5751" s="68" t="str">
        <f t="shared" si="205"/>
        <v>بشكه</v>
      </c>
      <c r="N5751" s="53" t="str">
        <f t="shared" si="206"/>
        <v>منطقه ويژه اقتصادي شهيد رجايي</v>
      </c>
      <c r="O5751" s="53">
        <v>50100</v>
      </c>
      <c r="P5751" s="198" t="str">
        <f>"1396548704001"</f>
        <v>1396548704001</v>
      </c>
    </row>
    <row r="5752" spans="1:16" ht="18.75" hidden="1">
      <c r="A5752" s="50" t="str">
        <f>"50100-10263099"</f>
        <v>50100-10263099</v>
      </c>
      <c r="B5752" s="50" t="str">
        <f>"97/03/02"</f>
        <v>97/03/02</v>
      </c>
      <c r="C5752" s="50" t="s">
        <v>13895</v>
      </c>
      <c r="D5752" s="12" t="s">
        <v>13475</v>
      </c>
      <c r="E5752" s="12" t="s">
        <v>13333</v>
      </c>
      <c r="F5752" s="49">
        <v>199160</v>
      </c>
      <c r="G5752" s="77" t="s">
        <v>5609</v>
      </c>
      <c r="H5752" s="14" t="str">
        <f t="shared" si="199"/>
        <v>true</v>
      </c>
      <c r="I5752" s="14" t="s">
        <v>2458</v>
      </c>
      <c r="J5752" s="33" t="s">
        <v>7110</v>
      </c>
      <c r="K5752" s="33" t="s">
        <v>13810</v>
      </c>
      <c r="L5752" s="53" t="str">
        <f>"موزامبيك"</f>
        <v>موزامبيك</v>
      </c>
      <c r="M5752" s="68" t="str">
        <f t="shared" si="205"/>
        <v>بشكه</v>
      </c>
      <c r="N5752" s="53" t="str">
        <f t="shared" si="206"/>
        <v>منطقه ويژه اقتصادي شهيد رجايي</v>
      </c>
      <c r="O5752" s="53">
        <v>50100</v>
      </c>
      <c r="P5752" s="198" t="str">
        <f>"1396548708001"</f>
        <v>1396548708001</v>
      </c>
    </row>
    <row r="5753" spans="1:16" ht="18.75" hidden="1">
      <c r="A5753" s="50" t="s">
        <v>13898</v>
      </c>
      <c r="B5753" s="50" t="s">
        <v>13955</v>
      </c>
      <c r="C5753" s="50" t="s">
        <v>13956</v>
      </c>
      <c r="D5753" s="12" t="s">
        <v>13552</v>
      </c>
      <c r="E5753" s="12">
        <v>97</v>
      </c>
      <c r="F5753" s="49">
        <v>221480</v>
      </c>
      <c r="G5753" s="77" t="s">
        <v>6453</v>
      </c>
      <c r="H5753" s="14" t="str">
        <f t="shared" si="199"/>
        <v>true</v>
      </c>
      <c r="I5753" s="14" t="s">
        <v>2458</v>
      </c>
      <c r="J5753" s="33" t="e">
        <f>VLOOKUP(C5753,شرکتها!A:B,2,FALSE)</f>
        <v>#N/A</v>
      </c>
      <c r="K5753" s="33" t="s">
        <v>14006</v>
      </c>
      <c r="L5753" s="53" t="s">
        <v>6054</v>
      </c>
      <c r="M5753" s="68" t="s">
        <v>8913</v>
      </c>
      <c r="N5753" s="53" t="s">
        <v>6286</v>
      </c>
      <c r="O5753" s="53">
        <v>55107</v>
      </c>
      <c r="P5753" s="198" t="s">
        <v>12929</v>
      </c>
    </row>
    <row r="5754" spans="1:16" ht="18.75" hidden="1">
      <c r="A5754" s="50" t="s">
        <v>13899</v>
      </c>
      <c r="B5754" s="50" t="s">
        <v>13957</v>
      </c>
      <c r="C5754" s="50" t="s">
        <v>13958</v>
      </c>
      <c r="D5754" s="12" t="s">
        <v>13759</v>
      </c>
      <c r="E5754" s="12">
        <v>97</v>
      </c>
      <c r="F5754" s="49">
        <v>48850</v>
      </c>
      <c r="G5754" s="77" t="s">
        <v>13714</v>
      </c>
      <c r="H5754" s="14" t="str">
        <f t="shared" si="199"/>
        <v>true</v>
      </c>
      <c r="I5754" s="14" t="s">
        <v>2458</v>
      </c>
      <c r="J5754" s="33" t="s">
        <v>7110</v>
      </c>
      <c r="K5754" s="33" t="s">
        <v>14006</v>
      </c>
      <c r="L5754" s="53" t="s">
        <v>6054</v>
      </c>
      <c r="M5754" s="68" t="s">
        <v>8912</v>
      </c>
      <c r="N5754" s="53" t="s">
        <v>6076</v>
      </c>
      <c r="O5754" s="53">
        <v>55301</v>
      </c>
      <c r="P5754" s="198" t="s">
        <v>13715</v>
      </c>
    </row>
    <row r="5755" spans="1:16" ht="18.75" hidden="1">
      <c r="A5755" s="50" t="s">
        <v>13899</v>
      </c>
      <c r="B5755" s="50" t="s">
        <v>13957</v>
      </c>
      <c r="C5755" s="50" t="s">
        <v>13959</v>
      </c>
      <c r="D5755" s="12" t="s">
        <v>13960</v>
      </c>
      <c r="E5755" s="12">
        <v>97</v>
      </c>
      <c r="F5755" s="49">
        <v>92270</v>
      </c>
      <c r="G5755" s="77" t="s">
        <v>13495</v>
      </c>
      <c r="H5755" s="14" t="str">
        <f t="shared" si="199"/>
        <v>true</v>
      </c>
      <c r="I5755" s="14" t="s">
        <v>2458</v>
      </c>
      <c r="J5755" s="33" t="s">
        <v>7110</v>
      </c>
      <c r="K5755" s="33" t="s">
        <v>14006</v>
      </c>
      <c r="L5755" s="53" t="s">
        <v>6054</v>
      </c>
      <c r="M5755" s="68" t="s">
        <v>8912</v>
      </c>
      <c r="N5755" s="53" t="s">
        <v>6076</v>
      </c>
      <c r="O5755" s="53">
        <v>55301</v>
      </c>
      <c r="P5755" s="198" t="s">
        <v>13625</v>
      </c>
    </row>
    <row r="5756" spans="1:16" ht="18.75" hidden="1">
      <c r="A5756" s="50" t="s">
        <v>13900</v>
      </c>
      <c r="B5756" s="50" t="s">
        <v>13961</v>
      </c>
      <c r="C5756" s="50" t="s">
        <v>13962</v>
      </c>
      <c r="D5756" s="12" t="s">
        <v>13960</v>
      </c>
      <c r="E5756" s="12">
        <v>97</v>
      </c>
      <c r="F5756" s="49">
        <v>264945</v>
      </c>
      <c r="G5756" s="77" t="s">
        <v>13714</v>
      </c>
      <c r="H5756" s="14" t="str">
        <f t="shared" si="199"/>
        <v>true</v>
      </c>
      <c r="I5756" s="14" t="s">
        <v>2458</v>
      </c>
      <c r="J5756" s="33" t="s">
        <v>7110</v>
      </c>
      <c r="K5756" s="33" t="s">
        <v>14006</v>
      </c>
      <c r="L5756" s="53" t="s">
        <v>6054</v>
      </c>
      <c r="M5756" s="68" t="s">
        <v>8913</v>
      </c>
      <c r="N5756" s="53" t="s">
        <v>6076</v>
      </c>
      <c r="O5756" s="53">
        <v>55301</v>
      </c>
      <c r="P5756" s="198" t="s">
        <v>13715</v>
      </c>
    </row>
    <row r="5757" spans="1:16" ht="18.75" hidden="1">
      <c r="A5757" s="50" t="s">
        <v>13901</v>
      </c>
      <c r="B5757" s="50" t="s">
        <v>13961</v>
      </c>
      <c r="C5757" s="50" t="s">
        <v>13959</v>
      </c>
      <c r="D5757" s="12" t="s">
        <v>13960</v>
      </c>
      <c r="E5757" s="12">
        <v>97</v>
      </c>
      <c r="F5757" s="49">
        <v>72440</v>
      </c>
      <c r="G5757" s="77" t="s">
        <v>13495</v>
      </c>
      <c r="H5757" s="14" t="str">
        <f t="shared" si="199"/>
        <v>true</v>
      </c>
      <c r="I5757" s="14" t="s">
        <v>2458</v>
      </c>
      <c r="J5757" s="33" t="s">
        <v>7110</v>
      </c>
      <c r="K5757" s="33" t="s">
        <v>14006</v>
      </c>
      <c r="L5757" s="53" t="s">
        <v>6054</v>
      </c>
      <c r="M5757" s="68" t="s">
        <v>8912</v>
      </c>
      <c r="N5757" s="53" t="s">
        <v>6286</v>
      </c>
      <c r="O5757" s="53">
        <v>55107</v>
      </c>
      <c r="P5757" s="198" t="s">
        <v>13625</v>
      </c>
    </row>
    <row r="5758" spans="1:16" ht="18.75" hidden="1">
      <c r="A5758" s="50" t="s">
        <v>13901</v>
      </c>
      <c r="B5758" s="50" t="s">
        <v>13961</v>
      </c>
      <c r="C5758" s="50" t="s">
        <v>13963</v>
      </c>
      <c r="D5758" s="12" t="s">
        <v>13812</v>
      </c>
      <c r="E5758" s="12">
        <v>97</v>
      </c>
      <c r="F5758" s="49">
        <v>138620</v>
      </c>
      <c r="G5758" s="77" t="s">
        <v>6454</v>
      </c>
      <c r="H5758" s="14" t="str">
        <f t="shared" si="199"/>
        <v>true</v>
      </c>
      <c r="I5758" s="14" t="s">
        <v>2458</v>
      </c>
      <c r="J5758" s="33" t="s">
        <v>7110</v>
      </c>
      <c r="K5758" s="33" t="s">
        <v>14006</v>
      </c>
      <c r="L5758" s="53" t="s">
        <v>6054</v>
      </c>
      <c r="M5758" s="68" t="s">
        <v>8912</v>
      </c>
      <c r="N5758" s="53" t="s">
        <v>6286</v>
      </c>
      <c r="O5758" s="53">
        <v>55107</v>
      </c>
      <c r="P5758" s="198" t="s">
        <v>14021</v>
      </c>
    </row>
    <row r="5759" spans="1:16" ht="18.75" hidden="1">
      <c r="A5759" s="50" t="s">
        <v>13902</v>
      </c>
      <c r="B5759" s="50" t="s">
        <v>13955</v>
      </c>
      <c r="C5759" s="50" t="s">
        <v>13964</v>
      </c>
      <c r="D5759" s="12" t="s">
        <v>13822</v>
      </c>
      <c r="E5759" s="12">
        <v>97</v>
      </c>
      <c r="F5759" s="49">
        <v>267030</v>
      </c>
      <c r="G5759" s="77" t="s">
        <v>13495</v>
      </c>
      <c r="H5759" s="14" t="str">
        <f t="shared" si="199"/>
        <v>true</v>
      </c>
      <c r="I5759" s="14" t="s">
        <v>2458</v>
      </c>
      <c r="J5759" s="33" t="s">
        <v>7110</v>
      </c>
      <c r="K5759" s="33" t="s">
        <v>14006</v>
      </c>
      <c r="L5759" s="53" t="s">
        <v>6054</v>
      </c>
      <c r="M5759" s="68" t="s">
        <v>8912</v>
      </c>
      <c r="N5759" s="53" t="s">
        <v>6286</v>
      </c>
      <c r="O5759" s="53">
        <v>55107</v>
      </c>
      <c r="P5759" s="198" t="s">
        <v>13625</v>
      </c>
    </row>
    <row r="5760" spans="1:16" ht="18.75" hidden="1">
      <c r="A5760" s="50" t="s">
        <v>13900</v>
      </c>
      <c r="B5760" s="50" t="s">
        <v>13961</v>
      </c>
      <c r="C5760" s="50" t="s">
        <v>13958</v>
      </c>
      <c r="D5760" s="12" t="s">
        <v>13759</v>
      </c>
      <c r="E5760" s="12">
        <v>97</v>
      </c>
      <c r="F5760" s="49">
        <v>34655</v>
      </c>
      <c r="G5760" s="77" t="s">
        <v>13714</v>
      </c>
      <c r="H5760" s="14" t="str">
        <f t="shared" si="199"/>
        <v>true</v>
      </c>
      <c r="I5760" s="14" t="s">
        <v>2458</v>
      </c>
      <c r="J5760" s="33" t="s">
        <v>7110</v>
      </c>
      <c r="K5760" s="33" t="s">
        <v>14006</v>
      </c>
      <c r="L5760" s="53" t="s">
        <v>6054</v>
      </c>
      <c r="M5760" s="68" t="s">
        <v>8913</v>
      </c>
      <c r="N5760" s="53" t="s">
        <v>6076</v>
      </c>
      <c r="O5760" s="53">
        <v>55301</v>
      </c>
      <c r="P5760" s="198" t="s">
        <v>13715</v>
      </c>
    </row>
    <row r="5761" spans="1:16" ht="18.75" hidden="1">
      <c r="A5761" s="50" t="s">
        <v>13903</v>
      </c>
      <c r="B5761" s="50" t="s">
        <v>13965</v>
      </c>
      <c r="C5761" s="50" t="s">
        <v>13959</v>
      </c>
      <c r="D5761" s="12" t="s">
        <v>13960</v>
      </c>
      <c r="E5761" s="12">
        <v>97</v>
      </c>
      <c r="F5761" s="49">
        <v>351200</v>
      </c>
      <c r="G5761" s="77" t="s">
        <v>13495</v>
      </c>
      <c r="H5761" s="14" t="str">
        <f t="shared" si="199"/>
        <v>true</v>
      </c>
      <c r="I5761" s="14" t="s">
        <v>2458</v>
      </c>
      <c r="J5761" s="33" t="s">
        <v>7110</v>
      </c>
      <c r="K5761" s="33" t="s">
        <v>14006</v>
      </c>
      <c r="L5761" s="53" t="s">
        <v>6054</v>
      </c>
      <c r="M5761" s="68" t="s">
        <v>8912</v>
      </c>
      <c r="N5761" s="53" t="s">
        <v>9836</v>
      </c>
      <c r="O5761" s="53">
        <v>55112</v>
      </c>
      <c r="P5761" s="198" t="s">
        <v>13625</v>
      </c>
    </row>
    <row r="5762" spans="1:16" ht="18.75" hidden="1">
      <c r="A5762" s="50" t="s">
        <v>13904</v>
      </c>
      <c r="B5762" s="50" t="s">
        <v>13966</v>
      </c>
      <c r="C5762" s="50" t="s">
        <v>13958</v>
      </c>
      <c r="D5762" s="12" t="s">
        <v>13759</v>
      </c>
      <c r="E5762" s="12">
        <v>97</v>
      </c>
      <c r="F5762" s="49">
        <v>6320</v>
      </c>
      <c r="G5762" s="77" t="s">
        <v>13714</v>
      </c>
      <c r="H5762" s="14" t="str">
        <f t="shared" si="199"/>
        <v>true</v>
      </c>
      <c r="I5762" s="14" t="s">
        <v>2458</v>
      </c>
      <c r="J5762" s="33" t="s">
        <v>7110</v>
      </c>
      <c r="K5762" s="33" t="s">
        <v>14006</v>
      </c>
      <c r="L5762" s="53" t="s">
        <v>6054</v>
      </c>
      <c r="M5762" s="68" t="s">
        <v>8912</v>
      </c>
      <c r="N5762" s="53" t="s">
        <v>9836</v>
      </c>
      <c r="O5762" s="53">
        <v>55112</v>
      </c>
      <c r="P5762" s="198" t="s">
        <v>13715</v>
      </c>
    </row>
    <row r="5763" spans="1:16" ht="18.75" hidden="1">
      <c r="A5763" s="50" t="s">
        <v>13905</v>
      </c>
      <c r="B5763" s="50" t="s">
        <v>13965</v>
      </c>
      <c r="C5763" s="50" t="s">
        <v>13959</v>
      </c>
      <c r="D5763" s="12" t="s">
        <v>13960</v>
      </c>
      <c r="E5763" s="12">
        <v>97</v>
      </c>
      <c r="F5763" s="49">
        <v>95380</v>
      </c>
      <c r="G5763" s="77" t="s">
        <v>13495</v>
      </c>
      <c r="H5763" s="14" t="str">
        <f t="shared" si="199"/>
        <v>true</v>
      </c>
      <c r="I5763" s="14" t="s">
        <v>2458</v>
      </c>
      <c r="J5763" s="33" t="s">
        <v>7110</v>
      </c>
      <c r="K5763" s="33" t="s">
        <v>14006</v>
      </c>
      <c r="L5763" s="53" t="s">
        <v>6054</v>
      </c>
      <c r="M5763" s="68" t="s">
        <v>8913</v>
      </c>
      <c r="N5763" s="53" t="s">
        <v>6286</v>
      </c>
      <c r="O5763" s="53">
        <v>55107</v>
      </c>
      <c r="P5763" s="198" t="s">
        <v>13625</v>
      </c>
    </row>
    <row r="5764" spans="1:16" ht="18.75" hidden="1">
      <c r="A5764" s="50" t="s">
        <v>13906</v>
      </c>
      <c r="B5764" s="50" t="s">
        <v>13967</v>
      </c>
      <c r="C5764" s="50" t="s">
        <v>13968</v>
      </c>
      <c r="D5764" s="12" t="s">
        <v>13623</v>
      </c>
      <c r="E5764" s="12">
        <v>97</v>
      </c>
      <c r="F5764" s="49">
        <v>164780</v>
      </c>
      <c r="G5764" s="77" t="s">
        <v>11829</v>
      </c>
      <c r="H5764" s="14" t="str">
        <f t="shared" si="199"/>
        <v>true</v>
      </c>
      <c r="I5764" s="14" t="s">
        <v>2458</v>
      </c>
      <c r="J5764" s="33" t="s">
        <v>7110</v>
      </c>
      <c r="K5764" s="33" t="s">
        <v>14006</v>
      </c>
      <c r="L5764" s="53" t="s">
        <v>6054</v>
      </c>
      <c r="M5764" s="68" t="s">
        <v>8913</v>
      </c>
      <c r="N5764" s="53" t="s">
        <v>6286</v>
      </c>
      <c r="O5764" s="53">
        <v>55107</v>
      </c>
      <c r="P5764" s="198" t="s">
        <v>13664</v>
      </c>
    </row>
    <row r="5765" spans="1:16" ht="18.75" hidden="1">
      <c r="A5765" s="50" t="s">
        <v>13907</v>
      </c>
      <c r="B5765" s="50" t="s">
        <v>13969</v>
      </c>
      <c r="C5765" s="50" t="s">
        <v>13970</v>
      </c>
      <c r="D5765" s="12" t="s">
        <v>13563</v>
      </c>
      <c r="E5765" s="12">
        <v>97</v>
      </c>
      <c r="F5765" s="49">
        <v>98980</v>
      </c>
      <c r="G5765" s="77" t="s">
        <v>6454</v>
      </c>
      <c r="H5765" s="14" t="str">
        <f t="shared" si="199"/>
        <v>true</v>
      </c>
      <c r="I5765" s="14" t="s">
        <v>2458</v>
      </c>
      <c r="J5765" s="33" t="s">
        <v>7110</v>
      </c>
      <c r="K5765" s="33" t="s">
        <v>14006</v>
      </c>
      <c r="L5765" s="53" t="s">
        <v>6054</v>
      </c>
      <c r="M5765" s="68" t="s">
        <v>8913</v>
      </c>
      <c r="N5765" s="53" t="s">
        <v>6286</v>
      </c>
      <c r="O5765" s="53">
        <v>55107</v>
      </c>
      <c r="P5765" s="198" t="s">
        <v>12669</v>
      </c>
    </row>
    <row r="5766" spans="1:16" ht="18.75" hidden="1">
      <c r="A5766" s="50" t="s">
        <v>13904</v>
      </c>
      <c r="B5766" s="50" t="s">
        <v>13966</v>
      </c>
      <c r="C5766" s="50" t="s">
        <v>13970</v>
      </c>
      <c r="D5766" s="12" t="s">
        <v>13563</v>
      </c>
      <c r="E5766" s="12">
        <v>97</v>
      </c>
      <c r="F5766" s="49">
        <v>39520</v>
      </c>
      <c r="G5766" s="77" t="s">
        <v>6454</v>
      </c>
      <c r="H5766" s="14" t="str">
        <f t="shared" si="199"/>
        <v>true</v>
      </c>
      <c r="I5766" s="14" t="s">
        <v>2458</v>
      </c>
      <c r="J5766" s="33" t="s">
        <v>7110</v>
      </c>
      <c r="K5766" s="33" t="s">
        <v>14006</v>
      </c>
      <c r="L5766" s="53" t="s">
        <v>6054</v>
      </c>
      <c r="M5766" s="68" t="s">
        <v>8912</v>
      </c>
      <c r="N5766" s="53" t="s">
        <v>9836</v>
      </c>
      <c r="O5766" s="53">
        <v>55112</v>
      </c>
      <c r="P5766" s="198" t="s">
        <v>12669</v>
      </c>
    </row>
    <row r="5767" spans="1:16" ht="18.75" hidden="1">
      <c r="A5767" s="50" t="s">
        <v>13908</v>
      </c>
      <c r="B5767" s="50" t="s">
        <v>13971</v>
      </c>
      <c r="C5767" s="50" t="s">
        <v>13972</v>
      </c>
      <c r="D5767" s="12" t="s">
        <v>13741</v>
      </c>
      <c r="E5767" s="12">
        <v>97</v>
      </c>
      <c r="F5767" s="49">
        <v>115795</v>
      </c>
      <c r="G5767" s="77" t="s">
        <v>6454</v>
      </c>
      <c r="H5767" s="14" t="str">
        <f t="shared" si="199"/>
        <v>true</v>
      </c>
      <c r="I5767" s="14" t="s">
        <v>2458</v>
      </c>
      <c r="J5767" s="33" t="s">
        <v>7110</v>
      </c>
      <c r="K5767" s="33" t="s">
        <v>14006</v>
      </c>
      <c r="L5767" s="53" t="s">
        <v>6054</v>
      </c>
      <c r="M5767" s="68" t="s">
        <v>8912</v>
      </c>
      <c r="N5767" s="53" t="s">
        <v>6076</v>
      </c>
      <c r="O5767" s="53">
        <v>55301</v>
      </c>
      <c r="P5767" s="198" t="s">
        <v>14021</v>
      </c>
    </row>
    <row r="5768" spans="1:16" ht="18.75" hidden="1">
      <c r="A5768" s="50" t="s">
        <v>13909</v>
      </c>
      <c r="B5768" s="50" t="s">
        <v>13965</v>
      </c>
      <c r="C5768" s="50" t="s">
        <v>13973</v>
      </c>
      <c r="D5768" s="12" t="s">
        <v>13356</v>
      </c>
      <c r="E5768" s="12">
        <v>97</v>
      </c>
      <c r="F5768" s="49">
        <v>350000</v>
      </c>
      <c r="G5768" s="77" t="s">
        <v>12608</v>
      </c>
      <c r="H5768" s="14" t="str">
        <f t="shared" si="199"/>
        <v>true</v>
      </c>
      <c r="I5768" s="14" t="s">
        <v>2458</v>
      </c>
      <c r="J5768" s="33" t="s">
        <v>7110</v>
      </c>
      <c r="K5768" s="33" t="s">
        <v>14006</v>
      </c>
      <c r="L5768" s="53" t="s">
        <v>6054</v>
      </c>
      <c r="M5768" s="68" t="s">
        <v>8912</v>
      </c>
      <c r="N5768" s="53" t="s">
        <v>6285</v>
      </c>
      <c r="O5768" s="53">
        <v>55200</v>
      </c>
      <c r="P5768" s="198" t="s">
        <v>13670</v>
      </c>
    </row>
    <row r="5769" spans="1:16" ht="18.75" hidden="1">
      <c r="A5769" s="50" t="s">
        <v>13910</v>
      </c>
      <c r="B5769" s="50" t="s">
        <v>13969</v>
      </c>
      <c r="C5769" s="50" t="s">
        <v>13833</v>
      </c>
      <c r="D5769" s="12" t="s">
        <v>13473</v>
      </c>
      <c r="E5769" s="12">
        <v>97</v>
      </c>
      <c r="F5769" s="49">
        <v>118370</v>
      </c>
      <c r="G5769" s="77" t="s">
        <v>13495</v>
      </c>
      <c r="H5769" s="14" t="str">
        <f t="shared" ref="H5769:H5833" si="207">IF(I5769="نامشخص",IF(E5769&gt;C5769,"false","true"),IF(E5769&gt;I5769,"false","true"))</f>
        <v>true</v>
      </c>
      <c r="I5769" s="14" t="s">
        <v>2458</v>
      </c>
      <c r="J5769" s="33" t="s">
        <v>7110</v>
      </c>
      <c r="K5769" s="33" t="s">
        <v>14006</v>
      </c>
      <c r="L5769" s="53" t="s">
        <v>6054</v>
      </c>
      <c r="M5769" s="68" t="s">
        <v>8912</v>
      </c>
      <c r="N5769" s="53" t="s">
        <v>6286</v>
      </c>
      <c r="O5769" s="53">
        <v>55107</v>
      </c>
      <c r="P5769" s="198" t="s">
        <v>13625</v>
      </c>
    </row>
    <row r="5770" spans="1:16" ht="18.75" hidden="1">
      <c r="A5770" s="50" t="s">
        <v>13909</v>
      </c>
      <c r="B5770" s="50" t="s">
        <v>13965</v>
      </c>
      <c r="C5770" s="50" t="s">
        <v>13974</v>
      </c>
      <c r="D5770" s="12" t="s">
        <v>13402</v>
      </c>
      <c r="E5770" s="12">
        <v>97</v>
      </c>
      <c r="F5770" s="49">
        <v>249968</v>
      </c>
      <c r="G5770" s="77" t="s">
        <v>6300</v>
      </c>
      <c r="H5770" s="14" t="str">
        <f t="shared" si="207"/>
        <v>true</v>
      </c>
      <c r="I5770" s="14" t="s">
        <v>2458</v>
      </c>
      <c r="J5770" s="33" t="s">
        <v>7110</v>
      </c>
      <c r="K5770" s="33" t="s">
        <v>14006</v>
      </c>
      <c r="L5770" s="53" t="s">
        <v>6054</v>
      </c>
      <c r="M5770" s="68" t="s">
        <v>8912</v>
      </c>
      <c r="N5770" s="53" t="s">
        <v>6285</v>
      </c>
      <c r="O5770" s="53">
        <v>55200</v>
      </c>
      <c r="P5770" s="198" t="s">
        <v>12678</v>
      </c>
    </row>
    <row r="5771" spans="1:16" ht="18.75" hidden="1">
      <c r="A5771" s="50" t="s">
        <v>13909</v>
      </c>
      <c r="B5771" s="50" t="s">
        <v>13965</v>
      </c>
      <c r="C5771" s="50" t="s">
        <v>13832</v>
      </c>
      <c r="D5771" s="12" t="s">
        <v>13575</v>
      </c>
      <c r="E5771" s="12">
        <v>97</v>
      </c>
      <c r="F5771" s="49">
        <v>724824</v>
      </c>
      <c r="G5771" s="77" t="s">
        <v>11829</v>
      </c>
      <c r="H5771" s="14" t="str">
        <f t="shared" si="207"/>
        <v>true</v>
      </c>
      <c r="I5771" s="14" t="s">
        <v>2458</v>
      </c>
      <c r="J5771" s="33" t="s">
        <v>7110</v>
      </c>
      <c r="K5771" s="33" t="s">
        <v>14006</v>
      </c>
      <c r="L5771" s="53" t="s">
        <v>6054</v>
      </c>
      <c r="M5771" s="68" t="s">
        <v>8912</v>
      </c>
      <c r="N5771" s="53" t="s">
        <v>6285</v>
      </c>
      <c r="O5771" s="53">
        <v>55200</v>
      </c>
      <c r="P5771" s="198" t="s">
        <v>13664</v>
      </c>
    </row>
    <row r="5772" spans="1:16" ht="18.75" hidden="1">
      <c r="A5772" s="50" t="s">
        <v>13911</v>
      </c>
      <c r="B5772" s="50" t="s">
        <v>13969</v>
      </c>
      <c r="C5772" s="50" t="s">
        <v>13799</v>
      </c>
      <c r="D5772" s="12" t="s">
        <v>13563</v>
      </c>
      <c r="E5772" s="12">
        <v>97</v>
      </c>
      <c r="F5772" s="49">
        <v>57440</v>
      </c>
      <c r="G5772" s="77" t="s">
        <v>6454</v>
      </c>
      <c r="H5772" s="14" t="str">
        <f t="shared" si="207"/>
        <v>true</v>
      </c>
      <c r="I5772" s="14" t="s">
        <v>2458</v>
      </c>
      <c r="J5772" s="33" t="s">
        <v>7110</v>
      </c>
      <c r="K5772" s="33" t="s">
        <v>14006</v>
      </c>
      <c r="L5772" s="53" t="s">
        <v>6054</v>
      </c>
      <c r="M5772" s="68" t="s">
        <v>8912</v>
      </c>
      <c r="N5772" s="53" t="s">
        <v>6076</v>
      </c>
      <c r="O5772" s="53">
        <v>55301</v>
      </c>
      <c r="P5772" s="198" t="s">
        <v>12940</v>
      </c>
    </row>
    <row r="5773" spans="1:16" ht="18.75" hidden="1">
      <c r="A5773" s="50" t="s">
        <v>13912</v>
      </c>
      <c r="B5773" s="50" t="s">
        <v>13966</v>
      </c>
      <c r="C5773" s="50" t="s">
        <v>13975</v>
      </c>
      <c r="D5773" s="12" t="s">
        <v>13827</v>
      </c>
      <c r="E5773" s="12">
        <v>97</v>
      </c>
      <c r="F5773" s="49">
        <v>25170</v>
      </c>
      <c r="G5773" s="77" t="s">
        <v>11829</v>
      </c>
      <c r="H5773" s="14" t="str">
        <f t="shared" si="207"/>
        <v>true</v>
      </c>
      <c r="I5773" s="14" t="s">
        <v>2458</v>
      </c>
      <c r="J5773" s="33" t="s">
        <v>7110</v>
      </c>
      <c r="K5773" s="33" t="s">
        <v>14006</v>
      </c>
      <c r="L5773" s="53" t="s">
        <v>6054</v>
      </c>
      <c r="M5773" s="68" t="s">
        <v>8912</v>
      </c>
      <c r="N5773" s="53" t="s">
        <v>6286</v>
      </c>
      <c r="O5773" s="53">
        <v>55107</v>
      </c>
      <c r="P5773" s="198" t="s">
        <v>13664</v>
      </c>
    </row>
    <row r="5774" spans="1:16" ht="18.75" hidden="1">
      <c r="A5774" s="54" t="s">
        <v>13913</v>
      </c>
      <c r="B5774" s="54" t="s">
        <v>13969</v>
      </c>
      <c r="C5774" s="54" t="s">
        <v>13976</v>
      </c>
      <c r="D5774" s="55" t="s">
        <v>9997</v>
      </c>
      <c r="E5774" s="55">
        <v>96</v>
      </c>
      <c r="F5774" s="56">
        <v>899000</v>
      </c>
      <c r="G5774" s="186" t="s">
        <v>13977</v>
      </c>
      <c r="H5774" s="57" t="str">
        <f t="shared" si="207"/>
        <v>true</v>
      </c>
      <c r="I5774" s="57" t="s">
        <v>2458</v>
      </c>
      <c r="J5774" s="57" t="s">
        <v>7110</v>
      </c>
      <c r="K5774" s="187" t="s">
        <v>14006</v>
      </c>
      <c r="L5774" s="188" t="s">
        <v>6054</v>
      </c>
      <c r="M5774" s="189" t="s">
        <v>8913</v>
      </c>
      <c r="N5774" s="188" t="s">
        <v>6076</v>
      </c>
      <c r="O5774" s="188">
        <v>55301</v>
      </c>
      <c r="P5774" s="200" t="s">
        <v>9798</v>
      </c>
    </row>
    <row r="5775" spans="1:16" ht="18.75" hidden="1">
      <c r="A5775" s="50" t="s">
        <v>13911</v>
      </c>
      <c r="B5775" s="50" t="s">
        <v>13969</v>
      </c>
      <c r="C5775" s="50" t="s">
        <v>13978</v>
      </c>
      <c r="D5775" s="12" t="s">
        <v>13623</v>
      </c>
      <c r="E5775" s="12">
        <v>97</v>
      </c>
      <c r="F5775" s="49">
        <v>88190</v>
      </c>
      <c r="G5775" s="77" t="s">
        <v>12608</v>
      </c>
      <c r="H5775" s="14" t="str">
        <f t="shared" si="207"/>
        <v>true</v>
      </c>
      <c r="I5775" s="14" t="s">
        <v>2458</v>
      </c>
      <c r="J5775" s="33" t="s">
        <v>7110</v>
      </c>
      <c r="K5775" s="33" t="s">
        <v>14006</v>
      </c>
      <c r="L5775" s="53" t="s">
        <v>6054</v>
      </c>
      <c r="M5775" s="68" t="s">
        <v>8912</v>
      </c>
      <c r="N5775" s="53" t="s">
        <v>6076</v>
      </c>
      <c r="O5775" s="53">
        <v>55301</v>
      </c>
      <c r="P5775" s="198" t="s">
        <v>13670</v>
      </c>
    </row>
    <row r="5776" spans="1:16" ht="18.75" hidden="1">
      <c r="A5776" s="50" t="s">
        <v>13909</v>
      </c>
      <c r="B5776" s="50" t="s">
        <v>13965</v>
      </c>
      <c r="C5776" s="50" t="s">
        <v>13962</v>
      </c>
      <c r="D5776" s="12" t="s">
        <v>13960</v>
      </c>
      <c r="E5776" s="12">
        <v>97</v>
      </c>
      <c r="F5776" s="49">
        <v>606456</v>
      </c>
      <c r="G5776" s="77" t="s">
        <v>13714</v>
      </c>
      <c r="H5776" s="14" t="str">
        <f t="shared" si="207"/>
        <v>true</v>
      </c>
      <c r="I5776" s="14" t="s">
        <v>2458</v>
      </c>
      <c r="J5776" s="33" t="s">
        <v>7110</v>
      </c>
      <c r="K5776" s="33" t="s">
        <v>14006</v>
      </c>
      <c r="L5776" s="53" t="s">
        <v>6054</v>
      </c>
      <c r="M5776" s="68" t="s">
        <v>8912</v>
      </c>
      <c r="N5776" s="53" t="s">
        <v>6285</v>
      </c>
      <c r="O5776" s="53">
        <v>55200</v>
      </c>
      <c r="P5776" s="198" t="s">
        <v>13715</v>
      </c>
    </row>
    <row r="5777" spans="1:16" ht="18.75" hidden="1">
      <c r="A5777" s="50" t="s">
        <v>13911</v>
      </c>
      <c r="B5777" s="50" t="s">
        <v>13969</v>
      </c>
      <c r="C5777" s="50" t="s">
        <v>13979</v>
      </c>
      <c r="D5777" s="12" t="s">
        <v>13402</v>
      </c>
      <c r="E5777" s="12">
        <v>97</v>
      </c>
      <c r="F5777" s="49">
        <v>364370</v>
      </c>
      <c r="G5777" s="77" t="s">
        <v>12608</v>
      </c>
      <c r="H5777" s="14" t="str">
        <f t="shared" si="207"/>
        <v>true</v>
      </c>
      <c r="I5777" s="14" t="s">
        <v>2458</v>
      </c>
      <c r="J5777" s="33" t="s">
        <v>7110</v>
      </c>
      <c r="K5777" s="33" t="s">
        <v>14006</v>
      </c>
      <c r="L5777" s="53" t="s">
        <v>6054</v>
      </c>
      <c r="M5777" s="68" t="s">
        <v>8912</v>
      </c>
      <c r="N5777" s="53" t="s">
        <v>6076</v>
      </c>
      <c r="O5777" s="53">
        <v>55301</v>
      </c>
      <c r="P5777" s="198" t="s">
        <v>13670</v>
      </c>
    </row>
    <row r="5778" spans="1:16" ht="18.75" hidden="1">
      <c r="A5778" s="50" t="s">
        <v>13911</v>
      </c>
      <c r="B5778" s="50" t="s">
        <v>13969</v>
      </c>
      <c r="C5778" s="50" t="s">
        <v>13970</v>
      </c>
      <c r="D5778" s="12" t="s">
        <v>13563</v>
      </c>
      <c r="E5778" s="12">
        <v>97</v>
      </c>
      <c r="F5778" s="49">
        <v>48000</v>
      </c>
      <c r="G5778" s="77" t="s">
        <v>6454</v>
      </c>
      <c r="H5778" s="14" t="str">
        <f t="shared" si="207"/>
        <v>true</v>
      </c>
      <c r="I5778" s="14" t="s">
        <v>2458</v>
      </c>
      <c r="J5778" s="33" t="s">
        <v>7110</v>
      </c>
      <c r="K5778" s="33" t="s">
        <v>14006</v>
      </c>
      <c r="L5778" s="53" t="s">
        <v>6054</v>
      </c>
      <c r="M5778" s="68" t="s">
        <v>8912</v>
      </c>
      <c r="N5778" s="53" t="s">
        <v>6076</v>
      </c>
      <c r="O5778" s="53">
        <v>55301</v>
      </c>
      <c r="P5778" s="198" t="s">
        <v>12669</v>
      </c>
    </row>
    <row r="5779" spans="1:16" ht="18.75" hidden="1">
      <c r="A5779" s="50" t="s">
        <v>13914</v>
      </c>
      <c r="B5779" s="50" t="s">
        <v>13966</v>
      </c>
      <c r="C5779" s="50" t="s">
        <v>13959</v>
      </c>
      <c r="D5779" s="12" t="s">
        <v>13960</v>
      </c>
      <c r="E5779" s="12">
        <v>97</v>
      </c>
      <c r="F5779" s="49">
        <v>47460</v>
      </c>
      <c r="G5779" s="77" t="s">
        <v>13495</v>
      </c>
      <c r="H5779" s="14" t="str">
        <f t="shared" si="207"/>
        <v>true</v>
      </c>
      <c r="I5779" s="14" t="s">
        <v>2458</v>
      </c>
      <c r="J5779" s="33" t="s">
        <v>7110</v>
      </c>
      <c r="K5779" s="33" t="s">
        <v>14006</v>
      </c>
      <c r="L5779" s="53" t="s">
        <v>6054</v>
      </c>
      <c r="M5779" s="68" t="s">
        <v>8913</v>
      </c>
      <c r="N5779" s="53" t="s">
        <v>6285</v>
      </c>
      <c r="O5779" s="53">
        <v>55200</v>
      </c>
      <c r="P5779" s="198" t="s">
        <v>13625</v>
      </c>
    </row>
    <row r="5780" spans="1:16" ht="18.75" hidden="1">
      <c r="A5780" s="50" t="s">
        <v>13913</v>
      </c>
      <c r="B5780" s="50" t="s">
        <v>13969</v>
      </c>
      <c r="C5780" s="50" t="s">
        <v>13980</v>
      </c>
      <c r="D5780" s="12" t="s">
        <v>13422</v>
      </c>
      <c r="E5780" s="12">
        <v>97</v>
      </c>
      <c r="F5780" s="49">
        <v>113240</v>
      </c>
      <c r="G5780" s="77" t="s">
        <v>12823</v>
      </c>
      <c r="H5780" s="14" t="str">
        <f t="shared" si="207"/>
        <v>true</v>
      </c>
      <c r="I5780" s="14" t="s">
        <v>2458</v>
      </c>
      <c r="J5780" s="33" t="s">
        <v>7110</v>
      </c>
      <c r="K5780" s="33" t="s">
        <v>14006</v>
      </c>
      <c r="L5780" s="53" t="s">
        <v>6054</v>
      </c>
      <c r="M5780" s="68" t="s">
        <v>8913</v>
      </c>
      <c r="N5780" s="53" t="s">
        <v>6076</v>
      </c>
      <c r="O5780" s="53">
        <v>55301</v>
      </c>
      <c r="P5780" s="198" t="s">
        <v>13731</v>
      </c>
    </row>
    <row r="5781" spans="1:16" ht="18.75" hidden="1">
      <c r="A5781" s="50" t="s">
        <v>13913</v>
      </c>
      <c r="B5781" s="50" t="s">
        <v>13969</v>
      </c>
      <c r="C5781" s="50" t="s">
        <v>13833</v>
      </c>
      <c r="D5781" s="12" t="s">
        <v>13473</v>
      </c>
      <c r="E5781" s="12">
        <v>97</v>
      </c>
      <c r="F5781" s="49">
        <v>229080</v>
      </c>
      <c r="G5781" s="77" t="s">
        <v>13495</v>
      </c>
      <c r="H5781" s="14" t="str">
        <f t="shared" si="207"/>
        <v>true</v>
      </c>
      <c r="I5781" s="14" t="s">
        <v>2458</v>
      </c>
      <c r="J5781" s="33" t="s">
        <v>7110</v>
      </c>
      <c r="K5781" s="33" t="s">
        <v>14006</v>
      </c>
      <c r="L5781" s="53" t="s">
        <v>6054</v>
      </c>
      <c r="M5781" s="68" t="s">
        <v>8913</v>
      </c>
      <c r="N5781" s="53" t="s">
        <v>6076</v>
      </c>
      <c r="O5781" s="53">
        <v>55301</v>
      </c>
      <c r="P5781" s="198" t="s">
        <v>13625</v>
      </c>
    </row>
    <row r="5782" spans="1:16" ht="18.75" hidden="1">
      <c r="A5782" s="50" t="s">
        <v>13915</v>
      </c>
      <c r="B5782" s="50" t="s">
        <v>13966</v>
      </c>
      <c r="C5782" s="50" t="s">
        <v>13980</v>
      </c>
      <c r="D5782" s="12" t="s">
        <v>13422</v>
      </c>
      <c r="E5782" s="12">
        <v>97</v>
      </c>
      <c r="F5782" s="49">
        <v>6760</v>
      </c>
      <c r="G5782" s="77" t="s">
        <v>12823</v>
      </c>
      <c r="H5782" s="14" t="str">
        <f t="shared" si="207"/>
        <v>true</v>
      </c>
      <c r="I5782" s="14" t="s">
        <v>2458</v>
      </c>
      <c r="J5782" s="33" t="s">
        <v>7110</v>
      </c>
      <c r="K5782" s="33" t="s">
        <v>14006</v>
      </c>
      <c r="L5782" s="53" t="s">
        <v>6054</v>
      </c>
      <c r="M5782" s="68" t="s">
        <v>8913</v>
      </c>
      <c r="N5782" s="53" t="s">
        <v>6286</v>
      </c>
      <c r="O5782" s="53">
        <v>55107</v>
      </c>
      <c r="P5782" s="198" t="s">
        <v>13731</v>
      </c>
    </row>
    <row r="5783" spans="1:16" ht="18.75" hidden="1">
      <c r="A5783" s="50" t="s">
        <v>13915</v>
      </c>
      <c r="B5783" s="50" t="s">
        <v>13966</v>
      </c>
      <c r="C5783" s="50" t="s">
        <v>13833</v>
      </c>
      <c r="D5783" s="12" t="s">
        <v>13473</v>
      </c>
      <c r="E5783" s="12">
        <v>97</v>
      </c>
      <c r="F5783" s="49">
        <v>20310</v>
      </c>
      <c r="G5783" s="77" t="s">
        <v>13495</v>
      </c>
      <c r="H5783" s="14" t="str">
        <f t="shared" si="207"/>
        <v>true</v>
      </c>
      <c r="I5783" s="14" t="s">
        <v>2458</v>
      </c>
      <c r="J5783" s="33" t="s">
        <v>7110</v>
      </c>
      <c r="K5783" s="33" t="s">
        <v>14006</v>
      </c>
      <c r="L5783" s="53" t="s">
        <v>6054</v>
      </c>
      <c r="M5783" s="68" t="s">
        <v>8913</v>
      </c>
      <c r="N5783" s="53" t="s">
        <v>6286</v>
      </c>
      <c r="O5783" s="53">
        <v>55107</v>
      </c>
      <c r="P5783" s="198" t="s">
        <v>13625</v>
      </c>
    </row>
    <row r="5784" spans="1:16" ht="18.75" hidden="1">
      <c r="A5784" s="50" t="s">
        <v>13916</v>
      </c>
      <c r="B5784" s="50" t="s">
        <v>13967</v>
      </c>
      <c r="C5784" s="50" t="s">
        <v>13968</v>
      </c>
      <c r="D5784" s="12" t="s">
        <v>13623</v>
      </c>
      <c r="E5784" s="12">
        <v>97</v>
      </c>
      <c r="F5784" s="49">
        <v>73380</v>
      </c>
      <c r="G5784" s="77" t="s">
        <v>11829</v>
      </c>
      <c r="H5784" s="14" t="str">
        <f t="shared" si="207"/>
        <v>true</v>
      </c>
      <c r="I5784" s="14" t="s">
        <v>2458</v>
      </c>
      <c r="J5784" s="33" t="s">
        <v>7110</v>
      </c>
      <c r="K5784" s="33" t="s">
        <v>14006</v>
      </c>
      <c r="L5784" s="53" t="s">
        <v>6054</v>
      </c>
      <c r="M5784" s="68" t="s">
        <v>8913</v>
      </c>
      <c r="N5784" s="53" t="s">
        <v>6285</v>
      </c>
      <c r="O5784" s="53">
        <v>55200</v>
      </c>
      <c r="P5784" s="198" t="s">
        <v>13664</v>
      </c>
    </row>
    <row r="5785" spans="1:16" ht="18.75" hidden="1">
      <c r="A5785" s="50" t="s">
        <v>13917</v>
      </c>
      <c r="B5785" s="50" t="s">
        <v>13965</v>
      </c>
      <c r="C5785" s="50" t="s">
        <v>13959</v>
      </c>
      <c r="D5785" s="12" t="s">
        <v>13960</v>
      </c>
      <c r="E5785" s="12">
        <v>97</v>
      </c>
      <c r="F5785" s="49">
        <v>344820</v>
      </c>
      <c r="G5785" s="77" t="s">
        <v>13495</v>
      </c>
      <c r="H5785" s="14" t="str">
        <f t="shared" si="207"/>
        <v>true</v>
      </c>
      <c r="I5785" s="14" t="s">
        <v>2458</v>
      </c>
      <c r="J5785" s="33" t="s">
        <v>7110</v>
      </c>
      <c r="K5785" s="33" t="s">
        <v>14006</v>
      </c>
      <c r="L5785" s="53" t="s">
        <v>6054</v>
      </c>
      <c r="M5785" s="68" t="s">
        <v>8912</v>
      </c>
      <c r="N5785" s="53" t="s">
        <v>6286</v>
      </c>
      <c r="O5785" s="53">
        <v>55107</v>
      </c>
      <c r="P5785" s="198" t="s">
        <v>13625</v>
      </c>
    </row>
    <row r="5786" spans="1:16" ht="18.75" hidden="1">
      <c r="A5786" s="50" t="s">
        <v>13917</v>
      </c>
      <c r="B5786" s="50" t="s">
        <v>13965</v>
      </c>
      <c r="C5786" s="50" t="s">
        <v>13981</v>
      </c>
      <c r="D5786" s="12" t="s">
        <v>13741</v>
      </c>
      <c r="E5786" s="12">
        <v>97</v>
      </c>
      <c r="F5786" s="49">
        <v>168310</v>
      </c>
      <c r="G5786" s="77" t="s">
        <v>13714</v>
      </c>
      <c r="H5786" s="14" t="str">
        <f t="shared" si="207"/>
        <v>true</v>
      </c>
      <c r="I5786" s="14" t="s">
        <v>2458</v>
      </c>
      <c r="J5786" s="33" t="s">
        <v>7110</v>
      </c>
      <c r="K5786" s="33" t="s">
        <v>14006</v>
      </c>
      <c r="L5786" s="53" t="s">
        <v>6054</v>
      </c>
      <c r="M5786" s="68" t="s">
        <v>8912</v>
      </c>
      <c r="N5786" s="53" t="s">
        <v>6286</v>
      </c>
      <c r="O5786" s="53">
        <v>55107</v>
      </c>
      <c r="P5786" s="198" t="s">
        <v>13715</v>
      </c>
    </row>
    <row r="5787" spans="1:16" ht="18.75" hidden="1">
      <c r="A5787" s="50" t="s">
        <v>13917</v>
      </c>
      <c r="B5787" s="50" t="s">
        <v>13965</v>
      </c>
      <c r="C5787" s="50" t="s">
        <v>13982</v>
      </c>
      <c r="D5787" s="12" t="s">
        <v>13623</v>
      </c>
      <c r="E5787" s="12">
        <v>97</v>
      </c>
      <c r="F5787" s="49">
        <v>258360</v>
      </c>
      <c r="G5787" s="77" t="s">
        <v>12823</v>
      </c>
      <c r="H5787" s="14" t="str">
        <f t="shared" si="207"/>
        <v>true</v>
      </c>
      <c r="I5787" s="14" t="s">
        <v>2458</v>
      </c>
      <c r="J5787" s="33" t="s">
        <v>7110</v>
      </c>
      <c r="K5787" s="33" t="s">
        <v>14006</v>
      </c>
      <c r="L5787" s="53" t="s">
        <v>6054</v>
      </c>
      <c r="M5787" s="68" t="s">
        <v>8912</v>
      </c>
      <c r="N5787" s="53" t="s">
        <v>6286</v>
      </c>
      <c r="O5787" s="53">
        <v>55107</v>
      </c>
      <c r="P5787" s="198" t="s">
        <v>14022</v>
      </c>
    </row>
    <row r="5788" spans="1:16" ht="18.75" hidden="1">
      <c r="A5788" s="50" t="s">
        <v>13918</v>
      </c>
      <c r="B5788" s="50" t="s">
        <v>13505</v>
      </c>
      <c r="C5788" s="50" t="s">
        <v>13518</v>
      </c>
      <c r="D5788" s="12" t="s">
        <v>12944</v>
      </c>
      <c r="E5788" s="12">
        <v>96</v>
      </c>
      <c r="F5788" s="49">
        <v>15196</v>
      </c>
      <c r="G5788" s="77" t="s">
        <v>6454</v>
      </c>
      <c r="H5788" s="14" t="str">
        <f t="shared" si="207"/>
        <v>true</v>
      </c>
      <c r="I5788" s="14" t="s">
        <v>2458</v>
      </c>
      <c r="J5788" s="33" t="s">
        <v>7110</v>
      </c>
      <c r="K5788" s="33" t="s">
        <v>14006</v>
      </c>
      <c r="L5788" s="53" t="s">
        <v>6054</v>
      </c>
      <c r="M5788" s="68" t="s">
        <v>8913</v>
      </c>
      <c r="N5788" s="53" t="s">
        <v>9836</v>
      </c>
      <c r="O5788" s="53">
        <v>55112</v>
      </c>
      <c r="P5788" s="198" t="s">
        <v>12663</v>
      </c>
    </row>
    <row r="5789" spans="1:16" ht="18.75" hidden="1">
      <c r="A5789" s="50" t="s">
        <v>13918</v>
      </c>
      <c r="B5789" s="50" t="s">
        <v>13505</v>
      </c>
      <c r="C5789" s="50" t="s">
        <v>13464</v>
      </c>
      <c r="D5789" s="12" t="s">
        <v>12895</v>
      </c>
      <c r="E5789" s="12">
        <v>96</v>
      </c>
      <c r="F5789" s="49">
        <v>126964</v>
      </c>
      <c r="G5789" s="77" t="s">
        <v>6454</v>
      </c>
      <c r="H5789" s="14" t="str">
        <f t="shared" si="207"/>
        <v>true</v>
      </c>
      <c r="I5789" s="14" t="s">
        <v>2458</v>
      </c>
      <c r="J5789" s="33" t="s">
        <v>7110</v>
      </c>
      <c r="K5789" s="33" t="s">
        <v>14006</v>
      </c>
      <c r="L5789" s="53" t="s">
        <v>6054</v>
      </c>
      <c r="M5789" s="68" t="s">
        <v>8913</v>
      </c>
      <c r="N5789" s="53" t="s">
        <v>9836</v>
      </c>
      <c r="O5789" s="53">
        <v>55112</v>
      </c>
      <c r="P5789" s="198" t="s">
        <v>12663</v>
      </c>
    </row>
    <row r="5790" spans="1:16" ht="18.75" hidden="1">
      <c r="A5790" s="50" t="s">
        <v>13919</v>
      </c>
      <c r="B5790" s="50" t="s">
        <v>13351</v>
      </c>
      <c r="C5790" s="50" t="s">
        <v>13509</v>
      </c>
      <c r="D5790" s="12" t="s">
        <v>12898</v>
      </c>
      <c r="E5790" s="12">
        <v>96</v>
      </c>
      <c r="F5790" s="49">
        <v>17800</v>
      </c>
      <c r="G5790" s="77" t="s">
        <v>6298</v>
      </c>
      <c r="H5790" s="14" t="str">
        <f t="shared" si="207"/>
        <v>true</v>
      </c>
      <c r="I5790" s="14" t="s">
        <v>2458</v>
      </c>
      <c r="J5790" s="33" t="s">
        <v>7110</v>
      </c>
      <c r="K5790" s="33" t="s">
        <v>14006</v>
      </c>
      <c r="L5790" s="53" t="s">
        <v>6054</v>
      </c>
      <c r="M5790" s="68" t="s">
        <v>8913</v>
      </c>
      <c r="N5790" s="53" t="s">
        <v>9836</v>
      </c>
      <c r="O5790" s="53">
        <v>55112</v>
      </c>
      <c r="P5790" s="198" t="s">
        <v>12934</v>
      </c>
    </row>
    <row r="5791" spans="1:16" ht="18.75" hidden="1">
      <c r="A5791" s="50" t="s">
        <v>13919</v>
      </c>
      <c r="B5791" s="50" t="s">
        <v>13351</v>
      </c>
      <c r="C5791" s="50" t="s">
        <v>13487</v>
      </c>
      <c r="D5791" s="12" t="s">
        <v>12765</v>
      </c>
      <c r="E5791" s="12">
        <v>96</v>
      </c>
      <c r="F5791" s="49">
        <v>122340</v>
      </c>
      <c r="G5791" s="77" t="s">
        <v>6298</v>
      </c>
      <c r="H5791" s="14" t="str">
        <f t="shared" si="207"/>
        <v>true</v>
      </c>
      <c r="I5791" s="14" t="s">
        <v>2458</v>
      </c>
      <c r="J5791" s="33" t="s">
        <v>7110</v>
      </c>
      <c r="K5791" s="33" t="s">
        <v>14006</v>
      </c>
      <c r="L5791" s="53" t="s">
        <v>6054</v>
      </c>
      <c r="M5791" s="68" t="s">
        <v>8913</v>
      </c>
      <c r="N5791" s="53" t="s">
        <v>9836</v>
      </c>
      <c r="O5791" s="53">
        <v>55112</v>
      </c>
      <c r="P5791" s="198" t="s">
        <v>12668</v>
      </c>
    </row>
    <row r="5792" spans="1:16" ht="18.75" hidden="1">
      <c r="A5792" s="50" t="s">
        <v>13920</v>
      </c>
      <c r="B5792" s="50" t="s">
        <v>13184</v>
      </c>
      <c r="C5792" s="50" t="s">
        <v>13446</v>
      </c>
      <c r="D5792" s="12" t="s">
        <v>12928</v>
      </c>
      <c r="E5792" s="12">
        <v>96</v>
      </c>
      <c r="F5792" s="49">
        <v>28980</v>
      </c>
      <c r="G5792" s="77" t="s">
        <v>6453</v>
      </c>
      <c r="H5792" s="14" t="str">
        <f t="shared" si="207"/>
        <v>true</v>
      </c>
      <c r="I5792" s="14" t="s">
        <v>2458</v>
      </c>
      <c r="J5792" s="33" t="e">
        <f>VLOOKUP(C5792,شرکتها!A:B,2,FALSE)</f>
        <v>#N/A</v>
      </c>
      <c r="K5792" s="33" t="s">
        <v>14006</v>
      </c>
      <c r="L5792" s="53" t="s">
        <v>6054</v>
      </c>
      <c r="M5792" s="68" t="s">
        <v>8913</v>
      </c>
      <c r="N5792" s="53" t="s">
        <v>9836</v>
      </c>
      <c r="O5792" s="53">
        <v>55112</v>
      </c>
      <c r="P5792" s="198" t="s">
        <v>12929</v>
      </c>
    </row>
    <row r="5793" spans="1:16" ht="18.75" hidden="1">
      <c r="A5793" s="50" t="s">
        <v>13920</v>
      </c>
      <c r="B5793" s="50" t="s">
        <v>13184</v>
      </c>
      <c r="C5793" s="50" t="s">
        <v>13442</v>
      </c>
      <c r="D5793" s="12" t="s">
        <v>12898</v>
      </c>
      <c r="E5793" s="12">
        <v>96</v>
      </c>
      <c r="F5793" s="49">
        <v>122340</v>
      </c>
      <c r="G5793" s="77" t="s">
        <v>6454</v>
      </c>
      <c r="H5793" s="14" t="str">
        <f t="shared" si="207"/>
        <v>true</v>
      </c>
      <c r="I5793" s="14" t="s">
        <v>2458</v>
      </c>
      <c r="J5793" s="33" t="s">
        <v>7110</v>
      </c>
      <c r="K5793" s="33" t="s">
        <v>14006</v>
      </c>
      <c r="L5793" s="53" t="s">
        <v>6054</v>
      </c>
      <c r="M5793" s="68" t="s">
        <v>8913</v>
      </c>
      <c r="N5793" s="53" t="s">
        <v>9836</v>
      </c>
      <c r="O5793" s="53">
        <v>55112</v>
      </c>
      <c r="P5793" s="198" t="s">
        <v>12663</v>
      </c>
    </row>
    <row r="5794" spans="1:16" ht="18.75" hidden="1">
      <c r="A5794" s="50" t="s">
        <v>13921</v>
      </c>
      <c r="B5794" s="50" t="s">
        <v>13380</v>
      </c>
      <c r="C5794" s="50" t="s">
        <v>13437</v>
      </c>
      <c r="D5794" s="12" t="s">
        <v>13184</v>
      </c>
      <c r="E5794" s="12">
        <v>97</v>
      </c>
      <c r="F5794" s="49">
        <v>306200</v>
      </c>
      <c r="G5794" s="77" t="s">
        <v>13495</v>
      </c>
      <c r="H5794" s="14" t="str">
        <f t="shared" si="207"/>
        <v>true</v>
      </c>
      <c r="I5794" s="14" t="s">
        <v>2458</v>
      </c>
      <c r="J5794" s="33" t="s">
        <v>7110</v>
      </c>
      <c r="K5794" s="33" t="s">
        <v>14006</v>
      </c>
      <c r="L5794" s="53" t="s">
        <v>6054</v>
      </c>
      <c r="M5794" s="68" t="s">
        <v>8912</v>
      </c>
      <c r="N5794" s="53" t="s">
        <v>6285</v>
      </c>
      <c r="O5794" s="53">
        <v>55200</v>
      </c>
      <c r="P5794" s="198" t="s">
        <v>13069</v>
      </c>
    </row>
    <row r="5795" spans="1:16" ht="18.75" hidden="1">
      <c r="A5795" s="50" t="s">
        <v>13918</v>
      </c>
      <c r="B5795" s="50" t="s">
        <v>13505</v>
      </c>
      <c r="C5795" s="50" t="s">
        <v>13428</v>
      </c>
      <c r="D5795" s="12" t="s">
        <v>13184</v>
      </c>
      <c r="E5795" s="12">
        <v>97</v>
      </c>
      <c r="F5795" s="49">
        <v>49980</v>
      </c>
      <c r="G5795" s="77" t="s">
        <v>6453</v>
      </c>
      <c r="H5795" s="14" t="str">
        <f t="shared" si="207"/>
        <v>true</v>
      </c>
      <c r="I5795" s="14" t="s">
        <v>2458</v>
      </c>
      <c r="J5795" s="33" t="e">
        <f>VLOOKUP(C5795,شرکتها!A:B,2,FALSE)</f>
        <v>#N/A</v>
      </c>
      <c r="K5795" s="33" t="s">
        <v>14006</v>
      </c>
      <c r="L5795" s="53" t="s">
        <v>6054</v>
      </c>
      <c r="M5795" s="68" t="s">
        <v>8913</v>
      </c>
      <c r="N5795" s="53" t="s">
        <v>9836</v>
      </c>
      <c r="O5795" s="53">
        <v>55112</v>
      </c>
      <c r="P5795" s="198" t="s">
        <v>12929</v>
      </c>
    </row>
    <row r="5796" spans="1:16" ht="18.75" hidden="1">
      <c r="A5796" s="50" t="s">
        <v>13920</v>
      </c>
      <c r="B5796" s="50" t="s">
        <v>13184</v>
      </c>
      <c r="C5796" s="50" t="s">
        <v>13455</v>
      </c>
      <c r="D5796" s="12" t="s">
        <v>13002</v>
      </c>
      <c r="E5796" s="12">
        <v>96</v>
      </c>
      <c r="F5796" s="49">
        <v>43600</v>
      </c>
      <c r="G5796" s="77" t="s">
        <v>6453</v>
      </c>
      <c r="H5796" s="14" t="str">
        <f t="shared" si="207"/>
        <v>true</v>
      </c>
      <c r="I5796" s="14" t="s">
        <v>2458</v>
      </c>
      <c r="J5796" s="33" t="e">
        <f>VLOOKUP(C5796,شرکتها!A:B,2,FALSE)</f>
        <v>#N/A</v>
      </c>
      <c r="K5796" s="33" t="s">
        <v>14006</v>
      </c>
      <c r="L5796" s="53" t="s">
        <v>6054</v>
      </c>
      <c r="M5796" s="68" t="s">
        <v>8913</v>
      </c>
      <c r="N5796" s="53" t="s">
        <v>9836</v>
      </c>
      <c r="O5796" s="53">
        <v>55112</v>
      </c>
      <c r="P5796" s="198" t="s">
        <v>12929</v>
      </c>
    </row>
    <row r="5797" spans="1:16" ht="18.75" hidden="1">
      <c r="A5797" s="50" t="s">
        <v>13922</v>
      </c>
      <c r="B5797" s="50" t="s">
        <v>13639</v>
      </c>
      <c r="C5797" s="50" t="s">
        <v>13646</v>
      </c>
      <c r="D5797" s="12" t="s">
        <v>12928</v>
      </c>
      <c r="E5797" s="12">
        <v>96</v>
      </c>
      <c r="F5797" s="49">
        <v>23980</v>
      </c>
      <c r="G5797" s="77" t="s">
        <v>6298</v>
      </c>
      <c r="H5797" s="14" t="str">
        <f t="shared" si="207"/>
        <v>true</v>
      </c>
      <c r="I5797" s="14" t="s">
        <v>2458</v>
      </c>
      <c r="J5797" s="33" t="s">
        <v>7110</v>
      </c>
      <c r="K5797" s="33" t="s">
        <v>14006</v>
      </c>
      <c r="L5797" s="53" t="s">
        <v>6054</v>
      </c>
      <c r="M5797" s="68" t="s">
        <v>8912</v>
      </c>
      <c r="N5797" s="53" t="s">
        <v>9836</v>
      </c>
      <c r="O5797" s="53">
        <v>55112</v>
      </c>
      <c r="P5797" s="198" t="s">
        <v>12934</v>
      </c>
    </row>
    <row r="5798" spans="1:16" ht="18.75" hidden="1">
      <c r="A5798" s="50" t="s">
        <v>13923</v>
      </c>
      <c r="B5798" s="50" t="s">
        <v>13575</v>
      </c>
      <c r="C5798" s="50" t="s">
        <v>13719</v>
      </c>
      <c r="D5798" s="12" t="s">
        <v>13549</v>
      </c>
      <c r="E5798" s="12">
        <v>97</v>
      </c>
      <c r="F5798" s="49">
        <v>99250</v>
      </c>
      <c r="G5798" s="77" t="s">
        <v>13495</v>
      </c>
      <c r="H5798" s="14" t="str">
        <f t="shared" si="207"/>
        <v>true</v>
      </c>
      <c r="I5798" s="14" t="s">
        <v>2458</v>
      </c>
      <c r="J5798" s="33" t="s">
        <v>7110</v>
      </c>
      <c r="K5798" s="33" t="s">
        <v>14006</v>
      </c>
      <c r="L5798" s="53" t="s">
        <v>6054</v>
      </c>
      <c r="M5798" s="68" t="s">
        <v>8912</v>
      </c>
      <c r="N5798" s="53" t="s">
        <v>6285</v>
      </c>
      <c r="O5798" s="53">
        <v>55200</v>
      </c>
      <c r="P5798" s="198" t="s">
        <v>13625</v>
      </c>
    </row>
    <row r="5799" spans="1:16" ht="18.75" hidden="1">
      <c r="A5799" s="50" t="s">
        <v>13924</v>
      </c>
      <c r="B5799" s="50" t="s">
        <v>13590</v>
      </c>
      <c r="C5799" s="50" t="s">
        <v>13624</v>
      </c>
      <c r="D5799" s="12" t="s">
        <v>13563</v>
      </c>
      <c r="E5799" s="12">
        <v>97</v>
      </c>
      <c r="F5799" s="49">
        <v>95290</v>
      </c>
      <c r="G5799" s="77" t="s">
        <v>13495</v>
      </c>
      <c r="H5799" s="14" t="str">
        <f t="shared" si="207"/>
        <v>true</v>
      </c>
      <c r="I5799" s="14" t="s">
        <v>2458</v>
      </c>
      <c r="J5799" s="33" t="s">
        <v>7110</v>
      </c>
      <c r="K5799" s="33" t="s">
        <v>14006</v>
      </c>
      <c r="L5799" s="53" t="s">
        <v>6054</v>
      </c>
      <c r="M5799" s="68" t="s">
        <v>8912</v>
      </c>
      <c r="N5799" s="53" t="s">
        <v>6286</v>
      </c>
      <c r="O5799" s="53">
        <v>55107</v>
      </c>
      <c r="P5799" s="198" t="s">
        <v>13625</v>
      </c>
    </row>
    <row r="5800" spans="1:16" ht="18.75" hidden="1">
      <c r="A5800" s="50" t="s">
        <v>13925</v>
      </c>
      <c r="B5800" s="50" t="s">
        <v>13623</v>
      </c>
      <c r="C5800" s="50" t="s">
        <v>13644</v>
      </c>
      <c r="D5800" s="12" t="s">
        <v>13310</v>
      </c>
      <c r="E5800" s="12">
        <v>97</v>
      </c>
      <c r="F5800" s="49">
        <v>117880</v>
      </c>
      <c r="G5800" s="77" t="s">
        <v>6454</v>
      </c>
      <c r="H5800" s="14" t="str">
        <f t="shared" si="207"/>
        <v>true</v>
      </c>
      <c r="I5800" s="14" t="s">
        <v>2458</v>
      </c>
      <c r="J5800" s="33" t="s">
        <v>7110</v>
      </c>
      <c r="K5800" s="33" t="s">
        <v>14006</v>
      </c>
      <c r="L5800" s="53" t="s">
        <v>6054</v>
      </c>
      <c r="M5800" s="68" t="s">
        <v>8913</v>
      </c>
      <c r="N5800" s="53" t="s">
        <v>9836</v>
      </c>
      <c r="O5800" s="53">
        <v>55112</v>
      </c>
      <c r="P5800" s="198" t="s">
        <v>12669</v>
      </c>
    </row>
    <row r="5801" spans="1:16" ht="18.75" hidden="1">
      <c r="A5801" s="50" t="s">
        <v>13924</v>
      </c>
      <c r="B5801" s="50" t="s">
        <v>13590</v>
      </c>
      <c r="C5801" s="50" t="s">
        <v>13430</v>
      </c>
      <c r="D5801" s="12" t="s">
        <v>13266</v>
      </c>
      <c r="E5801" s="12">
        <v>97</v>
      </c>
      <c r="F5801" s="49">
        <v>92620</v>
      </c>
      <c r="G5801" s="77" t="s">
        <v>6300</v>
      </c>
      <c r="H5801" s="14" t="str">
        <f t="shared" si="207"/>
        <v>true</v>
      </c>
      <c r="I5801" s="14" t="s">
        <v>2458</v>
      </c>
      <c r="J5801" s="33" t="s">
        <v>7110</v>
      </c>
      <c r="K5801" s="33" t="s">
        <v>14006</v>
      </c>
      <c r="L5801" s="53" t="s">
        <v>6054</v>
      </c>
      <c r="M5801" s="68" t="s">
        <v>8912</v>
      </c>
      <c r="N5801" s="53" t="s">
        <v>6286</v>
      </c>
      <c r="O5801" s="53">
        <v>55107</v>
      </c>
      <c r="P5801" s="198" t="s">
        <v>12220</v>
      </c>
    </row>
    <row r="5802" spans="1:16" ht="18.75" hidden="1">
      <c r="A5802" s="50" t="s">
        <v>13926</v>
      </c>
      <c r="B5802" s="50" t="s">
        <v>13590</v>
      </c>
      <c r="C5802" s="50" t="s">
        <v>13624</v>
      </c>
      <c r="D5802" s="12" t="s">
        <v>13563</v>
      </c>
      <c r="E5802" s="12">
        <v>97</v>
      </c>
      <c r="F5802" s="49">
        <v>187380</v>
      </c>
      <c r="G5802" s="77" t="s">
        <v>13495</v>
      </c>
      <c r="H5802" s="14" t="str">
        <f t="shared" si="207"/>
        <v>true</v>
      </c>
      <c r="I5802" s="14" t="s">
        <v>2458</v>
      </c>
      <c r="J5802" s="33" t="s">
        <v>7110</v>
      </c>
      <c r="K5802" s="33" t="s">
        <v>14006</v>
      </c>
      <c r="L5802" s="53" t="s">
        <v>6054</v>
      </c>
      <c r="M5802" s="68" t="s">
        <v>8912</v>
      </c>
      <c r="N5802" s="53" t="s">
        <v>6285</v>
      </c>
      <c r="O5802" s="53">
        <v>55200</v>
      </c>
      <c r="P5802" s="198" t="s">
        <v>13625</v>
      </c>
    </row>
    <row r="5803" spans="1:16" ht="18.75" hidden="1">
      <c r="A5803" s="50" t="s">
        <v>13927</v>
      </c>
      <c r="B5803" s="50" t="s">
        <v>13590</v>
      </c>
      <c r="C5803" s="50" t="s">
        <v>13737</v>
      </c>
      <c r="D5803" s="12" t="s">
        <v>13672</v>
      </c>
      <c r="E5803" s="12">
        <v>97</v>
      </c>
      <c r="F5803" s="49">
        <v>111320</v>
      </c>
      <c r="G5803" s="77" t="s">
        <v>13714</v>
      </c>
      <c r="H5803" s="14" t="str">
        <f t="shared" si="207"/>
        <v>true</v>
      </c>
      <c r="I5803" s="14" t="s">
        <v>2458</v>
      </c>
      <c r="J5803" s="33" t="s">
        <v>7110</v>
      </c>
      <c r="K5803" s="33" t="s">
        <v>14006</v>
      </c>
      <c r="L5803" s="53" t="s">
        <v>6054</v>
      </c>
      <c r="M5803" s="68" t="s">
        <v>8913</v>
      </c>
      <c r="N5803" s="53" t="s">
        <v>9836</v>
      </c>
      <c r="O5803" s="53">
        <v>55112</v>
      </c>
      <c r="P5803" s="198" t="s">
        <v>13715</v>
      </c>
    </row>
    <row r="5804" spans="1:16" ht="18.75" hidden="1">
      <c r="A5804" s="50" t="s">
        <v>13926</v>
      </c>
      <c r="B5804" s="50" t="s">
        <v>13590</v>
      </c>
      <c r="C5804" s="50" t="s">
        <v>13719</v>
      </c>
      <c r="D5804" s="12" t="s">
        <v>13549</v>
      </c>
      <c r="E5804" s="12">
        <v>97</v>
      </c>
      <c r="F5804" s="49">
        <v>100240</v>
      </c>
      <c r="G5804" s="77" t="s">
        <v>13495</v>
      </c>
      <c r="H5804" s="14" t="str">
        <f t="shared" si="207"/>
        <v>true</v>
      </c>
      <c r="I5804" s="14" t="s">
        <v>2458</v>
      </c>
      <c r="J5804" s="33" t="s">
        <v>7110</v>
      </c>
      <c r="K5804" s="33" t="s">
        <v>14006</v>
      </c>
      <c r="L5804" s="53" t="s">
        <v>6054</v>
      </c>
      <c r="M5804" s="68" t="s">
        <v>8912</v>
      </c>
      <c r="N5804" s="53" t="s">
        <v>6285</v>
      </c>
      <c r="O5804" s="53">
        <v>55200</v>
      </c>
      <c r="P5804" s="198" t="s">
        <v>13625</v>
      </c>
    </row>
    <row r="5805" spans="1:16" ht="18.75" hidden="1">
      <c r="A5805" s="50" t="s">
        <v>13928</v>
      </c>
      <c r="B5805" s="50" t="s">
        <v>13385</v>
      </c>
      <c r="C5805" s="50" t="s">
        <v>13640</v>
      </c>
      <c r="D5805" s="12" t="s">
        <v>13186</v>
      </c>
      <c r="E5805" s="12">
        <v>96</v>
      </c>
      <c r="F5805" s="49">
        <v>93860</v>
      </c>
      <c r="G5805" s="77" t="s">
        <v>6298</v>
      </c>
      <c r="H5805" s="14" t="str">
        <f t="shared" si="207"/>
        <v>true</v>
      </c>
      <c r="I5805" s="14" t="s">
        <v>2458</v>
      </c>
      <c r="J5805" s="33" t="s">
        <v>7110</v>
      </c>
      <c r="K5805" s="33" t="s">
        <v>14006</v>
      </c>
      <c r="L5805" s="53" t="s">
        <v>6054</v>
      </c>
      <c r="M5805" s="68" t="s">
        <v>8912</v>
      </c>
      <c r="N5805" s="53" t="s">
        <v>6286</v>
      </c>
      <c r="O5805" s="53">
        <v>55107</v>
      </c>
      <c r="P5805" s="198" t="s">
        <v>12934</v>
      </c>
    </row>
    <row r="5806" spans="1:16" ht="18.75" hidden="1">
      <c r="A5806" s="50" t="s">
        <v>13929</v>
      </c>
      <c r="B5806" s="50" t="s">
        <v>13390</v>
      </c>
      <c r="C5806" s="50" t="s">
        <v>13430</v>
      </c>
      <c r="D5806" s="12" t="s">
        <v>13266</v>
      </c>
      <c r="E5806" s="12">
        <v>97</v>
      </c>
      <c r="F5806" s="49">
        <v>46380</v>
      </c>
      <c r="G5806" s="77" t="s">
        <v>6300</v>
      </c>
      <c r="H5806" s="14" t="str">
        <f t="shared" si="207"/>
        <v>true</v>
      </c>
      <c r="I5806" s="14" t="s">
        <v>2458</v>
      </c>
      <c r="J5806" s="33" t="s">
        <v>7110</v>
      </c>
      <c r="K5806" s="33" t="s">
        <v>14006</v>
      </c>
      <c r="L5806" s="53" t="s">
        <v>6054</v>
      </c>
      <c r="M5806" s="68" t="s">
        <v>8912</v>
      </c>
      <c r="N5806" s="53" t="s">
        <v>9836</v>
      </c>
      <c r="O5806" s="53">
        <v>55112</v>
      </c>
      <c r="P5806" s="198" t="s">
        <v>12220</v>
      </c>
    </row>
    <row r="5807" spans="1:16" ht="18.75" hidden="1">
      <c r="A5807" s="50" t="s">
        <v>13929</v>
      </c>
      <c r="B5807" s="50" t="s">
        <v>13390</v>
      </c>
      <c r="C5807" s="50" t="s">
        <v>13620</v>
      </c>
      <c r="D5807" s="12" t="s">
        <v>12893</v>
      </c>
      <c r="E5807" s="12">
        <v>96</v>
      </c>
      <c r="F5807" s="49">
        <v>44980</v>
      </c>
      <c r="G5807" s="77" t="s">
        <v>6298</v>
      </c>
      <c r="H5807" s="14" t="str">
        <f t="shared" si="207"/>
        <v>true</v>
      </c>
      <c r="I5807" s="14" t="s">
        <v>2458</v>
      </c>
      <c r="J5807" s="33" t="s">
        <v>7110</v>
      </c>
      <c r="K5807" s="33" t="s">
        <v>14006</v>
      </c>
      <c r="L5807" s="53" t="s">
        <v>6054</v>
      </c>
      <c r="M5807" s="68" t="s">
        <v>8912</v>
      </c>
      <c r="N5807" s="53" t="s">
        <v>9836</v>
      </c>
      <c r="O5807" s="53">
        <v>55112</v>
      </c>
      <c r="P5807" s="198" t="s">
        <v>12934</v>
      </c>
    </row>
    <row r="5808" spans="1:16" ht="18.75" hidden="1">
      <c r="A5808" s="50" t="s">
        <v>13929</v>
      </c>
      <c r="B5808" s="50" t="s">
        <v>13390</v>
      </c>
      <c r="C5808" s="50" t="s">
        <v>13629</v>
      </c>
      <c r="D5808" s="12" t="s">
        <v>13356</v>
      </c>
      <c r="E5808" s="12">
        <v>97</v>
      </c>
      <c r="F5808" s="49">
        <v>218200</v>
      </c>
      <c r="G5808" s="77" t="s">
        <v>13495</v>
      </c>
      <c r="H5808" s="14" t="str">
        <f t="shared" si="207"/>
        <v>true</v>
      </c>
      <c r="I5808" s="14" t="s">
        <v>2458</v>
      </c>
      <c r="J5808" s="33" t="s">
        <v>7110</v>
      </c>
      <c r="K5808" s="33" t="s">
        <v>14006</v>
      </c>
      <c r="L5808" s="53" t="s">
        <v>6054</v>
      </c>
      <c r="M5808" s="68" t="s">
        <v>8912</v>
      </c>
      <c r="N5808" s="53" t="s">
        <v>9836</v>
      </c>
      <c r="O5808" s="53">
        <v>55112</v>
      </c>
      <c r="P5808" s="198" t="s">
        <v>13625</v>
      </c>
    </row>
    <row r="5809" spans="1:16" ht="18.75" hidden="1">
      <c r="A5809" s="50" t="s">
        <v>13929</v>
      </c>
      <c r="B5809" s="50" t="s">
        <v>13390</v>
      </c>
      <c r="C5809" s="50" t="s">
        <v>13649</v>
      </c>
      <c r="D5809" s="12" t="s">
        <v>13273</v>
      </c>
      <c r="E5809" s="12">
        <v>97</v>
      </c>
      <c r="F5809" s="49">
        <v>40440</v>
      </c>
      <c r="G5809" s="77" t="s">
        <v>13495</v>
      </c>
      <c r="H5809" s="14" t="str">
        <f t="shared" si="207"/>
        <v>true</v>
      </c>
      <c r="I5809" s="14" t="s">
        <v>2458</v>
      </c>
      <c r="J5809" s="33" t="s">
        <v>7110</v>
      </c>
      <c r="K5809" s="33" t="s">
        <v>14006</v>
      </c>
      <c r="L5809" s="53" t="s">
        <v>6054</v>
      </c>
      <c r="M5809" s="68" t="s">
        <v>8912</v>
      </c>
      <c r="N5809" s="53" t="s">
        <v>9836</v>
      </c>
      <c r="O5809" s="53">
        <v>55112</v>
      </c>
      <c r="P5809" s="198" t="s">
        <v>13625</v>
      </c>
    </row>
    <row r="5810" spans="1:16" ht="18.75" hidden="1">
      <c r="A5810" s="50" t="s">
        <v>13930</v>
      </c>
      <c r="B5810" s="50" t="s">
        <v>13422</v>
      </c>
      <c r="C5810" s="50" t="s">
        <v>13663</v>
      </c>
      <c r="D5810" s="12" t="s">
        <v>13549</v>
      </c>
      <c r="E5810" s="12">
        <v>97</v>
      </c>
      <c r="F5810" s="49">
        <v>52000</v>
      </c>
      <c r="G5810" s="77" t="s">
        <v>11829</v>
      </c>
      <c r="H5810" s="14" t="str">
        <f t="shared" si="207"/>
        <v>true</v>
      </c>
      <c r="I5810" s="14" t="s">
        <v>2458</v>
      </c>
      <c r="J5810" s="33" t="s">
        <v>7110</v>
      </c>
      <c r="K5810" s="33" t="s">
        <v>14006</v>
      </c>
      <c r="L5810" s="53" t="s">
        <v>6054</v>
      </c>
      <c r="M5810" s="68" t="s">
        <v>8912</v>
      </c>
      <c r="N5810" s="53" t="s">
        <v>9836</v>
      </c>
      <c r="O5810" s="53">
        <v>55112</v>
      </c>
      <c r="P5810" s="198" t="s">
        <v>13664</v>
      </c>
    </row>
    <row r="5811" spans="1:16" ht="18.75" hidden="1">
      <c r="A5811" s="50" t="s">
        <v>13931</v>
      </c>
      <c r="B5811" s="50" t="s">
        <v>13400</v>
      </c>
      <c r="C5811" s="50" t="s">
        <v>13676</v>
      </c>
      <c r="D5811" s="12" t="s">
        <v>12893</v>
      </c>
      <c r="E5811" s="12">
        <v>96</v>
      </c>
      <c r="F5811" s="49">
        <v>95320</v>
      </c>
      <c r="G5811" s="77" t="s">
        <v>6298</v>
      </c>
      <c r="H5811" s="14" t="str">
        <f t="shared" si="207"/>
        <v>true</v>
      </c>
      <c r="I5811" s="14" t="s">
        <v>2458</v>
      </c>
      <c r="J5811" s="33" t="s">
        <v>7110</v>
      </c>
      <c r="K5811" s="33" t="s">
        <v>14006</v>
      </c>
      <c r="L5811" s="53" t="s">
        <v>6054</v>
      </c>
      <c r="M5811" s="68" t="s">
        <v>8912</v>
      </c>
      <c r="N5811" s="53" t="s">
        <v>9836</v>
      </c>
      <c r="O5811" s="53">
        <v>55112</v>
      </c>
      <c r="P5811" s="198" t="s">
        <v>12934</v>
      </c>
    </row>
    <row r="5812" spans="1:16" ht="18.75" hidden="1">
      <c r="A5812" s="50" t="s">
        <v>13930</v>
      </c>
      <c r="B5812" s="50" t="s">
        <v>13422</v>
      </c>
      <c r="C5812" s="50" t="s">
        <v>13624</v>
      </c>
      <c r="D5812" s="12" t="s">
        <v>13563</v>
      </c>
      <c r="E5812" s="12">
        <v>97</v>
      </c>
      <c r="F5812" s="49">
        <v>42900</v>
      </c>
      <c r="G5812" s="77" t="s">
        <v>13495</v>
      </c>
      <c r="H5812" s="14" t="str">
        <f t="shared" si="207"/>
        <v>true</v>
      </c>
      <c r="I5812" s="14" t="s">
        <v>2458</v>
      </c>
      <c r="J5812" s="33" t="s">
        <v>7110</v>
      </c>
      <c r="K5812" s="33" t="s">
        <v>14006</v>
      </c>
      <c r="L5812" s="53" t="s">
        <v>6054</v>
      </c>
      <c r="M5812" s="68" t="s">
        <v>8912</v>
      </c>
      <c r="N5812" s="53" t="s">
        <v>9836</v>
      </c>
      <c r="O5812" s="53">
        <v>55112</v>
      </c>
      <c r="P5812" s="198" t="s">
        <v>13625</v>
      </c>
    </row>
    <row r="5813" spans="1:16" ht="18.75" hidden="1">
      <c r="A5813" s="50" t="s">
        <v>13932</v>
      </c>
      <c r="B5813" s="50" t="s">
        <v>13575</v>
      </c>
      <c r="C5813" s="50" t="s">
        <v>13663</v>
      </c>
      <c r="D5813" s="12" t="s">
        <v>13549</v>
      </c>
      <c r="E5813" s="12">
        <v>97</v>
      </c>
      <c r="F5813" s="49">
        <v>167480</v>
      </c>
      <c r="G5813" s="77" t="s">
        <v>11829</v>
      </c>
      <c r="H5813" s="14" t="str">
        <f t="shared" si="207"/>
        <v>true</v>
      </c>
      <c r="I5813" s="14" t="s">
        <v>2458</v>
      </c>
      <c r="J5813" s="33" t="s">
        <v>7110</v>
      </c>
      <c r="K5813" s="33" t="s">
        <v>14006</v>
      </c>
      <c r="L5813" s="53" t="s">
        <v>6054</v>
      </c>
      <c r="M5813" s="68" t="s">
        <v>8913</v>
      </c>
      <c r="N5813" s="53" t="s">
        <v>6285</v>
      </c>
      <c r="O5813" s="53">
        <v>55200</v>
      </c>
      <c r="P5813" s="198" t="s">
        <v>13664</v>
      </c>
    </row>
    <row r="5814" spans="1:16" ht="18.75" hidden="1">
      <c r="A5814" s="50" t="s">
        <v>13933</v>
      </c>
      <c r="B5814" s="50" t="s">
        <v>13575</v>
      </c>
      <c r="C5814" s="50" t="s">
        <v>13663</v>
      </c>
      <c r="D5814" s="12" t="s">
        <v>13549</v>
      </c>
      <c r="E5814" s="12">
        <v>97</v>
      </c>
      <c r="F5814" s="49">
        <v>46280</v>
      </c>
      <c r="G5814" s="77" t="s">
        <v>11829</v>
      </c>
      <c r="H5814" s="14" t="str">
        <f t="shared" si="207"/>
        <v>true</v>
      </c>
      <c r="I5814" s="14" t="s">
        <v>2458</v>
      </c>
      <c r="J5814" s="33" t="s">
        <v>7110</v>
      </c>
      <c r="K5814" s="33" t="s">
        <v>14006</v>
      </c>
      <c r="L5814" s="53" t="s">
        <v>6054</v>
      </c>
      <c r="M5814" s="68" t="s">
        <v>8912</v>
      </c>
      <c r="N5814" s="53" t="s">
        <v>6286</v>
      </c>
      <c r="O5814" s="53">
        <v>55107</v>
      </c>
      <c r="P5814" s="198" t="s">
        <v>13664</v>
      </c>
    </row>
    <row r="5815" spans="1:16" ht="18.75" hidden="1">
      <c r="A5815" s="50" t="s">
        <v>13934</v>
      </c>
      <c r="B5815" s="50" t="s">
        <v>13385</v>
      </c>
      <c r="C5815" s="50" t="s">
        <v>13510</v>
      </c>
      <c r="D5815" s="12" t="s">
        <v>13266</v>
      </c>
      <c r="E5815" s="12">
        <v>97</v>
      </c>
      <c r="F5815" s="49">
        <v>66680</v>
      </c>
      <c r="G5815" s="77" t="s">
        <v>6300</v>
      </c>
      <c r="H5815" s="14" t="str">
        <f t="shared" si="207"/>
        <v>true</v>
      </c>
      <c r="I5815" s="14" t="s">
        <v>2458</v>
      </c>
      <c r="J5815" s="33" t="s">
        <v>7110</v>
      </c>
      <c r="K5815" s="33" t="s">
        <v>14006</v>
      </c>
      <c r="L5815" s="53" t="s">
        <v>6054</v>
      </c>
      <c r="M5815" s="68" t="s">
        <v>8912</v>
      </c>
      <c r="N5815" s="53" t="s">
        <v>6076</v>
      </c>
      <c r="O5815" s="53">
        <v>55301</v>
      </c>
      <c r="P5815" s="198" t="s">
        <v>9785</v>
      </c>
    </row>
    <row r="5816" spans="1:16" ht="18.75" hidden="1">
      <c r="A5816" s="50" t="s">
        <v>13934</v>
      </c>
      <c r="B5816" s="50" t="s">
        <v>13385</v>
      </c>
      <c r="C5816" s="50" t="s">
        <v>13629</v>
      </c>
      <c r="D5816" s="12" t="s">
        <v>13356</v>
      </c>
      <c r="E5816" s="12">
        <v>97</v>
      </c>
      <c r="F5816" s="49">
        <v>206870</v>
      </c>
      <c r="G5816" s="77" t="s">
        <v>13495</v>
      </c>
      <c r="H5816" s="14" t="str">
        <f t="shared" si="207"/>
        <v>true</v>
      </c>
      <c r="I5816" s="14" t="s">
        <v>2458</v>
      </c>
      <c r="J5816" s="33" t="s">
        <v>7110</v>
      </c>
      <c r="K5816" s="33" t="s">
        <v>14006</v>
      </c>
      <c r="L5816" s="53" t="s">
        <v>6054</v>
      </c>
      <c r="M5816" s="68" t="s">
        <v>8912</v>
      </c>
      <c r="N5816" s="53" t="s">
        <v>6076</v>
      </c>
      <c r="O5816" s="53">
        <v>55301</v>
      </c>
      <c r="P5816" s="198" t="s">
        <v>13625</v>
      </c>
    </row>
    <row r="5817" spans="1:16" ht="18.75" hidden="1">
      <c r="A5817" s="50" t="s">
        <v>13935</v>
      </c>
      <c r="B5817" s="50" t="s">
        <v>13672</v>
      </c>
      <c r="C5817" s="50" t="s">
        <v>13727</v>
      </c>
      <c r="D5817" s="12" t="s">
        <v>13475</v>
      </c>
      <c r="E5817" s="12">
        <v>97</v>
      </c>
      <c r="F5817" s="49">
        <v>183810</v>
      </c>
      <c r="G5817" s="77" t="s">
        <v>13495</v>
      </c>
      <c r="H5817" s="14" t="str">
        <f t="shared" si="207"/>
        <v>true</v>
      </c>
      <c r="I5817" s="14" t="s">
        <v>2458</v>
      </c>
      <c r="J5817" s="33" t="s">
        <v>7110</v>
      </c>
      <c r="K5817" s="33" t="s">
        <v>14006</v>
      </c>
      <c r="L5817" s="53" t="s">
        <v>6054</v>
      </c>
      <c r="M5817" s="68" t="s">
        <v>8912</v>
      </c>
      <c r="N5817" s="53" t="s">
        <v>9836</v>
      </c>
      <c r="O5817" s="53">
        <v>55112</v>
      </c>
      <c r="P5817" s="198" t="s">
        <v>13625</v>
      </c>
    </row>
    <row r="5818" spans="1:16" ht="18.75" hidden="1">
      <c r="A5818" s="50" t="s">
        <v>13936</v>
      </c>
      <c r="B5818" s="50" t="s">
        <v>13563</v>
      </c>
      <c r="C5818" s="50" t="s">
        <v>13727</v>
      </c>
      <c r="D5818" s="12" t="s">
        <v>13475</v>
      </c>
      <c r="E5818" s="12">
        <v>97</v>
      </c>
      <c r="F5818" s="49">
        <v>88300</v>
      </c>
      <c r="G5818" s="77" t="s">
        <v>13495</v>
      </c>
      <c r="H5818" s="14" t="str">
        <f t="shared" si="207"/>
        <v>true</v>
      </c>
      <c r="I5818" s="14" t="s">
        <v>2458</v>
      </c>
      <c r="J5818" s="33" t="s">
        <v>7110</v>
      </c>
      <c r="K5818" s="33" t="s">
        <v>14006</v>
      </c>
      <c r="L5818" s="53" t="s">
        <v>6054</v>
      </c>
      <c r="M5818" s="68" t="s">
        <v>8912</v>
      </c>
      <c r="N5818" s="53" t="s">
        <v>6286</v>
      </c>
      <c r="O5818" s="53">
        <v>55107</v>
      </c>
      <c r="P5818" s="198" t="s">
        <v>13625</v>
      </c>
    </row>
    <row r="5819" spans="1:16" ht="18.75" hidden="1">
      <c r="A5819" s="50" t="s">
        <v>13922</v>
      </c>
      <c r="B5819" s="50" t="s">
        <v>13639</v>
      </c>
      <c r="C5819" s="50" t="s">
        <v>13713</v>
      </c>
      <c r="D5819" s="12" t="s">
        <v>13385</v>
      </c>
      <c r="E5819" s="12">
        <v>97</v>
      </c>
      <c r="F5819" s="49">
        <v>97220</v>
      </c>
      <c r="G5819" s="77" t="s">
        <v>13714</v>
      </c>
      <c r="H5819" s="14" t="str">
        <f t="shared" si="207"/>
        <v>true</v>
      </c>
      <c r="I5819" s="14" t="s">
        <v>2458</v>
      </c>
      <c r="J5819" s="33" t="s">
        <v>7110</v>
      </c>
      <c r="K5819" s="33" t="s">
        <v>14006</v>
      </c>
      <c r="L5819" s="53" t="s">
        <v>6054</v>
      </c>
      <c r="M5819" s="68" t="s">
        <v>8912</v>
      </c>
      <c r="N5819" s="53" t="s">
        <v>9836</v>
      </c>
      <c r="O5819" s="53">
        <v>55112</v>
      </c>
      <c r="P5819" s="198" t="s">
        <v>13715</v>
      </c>
    </row>
    <row r="5820" spans="1:16" ht="18.75" hidden="1">
      <c r="A5820" s="50" t="s">
        <v>13936</v>
      </c>
      <c r="B5820" s="50" t="s">
        <v>13563</v>
      </c>
      <c r="C5820" s="50" t="s">
        <v>13649</v>
      </c>
      <c r="D5820" s="12" t="s">
        <v>13273</v>
      </c>
      <c r="E5820" s="12">
        <v>97</v>
      </c>
      <c r="F5820" s="49">
        <v>45330</v>
      </c>
      <c r="G5820" s="77" t="s">
        <v>13495</v>
      </c>
      <c r="H5820" s="14" t="str">
        <f t="shared" si="207"/>
        <v>true</v>
      </c>
      <c r="I5820" s="14" t="s">
        <v>2458</v>
      </c>
      <c r="J5820" s="33" t="s">
        <v>7110</v>
      </c>
      <c r="K5820" s="33" t="s">
        <v>14006</v>
      </c>
      <c r="L5820" s="53" t="s">
        <v>6054</v>
      </c>
      <c r="M5820" s="68" t="s">
        <v>8912</v>
      </c>
      <c r="N5820" s="53" t="s">
        <v>6286</v>
      </c>
      <c r="O5820" s="53">
        <v>55107</v>
      </c>
      <c r="P5820" s="198" t="s">
        <v>13625</v>
      </c>
    </row>
    <row r="5821" spans="1:16" ht="18.75" hidden="1">
      <c r="A5821" s="50" t="s">
        <v>13936</v>
      </c>
      <c r="B5821" s="50" t="s">
        <v>13563</v>
      </c>
      <c r="C5821" s="50" t="s">
        <v>13614</v>
      </c>
      <c r="D5821" s="12" t="s">
        <v>13266</v>
      </c>
      <c r="E5821" s="12">
        <v>97</v>
      </c>
      <c r="F5821" s="49">
        <v>37780</v>
      </c>
      <c r="G5821" s="77" t="s">
        <v>6454</v>
      </c>
      <c r="H5821" s="14" t="str">
        <f t="shared" si="207"/>
        <v>true</v>
      </c>
      <c r="I5821" s="14" t="s">
        <v>2458</v>
      </c>
      <c r="J5821" s="33" t="s">
        <v>7110</v>
      </c>
      <c r="K5821" s="33" t="s">
        <v>14006</v>
      </c>
      <c r="L5821" s="53" t="s">
        <v>6054</v>
      </c>
      <c r="M5821" s="68" t="s">
        <v>8912</v>
      </c>
      <c r="N5821" s="53" t="s">
        <v>6286</v>
      </c>
      <c r="O5821" s="53">
        <v>55107</v>
      </c>
      <c r="P5821" s="198" t="s">
        <v>12669</v>
      </c>
    </row>
    <row r="5822" spans="1:16" ht="18.75" hidden="1">
      <c r="A5822" s="50" t="s">
        <v>13937</v>
      </c>
      <c r="B5822" s="50" t="s">
        <v>13787</v>
      </c>
      <c r="C5822" s="50" t="s">
        <v>13803</v>
      </c>
      <c r="D5822" s="12" t="s">
        <v>13318</v>
      </c>
      <c r="E5822" s="12">
        <v>97</v>
      </c>
      <c r="F5822" s="49">
        <v>71770</v>
      </c>
      <c r="G5822" s="77" t="s">
        <v>6454</v>
      </c>
      <c r="H5822" s="14" t="str">
        <f t="shared" si="207"/>
        <v>true</v>
      </c>
      <c r="I5822" s="14" t="s">
        <v>2458</v>
      </c>
      <c r="J5822" s="33" t="s">
        <v>7110</v>
      </c>
      <c r="K5822" s="33" t="s">
        <v>14006</v>
      </c>
      <c r="L5822" s="53" t="s">
        <v>6054</v>
      </c>
      <c r="M5822" s="68" t="s">
        <v>8912</v>
      </c>
      <c r="N5822" s="53" t="s">
        <v>6285</v>
      </c>
      <c r="O5822" s="53">
        <v>55200</v>
      </c>
      <c r="P5822" s="198" t="s">
        <v>12669</v>
      </c>
    </row>
    <row r="5823" spans="1:16" ht="18.75" hidden="1">
      <c r="A5823" s="54" t="s">
        <v>13937</v>
      </c>
      <c r="B5823" s="54" t="s">
        <v>13787</v>
      </c>
      <c r="C5823" s="54" t="s">
        <v>13805</v>
      </c>
      <c r="D5823" s="55" t="s">
        <v>9934</v>
      </c>
      <c r="E5823" s="55">
        <v>96</v>
      </c>
      <c r="F5823" s="56">
        <f>45590-13540</f>
        <v>32050</v>
      </c>
      <c r="G5823" s="186" t="s">
        <v>6299</v>
      </c>
      <c r="H5823" s="57" t="str">
        <f t="shared" si="207"/>
        <v>true</v>
      </c>
      <c r="I5823" s="57" t="s">
        <v>2458</v>
      </c>
      <c r="J5823" s="57" t="s">
        <v>7110</v>
      </c>
      <c r="K5823" s="187" t="s">
        <v>14006</v>
      </c>
      <c r="L5823" s="188" t="s">
        <v>6054</v>
      </c>
      <c r="M5823" s="189" t="s">
        <v>8912</v>
      </c>
      <c r="N5823" s="188" t="s">
        <v>6285</v>
      </c>
      <c r="O5823" s="188">
        <v>55200</v>
      </c>
      <c r="P5823" s="200" t="s">
        <v>9913</v>
      </c>
    </row>
    <row r="5824" spans="1:16" ht="18.75" hidden="1">
      <c r="A5824" s="50" t="s">
        <v>13937</v>
      </c>
      <c r="B5824" s="50" t="s">
        <v>13787</v>
      </c>
      <c r="C5824" s="50" t="s">
        <v>13805</v>
      </c>
      <c r="D5824" s="12" t="s">
        <v>9934</v>
      </c>
      <c r="E5824" s="12">
        <v>96</v>
      </c>
      <c r="F5824" s="49">
        <v>13540</v>
      </c>
      <c r="G5824" s="77" t="s">
        <v>6299</v>
      </c>
      <c r="H5824" s="14" t="str">
        <f t="shared" ref="H5824" si="208">IF(I5824="نامشخص",IF(E5824&gt;C5824,"false","true"),IF(E5824&gt;I5824,"false","true"))</f>
        <v>true</v>
      </c>
      <c r="I5824" s="14" t="s">
        <v>2458</v>
      </c>
      <c r="J5824" s="33" t="s">
        <v>7110</v>
      </c>
      <c r="K5824" s="33" t="s">
        <v>14006</v>
      </c>
      <c r="L5824" s="53" t="s">
        <v>6054</v>
      </c>
      <c r="M5824" s="68" t="s">
        <v>8912</v>
      </c>
      <c r="N5824" s="53" t="s">
        <v>6285</v>
      </c>
      <c r="O5824" s="53">
        <v>55200</v>
      </c>
      <c r="P5824" s="198" t="s">
        <v>9913</v>
      </c>
    </row>
    <row r="5825" spans="1:16" ht="18.75" hidden="1">
      <c r="A5825" s="50" t="s">
        <v>13937</v>
      </c>
      <c r="B5825" s="50" t="s">
        <v>13787</v>
      </c>
      <c r="C5825" s="50" t="s">
        <v>13719</v>
      </c>
      <c r="D5825" s="12" t="s">
        <v>13549</v>
      </c>
      <c r="E5825" s="12">
        <v>97</v>
      </c>
      <c r="F5825" s="49">
        <v>50000</v>
      </c>
      <c r="G5825" s="77" t="s">
        <v>13495</v>
      </c>
      <c r="H5825" s="14" t="str">
        <f t="shared" si="207"/>
        <v>true</v>
      </c>
      <c r="I5825" s="14" t="s">
        <v>2458</v>
      </c>
      <c r="J5825" s="33" t="s">
        <v>7110</v>
      </c>
      <c r="K5825" s="33" t="s">
        <v>14006</v>
      </c>
      <c r="L5825" s="53" t="s">
        <v>6054</v>
      </c>
      <c r="M5825" s="68" t="s">
        <v>8912</v>
      </c>
      <c r="N5825" s="53" t="s">
        <v>6285</v>
      </c>
      <c r="O5825" s="53">
        <v>55200</v>
      </c>
      <c r="P5825" s="198" t="s">
        <v>13625</v>
      </c>
    </row>
    <row r="5826" spans="1:16" ht="18.75" hidden="1">
      <c r="A5826" s="50" t="s">
        <v>13938</v>
      </c>
      <c r="B5826" s="50" t="s">
        <v>13815</v>
      </c>
      <c r="C5826" s="50" t="s">
        <v>13838</v>
      </c>
      <c r="D5826" s="12" t="s">
        <v>13385</v>
      </c>
      <c r="E5826" s="12">
        <v>97</v>
      </c>
      <c r="F5826" s="49">
        <v>47430</v>
      </c>
      <c r="G5826" s="77" t="s">
        <v>6298</v>
      </c>
      <c r="H5826" s="14" t="str">
        <f t="shared" si="207"/>
        <v>true</v>
      </c>
      <c r="I5826" s="14" t="s">
        <v>2458</v>
      </c>
      <c r="J5826" s="33" t="s">
        <v>7110</v>
      </c>
      <c r="K5826" s="33" t="s">
        <v>14006</v>
      </c>
      <c r="L5826" s="53" t="s">
        <v>6054</v>
      </c>
      <c r="M5826" s="68" t="s">
        <v>8912</v>
      </c>
      <c r="N5826" s="53" t="s">
        <v>9836</v>
      </c>
      <c r="O5826" s="53">
        <v>55112</v>
      </c>
      <c r="P5826" s="198" t="s">
        <v>12934</v>
      </c>
    </row>
    <row r="5827" spans="1:16" ht="18.75" hidden="1">
      <c r="A5827" s="50" t="s">
        <v>13939</v>
      </c>
      <c r="B5827" s="50" t="s">
        <v>13613</v>
      </c>
      <c r="C5827" s="50" t="s">
        <v>13854</v>
      </c>
      <c r="D5827" s="12" t="s">
        <v>13759</v>
      </c>
      <c r="E5827" s="12">
        <v>97</v>
      </c>
      <c r="F5827" s="49">
        <v>118670</v>
      </c>
      <c r="G5827" s="77" t="s">
        <v>13495</v>
      </c>
      <c r="H5827" s="14" t="str">
        <f t="shared" si="207"/>
        <v>true</v>
      </c>
      <c r="I5827" s="14" t="s">
        <v>2458</v>
      </c>
      <c r="J5827" s="33" t="s">
        <v>7110</v>
      </c>
      <c r="K5827" s="33" t="s">
        <v>14006</v>
      </c>
      <c r="L5827" s="53" t="s">
        <v>6054</v>
      </c>
      <c r="M5827" s="68" t="s">
        <v>8912</v>
      </c>
      <c r="N5827" s="53" t="s">
        <v>6285</v>
      </c>
      <c r="O5827" s="53">
        <v>55200</v>
      </c>
      <c r="P5827" s="198" t="s">
        <v>13625</v>
      </c>
    </row>
    <row r="5828" spans="1:16" ht="18.75" hidden="1">
      <c r="A5828" s="50" t="s">
        <v>13940</v>
      </c>
      <c r="B5828" s="50" t="s">
        <v>13815</v>
      </c>
      <c r="C5828" s="50" t="s">
        <v>13854</v>
      </c>
      <c r="D5828" s="12" t="s">
        <v>13759</v>
      </c>
      <c r="E5828" s="12">
        <v>97</v>
      </c>
      <c r="F5828" s="49">
        <v>2540</v>
      </c>
      <c r="G5828" s="77" t="s">
        <v>13495</v>
      </c>
      <c r="H5828" s="14" t="str">
        <f t="shared" si="207"/>
        <v>true</v>
      </c>
      <c r="I5828" s="14" t="s">
        <v>2458</v>
      </c>
      <c r="J5828" s="33" t="s">
        <v>7110</v>
      </c>
      <c r="K5828" s="33" t="s">
        <v>14006</v>
      </c>
      <c r="L5828" s="53" t="s">
        <v>6054</v>
      </c>
      <c r="M5828" s="68" t="s">
        <v>8912</v>
      </c>
      <c r="N5828" s="53" t="s">
        <v>6285</v>
      </c>
      <c r="O5828" s="53">
        <v>55200</v>
      </c>
      <c r="P5828" s="198" t="s">
        <v>13625</v>
      </c>
    </row>
    <row r="5829" spans="1:16" ht="18.75" hidden="1">
      <c r="A5829" s="50" t="s">
        <v>13940</v>
      </c>
      <c r="B5829" s="50" t="s">
        <v>13815</v>
      </c>
      <c r="C5829" s="50" t="s">
        <v>13719</v>
      </c>
      <c r="D5829" s="12" t="s">
        <v>13549</v>
      </c>
      <c r="E5829" s="12">
        <v>97</v>
      </c>
      <c r="F5829" s="49">
        <v>216260</v>
      </c>
      <c r="G5829" s="77" t="s">
        <v>13495</v>
      </c>
      <c r="H5829" s="14" t="str">
        <f t="shared" si="207"/>
        <v>true</v>
      </c>
      <c r="I5829" s="14" t="s">
        <v>2458</v>
      </c>
      <c r="J5829" s="33" t="s">
        <v>7110</v>
      </c>
      <c r="K5829" s="33" t="s">
        <v>14006</v>
      </c>
      <c r="L5829" s="53" t="s">
        <v>6054</v>
      </c>
      <c r="M5829" s="68" t="s">
        <v>8912</v>
      </c>
      <c r="N5829" s="53" t="s">
        <v>6285</v>
      </c>
      <c r="O5829" s="53">
        <v>55200</v>
      </c>
      <c r="P5829" s="198" t="s">
        <v>13625</v>
      </c>
    </row>
    <row r="5830" spans="1:16" ht="18.75" hidden="1">
      <c r="A5830" s="50" t="s">
        <v>13941</v>
      </c>
      <c r="B5830" s="50" t="s">
        <v>13827</v>
      </c>
      <c r="C5830" s="50" t="s">
        <v>13798</v>
      </c>
      <c r="D5830" s="12" t="s">
        <v>13549</v>
      </c>
      <c r="E5830" s="12">
        <v>97</v>
      </c>
      <c r="F5830" s="49">
        <v>18480</v>
      </c>
      <c r="G5830" s="77" t="s">
        <v>13714</v>
      </c>
      <c r="H5830" s="14" t="str">
        <f t="shared" si="207"/>
        <v>true</v>
      </c>
      <c r="I5830" s="14" t="s">
        <v>2458</v>
      </c>
      <c r="J5830" s="33" t="s">
        <v>7110</v>
      </c>
      <c r="K5830" s="33" t="s">
        <v>14006</v>
      </c>
      <c r="L5830" s="53" t="s">
        <v>6054</v>
      </c>
      <c r="M5830" s="68" t="s">
        <v>8913</v>
      </c>
      <c r="N5830" s="53" t="s">
        <v>6076</v>
      </c>
      <c r="O5830" s="53">
        <v>55301</v>
      </c>
      <c r="P5830" s="198" t="s">
        <v>13715</v>
      </c>
    </row>
    <row r="5831" spans="1:16" ht="18.75" hidden="1">
      <c r="A5831" s="50" t="s">
        <v>13942</v>
      </c>
      <c r="B5831" s="50" t="s">
        <v>13851</v>
      </c>
      <c r="C5831" s="50" t="s">
        <v>13797</v>
      </c>
      <c r="D5831" s="12" t="s">
        <v>13639</v>
      </c>
      <c r="E5831" s="12">
        <v>97</v>
      </c>
      <c r="F5831" s="49">
        <v>123190</v>
      </c>
      <c r="G5831" s="77" t="s">
        <v>13495</v>
      </c>
      <c r="H5831" s="14" t="str">
        <f t="shared" si="207"/>
        <v>true</v>
      </c>
      <c r="I5831" s="14" t="s">
        <v>2458</v>
      </c>
      <c r="J5831" s="33" t="s">
        <v>7110</v>
      </c>
      <c r="K5831" s="33" t="s">
        <v>14006</v>
      </c>
      <c r="L5831" s="53" t="s">
        <v>6054</v>
      </c>
      <c r="M5831" s="68" t="s">
        <v>8912</v>
      </c>
      <c r="N5831" s="53" t="s">
        <v>6285</v>
      </c>
      <c r="O5831" s="53">
        <v>55200</v>
      </c>
      <c r="P5831" s="198" t="s">
        <v>13625</v>
      </c>
    </row>
    <row r="5832" spans="1:16" ht="18.75" hidden="1">
      <c r="A5832" s="50" t="s">
        <v>13943</v>
      </c>
      <c r="B5832" s="50" t="s">
        <v>13613</v>
      </c>
      <c r="C5832" s="50" t="s">
        <v>13618</v>
      </c>
      <c r="D5832" s="12" t="s">
        <v>13549</v>
      </c>
      <c r="E5832" s="12">
        <v>97</v>
      </c>
      <c r="F5832" s="49">
        <v>50000</v>
      </c>
      <c r="G5832" s="77" t="s">
        <v>6453</v>
      </c>
      <c r="H5832" s="14" t="str">
        <f t="shared" si="207"/>
        <v>true</v>
      </c>
      <c r="I5832" s="14" t="s">
        <v>2458</v>
      </c>
      <c r="J5832" s="33" t="e">
        <f>VLOOKUP(C5832,شرکتها!A:B,2,FALSE)</f>
        <v>#N/A</v>
      </c>
      <c r="K5832" s="33" t="s">
        <v>14006</v>
      </c>
      <c r="L5832" s="53" t="s">
        <v>6054</v>
      </c>
      <c r="M5832" s="68" t="s">
        <v>8912</v>
      </c>
      <c r="N5832" s="53" t="s">
        <v>9836</v>
      </c>
      <c r="O5832" s="53">
        <v>55112</v>
      </c>
      <c r="P5832" s="198" t="s">
        <v>12929</v>
      </c>
    </row>
    <row r="5833" spans="1:16" ht="18.75" hidden="1">
      <c r="A5833" s="50" t="s">
        <v>13944</v>
      </c>
      <c r="B5833" s="50" t="s">
        <v>13818</v>
      </c>
      <c r="C5833" s="50" t="s">
        <v>13819</v>
      </c>
      <c r="D5833" s="12" t="s">
        <v>13326</v>
      </c>
      <c r="E5833" s="12">
        <v>97</v>
      </c>
      <c r="F5833" s="49">
        <v>121200</v>
      </c>
      <c r="G5833" s="77" t="s">
        <v>6454</v>
      </c>
      <c r="H5833" s="14" t="str">
        <f t="shared" si="207"/>
        <v>true</v>
      </c>
      <c r="I5833" s="14" t="s">
        <v>2458</v>
      </c>
      <c r="J5833" s="33" t="s">
        <v>7110</v>
      </c>
      <c r="K5833" s="33" t="s">
        <v>14006</v>
      </c>
      <c r="L5833" s="53" t="s">
        <v>6054</v>
      </c>
      <c r="M5833" s="68" t="s">
        <v>8913</v>
      </c>
      <c r="N5833" s="53" t="s">
        <v>9836</v>
      </c>
      <c r="O5833" s="53">
        <v>55112</v>
      </c>
      <c r="P5833" s="198" t="s">
        <v>12669</v>
      </c>
    </row>
    <row r="5834" spans="1:16" ht="18.75" hidden="1">
      <c r="A5834" s="50" t="s">
        <v>13945</v>
      </c>
      <c r="B5834" s="50" t="s">
        <v>13770</v>
      </c>
      <c r="C5834" s="50" t="s">
        <v>13737</v>
      </c>
      <c r="D5834" s="12" t="s">
        <v>13672</v>
      </c>
      <c r="E5834" s="12">
        <v>97</v>
      </c>
      <c r="F5834" s="49">
        <v>23990</v>
      </c>
      <c r="G5834" s="77" t="s">
        <v>13714</v>
      </c>
      <c r="H5834" s="14" t="str">
        <f t="shared" ref="H5834:H5897" si="209">IF(I5834="نامشخص",IF(E5834&gt;C5834,"false","true"),IF(E5834&gt;I5834,"false","true"))</f>
        <v>true</v>
      </c>
      <c r="I5834" s="14" t="s">
        <v>2458</v>
      </c>
      <c r="J5834" s="33" t="s">
        <v>7110</v>
      </c>
      <c r="K5834" s="33" t="s">
        <v>14006</v>
      </c>
      <c r="L5834" s="53" t="s">
        <v>6054</v>
      </c>
      <c r="M5834" s="68" t="s">
        <v>8912</v>
      </c>
      <c r="N5834" s="53" t="s">
        <v>9836</v>
      </c>
      <c r="O5834" s="53">
        <v>55112</v>
      </c>
      <c r="P5834" s="198" t="s">
        <v>13715</v>
      </c>
    </row>
    <row r="5835" spans="1:16" ht="18.75" hidden="1">
      <c r="A5835" s="50" t="s">
        <v>13946</v>
      </c>
      <c r="B5835" s="50" t="s">
        <v>13613</v>
      </c>
      <c r="C5835" s="50" t="s">
        <v>13795</v>
      </c>
      <c r="D5835" s="12" t="s">
        <v>13184</v>
      </c>
      <c r="E5835" s="12">
        <v>97</v>
      </c>
      <c r="F5835" s="49">
        <v>37330</v>
      </c>
      <c r="G5835" s="77" t="s">
        <v>6298</v>
      </c>
      <c r="H5835" s="14" t="str">
        <f t="shared" si="209"/>
        <v>true</v>
      </c>
      <c r="I5835" s="14" t="s">
        <v>2458</v>
      </c>
      <c r="J5835" s="33" t="s">
        <v>7110</v>
      </c>
      <c r="K5835" s="33" t="s">
        <v>14006</v>
      </c>
      <c r="L5835" s="53" t="s">
        <v>6054</v>
      </c>
      <c r="M5835" s="68" t="s">
        <v>8913</v>
      </c>
      <c r="N5835" s="53" t="s">
        <v>9836</v>
      </c>
      <c r="O5835" s="53">
        <v>55112</v>
      </c>
      <c r="P5835" s="198" t="s">
        <v>12934</v>
      </c>
    </row>
    <row r="5836" spans="1:16" ht="18.75" hidden="1">
      <c r="A5836" s="50" t="s">
        <v>13943</v>
      </c>
      <c r="B5836" s="50" t="s">
        <v>13613</v>
      </c>
      <c r="C5836" s="50" t="s">
        <v>13661</v>
      </c>
      <c r="D5836" s="12" t="s">
        <v>13373</v>
      </c>
      <c r="E5836" s="12">
        <v>97</v>
      </c>
      <c r="F5836" s="49">
        <v>7130</v>
      </c>
      <c r="G5836" s="77" t="s">
        <v>6453</v>
      </c>
      <c r="H5836" s="14" t="str">
        <f t="shared" si="209"/>
        <v>true</v>
      </c>
      <c r="I5836" s="14" t="s">
        <v>2458</v>
      </c>
      <c r="J5836" s="33" t="e">
        <f>VLOOKUP(C5836,شرکتها!A:B,2,FALSE)</f>
        <v>#N/A</v>
      </c>
      <c r="K5836" s="33" t="s">
        <v>14006</v>
      </c>
      <c r="L5836" s="53" t="s">
        <v>6054</v>
      </c>
      <c r="M5836" s="68" t="s">
        <v>8912</v>
      </c>
      <c r="N5836" s="53" t="s">
        <v>9836</v>
      </c>
      <c r="O5836" s="53">
        <v>55112</v>
      </c>
      <c r="P5836" s="198" t="s">
        <v>12929</v>
      </c>
    </row>
    <row r="5837" spans="1:16" ht="18.75" hidden="1">
      <c r="A5837" s="50" t="s">
        <v>13941</v>
      </c>
      <c r="B5837" s="50" t="s">
        <v>13827</v>
      </c>
      <c r="C5837" s="50" t="s">
        <v>13848</v>
      </c>
      <c r="D5837" s="12" t="s">
        <v>13273</v>
      </c>
      <c r="E5837" s="12">
        <v>97</v>
      </c>
      <c r="F5837" s="49">
        <v>19580</v>
      </c>
      <c r="G5837" s="77" t="s">
        <v>6298</v>
      </c>
      <c r="H5837" s="14" t="str">
        <f t="shared" si="209"/>
        <v>true</v>
      </c>
      <c r="I5837" s="14" t="s">
        <v>2458</v>
      </c>
      <c r="J5837" s="33" t="s">
        <v>7110</v>
      </c>
      <c r="K5837" s="33" t="s">
        <v>14006</v>
      </c>
      <c r="L5837" s="53" t="s">
        <v>6054</v>
      </c>
      <c r="M5837" s="68" t="s">
        <v>8913</v>
      </c>
      <c r="N5837" s="53" t="s">
        <v>6076</v>
      </c>
      <c r="O5837" s="53">
        <v>55301</v>
      </c>
      <c r="P5837" s="198" t="s">
        <v>12934</v>
      </c>
    </row>
    <row r="5838" spans="1:16" ht="18.75" hidden="1">
      <c r="A5838" s="50" t="s">
        <v>13947</v>
      </c>
      <c r="B5838" s="50" t="s">
        <v>13835</v>
      </c>
      <c r="C5838" s="50" t="s">
        <v>13828</v>
      </c>
      <c r="D5838" s="12" t="s">
        <v>13308</v>
      </c>
      <c r="E5838" s="12">
        <v>97</v>
      </c>
      <c r="F5838" s="49">
        <v>69960</v>
      </c>
      <c r="G5838" s="77" t="s">
        <v>6454</v>
      </c>
      <c r="H5838" s="14" t="str">
        <f t="shared" si="209"/>
        <v>true</v>
      </c>
      <c r="I5838" s="14" t="s">
        <v>2458</v>
      </c>
      <c r="J5838" s="33" t="s">
        <v>7110</v>
      </c>
      <c r="K5838" s="33" t="s">
        <v>14006</v>
      </c>
      <c r="L5838" s="53" t="s">
        <v>6054</v>
      </c>
      <c r="M5838" s="68" t="s">
        <v>8912</v>
      </c>
      <c r="N5838" s="53" t="s">
        <v>6285</v>
      </c>
      <c r="O5838" s="53">
        <v>55200</v>
      </c>
      <c r="P5838" s="198" t="s">
        <v>12669</v>
      </c>
    </row>
    <row r="5839" spans="1:16" ht="18.75" hidden="1">
      <c r="A5839" s="50" t="s">
        <v>13948</v>
      </c>
      <c r="B5839" s="50" t="s">
        <v>13822</v>
      </c>
      <c r="C5839" s="50" t="s">
        <v>13797</v>
      </c>
      <c r="D5839" s="12" t="s">
        <v>13639</v>
      </c>
      <c r="E5839" s="12">
        <v>97</v>
      </c>
      <c r="F5839" s="49">
        <v>343720</v>
      </c>
      <c r="G5839" s="77" t="s">
        <v>13495</v>
      </c>
      <c r="H5839" s="14" t="str">
        <f t="shared" si="209"/>
        <v>true</v>
      </c>
      <c r="I5839" s="14" t="s">
        <v>2458</v>
      </c>
      <c r="J5839" s="33" t="s">
        <v>7110</v>
      </c>
      <c r="K5839" s="33" t="s">
        <v>14006</v>
      </c>
      <c r="L5839" s="53" t="s">
        <v>6054</v>
      </c>
      <c r="M5839" s="68" t="s">
        <v>8912</v>
      </c>
      <c r="N5839" s="53" t="s">
        <v>6285</v>
      </c>
      <c r="O5839" s="53">
        <v>55200</v>
      </c>
      <c r="P5839" s="198" t="s">
        <v>13625</v>
      </c>
    </row>
    <row r="5840" spans="1:16" ht="18.75" hidden="1">
      <c r="A5840" s="50" t="s">
        <v>13941</v>
      </c>
      <c r="B5840" s="50" t="s">
        <v>13827</v>
      </c>
      <c r="C5840" s="50" t="s">
        <v>13425</v>
      </c>
      <c r="D5840" s="12" t="s">
        <v>12944</v>
      </c>
      <c r="E5840" s="12">
        <v>96</v>
      </c>
      <c r="F5840" s="49">
        <v>2640</v>
      </c>
      <c r="G5840" s="77" t="s">
        <v>6298</v>
      </c>
      <c r="H5840" s="14" t="str">
        <f t="shared" si="209"/>
        <v>true</v>
      </c>
      <c r="I5840" s="14" t="s">
        <v>2458</v>
      </c>
      <c r="J5840" s="33" t="s">
        <v>7110</v>
      </c>
      <c r="K5840" s="33" t="s">
        <v>14006</v>
      </c>
      <c r="L5840" s="53" t="s">
        <v>6054</v>
      </c>
      <c r="M5840" s="68" t="s">
        <v>8913</v>
      </c>
      <c r="N5840" s="53" t="s">
        <v>6076</v>
      </c>
      <c r="O5840" s="53">
        <v>55301</v>
      </c>
      <c r="P5840" s="198" t="s">
        <v>12668</v>
      </c>
    </row>
    <row r="5841" spans="1:16" ht="18.75" hidden="1">
      <c r="A5841" s="50" t="s">
        <v>13944</v>
      </c>
      <c r="B5841" s="50" t="s">
        <v>13818</v>
      </c>
      <c r="C5841" s="50" t="s">
        <v>13830</v>
      </c>
      <c r="D5841" s="12" t="s">
        <v>13184</v>
      </c>
      <c r="E5841" s="12">
        <v>97</v>
      </c>
      <c r="F5841" s="49">
        <v>48960</v>
      </c>
      <c r="G5841" s="77" t="s">
        <v>6454</v>
      </c>
      <c r="H5841" s="14" t="str">
        <f t="shared" si="209"/>
        <v>true</v>
      </c>
      <c r="I5841" s="14" t="s">
        <v>2458</v>
      </c>
      <c r="J5841" s="33" t="s">
        <v>7110</v>
      </c>
      <c r="K5841" s="33" t="s">
        <v>14006</v>
      </c>
      <c r="L5841" s="53" t="s">
        <v>6054</v>
      </c>
      <c r="M5841" s="68" t="s">
        <v>8913</v>
      </c>
      <c r="N5841" s="53" t="s">
        <v>9836</v>
      </c>
      <c r="O5841" s="53">
        <v>55112</v>
      </c>
      <c r="P5841" s="198" t="s">
        <v>12669</v>
      </c>
    </row>
    <row r="5842" spans="1:16" ht="18.75" hidden="1">
      <c r="A5842" s="50" t="s">
        <v>13949</v>
      </c>
      <c r="B5842" s="50" t="s">
        <v>13812</v>
      </c>
      <c r="C5842" s="50" t="s">
        <v>13832</v>
      </c>
      <c r="D5842" s="12" t="s">
        <v>13575</v>
      </c>
      <c r="E5842" s="12">
        <v>97</v>
      </c>
      <c r="F5842" s="49">
        <v>33640</v>
      </c>
      <c r="G5842" s="77" t="s">
        <v>11829</v>
      </c>
      <c r="H5842" s="14" t="str">
        <f t="shared" si="209"/>
        <v>true</v>
      </c>
      <c r="I5842" s="14" t="s">
        <v>2458</v>
      </c>
      <c r="J5842" s="33" t="s">
        <v>7110</v>
      </c>
      <c r="K5842" s="33" t="s">
        <v>14006</v>
      </c>
      <c r="L5842" s="53" t="s">
        <v>6054</v>
      </c>
      <c r="M5842" s="68" t="s">
        <v>8913</v>
      </c>
      <c r="N5842" s="53" t="s">
        <v>6285</v>
      </c>
      <c r="O5842" s="53">
        <v>55200</v>
      </c>
      <c r="P5842" s="198" t="s">
        <v>13664</v>
      </c>
    </row>
    <row r="5843" spans="1:16" ht="18.75" hidden="1">
      <c r="A5843" s="50" t="s">
        <v>13950</v>
      </c>
      <c r="B5843" s="50" t="s">
        <v>13812</v>
      </c>
      <c r="C5843" s="50" t="s">
        <v>13830</v>
      </c>
      <c r="D5843" s="12" t="s">
        <v>13184</v>
      </c>
      <c r="E5843" s="12">
        <v>97</v>
      </c>
      <c r="F5843" s="49">
        <v>303830</v>
      </c>
      <c r="G5843" s="77" t="s">
        <v>6454</v>
      </c>
      <c r="H5843" s="14" t="str">
        <f t="shared" si="209"/>
        <v>true</v>
      </c>
      <c r="I5843" s="14" t="s">
        <v>2458</v>
      </c>
      <c r="J5843" s="33" t="s">
        <v>7110</v>
      </c>
      <c r="K5843" s="33" t="s">
        <v>14006</v>
      </c>
      <c r="L5843" s="53" t="s">
        <v>6054</v>
      </c>
      <c r="M5843" s="68" t="s">
        <v>8912</v>
      </c>
      <c r="N5843" s="53" t="s">
        <v>9836</v>
      </c>
      <c r="O5843" s="53">
        <v>55112</v>
      </c>
      <c r="P5843" s="198" t="s">
        <v>12669</v>
      </c>
    </row>
    <row r="5844" spans="1:16" ht="18.75" hidden="1">
      <c r="A5844" s="50" t="s">
        <v>13951</v>
      </c>
      <c r="B5844" s="50" t="s">
        <v>13822</v>
      </c>
      <c r="C5844" s="50" t="s">
        <v>13737</v>
      </c>
      <c r="D5844" s="12" t="s">
        <v>13672</v>
      </c>
      <c r="E5844" s="12">
        <v>97</v>
      </c>
      <c r="F5844" s="49">
        <v>68100</v>
      </c>
      <c r="G5844" s="77" t="s">
        <v>13714</v>
      </c>
      <c r="H5844" s="14" t="str">
        <f t="shared" si="209"/>
        <v>true</v>
      </c>
      <c r="I5844" s="14" t="s">
        <v>2458</v>
      </c>
      <c r="J5844" s="33" t="s">
        <v>7110</v>
      </c>
      <c r="K5844" s="33" t="s">
        <v>14006</v>
      </c>
      <c r="L5844" s="53" t="s">
        <v>6054</v>
      </c>
      <c r="M5844" s="68" t="s">
        <v>8913</v>
      </c>
      <c r="N5844" s="53" t="s">
        <v>9836</v>
      </c>
      <c r="O5844" s="53">
        <v>55112</v>
      </c>
      <c r="P5844" s="198" t="s">
        <v>13715</v>
      </c>
    </row>
    <row r="5845" spans="1:16" ht="18.75" hidden="1">
      <c r="A5845" s="50" t="s">
        <v>13949</v>
      </c>
      <c r="B5845" s="50" t="s">
        <v>13812</v>
      </c>
      <c r="C5845" s="50" t="s">
        <v>13983</v>
      </c>
      <c r="D5845" s="12" t="s">
        <v>13984</v>
      </c>
      <c r="E5845" s="12">
        <v>97</v>
      </c>
      <c r="F5845" s="49">
        <v>6760</v>
      </c>
      <c r="G5845" s="77" t="s">
        <v>6453</v>
      </c>
      <c r="H5845" s="14" t="str">
        <f t="shared" si="209"/>
        <v>true</v>
      </c>
      <c r="I5845" s="14" t="s">
        <v>2458</v>
      </c>
      <c r="J5845" s="33" t="e">
        <f>VLOOKUP(C5845,شرکتها!A:B,2,FALSE)</f>
        <v>#N/A</v>
      </c>
      <c r="K5845" s="33" t="s">
        <v>14006</v>
      </c>
      <c r="L5845" s="53" t="s">
        <v>6054</v>
      </c>
      <c r="M5845" s="68" t="s">
        <v>8913</v>
      </c>
      <c r="N5845" s="53" t="s">
        <v>6285</v>
      </c>
      <c r="O5845" s="53">
        <v>55200</v>
      </c>
      <c r="P5845" s="198" t="s">
        <v>12929</v>
      </c>
    </row>
    <row r="5846" spans="1:16" ht="18.75" hidden="1">
      <c r="A5846" s="50" t="s">
        <v>13946</v>
      </c>
      <c r="B5846" s="50" t="s">
        <v>13613</v>
      </c>
      <c r="C5846" s="50" t="s">
        <v>13661</v>
      </c>
      <c r="D5846" s="12" t="s">
        <v>13373</v>
      </c>
      <c r="E5846" s="12">
        <v>97</v>
      </c>
      <c r="F5846" s="49">
        <v>60090</v>
      </c>
      <c r="G5846" s="77" t="s">
        <v>6453</v>
      </c>
      <c r="H5846" s="14" t="str">
        <f t="shared" si="209"/>
        <v>true</v>
      </c>
      <c r="I5846" s="14" t="s">
        <v>2458</v>
      </c>
      <c r="J5846" s="33" t="e">
        <f>VLOOKUP(C5846,شرکتها!A:B,2,FALSE)</f>
        <v>#N/A</v>
      </c>
      <c r="K5846" s="33" t="s">
        <v>14006</v>
      </c>
      <c r="L5846" s="53" t="s">
        <v>6054</v>
      </c>
      <c r="M5846" s="68" t="s">
        <v>8913</v>
      </c>
      <c r="N5846" s="53" t="s">
        <v>9836</v>
      </c>
      <c r="O5846" s="53">
        <v>55112</v>
      </c>
      <c r="P5846" s="198" t="s">
        <v>12929</v>
      </c>
    </row>
    <row r="5847" spans="1:16" ht="18.75" hidden="1">
      <c r="A5847" s="50" t="s">
        <v>13952</v>
      </c>
      <c r="B5847" s="50" t="s">
        <v>13770</v>
      </c>
      <c r="C5847" s="50" t="s">
        <v>13719</v>
      </c>
      <c r="D5847" s="12" t="s">
        <v>13549</v>
      </c>
      <c r="E5847" s="12">
        <v>97</v>
      </c>
      <c r="F5847" s="49">
        <v>98140</v>
      </c>
      <c r="G5847" s="77" t="s">
        <v>13495</v>
      </c>
      <c r="H5847" s="14" t="str">
        <f t="shared" si="209"/>
        <v>true</v>
      </c>
      <c r="I5847" s="14" t="s">
        <v>2458</v>
      </c>
      <c r="J5847" s="33" t="s">
        <v>7110</v>
      </c>
      <c r="K5847" s="33" t="s">
        <v>14006</v>
      </c>
      <c r="L5847" s="53" t="s">
        <v>6054</v>
      </c>
      <c r="M5847" s="68" t="s">
        <v>8912</v>
      </c>
      <c r="N5847" s="53" t="s">
        <v>6285</v>
      </c>
      <c r="O5847" s="53">
        <v>55200</v>
      </c>
      <c r="P5847" s="198" t="s">
        <v>13625</v>
      </c>
    </row>
    <row r="5848" spans="1:16" ht="18.75" hidden="1">
      <c r="A5848" s="50" t="s">
        <v>13943</v>
      </c>
      <c r="B5848" s="50" t="s">
        <v>13613</v>
      </c>
      <c r="C5848" s="50" t="s">
        <v>13795</v>
      </c>
      <c r="D5848" s="12" t="s">
        <v>13184</v>
      </c>
      <c r="E5848" s="12">
        <v>97</v>
      </c>
      <c r="F5848" s="49">
        <v>126270</v>
      </c>
      <c r="G5848" s="77" t="s">
        <v>6298</v>
      </c>
      <c r="H5848" s="14" t="str">
        <f t="shared" si="209"/>
        <v>true</v>
      </c>
      <c r="I5848" s="14" t="s">
        <v>2458</v>
      </c>
      <c r="J5848" s="33" t="s">
        <v>7110</v>
      </c>
      <c r="K5848" s="33" t="s">
        <v>14006</v>
      </c>
      <c r="L5848" s="53" t="s">
        <v>6054</v>
      </c>
      <c r="M5848" s="68" t="s">
        <v>8912</v>
      </c>
      <c r="N5848" s="53" t="s">
        <v>9836</v>
      </c>
      <c r="O5848" s="53">
        <v>55112</v>
      </c>
      <c r="P5848" s="198" t="s">
        <v>12934</v>
      </c>
    </row>
    <row r="5849" spans="1:16" ht="18.75" hidden="1">
      <c r="A5849" s="50" t="s">
        <v>13947</v>
      </c>
      <c r="B5849" s="50" t="s">
        <v>13835</v>
      </c>
      <c r="C5849" s="50" t="s">
        <v>13824</v>
      </c>
      <c r="D5849" s="12" t="s">
        <v>13639</v>
      </c>
      <c r="E5849" s="12">
        <v>97</v>
      </c>
      <c r="F5849" s="49">
        <v>29360</v>
      </c>
      <c r="G5849" s="77" t="s">
        <v>13714</v>
      </c>
      <c r="H5849" s="14" t="str">
        <f t="shared" si="209"/>
        <v>true</v>
      </c>
      <c r="I5849" s="14" t="s">
        <v>2458</v>
      </c>
      <c r="J5849" s="33" t="s">
        <v>7110</v>
      </c>
      <c r="K5849" s="33" t="s">
        <v>14006</v>
      </c>
      <c r="L5849" s="53" t="s">
        <v>6054</v>
      </c>
      <c r="M5849" s="68" t="s">
        <v>8912</v>
      </c>
      <c r="N5849" s="53" t="s">
        <v>6285</v>
      </c>
      <c r="O5849" s="53">
        <v>55200</v>
      </c>
      <c r="P5849" s="198" t="s">
        <v>13715</v>
      </c>
    </row>
    <row r="5850" spans="1:16" ht="18.75" hidden="1">
      <c r="A5850" s="50" t="s">
        <v>13949</v>
      </c>
      <c r="B5850" s="50" t="s">
        <v>13812</v>
      </c>
      <c r="C5850" s="50" t="s">
        <v>13985</v>
      </c>
      <c r="D5850" s="12" t="s">
        <v>13473</v>
      </c>
      <c r="E5850" s="12">
        <v>97</v>
      </c>
      <c r="F5850" s="49">
        <v>30000</v>
      </c>
      <c r="G5850" s="77" t="s">
        <v>6453</v>
      </c>
      <c r="H5850" s="14" t="str">
        <f t="shared" si="209"/>
        <v>true</v>
      </c>
      <c r="I5850" s="14" t="s">
        <v>2458</v>
      </c>
      <c r="J5850" s="33" t="e">
        <f>VLOOKUP(C5850,شرکتها!A:B,2,FALSE)</f>
        <v>#N/A</v>
      </c>
      <c r="K5850" s="33" t="s">
        <v>14006</v>
      </c>
      <c r="L5850" s="53" t="s">
        <v>6054</v>
      </c>
      <c r="M5850" s="68" t="s">
        <v>8913</v>
      </c>
      <c r="N5850" s="53" t="s">
        <v>6285</v>
      </c>
      <c r="O5850" s="53">
        <v>55200</v>
      </c>
      <c r="P5850" s="198" t="s">
        <v>12929</v>
      </c>
    </row>
    <row r="5851" spans="1:16" ht="18.75" hidden="1">
      <c r="A5851" s="50" t="s">
        <v>13953</v>
      </c>
      <c r="B5851" s="50" t="s">
        <v>13827</v>
      </c>
      <c r="C5851" s="50" t="s">
        <v>13795</v>
      </c>
      <c r="D5851" s="12" t="s">
        <v>13184</v>
      </c>
      <c r="E5851" s="12">
        <v>97</v>
      </c>
      <c r="F5851" s="49">
        <v>95980</v>
      </c>
      <c r="G5851" s="77" t="s">
        <v>6298</v>
      </c>
      <c r="H5851" s="14" t="str">
        <f t="shared" si="209"/>
        <v>true</v>
      </c>
      <c r="I5851" s="14" t="s">
        <v>2458</v>
      </c>
      <c r="J5851" s="33" t="s">
        <v>7110</v>
      </c>
      <c r="K5851" s="33" t="s">
        <v>14006</v>
      </c>
      <c r="L5851" s="53" t="s">
        <v>6054</v>
      </c>
      <c r="M5851" s="68" t="s">
        <v>8912</v>
      </c>
      <c r="N5851" s="53" t="s">
        <v>9836</v>
      </c>
      <c r="O5851" s="53">
        <v>55112</v>
      </c>
      <c r="P5851" s="198" t="s">
        <v>12934</v>
      </c>
    </row>
    <row r="5852" spans="1:16" ht="18.75" hidden="1">
      <c r="A5852" s="50" t="s">
        <v>13954</v>
      </c>
      <c r="B5852" s="50" t="s">
        <v>13851</v>
      </c>
      <c r="C5852" s="50" t="s">
        <v>13824</v>
      </c>
      <c r="D5852" s="12" t="s">
        <v>13639</v>
      </c>
      <c r="E5852" s="12">
        <v>97</v>
      </c>
      <c r="F5852" s="49">
        <v>44940</v>
      </c>
      <c r="G5852" s="77" t="s">
        <v>13714</v>
      </c>
      <c r="H5852" s="14" t="str">
        <f t="shared" si="209"/>
        <v>true</v>
      </c>
      <c r="I5852" s="14" t="s">
        <v>2458</v>
      </c>
      <c r="J5852" s="33" t="s">
        <v>7110</v>
      </c>
      <c r="K5852" s="33" t="s">
        <v>14006</v>
      </c>
      <c r="L5852" s="53" t="s">
        <v>6054</v>
      </c>
      <c r="M5852" s="68" t="s">
        <v>8912</v>
      </c>
      <c r="N5852" s="53" t="s">
        <v>6286</v>
      </c>
      <c r="O5852" s="53">
        <v>55107</v>
      </c>
      <c r="P5852" s="198" t="s">
        <v>13715</v>
      </c>
    </row>
    <row r="5853" spans="1:16" ht="18.75" hidden="1">
      <c r="A5853" s="50" t="str">
        <f>"50100-10328744"</f>
        <v>50100-10328744</v>
      </c>
      <c r="B5853" s="50" t="str">
        <f>"97/03/21"</f>
        <v>97/03/21</v>
      </c>
      <c r="C5853" s="50" t="s">
        <v>13986</v>
      </c>
      <c r="D5853" s="12" t="str">
        <f>"97/02/04"</f>
        <v>97/02/04</v>
      </c>
      <c r="E5853" s="12">
        <v>97</v>
      </c>
      <c r="F5853" s="49">
        <v>213666</v>
      </c>
      <c r="G5853" s="77" t="str">
        <f>"LLC Sebco Bitumen"</f>
        <v>LLC Sebco Bitumen</v>
      </c>
      <c r="H5853" s="14" t="str">
        <f t="shared" si="209"/>
        <v>true</v>
      </c>
      <c r="I5853" s="14" t="s">
        <v>2458</v>
      </c>
      <c r="J5853" s="33" t="s">
        <v>7110</v>
      </c>
      <c r="K5853" s="33" t="s">
        <v>14006</v>
      </c>
      <c r="L5853" s="53" t="str">
        <f>"سودان"</f>
        <v>سودان</v>
      </c>
      <c r="M5853" s="68" t="str">
        <f>"بشكه"</f>
        <v>بشكه</v>
      </c>
      <c r="N5853" s="53" t="str">
        <f t="shared" ref="N5853:N5916" si="210">"منطقه ويژه اقتصادي شهيد رجايي"</f>
        <v>منطقه ويژه اقتصادي شهيد رجايي</v>
      </c>
      <c r="O5853" s="53">
        <v>50100</v>
      </c>
      <c r="P5853" s="198" t="str">
        <f>"1397558720001"</f>
        <v>1397558720001</v>
      </c>
    </row>
    <row r="5854" spans="1:16" ht="18.75" hidden="1">
      <c r="A5854" s="50" t="str">
        <f>"50100-10347603"</f>
        <v>50100-10347603</v>
      </c>
      <c r="B5854" s="50" t="str">
        <f>"97/03/27"</f>
        <v>97/03/27</v>
      </c>
      <c r="C5854" s="50" t="s">
        <v>13987</v>
      </c>
      <c r="D5854" s="12" t="s">
        <v>13988</v>
      </c>
      <c r="E5854" s="12">
        <v>97</v>
      </c>
      <c r="F5854" s="49">
        <v>3094056</v>
      </c>
      <c r="G5854" s="77" t="s">
        <v>6452</v>
      </c>
      <c r="H5854" s="14" t="str">
        <f t="shared" si="209"/>
        <v>true</v>
      </c>
      <c r="I5854" s="14" t="s">
        <v>2458</v>
      </c>
      <c r="J5854" s="33" t="e">
        <f>VLOOKUP(C5854,شرکتها!A:B,2,FALSE)</f>
        <v>#N/A</v>
      </c>
      <c r="K5854" s="33" t="s">
        <v>14006</v>
      </c>
      <c r="L5854" s="53" t="str">
        <f>"قطر"</f>
        <v>قطر</v>
      </c>
      <c r="M5854" s="68" t="str">
        <f>"فله"</f>
        <v>فله</v>
      </c>
      <c r="N5854" s="53" t="str">
        <f t="shared" si="210"/>
        <v>منطقه ويژه اقتصادي شهيد رجايي</v>
      </c>
      <c r="O5854" s="53">
        <v>50100</v>
      </c>
      <c r="P5854" s="198">
        <v>1397575283001</v>
      </c>
    </row>
    <row r="5855" spans="1:16" ht="18.75" hidden="1">
      <c r="A5855" s="50" t="str">
        <f>"50100-10309710"</f>
        <v>50100-10309710</v>
      </c>
      <c r="B5855" s="50" t="str">
        <f>"97/03/17"</f>
        <v>97/03/17</v>
      </c>
      <c r="C5855" s="50" t="s">
        <v>13989</v>
      </c>
      <c r="D5855" s="12" t="str">
        <f>"97/02/19"</f>
        <v>97/02/19</v>
      </c>
      <c r="E5855" s="12">
        <v>97</v>
      </c>
      <c r="F5855" s="49">
        <v>988120</v>
      </c>
      <c r="G5855" s="77" t="str">
        <f>"GLOBUS INTERNATIONAL FZE"</f>
        <v>GLOBUS INTERNATIONAL FZE</v>
      </c>
      <c r="H5855" s="14" t="str">
        <f t="shared" si="209"/>
        <v>true</v>
      </c>
      <c r="I5855" s="14" t="s">
        <v>2458</v>
      </c>
      <c r="J5855" s="33" t="e">
        <f>VLOOKUP(C5855,شرکتها!A:B,2,FALSE)</f>
        <v>#N/A</v>
      </c>
      <c r="K5855" s="33" t="s">
        <v>14006</v>
      </c>
      <c r="L5855" s="53" t="str">
        <f>" امارات متحده عربي"</f>
        <v xml:space="preserve"> امارات متحده عربي</v>
      </c>
      <c r="M5855" s="68" t="str">
        <f t="shared" ref="M5855:M5861" si="211">"بشكه"</f>
        <v>بشكه</v>
      </c>
      <c r="N5855" s="53" t="str">
        <f t="shared" si="210"/>
        <v>منطقه ويژه اقتصادي شهيد رجايي</v>
      </c>
      <c r="O5855" s="53">
        <v>50100</v>
      </c>
      <c r="P5855" s="198" t="str">
        <f>"1397561062001"</f>
        <v>1397561062001</v>
      </c>
    </row>
    <row r="5856" spans="1:16" ht="18.75" hidden="1">
      <c r="A5856" s="50" t="str">
        <f>"50100-10333747"</f>
        <v>50100-10333747</v>
      </c>
      <c r="B5856" s="50" t="str">
        <f>"97/03/22"</f>
        <v>97/03/22</v>
      </c>
      <c r="C5856" s="50" t="s">
        <v>13990</v>
      </c>
      <c r="D5856" s="12" t="str">
        <f>"97/03/13"</f>
        <v>97/03/13</v>
      </c>
      <c r="E5856" s="12">
        <v>97</v>
      </c>
      <c r="F5856" s="49">
        <v>1184700</v>
      </c>
      <c r="G5856" s="77" t="str">
        <f>"GLOBUS INTERNATIONAL FZE"</f>
        <v>GLOBUS INTERNATIONAL FZE</v>
      </c>
      <c r="H5856" s="14" t="str">
        <f t="shared" si="209"/>
        <v>true</v>
      </c>
      <c r="I5856" s="14" t="s">
        <v>2458</v>
      </c>
      <c r="J5856" s="33" t="e">
        <f>VLOOKUP(C5856,شرکتها!A:B,2,FALSE)</f>
        <v>#N/A</v>
      </c>
      <c r="K5856" s="33" t="s">
        <v>14006</v>
      </c>
      <c r="L5856" s="53" t="str">
        <f>" امارات متحده عربي"</f>
        <v xml:space="preserve"> امارات متحده عربي</v>
      </c>
      <c r="M5856" s="68" t="str">
        <f t="shared" si="211"/>
        <v>بشكه</v>
      </c>
      <c r="N5856" s="53" t="str">
        <f t="shared" si="210"/>
        <v>منطقه ويژه اقتصادي شهيد رجايي</v>
      </c>
      <c r="O5856" s="53">
        <v>50100</v>
      </c>
      <c r="P5856" s="198" t="str">
        <f>"1397561062001"</f>
        <v>1397561062001</v>
      </c>
    </row>
    <row r="5857" spans="1:16" ht="18.75" hidden="1">
      <c r="A5857" s="50" t="str">
        <f>"50100-10333774"</f>
        <v>50100-10333774</v>
      </c>
      <c r="B5857" s="50" t="str">
        <f>"97/03/22"</f>
        <v>97/03/22</v>
      </c>
      <c r="C5857" s="50" t="s">
        <v>13990</v>
      </c>
      <c r="D5857" s="12" t="str">
        <f>"97/03/13"</f>
        <v>97/03/13</v>
      </c>
      <c r="E5857" s="12">
        <v>97</v>
      </c>
      <c r="F5857" s="49">
        <v>297500</v>
      </c>
      <c r="G5857" s="77" t="str">
        <f>"GLOBUS INTERNATIONAL FZE"</f>
        <v>GLOBUS INTERNATIONAL FZE</v>
      </c>
      <c r="H5857" s="14" t="str">
        <f t="shared" si="209"/>
        <v>true</v>
      </c>
      <c r="I5857" s="14" t="s">
        <v>2458</v>
      </c>
      <c r="J5857" s="33" t="e">
        <f>VLOOKUP(C5857,شرکتها!A:B,2,FALSE)</f>
        <v>#N/A</v>
      </c>
      <c r="K5857" s="33" t="s">
        <v>14006</v>
      </c>
      <c r="L5857" s="53" t="str">
        <f>" امارات متحده عربي"</f>
        <v xml:space="preserve"> امارات متحده عربي</v>
      </c>
      <c r="M5857" s="68" t="str">
        <f t="shared" si="211"/>
        <v>بشكه</v>
      </c>
      <c r="N5857" s="53" t="str">
        <f t="shared" si="210"/>
        <v>منطقه ويژه اقتصادي شهيد رجايي</v>
      </c>
      <c r="O5857" s="53">
        <v>50100</v>
      </c>
      <c r="P5857" s="198" t="str">
        <f>"1397561062001"</f>
        <v>1397561062001</v>
      </c>
    </row>
    <row r="5858" spans="1:16" ht="18.75" hidden="1">
      <c r="A5858" s="50" t="str">
        <f>"50100-10310011"</f>
        <v>50100-10310011</v>
      </c>
      <c r="B5858" s="50" t="str">
        <f>"97/03/17"</f>
        <v>97/03/17</v>
      </c>
      <c r="C5858" s="50" t="s">
        <v>13883</v>
      </c>
      <c r="D5858" s="12" t="str">
        <f>"97/01/22"</f>
        <v>97/01/22</v>
      </c>
      <c r="E5858" s="12">
        <v>97</v>
      </c>
      <c r="F5858" s="49">
        <v>485103</v>
      </c>
      <c r="G5858" s="77" t="str">
        <f>"LLC Sebco Bitumen"</f>
        <v>LLC Sebco Bitumen</v>
      </c>
      <c r="H5858" s="14" t="str">
        <f t="shared" si="209"/>
        <v>true</v>
      </c>
      <c r="I5858" s="14" t="s">
        <v>2458</v>
      </c>
      <c r="J5858" s="33" t="s">
        <v>7110</v>
      </c>
      <c r="K5858" s="33" t="s">
        <v>14006</v>
      </c>
      <c r="L5858" s="53" t="str">
        <f>" ميانمار"</f>
        <v xml:space="preserve"> ميانمار</v>
      </c>
      <c r="M5858" s="68" t="str">
        <f t="shared" si="211"/>
        <v>بشكه</v>
      </c>
      <c r="N5858" s="53" t="str">
        <f t="shared" si="210"/>
        <v>منطقه ويژه اقتصادي شهيد رجايي</v>
      </c>
      <c r="O5858" s="53">
        <v>50100</v>
      </c>
      <c r="P5858" s="198" t="str">
        <f>"1396548704001"</f>
        <v>1396548704001</v>
      </c>
    </row>
    <row r="5859" spans="1:16" ht="18.75" hidden="1">
      <c r="A5859" s="50" t="str">
        <f>"50100-10310011"</f>
        <v>50100-10310011</v>
      </c>
      <c r="B5859" s="50" t="str">
        <f>"97/03/17"</f>
        <v>97/03/17</v>
      </c>
      <c r="C5859" s="50" t="s">
        <v>13991</v>
      </c>
      <c r="D5859" s="12" t="str">
        <f>"97/01/22"</f>
        <v>97/01/22</v>
      </c>
      <c r="E5859" s="12">
        <v>97</v>
      </c>
      <c r="F5859" s="49">
        <v>358327</v>
      </c>
      <c r="G5859" s="77" t="str">
        <f>"LLC Sebco Bitumen"</f>
        <v>LLC Sebco Bitumen</v>
      </c>
      <c r="H5859" s="14" t="str">
        <f t="shared" si="209"/>
        <v>true</v>
      </c>
      <c r="I5859" s="14" t="s">
        <v>2458</v>
      </c>
      <c r="J5859" s="33" t="s">
        <v>7110</v>
      </c>
      <c r="K5859" s="33" t="s">
        <v>14006</v>
      </c>
      <c r="L5859" s="53" t="str">
        <f>" ميانمار"</f>
        <v xml:space="preserve"> ميانمار</v>
      </c>
      <c r="M5859" s="68" t="str">
        <f t="shared" si="211"/>
        <v>بشكه</v>
      </c>
      <c r="N5859" s="53" t="str">
        <f t="shared" si="210"/>
        <v>منطقه ويژه اقتصادي شهيد رجايي</v>
      </c>
      <c r="O5859" s="53">
        <v>50100</v>
      </c>
      <c r="P5859" s="198" t="str">
        <f>"1396548704001"</f>
        <v>1396548704001</v>
      </c>
    </row>
    <row r="5860" spans="1:16" ht="18.75" hidden="1">
      <c r="A5860" s="50" t="str">
        <f>"50100-10310011"</f>
        <v>50100-10310011</v>
      </c>
      <c r="B5860" s="50" t="str">
        <f>"97/03/17"</f>
        <v>97/03/17</v>
      </c>
      <c r="C5860" s="50" t="s">
        <v>13882</v>
      </c>
      <c r="D5860" s="12" t="str">
        <f>"96/10/06"</f>
        <v>96/10/06</v>
      </c>
      <c r="E5860" s="12">
        <v>96</v>
      </c>
      <c r="F5860" s="49">
        <v>157570</v>
      </c>
      <c r="G5860" s="77" t="str">
        <f>"LLC Sebco Bitumen"</f>
        <v>LLC Sebco Bitumen</v>
      </c>
      <c r="H5860" s="14" t="str">
        <f t="shared" si="209"/>
        <v>true</v>
      </c>
      <c r="I5860" s="14" t="s">
        <v>2458</v>
      </c>
      <c r="J5860" s="33" t="s">
        <v>7110</v>
      </c>
      <c r="K5860" s="33" t="s">
        <v>14006</v>
      </c>
      <c r="L5860" s="53" t="str">
        <f>" ميانمار"</f>
        <v xml:space="preserve"> ميانمار</v>
      </c>
      <c r="M5860" s="68" t="str">
        <f t="shared" si="211"/>
        <v>بشكه</v>
      </c>
      <c r="N5860" s="53" t="str">
        <f t="shared" si="210"/>
        <v>منطقه ويژه اقتصادي شهيد رجايي</v>
      </c>
      <c r="O5860" s="53">
        <v>50100</v>
      </c>
      <c r="P5860" s="198" t="str">
        <f>"1396534910001"</f>
        <v>1396534910001</v>
      </c>
    </row>
    <row r="5861" spans="1:16" ht="18.75" hidden="1">
      <c r="A5861" s="50" t="str">
        <f>"50100-10310888"</f>
        <v>50100-10310888</v>
      </c>
      <c r="B5861" s="50" t="str">
        <f>"97/03/17"</f>
        <v>97/03/17</v>
      </c>
      <c r="C5861" s="50" t="s">
        <v>13992</v>
      </c>
      <c r="D5861" s="12" t="str">
        <f>"97/01/27"</f>
        <v>97/01/27</v>
      </c>
      <c r="E5861" s="12">
        <v>97</v>
      </c>
      <c r="F5861" s="49">
        <v>246375</v>
      </c>
      <c r="G5861" s="77" t="str">
        <f>"LLC Sebco Bitumen"</f>
        <v>LLC Sebco Bitumen</v>
      </c>
      <c r="H5861" s="14" t="str">
        <f t="shared" si="209"/>
        <v>true</v>
      </c>
      <c r="I5861" s="14" t="s">
        <v>2458</v>
      </c>
      <c r="J5861" s="33" t="s">
        <v>7110</v>
      </c>
      <c r="K5861" s="33" t="s">
        <v>14006</v>
      </c>
      <c r="L5861" s="53" t="str">
        <f>"سودان"</f>
        <v>سودان</v>
      </c>
      <c r="M5861" s="68" t="str">
        <f t="shared" si="211"/>
        <v>بشكه</v>
      </c>
      <c r="N5861" s="53" t="str">
        <f t="shared" si="210"/>
        <v>منطقه ويژه اقتصادي شهيد رجايي</v>
      </c>
      <c r="O5861" s="53">
        <v>50100</v>
      </c>
      <c r="P5861" s="198" t="str">
        <f>"1396548704001"</f>
        <v>1396548704001</v>
      </c>
    </row>
    <row r="5862" spans="1:16" ht="18.75" hidden="1">
      <c r="A5862" s="50" t="str">
        <f>"50100-10325073"</f>
        <v>50100-10325073</v>
      </c>
      <c r="B5862" s="50" t="str">
        <f>"97/03/21"</f>
        <v>97/03/21</v>
      </c>
      <c r="C5862" s="50" t="s">
        <v>13993</v>
      </c>
      <c r="D5862" s="12" t="str">
        <f>"97/03/19"</f>
        <v>97/03/19</v>
      </c>
      <c r="E5862" s="12">
        <v>97</v>
      </c>
      <c r="F5862" s="49">
        <v>431222</v>
      </c>
      <c r="G5862" s="77" t="str">
        <f>"AL MASAR PETROLUME L.L.C"</f>
        <v>AL MASAR PETROLUME L.L.C</v>
      </c>
      <c r="H5862" s="14" t="str">
        <f t="shared" si="209"/>
        <v>true</v>
      </c>
      <c r="I5862" s="14" t="s">
        <v>2458</v>
      </c>
      <c r="J5862" s="33" t="e">
        <f>VLOOKUP(C5862,شرکتها!A:B,2,FALSE)</f>
        <v>#N/A</v>
      </c>
      <c r="K5862" s="33" t="s">
        <v>14006</v>
      </c>
      <c r="L5862" s="53" t="str">
        <f>"قطر"</f>
        <v>قطر</v>
      </c>
      <c r="M5862" s="68" t="str">
        <f>"فله"</f>
        <v>فله</v>
      </c>
      <c r="N5862" s="53" t="str">
        <f t="shared" si="210"/>
        <v>منطقه ويژه اقتصادي شهيد رجايي</v>
      </c>
      <c r="O5862" s="53">
        <v>50100</v>
      </c>
      <c r="P5862" s="198" t="str">
        <f>"1397560052001"</f>
        <v>1397560052001</v>
      </c>
    </row>
    <row r="5863" spans="1:16" ht="18.75" hidden="1">
      <c r="A5863" s="50" t="str">
        <f>"50100-10310813"</f>
        <v>50100-10310813</v>
      </c>
      <c r="B5863" s="50" t="str">
        <f>"97/03/17"</f>
        <v>97/03/17</v>
      </c>
      <c r="C5863" s="50" t="s">
        <v>13994</v>
      </c>
      <c r="D5863" s="12" t="s">
        <v>13957</v>
      </c>
      <c r="E5863" s="12">
        <v>97</v>
      </c>
      <c r="F5863" s="49">
        <v>493160</v>
      </c>
      <c r="G5863" s="77" t="s">
        <v>6454</v>
      </c>
      <c r="H5863" s="14" t="str">
        <f t="shared" si="209"/>
        <v>true</v>
      </c>
      <c r="I5863" s="14" t="s">
        <v>2458</v>
      </c>
      <c r="J5863" s="33" t="s">
        <v>7110</v>
      </c>
      <c r="K5863" s="33" t="s">
        <v>14006</v>
      </c>
      <c r="L5863" s="53" t="s">
        <v>6279</v>
      </c>
      <c r="M5863" s="68" t="str">
        <f t="shared" ref="M5863:M5874" si="212">"بشكه"</f>
        <v>بشكه</v>
      </c>
      <c r="N5863" s="53" t="str">
        <f t="shared" si="210"/>
        <v>منطقه ويژه اقتصادي شهيد رجايي</v>
      </c>
      <c r="O5863" s="53">
        <v>50100</v>
      </c>
      <c r="P5863" s="198">
        <v>1397558729001</v>
      </c>
    </row>
    <row r="5864" spans="1:16" ht="18.75" hidden="1">
      <c r="A5864" s="50" t="str">
        <f>"50100-10363821"</f>
        <v>50100-10363821</v>
      </c>
      <c r="B5864" s="50" t="str">
        <f>"97/03/31"</f>
        <v>97/03/31</v>
      </c>
      <c r="C5864" s="50" t="s">
        <v>13995</v>
      </c>
      <c r="D5864" s="12" t="s">
        <v>13996</v>
      </c>
      <c r="E5864" s="12">
        <v>97</v>
      </c>
      <c r="F5864" s="49">
        <v>984385</v>
      </c>
      <c r="G5864" s="77" t="s">
        <v>6298</v>
      </c>
      <c r="H5864" s="14" t="str">
        <f t="shared" si="209"/>
        <v>true</v>
      </c>
      <c r="I5864" s="14" t="s">
        <v>2458</v>
      </c>
      <c r="J5864" s="33" t="s">
        <v>7110</v>
      </c>
      <c r="K5864" s="33" t="s">
        <v>14006</v>
      </c>
      <c r="L5864" s="53" t="str">
        <f>"چين"</f>
        <v>چين</v>
      </c>
      <c r="M5864" s="68" t="str">
        <f t="shared" si="212"/>
        <v>بشكه</v>
      </c>
      <c r="N5864" s="53" t="str">
        <f t="shared" si="210"/>
        <v>منطقه ويژه اقتصادي شهيد رجايي</v>
      </c>
      <c r="O5864" s="53">
        <v>50100</v>
      </c>
      <c r="P5864" s="198">
        <v>1397561058001</v>
      </c>
    </row>
    <row r="5865" spans="1:16" ht="18.75" hidden="1">
      <c r="A5865" s="50" t="str">
        <f>"50100-10310888"</f>
        <v>50100-10310888</v>
      </c>
      <c r="B5865" s="50" t="str">
        <f>"97/03/17"</f>
        <v>97/03/17</v>
      </c>
      <c r="C5865" s="50" t="s">
        <v>13997</v>
      </c>
      <c r="D5865" s="12" t="str">
        <f>"97/01/27"</f>
        <v>97/01/27</v>
      </c>
      <c r="E5865" s="12">
        <v>97</v>
      </c>
      <c r="F5865" s="49">
        <v>250000</v>
      </c>
      <c r="G5865" s="77" t="str">
        <f>"LLC Sebco Bitumen"</f>
        <v>LLC Sebco Bitumen</v>
      </c>
      <c r="H5865" s="14" t="str">
        <f t="shared" si="209"/>
        <v>true</v>
      </c>
      <c r="I5865" s="14" t="s">
        <v>2458</v>
      </c>
      <c r="J5865" s="33" t="s">
        <v>7110</v>
      </c>
      <c r="K5865" s="33" t="s">
        <v>14006</v>
      </c>
      <c r="L5865" s="53" t="str">
        <f>"سودان"</f>
        <v>سودان</v>
      </c>
      <c r="M5865" s="68" t="str">
        <f t="shared" si="212"/>
        <v>بشكه</v>
      </c>
      <c r="N5865" s="53" t="str">
        <f t="shared" si="210"/>
        <v>منطقه ويژه اقتصادي شهيد رجايي</v>
      </c>
      <c r="O5865" s="53">
        <v>50100</v>
      </c>
      <c r="P5865" s="198" t="str">
        <f>"1396548704001"</f>
        <v>1396548704001</v>
      </c>
    </row>
    <row r="5866" spans="1:16" ht="18.75" hidden="1">
      <c r="A5866" s="50" t="str">
        <f>"50100-10326288"</f>
        <v>50100-10326288</v>
      </c>
      <c r="B5866" s="50" t="str">
        <f>"97/03/21"</f>
        <v>97/03/21</v>
      </c>
      <c r="C5866" s="50" t="s">
        <v>13989</v>
      </c>
      <c r="D5866" s="12" t="str">
        <f>"97/02/19"</f>
        <v>97/02/19</v>
      </c>
      <c r="E5866" s="12">
        <v>97</v>
      </c>
      <c r="F5866" s="49">
        <v>495291</v>
      </c>
      <c r="G5866" s="77" t="str">
        <f>"GLOBUS INTERNATIONAL FZE"</f>
        <v>GLOBUS INTERNATIONAL FZE</v>
      </c>
      <c r="H5866" s="14" t="str">
        <f t="shared" si="209"/>
        <v>true</v>
      </c>
      <c r="I5866" s="14" t="s">
        <v>2458</v>
      </c>
      <c r="J5866" s="33" t="e">
        <f>VLOOKUP(C5866,شرکتها!A:B,2,FALSE)</f>
        <v>#N/A</v>
      </c>
      <c r="K5866" s="33" t="s">
        <v>14006</v>
      </c>
      <c r="L5866" s="53" t="str">
        <f>" ميانمار"</f>
        <v xml:space="preserve"> ميانمار</v>
      </c>
      <c r="M5866" s="68" t="str">
        <f t="shared" si="212"/>
        <v>بشكه</v>
      </c>
      <c r="N5866" s="53" t="str">
        <f t="shared" si="210"/>
        <v>منطقه ويژه اقتصادي شهيد رجايي</v>
      </c>
      <c r="O5866" s="53">
        <v>50100</v>
      </c>
      <c r="P5866" s="198" t="str">
        <f>"1397561062001"</f>
        <v>1397561062001</v>
      </c>
    </row>
    <row r="5867" spans="1:16" ht="18.75" hidden="1">
      <c r="A5867" s="50" t="str">
        <f>"50100-10310852"</f>
        <v>50100-10310852</v>
      </c>
      <c r="B5867" s="50" t="str">
        <f>"97/03/17"</f>
        <v>97/03/17</v>
      </c>
      <c r="C5867" s="50" t="s">
        <v>13874</v>
      </c>
      <c r="D5867" s="12" t="str">
        <f>"97/03/06"</f>
        <v>97/03/06</v>
      </c>
      <c r="E5867" s="12">
        <v>97</v>
      </c>
      <c r="F5867" s="49">
        <v>504680</v>
      </c>
      <c r="G5867" s="77" t="str">
        <f>"LLC Black Gem Business"</f>
        <v>LLC Black Gem Business</v>
      </c>
      <c r="H5867" s="14" t="str">
        <f t="shared" si="209"/>
        <v>true</v>
      </c>
      <c r="I5867" s="14" t="s">
        <v>2458</v>
      </c>
      <c r="J5867" s="33" t="s">
        <v>7110</v>
      </c>
      <c r="K5867" s="33" t="s">
        <v>14006</v>
      </c>
      <c r="L5867" s="53" t="str">
        <f>"بنگلادش"</f>
        <v>بنگلادش</v>
      </c>
      <c r="M5867" s="68" t="str">
        <f t="shared" si="212"/>
        <v>بشكه</v>
      </c>
      <c r="N5867" s="53" t="str">
        <f t="shared" si="210"/>
        <v>منطقه ويژه اقتصادي شهيد رجايي</v>
      </c>
      <c r="O5867" s="53">
        <v>50100</v>
      </c>
      <c r="P5867" s="198" t="str">
        <f>"1397558772001"</f>
        <v>1397558772001</v>
      </c>
    </row>
    <row r="5868" spans="1:16" ht="18.75" hidden="1">
      <c r="A5868" s="50" t="str">
        <f>"50100-10310753"</f>
        <v>50100-10310753</v>
      </c>
      <c r="B5868" s="50" t="str">
        <f>"97/03/17"</f>
        <v>97/03/17</v>
      </c>
      <c r="C5868" s="50" t="s">
        <v>13998</v>
      </c>
      <c r="D5868" s="12" t="s">
        <v>13969</v>
      </c>
      <c r="E5868" s="12">
        <v>97</v>
      </c>
      <c r="F5868" s="49">
        <v>144360</v>
      </c>
      <c r="G5868" s="77" t="s">
        <v>13546</v>
      </c>
      <c r="H5868" s="14" t="str">
        <f t="shared" si="209"/>
        <v>true</v>
      </c>
      <c r="I5868" s="14" t="s">
        <v>2458</v>
      </c>
      <c r="J5868" s="33" t="s">
        <v>7110</v>
      </c>
      <c r="K5868" s="33" t="s">
        <v>14006</v>
      </c>
      <c r="L5868" s="53" t="str">
        <f>"هند"</f>
        <v>هند</v>
      </c>
      <c r="M5868" s="68" t="str">
        <f t="shared" si="212"/>
        <v>بشكه</v>
      </c>
      <c r="N5868" s="53" t="str">
        <f t="shared" si="210"/>
        <v>منطقه ويژه اقتصادي شهيد رجايي</v>
      </c>
      <c r="O5868" s="53">
        <v>50100</v>
      </c>
      <c r="P5868" s="198">
        <v>1397558723001</v>
      </c>
    </row>
    <row r="5869" spans="1:16" ht="18.75" hidden="1">
      <c r="A5869" s="54" t="str">
        <f>"50100-10325401"</f>
        <v>50100-10325401</v>
      </c>
      <c r="B5869" s="54" t="str">
        <f>"97/03/21"</f>
        <v>97/03/21</v>
      </c>
      <c r="C5869" s="54" t="s">
        <v>13885</v>
      </c>
      <c r="D5869" s="55" t="str">
        <f>"96/08/25"</f>
        <v>96/08/25</v>
      </c>
      <c r="E5869" s="55">
        <v>96</v>
      </c>
      <c r="F5869" s="56">
        <v>261970</v>
      </c>
      <c r="G5869" s="186" t="str">
        <f>"SHINING GREEN STAR FZE"</f>
        <v>SHINING GREEN STAR FZE</v>
      </c>
      <c r="H5869" s="57" t="str">
        <f t="shared" si="209"/>
        <v>true</v>
      </c>
      <c r="I5869" s="57" t="s">
        <v>2458</v>
      </c>
      <c r="J5869" s="187" t="e">
        <f>VLOOKUP(C5869,شرکتها!A:B,2,FALSE)</f>
        <v>#N/A</v>
      </c>
      <c r="K5869" s="187" t="s">
        <v>14006</v>
      </c>
      <c r="L5869" s="188" t="str">
        <f>"هند"</f>
        <v>هند</v>
      </c>
      <c r="M5869" s="189" t="str">
        <f t="shared" si="212"/>
        <v>بشكه</v>
      </c>
      <c r="N5869" s="188" t="str">
        <f t="shared" si="210"/>
        <v>منطقه ويژه اقتصادي شهيد رجايي</v>
      </c>
      <c r="O5869" s="188">
        <v>50100</v>
      </c>
      <c r="P5869" s="200" t="str">
        <f>"1396522396001"</f>
        <v>1396522396001</v>
      </c>
    </row>
    <row r="5870" spans="1:16" ht="18.75" hidden="1">
      <c r="A5870" s="50" t="str">
        <f>"50100-10338181"</f>
        <v>50100-10338181</v>
      </c>
      <c r="B5870" s="50" t="str">
        <f>"97/03/23"</f>
        <v>97/03/23</v>
      </c>
      <c r="C5870" s="50" t="s">
        <v>13999</v>
      </c>
      <c r="D5870" s="12" t="str">
        <f>"97/02/08"</f>
        <v>97/02/08</v>
      </c>
      <c r="E5870" s="12">
        <v>97</v>
      </c>
      <c r="F5870" s="49">
        <v>318914</v>
      </c>
      <c r="G5870" s="77" t="str">
        <f>"DAXON PETROLEUM"</f>
        <v>DAXON PETROLEUM</v>
      </c>
      <c r="H5870" s="14" t="str">
        <f t="shared" si="209"/>
        <v>true</v>
      </c>
      <c r="I5870" s="14" t="s">
        <v>2458</v>
      </c>
      <c r="J5870" s="33" t="s">
        <v>7110</v>
      </c>
      <c r="K5870" s="33" t="s">
        <v>14006</v>
      </c>
      <c r="L5870" s="53" t="str">
        <f>"تايوان"</f>
        <v>تايوان</v>
      </c>
      <c r="M5870" s="68" t="str">
        <f t="shared" si="212"/>
        <v>بشكه</v>
      </c>
      <c r="N5870" s="53" t="str">
        <f t="shared" si="210"/>
        <v>منطقه ويژه اقتصادي شهيد رجايي</v>
      </c>
      <c r="O5870" s="53">
        <v>50100</v>
      </c>
      <c r="P5870" s="198" t="str">
        <f>"1396548700001"</f>
        <v>1396548700001</v>
      </c>
    </row>
    <row r="5871" spans="1:16" ht="18.75" hidden="1">
      <c r="A5871" s="50" t="str">
        <f>"50100-10328744"</f>
        <v>50100-10328744</v>
      </c>
      <c r="B5871" s="50" t="str">
        <f>"97/03/21"</f>
        <v>97/03/21</v>
      </c>
      <c r="C5871" s="50" t="s">
        <v>14000</v>
      </c>
      <c r="D5871" s="12" t="str">
        <f>"97/02/04"</f>
        <v>97/02/04</v>
      </c>
      <c r="E5871" s="12">
        <v>97</v>
      </c>
      <c r="F5871" s="49">
        <v>284084</v>
      </c>
      <c r="G5871" s="77" t="str">
        <f>"LLC Sebco Bitumen"</f>
        <v>LLC Sebco Bitumen</v>
      </c>
      <c r="H5871" s="14" t="str">
        <f t="shared" si="209"/>
        <v>true</v>
      </c>
      <c r="I5871" s="14" t="s">
        <v>2458</v>
      </c>
      <c r="J5871" s="33" t="s">
        <v>7110</v>
      </c>
      <c r="K5871" s="33" t="s">
        <v>14006</v>
      </c>
      <c r="L5871" s="53" t="str">
        <f>"سودان"</f>
        <v>سودان</v>
      </c>
      <c r="M5871" s="68" t="str">
        <f t="shared" si="212"/>
        <v>بشكه</v>
      </c>
      <c r="N5871" s="53" t="str">
        <f t="shared" si="210"/>
        <v>منطقه ويژه اقتصادي شهيد رجايي</v>
      </c>
      <c r="O5871" s="53">
        <v>50100</v>
      </c>
      <c r="P5871" s="198" t="str">
        <f>"1397558720001"</f>
        <v>1397558720001</v>
      </c>
    </row>
    <row r="5872" spans="1:16" ht="18.75" hidden="1">
      <c r="A5872" s="50" t="str">
        <f>"50100-10325401"</f>
        <v>50100-10325401</v>
      </c>
      <c r="B5872" s="50" t="str">
        <f>"97/03/21"</f>
        <v>97/03/21</v>
      </c>
      <c r="C5872" s="50" t="s">
        <v>13766</v>
      </c>
      <c r="D5872" s="12" t="str">
        <f>"97/02/09"</f>
        <v>97/02/09</v>
      </c>
      <c r="E5872" s="12">
        <v>97</v>
      </c>
      <c r="F5872" s="49">
        <v>78621</v>
      </c>
      <c r="G5872" s="77" t="str">
        <f>"SHINING GREEN STAR FZE"</f>
        <v>SHINING GREEN STAR FZE</v>
      </c>
      <c r="H5872" s="14" t="str">
        <f t="shared" si="209"/>
        <v>true</v>
      </c>
      <c r="I5872" s="14" t="s">
        <v>2458</v>
      </c>
      <c r="J5872" s="33" t="e">
        <f>VLOOKUP(C5872,شرکتها!A:B,2,FALSE)</f>
        <v>#N/A</v>
      </c>
      <c r="K5872" s="33" t="s">
        <v>14006</v>
      </c>
      <c r="L5872" s="53" t="str">
        <f>"هند"</f>
        <v>هند</v>
      </c>
      <c r="M5872" s="68" t="str">
        <f t="shared" si="212"/>
        <v>بشكه</v>
      </c>
      <c r="N5872" s="53" t="str">
        <f t="shared" si="210"/>
        <v>منطقه ويژه اقتصادي شهيد رجايي</v>
      </c>
      <c r="O5872" s="53">
        <v>50100</v>
      </c>
      <c r="P5872" s="198" t="str">
        <f>"1396548703001"</f>
        <v>1396548703001</v>
      </c>
    </row>
    <row r="5873" spans="1:16" ht="18.75" hidden="1">
      <c r="A5873" s="54" t="str">
        <f>"50100-10325401"</f>
        <v>50100-10325401</v>
      </c>
      <c r="B5873" s="54" t="str">
        <f>"97/03/21"</f>
        <v>97/03/21</v>
      </c>
      <c r="C5873" s="54" t="s">
        <v>12475</v>
      </c>
      <c r="D5873" s="55" t="str">
        <f>"96/08/10"</f>
        <v>96/08/10</v>
      </c>
      <c r="E5873" s="55">
        <v>96</v>
      </c>
      <c r="F5873" s="56">
        <v>156417</v>
      </c>
      <c r="G5873" s="186" t="str">
        <f>"SHINING GREEN STAR FZE"</f>
        <v>SHINING GREEN STAR FZE</v>
      </c>
      <c r="H5873" s="57" t="str">
        <f t="shared" si="209"/>
        <v>true</v>
      </c>
      <c r="I5873" s="57" t="s">
        <v>2458</v>
      </c>
      <c r="J5873" s="187" t="e">
        <f>VLOOKUP(C5873,شرکتها!A:B,2,FALSE)</f>
        <v>#N/A</v>
      </c>
      <c r="K5873" s="187" t="s">
        <v>14006</v>
      </c>
      <c r="L5873" s="188" t="str">
        <f>"هند"</f>
        <v>هند</v>
      </c>
      <c r="M5873" s="189" t="str">
        <f t="shared" si="212"/>
        <v>بشكه</v>
      </c>
      <c r="N5873" s="188" t="str">
        <f t="shared" si="210"/>
        <v>منطقه ويژه اقتصادي شهيد رجايي</v>
      </c>
      <c r="O5873" s="188">
        <v>50100</v>
      </c>
      <c r="P5873" s="200" t="str">
        <f>"1396519125001"</f>
        <v>1396519125001</v>
      </c>
    </row>
    <row r="5874" spans="1:16" ht="18.75" hidden="1">
      <c r="A5874" s="50" t="str">
        <f>"50100-10338181"</f>
        <v>50100-10338181</v>
      </c>
      <c r="B5874" s="50" t="str">
        <f>"97/03/23"</f>
        <v>97/03/23</v>
      </c>
      <c r="C5874" s="50" t="s">
        <v>14001</v>
      </c>
      <c r="D5874" s="12" t="str">
        <f>"97/02/08"</f>
        <v>97/02/08</v>
      </c>
      <c r="E5874" s="12">
        <v>97</v>
      </c>
      <c r="F5874" s="49">
        <v>553034</v>
      </c>
      <c r="G5874" s="77" t="str">
        <f>"DAXON PETROLEUM"</f>
        <v>DAXON PETROLEUM</v>
      </c>
      <c r="H5874" s="14" t="str">
        <f t="shared" si="209"/>
        <v>true</v>
      </c>
      <c r="I5874" s="14" t="s">
        <v>2458</v>
      </c>
      <c r="J5874" s="33" t="s">
        <v>7110</v>
      </c>
      <c r="K5874" s="33" t="s">
        <v>14006</v>
      </c>
      <c r="L5874" s="53" t="str">
        <f>"تايوان"</f>
        <v>تايوان</v>
      </c>
      <c r="M5874" s="68" t="str">
        <f t="shared" si="212"/>
        <v>بشكه</v>
      </c>
      <c r="N5874" s="53" t="str">
        <f t="shared" si="210"/>
        <v>منطقه ويژه اقتصادي شهيد رجايي</v>
      </c>
      <c r="O5874" s="53">
        <v>50100</v>
      </c>
      <c r="P5874" s="198" t="str">
        <f>"1396548700001"</f>
        <v>1396548700001</v>
      </c>
    </row>
    <row r="5875" spans="1:16" ht="18.75" hidden="1">
      <c r="A5875" s="50" t="str">
        <f>"50100-10325073"</f>
        <v>50100-10325073</v>
      </c>
      <c r="B5875" s="50" t="str">
        <f>"97/03/21"</f>
        <v>97/03/21</v>
      </c>
      <c r="C5875" s="50" t="s">
        <v>14002</v>
      </c>
      <c r="D5875" s="12" t="str">
        <f>"97/03/13"</f>
        <v>97/03/13</v>
      </c>
      <c r="E5875" s="12">
        <v>97</v>
      </c>
      <c r="F5875" s="49">
        <v>1300000</v>
      </c>
      <c r="G5875" s="77" t="str">
        <f>"AL MASAR PETROLUME L.L.C"</f>
        <v>AL MASAR PETROLUME L.L.C</v>
      </c>
      <c r="H5875" s="14" t="str">
        <f t="shared" si="209"/>
        <v>true</v>
      </c>
      <c r="I5875" s="14" t="s">
        <v>2458</v>
      </c>
      <c r="J5875" s="33" t="e">
        <f>VLOOKUP(C5875,شرکتها!A:B,2,FALSE)</f>
        <v>#N/A</v>
      </c>
      <c r="K5875" s="33" t="s">
        <v>14006</v>
      </c>
      <c r="L5875" s="53" t="str">
        <f>"قطر"</f>
        <v>قطر</v>
      </c>
      <c r="M5875" s="68" t="str">
        <f>"فله"</f>
        <v>فله</v>
      </c>
      <c r="N5875" s="53" t="str">
        <f t="shared" si="210"/>
        <v>منطقه ويژه اقتصادي شهيد رجايي</v>
      </c>
      <c r="O5875" s="53">
        <v>50100</v>
      </c>
      <c r="P5875" s="198" t="str">
        <f>"1396536910001"</f>
        <v>1396536910001</v>
      </c>
    </row>
    <row r="5876" spans="1:16" ht="18.75" hidden="1">
      <c r="A5876" s="50" t="str">
        <f>"50100-10338181"</f>
        <v>50100-10338181</v>
      </c>
      <c r="B5876" s="50" t="str">
        <f>"97/03/23"</f>
        <v>97/03/23</v>
      </c>
      <c r="C5876" s="50" t="s">
        <v>13862</v>
      </c>
      <c r="D5876" s="12" t="str">
        <f>"97/01/28"</f>
        <v>97/01/28</v>
      </c>
      <c r="E5876" s="12">
        <v>97</v>
      </c>
      <c r="F5876" s="49">
        <v>127322</v>
      </c>
      <c r="G5876" s="77" t="str">
        <f>"DAXON PETROLEUM"</f>
        <v>DAXON PETROLEUM</v>
      </c>
      <c r="H5876" s="14" t="str">
        <f t="shared" si="209"/>
        <v>true</v>
      </c>
      <c r="I5876" s="14" t="s">
        <v>2458</v>
      </c>
      <c r="J5876" s="33" t="s">
        <v>7110</v>
      </c>
      <c r="K5876" s="33" t="s">
        <v>14006</v>
      </c>
      <c r="L5876" s="53" t="str">
        <f>"تايوان"</f>
        <v>تايوان</v>
      </c>
      <c r="M5876" s="68" t="str">
        <f>"بشكه"</f>
        <v>بشكه</v>
      </c>
      <c r="N5876" s="53" t="str">
        <f t="shared" si="210"/>
        <v>منطقه ويژه اقتصادي شهيد رجايي</v>
      </c>
      <c r="O5876" s="53">
        <v>50100</v>
      </c>
      <c r="P5876" s="198" t="str">
        <f>"1396548700001"</f>
        <v>1396548700001</v>
      </c>
    </row>
    <row r="5877" spans="1:16" ht="18.75" hidden="1">
      <c r="A5877" s="50" t="str">
        <f>"50100-10310789"</f>
        <v>50100-10310789</v>
      </c>
      <c r="B5877" s="50" t="str">
        <f>"97/03/17"</f>
        <v>97/03/17</v>
      </c>
      <c r="C5877" s="50" t="s">
        <v>14003</v>
      </c>
      <c r="D5877" s="12" t="s">
        <v>13969</v>
      </c>
      <c r="E5877" s="12">
        <v>97</v>
      </c>
      <c r="F5877" s="49">
        <v>493157</v>
      </c>
      <c r="G5877" s="77" t="s">
        <v>6298</v>
      </c>
      <c r="H5877" s="14" t="str">
        <f t="shared" si="209"/>
        <v>true</v>
      </c>
      <c r="I5877" s="14" t="s">
        <v>2458</v>
      </c>
      <c r="J5877" s="33" t="s">
        <v>7110</v>
      </c>
      <c r="K5877" s="33" t="s">
        <v>14006</v>
      </c>
      <c r="L5877" s="53" t="str">
        <f>"هند"</f>
        <v>هند</v>
      </c>
      <c r="M5877" s="68" t="str">
        <f>"بشكه"</f>
        <v>بشكه</v>
      </c>
      <c r="N5877" s="53" t="str">
        <f t="shared" si="210"/>
        <v>منطقه ويژه اقتصادي شهيد رجايي</v>
      </c>
      <c r="O5877" s="53">
        <v>50100</v>
      </c>
      <c r="P5877" s="198">
        <v>1397558720001</v>
      </c>
    </row>
    <row r="5878" spans="1:16" ht="18.75" hidden="1">
      <c r="A5878" s="50" t="str">
        <f>"50100-10325013"</f>
        <v>50100-10325013</v>
      </c>
      <c r="B5878" s="50" t="str">
        <f>"97/03/21"</f>
        <v>97/03/21</v>
      </c>
      <c r="C5878" s="50" t="s">
        <v>14004</v>
      </c>
      <c r="D5878" s="12" t="str">
        <f>"97/03/21"</f>
        <v>97/03/21</v>
      </c>
      <c r="E5878" s="12">
        <v>97</v>
      </c>
      <c r="F5878" s="49">
        <v>944759</v>
      </c>
      <c r="G5878" s="77" t="str">
        <f>"AL MASAR PETROLUME L.L.C"</f>
        <v>AL MASAR PETROLUME L.L.C</v>
      </c>
      <c r="H5878" s="14" t="str">
        <f t="shared" si="209"/>
        <v>true</v>
      </c>
      <c r="I5878" s="14" t="s">
        <v>2458</v>
      </c>
      <c r="J5878" s="33" t="e">
        <f>VLOOKUP(C5878,شرکتها!A:B,2,FALSE)</f>
        <v>#N/A</v>
      </c>
      <c r="K5878" s="33" t="s">
        <v>14006</v>
      </c>
      <c r="L5878" s="53" t="str">
        <f>"عمان"</f>
        <v>عمان</v>
      </c>
      <c r="M5878" s="68" t="str">
        <f>"فله"</f>
        <v>فله</v>
      </c>
      <c r="N5878" s="53" t="str">
        <f t="shared" si="210"/>
        <v>منطقه ويژه اقتصادي شهيد رجايي</v>
      </c>
      <c r="O5878" s="53">
        <v>50100</v>
      </c>
      <c r="P5878" s="198" t="str">
        <f>"1397570123001"</f>
        <v>1397570123001</v>
      </c>
    </row>
    <row r="5879" spans="1:16" ht="18.75" hidden="1">
      <c r="A5879" s="50" t="str">
        <f>"50100-10363782"</f>
        <v>50100-10363782</v>
      </c>
      <c r="B5879" s="50" t="str">
        <f>"97/03/31"</f>
        <v>97/03/31</v>
      </c>
      <c r="C5879" s="50" t="s">
        <v>14005</v>
      </c>
      <c r="D5879" s="12" t="s">
        <v>14006</v>
      </c>
      <c r="E5879" s="12">
        <v>97</v>
      </c>
      <c r="F5879" s="49">
        <v>984384</v>
      </c>
      <c r="G5879" s="77" t="s">
        <v>13546</v>
      </c>
      <c r="H5879" s="14" t="str">
        <f t="shared" si="209"/>
        <v>true</v>
      </c>
      <c r="I5879" s="14" t="s">
        <v>2458</v>
      </c>
      <c r="J5879" s="33" t="s">
        <v>7110</v>
      </c>
      <c r="K5879" s="33" t="s">
        <v>14006</v>
      </c>
      <c r="L5879" s="53" t="str">
        <f>"هند"</f>
        <v>هند</v>
      </c>
      <c r="M5879" s="68" t="str">
        <f t="shared" ref="M5879:M5896" si="213">"بشكه"</f>
        <v>بشكه</v>
      </c>
      <c r="N5879" s="53" t="str">
        <f t="shared" si="210"/>
        <v>منطقه ويژه اقتصادي شهيد رجايي</v>
      </c>
      <c r="O5879" s="53">
        <v>50100</v>
      </c>
      <c r="P5879" s="198">
        <v>1397561080001</v>
      </c>
    </row>
    <row r="5880" spans="1:16" ht="18.75" hidden="1">
      <c r="A5880" s="50" t="str">
        <f>"50100-10325514"</f>
        <v>50100-10325514</v>
      </c>
      <c r="B5880" s="50" t="str">
        <f>"97/03/21"</f>
        <v>97/03/21</v>
      </c>
      <c r="C5880" s="50" t="s">
        <v>14001</v>
      </c>
      <c r="D5880" s="12" t="str">
        <f>"97/02/08"</f>
        <v>97/02/08</v>
      </c>
      <c r="E5880" s="12">
        <v>97</v>
      </c>
      <c r="F5880" s="49">
        <v>746966</v>
      </c>
      <c r="G5880" s="77" t="str">
        <f>"DAXON PETROLEUM"</f>
        <v>DAXON PETROLEUM</v>
      </c>
      <c r="H5880" s="14" t="str">
        <f t="shared" si="209"/>
        <v>true</v>
      </c>
      <c r="I5880" s="14" t="s">
        <v>2458</v>
      </c>
      <c r="J5880" s="33" t="s">
        <v>7110</v>
      </c>
      <c r="K5880" s="33" t="s">
        <v>14006</v>
      </c>
      <c r="L5880" s="53" t="str">
        <f>"تايوان"</f>
        <v>تايوان</v>
      </c>
      <c r="M5880" s="68" t="str">
        <f t="shared" si="213"/>
        <v>بشكه</v>
      </c>
      <c r="N5880" s="53" t="str">
        <f t="shared" si="210"/>
        <v>منطقه ويژه اقتصادي شهيد رجايي</v>
      </c>
      <c r="O5880" s="53">
        <v>50100</v>
      </c>
      <c r="P5880" s="198" t="str">
        <f>"1396548700001"</f>
        <v>1396548700001</v>
      </c>
    </row>
    <row r="5881" spans="1:16" ht="18.75" hidden="1">
      <c r="A5881" s="50" t="str">
        <f>"50100-10325514"</f>
        <v>50100-10325514</v>
      </c>
      <c r="B5881" s="50" t="str">
        <f>"97/03/21"</f>
        <v>97/03/21</v>
      </c>
      <c r="C5881" s="50" t="s">
        <v>14007</v>
      </c>
      <c r="D5881" s="12" t="str">
        <f>"97/02/04"</f>
        <v>97/02/04</v>
      </c>
      <c r="E5881" s="12">
        <v>97</v>
      </c>
      <c r="F5881" s="49">
        <v>250000</v>
      </c>
      <c r="G5881" s="77" t="str">
        <f>"DAXON PETROLEUM"</f>
        <v>DAXON PETROLEUM</v>
      </c>
      <c r="H5881" s="14" t="str">
        <f t="shared" si="209"/>
        <v>true</v>
      </c>
      <c r="I5881" s="14" t="s">
        <v>2458</v>
      </c>
      <c r="J5881" s="33" t="s">
        <v>7110</v>
      </c>
      <c r="K5881" s="33" t="s">
        <v>14006</v>
      </c>
      <c r="L5881" s="53" t="str">
        <f>"تايوان"</f>
        <v>تايوان</v>
      </c>
      <c r="M5881" s="68" t="str">
        <f t="shared" si="213"/>
        <v>بشكه</v>
      </c>
      <c r="N5881" s="53" t="str">
        <f t="shared" si="210"/>
        <v>منطقه ويژه اقتصادي شهيد رجايي</v>
      </c>
      <c r="O5881" s="53">
        <v>50100</v>
      </c>
      <c r="P5881" s="198" t="str">
        <f>"1397558729001"</f>
        <v>1397558729001</v>
      </c>
    </row>
    <row r="5882" spans="1:16" ht="18.75" hidden="1">
      <c r="A5882" s="50" t="str">
        <f>"50100-10353042"</f>
        <v>50100-10353042</v>
      </c>
      <c r="B5882" s="50" t="str">
        <f>"97/03/28"</f>
        <v>97/03/28</v>
      </c>
      <c r="C5882" s="50" t="s">
        <v>14008</v>
      </c>
      <c r="D5882" s="12" t="str">
        <f>"97/02/18"</f>
        <v>97/02/18</v>
      </c>
      <c r="E5882" s="12">
        <v>97</v>
      </c>
      <c r="F5882" s="49">
        <v>197535</v>
      </c>
      <c r="G5882" s="77" t="str">
        <f>"DAXON PETROLEUM"</f>
        <v>DAXON PETROLEUM</v>
      </c>
      <c r="H5882" s="14" t="str">
        <f t="shared" si="209"/>
        <v>true</v>
      </c>
      <c r="I5882" s="14" t="s">
        <v>2458</v>
      </c>
      <c r="J5882" s="33" t="s">
        <v>7110</v>
      </c>
      <c r="K5882" s="33" t="s">
        <v>14006</v>
      </c>
      <c r="L5882" s="53" t="str">
        <f>"ماداگاسكار"</f>
        <v>ماداگاسكار</v>
      </c>
      <c r="M5882" s="68" t="str">
        <f t="shared" si="213"/>
        <v>بشكه</v>
      </c>
      <c r="N5882" s="53" t="str">
        <f t="shared" si="210"/>
        <v>منطقه ويژه اقتصادي شهيد رجايي</v>
      </c>
      <c r="O5882" s="53">
        <v>50100</v>
      </c>
      <c r="P5882" s="198" t="str">
        <f>"1397558729001"</f>
        <v>1397558729001</v>
      </c>
    </row>
    <row r="5883" spans="1:16" ht="18.75" hidden="1">
      <c r="A5883" s="50" t="str">
        <f>"50100-10332750"</f>
        <v>50100-10332750</v>
      </c>
      <c r="B5883" s="50" t="str">
        <f>"97/03/22"</f>
        <v>97/03/22</v>
      </c>
      <c r="C5883" s="50" t="s">
        <v>14009</v>
      </c>
      <c r="D5883" s="12" t="s">
        <v>14010</v>
      </c>
      <c r="E5883" s="12">
        <v>97</v>
      </c>
      <c r="F5883" s="49">
        <v>989136</v>
      </c>
      <c r="G5883" s="77" t="s">
        <v>6298</v>
      </c>
      <c r="H5883" s="14" t="str">
        <f t="shared" si="209"/>
        <v>true</v>
      </c>
      <c r="I5883" s="14" t="s">
        <v>2458</v>
      </c>
      <c r="J5883" s="33" t="s">
        <v>7110</v>
      </c>
      <c r="K5883" s="33" t="s">
        <v>14006</v>
      </c>
      <c r="L5883" s="53" t="str">
        <f>"هند"</f>
        <v>هند</v>
      </c>
      <c r="M5883" s="68" t="str">
        <f t="shared" si="213"/>
        <v>بشكه</v>
      </c>
      <c r="N5883" s="53" t="str">
        <f t="shared" si="210"/>
        <v>منطقه ويژه اقتصادي شهيد رجايي</v>
      </c>
      <c r="O5883" s="53">
        <v>50100</v>
      </c>
      <c r="P5883" s="198">
        <v>1397561058001</v>
      </c>
    </row>
    <row r="5884" spans="1:16" ht="18.75" hidden="1">
      <c r="A5884" s="50" t="str">
        <f>"50100-10310906"</f>
        <v>50100-10310906</v>
      </c>
      <c r="B5884" s="50" t="str">
        <f>"97/03/17"</f>
        <v>97/03/17</v>
      </c>
      <c r="C5884" s="50" t="s">
        <v>13772</v>
      </c>
      <c r="D5884" s="12" t="str">
        <f>"97/01/22"</f>
        <v>97/01/22</v>
      </c>
      <c r="E5884" s="12">
        <v>97</v>
      </c>
      <c r="F5884" s="49">
        <v>198330</v>
      </c>
      <c r="G5884" s="77" t="str">
        <f>"DAXON PETROLEUM"</f>
        <v>DAXON PETROLEUM</v>
      </c>
      <c r="H5884" s="14" t="str">
        <f t="shared" si="209"/>
        <v>true</v>
      </c>
      <c r="I5884" s="14" t="s">
        <v>2458</v>
      </c>
      <c r="J5884" s="33" t="s">
        <v>7110</v>
      </c>
      <c r="K5884" s="33" t="s">
        <v>14006</v>
      </c>
      <c r="L5884" s="53" t="str">
        <f>"اندونزي"</f>
        <v>اندونزي</v>
      </c>
      <c r="M5884" s="68" t="str">
        <f t="shared" si="213"/>
        <v>بشكه</v>
      </c>
      <c r="N5884" s="53" t="str">
        <f t="shared" si="210"/>
        <v>منطقه ويژه اقتصادي شهيد رجايي</v>
      </c>
      <c r="O5884" s="53">
        <v>50100</v>
      </c>
      <c r="P5884" s="198" t="str">
        <f>"1396548700001"</f>
        <v>1396548700001</v>
      </c>
    </row>
    <row r="5885" spans="1:16" ht="18.75" hidden="1">
      <c r="A5885" s="50" t="str">
        <f>"50100-10328876"</f>
        <v>50100-10328876</v>
      </c>
      <c r="B5885" s="50" t="str">
        <f>"97/03/21"</f>
        <v>97/03/21</v>
      </c>
      <c r="C5885" s="50" t="s">
        <v>14000</v>
      </c>
      <c r="D5885" s="12" t="str">
        <f>"97/02/04"</f>
        <v>97/02/04</v>
      </c>
      <c r="E5885" s="12">
        <v>97</v>
      </c>
      <c r="F5885" s="49">
        <v>165916</v>
      </c>
      <c r="G5885" s="77" t="str">
        <f>"LLC Sebco Bitumen"</f>
        <v>LLC Sebco Bitumen</v>
      </c>
      <c r="H5885" s="14" t="str">
        <f t="shared" si="209"/>
        <v>true</v>
      </c>
      <c r="I5885" s="14" t="s">
        <v>2458</v>
      </c>
      <c r="J5885" s="33" t="s">
        <v>7110</v>
      </c>
      <c r="K5885" s="33" t="s">
        <v>14006</v>
      </c>
      <c r="L5885" s="53" t="str">
        <f>"تايوان"</f>
        <v>تايوان</v>
      </c>
      <c r="M5885" s="68" t="str">
        <f t="shared" si="213"/>
        <v>بشكه</v>
      </c>
      <c r="N5885" s="53" t="str">
        <f t="shared" si="210"/>
        <v>منطقه ويژه اقتصادي شهيد رجايي</v>
      </c>
      <c r="O5885" s="53">
        <v>50100</v>
      </c>
      <c r="P5885" s="198" t="str">
        <f>"1397558720001"</f>
        <v>1397558720001</v>
      </c>
    </row>
    <row r="5886" spans="1:16" ht="18.75" hidden="1">
      <c r="A5886" s="50" t="str">
        <f>"50100-10332921"</f>
        <v>50100-10332921</v>
      </c>
      <c r="B5886" s="50" t="str">
        <f>"97/03/22"</f>
        <v>97/03/22</v>
      </c>
      <c r="C5886" s="50" t="s">
        <v>14011</v>
      </c>
      <c r="D5886" s="12" t="s">
        <v>13996</v>
      </c>
      <c r="E5886" s="12">
        <v>97</v>
      </c>
      <c r="F5886" s="49">
        <v>829391</v>
      </c>
      <c r="G5886" s="77" t="s">
        <v>6452</v>
      </c>
      <c r="H5886" s="14" t="str">
        <f t="shared" si="209"/>
        <v>true</v>
      </c>
      <c r="I5886" s="14" t="s">
        <v>2458</v>
      </c>
      <c r="J5886" s="33" t="e">
        <f>VLOOKUP(C5886,شرکتها!A:B,2,FALSE)</f>
        <v>#N/A</v>
      </c>
      <c r="K5886" s="33" t="s">
        <v>14006</v>
      </c>
      <c r="L5886" s="53" t="str">
        <f>"هند"</f>
        <v>هند</v>
      </c>
      <c r="M5886" s="68" t="str">
        <f t="shared" si="213"/>
        <v>بشكه</v>
      </c>
      <c r="N5886" s="53" t="str">
        <f t="shared" si="210"/>
        <v>منطقه ويژه اقتصادي شهيد رجايي</v>
      </c>
      <c r="O5886" s="53">
        <v>50100</v>
      </c>
      <c r="P5886" s="198">
        <v>1397570123001</v>
      </c>
    </row>
    <row r="5887" spans="1:16" ht="18.75" hidden="1">
      <c r="A5887" s="50" t="str">
        <f>"50100-10357948"</f>
        <v>50100-10357948</v>
      </c>
      <c r="B5887" s="50" t="str">
        <f>"97/03/29"</f>
        <v>97/03/29</v>
      </c>
      <c r="C5887" s="50" t="s">
        <v>13989</v>
      </c>
      <c r="D5887" s="12" t="str">
        <f>"97/02/19"</f>
        <v>97/02/19</v>
      </c>
      <c r="E5887" s="12">
        <v>97</v>
      </c>
      <c r="F5887" s="49">
        <v>492887</v>
      </c>
      <c r="G5887" s="77" t="str">
        <f>"GLOBUS INTERNATIONAL FZE"</f>
        <v>GLOBUS INTERNATIONAL FZE</v>
      </c>
      <c r="H5887" s="14" t="str">
        <f t="shared" si="209"/>
        <v>true</v>
      </c>
      <c r="I5887" s="14" t="s">
        <v>2458</v>
      </c>
      <c r="J5887" s="33" t="e">
        <f>VLOOKUP(C5887,شرکتها!A:B,2,FALSE)</f>
        <v>#N/A</v>
      </c>
      <c r="K5887" s="33" t="s">
        <v>14006</v>
      </c>
      <c r="L5887" s="53" t="str">
        <f>" ميانمار"</f>
        <v xml:space="preserve"> ميانمار</v>
      </c>
      <c r="M5887" s="68" t="str">
        <f t="shared" si="213"/>
        <v>بشكه</v>
      </c>
      <c r="N5887" s="53" t="str">
        <f t="shared" si="210"/>
        <v>منطقه ويژه اقتصادي شهيد رجايي</v>
      </c>
      <c r="O5887" s="53">
        <v>50100</v>
      </c>
      <c r="P5887" s="198" t="str">
        <f>"1397561062001"</f>
        <v>1397561062001</v>
      </c>
    </row>
    <row r="5888" spans="1:16" ht="18.75" hidden="1">
      <c r="A5888" s="50" t="str">
        <f>"50100-10326074"</f>
        <v>50100-10326074</v>
      </c>
      <c r="B5888" s="50" t="str">
        <f>"97/03/21"</f>
        <v>97/03/21</v>
      </c>
      <c r="C5888" s="50" t="s">
        <v>13989</v>
      </c>
      <c r="D5888" s="12" t="str">
        <f>"97/02/19"</f>
        <v>97/02/19</v>
      </c>
      <c r="E5888" s="12">
        <v>97</v>
      </c>
      <c r="F5888" s="49">
        <v>495291</v>
      </c>
      <c r="G5888" s="77" t="str">
        <f>"GLOBUS INTERNATIONAL FZE"</f>
        <v>GLOBUS INTERNATIONAL FZE</v>
      </c>
      <c r="H5888" s="14" t="str">
        <f t="shared" si="209"/>
        <v>true</v>
      </c>
      <c r="I5888" s="14" t="s">
        <v>2458</v>
      </c>
      <c r="J5888" s="33" t="e">
        <f>VLOOKUP(C5888,شرکتها!A:B,2,FALSE)</f>
        <v>#N/A</v>
      </c>
      <c r="K5888" s="33" t="s">
        <v>14006</v>
      </c>
      <c r="L5888" s="53" t="str">
        <f>" ميانمار"</f>
        <v xml:space="preserve"> ميانمار</v>
      </c>
      <c r="M5888" s="68" t="str">
        <f t="shared" si="213"/>
        <v>بشكه</v>
      </c>
      <c r="N5888" s="53" t="str">
        <f t="shared" si="210"/>
        <v>منطقه ويژه اقتصادي شهيد رجايي</v>
      </c>
      <c r="O5888" s="53">
        <v>50100</v>
      </c>
      <c r="P5888" s="198" t="str">
        <f>"1397561062001"</f>
        <v>1397561062001</v>
      </c>
    </row>
    <row r="5889" spans="1:16" ht="18.75" hidden="1">
      <c r="A5889" s="50" t="str">
        <f>"50100-10328876"</f>
        <v>50100-10328876</v>
      </c>
      <c r="B5889" s="50" t="str">
        <f>"97/03/21"</f>
        <v>97/03/21</v>
      </c>
      <c r="C5889" s="50" t="s">
        <v>14012</v>
      </c>
      <c r="D5889" s="12" t="str">
        <f>"97/01/28"</f>
        <v>97/01/28</v>
      </c>
      <c r="E5889" s="12">
        <v>97</v>
      </c>
      <c r="F5889" s="49">
        <v>58809</v>
      </c>
      <c r="G5889" s="77" t="str">
        <f>"LLC Sebco Bitumen"</f>
        <v>LLC Sebco Bitumen</v>
      </c>
      <c r="H5889" s="14" t="str">
        <f t="shared" si="209"/>
        <v>true</v>
      </c>
      <c r="I5889" s="14" t="s">
        <v>2458</v>
      </c>
      <c r="J5889" s="33" t="s">
        <v>7110</v>
      </c>
      <c r="K5889" s="33" t="s">
        <v>14006</v>
      </c>
      <c r="L5889" s="53" t="str">
        <f>"تايوان"</f>
        <v>تايوان</v>
      </c>
      <c r="M5889" s="68" t="str">
        <f t="shared" si="213"/>
        <v>بشكه</v>
      </c>
      <c r="N5889" s="53" t="str">
        <f t="shared" si="210"/>
        <v>منطقه ويژه اقتصادي شهيد رجايي</v>
      </c>
      <c r="O5889" s="53">
        <v>50100</v>
      </c>
      <c r="P5889" s="198" t="str">
        <f>"1396548704001"</f>
        <v>1396548704001</v>
      </c>
    </row>
    <row r="5890" spans="1:16" ht="18.75" hidden="1">
      <c r="A5890" s="50" t="str">
        <f>"50100-10357888"</f>
        <v>50100-10357888</v>
      </c>
      <c r="B5890" s="50" t="str">
        <f>"97/03/29"</f>
        <v>97/03/29</v>
      </c>
      <c r="C5890" s="50" t="s">
        <v>13989</v>
      </c>
      <c r="D5890" s="12" t="str">
        <f>"97/02/19"</f>
        <v>97/02/19</v>
      </c>
      <c r="E5890" s="12">
        <v>97</v>
      </c>
      <c r="F5890" s="49">
        <v>492885</v>
      </c>
      <c r="G5890" s="77" t="str">
        <f>"GLOBUS INTERNATIONAL FZE"</f>
        <v>GLOBUS INTERNATIONAL FZE</v>
      </c>
      <c r="H5890" s="14" t="str">
        <f t="shared" si="209"/>
        <v>true</v>
      </c>
      <c r="I5890" s="14" t="s">
        <v>2458</v>
      </c>
      <c r="J5890" s="33" t="e">
        <f>VLOOKUP(C5890,شرکتها!A:B,2,FALSE)</f>
        <v>#N/A</v>
      </c>
      <c r="K5890" s="33" t="s">
        <v>14006</v>
      </c>
      <c r="L5890" s="53" t="str">
        <f>" ميانمار"</f>
        <v xml:space="preserve"> ميانمار</v>
      </c>
      <c r="M5890" s="68" t="str">
        <f t="shared" si="213"/>
        <v>بشكه</v>
      </c>
      <c r="N5890" s="53" t="str">
        <f t="shared" si="210"/>
        <v>منطقه ويژه اقتصادي شهيد رجايي</v>
      </c>
      <c r="O5890" s="53">
        <v>50100</v>
      </c>
      <c r="P5890" s="198" t="str">
        <f>"1397561062001"</f>
        <v>1397561062001</v>
      </c>
    </row>
    <row r="5891" spans="1:16" ht="18.75" hidden="1">
      <c r="A5891" s="50" t="str">
        <f>"50100-10325921"</f>
        <v>50100-10325921</v>
      </c>
      <c r="B5891" s="50" t="str">
        <f t="shared" ref="B5891:B5896" si="214">"97/03/21"</f>
        <v>97/03/21</v>
      </c>
      <c r="C5891" s="50" t="s">
        <v>13992</v>
      </c>
      <c r="D5891" s="12" t="str">
        <f>"97/01/27"</f>
        <v>97/01/27</v>
      </c>
      <c r="E5891" s="12">
        <v>97</v>
      </c>
      <c r="F5891" s="49">
        <v>38502</v>
      </c>
      <c r="G5891" s="77" t="str">
        <f>"LLC Sebco Bitumen"</f>
        <v>LLC Sebco Bitumen</v>
      </c>
      <c r="H5891" s="14" t="str">
        <f t="shared" si="209"/>
        <v>true</v>
      </c>
      <c r="I5891" s="14" t="s">
        <v>2458</v>
      </c>
      <c r="J5891" s="33" t="s">
        <v>7110</v>
      </c>
      <c r="K5891" s="33" t="s">
        <v>14006</v>
      </c>
      <c r="L5891" s="53" t="str">
        <f>"هند"</f>
        <v>هند</v>
      </c>
      <c r="M5891" s="68" t="str">
        <f t="shared" si="213"/>
        <v>بشكه</v>
      </c>
      <c r="N5891" s="53" t="str">
        <f t="shared" si="210"/>
        <v>منطقه ويژه اقتصادي شهيد رجايي</v>
      </c>
      <c r="O5891" s="53">
        <v>50100</v>
      </c>
      <c r="P5891" s="198" t="str">
        <f>"1396548704001"</f>
        <v>1396548704001</v>
      </c>
    </row>
    <row r="5892" spans="1:16" ht="18.75" hidden="1">
      <c r="A5892" s="50" t="str">
        <f>"50100-10325921"</f>
        <v>50100-10325921</v>
      </c>
      <c r="B5892" s="50" t="str">
        <f t="shared" si="214"/>
        <v>97/03/21</v>
      </c>
      <c r="C5892" s="50" t="s">
        <v>13991</v>
      </c>
      <c r="D5892" s="12" t="str">
        <f>"97/01/22"</f>
        <v>97/01/22</v>
      </c>
      <c r="E5892" s="12">
        <v>97</v>
      </c>
      <c r="F5892" s="49">
        <v>91673</v>
      </c>
      <c r="G5892" s="77" t="str">
        <f>"LLC Sebco Bitumen"</f>
        <v>LLC Sebco Bitumen</v>
      </c>
      <c r="H5892" s="14" t="str">
        <f t="shared" si="209"/>
        <v>true</v>
      </c>
      <c r="I5892" s="14" t="s">
        <v>2458</v>
      </c>
      <c r="J5892" s="33" t="s">
        <v>7110</v>
      </c>
      <c r="K5892" s="33" t="s">
        <v>14006</v>
      </c>
      <c r="L5892" s="53" t="str">
        <f>"هند"</f>
        <v>هند</v>
      </c>
      <c r="M5892" s="68" t="str">
        <f t="shared" si="213"/>
        <v>بشكه</v>
      </c>
      <c r="N5892" s="53" t="str">
        <f t="shared" si="210"/>
        <v>منطقه ويژه اقتصادي شهيد رجايي</v>
      </c>
      <c r="O5892" s="53">
        <v>50100</v>
      </c>
      <c r="P5892" s="198" t="str">
        <f>"1396548704001"</f>
        <v>1396548704001</v>
      </c>
    </row>
    <row r="5893" spans="1:16" ht="18.75" hidden="1">
      <c r="A5893" s="50" t="str">
        <f>"50100-10325921"</f>
        <v>50100-10325921</v>
      </c>
      <c r="B5893" s="50" t="str">
        <f t="shared" si="214"/>
        <v>97/03/21</v>
      </c>
      <c r="C5893" s="50" t="s">
        <v>13862</v>
      </c>
      <c r="D5893" s="12" t="str">
        <f>"97/01/28"</f>
        <v>97/01/28</v>
      </c>
      <c r="E5893" s="12">
        <v>97</v>
      </c>
      <c r="F5893" s="49">
        <v>170000</v>
      </c>
      <c r="G5893" s="77" t="str">
        <f>"DAXON PETROLEUM"</f>
        <v>DAXON PETROLEUM</v>
      </c>
      <c r="H5893" s="14" t="str">
        <f t="shared" si="209"/>
        <v>true</v>
      </c>
      <c r="I5893" s="14" t="s">
        <v>2458</v>
      </c>
      <c r="J5893" s="33" t="s">
        <v>7110</v>
      </c>
      <c r="K5893" s="33" t="s">
        <v>14006</v>
      </c>
      <c r="L5893" s="53" t="str">
        <f>"هند"</f>
        <v>هند</v>
      </c>
      <c r="M5893" s="68" t="str">
        <f t="shared" si="213"/>
        <v>بشكه</v>
      </c>
      <c r="N5893" s="53" t="str">
        <f t="shared" si="210"/>
        <v>منطقه ويژه اقتصادي شهيد رجايي</v>
      </c>
      <c r="O5893" s="53">
        <v>50100</v>
      </c>
      <c r="P5893" s="198" t="str">
        <f>"1396548700001"</f>
        <v>1396548700001</v>
      </c>
    </row>
    <row r="5894" spans="1:16" ht="18.75" hidden="1">
      <c r="A5894" s="50" t="str">
        <f>"50100-10328587"</f>
        <v>50100-10328587</v>
      </c>
      <c r="B5894" s="50" t="str">
        <f t="shared" si="214"/>
        <v>97/03/21</v>
      </c>
      <c r="C5894" s="50" t="s">
        <v>13986</v>
      </c>
      <c r="D5894" s="12" t="str">
        <f>"97/02/04"</f>
        <v>97/02/04</v>
      </c>
      <c r="E5894" s="12">
        <v>97</v>
      </c>
      <c r="F5894" s="49">
        <v>236334</v>
      </c>
      <c r="G5894" s="77" t="str">
        <f>"LLC Sebco Bitumen"</f>
        <v>LLC Sebco Bitumen</v>
      </c>
      <c r="H5894" s="14" t="str">
        <f t="shared" si="209"/>
        <v>true</v>
      </c>
      <c r="I5894" s="14" t="s">
        <v>2458</v>
      </c>
      <c r="J5894" s="33" t="s">
        <v>7110</v>
      </c>
      <c r="K5894" s="33" t="s">
        <v>14006</v>
      </c>
      <c r="L5894" s="53" t="str">
        <f>"جيبوتي"</f>
        <v>جيبوتي</v>
      </c>
      <c r="M5894" s="68" t="str">
        <f t="shared" si="213"/>
        <v>بشكه</v>
      </c>
      <c r="N5894" s="53" t="str">
        <f t="shared" si="210"/>
        <v>منطقه ويژه اقتصادي شهيد رجايي</v>
      </c>
      <c r="O5894" s="53">
        <v>50100</v>
      </c>
      <c r="P5894" s="198" t="str">
        <f>"1397558720001"</f>
        <v>1397558720001</v>
      </c>
    </row>
    <row r="5895" spans="1:16" ht="18.75" hidden="1">
      <c r="A5895" s="54" t="str">
        <f>"50100-10325259"</f>
        <v>50100-10325259</v>
      </c>
      <c r="B5895" s="54" t="str">
        <f t="shared" si="214"/>
        <v>97/03/21</v>
      </c>
      <c r="C5895" s="54" t="s">
        <v>14013</v>
      </c>
      <c r="D5895" s="55" t="str">
        <f>"96/09/12"</f>
        <v>96/09/12</v>
      </c>
      <c r="E5895" s="55">
        <v>96</v>
      </c>
      <c r="F5895" s="56">
        <v>500000</v>
      </c>
      <c r="G5895" s="186" t="str">
        <f>"SHINING GREEN STAR FZE"</f>
        <v>SHINING GREEN STAR FZE</v>
      </c>
      <c r="H5895" s="57" t="str">
        <f t="shared" si="209"/>
        <v>true</v>
      </c>
      <c r="I5895" s="57" t="s">
        <v>2458</v>
      </c>
      <c r="J5895" s="187" t="e">
        <f>VLOOKUP(C5895,شرکتها!A:B,2,FALSE)</f>
        <v>#N/A</v>
      </c>
      <c r="K5895" s="187" t="s">
        <v>14006</v>
      </c>
      <c r="L5895" s="188" t="str">
        <f>"هند"</f>
        <v>هند</v>
      </c>
      <c r="M5895" s="189" t="str">
        <f t="shared" si="213"/>
        <v>بشكه</v>
      </c>
      <c r="N5895" s="188" t="str">
        <f t="shared" si="210"/>
        <v>منطقه ويژه اقتصادي شهيد رجايي</v>
      </c>
      <c r="O5895" s="188">
        <v>50100</v>
      </c>
      <c r="P5895" s="200" t="str">
        <f>"1396522396001"</f>
        <v>1396522396001</v>
      </c>
    </row>
    <row r="5896" spans="1:16" ht="18.75" hidden="1">
      <c r="A5896" s="50" t="str">
        <f>"50100-10325259"</f>
        <v>50100-10325259</v>
      </c>
      <c r="B5896" s="50" t="str">
        <f t="shared" si="214"/>
        <v>97/03/21</v>
      </c>
      <c r="C5896" s="50" t="s">
        <v>13766</v>
      </c>
      <c r="D5896" s="12" t="str">
        <f>"97/02/09"</f>
        <v>97/02/09</v>
      </c>
      <c r="E5896" s="12">
        <v>97</v>
      </c>
      <c r="F5896" s="49">
        <v>1297</v>
      </c>
      <c r="G5896" s="77" t="str">
        <f>"SHINING GREEN STAR FZE"</f>
        <v>SHINING GREEN STAR FZE</v>
      </c>
      <c r="H5896" s="14" t="str">
        <f t="shared" si="209"/>
        <v>true</v>
      </c>
      <c r="I5896" s="14" t="s">
        <v>2458</v>
      </c>
      <c r="J5896" s="33" t="e">
        <f>VLOOKUP(C5896,شرکتها!A:B,2,FALSE)</f>
        <v>#N/A</v>
      </c>
      <c r="K5896" s="33" t="s">
        <v>14006</v>
      </c>
      <c r="L5896" s="53" t="str">
        <f>"هند"</f>
        <v>هند</v>
      </c>
      <c r="M5896" s="68" t="str">
        <f t="shared" si="213"/>
        <v>بشكه</v>
      </c>
      <c r="N5896" s="53" t="str">
        <f t="shared" si="210"/>
        <v>منطقه ويژه اقتصادي شهيد رجايي</v>
      </c>
      <c r="O5896" s="53">
        <v>50100</v>
      </c>
      <c r="P5896" s="198" t="str">
        <f>"1396548703001"</f>
        <v>1396548703001</v>
      </c>
    </row>
    <row r="5897" spans="1:16" ht="18.75" hidden="1">
      <c r="A5897" s="50" t="str">
        <f>"50100-10347409"</f>
        <v>50100-10347409</v>
      </c>
      <c r="B5897" s="50" t="str">
        <f>"97/03/27"</f>
        <v>97/03/27</v>
      </c>
      <c r="C5897" s="50" t="s">
        <v>14014</v>
      </c>
      <c r="D5897" s="12" t="s">
        <v>13955</v>
      </c>
      <c r="E5897" s="12">
        <v>97</v>
      </c>
      <c r="F5897" s="49">
        <v>3097824</v>
      </c>
      <c r="G5897" s="77" t="s">
        <v>6452</v>
      </c>
      <c r="H5897" s="14" t="str">
        <f t="shared" si="209"/>
        <v>true</v>
      </c>
      <c r="I5897" s="14" t="s">
        <v>2458</v>
      </c>
      <c r="J5897" s="33" t="e">
        <f>VLOOKUP(C5897,شرکتها!A:B,2,FALSE)</f>
        <v>#N/A</v>
      </c>
      <c r="K5897" s="33" t="s">
        <v>14006</v>
      </c>
      <c r="L5897" s="53" t="str">
        <f>"قطر"</f>
        <v>قطر</v>
      </c>
      <c r="M5897" s="68" t="str">
        <f>"فله"</f>
        <v>فله</v>
      </c>
      <c r="N5897" s="53" t="str">
        <f t="shared" si="210"/>
        <v>منطقه ويژه اقتصادي شهيد رجايي</v>
      </c>
      <c r="O5897" s="53">
        <v>50100</v>
      </c>
      <c r="P5897" s="198">
        <v>1397575283001</v>
      </c>
    </row>
    <row r="5898" spans="1:16" ht="18.75" hidden="1">
      <c r="A5898" s="50" t="str">
        <f>"50100-10328587"</f>
        <v>50100-10328587</v>
      </c>
      <c r="B5898" s="50" t="str">
        <f>"97/03/21"</f>
        <v>97/03/21</v>
      </c>
      <c r="C5898" s="50" t="s">
        <v>13764</v>
      </c>
      <c r="D5898" s="12" t="str">
        <f>"97/01/28"</f>
        <v>97/01/28</v>
      </c>
      <c r="E5898" s="12">
        <v>97</v>
      </c>
      <c r="F5898" s="49">
        <v>258666</v>
      </c>
      <c r="G5898" s="77" t="str">
        <f>"LLC Sebco Bitumen"</f>
        <v>LLC Sebco Bitumen</v>
      </c>
      <c r="H5898" s="14" t="str">
        <f t="shared" ref="H5898:H5961" si="215">IF(I5898="نامشخص",IF(E5898&gt;C5898,"false","true"),IF(E5898&gt;I5898,"false","true"))</f>
        <v>true</v>
      </c>
      <c r="I5898" s="14" t="s">
        <v>2458</v>
      </c>
      <c r="J5898" s="33" t="s">
        <v>7110</v>
      </c>
      <c r="K5898" s="33" t="s">
        <v>14006</v>
      </c>
      <c r="L5898" s="53" t="str">
        <f>"جيبوتي"</f>
        <v>جيبوتي</v>
      </c>
      <c r="M5898" s="68" t="str">
        <f>"بشكه"</f>
        <v>بشكه</v>
      </c>
      <c r="N5898" s="53" t="str">
        <f t="shared" si="210"/>
        <v>منطقه ويژه اقتصادي شهيد رجايي</v>
      </c>
      <c r="O5898" s="53">
        <v>50100</v>
      </c>
      <c r="P5898" s="198" t="str">
        <f>"1396548704001"</f>
        <v>1396548704001</v>
      </c>
    </row>
    <row r="5899" spans="1:16" ht="18.75" hidden="1">
      <c r="A5899" s="50" t="str">
        <f>"50100-10325073"</f>
        <v>50100-10325073</v>
      </c>
      <c r="B5899" s="50" t="str">
        <f>"97/03/21"</f>
        <v>97/03/21</v>
      </c>
      <c r="C5899" s="50" t="s">
        <v>14015</v>
      </c>
      <c r="D5899" s="12" t="str">
        <f>"97/03/13"</f>
        <v>97/03/13</v>
      </c>
      <c r="E5899" s="12">
        <v>97</v>
      </c>
      <c r="F5899" s="49">
        <v>2050000</v>
      </c>
      <c r="G5899" s="77" t="str">
        <f>"AL MASAR PETROLUME L.L.C"</f>
        <v>AL MASAR PETROLUME L.L.C</v>
      </c>
      <c r="H5899" s="14" t="str">
        <f t="shared" si="215"/>
        <v>true</v>
      </c>
      <c r="I5899" s="14" t="s">
        <v>2458</v>
      </c>
      <c r="J5899" s="33" t="e">
        <f>VLOOKUP(C5899,شرکتها!A:B,2,FALSE)</f>
        <v>#N/A</v>
      </c>
      <c r="K5899" s="33" t="s">
        <v>14006</v>
      </c>
      <c r="L5899" s="53" t="str">
        <f>"قطر"</f>
        <v>قطر</v>
      </c>
      <c r="M5899" s="68" t="str">
        <f>"فله"</f>
        <v>فله</v>
      </c>
      <c r="N5899" s="53" t="str">
        <f t="shared" si="210"/>
        <v>منطقه ويژه اقتصادي شهيد رجايي</v>
      </c>
      <c r="O5899" s="53">
        <v>50100</v>
      </c>
      <c r="P5899" s="198" t="str">
        <f>"1397558727001"</f>
        <v>1397558727001</v>
      </c>
    </row>
    <row r="5900" spans="1:16" ht="18.75" hidden="1">
      <c r="A5900" s="50" t="str">
        <f>"50100-10353003"</f>
        <v>50100-10353003</v>
      </c>
      <c r="B5900" s="50" t="str">
        <f>"97/03/28"</f>
        <v>97/03/28</v>
      </c>
      <c r="C5900" s="50" t="s">
        <v>14016</v>
      </c>
      <c r="D5900" s="12" t="str">
        <f>"97/03/09"</f>
        <v>97/03/09</v>
      </c>
      <c r="E5900" s="12">
        <v>97</v>
      </c>
      <c r="F5900" s="49">
        <v>702625</v>
      </c>
      <c r="G5900" s="77" t="str">
        <f>"BITUBIZ FZE"</f>
        <v>BITUBIZ FZE</v>
      </c>
      <c r="H5900" s="14" t="str">
        <f t="shared" si="215"/>
        <v>true</v>
      </c>
      <c r="I5900" s="14" t="s">
        <v>2458</v>
      </c>
      <c r="J5900" s="33" t="s">
        <v>7110</v>
      </c>
      <c r="K5900" s="33" t="s">
        <v>14006</v>
      </c>
      <c r="L5900" s="53" t="str">
        <f>" ميانمار"</f>
        <v xml:space="preserve"> ميانمار</v>
      </c>
      <c r="M5900" s="68" t="str">
        <f>"بشكه"</f>
        <v>بشكه</v>
      </c>
      <c r="N5900" s="53" t="str">
        <f t="shared" si="210"/>
        <v>منطقه ويژه اقتصادي شهيد رجايي</v>
      </c>
      <c r="O5900" s="53">
        <v>50100</v>
      </c>
      <c r="P5900" s="198" t="str">
        <f>"1397558719001"</f>
        <v>1397558719001</v>
      </c>
    </row>
    <row r="5901" spans="1:16" ht="18.75" hidden="1">
      <c r="A5901" s="50" t="str">
        <f>"50100-10325921"</f>
        <v>50100-10325921</v>
      </c>
      <c r="B5901" s="50" t="str">
        <f>"97/03/21"</f>
        <v>97/03/21</v>
      </c>
      <c r="C5901" s="50" t="s">
        <v>14017</v>
      </c>
      <c r="D5901" s="12" t="str">
        <f>"97/02/05"</f>
        <v>97/02/05</v>
      </c>
      <c r="E5901" s="12">
        <v>97</v>
      </c>
      <c r="F5901" s="49">
        <v>200000</v>
      </c>
      <c r="G5901" s="77" t="str">
        <f>"DAXON PETROLEUM"</f>
        <v>DAXON PETROLEUM</v>
      </c>
      <c r="H5901" s="14" t="str">
        <f t="shared" si="215"/>
        <v>true</v>
      </c>
      <c r="I5901" s="14" t="s">
        <v>2458</v>
      </c>
      <c r="J5901" s="33" t="s">
        <v>7110</v>
      </c>
      <c r="K5901" s="33" t="s">
        <v>14006</v>
      </c>
      <c r="L5901" s="53" t="str">
        <f>"هند"</f>
        <v>هند</v>
      </c>
      <c r="M5901" s="68" t="str">
        <f>"بشكه"</f>
        <v>بشكه</v>
      </c>
      <c r="N5901" s="53" t="str">
        <f t="shared" si="210"/>
        <v>منطقه ويژه اقتصادي شهيد رجايي</v>
      </c>
      <c r="O5901" s="53">
        <v>50100</v>
      </c>
      <c r="P5901" s="198" t="str">
        <f>"1396548700001"</f>
        <v>1396548700001</v>
      </c>
    </row>
    <row r="5902" spans="1:16" ht="18.75" hidden="1">
      <c r="A5902" s="50" t="str">
        <f>"50100-10328876"</f>
        <v>50100-10328876</v>
      </c>
      <c r="B5902" s="50" t="str">
        <f>"97/03/21"</f>
        <v>97/03/21</v>
      </c>
      <c r="C5902" s="50" t="s">
        <v>14018</v>
      </c>
      <c r="D5902" s="12" t="str">
        <f>"97/02/03"</f>
        <v>97/02/03</v>
      </c>
      <c r="E5902" s="12">
        <v>97</v>
      </c>
      <c r="F5902" s="49">
        <v>270000</v>
      </c>
      <c r="G5902" s="77" t="str">
        <f>"LLC Sebco Bitumen"</f>
        <v>LLC Sebco Bitumen</v>
      </c>
      <c r="H5902" s="14" t="str">
        <f t="shared" si="215"/>
        <v>true</v>
      </c>
      <c r="I5902" s="14" t="s">
        <v>2458</v>
      </c>
      <c r="J5902" s="33" t="s">
        <v>7110</v>
      </c>
      <c r="K5902" s="33" t="s">
        <v>14006</v>
      </c>
      <c r="L5902" s="53" t="str">
        <f>"تايوان"</f>
        <v>تايوان</v>
      </c>
      <c r="M5902" s="68" t="str">
        <f>"بشكه"</f>
        <v>بشكه</v>
      </c>
      <c r="N5902" s="53" t="str">
        <f t="shared" si="210"/>
        <v>منطقه ويژه اقتصادي شهيد رجايي</v>
      </c>
      <c r="O5902" s="53">
        <v>50100</v>
      </c>
      <c r="P5902" s="198" t="str">
        <f>"1396548704001"</f>
        <v>1396548704001</v>
      </c>
    </row>
    <row r="5903" spans="1:16" ht="18.75" hidden="1">
      <c r="A5903" s="50" t="str">
        <f>"50100-10332078"</f>
        <v>50100-10332078</v>
      </c>
      <c r="B5903" s="50" t="str">
        <f>"97/03/22"</f>
        <v>97/03/22</v>
      </c>
      <c r="C5903" s="50" t="s">
        <v>14019</v>
      </c>
      <c r="D5903" s="12" t="str">
        <f>"97/02/10"</f>
        <v>97/02/10</v>
      </c>
      <c r="E5903" s="12">
        <v>97</v>
      </c>
      <c r="F5903" s="49">
        <v>294190</v>
      </c>
      <c r="G5903" s="77" t="str">
        <f>"LLC Sebco Bitumen"</f>
        <v>LLC Sebco Bitumen</v>
      </c>
      <c r="H5903" s="14" t="str">
        <f t="shared" si="215"/>
        <v>true</v>
      </c>
      <c r="I5903" s="14" t="s">
        <v>2458</v>
      </c>
      <c r="J5903" s="33" t="s">
        <v>7110</v>
      </c>
      <c r="K5903" s="33" t="s">
        <v>14006</v>
      </c>
      <c r="L5903" s="53" t="str">
        <f>"هند"</f>
        <v>هند</v>
      </c>
      <c r="M5903" s="68" t="str">
        <f>"بشكه"</f>
        <v>بشكه</v>
      </c>
      <c r="N5903" s="53" t="str">
        <f t="shared" si="210"/>
        <v>منطقه ويژه اقتصادي شهيد رجايي</v>
      </c>
      <c r="O5903" s="53">
        <v>50100</v>
      </c>
      <c r="P5903" s="198" t="str">
        <f>"1397558720001"</f>
        <v>1397558720001</v>
      </c>
    </row>
    <row r="5904" spans="1:16" ht="18.75" hidden="1">
      <c r="A5904" s="50" t="str">
        <f>"50100-10338430"</f>
        <v>50100-10338430</v>
      </c>
      <c r="B5904" s="50" t="str">
        <f>"97/03/23"</f>
        <v>97/03/23</v>
      </c>
      <c r="C5904" s="50" t="s">
        <v>14020</v>
      </c>
      <c r="D5904" s="12" t="str">
        <f>"97/02/08"</f>
        <v>97/02/08</v>
      </c>
      <c r="E5904" s="12">
        <v>97</v>
      </c>
      <c r="F5904" s="49">
        <v>495825</v>
      </c>
      <c r="G5904" s="77" t="str">
        <f>"LLC Sebco Bitumen"</f>
        <v>LLC Sebco Bitumen</v>
      </c>
      <c r="H5904" s="14" t="str">
        <f t="shared" si="215"/>
        <v>true</v>
      </c>
      <c r="I5904" s="14" t="s">
        <v>2458</v>
      </c>
      <c r="J5904" s="33" t="s">
        <v>7110</v>
      </c>
      <c r="K5904" s="33" t="s">
        <v>14006</v>
      </c>
      <c r="L5904" s="53" t="str">
        <f>"هند"</f>
        <v>هند</v>
      </c>
      <c r="M5904" s="68" t="str">
        <f>"بشكه"</f>
        <v>بشكه</v>
      </c>
      <c r="N5904" s="53" t="str">
        <f t="shared" si="210"/>
        <v>منطقه ويژه اقتصادي شهيد رجايي</v>
      </c>
      <c r="O5904" s="53">
        <v>50100</v>
      </c>
      <c r="P5904" s="198" t="str">
        <f>"1397558720001"</f>
        <v>1397558720001</v>
      </c>
    </row>
    <row r="5905" spans="1:16" ht="18.75" hidden="1">
      <c r="A5905" s="50" t="str">
        <f>"50100-10369386"</f>
        <v>50100-10369386</v>
      </c>
      <c r="B5905" s="50" t="str">
        <f>"97/04/02"</f>
        <v>97/04/02</v>
      </c>
      <c r="C5905" s="50" t="s">
        <v>14023</v>
      </c>
      <c r="D5905" s="12" t="s">
        <v>13996</v>
      </c>
      <c r="E5905" s="12" t="s">
        <v>13333</v>
      </c>
      <c r="F5905" s="49">
        <v>949755</v>
      </c>
      <c r="G5905" s="77" t="s">
        <v>5779</v>
      </c>
      <c r="H5905" s="14" t="str">
        <f t="shared" si="215"/>
        <v>true</v>
      </c>
      <c r="I5905" s="14" t="s">
        <v>2458</v>
      </c>
      <c r="J5905" s="33" t="e">
        <f>VLOOKUP(C5905,شرکتها!A:B,2,FALSE)</f>
        <v>#N/A</v>
      </c>
      <c r="K5905" s="33" t="s">
        <v>14024</v>
      </c>
      <c r="L5905" s="53" t="str">
        <f>"عمان"</f>
        <v>عمان</v>
      </c>
      <c r="M5905" s="68" t="str">
        <f>"فله"</f>
        <v>فله</v>
      </c>
      <c r="N5905" s="53" t="str">
        <f t="shared" si="210"/>
        <v>منطقه ويژه اقتصادي شهيد رجايي</v>
      </c>
      <c r="O5905" s="53">
        <v>50100</v>
      </c>
      <c r="P5905" s="198" t="s">
        <v>14025</v>
      </c>
    </row>
    <row r="5906" spans="1:16" ht="18.75" hidden="1">
      <c r="A5906" s="50" t="str">
        <f>"50100-10375436"</f>
        <v>50100-10375436</v>
      </c>
      <c r="B5906" s="50" t="str">
        <f>"97/04/03"</f>
        <v>97/04/03</v>
      </c>
      <c r="C5906" s="50" t="s">
        <v>14026</v>
      </c>
      <c r="D5906" s="12" t="s">
        <v>13957</v>
      </c>
      <c r="E5906" s="12" t="s">
        <v>13333</v>
      </c>
      <c r="F5906" s="49">
        <v>500819</v>
      </c>
      <c r="G5906" s="77" t="s">
        <v>5702</v>
      </c>
      <c r="H5906" s="14" t="str">
        <f t="shared" si="215"/>
        <v>true</v>
      </c>
      <c r="I5906" s="14" t="s">
        <v>2458</v>
      </c>
      <c r="J5906" s="33" t="s">
        <v>7110</v>
      </c>
      <c r="K5906" s="33" t="s">
        <v>14024</v>
      </c>
      <c r="L5906" s="53" t="str">
        <f>"هند"</f>
        <v>هند</v>
      </c>
      <c r="M5906" s="68" t="str">
        <f>"بشكه"</f>
        <v>بشكه</v>
      </c>
      <c r="N5906" s="53" t="str">
        <f t="shared" si="210"/>
        <v>منطقه ويژه اقتصادي شهيد رجايي</v>
      </c>
      <c r="O5906" s="53">
        <v>50100</v>
      </c>
      <c r="P5906" s="198" t="s">
        <v>14027</v>
      </c>
    </row>
    <row r="5907" spans="1:16" ht="18.75" hidden="1">
      <c r="A5907" s="50" t="str">
        <f>"50100-10410723"</f>
        <v>50100-10410723</v>
      </c>
      <c r="B5907" s="50" t="str">
        <f>"97/04/12"</f>
        <v>97/04/12</v>
      </c>
      <c r="C5907" s="50" t="s">
        <v>14028</v>
      </c>
      <c r="D5907" s="12" t="s">
        <v>12824</v>
      </c>
      <c r="E5907" s="12" t="s">
        <v>4971</v>
      </c>
      <c r="F5907" s="49">
        <v>593860</v>
      </c>
      <c r="G5907" s="77" t="s">
        <v>5607</v>
      </c>
      <c r="H5907" s="14" t="str">
        <f t="shared" si="215"/>
        <v>true</v>
      </c>
      <c r="I5907" s="14" t="s">
        <v>2458</v>
      </c>
      <c r="J5907" s="33" t="s">
        <v>7110</v>
      </c>
      <c r="K5907" s="33" t="s">
        <v>14024</v>
      </c>
      <c r="L5907" s="53" t="str">
        <f>"مالزي"</f>
        <v>مالزي</v>
      </c>
      <c r="M5907" s="68" t="str">
        <f>"بشكه"</f>
        <v>بشكه</v>
      </c>
      <c r="N5907" s="53" t="str">
        <f t="shared" si="210"/>
        <v>منطقه ويژه اقتصادي شهيد رجايي</v>
      </c>
      <c r="O5907" s="53">
        <v>50100</v>
      </c>
      <c r="P5907" s="198" t="s">
        <v>12673</v>
      </c>
    </row>
    <row r="5908" spans="1:16" ht="18.75" hidden="1">
      <c r="A5908" s="50" t="str">
        <f>"50100-10410509"</f>
        <v>50100-10410509</v>
      </c>
      <c r="B5908" s="50" t="str">
        <f>"97/04/12"</f>
        <v>97/04/12</v>
      </c>
      <c r="C5908" s="50" t="s">
        <v>14029</v>
      </c>
      <c r="D5908" s="12" t="s">
        <v>13549</v>
      </c>
      <c r="E5908" s="12" t="s">
        <v>13333</v>
      </c>
      <c r="F5908" s="49">
        <v>996600</v>
      </c>
      <c r="G5908" s="77" t="s">
        <v>5611</v>
      </c>
      <c r="H5908" s="14" t="str">
        <f t="shared" si="215"/>
        <v>true</v>
      </c>
      <c r="I5908" s="14" t="s">
        <v>2458</v>
      </c>
      <c r="J5908" s="33" t="s">
        <v>7110</v>
      </c>
      <c r="K5908" s="33" t="s">
        <v>14024</v>
      </c>
      <c r="L5908" s="53" t="str">
        <f>"چين"</f>
        <v>چين</v>
      </c>
      <c r="M5908" s="68" t="str">
        <f>"بشكه"</f>
        <v>بشكه</v>
      </c>
      <c r="N5908" s="53" t="str">
        <f t="shared" si="210"/>
        <v>منطقه ويژه اقتصادي شهيد رجايي</v>
      </c>
      <c r="O5908" s="53">
        <v>50100</v>
      </c>
      <c r="P5908" s="198" t="s">
        <v>12934</v>
      </c>
    </row>
    <row r="5909" spans="1:16" ht="18.75" hidden="1">
      <c r="A5909" s="50" t="str">
        <f>"50100-10375502"</f>
        <v>50100-10375502</v>
      </c>
      <c r="B5909" s="50" t="str">
        <f>"97/04/03"</f>
        <v>97/04/03</v>
      </c>
      <c r="C5909" s="50" t="s">
        <v>14030</v>
      </c>
      <c r="D5909" s="12" t="s">
        <v>14031</v>
      </c>
      <c r="E5909" s="12" t="s">
        <v>13333</v>
      </c>
      <c r="F5909" s="49">
        <v>3298480</v>
      </c>
      <c r="G5909" s="77" t="s">
        <v>5779</v>
      </c>
      <c r="H5909" s="14" t="str">
        <f t="shared" si="215"/>
        <v>true</v>
      </c>
      <c r="I5909" s="14" t="s">
        <v>2458</v>
      </c>
      <c r="J5909" s="33" t="e">
        <f>VLOOKUP(C5909,شرکتها!A:B,2,FALSE)</f>
        <v>#N/A</v>
      </c>
      <c r="K5909" s="33" t="s">
        <v>14024</v>
      </c>
      <c r="L5909" s="53" t="str">
        <f>"قطر"</f>
        <v>قطر</v>
      </c>
      <c r="M5909" s="68" t="str">
        <f>"فله"</f>
        <v>فله</v>
      </c>
      <c r="N5909" s="53" t="str">
        <f t="shared" si="210"/>
        <v>منطقه ويژه اقتصادي شهيد رجايي</v>
      </c>
      <c r="O5909" s="53">
        <v>50100</v>
      </c>
      <c r="P5909" s="198" t="s">
        <v>14032</v>
      </c>
    </row>
    <row r="5910" spans="1:16" ht="18.75" hidden="1">
      <c r="A5910" s="50" t="str">
        <f>"50100-10397277"</f>
        <v>50100-10397277</v>
      </c>
      <c r="B5910" s="50" t="str">
        <f>"97/04/09"</f>
        <v>97/04/09</v>
      </c>
      <c r="C5910" s="50" t="s">
        <v>14033</v>
      </c>
      <c r="D5910" s="12" t="s">
        <v>14034</v>
      </c>
      <c r="E5910" s="12" t="s">
        <v>13333</v>
      </c>
      <c r="F5910" s="49">
        <v>3088427</v>
      </c>
      <c r="G5910" s="77" t="s">
        <v>5779</v>
      </c>
      <c r="H5910" s="14" t="str">
        <f t="shared" si="215"/>
        <v>true</v>
      </c>
      <c r="I5910" s="14" t="s">
        <v>2458</v>
      </c>
      <c r="J5910" s="33" t="e">
        <f>VLOOKUP(C5910,شرکتها!A:B,2,FALSE)</f>
        <v>#N/A</v>
      </c>
      <c r="K5910" s="33" t="s">
        <v>14024</v>
      </c>
      <c r="L5910" s="53" t="str">
        <f>"قطر"</f>
        <v>قطر</v>
      </c>
      <c r="M5910" s="68" t="str">
        <f>"فله"</f>
        <v>فله</v>
      </c>
      <c r="N5910" s="53" t="str">
        <f t="shared" si="210"/>
        <v>منطقه ويژه اقتصادي شهيد رجايي</v>
      </c>
      <c r="O5910" s="53">
        <v>50100</v>
      </c>
      <c r="P5910" s="198" t="s">
        <v>14032</v>
      </c>
    </row>
    <row r="5911" spans="1:16" ht="18.75" hidden="1">
      <c r="A5911" s="50" t="str">
        <f>"50100-10391115"</f>
        <v>50100-10391115</v>
      </c>
      <c r="B5911" s="50" t="str">
        <f>"97/04/07"</f>
        <v>97/04/07</v>
      </c>
      <c r="C5911" s="50" t="s">
        <v>14035</v>
      </c>
      <c r="D5911" s="12" t="s">
        <v>13549</v>
      </c>
      <c r="E5911" s="12" t="s">
        <v>13333</v>
      </c>
      <c r="F5911" s="49">
        <v>258400</v>
      </c>
      <c r="G5911" s="77" t="s">
        <v>5773</v>
      </c>
      <c r="H5911" s="14" t="str">
        <f t="shared" si="215"/>
        <v>true</v>
      </c>
      <c r="I5911" s="14" t="s">
        <v>2458</v>
      </c>
      <c r="J5911" s="33" t="s">
        <v>7110</v>
      </c>
      <c r="K5911" s="33" t="s">
        <v>14024</v>
      </c>
      <c r="L5911" s="53" t="str">
        <f>"هند"</f>
        <v>هند</v>
      </c>
      <c r="M5911" s="68" t="str">
        <f t="shared" ref="M5911:M5933" si="216">"بشكه"</f>
        <v>بشكه</v>
      </c>
      <c r="N5911" s="53" t="str">
        <f t="shared" si="210"/>
        <v>منطقه ويژه اقتصادي شهيد رجايي</v>
      </c>
      <c r="O5911" s="53">
        <v>50100</v>
      </c>
      <c r="P5911" s="198" t="s">
        <v>13664</v>
      </c>
    </row>
    <row r="5912" spans="1:16" ht="18.75" hidden="1">
      <c r="A5912" s="50" t="str">
        <f>"50100-10375135"</f>
        <v>50100-10375135</v>
      </c>
      <c r="B5912" s="50" t="str">
        <f>"97/04/03"</f>
        <v>97/04/03</v>
      </c>
      <c r="C5912" s="50" t="s">
        <v>14036</v>
      </c>
      <c r="D5912" s="12" t="s">
        <v>13967</v>
      </c>
      <c r="E5912" s="12" t="s">
        <v>13333</v>
      </c>
      <c r="F5912" s="49">
        <v>485285</v>
      </c>
      <c r="G5912" s="77" t="s">
        <v>5754</v>
      </c>
      <c r="H5912" s="14" t="str">
        <f t="shared" si="215"/>
        <v>true</v>
      </c>
      <c r="I5912" s="14" t="s">
        <v>2458</v>
      </c>
      <c r="J5912" s="33" t="s">
        <v>7110</v>
      </c>
      <c r="K5912" s="33" t="s">
        <v>14024</v>
      </c>
      <c r="L5912" s="53" t="str">
        <f>"هند"</f>
        <v>هند</v>
      </c>
      <c r="M5912" s="68" t="str">
        <f t="shared" si="216"/>
        <v>بشكه</v>
      </c>
      <c r="N5912" s="53" t="str">
        <f t="shared" si="210"/>
        <v>منطقه ويژه اقتصادي شهيد رجايي</v>
      </c>
      <c r="O5912" s="53">
        <v>50100</v>
      </c>
      <c r="P5912" s="198" t="s">
        <v>14037</v>
      </c>
    </row>
    <row r="5913" spans="1:16" ht="18.75" hidden="1">
      <c r="A5913" s="50" t="str">
        <f>"50100-10414499"</f>
        <v>50100-10414499</v>
      </c>
      <c r="B5913" s="50" t="str">
        <f>"97/04/13"</f>
        <v>97/04/13</v>
      </c>
      <c r="C5913" s="50" t="s">
        <v>13999</v>
      </c>
      <c r="D5913" s="12" t="s">
        <v>13402</v>
      </c>
      <c r="E5913" s="12" t="s">
        <v>13333</v>
      </c>
      <c r="F5913" s="49">
        <v>161085</v>
      </c>
      <c r="G5913" s="77" t="s">
        <v>5609</v>
      </c>
      <c r="H5913" s="14" t="str">
        <f t="shared" si="215"/>
        <v>true</v>
      </c>
      <c r="I5913" s="14" t="s">
        <v>2458</v>
      </c>
      <c r="J5913" s="33" t="s">
        <v>7110</v>
      </c>
      <c r="K5913" s="33" t="s">
        <v>14024</v>
      </c>
      <c r="L5913" s="53" t="str">
        <f>"ويتنام"</f>
        <v>ويتنام</v>
      </c>
      <c r="M5913" s="68" t="str">
        <f t="shared" si="216"/>
        <v>بشكه</v>
      </c>
      <c r="N5913" s="53" t="str">
        <f t="shared" si="210"/>
        <v>منطقه ويژه اقتصادي شهيد رجايي</v>
      </c>
      <c r="O5913" s="53">
        <v>50100</v>
      </c>
      <c r="P5913" s="198" t="s">
        <v>12669</v>
      </c>
    </row>
    <row r="5914" spans="1:16" ht="18.75" hidden="1">
      <c r="A5914" s="50" t="str">
        <f>"50100-10405881"</f>
        <v>50100-10405881</v>
      </c>
      <c r="B5914" s="50" t="str">
        <f>"97/04/11"</f>
        <v>97/04/11</v>
      </c>
      <c r="C5914" s="50" t="s">
        <v>14029</v>
      </c>
      <c r="D5914" s="12" t="s">
        <v>13549</v>
      </c>
      <c r="E5914" s="12" t="s">
        <v>13333</v>
      </c>
      <c r="F5914" s="49">
        <v>344271</v>
      </c>
      <c r="G5914" s="77" t="s">
        <v>5611</v>
      </c>
      <c r="H5914" s="14" t="str">
        <f t="shared" si="215"/>
        <v>true</v>
      </c>
      <c r="I5914" s="14" t="s">
        <v>2458</v>
      </c>
      <c r="J5914" s="33" t="s">
        <v>7110</v>
      </c>
      <c r="K5914" s="33" t="s">
        <v>14024</v>
      </c>
      <c r="L5914" s="53" t="str">
        <f>"تايوان"</f>
        <v>تايوان</v>
      </c>
      <c r="M5914" s="68" t="str">
        <f t="shared" si="216"/>
        <v>بشكه</v>
      </c>
      <c r="N5914" s="53" t="str">
        <f t="shared" si="210"/>
        <v>منطقه ويژه اقتصادي شهيد رجايي</v>
      </c>
      <c r="O5914" s="53">
        <v>50100</v>
      </c>
      <c r="P5914" s="198" t="s">
        <v>12934</v>
      </c>
    </row>
    <row r="5915" spans="1:16" ht="18.75" hidden="1">
      <c r="A5915" s="50" t="str">
        <f>"50100-10405881"</f>
        <v>50100-10405881</v>
      </c>
      <c r="B5915" s="50" t="str">
        <f>"97/04/11"</f>
        <v>97/04/11</v>
      </c>
      <c r="C5915" s="50" t="s">
        <v>14038</v>
      </c>
      <c r="D5915" s="12" t="s">
        <v>13343</v>
      </c>
      <c r="E5915" s="12" t="s">
        <v>13333</v>
      </c>
      <c r="F5915" s="49">
        <v>99065</v>
      </c>
      <c r="G5915" s="77" t="s">
        <v>5611</v>
      </c>
      <c r="H5915" s="14" t="str">
        <f t="shared" si="215"/>
        <v>true</v>
      </c>
      <c r="I5915" s="14" t="s">
        <v>2458</v>
      </c>
      <c r="J5915" s="33" t="s">
        <v>7110</v>
      </c>
      <c r="K5915" s="33" t="s">
        <v>14024</v>
      </c>
      <c r="L5915" s="53" t="str">
        <f>"تايوان"</f>
        <v>تايوان</v>
      </c>
      <c r="M5915" s="68" t="str">
        <f t="shared" si="216"/>
        <v>بشكه</v>
      </c>
      <c r="N5915" s="53" t="str">
        <f t="shared" si="210"/>
        <v>منطقه ويژه اقتصادي شهيد رجايي</v>
      </c>
      <c r="O5915" s="53">
        <v>50100</v>
      </c>
      <c r="P5915" s="198" t="s">
        <v>12934</v>
      </c>
    </row>
    <row r="5916" spans="1:16" ht="18.75" hidden="1">
      <c r="A5916" s="50" t="str">
        <f>"50100-10414499"</f>
        <v>50100-10414499</v>
      </c>
      <c r="B5916" s="50" t="str">
        <f>"97/04/13"</f>
        <v>97/04/13</v>
      </c>
      <c r="C5916" s="50" t="s">
        <v>13772</v>
      </c>
      <c r="D5916" s="12" t="s">
        <v>13331</v>
      </c>
      <c r="E5916" s="12" t="s">
        <v>13333</v>
      </c>
      <c r="F5916" s="49">
        <v>336670</v>
      </c>
      <c r="G5916" s="77" t="s">
        <v>5609</v>
      </c>
      <c r="H5916" s="14" t="str">
        <f t="shared" si="215"/>
        <v>true</v>
      </c>
      <c r="I5916" s="14" t="s">
        <v>2458</v>
      </c>
      <c r="J5916" s="33" t="s">
        <v>7110</v>
      </c>
      <c r="K5916" s="33" t="s">
        <v>14024</v>
      </c>
      <c r="L5916" s="53" t="str">
        <f>"ويتنام"</f>
        <v>ويتنام</v>
      </c>
      <c r="M5916" s="68" t="str">
        <f t="shared" si="216"/>
        <v>بشكه</v>
      </c>
      <c r="N5916" s="53" t="str">
        <f t="shared" si="210"/>
        <v>منطقه ويژه اقتصادي شهيد رجايي</v>
      </c>
      <c r="O5916" s="53">
        <v>50100</v>
      </c>
      <c r="P5916" s="198" t="s">
        <v>12669</v>
      </c>
    </row>
    <row r="5917" spans="1:16" ht="18.75" hidden="1">
      <c r="A5917" s="50" t="str">
        <f>"50100-10384310"</f>
        <v>50100-10384310</v>
      </c>
      <c r="B5917" s="50" t="str">
        <f>"97/04/05"</f>
        <v>97/04/05</v>
      </c>
      <c r="C5917" s="50" t="s">
        <v>14039</v>
      </c>
      <c r="D5917" s="12" t="s">
        <v>14006</v>
      </c>
      <c r="E5917" s="12" t="s">
        <v>13333</v>
      </c>
      <c r="F5917" s="49">
        <v>984388</v>
      </c>
      <c r="G5917" s="77" t="s">
        <v>5611</v>
      </c>
      <c r="H5917" s="14" t="str">
        <f t="shared" si="215"/>
        <v>true</v>
      </c>
      <c r="I5917" s="14" t="s">
        <v>2458</v>
      </c>
      <c r="J5917" s="33" t="s">
        <v>7110</v>
      </c>
      <c r="K5917" s="33" t="s">
        <v>14024</v>
      </c>
      <c r="L5917" s="53" t="str">
        <f>"چين"</f>
        <v>چين</v>
      </c>
      <c r="M5917" s="68" t="str">
        <f t="shared" si="216"/>
        <v>بشكه</v>
      </c>
      <c r="N5917" s="53" t="str">
        <f t="shared" ref="N5917:N5937" si="217">"منطقه ويژه اقتصادي شهيد رجايي"</f>
        <v>منطقه ويژه اقتصادي شهيد رجايي</v>
      </c>
      <c r="O5917" s="53">
        <v>50100</v>
      </c>
      <c r="P5917" s="198" t="s">
        <v>14040</v>
      </c>
    </row>
    <row r="5918" spans="1:16" ht="18.75" hidden="1">
      <c r="A5918" s="50" t="str">
        <f>"50100-10405881"</f>
        <v>50100-10405881</v>
      </c>
      <c r="B5918" s="50" t="str">
        <f>"97/04/11"</f>
        <v>97/04/11</v>
      </c>
      <c r="C5918" s="50" t="s">
        <v>13875</v>
      </c>
      <c r="D5918" s="12" t="s">
        <v>13266</v>
      </c>
      <c r="E5918" s="12" t="s">
        <v>13333</v>
      </c>
      <c r="F5918" s="49">
        <v>12663</v>
      </c>
      <c r="G5918" s="77" t="s">
        <v>5611</v>
      </c>
      <c r="H5918" s="14" t="str">
        <f t="shared" si="215"/>
        <v>true</v>
      </c>
      <c r="I5918" s="14" t="s">
        <v>2458</v>
      </c>
      <c r="J5918" s="33" t="s">
        <v>7110</v>
      </c>
      <c r="K5918" s="33" t="s">
        <v>14024</v>
      </c>
      <c r="L5918" s="53" t="str">
        <f>"تايوان"</f>
        <v>تايوان</v>
      </c>
      <c r="M5918" s="68" t="str">
        <f t="shared" si="216"/>
        <v>بشكه</v>
      </c>
      <c r="N5918" s="53" t="str">
        <f t="shared" si="217"/>
        <v>منطقه ويژه اقتصادي شهيد رجايي</v>
      </c>
      <c r="O5918" s="53">
        <v>50100</v>
      </c>
      <c r="P5918" s="198" t="s">
        <v>12934</v>
      </c>
    </row>
    <row r="5919" spans="1:16" ht="18.75" hidden="1">
      <c r="A5919" s="50" t="str">
        <f>"50100-10405881"</f>
        <v>50100-10405881</v>
      </c>
      <c r="B5919" s="50" t="str">
        <f>"97/04/11"</f>
        <v>97/04/11</v>
      </c>
      <c r="C5919" s="50" t="s">
        <v>13992</v>
      </c>
      <c r="D5919" s="12" t="s">
        <v>13273</v>
      </c>
      <c r="E5919" s="12" t="s">
        <v>13333</v>
      </c>
      <c r="F5919" s="49">
        <v>12003</v>
      </c>
      <c r="G5919" s="77" t="s">
        <v>5611</v>
      </c>
      <c r="H5919" s="14" t="str">
        <f t="shared" si="215"/>
        <v>true</v>
      </c>
      <c r="I5919" s="14" t="s">
        <v>2458</v>
      </c>
      <c r="J5919" s="33" t="s">
        <v>7110</v>
      </c>
      <c r="K5919" s="33" t="s">
        <v>14024</v>
      </c>
      <c r="L5919" s="53" t="str">
        <f>"تايوان"</f>
        <v>تايوان</v>
      </c>
      <c r="M5919" s="68" t="str">
        <f t="shared" si="216"/>
        <v>بشكه</v>
      </c>
      <c r="N5919" s="53" t="str">
        <f t="shared" si="217"/>
        <v>منطقه ويژه اقتصادي شهيد رجايي</v>
      </c>
      <c r="O5919" s="53">
        <v>50100</v>
      </c>
      <c r="P5919" s="198" t="s">
        <v>12934</v>
      </c>
    </row>
    <row r="5920" spans="1:16" ht="18.75" hidden="1">
      <c r="A5920" s="50" t="str">
        <f>"50100-10405881"</f>
        <v>50100-10405881</v>
      </c>
      <c r="B5920" s="50" t="str">
        <f>"97/04/11"</f>
        <v>97/04/11</v>
      </c>
      <c r="C5920" s="50" t="s">
        <v>14012</v>
      </c>
      <c r="D5920" s="12" t="s">
        <v>13356</v>
      </c>
      <c r="E5920" s="12" t="s">
        <v>13333</v>
      </c>
      <c r="F5920" s="49">
        <v>25331</v>
      </c>
      <c r="G5920" s="77" t="s">
        <v>5611</v>
      </c>
      <c r="H5920" s="14" t="str">
        <f t="shared" si="215"/>
        <v>true</v>
      </c>
      <c r="I5920" s="14" t="s">
        <v>2458</v>
      </c>
      <c r="J5920" s="33" t="s">
        <v>7110</v>
      </c>
      <c r="K5920" s="33" t="s">
        <v>14024</v>
      </c>
      <c r="L5920" s="53" t="str">
        <f>"تايوان"</f>
        <v>تايوان</v>
      </c>
      <c r="M5920" s="68" t="str">
        <f t="shared" si="216"/>
        <v>بشكه</v>
      </c>
      <c r="N5920" s="53" t="str">
        <f t="shared" si="217"/>
        <v>منطقه ويژه اقتصادي شهيد رجايي</v>
      </c>
      <c r="O5920" s="53">
        <v>50100</v>
      </c>
      <c r="P5920" s="198" t="s">
        <v>12934</v>
      </c>
    </row>
    <row r="5921" spans="1:16" ht="18.75" hidden="1">
      <c r="A5921" s="50" t="str">
        <f>"50100-10406218"</f>
        <v>50100-10406218</v>
      </c>
      <c r="B5921" s="50" t="str">
        <f>"97/04/11"</f>
        <v>97/04/11</v>
      </c>
      <c r="C5921" s="50" t="s">
        <v>14041</v>
      </c>
      <c r="D5921" s="12" t="s">
        <v>14010</v>
      </c>
      <c r="E5921" s="12" t="s">
        <v>13333</v>
      </c>
      <c r="F5921" s="49">
        <v>886050</v>
      </c>
      <c r="G5921" s="77" t="s">
        <v>5779</v>
      </c>
      <c r="H5921" s="14" t="str">
        <f t="shared" si="215"/>
        <v>true</v>
      </c>
      <c r="I5921" s="14" t="s">
        <v>2458</v>
      </c>
      <c r="J5921" s="33" t="e">
        <f>VLOOKUP(C5921,شرکتها!A:B,2,FALSE)</f>
        <v>#N/A</v>
      </c>
      <c r="K5921" s="33" t="s">
        <v>14024</v>
      </c>
      <c r="L5921" s="53" t="str">
        <f>"بنگلادش"</f>
        <v>بنگلادش</v>
      </c>
      <c r="M5921" s="68" t="str">
        <f t="shared" si="216"/>
        <v>بشكه</v>
      </c>
      <c r="N5921" s="53" t="str">
        <f t="shared" si="217"/>
        <v>منطقه ويژه اقتصادي شهيد رجايي</v>
      </c>
      <c r="O5921" s="53">
        <v>50100</v>
      </c>
      <c r="P5921" s="198" t="s">
        <v>8081</v>
      </c>
    </row>
    <row r="5922" spans="1:16" ht="18.75" hidden="1">
      <c r="A5922" s="50" t="str">
        <f>"50100-10413411"</f>
        <v>50100-10413411</v>
      </c>
      <c r="B5922" s="50" t="str">
        <f>"97/04/13"</f>
        <v>97/04/13</v>
      </c>
      <c r="C5922" s="50" t="s">
        <v>14042</v>
      </c>
      <c r="D5922" s="12" t="s">
        <v>14010</v>
      </c>
      <c r="E5922" s="12" t="s">
        <v>13333</v>
      </c>
      <c r="F5922" s="49">
        <v>334730</v>
      </c>
      <c r="G5922" s="77" t="s">
        <v>5779</v>
      </c>
      <c r="H5922" s="14" t="str">
        <f t="shared" si="215"/>
        <v>true</v>
      </c>
      <c r="I5922" s="14" t="s">
        <v>2458</v>
      </c>
      <c r="J5922" s="33" t="e">
        <f>VLOOKUP(C5922,شرکتها!A:B,2,FALSE)</f>
        <v>#N/A</v>
      </c>
      <c r="K5922" s="33" t="s">
        <v>14024</v>
      </c>
      <c r="L5922" s="53" t="str">
        <f>"بنگلادش"</f>
        <v>بنگلادش</v>
      </c>
      <c r="M5922" s="68" t="str">
        <f t="shared" si="216"/>
        <v>بشكه</v>
      </c>
      <c r="N5922" s="53" t="str">
        <f t="shared" si="217"/>
        <v>منطقه ويژه اقتصادي شهيد رجايي</v>
      </c>
      <c r="O5922" s="53">
        <v>50100</v>
      </c>
      <c r="P5922" s="198" t="s">
        <v>13092</v>
      </c>
    </row>
    <row r="5923" spans="1:16" ht="18.75" hidden="1">
      <c r="A5923" s="50" t="str">
        <f>"50100-10391124"</f>
        <v>50100-10391124</v>
      </c>
      <c r="B5923" s="50" t="str">
        <f>"97/04/07"</f>
        <v>97/04/07</v>
      </c>
      <c r="C5923" s="50" t="s">
        <v>14043</v>
      </c>
      <c r="D5923" s="12" t="s">
        <v>13552</v>
      </c>
      <c r="E5923" s="12" t="s">
        <v>13333</v>
      </c>
      <c r="F5923" s="49">
        <v>595320</v>
      </c>
      <c r="G5923" s="77" t="s">
        <v>9713</v>
      </c>
      <c r="H5923" s="14" t="str">
        <f t="shared" si="215"/>
        <v>true</v>
      </c>
      <c r="I5923" s="14" t="s">
        <v>2458</v>
      </c>
      <c r="J5923" s="33" t="e">
        <f>VLOOKUP(C5923,شرکتها!A:B,2,FALSE)</f>
        <v>#N/A</v>
      </c>
      <c r="K5923" s="33" t="s">
        <v>14024</v>
      </c>
      <c r="L5923" s="53" t="str">
        <f>"کنيا"</f>
        <v>کنيا</v>
      </c>
      <c r="M5923" s="68" t="str">
        <f t="shared" si="216"/>
        <v>بشكه</v>
      </c>
      <c r="N5923" s="53" t="str">
        <f t="shared" si="217"/>
        <v>منطقه ويژه اقتصادي شهيد رجايي</v>
      </c>
      <c r="O5923" s="53">
        <v>50100</v>
      </c>
      <c r="P5923" s="198" t="s">
        <v>14044</v>
      </c>
    </row>
    <row r="5924" spans="1:16" ht="18.75" hidden="1">
      <c r="A5924" s="50" t="str">
        <f>"50100-10390665"</f>
        <v>50100-10390665</v>
      </c>
      <c r="B5924" s="50" t="str">
        <f>"97/04/07"</f>
        <v>97/04/07</v>
      </c>
      <c r="C5924" s="50" t="s">
        <v>14035</v>
      </c>
      <c r="D5924" s="12" t="s">
        <v>13549</v>
      </c>
      <c r="E5924" s="12" t="s">
        <v>13333</v>
      </c>
      <c r="F5924" s="49">
        <v>200280</v>
      </c>
      <c r="G5924" s="77" t="s">
        <v>5773</v>
      </c>
      <c r="H5924" s="14" t="str">
        <f t="shared" si="215"/>
        <v>true</v>
      </c>
      <c r="I5924" s="14" t="s">
        <v>2458</v>
      </c>
      <c r="J5924" s="33" t="s">
        <v>7110</v>
      </c>
      <c r="K5924" s="33" t="s">
        <v>14024</v>
      </c>
      <c r="L5924" s="53" t="str">
        <f>"سريلانکا"</f>
        <v>سريلانکا</v>
      </c>
      <c r="M5924" s="68" t="str">
        <f t="shared" si="216"/>
        <v>بشكه</v>
      </c>
      <c r="N5924" s="53" t="str">
        <f t="shared" si="217"/>
        <v>منطقه ويژه اقتصادي شهيد رجايي</v>
      </c>
      <c r="O5924" s="53">
        <v>50100</v>
      </c>
      <c r="P5924" s="198" t="s">
        <v>13664</v>
      </c>
    </row>
    <row r="5925" spans="1:16" ht="18.75" hidden="1">
      <c r="A5925" s="50" t="str">
        <f>"50100-10375574"</f>
        <v>50100-10375574</v>
      </c>
      <c r="B5925" s="50" t="str">
        <f>"97/04/03"</f>
        <v>97/04/03</v>
      </c>
      <c r="C5925" s="50" t="s">
        <v>14045</v>
      </c>
      <c r="D5925" s="12" t="s">
        <v>13402</v>
      </c>
      <c r="E5925" s="12" t="s">
        <v>13333</v>
      </c>
      <c r="F5925" s="49">
        <v>200745</v>
      </c>
      <c r="G5925" s="77" t="s">
        <v>5609</v>
      </c>
      <c r="H5925" s="14" t="str">
        <f t="shared" si="215"/>
        <v>true</v>
      </c>
      <c r="I5925" s="14" t="s">
        <v>2458</v>
      </c>
      <c r="J5925" s="33" t="s">
        <v>7110</v>
      </c>
      <c r="K5925" s="33" t="s">
        <v>14024</v>
      </c>
      <c r="L5925" s="53" t="str">
        <f>"کنيا"</f>
        <v>کنيا</v>
      </c>
      <c r="M5925" s="68" t="str">
        <f t="shared" si="216"/>
        <v>بشكه</v>
      </c>
      <c r="N5925" s="53" t="str">
        <f t="shared" si="217"/>
        <v>منطقه ويژه اقتصادي شهيد رجايي</v>
      </c>
      <c r="O5925" s="53">
        <v>50100</v>
      </c>
      <c r="P5925" s="198" t="s">
        <v>14021</v>
      </c>
    </row>
    <row r="5926" spans="1:16" ht="18.75" hidden="1">
      <c r="A5926" s="50" t="str">
        <f>"50100-10376976"</f>
        <v>50100-10376976</v>
      </c>
      <c r="B5926" s="50" t="str">
        <f>"97/04/04"</f>
        <v>97/04/04</v>
      </c>
      <c r="C5926" s="50" t="s">
        <v>14043</v>
      </c>
      <c r="D5926" s="12" t="s">
        <v>13552</v>
      </c>
      <c r="E5926" s="12" t="s">
        <v>13333</v>
      </c>
      <c r="F5926" s="49">
        <v>1812492</v>
      </c>
      <c r="G5926" s="77" t="s">
        <v>9713</v>
      </c>
      <c r="H5926" s="14" t="str">
        <f t="shared" si="215"/>
        <v>true</v>
      </c>
      <c r="I5926" s="14" t="s">
        <v>2458</v>
      </c>
      <c r="J5926" s="33" t="e">
        <f>VLOOKUP(C5926,شرکتها!A:B,2,FALSE)</f>
        <v>#N/A</v>
      </c>
      <c r="K5926" s="33" t="s">
        <v>14024</v>
      </c>
      <c r="L5926" s="53" t="str">
        <f>" امارات متحده عربي"</f>
        <v xml:space="preserve"> امارات متحده عربي</v>
      </c>
      <c r="M5926" s="68" t="str">
        <f t="shared" si="216"/>
        <v>بشكه</v>
      </c>
      <c r="N5926" s="53" t="str">
        <f t="shared" si="217"/>
        <v>منطقه ويژه اقتصادي شهيد رجايي</v>
      </c>
      <c r="O5926" s="53">
        <v>50100</v>
      </c>
      <c r="P5926" s="198" t="s">
        <v>14044</v>
      </c>
    </row>
    <row r="5927" spans="1:16" ht="18.75" hidden="1">
      <c r="A5927" s="50" t="str">
        <f>"50100-10401809"</f>
        <v>50100-10401809</v>
      </c>
      <c r="B5927" s="50" t="str">
        <f>"97/04/10"</f>
        <v>97/04/10</v>
      </c>
      <c r="C5927" s="50" t="s">
        <v>14042</v>
      </c>
      <c r="D5927" s="12" t="s">
        <v>14010</v>
      </c>
      <c r="E5927" s="12" t="s">
        <v>13333</v>
      </c>
      <c r="F5927" s="49">
        <v>99043</v>
      </c>
      <c r="G5927" s="77" t="s">
        <v>5779</v>
      </c>
      <c r="H5927" s="14" t="str">
        <f t="shared" si="215"/>
        <v>true</v>
      </c>
      <c r="I5927" s="14" t="s">
        <v>2458</v>
      </c>
      <c r="J5927" s="33" t="e">
        <f>VLOOKUP(C5927,شرکتها!A:B,2,FALSE)</f>
        <v>#N/A</v>
      </c>
      <c r="K5927" s="33" t="s">
        <v>14024</v>
      </c>
      <c r="L5927" s="53" t="str">
        <f>"بنگلادش"</f>
        <v>بنگلادش</v>
      </c>
      <c r="M5927" s="68" t="str">
        <f t="shared" si="216"/>
        <v>بشكه</v>
      </c>
      <c r="N5927" s="53" t="str">
        <f t="shared" si="217"/>
        <v>منطقه ويژه اقتصادي شهيد رجايي</v>
      </c>
      <c r="O5927" s="53">
        <v>50100</v>
      </c>
      <c r="P5927" s="198" t="s">
        <v>13092</v>
      </c>
    </row>
    <row r="5928" spans="1:16" ht="18.75" hidden="1">
      <c r="A5928" s="50" t="str">
        <f>"50100-10375340"</f>
        <v>50100-10375340</v>
      </c>
      <c r="B5928" s="50" t="str">
        <f>"97/04/03"</f>
        <v>97/04/03</v>
      </c>
      <c r="C5928" s="50" t="s">
        <v>13990</v>
      </c>
      <c r="D5928" s="12" t="s">
        <v>13812</v>
      </c>
      <c r="E5928" s="12" t="s">
        <v>13333</v>
      </c>
      <c r="F5928" s="49">
        <v>496546</v>
      </c>
      <c r="G5928" s="77" t="s">
        <v>9713</v>
      </c>
      <c r="H5928" s="14" t="str">
        <f t="shared" si="215"/>
        <v>true</v>
      </c>
      <c r="I5928" s="14" t="s">
        <v>2458</v>
      </c>
      <c r="J5928" s="33" t="e">
        <f>VLOOKUP(C5928,شرکتها!A:B,2,FALSE)</f>
        <v>#N/A</v>
      </c>
      <c r="K5928" s="33" t="s">
        <v>14024</v>
      </c>
      <c r="L5928" s="53" t="str">
        <f>" امارات متحده عربي"</f>
        <v xml:space="preserve"> امارات متحده عربي</v>
      </c>
      <c r="M5928" s="68" t="str">
        <f t="shared" si="216"/>
        <v>بشكه</v>
      </c>
      <c r="N5928" s="53" t="str">
        <f t="shared" si="217"/>
        <v>منطقه ويژه اقتصادي شهيد رجايي</v>
      </c>
      <c r="O5928" s="53">
        <v>50100</v>
      </c>
      <c r="P5928" s="198" t="s">
        <v>14046</v>
      </c>
    </row>
    <row r="5929" spans="1:16" ht="18.75" hidden="1">
      <c r="A5929" s="50" t="str">
        <f>"50100-10377791"</f>
        <v>50100-10377791</v>
      </c>
      <c r="B5929" s="50" t="str">
        <f>"97/04/04"</f>
        <v>97/04/04</v>
      </c>
      <c r="C5929" s="50" t="s">
        <v>14047</v>
      </c>
      <c r="D5929" s="12" t="s">
        <v>13827</v>
      </c>
      <c r="E5929" s="12" t="s">
        <v>13333</v>
      </c>
      <c r="F5929" s="49">
        <v>850000</v>
      </c>
      <c r="G5929" s="77" t="s">
        <v>5609</v>
      </c>
      <c r="H5929" s="14" t="str">
        <f t="shared" si="215"/>
        <v>true</v>
      </c>
      <c r="I5929" s="14" t="s">
        <v>2458</v>
      </c>
      <c r="J5929" s="33" t="s">
        <v>7110</v>
      </c>
      <c r="K5929" s="33" t="s">
        <v>14024</v>
      </c>
      <c r="L5929" s="53" t="str">
        <f>"کنيا"</f>
        <v>کنيا</v>
      </c>
      <c r="M5929" s="68" t="str">
        <f t="shared" si="216"/>
        <v>بشكه</v>
      </c>
      <c r="N5929" s="53" t="str">
        <f t="shared" si="217"/>
        <v>منطقه ويژه اقتصادي شهيد رجايي</v>
      </c>
      <c r="O5929" s="53">
        <v>50100</v>
      </c>
      <c r="P5929" s="198" t="s">
        <v>14021</v>
      </c>
    </row>
    <row r="5930" spans="1:16" ht="18.75" hidden="1">
      <c r="A5930" s="50" t="str">
        <f>"50100-10384253"</f>
        <v>50100-10384253</v>
      </c>
      <c r="B5930" s="50" t="str">
        <f>"97/04/05"</f>
        <v>97/04/05</v>
      </c>
      <c r="C5930" s="50" t="s">
        <v>14048</v>
      </c>
      <c r="D5930" s="12" t="s">
        <v>13639</v>
      </c>
      <c r="E5930" s="12" t="s">
        <v>13333</v>
      </c>
      <c r="F5930" s="49">
        <v>498225</v>
      </c>
      <c r="G5930" s="77" t="s">
        <v>14049</v>
      </c>
      <c r="H5930" s="14" t="str">
        <f t="shared" si="215"/>
        <v>true</v>
      </c>
      <c r="I5930" s="14" t="s">
        <v>2458</v>
      </c>
      <c r="J5930" s="33" t="s">
        <v>7110</v>
      </c>
      <c r="K5930" s="33" t="s">
        <v>14024</v>
      </c>
      <c r="L5930" s="53" t="str">
        <f>"بنگلادش"</f>
        <v>بنگلادش</v>
      </c>
      <c r="M5930" s="68" t="str">
        <f t="shared" si="216"/>
        <v>بشكه</v>
      </c>
      <c r="N5930" s="53" t="str">
        <f t="shared" si="217"/>
        <v>منطقه ويژه اقتصادي شهيد رجايي</v>
      </c>
      <c r="O5930" s="53">
        <v>50100</v>
      </c>
      <c r="P5930" s="198" t="s">
        <v>14050</v>
      </c>
    </row>
    <row r="5931" spans="1:16" ht="18.75" hidden="1">
      <c r="A5931" s="50" t="str">
        <f>"50100-10377791"</f>
        <v>50100-10377791</v>
      </c>
      <c r="B5931" s="50" t="str">
        <f>"97/04/04"</f>
        <v>97/04/04</v>
      </c>
      <c r="C5931" s="50" t="s">
        <v>14051</v>
      </c>
      <c r="D5931" s="12" t="s">
        <v>13812</v>
      </c>
      <c r="E5931" s="12" t="s">
        <v>13333</v>
      </c>
      <c r="F5931" s="49">
        <v>149770</v>
      </c>
      <c r="G5931" s="77" t="s">
        <v>5609</v>
      </c>
      <c r="H5931" s="14" t="str">
        <f t="shared" si="215"/>
        <v>true</v>
      </c>
      <c r="I5931" s="14" t="s">
        <v>2458</v>
      </c>
      <c r="J5931" s="33" t="s">
        <v>7110</v>
      </c>
      <c r="K5931" s="33" t="s">
        <v>14024</v>
      </c>
      <c r="L5931" s="53" t="str">
        <f>"کنيا"</f>
        <v>کنيا</v>
      </c>
      <c r="M5931" s="68" t="str">
        <f t="shared" si="216"/>
        <v>بشكه</v>
      </c>
      <c r="N5931" s="53" t="str">
        <f t="shared" si="217"/>
        <v>منطقه ويژه اقتصادي شهيد رجايي</v>
      </c>
      <c r="O5931" s="53">
        <v>50100</v>
      </c>
      <c r="P5931" s="198" t="s">
        <v>14021</v>
      </c>
    </row>
    <row r="5932" spans="1:16" ht="18.75" hidden="1">
      <c r="A5932" s="50" t="str">
        <f>"50100-10413630"</f>
        <v>50100-10413630</v>
      </c>
      <c r="B5932" s="50" t="str">
        <f>"97/04/13"</f>
        <v>97/04/13</v>
      </c>
      <c r="C5932" s="50" t="s">
        <v>14041</v>
      </c>
      <c r="D5932" s="12" t="s">
        <v>14010</v>
      </c>
      <c r="E5932" s="12" t="s">
        <v>13333</v>
      </c>
      <c r="F5932" s="49">
        <v>39380</v>
      </c>
      <c r="G5932" s="77" t="s">
        <v>5779</v>
      </c>
      <c r="H5932" s="14" t="str">
        <f t="shared" si="215"/>
        <v>true</v>
      </c>
      <c r="I5932" s="14" t="s">
        <v>2458</v>
      </c>
      <c r="J5932" s="33" t="e">
        <f>VLOOKUP(C5932,شرکتها!A:B,2,FALSE)</f>
        <v>#N/A</v>
      </c>
      <c r="K5932" s="33" t="s">
        <v>14024</v>
      </c>
      <c r="L5932" s="53" t="str">
        <f>"بنگلادش"</f>
        <v>بنگلادش</v>
      </c>
      <c r="M5932" s="68" t="str">
        <f t="shared" si="216"/>
        <v>بشكه</v>
      </c>
      <c r="N5932" s="53" t="str">
        <f t="shared" si="217"/>
        <v>منطقه ويژه اقتصادي شهيد رجايي</v>
      </c>
      <c r="O5932" s="53">
        <v>50100</v>
      </c>
      <c r="P5932" s="198" t="s">
        <v>8081</v>
      </c>
    </row>
    <row r="5933" spans="1:16" ht="18.75" hidden="1">
      <c r="A5933" s="50" t="str">
        <f>"50100-10386697"</f>
        <v>50100-10386697</v>
      </c>
      <c r="B5933" s="50" t="str">
        <f>"97/04/06"</f>
        <v>97/04/06</v>
      </c>
      <c r="C5933" s="50" t="s">
        <v>14052</v>
      </c>
      <c r="D5933" s="12" t="s">
        <v>13402</v>
      </c>
      <c r="E5933" s="12" t="s">
        <v>13333</v>
      </c>
      <c r="F5933" s="49">
        <v>200000</v>
      </c>
      <c r="G5933" s="77" t="s">
        <v>5611</v>
      </c>
      <c r="H5933" s="14" t="str">
        <f t="shared" si="215"/>
        <v>true</v>
      </c>
      <c r="I5933" s="14" t="s">
        <v>2458</v>
      </c>
      <c r="J5933" s="33" t="s">
        <v>7110</v>
      </c>
      <c r="K5933" s="33" t="s">
        <v>14024</v>
      </c>
      <c r="L5933" s="53" t="str">
        <f>"تانزانيا"</f>
        <v>تانزانيا</v>
      </c>
      <c r="M5933" s="68" t="str">
        <f t="shared" si="216"/>
        <v>بشكه</v>
      </c>
      <c r="N5933" s="53" t="str">
        <f t="shared" si="217"/>
        <v>منطقه ويژه اقتصادي شهيد رجايي</v>
      </c>
      <c r="O5933" s="53">
        <v>50100</v>
      </c>
      <c r="P5933" s="198" t="s">
        <v>14053</v>
      </c>
    </row>
    <row r="5934" spans="1:16" ht="18.75" hidden="1">
      <c r="A5934" s="50" t="str">
        <f>"50100-10374562"</f>
        <v>50100-10374562</v>
      </c>
      <c r="B5934" s="50" t="str">
        <f>"97/04/03"</f>
        <v>97/04/03</v>
      </c>
      <c r="C5934" s="50" t="s">
        <v>14054</v>
      </c>
      <c r="D5934" s="12" t="s">
        <v>14055</v>
      </c>
      <c r="E5934" s="12" t="s">
        <v>13333</v>
      </c>
      <c r="F5934" s="49">
        <v>3798449</v>
      </c>
      <c r="G5934" s="77" t="s">
        <v>5779</v>
      </c>
      <c r="H5934" s="14" t="str">
        <f t="shared" si="215"/>
        <v>true</v>
      </c>
      <c r="I5934" s="14" t="s">
        <v>2458</v>
      </c>
      <c r="J5934" s="33" t="e">
        <f>VLOOKUP(C5934,شرکتها!A:B,2,FALSE)</f>
        <v>#N/A</v>
      </c>
      <c r="K5934" s="33" t="s">
        <v>14024</v>
      </c>
      <c r="L5934" s="53" t="str">
        <f>"قطر"</f>
        <v>قطر</v>
      </c>
      <c r="M5934" s="68" t="str">
        <f>"فله"</f>
        <v>فله</v>
      </c>
      <c r="N5934" s="53" t="str">
        <f t="shared" si="217"/>
        <v>منطقه ويژه اقتصادي شهيد رجايي</v>
      </c>
      <c r="O5934" s="53">
        <v>50100</v>
      </c>
      <c r="P5934" s="198" t="s">
        <v>14032</v>
      </c>
    </row>
    <row r="5935" spans="1:16" ht="18.75" hidden="1">
      <c r="A5935" s="50" t="str">
        <f>"50100-10405881"</f>
        <v>50100-10405881</v>
      </c>
      <c r="B5935" s="50" t="str">
        <f>"97/04/11"</f>
        <v>97/04/11</v>
      </c>
      <c r="C5935" s="50" t="s">
        <v>13894</v>
      </c>
      <c r="D5935" s="12" t="s">
        <v>13351</v>
      </c>
      <c r="E5935" s="12" t="s">
        <v>13333</v>
      </c>
      <c r="F5935" s="49">
        <v>3317</v>
      </c>
      <c r="G5935" s="77" t="s">
        <v>5611</v>
      </c>
      <c r="H5935" s="14" t="str">
        <f t="shared" si="215"/>
        <v>true</v>
      </c>
      <c r="I5935" s="14" t="s">
        <v>2458</v>
      </c>
      <c r="J5935" s="33" t="s">
        <v>7110</v>
      </c>
      <c r="K5935" s="33" t="s">
        <v>14024</v>
      </c>
      <c r="L5935" s="53" t="str">
        <f>"تايوان"</f>
        <v>تايوان</v>
      </c>
      <c r="M5935" s="68" t="str">
        <f>"بشكه"</f>
        <v>بشكه</v>
      </c>
      <c r="N5935" s="53" t="str">
        <f t="shared" si="217"/>
        <v>منطقه ويژه اقتصادي شهيد رجايي</v>
      </c>
      <c r="O5935" s="53">
        <v>50100</v>
      </c>
      <c r="P5935" s="198" t="s">
        <v>12934</v>
      </c>
    </row>
    <row r="5936" spans="1:16" ht="18.75" hidden="1">
      <c r="A5936" s="50" t="str">
        <f>"50100-10403800"</f>
        <v>50100-10403800</v>
      </c>
      <c r="B5936" s="50" t="str">
        <f>"97/04/11"</f>
        <v>97/04/11</v>
      </c>
      <c r="C5936" s="50" t="s">
        <v>14016</v>
      </c>
      <c r="D5936" s="12" t="s">
        <v>13822</v>
      </c>
      <c r="E5936" s="12" t="s">
        <v>13333</v>
      </c>
      <c r="F5936" s="49">
        <v>140140</v>
      </c>
      <c r="G5936" s="77" t="s">
        <v>5702</v>
      </c>
      <c r="H5936" s="14" t="str">
        <f t="shared" si="215"/>
        <v>true</v>
      </c>
      <c r="I5936" s="14" t="s">
        <v>2458</v>
      </c>
      <c r="J5936" s="33" t="s">
        <v>7110</v>
      </c>
      <c r="K5936" s="33" t="s">
        <v>14024</v>
      </c>
      <c r="L5936" s="53" t="str">
        <f>"هند"</f>
        <v>هند</v>
      </c>
      <c r="M5936" s="68" t="str">
        <f>"بشكه"</f>
        <v>بشكه</v>
      </c>
      <c r="N5936" s="53" t="str">
        <f t="shared" si="217"/>
        <v>منطقه ويژه اقتصادي شهيد رجايي</v>
      </c>
      <c r="O5936" s="53">
        <v>50100</v>
      </c>
      <c r="P5936" s="198" t="s">
        <v>14056</v>
      </c>
    </row>
    <row r="5937" spans="1:16" ht="18.75" hidden="1">
      <c r="A5937" s="50" t="str">
        <f>"50100-10375574"</f>
        <v>50100-10375574</v>
      </c>
      <c r="B5937" s="50" t="str">
        <f>"97/04/03"</f>
        <v>97/04/03</v>
      </c>
      <c r="C5937" s="50" t="s">
        <v>14057</v>
      </c>
      <c r="D5937" s="12" t="s">
        <v>13402</v>
      </c>
      <c r="E5937" s="12" t="s">
        <v>13333</v>
      </c>
      <c r="F5937" s="49">
        <v>300000</v>
      </c>
      <c r="G5937" s="77" t="s">
        <v>5609</v>
      </c>
      <c r="H5937" s="14" t="str">
        <f t="shared" si="215"/>
        <v>true</v>
      </c>
      <c r="I5937" s="14" t="s">
        <v>2458</v>
      </c>
      <c r="J5937" s="33" t="s">
        <v>7110</v>
      </c>
      <c r="K5937" s="33" t="s">
        <v>14024</v>
      </c>
      <c r="L5937" s="53" t="str">
        <f>"کنيا"</f>
        <v>کنيا</v>
      </c>
      <c r="M5937" s="68" t="str">
        <f>"بشكه"</f>
        <v>بشكه</v>
      </c>
      <c r="N5937" s="53" t="str">
        <f t="shared" si="217"/>
        <v>منطقه ويژه اقتصادي شهيد رجايي</v>
      </c>
      <c r="O5937" s="53">
        <v>50100</v>
      </c>
      <c r="P5937" s="198" t="s">
        <v>14021</v>
      </c>
    </row>
    <row r="5938" spans="1:16" ht="18.75" hidden="1">
      <c r="A5938" s="50" t="s">
        <v>14058</v>
      </c>
      <c r="B5938" s="50" t="s">
        <v>14059</v>
      </c>
      <c r="C5938" s="50" t="s">
        <v>14060</v>
      </c>
      <c r="D5938" s="12" t="s">
        <v>13827</v>
      </c>
      <c r="E5938" s="12" t="s">
        <v>13333</v>
      </c>
      <c r="F5938" s="49">
        <v>24400</v>
      </c>
      <c r="G5938" s="77" t="s">
        <v>5773</v>
      </c>
      <c r="H5938" s="14" t="str">
        <f t="shared" si="215"/>
        <v>true</v>
      </c>
      <c r="I5938" s="14" t="s">
        <v>2458</v>
      </c>
      <c r="J5938" s="33" t="s">
        <v>7110</v>
      </c>
      <c r="K5938" s="33" t="s">
        <v>14024</v>
      </c>
      <c r="L5938" s="53" t="s">
        <v>6054</v>
      </c>
      <c r="M5938" s="68" t="s">
        <v>8912</v>
      </c>
      <c r="N5938" s="53" t="s">
        <v>6285</v>
      </c>
      <c r="O5938" s="53">
        <v>55200</v>
      </c>
      <c r="P5938" s="198" t="s">
        <v>13664</v>
      </c>
    </row>
    <row r="5939" spans="1:16" ht="18.75" hidden="1">
      <c r="A5939" s="50" t="s">
        <v>14061</v>
      </c>
      <c r="B5939" s="50" t="s">
        <v>14062</v>
      </c>
      <c r="C5939" s="50" t="s">
        <v>14063</v>
      </c>
      <c r="D5939" s="12" t="s">
        <v>13967</v>
      </c>
      <c r="E5939" s="12" t="s">
        <v>13333</v>
      </c>
      <c r="F5939" s="49">
        <v>114920</v>
      </c>
      <c r="G5939" s="77" t="s">
        <v>5631</v>
      </c>
      <c r="H5939" s="14" t="str">
        <f t="shared" si="215"/>
        <v>true</v>
      </c>
      <c r="I5939" s="14" t="s">
        <v>2458</v>
      </c>
      <c r="J5939" s="33" t="s">
        <v>7110</v>
      </c>
      <c r="K5939" s="33" t="s">
        <v>14024</v>
      </c>
      <c r="L5939" s="53" t="s">
        <v>6054</v>
      </c>
      <c r="M5939" s="68" t="s">
        <v>8912</v>
      </c>
      <c r="N5939" s="53" t="s">
        <v>6076</v>
      </c>
      <c r="O5939" s="53">
        <v>55301</v>
      </c>
      <c r="P5939" s="198" t="s">
        <v>12938</v>
      </c>
    </row>
    <row r="5940" spans="1:16" ht="18.75" hidden="1">
      <c r="A5940" s="50" t="s">
        <v>14064</v>
      </c>
      <c r="B5940" s="50" t="s">
        <v>14065</v>
      </c>
      <c r="C5940" s="50" t="s">
        <v>14066</v>
      </c>
      <c r="D5940" s="12" t="s">
        <v>13422</v>
      </c>
      <c r="E5940" s="12" t="s">
        <v>13333</v>
      </c>
      <c r="F5940" s="49">
        <v>300880</v>
      </c>
      <c r="G5940" s="77" t="s">
        <v>5611</v>
      </c>
      <c r="H5940" s="14" t="str">
        <f t="shared" si="215"/>
        <v>true</v>
      </c>
      <c r="I5940" s="14" t="s">
        <v>2458</v>
      </c>
      <c r="J5940" s="33" t="s">
        <v>7110</v>
      </c>
      <c r="K5940" s="33" t="s">
        <v>14024</v>
      </c>
      <c r="L5940" s="53" t="s">
        <v>6054</v>
      </c>
      <c r="M5940" s="68" t="s">
        <v>8913</v>
      </c>
      <c r="N5940" s="53" t="s">
        <v>6076</v>
      </c>
      <c r="O5940" s="53">
        <v>55301</v>
      </c>
      <c r="P5940" s="198" t="s">
        <v>14053</v>
      </c>
    </row>
    <row r="5941" spans="1:16" ht="18.75" hidden="1">
      <c r="A5941" s="50" t="s">
        <v>14067</v>
      </c>
      <c r="B5941" s="50" t="s">
        <v>14055</v>
      </c>
      <c r="C5941" s="50" t="s">
        <v>14068</v>
      </c>
      <c r="D5941" s="12" t="s">
        <v>13812</v>
      </c>
      <c r="E5941" s="12" t="s">
        <v>13333</v>
      </c>
      <c r="F5941" s="49">
        <v>199690</v>
      </c>
      <c r="G5941" s="77" t="s">
        <v>14049</v>
      </c>
      <c r="H5941" s="14" t="str">
        <f t="shared" si="215"/>
        <v>true</v>
      </c>
      <c r="I5941" s="14" t="s">
        <v>2458</v>
      </c>
      <c r="J5941" s="33" t="s">
        <v>7110</v>
      </c>
      <c r="K5941" s="33" t="s">
        <v>14024</v>
      </c>
      <c r="L5941" s="53" t="s">
        <v>6054</v>
      </c>
      <c r="M5941" s="68" t="s">
        <v>8912</v>
      </c>
      <c r="N5941" s="53" t="s">
        <v>6076</v>
      </c>
      <c r="O5941" s="53">
        <v>55301</v>
      </c>
      <c r="P5941" s="198" t="s">
        <v>14050</v>
      </c>
    </row>
    <row r="5942" spans="1:16" ht="18.75" hidden="1">
      <c r="A5942" s="50" t="s">
        <v>14064</v>
      </c>
      <c r="B5942" s="50" t="s">
        <v>14065</v>
      </c>
      <c r="C5942" s="50" t="s">
        <v>13691</v>
      </c>
      <c r="D5942" s="12" t="s">
        <v>13002</v>
      </c>
      <c r="E5942" s="12" t="s">
        <v>4971</v>
      </c>
      <c r="F5942" s="49">
        <v>17880</v>
      </c>
      <c r="G5942" s="77" t="s">
        <v>5611</v>
      </c>
      <c r="H5942" s="14" t="str">
        <f t="shared" si="215"/>
        <v>true</v>
      </c>
      <c r="I5942" s="14" t="s">
        <v>2458</v>
      </c>
      <c r="J5942" s="33" t="s">
        <v>7110</v>
      </c>
      <c r="K5942" s="33" t="s">
        <v>14024</v>
      </c>
      <c r="L5942" s="53" t="s">
        <v>6054</v>
      </c>
      <c r="M5942" s="68" t="s">
        <v>8913</v>
      </c>
      <c r="N5942" s="53" t="s">
        <v>6076</v>
      </c>
      <c r="O5942" s="53">
        <v>55301</v>
      </c>
      <c r="P5942" s="198" t="s">
        <v>12934</v>
      </c>
    </row>
    <row r="5943" spans="1:16" ht="18.75" hidden="1">
      <c r="A5943" s="50" t="s">
        <v>14069</v>
      </c>
      <c r="B5943" s="50" t="s">
        <v>13996</v>
      </c>
      <c r="C5943" s="50" t="s">
        <v>14070</v>
      </c>
      <c r="D5943" s="12" t="s">
        <v>13818</v>
      </c>
      <c r="E5943" s="12" t="s">
        <v>13333</v>
      </c>
      <c r="F5943" s="49">
        <v>73130</v>
      </c>
      <c r="G5943" s="77" t="s">
        <v>12590</v>
      </c>
      <c r="H5943" s="14" t="str">
        <f t="shared" si="215"/>
        <v>true</v>
      </c>
      <c r="I5943" s="14" t="s">
        <v>2458</v>
      </c>
      <c r="J5943" s="33" t="s">
        <v>7110</v>
      </c>
      <c r="K5943" s="33" t="s">
        <v>14024</v>
      </c>
      <c r="L5943" s="53" t="s">
        <v>6054</v>
      </c>
      <c r="M5943" s="68" t="s">
        <v>8912</v>
      </c>
      <c r="N5943" s="53" t="s">
        <v>6286</v>
      </c>
      <c r="O5943" s="53">
        <v>55107</v>
      </c>
      <c r="P5943" s="198" t="s">
        <v>14071</v>
      </c>
    </row>
    <row r="5944" spans="1:16" ht="18.75" hidden="1">
      <c r="A5944" s="50" t="s">
        <v>14072</v>
      </c>
      <c r="B5944" s="50" t="s">
        <v>13996</v>
      </c>
      <c r="C5944" s="50" t="s">
        <v>14073</v>
      </c>
      <c r="D5944" s="12" t="s">
        <v>13827</v>
      </c>
      <c r="E5944" s="12" t="s">
        <v>13333</v>
      </c>
      <c r="F5944" s="49">
        <v>47180</v>
      </c>
      <c r="G5944" s="77" t="s">
        <v>14049</v>
      </c>
      <c r="H5944" s="14" t="str">
        <f t="shared" si="215"/>
        <v>true</v>
      </c>
      <c r="I5944" s="14" t="s">
        <v>2458</v>
      </c>
      <c r="J5944" s="33" t="s">
        <v>7110</v>
      </c>
      <c r="K5944" s="33" t="s">
        <v>14024</v>
      </c>
      <c r="L5944" s="53" t="s">
        <v>6054</v>
      </c>
      <c r="M5944" s="68" t="s">
        <v>8912</v>
      </c>
      <c r="N5944" s="53" t="s">
        <v>6076</v>
      </c>
      <c r="O5944" s="53">
        <v>55301</v>
      </c>
      <c r="P5944" s="198" t="s">
        <v>14050</v>
      </c>
    </row>
    <row r="5945" spans="1:16" ht="18.75" hidden="1">
      <c r="A5945" s="50" t="s">
        <v>14074</v>
      </c>
      <c r="B5945" s="50" t="s">
        <v>14075</v>
      </c>
      <c r="C5945" s="50" t="s">
        <v>14073</v>
      </c>
      <c r="D5945" s="12" t="s">
        <v>13827</v>
      </c>
      <c r="E5945" s="12" t="s">
        <v>13333</v>
      </c>
      <c r="F5945" s="49">
        <v>294080</v>
      </c>
      <c r="G5945" s="77" t="s">
        <v>14049</v>
      </c>
      <c r="H5945" s="14" t="str">
        <f t="shared" si="215"/>
        <v>true</v>
      </c>
      <c r="I5945" s="14" t="s">
        <v>2458</v>
      </c>
      <c r="J5945" s="33" t="s">
        <v>7110</v>
      </c>
      <c r="K5945" s="33" t="s">
        <v>14024</v>
      </c>
      <c r="L5945" s="53" t="s">
        <v>6054</v>
      </c>
      <c r="M5945" s="68" t="s">
        <v>8912</v>
      </c>
      <c r="N5945" s="53" t="s">
        <v>6285</v>
      </c>
      <c r="O5945" s="53">
        <v>55200</v>
      </c>
      <c r="P5945" s="198" t="s">
        <v>14050</v>
      </c>
    </row>
    <row r="5946" spans="1:16" ht="18.75" hidden="1">
      <c r="A5946" s="50" t="s">
        <v>14076</v>
      </c>
      <c r="B5946" s="50" t="s">
        <v>14075</v>
      </c>
      <c r="C5946" s="50" t="s">
        <v>14077</v>
      </c>
      <c r="D5946" s="12" t="s">
        <v>13969</v>
      </c>
      <c r="E5946" s="12" t="s">
        <v>13333</v>
      </c>
      <c r="F5946" s="49">
        <v>86391</v>
      </c>
      <c r="G5946" s="77" t="s">
        <v>13825</v>
      </c>
      <c r="H5946" s="14" t="str">
        <f t="shared" si="215"/>
        <v>true</v>
      </c>
      <c r="I5946" s="14" t="s">
        <v>2458</v>
      </c>
      <c r="J5946" s="33" t="e">
        <f>VLOOKUP(C5946,شرکتها!A:B,2,FALSE)</f>
        <v>#N/A</v>
      </c>
      <c r="K5946" s="33" t="s">
        <v>14024</v>
      </c>
      <c r="L5946" s="53" t="s">
        <v>6054</v>
      </c>
      <c r="M5946" s="68" t="s">
        <v>8912</v>
      </c>
      <c r="N5946" s="53" t="s">
        <v>6076</v>
      </c>
      <c r="O5946" s="53">
        <v>55301</v>
      </c>
      <c r="P5946" s="198" t="s">
        <v>14078</v>
      </c>
    </row>
    <row r="5947" spans="1:16" ht="18.75" hidden="1">
      <c r="A5947" s="50" t="s">
        <v>14076</v>
      </c>
      <c r="B5947" s="50" t="s">
        <v>14075</v>
      </c>
      <c r="C5947" s="50" t="s">
        <v>14079</v>
      </c>
      <c r="D5947" s="12" t="s">
        <v>13835</v>
      </c>
      <c r="E5947" s="12" t="s">
        <v>13333</v>
      </c>
      <c r="F5947" s="49">
        <v>170000</v>
      </c>
      <c r="G5947" s="77" t="s">
        <v>13825</v>
      </c>
      <c r="H5947" s="14" t="str">
        <f t="shared" si="215"/>
        <v>true</v>
      </c>
      <c r="I5947" s="14" t="s">
        <v>2458</v>
      </c>
      <c r="J5947" s="33" t="s">
        <v>7110</v>
      </c>
      <c r="K5947" s="33" t="s">
        <v>14024</v>
      </c>
      <c r="L5947" s="53" t="s">
        <v>6054</v>
      </c>
      <c r="M5947" s="68" t="s">
        <v>8912</v>
      </c>
      <c r="N5947" s="53" t="s">
        <v>6076</v>
      </c>
      <c r="O5947" s="53">
        <v>55301</v>
      </c>
      <c r="P5947" s="198" t="s">
        <v>14080</v>
      </c>
    </row>
    <row r="5948" spans="1:16" ht="18.75" hidden="1">
      <c r="A5948" s="50" t="s">
        <v>14076</v>
      </c>
      <c r="B5948" s="50" t="s">
        <v>14075</v>
      </c>
      <c r="C5948" s="50" t="s">
        <v>14081</v>
      </c>
      <c r="D5948" s="12" t="s">
        <v>13746</v>
      </c>
      <c r="E5948" s="12" t="s">
        <v>13333</v>
      </c>
      <c r="F5948" s="49">
        <v>133320</v>
      </c>
      <c r="G5948" s="77" t="s">
        <v>13825</v>
      </c>
      <c r="H5948" s="14" t="str">
        <f t="shared" si="215"/>
        <v>true</v>
      </c>
      <c r="I5948" s="14" t="s">
        <v>2458</v>
      </c>
      <c r="J5948" s="33" t="e">
        <f>VLOOKUP(C5948,شرکتها!A:B,2,FALSE)</f>
        <v>#N/A</v>
      </c>
      <c r="K5948" s="33" t="s">
        <v>14024</v>
      </c>
      <c r="L5948" s="53" t="s">
        <v>6054</v>
      </c>
      <c r="M5948" s="68" t="s">
        <v>8912</v>
      </c>
      <c r="N5948" s="53" t="s">
        <v>6076</v>
      </c>
      <c r="O5948" s="53">
        <v>55301</v>
      </c>
      <c r="P5948" s="198" t="s">
        <v>14078</v>
      </c>
    </row>
    <row r="5949" spans="1:16" ht="18.75" hidden="1">
      <c r="A5949" s="50" t="s">
        <v>14076</v>
      </c>
      <c r="B5949" s="50" t="s">
        <v>14075</v>
      </c>
      <c r="C5949" s="50" t="s">
        <v>13962</v>
      </c>
      <c r="D5949" s="12" t="s">
        <v>13960</v>
      </c>
      <c r="E5949" s="12" t="s">
        <v>13333</v>
      </c>
      <c r="F5949" s="49">
        <v>78599</v>
      </c>
      <c r="G5949" s="77" t="s">
        <v>13825</v>
      </c>
      <c r="H5949" s="14" t="str">
        <f t="shared" si="215"/>
        <v>true</v>
      </c>
      <c r="I5949" s="14" t="s">
        <v>2458</v>
      </c>
      <c r="J5949" s="33" t="s">
        <v>7110</v>
      </c>
      <c r="K5949" s="33" t="s">
        <v>14024</v>
      </c>
      <c r="L5949" s="53" t="s">
        <v>6054</v>
      </c>
      <c r="M5949" s="68" t="s">
        <v>8912</v>
      </c>
      <c r="N5949" s="53" t="s">
        <v>6076</v>
      </c>
      <c r="O5949" s="53">
        <v>55301</v>
      </c>
      <c r="P5949" s="198" t="s">
        <v>13715</v>
      </c>
    </row>
    <row r="5950" spans="1:16" ht="18.75" hidden="1">
      <c r="A5950" s="50" t="s">
        <v>14067</v>
      </c>
      <c r="B5950" s="50" t="s">
        <v>14055</v>
      </c>
      <c r="C5950" s="50" t="s">
        <v>14082</v>
      </c>
      <c r="D5950" s="12" t="s">
        <v>13808</v>
      </c>
      <c r="E5950" s="12" t="s">
        <v>13333</v>
      </c>
      <c r="F5950" s="49">
        <v>200000</v>
      </c>
      <c r="G5950" s="77" t="s">
        <v>14049</v>
      </c>
      <c r="H5950" s="14" t="str">
        <f t="shared" si="215"/>
        <v>true</v>
      </c>
      <c r="I5950" s="14" t="s">
        <v>2458</v>
      </c>
      <c r="J5950" s="33" t="s">
        <v>7110</v>
      </c>
      <c r="K5950" s="33" t="s">
        <v>14024</v>
      </c>
      <c r="L5950" s="53" t="s">
        <v>6054</v>
      </c>
      <c r="M5950" s="68" t="s">
        <v>8912</v>
      </c>
      <c r="N5950" s="53" t="s">
        <v>6076</v>
      </c>
      <c r="O5950" s="53">
        <v>55301</v>
      </c>
      <c r="P5950" s="198" t="s">
        <v>14050</v>
      </c>
    </row>
    <row r="5951" spans="1:16" ht="18.75" hidden="1">
      <c r="A5951" s="50" t="s">
        <v>14064</v>
      </c>
      <c r="B5951" s="50" t="s">
        <v>14065</v>
      </c>
      <c r="C5951" s="50" t="s">
        <v>14083</v>
      </c>
      <c r="D5951" s="12" t="s">
        <v>13402</v>
      </c>
      <c r="E5951" s="12" t="s">
        <v>13333</v>
      </c>
      <c r="F5951" s="49">
        <v>6100</v>
      </c>
      <c r="G5951" s="77" t="s">
        <v>14084</v>
      </c>
      <c r="H5951" s="14" t="str">
        <f t="shared" si="215"/>
        <v>true</v>
      </c>
      <c r="I5951" s="14" t="s">
        <v>2458</v>
      </c>
      <c r="J5951" s="33" t="s">
        <v>7110</v>
      </c>
      <c r="K5951" s="33" t="s">
        <v>14024</v>
      </c>
      <c r="L5951" s="53" t="s">
        <v>6054</v>
      </c>
      <c r="M5951" s="68" t="s">
        <v>8913</v>
      </c>
      <c r="N5951" s="53" t="s">
        <v>6076</v>
      </c>
      <c r="O5951" s="53">
        <v>55301</v>
      </c>
      <c r="P5951" s="198" t="s">
        <v>13731</v>
      </c>
    </row>
    <row r="5952" spans="1:16" ht="18.75" hidden="1">
      <c r="A5952" s="50" t="s">
        <v>14085</v>
      </c>
      <c r="B5952" s="50" t="s">
        <v>14059</v>
      </c>
      <c r="C5952" s="50" t="s">
        <v>14060</v>
      </c>
      <c r="D5952" s="12" t="s">
        <v>13827</v>
      </c>
      <c r="E5952" s="12" t="s">
        <v>13333</v>
      </c>
      <c r="F5952" s="49">
        <v>189120</v>
      </c>
      <c r="G5952" s="77" t="s">
        <v>5773</v>
      </c>
      <c r="H5952" s="14" t="str">
        <f t="shared" si="215"/>
        <v>true</v>
      </c>
      <c r="I5952" s="14" t="s">
        <v>2458</v>
      </c>
      <c r="J5952" s="33" t="s">
        <v>7110</v>
      </c>
      <c r="K5952" s="33" t="s">
        <v>14024</v>
      </c>
      <c r="L5952" s="53" t="s">
        <v>6054</v>
      </c>
      <c r="M5952" s="68" t="s">
        <v>8913</v>
      </c>
      <c r="N5952" s="53" t="s">
        <v>6076</v>
      </c>
      <c r="O5952" s="53">
        <v>55301</v>
      </c>
      <c r="P5952" s="198" t="s">
        <v>13664</v>
      </c>
    </row>
    <row r="5953" spans="1:16" ht="18.75" hidden="1">
      <c r="A5953" s="50" t="s">
        <v>14086</v>
      </c>
      <c r="B5953" s="50" t="s">
        <v>14087</v>
      </c>
      <c r="C5953" s="50" t="s">
        <v>14088</v>
      </c>
      <c r="D5953" s="12" t="s">
        <v>13851</v>
      </c>
      <c r="E5953" s="12" t="s">
        <v>13333</v>
      </c>
      <c r="F5953" s="49">
        <v>144260</v>
      </c>
      <c r="G5953" s="77" t="s">
        <v>14084</v>
      </c>
      <c r="H5953" s="14" t="str">
        <f t="shared" si="215"/>
        <v>true</v>
      </c>
      <c r="I5953" s="14" t="s">
        <v>2458</v>
      </c>
      <c r="J5953" s="33" t="s">
        <v>7110</v>
      </c>
      <c r="K5953" s="33" t="s">
        <v>14024</v>
      </c>
      <c r="L5953" s="53" t="s">
        <v>6054</v>
      </c>
      <c r="M5953" s="68" t="s">
        <v>8912</v>
      </c>
      <c r="N5953" s="53" t="s">
        <v>6286</v>
      </c>
      <c r="O5953" s="53">
        <v>55107</v>
      </c>
      <c r="P5953" s="198" t="s">
        <v>14089</v>
      </c>
    </row>
    <row r="5954" spans="1:16" ht="18.75" hidden="1">
      <c r="A5954" s="50" t="s">
        <v>14090</v>
      </c>
      <c r="B5954" s="50" t="s">
        <v>14031</v>
      </c>
      <c r="C5954" s="50" t="s">
        <v>14070</v>
      </c>
      <c r="D5954" s="12" t="s">
        <v>13818</v>
      </c>
      <c r="E5954" s="12" t="s">
        <v>13333</v>
      </c>
      <c r="F5954" s="49">
        <v>220440</v>
      </c>
      <c r="G5954" s="77" t="s">
        <v>12590</v>
      </c>
      <c r="H5954" s="14" t="str">
        <f t="shared" si="215"/>
        <v>true</v>
      </c>
      <c r="I5954" s="14" t="s">
        <v>2458</v>
      </c>
      <c r="J5954" s="33" t="s">
        <v>7110</v>
      </c>
      <c r="K5954" s="33" t="s">
        <v>14024</v>
      </c>
      <c r="L5954" s="53" t="s">
        <v>6054</v>
      </c>
      <c r="M5954" s="68" t="s">
        <v>8913</v>
      </c>
      <c r="N5954" s="53" t="s">
        <v>6076</v>
      </c>
      <c r="O5954" s="53">
        <v>55301</v>
      </c>
      <c r="P5954" s="198" t="s">
        <v>14071</v>
      </c>
    </row>
    <row r="5955" spans="1:16" ht="18.75" hidden="1">
      <c r="A5955" s="50" t="s">
        <v>14091</v>
      </c>
      <c r="B5955" s="50" t="s">
        <v>13996</v>
      </c>
      <c r="C5955" s="50" t="s">
        <v>14073</v>
      </c>
      <c r="D5955" s="12" t="s">
        <v>13827</v>
      </c>
      <c r="E5955" s="12" t="s">
        <v>13333</v>
      </c>
      <c r="F5955" s="49">
        <v>47670</v>
      </c>
      <c r="G5955" s="77" t="s">
        <v>14049</v>
      </c>
      <c r="H5955" s="14" t="str">
        <f t="shared" si="215"/>
        <v>true</v>
      </c>
      <c r="I5955" s="14" t="s">
        <v>2458</v>
      </c>
      <c r="J5955" s="33" t="s">
        <v>7110</v>
      </c>
      <c r="K5955" s="33" t="s">
        <v>14024</v>
      </c>
      <c r="L5955" s="53" t="s">
        <v>6054</v>
      </c>
      <c r="M5955" s="68" t="s">
        <v>8912</v>
      </c>
      <c r="N5955" s="53" t="s">
        <v>9836</v>
      </c>
      <c r="O5955" s="53">
        <v>55112</v>
      </c>
      <c r="P5955" s="198" t="s">
        <v>14050</v>
      </c>
    </row>
    <row r="5956" spans="1:16" ht="18.75" hidden="1">
      <c r="A5956" s="50" t="s">
        <v>14061</v>
      </c>
      <c r="B5956" s="50" t="s">
        <v>14062</v>
      </c>
      <c r="C5956" s="50" t="s">
        <v>14073</v>
      </c>
      <c r="D5956" s="12" t="s">
        <v>13827</v>
      </c>
      <c r="E5956" s="12" t="s">
        <v>13333</v>
      </c>
      <c r="F5956" s="49">
        <v>173350</v>
      </c>
      <c r="G5956" s="77" t="s">
        <v>14049</v>
      </c>
      <c r="H5956" s="14" t="str">
        <f t="shared" si="215"/>
        <v>true</v>
      </c>
      <c r="I5956" s="14" t="s">
        <v>2458</v>
      </c>
      <c r="J5956" s="33" t="s">
        <v>7110</v>
      </c>
      <c r="K5956" s="33" t="s">
        <v>14024</v>
      </c>
      <c r="L5956" s="53" t="s">
        <v>6054</v>
      </c>
      <c r="M5956" s="68" t="s">
        <v>8912</v>
      </c>
      <c r="N5956" s="53" t="s">
        <v>6076</v>
      </c>
      <c r="O5956" s="53">
        <v>55301</v>
      </c>
      <c r="P5956" s="198" t="s">
        <v>14050</v>
      </c>
    </row>
    <row r="5957" spans="1:16" ht="18.75" hidden="1">
      <c r="A5957" s="50" t="s">
        <v>14092</v>
      </c>
      <c r="B5957" s="50" t="s">
        <v>14087</v>
      </c>
      <c r="C5957" s="50" t="s">
        <v>14088</v>
      </c>
      <c r="D5957" s="12" t="s">
        <v>13851</v>
      </c>
      <c r="E5957" s="12" t="s">
        <v>13333</v>
      </c>
      <c r="F5957" s="49">
        <v>73380</v>
      </c>
      <c r="G5957" s="77" t="s">
        <v>14084</v>
      </c>
      <c r="H5957" s="14" t="str">
        <f t="shared" si="215"/>
        <v>true</v>
      </c>
      <c r="I5957" s="14" t="s">
        <v>2458</v>
      </c>
      <c r="J5957" s="33" t="s">
        <v>7110</v>
      </c>
      <c r="K5957" s="33" t="s">
        <v>14024</v>
      </c>
      <c r="L5957" s="53" t="s">
        <v>6054</v>
      </c>
      <c r="M5957" s="68" t="s">
        <v>8912</v>
      </c>
      <c r="N5957" s="53" t="s">
        <v>6285</v>
      </c>
      <c r="O5957" s="53">
        <v>55200</v>
      </c>
      <c r="P5957" s="198" t="s">
        <v>14089</v>
      </c>
    </row>
    <row r="5958" spans="1:16" ht="18.75" hidden="1">
      <c r="A5958" s="50" t="s">
        <v>14093</v>
      </c>
      <c r="B5958" s="50" t="s">
        <v>14006</v>
      </c>
      <c r="C5958" s="50" t="s">
        <v>14088</v>
      </c>
      <c r="D5958" s="12" t="s">
        <v>13851</v>
      </c>
      <c r="E5958" s="12" t="s">
        <v>13333</v>
      </c>
      <c r="F5958" s="49">
        <v>92360</v>
      </c>
      <c r="G5958" s="77" t="s">
        <v>14084</v>
      </c>
      <c r="H5958" s="14" t="str">
        <f t="shared" si="215"/>
        <v>true</v>
      </c>
      <c r="I5958" s="14" t="s">
        <v>2458</v>
      </c>
      <c r="J5958" s="33" t="s">
        <v>7110</v>
      </c>
      <c r="K5958" s="33" t="s">
        <v>14024</v>
      </c>
      <c r="L5958" s="53" t="s">
        <v>6054</v>
      </c>
      <c r="M5958" s="68" t="s">
        <v>8912</v>
      </c>
      <c r="N5958" s="53" t="s">
        <v>6286</v>
      </c>
      <c r="O5958" s="53">
        <v>55107</v>
      </c>
      <c r="P5958" s="198" t="s">
        <v>14089</v>
      </c>
    </row>
    <row r="5959" spans="1:16" ht="18.75" hidden="1">
      <c r="A5959" s="50" t="s">
        <v>14094</v>
      </c>
      <c r="B5959" s="50" t="s">
        <v>14062</v>
      </c>
      <c r="C5959" s="50" t="s">
        <v>14095</v>
      </c>
      <c r="D5959" s="12" t="s">
        <v>13575</v>
      </c>
      <c r="E5959" s="12" t="s">
        <v>13333</v>
      </c>
      <c r="F5959" s="49">
        <v>4920</v>
      </c>
      <c r="G5959" s="77" t="s">
        <v>5647</v>
      </c>
      <c r="H5959" s="14" t="str">
        <f t="shared" si="215"/>
        <v>true</v>
      </c>
      <c r="I5959" s="14" t="s">
        <v>2458</v>
      </c>
      <c r="J5959" s="33" t="s">
        <v>7110</v>
      </c>
      <c r="K5959" s="33" t="s">
        <v>14024</v>
      </c>
      <c r="L5959" s="53" t="s">
        <v>6054</v>
      </c>
      <c r="M5959" s="68" t="s">
        <v>8913</v>
      </c>
      <c r="N5959" s="53" t="s">
        <v>6076</v>
      </c>
      <c r="O5959" s="53">
        <v>55301</v>
      </c>
      <c r="P5959" s="198" t="s">
        <v>14096</v>
      </c>
    </row>
    <row r="5960" spans="1:16" ht="18.75" hidden="1">
      <c r="A5960" s="50" t="s">
        <v>14097</v>
      </c>
      <c r="B5960" s="50" t="s">
        <v>14031</v>
      </c>
      <c r="C5960" s="50" t="s">
        <v>14098</v>
      </c>
      <c r="D5960" s="12" t="s">
        <v>13563</v>
      </c>
      <c r="E5960" s="12" t="s">
        <v>13333</v>
      </c>
      <c r="F5960" s="49">
        <v>122030</v>
      </c>
      <c r="G5960" s="77" t="s">
        <v>14084</v>
      </c>
      <c r="H5960" s="14" t="str">
        <f t="shared" si="215"/>
        <v>true</v>
      </c>
      <c r="I5960" s="14" t="s">
        <v>2458</v>
      </c>
      <c r="J5960" s="33" t="s">
        <v>7110</v>
      </c>
      <c r="K5960" s="33" t="s">
        <v>14024</v>
      </c>
      <c r="L5960" s="53" t="s">
        <v>6054</v>
      </c>
      <c r="M5960" s="68" t="s">
        <v>8912</v>
      </c>
      <c r="N5960" s="53" t="s">
        <v>6285</v>
      </c>
      <c r="O5960" s="53">
        <v>55200</v>
      </c>
      <c r="P5960" s="198" t="s">
        <v>13731</v>
      </c>
    </row>
    <row r="5961" spans="1:16" ht="18.75" hidden="1">
      <c r="A5961" s="50" t="s">
        <v>14099</v>
      </c>
      <c r="B5961" s="50" t="s">
        <v>14006</v>
      </c>
      <c r="C5961" s="50" t="s">
        <v>13634</v>
      </c>
      <c r="D5961" s="12" t="s">
        <v>13195</v>
      </c>
      <c r="E5961" s="12" t="s">
        <v>4971</v>
      </c>
      <c r="F5961" s="49">
        <v>11920</v>
      </c>
      <c r="G5961" s="77" t="s">
        <v>14084</v>
      </c>
      <c r="H5961" s="14" t="str">
        <f t="shared" si="215"/>
        <v>true</v>
      </c>
      <c r="I5961" s="14" t="s">
        <v>2458</v>
      </c>
      <c r="J5961" s="33" t="s">
        <v>7110</v>
      </c>
      <c r="K5961" s="33" t="s">
        <v>14024</v>
      </c>
      <c r="L5961" s="53" t="s">
        <v>6054</v>
      </c>
      <c r="M5961" s="68" t="s">
        <v>8912</v>
      </c>
      <c r="N5961" s="53" t="s">
        <v>6285</v>
      </c>
      <c r="O5961" s="53">
        <v>55200</v>
      </c>
      <c r="P5961" s="198" t="s">
        <v>12672</v>
      </c>
    </row>
    <row r="5962" spans="1:16" ht="18.75" hidden="1">
      <c r="A5962" s="50" t="s">
        <v>14099</v>
      </c>
      <c r="B5962" s="50" t="s">
        <v>14006</v>
      </c>
      <c r="C5962" s="50" t="s">
        <v>14083</v>
      </c>
      <c r="D5962" s="12" t="s">
        <v>13402</v>
      </c>
      <c r="E5962" s="12" t="s">
        <v>13333</v>
      </c>
      <c r="F5962" s="49">
        <v>60920</v>
      </c>
      <c r="G5962" s="77" t="s">
        <v>14084</v>
      </c>
      <c r="H5962" s="14" t="str">
        <f t="shared" ref="H5962:H6025" si="218">IF(I5962="نامشخص",IF(E5962&gt;C5962,"false","true"),IF(E5962&gt;I5962,"false","true"))</f>
        <v>true</v>
      </c>
      <c r="I5962" s="14" t="s">
        <v>2458</v>
      </c>
      <c r="J5962" s="33" t="s">
        <v>7110</v>
      </c>
      <c r="K5962" s="33" t="s">
        <v>14024</v>
      </c>
      <c r="L5962" s="53" t="s">
        <v>6054</v>
      </c>
      <c r="M5962" s="68" t="s">
        <v>8912</v>
      </c>
      <c r="N5962" s="53" t="s">
        <v>6285</v>
      </c>
      <c r="O5962" s="53">
        <v>55200</v>
      </c>
      <c r="P5962" s="198" t="s">
        <v>13731</v>
      </c>
    </row>
    <row r="5963" spans="1:16" ht="18.75" hidden="1">
      <c r="A5963" s="50" t="s">
        <v>14100</v>
      </c>
      <c r="B5963" s="50" t="s">
        <v>13996</v>
      </c>
      <c r="C5963" s="50" t="s">
        <v>14070</v>
      </c>
      <c r="D5963" s="12" t="s">
        <v>13818</v>
      </c>
      <c r="E5963" s="12" t="s">
        <v>13333</v>
      </c>
      <c r="F5963" s="49">
        <v>460730</v>
      </c>
      <c r="G5963" s="77" t="s">
        <v>12590</v>
      </c>
      <c r="H5963" s="14" t="str">
        <f t="shared" si="218"/>
        <v>true</v>
      </c>
      <c r="I5963" s="14" t="s">
        <v>2458</v>
      </c>
      <c r="J5963" s="33" t="s">
        <v>7110</v>
      </c>
      <c r="K5963" s="33" t="s">
        <v>14024</v>
      </c>
      <c r="L5963" s="53" t="s">
        <v>6054</v>
      </c>
      <c r="M5963" s="68" t="s">
        <v>8912</v>
      </c>
      <c r="N5963" s="53" t="s">
        <v>6285</v>
      </c>
      <c r="O5963" s="53">
        <v>55200</v>
      </c>
      <c r="P5963" s="198" t="s">
        <v>14071</v>
      </c>
    </row>
    <row r="5964" spans="1:16" ht="18.75" hidden="1">
      <c r="A5964" s="50" t="s">
        <v>14101</v>
      </c>
      <c r="B5964" s="50" t="s">
        <v>14102</v>
      </c>
      <c r="C5964" s="50" t="s">
        <v>14103</v>
      </c>
      <c r="D5964" s="12" t="s">
        <v>13827</v>
      </c>
      <c r="E5964" s="12" t="s">
        <v>13333</v>
      </c>
      <c r="F5964" s="49">
        <v>67380</v>
      </c>
      <c r="G5964" s="77" t="s">
        <v>5773</v>
      </c>
      <c r="H5964" s="14" t="str">
        <f t="shared" si="218"/>
        <v>true</v>
      </c>
      <c r="I5964" s="14" t="s">
        <v>2458</v>
      </c>
      <c r="J5964" s="33" t="s">
        <v>7110</v>
      </c>
      <c r="K5964" s="33" t="s">
        <v>14024</v>
      </c>
      <c r="L5964" s="53" t="s">
        <v>6054</v>
      </c>
      <c r="M5964" s="68" t="s">
        <v>8913</v>
      </c>
      <c r="N5964" s="53" t="s">
        <v>6285</v>
      </c>
      <c r="O5964" s="53">
        <v>55200</v>
      </c>
      <c r="P5964" s="198" t="s">
        <v>13664</v>
      </c>
    </row>
    <row r="5965" spans="1:16" ht="18.75" hidden="1">
      <c r="A5965" s="50" t="s">
        <v>14104</v>
      </c>
      <c r="B5965" s="50" t="s">
        <v>13996</v>
      </c>
      <c r="C5965" s="50" t="s">
        <v>14095</v>
      </c>
      <c r="D5965" s="12" t="s">
        <v>13575</v>
      </c>
      <c r="E5965" s="12" t="s">
        <v>13333</v>
      </c>
      <c r="F5965" s="49">
        <v>98820</v>
      </c>
      <c r="G5965" s="77" t="s">
        <v>5647</v>
      </c>
      <c r="H5965" s="14" t="str">
        <f t="shared" si="218"/>
        <v>true</v>
      </c>
      <c r="I5965" s="14" t="s">
        <v>2458</v>
      </c>
      <c r="J5965" s="33" t="s">
        <v>7110</v>
      </c>
      <c r="K5965" s="33" t="s">
        <v>14024</v>
      </c>
      <c r="L5965" s="53" t="s">
        <v>6054</v>
      </c>
      <c r="M5965" s="68" t="s">
        <v>8913</v>
      </c>
      <c r="N5965" s="53" t="s">
        <v>6076</v>
      </c>
      <c r="O5965" s="53">
        <v>55301</v>
      </c>
      <c r="P5965" s="198" t="s">
        <v>14096</v>
      </c>
    </row>
    <row r="5966" spans="1:16" ht="18.75" hidden="1">
      <c r="A5966" s="50" t="s">
        <v>14093</v>
      </c>
      <c r="B5966" s="50" t="s">
        <v>14006</v>
      </c>
      <c r="C5966" s="50" t="s">
        <v>14105</v>
      </c>
      <c r="D5966" s="12" t="s">
        <v>13552</v>
      </c>
      <c r="E5966" s="12" t="s">
        <v>13333</v>
      </c>
      <c r="F5966" s="49">
        <v>52150</v>
      </c>
      <c r="G5966" s="77" t="s">
        <v>14084</v>
      </c>
      <c r="H5966" s="14" t="str">
        <f t="shared" si="218"/>
        <v>true</v>
      </c>
      <c r="I5966" s="14" t="s">
        <v>2458</v>
      </c>
      <c r="J5966" s="33" t="s">
        <v>7110</v>
      </c>
      <c r="K5966" s="33" t="s">
        <v>14024</v>
      </c>
      <c r="L5966" s="53" t="s">
        <v>6054</v>
      </c>
      <c r="M5966" s="68" t="s">
        <v>8912</v>
      </c>
      <c r="N5966" s="53" t="s">
        <v>6286</v>
      </c>
      <c r="O5966" s="53">
        <v>55107</v>
      </c>
      <c r="P5966" s="198" t="s">
        <v>14089</v>
      </c>
    </row>
    <row r="5967" spans="1:16" ht="18.75" hidden="1">
      <c r="A5967" s="50" t="s">
        <v>14093</v>
      </c>
      <c r="B5967" s="50" t="s">
        <v>14006</v>
      </c>
      <c r="C5967" s="50" t="s">
        <v>14098</v>
      </c>
      <c r="D5967" s="12" t="s">
        <v>13563</v>
      </c>
      <c r="E5967" s="12" t="s">
        <v>13333</v>
      </c>
      <c r="F5967" s="49">
        <v>99650</v>
      </c>
      <c r="G5967" s="77" t="s">
        <v>14084</v>
      </c>
      <c r="H5967" s="14" t="str">
        <f t="shared" si="218"/>
        <v>true</v>
      </c>
      <c r="I5967" s="14" t="s">
        <v>2458</v>
      </c>
      <c r="J5967" s="33" t="s">
        <v>7110</v>
      </c>
      <c r="K5967" s="33" t="s">
        <v>14024</v>
      </c>
      <c r="L5967" s="53" t="s">
        <v>6054</v>
      </c>
      <c r="M5967" s="68" t="s">
        <v>8912</v>
      </c>
      <c r="N5967" s="53" t="s">
        <v>6286</v>
      </c>
      <c r="O5967" s="53">
        <v>55107</v>
      </c>
      <c r="P5967" s="198" t="s">
        <v>13731</v>
      </c>
    </row>
    <row r="5968" spans="1:16" ht="18.75" hidden="1">
      <c r="A5968" s="50" t="s">
        <v>14106</v>
      </c>
      <c r="B5968" s="50" t="s">
        <v>14075</v>
      </c>
      <c r="C5968" s="50" t="s">
        <v>14095</v>
      </c>
      <c r="D5968" s="12" t="s">
        <v>13575</v>
      </c>
      <c r="E5968" s="12" t="s">
        <v>13333</v>
      </c>
      <c r="F5968" s="49">
        <v>96260</v>
      </c>
      <c r="G5968" s="77" t="s">
        <v>5647</v>
      </c>
      <c r="H5968" s="14" t="str">
        <f t="shared" si="218"/>
        <v>true</v>
      </c>
      <c r="I5968" s="14" t="s">
        <v>2458</v>
      </c>
      <c r="J5968" s="33" t="s">
        <v>7110</v>
      </c>
      <c r="K5968" s="33" t="s">
        <v>14024</v>
      </c>
      <c r="L5968" s="53" t="s">
        <v>6054</v>
      </c>
      <c r="M5968" s="68" t="s">
        <v>8913</v>
      </c>
      <c r="N5968" s="53" t="s">
        <v>6076</v>
      </c>
      <c r="O5968" s="53">
        <v>55301</v>
      </c>
      <c r="P5968" s="198" t="s">
        <v>14096</v>
      </c>
    </row>
    <row r="5969" spans="1:16" ht="18.75" hidden="1">
      <c r="A5969" s="50" t="s">
        <v>14107</v>
      </c>
      <c r="B5969" s="50" t="s">
        <v>14055</v>
      </c>
      <c r="C5969" s="50" t="s">
        <v>14063</v>
      </c>
      <c r="D5969" s="12" t="s">
        <v>13967</v>
      </c>
      <c r="E5969" s="12" t="s">
        <v>13333</v>
      </c>
      <c r="F5969" s="49">
        <v>171060</v>
      </c>
      <c r="G5969" s="77" t="s">
        <v>5631</v>
      </c>
      <c r="H5969" s="14" t="str">
        <f t="shared" si="218"/>
        <v>true</v>
      </c>
      <c r="I5969" s="14" t="s">
        <v>2458</v>
      </c>
      <c r="J5969" s="33" t="s">
        <v>7110</v>
      </c>
      <c r="K5969" s="33" t="s">
        <v>14024</v>
      </c>
      <c r="L5969" s="53" t="s">
        <v>6054</v>
      </c>
      <c r="M5969" s="68" t="s">
        <v>8912</v>
      </c>
      <c r="N5969" s="53" t="s">
        <v>6285</v>
      </c>
      <c r="O5969" s="53">
        <v>55200</v>
      </c>
      <c r="P5969" s="198" t="s">
        <v>12938</v>
      </c>
    </row>
    <row r="5970" spans="1:16" ht="18.75" hidden="1">
      <c r="A5970" s="50" t="s">
        <v>14104</v>
      </c>
      <c r="B5970" s="50" t="s">
        <v>13996</v>
      </c>
      <c r="C5970" s="50" t="s">
        <v>14108</v>
      </c>
      <c r="D5970" s="12" t="s">
        <v>13552</v>
      </c>
      <c r="E5970" s="12" t="s">
        <v>13333</v>
      </c>
      <c r="F5970" s="49">
        <v>90600</v>
      </c>
      <c r="G5970" s="77" t="s">
        <v>5647</v>
      </c>
      <c r="H5970" s="14" t="str">
        <f t="shared" si="218"/>
        <v>true</v>
      </c>
      <c r="I5970" s="14" t="s">
        <v>2458</v>
      </c>
      <c r="J5970" s="33" t="s">
        <v>7110</v>
      </c>
      <c r="K5970" s="33" t="s">
        <v>14024</v>
      </c>
      <c r="L5970" s="53" t="s">
        <v>6054</v>
      </c>
      <c r="M5970" s="68" t="s">
        <v>8913</v>
      </c>
      <c r="N5970" s="53" t="s">
        <v>6076</v>
      </c>
      <c r="O5970" s="53">
        <v>55301</v>
      </c>
      <c r="P5970" s="198" t="s">
        <v>14109</v>
      </c>
    </row>
    <row r="5971" spans="1:16" ht="18.75" hidden="1">
      <c r="A5971" s="50" t="s">
        <v>14094</v>
      </c>
      <c r="B5971" s="50" t="s">
        <v>14062</v>
      </c>
      <c r="C5971" s="50" t="s">
        <v>14110</v>
      </c>
      <c r="D5971" s="12" t="s">
        <v>14111</v>
      </c>
      <c r="E5971" s="12" t="s">
        <v>13333</v>
      </c>
      <c r="F5971" s="49">
        <v>226560</v>
      </c>
      <c r="G5971" s="77" t="s">
        <v>13816</v>
      </c>
      <c r="H5971" s="14" t="str">
        <f t="shared" si="218"/>
        <v>true</v>
      </c>
      <c r="I5971" s="14" t="s">
        <v>2458</v>
      </c>
      <c r="J5971" s="33" t="s">
        <v>7110</v>
      </c>
      <c r="K5971" s="33" t="s">
        <v>14024</v>
      </c>
      <c r="L5971" s="53" t="s">
        <v>6054</v>
      </c>
      <c r="M5971" s="68" t="s">
        <v>8913</v>
      </c>
      <c r="N5971" s="53" t="s">
        <v>6076</v>
      </c>
      <c r="O5971" s="53">
        <v>55301</v>
      </c>
      <c r="P5971" s="198" t="s">
        <v>13625</v>
      </c>
    </row>
    <row r="5972" spans="1:16" ht="18.75" hidden="1">
      <c r="A5972" s="50" t="s">
        <v>14104</v>
      </c>
      <c r="B5972" s="50" t="s">
        <v>13996</v>
      </c>
      <c r="C5972" s="50" t="s">
        <v>14112</v>
      </c>
      <c r="D5972" s="12" t="s">
        <v>13402</v>
      </c>
      <c r="E5972" s="12" t="s">
        <v>13333</v>
      </c>
      <c r="F5972" s="49">
        <v>150000</v>
      </c>
      <c r="G5972" s="77" t="s">
        <v>5647</v>
      </c>
      <c r="H5972" s="14" t="str">
        <f t="shared" si="218"/>
        <v>true</v>
      </c>
      <c r="I5972" s="14" t="s">
        <v>2458</v>
      </c>
      <c r="J5972" s="33" t="s">
        <v>7110</v>
      </c>
      <c r="K5972" s="33" t="s">
        <v>14024</v>
      </c>
      <c r="L5972" s="53" t="s">
        <v>6054</v>
      </c>
      <c r="M5972" s="68" t="s">
        <v>8913</v>
      </c>
      <c r="N5972" s="53" t="s">
        <v>6076</v>
      </c>
      <c r="O5972" s="53">
        <v>55301</v>
      </c>
      <c r="P5972" s="198" t="s">
        <v>14113</v>
      </c>
    </row>
    <row r="5973" spans="1:16" ht="18.75" hidden="1">
      <c r="A5973" s="50" t="s">
        <v>14114</v>
      </c>
      <c r="B5973" s="50" t="s">
        <v>13818</v>
      </c>
      <c r="C5973" s="50" t="s">
        <v>13968</v>
      </c>
      <c r="D5973" s="12" t="s">
        <v>13623</v>
      </c>
      <c r="E5973" s="12" t="s">
        <v>13333</v>
      </c>
      <c r="F5973" s="49">
        <v>299610</v>
      </c>
      <c r="G5973" s="77" t="s">
        <v>5773</v>
      </c>
      <c r="H5973" s="14" t="str">
        <f t="shared" si="218"/>
        <v>true</v>
      </c>
      <c r="I5973" s="14" t="s">
        <v>2458</v>
      </c>
      <c r="J5973" s="33" t="s">
        <v>7110</v>
      </c>
      <c r="K5973" s="33" t="s">
        <v>14024</v>
      </c>
      <c r="L5973" s="53" t="s">
        <v>6054</v>
      </c>
      <c r="M5973" s="68" t="s">
        <v>8912</v>
      </c>
      <c r="N5973" s="53" t="s">
        <v>6285</v>
      </c>
      <c r="O5973" s="53">
        <v>55200</v>
      </c>
      <c r="P5973" s="198" t="s">
        <v>13664</v>
      </c>
    </row>
    <row r="5974" spans="1:16" ht="18.75" hidden="1">
      <c r="A5974" s="50" t="s">
        <v>14115</v>
      </c>
      <c r="B5974" s="50" t="s">
        <v>13827</v>
      </c>
      <c r="C5974" s="50" t="s">
        <v>13830</v>
      </c>
      <c r="D5974" s="12" t="s">
        <v>13184</v>
      </c>
      <c r="E5974" s="12" t="s">
        <v>13333</v>
      </c>
      <c r="F5974" s="49">
        <v>142910</v>
      </c>
      <c r="G5974" s="77" t="s">
        <v>5609</v>
      </c>
      <c r="H5974" s="14" t="str">
        <f t="shared" si="218"/>
        <v>true</v>
      </c>
      <c r="I5974" s="14" t="s">
        <v>2458</v>
      </c>
      <c r="J5974" s="33" t="s">
        <v>7110</v>
      </c>
      <c r="K5974" s="33" t="s">
        <v>14024</v>
      </c>
      <c r="L5974" s="53" t="s">
        <v>6054</v>
      </c>
      <c r="M5974" s="68" t="s">
        <v>8912</v>
      </c>
      <c r="N5974" s="53" t="s">
        <v>6285</v>
      </c>
      <c r="O5974" s="53">
        <v>55200</v>
      </c>
      <c r="P5974" s="198" t="s">
        <v>12669</v>
      </c>
    </row>
    <row r="5975" spans="1:16" ht="18.75" hidden="1">
      <c r="A5975" s="50" t="s">
        <v>14116</v>
      </c>
      <c r="B5975" s="50" t="s">
        <v>13812</v>
      </c>
      <c r="C5975" s="50" t="s">
        <v>13832</v>
      </c>
      <c r="D5975" s="12" t="s">
        <v>13575</v>
      </c>
      <c r="E5975" s="12" t="s">
        <v>13333</v>
      </c>
      <c r="F5975" s="49">
        <v>119470</v>
      </c>
      <c r="G5975" s="77" t="s">
        <v>5773</v>
      </c>
      <c r="H5975" s="14" t="str">
        <f t="shared" si="218"/>
        <v>true</v>
      </c>
      <c r="I5975" s="14" t="s">
        <v>2458</v>
      </c>
      <c r="J5975" s="33" t="s">
        <v>7110</v>
      </c>
      <c r="K5975" s="33" t="s">
        <v>14024</v>
      </c>
      <c r="L5975" s="53" t="s">
        <v>6054</v>
      </c>
      <c r="M5975" s="68" t="s">
        <v>8912</v>
      </c>
      <c r="N5975" s="53" t="s">
        <v>6285</v>
      </c>
      <c r="O5975" s="53">
        <v>55200</v>
      </c>
      <c r="P5975" s="198" t="s">
        <v>13664</v>
      </c>
    </row>
    <row r="5976" spans="1:16" ht="18.75" hidden="1">
      <c r="A5976" s="50" t="s">
        <v>14116</v>
      </c>
      <c r="B5976" s="50" t="s">
        <v>13812</v>
      </c>
      <c r="C5976" s="50" t="s">
        <v>14117</v>
      </c>
      <c r="D5976" s="12" t="s">
        <v>13549</v>
      </c>
      <c r="E5976" s="12" t="s">
        <v>13333</v>
      </c>
      <c r="F5976" s="49">
        <v>299700</v>
      </c>
      <c r="G5976" s="77" t="s">
        <v>5609</v>
      </c>
      <c r="H5976" s="14" t="str">
        <f t="shared" si="218"/>
        <v>true</v>
      </c>
      <c r="I5976" s="14" t="s">
        <v>2458</v>
      </c>
      <c r="J5976" s="33" t="s">
        <v>7110</v>
      </c>
      <c r="K5976" s="33" t="s">
        <v>14024</v>
      </c>
      <c r="L5976" s="53" t="s">
        <v>6054</v>
      </c>
      <c r="M5976" s="68" t="s">
        <v>8912</v>
      </c>
      <c r="N5976" s="53" t="s">
        <v>6285</v>
      </c>
      <c r="O5976" s="53">
        <v>55200</v>
      </c>
      <c r="P5976" s="198" t="s">
        <v>12669</v>
      </c>
    </row>
    <row r="5977" spans="1:16" ht="18.75" hidden="1">
      <c r="A5977" s="50" t="s">
        <v>14116</v>
      </c>
      <c r="B5977" s="50" t="s">
        <v>13812</v>
      </c>
      <c r="C5977" s="50" t="s">
        <v>14118</v>
      </c>
      <c r="D5977" s="12" t="s">
        <v>13473</v>
      </c>
      <c r="E5977" s="12" t="s">
        <v>13333</v>
      </c>
      <c r="F5977" s="49">
        <v>77510</v>
      </c>
      <c r="G5977" s="77" t="s">
        <v>5773</v>
      </c>
      <c r="H5977" s="14" t="str">
        <f t="shared" si="218"/>
        <v>true</v>
      </c>
      <c r="I5977" s="14" t="s">
        <v>2458</v>
      </c>
      <c r="J5977" s="33" t="s">
        <v>7110</v>
      </c>
      <c r="K5977" s="33" t="s">
        <v>14024</v>
      </c>
      <c r="L5977" s="53" t="s">
        <v>6054</v>
      </c>
      <c r="M5977" s="68" t="s">
        <v>8912</v>
      </c>
      <c r="N5977" s="53" t="s">
        <v>6285</v>
      </c>
      <c r="O5977" s="53">
        <v>55200</v>
      </c>
      <c r="P5977" s="198" t="s">
        <v>13664</v>
      </c>
    </row>
    <row r="5978" spans="1:16" ht="18.75" hidden="1">
      <c r="A5978" s="50" t="s">
        <v>14119</v>
      </c>
      <c r="B5978" s="50" t="s">
        <v>13808</v>
      </c>
      <c r="C5978" s="50" t="s">
        <v>13797</v>
      </c>
      <c r="D5978" s="12" t="s">
        <v>13639</v>
      </c>
      <c r="E5978" s="12" t="s">
        <v>13333</v>
      </c>
      <c r="F5978" s="49">
        <v>147050</v>
      </c>
      <c r="G5978" s="77" t="s">
        <v>13816</v>
      </c>
      <c r="H5978" s="14" t="str">
        <f t="shared" si="218"/>
        <v>true</v>
      </c>
      <c r="I5978" s="14" t="s">
        <v>2458</v>
      </c>
      <c r="J5978" s="33" t="s">
        <v>7110</v>
      </c>
      <c r="K5978" s="33" t="s">
        <v>14024</v>
      </c>
      <c r="L5978" s="53" t="s">
        <v>6054</v>
      </c>
      <c r="M5978" s="68" t="s">
        <v>8912</v>
      </c>
      <c r="N5978" s="53" t="s">
        <v>6285</v>
      </c>
      <c r="O5978" s="53">
        <v>55200</v>
      </c>
      <c r="P5978" s="198" t="s">
        <v>13625</v>
      </c>
    </row>
    <row r="5979" spans="1:16" ht="18.75" hidden="1">
      <c r="A5979" s="50" t="s">
        <v>14120</v>
      </c>
      <c r="B5979" s="50" t="s">
        <v>13812</v>
      </c>
      <c r="C5979" s="50" t="s">
        <v>13813</v>
      </c>
      <c r="D5979" s="12" t="s">
        <v>13273</v>
      </c>
      <c r="E5979" s="12" t="s">
        <v>13333</v>
      </c>
      <c r="F5979" s="49">
        <v>67360</v>
      </c>
      <c r="G5979" s="77" t="s">
        <v>5611</v>
      </c>
      <c r="H5979" s="14" t="str">
        <f t="shared" si="218"/>
        <v>true</v>
      </c>
      <c r="I5979" s="14" t="s">
        <v>2458</v>
      </c>
      <c r="J5979" s="33" t="s">
        <v>7110</v>
      </c>
      <c r="K5979" s="33" t="s">
        <v>14024</v>
      </c>
      <c r="L5979" s="53" t="s">
        <v>6054</v>
      </c>
      <c r="M5979" s="68" t="s">
        <v>8912</v>
      </c>
      <c r="N5979" s="53" t="s">
        <v>6286</v>
      </c>
      <c r="O5979" s="53">
        <v>55107</v>
      </c>
      <c r="P5979" s="198" t="s">
        <v>12934</v>
      </c>
    </row>
    <row r="5980" spans="1:16" ht="18.75" hidden="1">
      <c r="A5980" s="50" t="s">
        <v>14116</v>
      </c>
      <c r="B5980" s="50" t="s">
        <v>13812</v>
      </c>
      <c r="C5980" s="50" t="s">
        <v>14121</v>
      </c>
      <c r="D5980" s="12" t="s">
        <v>13623</v>
      </c>
      <c r="E5980" s="12" t="s">
        <v>13333</v>
      </c>
      <c r="F5980" s="49">
        <v>380000</v>
      </c>
      <c r="G5980" s="77" t="s">
        <v>5611</v>
      </c>
      <c r="H5980" s="14" t="str">
        <f t="shared" si="218"/>
        <v>true</v>
      </c>
      <c r="I5980" s="14" t="s">
        <v>2458</v>
      </c>
      <c r="J5980" s="33" t="s">
        <v>7110</v>
      </c>
      <c r="K5980" s="33" t="s">
        <v>14024</v>
      </c>
      <c r="L5980" s="53" t="s">
        <v>6054</v>
      </c>
      <c r="M5980" s="68" t="s">
        <v>8912</v>
      </c>
      <c r="N5980" s="53" t="s">
        <v>6285</v>
      </c>
      <c r="O5980" s="53">
        <v>55200</v>
      </c>
      <c r="P5980" s="198" t="s">
        <v>14040</v>
      </c>
    </row>
    <row r="5981" spans="1:16" ht="18.75" hidden="1">
      <c r="A5981" s="50" t="s">
        <v>14122</v>
      </c>
      <c r="B5981" s="50" t="s">
        <v>13613</v>
      </c>
      <c r="C5981" s="50" t="s">
        <v>13854</v>
      </c>
      <c r="D5981" s="12" t="s">
        <v>13759</v>
      </c>
      <c r="E5981" s="12" t="s">
        <v>13333</v>
      </c>
      <c r="F5981" s="49">
        <v>300470</v>
      </c>
      <c r="G5981" s="77" t="s">
        <v>13816</v>
      </c>
      <c r="H5981" s="14" t="str">
        <f t="shared" si="218"/>
        <v>true</v>
      </c>
      <c r="I5981" s="14" t="s">
        <v>2458</v>
      </c>
      <c r="J5981" s="33" t="s">
        <v>7110</v>
      </c>
      <c r="K5981" s="33" t="s">
        <v>14024</v>
      </c>
      <c r="L5981" s="53" t="s">
        <v>6054</v>
      </c>
      <c r="M5981" s="68" t="s">
        <v>8912</v>
      </c>
      <c r="N5981" s="53" t="s">
        <v>6076</v>
      </c>
      <c r="O5981" s="53">
        <v>55301</v>
      </c>
      <c r="P5981" s="198" t="s">
        <v>13625</v>
      </c>
    </row>
    <row r="5982" spans="1:16" ht="18.75" hidden="1">
      <c r="A5982" s="50" t="s">
        <v>14115</v>
      </c>
      <c r="B5982" s="50" t="s">
        <v>13827</v>
      </c>
      <c r="C5982" s="50" t="s">
        <v>13795</v>
      </c>
      <c r="D5982" s="12" t="s">
        <v>13184</v>
      </c>
      <c r="E5982" s="12" t="s">
        <v>13333</v>
      </c>
      <c r="F5982" s="49">
        <v>28110</v>
      </c>
      <c r="G5982" s="77" t="s">
        <v>5611</v>
      </c>
      <c r="H5982" s="14" t="str">
        <f t="shared" si="218"/>
        <v>true</v>
      </c>
      <c r="I5982" s="14" t="s">
        <v>2458</v>
      </c>
      <c r="J5982" s="33" t="s">
        <v>7110</v>
      </c>
      <c r="K5982" s="33" t="s">
        <v>14024</v>
      </c>
      <c r="L5982" s="53" t="s">
        <v>6054</v>
      </c>
      <c r="M5982" s="68" t="s">
        <v>8912</v>
      </c>
      <c r="N5982" s="53" t="s">
        <v>6285</v>
      </c>
      <c r="O5982" s="53">
        <v>55200</v>
      </c>
      <c r="P5982" s="198" t="s">
        <v>12934</v>
      </c>
    </row>
    <row r="5983" spans="1:16" ht="18.75" hidden="1">
      <c r="A5983" s="50" t="s">
        <v>14119</v>
      </c>
      <c r="B5983" s="50" t="s">
        <v>13808</v>
      </c>
      <c r="C5983" s="50" t="s">
        <v>13824</v>
      </c>
      <c r="D5983" s="12" t="s">
        <v>13639</v>
      </c>
      <c r="E5983" s="12" t="s">
        <v>13333</v>
      </c>
      <c r="F5983" s="49">
        <v>148000</v>
      </c>
      <c r="G5983" s="77" t="s">
        <v>13825</v>
      </c>
      <c r="H5983" s="14" t="str">
        <f t="shared" si="218"/>
        <v>true</v>
      </c>
      <c r="I5983" s="14" t="s">
        <v>2458</v>
      </c>
      <c r="J5983" s="33" t="s">
        <v>7110</v>
      </c>
      <c r="K5983" s="33" t="s">
        <v>14024</v>
      </c>
      <c r="L5983" s="53" t="s">
        <v>6054</v>
      </c>
      <c r="M5983" s="68" t="s">
        <v>8912</v>
      </c>
      <c r="N5983" s="53" t="s">
        <v>6285</v>
      </c>
      <c r="O5983" s="53">
        <v>55200</v>
      </c>
      <c r="P5983" s="198" t="s">
        <v>13715</v>
      </c>
    </row>
    <row r="5984" spans="1:16" ht="18.75" hidden="1">
      <c r="A5984" s="50" t="s">
        <v>14123</v>
      </c>
      <c r="B5984" s="50" t="s">
        <v>14010</v>
      </c>
      <c r="C5984" s="50" t="s">
        <v>14124</v>
      </c>
      <c r="D5984" s="12" t="s">
        <v>13835</v>
      </c>
      <c r="E5984" s="12" t="s">
        <v>13333</v>
      </c>
      <c r="F5984" s="49">
        <v>265100</v>
      </c>
      <c r="G5984" s="77" t="s">
        <v>13816</v>
      </c>
      <c r="H5984" s="14" t="str">
        <f t="shared" si="218"/>
        <v>true</v>
      </c>
      <c r="I5984" s="14" t="s">
        <v>2458</v>
      </c>
      <c r="J5984" s="33" t="s">
        <v>7110</v>
      </c>
      <c r="K5984" s="33" t="s">
        <v>14024</v>
      </c>
      <c r="L5984" s="53" t="s">
        <v>6054</v>
      </c>
      <c r="M5984" s="68" t="s">
        <v>8913</v>
      </c>
      <c r="N5984" s="53" t="s">
        <v>6076</v>
      </c>
      <c r="O5984" s="53">
        <v>55301</v>
      </c>
      <c r="P5984" s="198" t="s">
        <v>13625</v>
      </c>
    </row>
    <row r="5985" spans="1:16" ht="18.75" hidden="1">
      <c r="A5985" s="50" t="s">
        <v>14125</v>
      </c>
      <c r="B5985" s="50" t="s">
        <v>14010</v>
      </c>
      <c r="C5985" s="50" t="s">
        <v>14126</v>
      </c>
      <c r="D5985" s="12" t="s">
        <v>13473</v>
      </c>
      <c r="E5985" s="12" t="s">
        <v>13333</v>
      </c>
      <c r="F5985" s="49">
        <v>367620</v>
      </c>
      <c r="G5985" s="77" t="s">
        <v>14049</v>
      </c>
      <c r="H5985" s="14" t="str">
        <f t="shared" si="218"/>
        <v>true</v>
      </c>
      <c r="I5985" s="14" t="s">
        <v>2458</v>
      </c>
      <c r="J5985" s="33" t="s">
        <v>7110</v>
      </c>
      <c r="K5985" s="33" t="s">
        <v>14024</v>
      </c>
      <c r="L5985" s="53" t="s">
        <v>6054</v>
      </c>
      <c r="M5985" s="68" t="s">
        <v>8912</v>
      </c>
      <c r="N5985" s="53" t="s">
        <v>6076</v>
      </c>
      <c r="O5985" s="53">
        <v>55301</v>
      </c>
      <c r="P5985" s="198" t="s">
        <v>14050</v>
      </c>
    </row>
    <row r="5986" spans="1:16" ht="18.75" hidden="1">
      <c r="A5986" s="50" t="s">
        <v>14127</v>
      </c>
      <c r="B5986" s="50" t="s">
        <v>13988</v>
      </c>
      <c r="C5986" s="50" t="s">
        <v>14105</v>
      </c>
      <c r="D5986" s="12" t="s">
        <v>13552</v>
      </c>
      <c r="E5986" s="12" t="s">
        <v>13333</v>
      </c>
      <c r="F5986" s="49">
        <v>85110</v>
      </c>
      <c r="G5986" s="77" t="s">
        <v>14084</v>
      </c>
      <c r="H5986" s="14" t="str">
        <f t="shared" si="218"/>
        <v>true</v>
      </c>
      <c r="I5986" s="14" t="s">
        <v>2458</v>
      </c>
      <c r="J5986" s="33" t="s">
        <v>7110</v>
      </c>
      <c r="K5986" s="33" t="s">
        <v>14024</v>
      </c>
      <c r="L5986" s="53" t="s">
        <v>6054</v>
      </c>
      <c r="M5986" s="68" t="s">
        <v>8912</v>
      </c>
      <c r="N5986" s="53" t="s">
        <v>6286</v>
      </c>
      <c r="O5986" s="53">
        <v>55107</v>
      </c>
      <c r="P5986" s="198" t="s">
        <v>14089</v>
      </c>
    </row>
    <row r="5987" spans="1:16" ht="18.75" hidden="1">
      <c r="A5987" s="50" t="s">
        <v>14128</v>
      </c>
      <c r="B5987" s="50" t="s">
        <v>14129</v>
      </c>
      <c r="C5987" s="50" t="s">
        <v>14063</v>
      </c>
      <c r="D5987" s="12" t="s">
        <v>13967</v>
      </c>
      <c r="E5987" s="12" t="s">
        <v>13333</v>
      </c>
      <c r="F5987" s="49">
        <v>142360</v>
      </c>
      <c r="G5987" s="77" t="s">
        <v>5631</v>
      </c>
      <c r="H5987" s="14" t="str">
        <f t="shared" si="218"/>
        <v>true</v>
      </c>
      <c r="I5987" s="14" t="s">
        <v>2458</v>
      </c>
      <c r="J5987" s="33" t="s">
        <v>7110</v>
      </c>
      <c r="K5987" s="33" t="s">
        <v>14024</v>
      </c>
      <c r="L5987" s="53" t="s">
        <v>6054</v>
      </c>
      <c r="M5987" s="68" t="s">
        <v>8913</v>
      </c>
      <c r="N5987" s="53" t="s">
        <v>6286</v>
      </c>
      <c r="O5987" s="53">
        <v>55107</v>
      </c>
      <c r="P5987" s="198" t="s">
        <v>12938</v>
      </c>
    </row>
    <row r="5988" spans="1:16" ht="18.75" hidden="1">
      <c r="A5988" s="50" t="s">
        <v>14130</v>
      </c>
      <c r="B5988" s="50" t="s">
        <v>13810</v>
      </c>
      <c r="C5988" s="50" t="s">
        <v>14131</v>
      </c>
      <c r="D5988" s="12" t="s">
        <v>13477</v>
      </c>
      <c r="E5988" s="12" t="s">
        <v>13333</v>
      </c>
      <c r="F5988" s="49">
        <v>350000</v>
      </c>
      <c r="G5988" s="77" t="s">
        <v>13825</v>
      </c>
      <c r="H5988" s="14" t="str">
        <f t="shared" si="218"/>
        <v>true</v>
      </c>
      <c r="I5988" s="14" t="s">
        <v>2458</v>
      </c>
      <c r="J5988" s="33" t="s">
        <v>7110</v>
      </c>
      <c r="K5988" s="33" t="s">
        <v>14024</v>
      </c>
      <c r="L5988" s="53" t="s">
        <v>6054</v>
      </c>
      <c r="M5988" s="68" t="s">
        <v>8912</v>
      </c>
      <c r="N5988" s="53" t="s">
        <v>6285</v>
      </c>
      <c r="O5988" s="53">
        <v>55200</v>
      </c>
      <c r="P5988" s="198" t="s">
        <v>13715</v>
      </c>
    </row>
    <row r="5989" spans="1:16" ht="18.75" hidden="1">
      <c r="A5989" s="50" t="s">
        <v>14123</v>
      </c>
      <c r="B5989" s="50" t="s">
        <v>14010</v>
      </c>
      <c r="C5989" s="50" t="s">
        <v>14132</v>
      </c>
      <c r="D5989" s="12" t="s">
        <v>13746</v>
      </c>
      <c r="E5989" s="12" t="s">
        <v>13333</v>
      </c>
      <c r="F5989" s="49">
        <v>61780</v>
      </c>
      <c r="G5989" s="77" t="s">
        <v>14049</v>
      </c>
      <c r="H5989" s="14" t="str">
        <f t="shared" si="218"/>
        <v>true</v>
      </c>
      <c r="I5989" s="14" t="s">
        <v>2458</v>
      </c>
      <c r="J5989" s="33" t="s">
        <v>7110</v>
      </c>
      <c r="K5989" s="33" t="s">
        <v>14024</v>
      </c>
      <c r="L5989" s="53" t="s">
        <v>6054</v>
      </c>
      <c r="M5989" s="68" t="s">
        <v>8913</v>
      </c>
      <c r="N5989" s="53" t="s">
        <v>6076</v>
      </c>
      <c r="O5989" s="53">
        <v>55301</v>
      </c>
      <c r="P5989" s="198" t="s">
        <v>14050</v>
      </c>
    </row>
    <row r="5990" spans="1:16" ht="18.75" hidden="1">
      <c r="A5990" s="50" t="s">
        <v>14130</v>
      </c>
      <c r="B5990" s="50" t="s">
        <v>13810</v>
      </c>
      <c r="C5990" s="50" t="s">
        <v>14133</v>
      </c>
      <c r="D5990" s="12" t="s">
        <v>13477</v>
      </c>
      <c r="E5990" s="12" t="s">
        <v>13333</v>
      </c>
      <c r="F5990" s="49">
        <v>370000</v>
      </c>
      <c r="G5990" s="77" t="s">
        <v>14049</v>
      </c>
      <c r="H5990" s="14" t="str">
        <f t="shared" si="218"/>
        <v>true</v>
      </c>
      <c r="I5990" s="14" t="s">
        <v>2458</v>
      </c>
      <c r="J5990" s="33" t="s">
        <v>7110</v>
      </c>
      <c r="K5990" s="33" t="s">
        <v>14024</v>
      </c>
      <c r="L5990" s="53" t="s">
        <v>6054</v>
      </c>
      <c r="M5990" s="68" t="s">
        <v>8912</v>
      </c>
      <c r="N5990" s="53" t="s">
        <v>6285</v>
      </c>
      <c r="O5990" s="53">
        <v>55200</v>
      </c>
      <c r="P5990" s="198" t="s">
        <v>14050</v>
      </c>
    </row>
    <row r="5991" spans="1:16" ht="18.75" hidden="1">
      <c r="A5991" s="50" t="s">
        <v>14134</v>
      </c>
      <c r="B5991" s="50" t="s">
        <v>13961</v>
      </c>
      <c r="C5991" s="50" t="s">
        <v>14103</v>
      </c>
      <c r="D5991" s="12" t="s">
        <v>13827</v>
      </c>
      <c r="E5991" s="12" t="s">
        <v>13333</v>
      </c>
      <c r="F5991" s="49">
        <v>167700</v>
      </c>
      <c r="G5991" s="77" t="s">
        <v>5773</v>
      </c>
      <c r="H5991" s="14" t="str">
        <f t="shared" si="218"/>
        <v>true</v>
      </c>
      <c r="I5991" s="14" t="s">
        <v>2458</v>
      </c>
      <c r="J5991" s="33" t="s">
        <v>7110</v>
      </c>
      <c r="K5991" s="33" t="s">
        <v>14024</v>
      </c>
      <c r="L5991" s="53" t="s">
        <v>6054</v>
      </c>
      <c r="M5991" s="68" t="s">
        <v>8912</v>
      </c>
      <c r="N5991" s="53" t="s">
        <v>9836</v>
      </c>
      <c r="O5991" s="53">
        <v>55112</v>
      </c>
      <c r="P5991" s="198" t="s">
        <v>13664</v>
      </c>
    </row>
    <row r="5992" spans="1:16" ht="18.75" hidden="1">
      <c r="A5992" s="50" t="s">
        <v>14135</v>
      </c>
      <c r="B5992" s="50" t="s">
        <v>14010</v>
      </c>
      <c r="C5992" s="50" t="s">
        <v>13959</v>
      </c>
      <c r="D5992" s="12" t="s">
        <v>13960</v>
      </c>
      <c r="E5992" s="12" t="s">
        <v>13333</v>
      </c>
      <c r="F5992" s="49">
        <v>139290</v>
      </c>
      <c r="G5992" s="77" t="s">
        <v>13816</v>
      </c>
      <c r="H5992" s="14" t="str">
        <f t="shared" si="218"/>
        <v>true</v>
      </c>
      <c r="I5992" s="14" t="s">
        <v>2458</v>
      </c>
      <c r="J5992" s="33" t="s">
        <v>7110</v>
      </c>
      <c r="K5992" s="33" t="s">
        <v>14024</v>
      </c>
      <c r="L5992" s="53" t="s">
        <v>6054</v>
      </c>
      <c r="M5992" s="68" t="s">
        <v>8912</v>
      </c>
      <c r="N5992" s="53" t="s">
        <v>6285</v>
      </c>
      <c r="O5992" s="53">
        <v>55200</v>
      </c>
      <c r="P5992" s="198" t="s">
        <v>13625</v>
      </c>
    </row>
    <row r="5993" spans="1:16" ht="18.75" hidden="1">
      <c r="A5993" s="50" t="s">
        <v>14135</v>
      </c>
      <c r="B5993" s="50" t="s">
        <v>14010</v>
      </c>
      <c r="C5993" s="50" t="s">
        <v>14136</v>
      </c>
      <c r="D5993" s="12" t="s">
        <v>13808</v>
      </c>
      <c r="E5993" s="12" t="s">
        <v>13333</v>
      </c>
      <c r="F5993" s="49">
        <v>500000</v>
      </c>
      <c r="G5993" s="77" t="s">
        <v>5773</v>
      </c>
      <c r="H5993" s="14" t="str">
        <f t="shared" si="218"/>
        <v>true</v>
      </c>
      <c r="I5993" s="14" t="s">
        <v>2458</v>
      </c>
      <c r="J5993" s="33" t="s">
        <v>7110</v>
      </c>
      <c r="K5993" s="33" t="s">
        <v>14024</v>
      </c>
      <c r="L5993" s="53" t="s">
        <v>6054</v>
      </c>
      <c r="M5993" s="68" t="s">
        <v>8912</v>
      </c>
      <c r="N5993" s="53" t="s">
        <v>6285</v>
      </c>
      <c r="O5993" s="53">
        <v>55200</v>
      </c>
      <c r="P5993" s="198" t="s">
        <v>13664</v>
      </c>
    </row>
    <row r="5994" spans="1:16" ht="18.75" hidden="1">
      <c r="A5994" s="50" t="s">
        <v>14137</v>
      </c>
      <c r="B5994" s="50" t="s">
        <v>13988</v>
      </c>
      <c r="C5994" s="50" t="s">
        <v>13718</v>
      </c>
      <c r="D5994" s="12" t="s">
        <v>13184</v>
      </c>
      <c r="E5994" s="12" t="s">
        <v>13333</v>
      </c>
      <c r="F5994" s="49">
        <v>109970</v>
      </c>
      <c r="G5994" s="77" t="s">
        <v>14084</v>
      </c>
      <c r="H5994" s="14" t="str">
        <f t="shared" si="218"/>
        <v>true</v>
      </c>
      <c r="I5994" s="14" t="s">
        <v>2458</v>
      </c>
      <c r="J5994" s="33" t="s">
        <v>7110</v>
      </c>
      <c r="K5994" s="33" t="s">
        <v>14024</v>
      </c>
      <c r="L5994" s="53" t="s">
        <v>6054</v>
      </c>
      <c r="M5994" s="68" t="s">
        <v>8912</v>
      </c>
      <c r="N5994" s="53" t="s">
        <v>6285</v>
      </c>
      <c r="O5994" s="53">
        <v>55200</v>
      </c>
      <c r="P5994" s="198" t="s">
        <v>13019</v>
      </c>
    </row>
    <row r="5995" spans="1:16" ht="18.75" hidden="1">
      <c r="A5995" s="50" t="s">
        <v>14138</v>
      </c>
      <c r="B5995" s="50" t="s">
        <v>13961</v>
      </c>
      <c r="C5995" s="50" t="s">
        <v>13959</v>
      </c>
      <c r="D5995" s="12" t="s">
        <v>13960</v>
      </c>
      <c r="E5995" s="12" t="s">
        <v>13333</v>
      </c>
      <c r="F5995" s="49">
        <v>295980</v>
      </c>
      <c r="G5995" s="77" t="s">
        <v>13816</v>
      </c>
      <c r="H5995" s="14" t="str">
        <f t="shared" si="218"/>
        <v>true</v>
      </c>
      <c r="I5995" s="14" t="s">
        <v>2458</v>
      </c>
      <c r="J5995" s="33" t="s">
        <v>7110</v>
      </c>
      <c r="K5995" s="33" t="s">
        <v>14024</v>
      </c>
      <c r="L5995" s="53" t="s">
        <v>6054</v>
      </c>
      <c r="M5995" s="68" t="s">
        <v>8912</v>
      </c>
      <c r="N5995" s="53" t="s">
        <v>6076</v>
      </c>
      <c r="O5995" s="53">
        <v>55301</v>
      </c>
      <c r="P5995" s="198" t="s">
        <v>13625</v>
      </c>
    </row>
    <row r="5996" spans="1:16" ht="18.75" hidden="1">
      <c r="A5996" s="50" t="s">
        <v>14138</v>
      </c>
      <c r="B5996" s="50" t="s">
        <v>13961</v>
      </c>
      <c r="C5996" s="50" t="s">
        <v>14139</v>
      </c>
      <c r="D5996" s="12" t="s">
        <v>13808</v>
      </c>
      <c r="E5996" s="12" t="s">
        <v>13333</v>
      </c>
      <c r="F5996" s="49">
        <v>208180</v>
      </c>
      <c r="G5996" s="77" t="s">
        <v>5773</v>
      </c>
      <c r="H5996" s="14" t="str">
        <f t="shared" si="218"/>
        <v>true</v>
      </c>
      <c r="I5996" s="14" t="s">
        <v>2458</v>
      </c>
      <c r="J5996" s="33" t="s">
        <v>7110</v>
      </c>
      <c r="K5996" s="33" t="s">
        <v>14024</v>
      </c>
      <c r="L5996" s="53" t="s">
        <v>6054</v>
      </c>
      <c r="M5996" s="68" t="s">
        <v>8912</v>
      </c>
      <c r="N5996" s="53" t="s">
        <v>6076</v>
      </c>
      <c r="O5996" s="53">
        <v>55301</v>
      </c>
      <c r="P5996" s="198" t="s">
        <v>13664</v>
      </c>
    </row>
    <row r="5997" spans="1:16" ht="18.75" hidden="1">
      <c r="A5997" s="50" t="s">
        <v>14140</v>
      </c>
      <c r="B5997" s="50" t="s">
        <v>13955</v>
      </c>
      <c r="C5997" s="50" t="s">
        <v>13959</v>
      </c>
      <c r="D5997" s="12" t="s">
        <v>13960</v>
      </c>
      <c r="E5997" s="12" t="s">
        <v>13333</v>
      </c>
      <c r="F5997" s="49">
        <v>129400</v>
      </c>
      <c r="G5997" s="77" t="s">
        <v>13816</v>
      </c>
      <c r="H5997" s="14" t="str">
        <f t="shared" si="218"/>
        <v>true</v>
      </c>
      <c r="I5997" s="14" t="s">
        <v>2458</v>
      </c>
      <c r="J5997" s="33" t="s">
        <v>7110</v>
      </c>
      <c r="K5997" s="33" t="s">
        <v>14024</v>
      </c>
      <c r="L5997" s="53" t="s">
        <v>6054</v>
      </c>
      <c r="M5997" s="68" t="s">
        <v>8912</v>
      </c>
      <c r="N5997" s="53" t="s">
        <v>6076</v>
      </c>
      <c r="O5997" s="53">
        <v>55301</v>
      </c>
      <c r="P5997" s="198" t="s">
        <v>13625</v>
      </c>
    </row>
    <row r="5998" spans="1:16" ht="18.75" hidden="1">
      <c r="A5998" s="50" t="s">
        <v>14141</v>
      </c>
      <c r="B5998" s="50" t="s">
        <v>13955</v>
      </c>
      <c r="C5998" s="50" t="s">
        <v>13956</v>
      </c>
      <c r="D5998" s="12" t="s">
        <v>13552</v>
      </c>
      <c r="E5998" s="12" t="s">
        <v>13333</v>
      </c>
      <c r="F5998" s="49">
        <v>78520</v>
      </c>
      <c r="G5998" s="77" t="s">
        <v>5607</v>
      </c>
      <c r="H5998" s="14" t="str">
        <f t="shared" si="218"/>
        <v>true</v>
      </c>
      <c r="I5998" s="14" t="s">
        <v>2458</v>
      </c>
      <c r="J5998" s="33" t="e">
        <f>VLOOKUP(C5998,شرکتها!A:B,2,FALSE)</f>
        <v>#N/A</v>
      </c>
      <c r="K5998" s="33" t="s">
        <v>14024</v>
      </c>
      <c r="L5998" s="53" t="s">
        <v>6054</v>
      </c>
      <c r="M5998" s="68" t="s">
        <v>8913</v>
      </c>
      <c r="N5998" s="53" t="s">
        <v>6076</v>
      </c>
      <c r="O5998" s="53">
        <v>55301</v>
      </c>
      <c r="P5998" s="198" t="s">
        <v>12929</v>
      </c>
    </row>
    <row r="5999" spans="1:16" ht="18.75" hidden="1">
      <c r="A5999" s="50" t="s">
        <v>14127</v>
      </c>
      <c r="B5999" s="50" t="s">
        <v>13988</v>
      </c>
      <c r="C5999" s="50" t="s">
        <v>14142</v>
      </c>
      <c r="D5999" s="12" t="s">
        <v>13746</v>
      </c>
      <c r="E5999" s="12" t="s">
        <v>13333</v>
      </c>
      <c r="F5999" s="49">
        <v>8300</v>
      </c>
      <c r="G5999" s="77" t="s">
        <v>14049</v>
      </c>
      <c r="H5999" s="14" t="str">
        <f t="shared" si="218"/>
        <v>true</v>
      </c>
      <c r="I5999" s="14" t="s">
        <v>2458</v>
      </c>
      <c r="J5999" s="33" t="s">
        <v>7110</v>
      </c>
      <c r="K5999" s="33" t="s">
        <v>14024</v>
      </c>
      <c r="L5999" s="53" t="s">
        <v>6054</v>
      </c>
      <c r="M5999" s="68" t="s">
        <v>8912</v>
      </c>
      <c r="N5999" s="53" t="s">
        <v>6286</v>
      </c>
      <c r="O5999" s="53">
        <v>55107</v>
      </c>
      <c r="P5999" s="198" t="s">
        <v>14050</v>
      </c>
    </row>
    <row r="6000" spans="1:16" ht="18.75" hidden="1">
      <c r="A6000" s="50" t="s">
        <v>14143</v>
      </c>
      <c r="B6000" s="50" t="s">
        <v>13810</v>
      </c>
      <c r="C6000" s="50" t="s">
        <v>14144</v>
      </c>
      <c r="D6000" s="12" t="s">
        <v>13552</v>
      </c>
      <c r="E6000" s="12" t="s">
        <v>13333</v>
      </c>
      <c r="F6000" s="49">
        <v>200000</v>
      </c>
      <c r="G6000" s="77" t="s">
        <v>5611</v>
      </c>
      <c r="H6000" s="14" t="str">
        <f t="shared" si="218"/>
        <v>true</v>
      </c>
      <c r="I6000" s="14" t="s">
        <v>2458</v>
      </c>
      <c r="J6000" s="33" t="s">
        <v>7110</v>
      </c>
      <c r="K6000" s="33" t="s">
        <v>14024</v>
      </c>
      <c r="L6000" s="53" t="s">
        <v>6054</v>
      </c>
      <c r="M6000" s="68" t="s">
        <v>8913</v>
      </c>
      <c r="N6000" s="53" t="s">
        <v>6076</v>
      </c>
      <c r="O6000" s="53">
        <v>55301</v>
      </c>
      <c r="P6000" s="198" t="s">
        <v>14053</v>
      </c>
    </row>
    <row r="6001" spans="1:16" ht="18.75" hidden="1">
      <c r="A6001" s="50" t="s">
        <v>14134</v>
      </c>
      <c r="B6001" s="50" t="s">
        <v>13961</v>
      </c>
      <c r="C6001" s="50" t="s">
        <v>13959</v>
      </c>
      <c r="D6001" s="12" t="s">
        <v>13960</v>
      </c>
      <c r="E6001" s="12" t="s">
        <v>13333</v>
      </c>
      <c r="F6001" s="49">
        <v>118540</v>
      </c>
      <c r="G6001" s="77" t="s">
        <v>13816</v>
      </c>
      <c r="H6001" s="14" t="str">
        <f t="shared" si="218"/>
        <v>true</v>
      </c>
      <c r="I6001" s="14" t="s">
        <v>2458</v>
      </c>
      <c r="J6001" s="33" t="s">
        <v>7110</v>
      </c>
      <c r="K6001" s="33" t="s">
        <v>14024</v>
      </c>
      <c r="L6001" s="53" t="s">
        <v>6054</v>
      </c>
      <c r="M6001" s="68" t="s">
        <v>8912</v>
      </c>
      <c r="N6001" s="53" t="s">
        <v>9836</v>
      </c>
      <c r="O6001" s="53">
        <v>55112</v>
      </c>
      <c r="P6001" s="198" t="s">
        <v>13625</v>
      </c>
    </row>
    <row r="6002" spans="1:16" ht="18.75" hidden="1">
      <c r="A6002" s="50" t="s">
        <v>14143</v>
      </c>
      <c r="B6002" s="50" t="s">
        <v>13810</v>
      </c>
      <c r="C6002" s="50" t="s">
        <v>14063</v>
      </c>
      <c r="D6002" s="12" t="s">
        <v>13967</v>
      </c>
      <c r="E6002" s="12" t="s">
        <v>13333</v>
      </c>
      <c r="F6002" s="49">
        <v>99060</v>
      </c>
      <c r="G6002" s="77" t="s">
        <v>5631</v>
      </c>
      <c r="H6002" s="14" t="str">
        <f t="shared" si="218"/>
        <v>true</v>
      </c>
      <c r="I6002" s="14" t="s">
        <v>2458</v>
      </c>
      <c r="J6002" s="33" t="s">
        <v>7110</v>
      </c>
      <c r="K6002" s="33" t="s">
        <v>14024</v>
      </c>
      <c r="L6002" s="53" t="s">
        <v>6054</v>
      </c>
      <c r="M6002" s="68" t="s">
        <v>8913</v>
      </c>
      <c r="N6002" s="53" t="s">
        <v>6076</v>
      </c>
      <c r="O6002" s="53">
        <v>55301</v>
      </c>
      <c r="P6002" s="198" t="s">
        <v>12938</v>
      </c>
    </row>
    <row r="6003" spans="1:16" ht="18.75" hidden="1">
      <c r="A6003" s="50" t="s">
        <v>14145</v>
      </c>
      <c r="B6003" s="50" t="s">
        <v>14129</v>
      </c>
      <c r="C6003" s="50" t="s">
        <v>13981</v>
      </c>
      <c r="D6003" s="12" t="s">
        <v>13741</v>
      </c>
      <c r="E6003" s="12" t="s">
        <v>13333</v>
      </c>
      <c r="F6003" s="49">
        <v>6480</v>
      </c>
      <c r="G6003" s="77" t="s">
        <v>13825</v>
      </c>
      <c r="H6003" s="14" t="str">
        <f t="shared" si="218"/>
        <v>true</v>
      </c>
      <c r="I6003" s="14" t="s">
        <v>2458</v>
      </c>
      <c r="J6003" s="33" t="s">
        <v>7110</v>
      </c>
      <c r="K6003" s="33" t="s">
        <v>14024</v>
      </c>
      <c r="L6003" s="53" t="s">
        <v>6054</v>
      </c>
      <c r="M6003" s="68" t="s">
        <v>8912</v>
      </c>
      <c r="N6003" s="53" t="s">
        <v>6286</v>
      </c>
      <c r="O6003" s="53">
        <v>55107</v>
      </c>
      <c r="P6003" s="198" t="s">
        <v>13715</v>
      </c>
    </row>
    <row r="6004" spans="1:16" ht="18.75" hidden="1">
      <c r="A6004" s="50" t="s">
        <v>14146</v>
      </c>
      <c r="B6004" s="50" t="s">
        <v>14129</v>
      </c>
      <c r="C6004" s="50" t="s">
        <v>14132</v>
      </c>
      <c r="D6004" s="12" t="s">
        <v>13746</v>
      </c>
      <c r="E6004" s="12" t="s">
        <v>13333</v>
      </c>
      <c r="F6004" s="49">
        <v>153570</v>
      </c>
      <c r="G6004" s="77" t="s">
        <v>14049</v>
      </c>
      <c r="H6004" s="14" t="str">
        <f t="shared" si="218"/>
        <v>true</v>
      </c>
      <c r="I6004" s="14" t="s">
        <v>2458</v>
      </c>
      <c r="J6004" s="33" t="s">
        <v>7110</v>
      </c>
      <c r="K6004" s="33" t="s">
        <v>14024</v>
      </c>
      <c r="L6004" s="53" t="s">
        <v>6054</v>
      </c>
      <c r="M6004" s="68" t="s">
        <v>8912</v>
      </c>
      <c r="N6004" s="53" t="s">
        <v>6285</v>
      </c>
      <c r="O6004" s="53">
        <v>55200</v>
      </c>
      <c r="P6004" s="198" t="s">
        <v>14050</v>
      </c>
    </row>
    <row r="6005" spans="1:16" ht="18.75" hidden="1">
      <c r="A6005" s="50" t="s">
        <v>14146</v>
      </c>
      <c r="B6005" s="50" t="s">
        <v>14129</v>
      </c>
      <c r="C6005" s="50" t="s">
        <v>14079</v>
      </c>
      <c r="D6005" s="12" t="s">
        <v>13835</v>
      </c>
      <c r="E6005" s="12" t="s">
        <v>13333</v>
      </c>
      <c r="F6005" s="49">
        <v>480000</v>
      </c>
      <c r="G6005" s="77" t="s">
        <v>13825</v>
      </c>
      <c r="H6005" s="14" t="str">
        <f t="shared" si="218"/>
        <v>true</v>
      </c>
      <c r="I6005" s="14" t="s">
        <v>2458</v>
      </c>
      <c r="J6005" s="33" t="s">
        <v>7110</v>
      </c>
      <c r="K6005" s="33" t="s">
        <v>14024</v>
      </c>
      <c r="L6005" s="53" t="s">
        <v>6054</v>
      </c>
      <c r="M6005" s="68" t="s">
        <v>8912</v>
      </c>
      <c r="N6005" s="53" t="s">
        <v>6285</v>
      </c>
      <c r="O6005" s="53">
        <v>55200</v>
      </c>
      <c r="P6005" s="198" t="s">
        <v>14080</v>
      </c>
    </row>
    <row r="6006" spans="1:16" ht="18.75" hidden="1">
      <c r="A6006" s="50" t="s">
        <v>14140</v>
      </c>
      <c r="B6006" s="50" t="s">
        <v>13955</v>
      </c>
      <c r="C6006" s="50" t="s">
        <v>14147</v>
      </c>
      <c r="D6006" s="12" t="s">
        <v>13552</v>
      </c>
      <c r="E6006" s="12" t="s">
        <v>13333</v>
      </c>
      <c r="F6006" s="49">
        <v>850000</v>
      </c>
      <c r="G6006" s="77" t="s">
        <v>5611</v>
      </c>
      <c r="H6006" s="14" t="str">
        <f t="shared" si="218"/>
        <v>true</v>
      </c>
      <c r="I6006" s="14" t="s">
        <v>2458</v>
      </c>
      <c r="J6006" s="33" t="s">
        <v>7110</v>
      </c>
      <c r="K6006" s="33" t="s">
        <v>14024</v>
      </c>
      <c r="L6006" s="53" t="s">
        <v>6054</v>
      </c>
      <c r="M6006" s="68" t="s">
        <v>8912</v>
      </c>
      <c r="N6006" s="53" t="s">
        <v>6076</v>
      </c>
      <c r="O6006" s="53">
        <v>55301</v>
      </c>
      <c r="P6006" s="198" t="s">
        <v>14053</v>
      </c>
    </row>
    <row r="6007" spans="1:16" ht="18.75" hidden="1">
      <c r="A6007" s="50" t="s">
        <v>14148</v>
      </c>
      <c r="B6007" s="50" t="s">
        <v>13988</v>
      </c>
      <c r="C6007" s="50" t="s">
        <v>14105</v>
      </c>
      <c r="D6007" s="12" t="s">
        <v>13552</v>
      </c>
      <c r="E6007" s="12" t="s">
        <v>13333</v>
      </c>
      <c r="F6007" s="49">
        <v>272990</v>
      </c>
      <c r="G6007" s="77" t="s">
        <v>14084</v>
      </c>
      <c r="H6007" s="14" t="str">
        <f t="shared" si="218"/>
        <v>true</v>
      </c>
      <c r="I6007" s="14" t="s">
        <v>2458</v>
      </c>
      <c r="J6007" s="33" t="s">
        <v>7110</v>
      </c>
      <c r="K6007" s="33" t="s">
        <v>14024</v>
      </c>
      <c r="L6007" s="53" t="s">
        <v>6054</v>
      </c>
      <c r="M6007" s="68" t="s">
        <v>8912</v>
      </c>
      <c r="N6007" s="53" t="s">
        <v>6076</v>
      </c>
      <c r="O6007" s="53">
        <v>55301</v>
      </c>
      <c r="P6007" s="198" t="s">
        <v>14089</v>
      </c>
    </row>
    <row r="6008" spans="1:16" ht="18.75" hidden="1">
      <c r="A6008" s="50" t="s">
        <v>14149</v>
      </c>
      <c r="B6008" s="50" t="s">
        <v>14129</v>
      </c>
      <c r="C6008" s="50" t="s">
        <v>14139</v>
      </c>
      <c r="D6008" s="12" t="s">
        <v>13808</v>
      </c>
      <c r="E6008" s="12" t="s">
        <v>13333</v>
      </c>
      <c r="F6008" s="49">
        <v>275780</v>
      </c>
      <c r="G6008" s="77" t="s">
        <v>5773</v>
      </c>
      <c r="H6008" s="14" t="str">
        <f t="shared" si="218"/>
        <v>true</v>
      </c>
      <c r="I6008" s="14" t="s">
        <v>2458</v>
      </c>
      <c r="J6008" s="33" t="s">
        <v>7110</v>
      </c>
      <c r="K6008" s="33" t="s">
        <v>14024</v>
      </c>
      <c r="L6008" s="53" t="s">
        <v>6054</v>
      </c>
      <c r="M6008" s="68" t="s">
        <v>8912</v>
      </c>
      <c r="N6008" s="53" t="s">
        <v>9836</v>
      </c>
      <c r="O6008" s="53">
        <v>55112</v>
      </c>
      <c r="P6008" s="198" t="s">
        <v>13664</v>
      </c>
    </row>
    <row r="6009" spans="1:16" ht="18.75" hidden="1">
      <c r="A6009" s="50" t="s">
        <v>14145</v>
      </c>
      <c r="B6009" s="50" t="s">
        <v>14129</v>
      </c>
      <c r="C6009" s="50" t="s">
        <v>14150</v>
      </c>
      <c r="D6009" s="12" t="s">
        <v>13343</v>
      </c>
      <c r="E6009" s="12" t="s">
        <v>13333</v>
      </c>
      <c r="F6009" s="49">
        <v>120000</v>
      </c>
      <c r="G6009" s="77" t="s">
        <v>14084</v>
      </c>
      <c r="H6009" s="14" t="str">
        <f t="shared" si="218"/>
        <v>true</v>
      </c>
      <c r="I6009" s="14" t="s">
        <v>2458</v>
      </c>
      <c r="J6009" s="33" t="s">
        <v>7110</v>
      </c>
      <c r="K6009" s="33" t="s">
        <v>14024</v>
      </c>
      <c r="L6009" s="53" t="s">
        <v>6054</v>
      </c>
      <c r="M6009" s="68" t="s">
        <v>8912</v>
      </c>
      <c r="N6009" s="53" t="s">
        <v>6286</v>
      </c>
      <c r="O6009" s="53">
        <v>55107</v>
      </c>
      <c r="P6009" s="198" t="s">
        <v>12672</v>
      </c>
    </row>
    <row r="6010" spans="1:16" ht="18.75" hidden="1">
      <c r="A6010" s="50" t="s">
        <v>14151</v>
      </c>
      <c r="B6010" s="50" t="s">
        <v>13810</v>
      </c>
      <c r="C6010" s="50" t="s">
        <v>14126</v>
      </c>
      <c r="D6010" s="12" t="s">
        <v>13473</v>
      </c>
      <c r="E6010" s="12" t="s">
        <v>13333</v>
      </c>
      <c r="F6010" s="49">
        <v>282380</v>
      </c>
      <c r="G6010" s="77" t="s">
        <v>14049</v>
      </c>
      <c r="H6010" s="14" t="str">
        <f t="shared" si="218"/>
        <v>true</v>
      </c>
      <c r="I6010" s="14" t="s">
        <v>2458</v>
      </c>
      <c r="J6010" s="33" t="s">
        <v>7110</v>
      </c>
      <c r="K6010" s="33" t="s">
        <v>14024</v>
      </c>
      <c r="L6010" s="53" t="s">
        <v>6054</v>
      </c>
      <c r="M6010" s="68" t="s">
        <v>8912</v>
      </c>
      <c r="N6010" s="53" t="s">
        <v>6286</v>
      </c>
      <c r="O6010" s="53">
        <v>55107</v>
      </c>
      <c r="P6010" s="198" t="s">
        <v>14050</v>
      </c>
    </row>
    <row r="6011" spans="1:16" ht="18.75" hidden="1">
      <c r="A6011" s="50" t="s">
        <v>14138</v>
      </c>
      <c r="B6011" s="50" t="s">
        <v>13961</v>
      </c>
      <c r="C6011" s="50" t="s">
        <v>13963</v>
      </c>
      <c r="D6011" s="12" t="s">
        <v>13812</v>
      </c>
      <c r="E6011" s="12" t="s">
        <v>13333</v>
      </c>
      <c r="F6011" s="49">
        <v>190170</v>
      </c>
      <c r="G6011" s="77" t="s">
        <v>5609</v>
      </c>
      <c r="H6011" s="14" t="str">
        <f t="shared" si="218"/>
        <v>true</v>
      </c>
      <c r="I6011" s="14" t="s">
        <v>2458</v>
      </c>
      <c r="J6011" s="33" t="s">
        <v>7110</v>
      </c>
      <c r="K6011" s="33" t="s">
        <v>14024</v>
      </c>
      <c r="L6011" s="53" t="s">
        <v>6054</v>
      </c>
      <c r="M6011" s="68" t="s">
        <v>8912</v>
      </c>
      <c r="N6011" s="53" t="s">
        <v>6076</v>
      </c>
      <c r="O6011" s="53">
        <v>55301</v>
      </c>
      <c r="P6011" s="198" t="s">
        <v>14021</v>
      </c>
    </row>
    <row r="6012" spans="1:16" ht="18.75" hidden="1">
      <c r="A6012" s="50" t="s">
        <v>14140</v>
      </c>
      <c r="B6012" s="50" t="s">
        <v>13955</v>
      </c>
      <c r="C6012" s="50" t="s">
        <v>14152</v>
      </c>
      <c r="D6012" s="12" t="s">
        <v>13473</v>
      </c>
      <c r="E6012" s="12" t="s">
        <v>13333</v>
      </c>
      <c r="F6012" s="49">
        <v>200000</v>
      </c>
      <c r="G6012" s="77" t="s">
        <v>12590</v>
      </c>
      <c r="H6012" s="14" t="str">
        <f t="shared" si="218"/>
        <v>true</v>
      </c>
      <c r="I6012" s="14" t="s">
        <v>2458</v>
      </c>
      <c r="J6012" s="33" t="s">
        <v>7110</v>
      </c>
      <c r="K6012" s="33" t="s">
        <v>14024</v>
      </c>
      <c r="L6012" s="53" t="s">
        <v>6054</v>
      </c>
      <c r="M6012" s="68" t="s">
        <v>8912</v>
      </c>
      <c r="N6012" s="53" t="s">
        <v>6076</v>
      </c>
      <c r="O6012" s="53">
        <v>55301</v>
      </c>
      <c r="P6012" s="198" t="s">
        <v>14071</v>
      </c>
    </row>
    <row r="6013" spans="1:16" ht="18.75" hidden="1">
      <c r="A6013" s="50" t="s">
        <v>14153</v>
      </c>
      <c r="B6013" s="50" t="s">
        <v>14129</v>
      </c>
      <c r="C6013" s="50" t="s">
        <v>14154</v>
      </c>
      <c r="D6013" s="12" t="s">
        <v>13623</v>
      </c>
      <c r="E6013" s="12" t="s">
        <v>13333</v>
      </c>
      <c r="F6013" s="49">
        <v>107140</v>
      </c>
      <c r="G6013" s="77" t="s">
        <v>5607</v>
      </c>
      <c r="H6013" s="14" t="str">
        <f t="shared" si="218"/>
        <v>true</v>
      </c>
      <c r="I6013" s="14" t="s">
        <v>2458</v>
      </c>
      <c r="J6013" s="33" t="e">
        <f>VLOOKUP(C6013,شرکتها!A:B,2,FALSE)</f>
        <v>#N/A</v>
      </c>
      <c r="K6013" s="33" t="s">
        <v>14024</v>
      </c>
      <c r="L6013" s="53" t="s">
        <v>6054</v>
      </c>
      <c r="M6013" s="68" t="s">
        <v>8912</v>
      </c>
      <c r="N6013" s="53" t="s">
        <v>6076</v>
      </c>
      <c r="O6013" s="53">
        <v>55301</v>
      </c>
      <c r="P6013" s="198" t="s">
        <v>12929</v>
      </c>
    </row>
    <row r="6014" spans="1:16" ht="18.75" hidden="1">
      <c r="A6014" s="50" t="s">
        <v>14153</v>
      </c>
      <c r="B6014" s="50" t="s">
        <v>14129</v>
      </c>
      <c r="C6014" s="50" t="s">
        <v>13964</v>
      </c>
      <c r="D6014" s="12" t="s">
        <v>13822</v>
      </c>
      <c r="E6014" s="12" t="s">
        <v>13333</v>
      </c>
      <c r="F6014" s="49">
        <v>350000</v>
      </c>
      <c r="G6014" s="77" t="s">
        <v>13816</v>
      </c>
      <c r="H6014" s="14" t="str">
        <f t="shared" si="218"/>
        <v>true</v>
      </c>
      <c r="I6014" s="14" t="s">
        <v>2458</v>
      </c>
      <c r="J6014" s="33" t="s">
        <v>7110</v>
      </c>
      <c r="K6014" s="33" t="s">
        <v>14024</v>
      </c>
      <c r="L6014" s="53" t="s">
        <v>6054</v>
      </c>
      <c r="M6014" s="68" t="s">
        <v>8912</v>
      </c>
      <c r="N6014" s="53" t="s">
        <v>6076</v>
      </c>
      <c r="O6014" s="53">
        <v>55301</v>
      </c>
      <c r="P6014" s="198" t="s">
        <v>13625</v>
      </c>
    </row>
    <row r="6015" spans="1:16" ht="18.75" hidden="1">
      <c r="A6015" s="50" t="s">
        <v>14151</v>
      </c>
      <c r="B6015" s="50" t="s">
        <v>13810</v>
      </c>
      <c r="C6015" s="50" t="s">
        <v>14155</v>
      </c>
      <c r="D6015" s="12" t="s">
        <v>13741</v>
      </c>
      <c r="E6015" s="12" t="s">
        <v>13333</v>
      </c>
      <c r="F6015" s="49">
        <v>144770</v>
      </c>
      <c r="G6015" s="77" t="s">
        <v>5609</v>
      </c>
      <c r="H6015" s="14" t="str">
        <f t="shared" si="218"/>
        <v>true</v>
      </c>
      <c r="I6015" s="14" t="s">
        <v>2458</v>
      </c>
      <c r="J6015" s="33" t="s">
        <v>7110</v>
      </c>
      <c r="K6015" s="33" t="s">
        <v>14024</v>
      </c>
      <c r="L6015" s="53" t="s">
        <v>6054</v>
      </c>
      <c r="M6015" s="68" t="s">
        <v>8912</v>
      </c>
      <c r="N6015" s="53" t="s">
        <v>6286</v>
      </c>
      <c r="O6015" s="53">
        <v>55107</v>
      </c>
      <c r="P6015" s="198" t="s">
        <v>14021</v>
      </c>
    </row>
    <row r="6016" spans="1:16" ht="18.75" hidden="1">
      <c r="A6016" s="50" t="s">
        <v>14143</v>
      </c>
      <c r="B6016" s="50" t="s">
        <v>13810</v>
      </c>
      <c r="C6016" s="50" t="s">
        <v>14156</v>
      </c>
      <c r="D6016" s="12" t="s">
        <v>13812</v>
      </c>
      <c r="E6016" s="12" t="s">
        <v>13333</v>
      </c>
      <c r="F6016" s="49">
        <v>300000</v>
      </c>
      <c r="G6016" s="77" t="s">
        <v>5611</v>
      </c>
      <c r="H6016" s="14" t="str">
        <f t="shared" si="218"/>
        <v>true</v>
      </c>
      <c r="I6016" s="14" t="s">
        <v>2458</v>
      </c>
      <c r="J6016" s="33" t="s">
        <v>7110</v>
      </c>
      <c r="K6016" s="33" t="s">
        <v>14024</v>
      </c>
      <c r="L6016" s="53" t="s">
        <v>6054</v>
      </c>
      <c r="M6016" s="68" t="s">
        <v>8913</v>
      </c>
      <c r="N6016" s="53" t="s">
        <v>6076</v>
      </c>
      <c r="O6016" s="53">
        <v>55301</v>
      </c>
      <c r="P6016" s="198" t="s">
        <v>14040</v>
      </c>
    </row>
    <row r="6017" spans="1:16" ht="18.75" hidden="1">
      <c r="A6017" s="50" t="s">
        <v>14157</v>
      </c>
      <c r="B6017" s="50" t="s">
        <v>13957</v>
      </c>
      <c r="C6017" s="50" t="s">
        <v>13959</v>
      </c>
      <c r="D6017" s="12" t="s">
        <v>13960</v>
      </c>
      <c r="E6017" s="12" t="s">
        <v>13333</v>
      </c>
      <c r="F6017" s="49">
        <v>70580</v>
      </c>
      <c r="G6017" s="77" t="s">
        <v>13816</v>
      </c>
      <c r="H6017" s="14" t="str">
        <f t="shared" si="218"/>
        <v>true</v>
      </c>
      <c r="I6017" s="14" t="s">
        <v>2458</v>
      </c>
      <c r="J6017" s="33" t="s">
        <v>7110</v>
      </c>
      <c r="K6017" s="33" t="s">
        <v>14024</v>
      </c>
      <c r="L6017" s="53" t="s">
        <v>6054</v>
      </c>
      <c r="M6017" s="68" t="s">
        <v>8912</v>
      </c>
      <c r="N6017" s="53" t="s">
        <v>9836</v>
      </c>
      <c r="O6017" s="53">
        <v>55112</v>
      </c>
      <c r="P6017" s="198" t="s">
        <v>13625</v>
      </c>
    </row>
    <row r="6018" spans="1:16" ht="18.75" hidden="1">
      <c r="A6018" s="50" t="s">
        <v>14158</v>
      </c>
      <c r="B6018" s="50" t="s">
        <v>13810</v>
      </c>
      <c r="C6018" s="50" t="s">
        <v>14139</v>
      </c>
      <c r="D6018" s="12" t="s">
        <v>13808</v>
      </c>
      <c r="E6018" s="12" t="s">
        <v>13333</v>
      </c>
      <c r="F6018" s="49">
        <v>16040</v>
      </c>
      <c r="G6018" s="77" t="s">
        <v>5773</v>
      </c>
      <c r="H6018" s="14" t="str">
        <f t="shared" si="218"/>
        <v>true</v>
      </c>
      <c r="I6018" s="14" t="s">
        <v>2458</v>
      </c>
      <c r="J6018" s="33" t="s">
        <v>7110</v>
      </c>
      <c r="K6018" s="33" t="s">
        <v>14024</v>
      </c>
      <c r="L6018" s="53" t="s">
        <v>6054</v>
      </c>
      <c r="M6018" s="68" t="s">
        <v>8912</v>
      </c>
      <c r="N6018" s="53" t="s">
        <v>6076</v>
      </c>
      <c r="O6018" s="53">
        <v>55301</v>
      </c>
      <c r="P6018" s="198" t="s">
        <v>13664</v>
      </c>
    </row>
    <row r="6019" spans="1:16" ht="18.75" hidden="1">
      <c r="A6019" s="50" t="s">
        <v>14158</v>
      </c>
      <c r="B6019" s="50" t="s">
        <v>13810</v>
      </c>
      <c r="C6019" s="50" t="s">
        <v>14159</v>
      </c>
      <c r="D6019" s="12" t="s">
        <v>13851</v>
      </c>
      <c r="E6019" s="12" t="s">
        <v>13333</v>
      </c>
      <c r="F6019" s="49">
        <v>152310</v>
      </c>
      <c r="G6019" s="77" t="s">
        <v>5609</v>
      </c>
      <c r="H6019" s="14" t="str">
        <f t="shared" si="218"/>
        <v>true</v>
      </c>
      <c r="I6019" s="14" t="s">
        <v>2458</v>
      </c>
      <c r="J6019" s="33" t="s">
        <v>7110</v>
      </c>
      <c r="K6019" s="33" t="s">
        <v>14024</v>
      </c>
      <c r="L6019" s="53" t="s">
        <v>6054</v>
      </c>
      <c r="M6019" s="68" t="s">
        <v>8912</v>
      </c>
      <c r="N6019" s="53" t="s">
        <v>6076</v>
      </c>
      <c r="O6019" s="53">
        <v>55301</v>
      </c>
      <c r="P6019" s="198" t="s">
        <v>14021</v>
      </c>
    </row>
    <row r="6020" spans="1:16" ht="18.75" hidden="1">
      <c r="A6020" s="50" t="s">
        <v>14145</v>
      </c>
      <c r="B6020" s="50" t="s">
        <v>14129</v>
      </c>
      <c r="C6020" s="50" t="s">
        <v>14160</v>
      </c>
      <c r="D6020" s="12" t="s">
        <v>13746</v>
      </c>
      <c r="E6020" s="12" t="s">
        <v>13333</v>
      </c>
      <c r="F6020" s="49">
        <v>19965</v>
      </c>
      <c r="G6020" s="77" t="s">
        <v>14049</v>
      </c>
      <c r="H6020" s="14" t="str">
        <f t="shared" si="218"/>
        <v>true</v>
      </c>
      <c r="I6020" s="14" t="s">
        <v>2458</v>
      </c>
      <c r="J6020" s="33" t="s">
        <v>7110</v>
      </c>
      <c r="K6020" s="33" t="s">
        <v>14024</v>
      </c>
      <c r="L6020" s="53" t="s">
        <v>6054</v>
      </c>
      <c r="M6020" s="68" t="s">
        <v>8912</v>
      </c>
      <c r="N6020" s="53" t="s">
        <v>6286</v>
      </c>
      <c r="O6020" s="53">
        <v>55107</v>
      </c>
      <c r="P6020" s="198" t="s">
        <v>14050</v>
      </c>
    </row>
    <row r="6021" spans="1:16" ht="18.75" hidden="1">
      <c r="A6021" s="50" t="s">
        <v>14145</v>
      </c>
      <c r="B6021" s="50" t="s">
        <v>14129</v>
      </c>
      <c r="C6021" s="50" t="s">
        <v>14161</v>
      </c>
      <c r="D6021" s="12" t="s">
        <v>13184</v>
      </c>
      <c r="E6021" s="12" t="s">
        <v>13333</v>
      </c>
      <c r="F6021" s="49">
        <v>140000</v>
      </c>
      <c r="G6021" s="77" t="s">
        <v>14084</v>
      </c>
      <c r="H6021" s="14" t="str">
        <f t="shared" si="218"/>
        <v>true</v>
      </c>
      <c r="I6021" s="14" t="s">
        <v>2458</v>
      </c>
      <c r="J6021" s="33" t="s">
        <v>7110</v>
      </c>
      <c r="K6021" s="33" t="s">
        <v>14024</v>
      </c>
      <c r="L6021" s="53" t="s">
        <v>6054</v>
      </c>
      <c r="M6021" s="68" t="s">
        <v>8912</v>
      </c>
      <c r="N6021" s="53" t="s">
        <v>6286</v>
      </c>
      <c r="O6021" s="53">
        <v>55107</v>
      </c>
      <c r="P6021" s="198" t="s">
        <v>12672</v>
      </c>
    </row>
    <row r="6022" spans="1:16" ht="18.75" hidden="1">
      <c r="A6022" s="50" t="s">
        <v>14153</v>
      </c>
      <c r="B6022" s="50" t="s">
        <v>14129</v>
      </c>
      <c r="C6022" s="50" t="s">
        <v>14142</v>
      </c>
      <c r="D6022" s="12" t="s">
        <v>13746</v>
      </c>
      <c r="E6022" s="12" t="s">
        <v>13333</v>
      </c>
      <c r="F6022" s="49">
        <v>261660</v>
      </c>
      <c r="G6022" s="77" t="s">
        <v>14049</v>
      </c>
      <c r="H6022" s="14" t="str">
        <f t="shared" si="218"/>
        <v>true</v>
      </c>
      <c r="I6022" s="14" t="s">
        <v>2458</v>
      </c>
      <c r="J6022" s="33" t="s">
        <v>7110</v>
      </c>
      <c r="K6022" s="33" t="s">
        <v>14024</v>
      </c>
      <c r="L6022" s="53" t="s">
        <v>6054</v>
      </c>
      <c r="M6022" s="68" t="s">
        <v>8912</v>
      </c>
      <c r="N6022" s="53" t="s">
        <v>6076</v>
      </c>
      <c r="O6022" s="53">
        <v>55301</v>
      </c>
      <c r="P6022" s="198" t="s">
        <v>14050</v>
      </c>
    </row>
    <row r="6023" spans="1:16" ht="18.75" hidden="1">
      <c r="A6023" s="50" t="s">
        <v>14138</v>
      </c>
      <c r="B6023" s="50" t="s">
        <v>13961</v>
      </c>
      <c r="C6023" s="50" t="s">
        <v>14162</v>
      </c>
      <c r="D6023" s="12" t="s">
        <v>13473</v>
      </c>
      <c r="E6023" s="12" t="s">
        <v>13333</v>
      </c>
      <c r="F6023" s="49">
        <v>97890</v>
      </c>
      <c r="G6023" s="77" t="s">
        <v>12590</v>
      </c>
      <c r="H6023" s="14" t="str">
        <f t="shared" si="218"/>
        <v>true</v>
      </c>
      <c r="I6023" s="14" t="s">
        <v>2458</v>
      </c>
      <c r="J6023" s="33" t="s">
        <v>7110</v>
      </c>
      <c r="K6023" s="33" t="s">
        <v>14024</v>
      </c>
      <c r="L6023" s="53" t="s">
        <v>6054</v>
      </c>
      <c r="M6023" s="68" t="s">
        <v>8912</v>
      </c>
      <c r="N6023" s="53" t="s">
        <v>6076</v>
      </c>
      <c r="O6023" s="53">
        <v>55301</v>
      </c>
      <c r="P6023" s="198" t="s">
        <v>13670</v>
      </c>
    </row>
    <row r="6024" spans="1:16" ht="18.75" hidden="1">
      <c r="A6024" s="50" t="s">
        <v>14153</v>
      </c>
      <c r="B6024" s="50" t="s">
        <v>14129</v>
      </c>
      <c r="C6024" s="50" t="s">
        <v>14163</v>
      </c>
      <c r="D6024" s="12" t="s">
        <v>13984</v>
      </c>
      <c r="E6024" s="12" t="s">
        <v>13333</v>
      </c>
      <c r="F6024" s="49">
        <v>345000</v>
      </c>
      <c r="G6024" s="77" t="s">
        <v>12590</v>
      </c>
      <c r="H6024" s="14" t="str">
        <f t="shared" si="218"/>
        <v>true</v>
      </c>
      <c r="I6024" s="14" t="s">
        <v>2458</v>
      </c>
      <c r="J6024" s="33" t="s">
        <v>7110</v>
      </c>
      <c r="K6024" s="33" t="s">
        <v>14024</v>
      </c>
      <c r="L6024" s="53" t="s">
        <v>6054</v>
      </c>
      <c r="M6024" s="68" t="s">
        <v>8912</v>
      </c>
      <c r="N6024" s="53" t="s">
        <v>6076</v>
      </c>
      <c r="O6024" s="53">
        <v>55301</v>
      </c>
      <c r="P6024" s="198" t="s">
        <v>14071</v>
      </c>
    </row>
    <row r="6025" spans="1:16" ht="18.75" hidden="1">
      <c r="A6025" s="50" t="s">
        <v>14157</v>
      </c>
      <c r="B6025" s="50" t="s">
        <v>13957</v>
      </c>
      <c r="C6025" s="50" t="s">
        <v>13975</v>
      </c>
      <c r="D6025" s="12" t="s">
        <v>13827</v>
      </c>
      <c r="E6025" s="12" t="s">
        <v>13333</v>
      </c>
      <c r="F6025" s="49">
        <v>118360</v>
      </c>
      <c r="G6025" s="77" t="s">
        <v>5773</v>
      </c>
      <c r="H6025" s="14" t="str">
        <f t="shared" si="218"/>
        <v>true</v>
      </c>
      <c r="I6025" s="14" t="s">
        <v>2458</v>
      </c>
      <c r="J6025" s="33" t="s">
        <v>7110</v>
      </c>
      <c r="K6025" s="33" t="s">
        <v>14024</v>
      </c>
      <c r="L6025" s="53" t="s">
        <v>6054</v>
      </c>
      <c r="M6025" s="68" t="s">
        <v>8912</v>
      </c>
      <c r="N6025" s="53" t="s">
        <v>9836</v>
      </c>
      <c r="O6025" s="53">
        <v>55112</v>
      </c>
      <c r="P6025" s="198" t="s">
        <v>13664</v>
      </c>
    </row>
    <row r="6026" spans="1:16" ht="18.75" hidden="1">
      <c r="A6026" s="50" t="s">
        <v>14164</v>
      </c>
      <c r="B6026" s="50" t="s">
        <v>14129</v>
      </c>
      <c r="C6026" s="50" t="s">
        <v>13963</v>
      </c>
      <c r="D6026" s="12" t="s">
        <v>13812</v>
      </c>
      <c r="E6026" s="12" t="s">
        <v>13333</v>
      </c>
      <c r="F6026" s="49">
        <v>47300</v>
      </c>
      <c r="G6026" s="77" t="s">
        <v>5609</v>
      </c>
      <c r="H6026" s="14" t="str">
        <f t="shared" ref="H6026:H6086" si="219">IF(I6026="نامشخص",IF(E6026&gt;C6026,"false","true"),IF(E6026&gt;I6026,"false","true"))</f>
        <v>true</v>
      </c>
      <c r="I6026" s="14" t="s">
        <v>2458</v>
      </c>
      <c r="J6026" s="33" t="s">
        <v>7110</v>
      </c>
      <c r="K6026" s="33" t="s">
        <v>14024</v>
      </c>
      <c r="L6026" s="53" t="s">
        <v>6054</v>
      </c>
      <c r="M6026" s="68" t="s">
        <v>8913</v>
      </c>
      <c r="N6026" s="53" t="s">
        <v>6076</v>
      </c>
      <c r="O6026" s="53">
        <v>55301</v>
      </c>
      <c r="P6026" s="198" t="s">
        <v>14021</v>
      </c>
    </row>
    <row r="6027" spans="1:16" ht="18.75" hidden="1">
      <c r="A6027" s="50" t="s">
        <v>14164</v>
      </c>
      <c r="B6027" s="50" t="s">
        <v>14129</v>
      </c>
      <c r="C6027" s="50" t="s">
        <v>13436</v>
      </c>
      <c r="D6027" s="12" t="s">
        <v>12765</v>
      </c>
      <c r="E6027" s="12" t="s">
        <v>4971</v>
      </c>
      <c r="F6027" s="49">
        <v>6705</v>
      </c>
      <c r="G6027" s="77" t="s">
        <v>5609</v>
      </c>
      <c r="H6027" s="14" t="str">
        <f t="shared" si="219"/>
        <v>true</v>
      </c>
      <c r="I6027" s="14" t="s">
        <v>2458</v>
      </c>
      <c r="J6027" s="33" t="s">
        <v>7110</v>
      </c>
      <c r="K6027" s="33" t="s">
        <v>14024</v>
      </c>
      <c r="L6027" s="53" t="s">
        <v>6054</v>
      </c>
      <c r="M6027" s="68" t="s">
        <v>8913</v>
      </c>
      <c r="N6027" s="53" t="s">
        <v>6076</v>
      </c>
      <c r="O6027" s="53">
        <v>55301</v>
      </c>
      <c r="P6027" s="198" t="s">
        <v>12663</v>
      </c>
    </row>
    <row r="6028" spans="1:16" ht="18.75" hidden="1">
      <c r="A6028" s="50" t="s">
        <v>14164</v>
      </c>
      <c r="B6028" s="50" t="s">
        <v>14129</v>
      </c>
      <c r="C6028" s="50" t="s">
        <v>14160</v>
      </c>
      <c r="D6028" s="12" t="s">
        <v>13746</v>
      </c>
      <c r="E6028" s="12" t="s">
        <v>13333</v>
      </c>
      <c r="F6028" s="49">
        <v>380035</v>
      </c>
      <c r="G6028" s="77" t="s">
        <v>14049</v>
      </c>
      <c r="H6028" s="14" t="str">
        <f t="shared" si="219"/>
        <v>true</v>
      </c>
      <c r="I6028" s="14" t="s">
        <v>2458</v>
      </c>
      <c r="J6028" s="33" t="s">
        <v>7110</v>
      </c>
      <c r="K6028" s="33" t="s">
        <v>14024</v>
      </c>
      <c r="L6028" s="53" t="s">
        <v>6054</v>
      </c>
      <c r="M6028" s="68" t="s">
        <v>8913</v>
      </c>
      <c r="N6028" s="53" t="s">
        <v>6076</v>
      </c>
      <c r="O6028" s="53">
        <v>55301</v>
      </c>
      <c r="P6028" s="198" t="s">
        <v>14050</v>
      </c>
    </row>
    <row r="6029" spans="1:16" ht="18.75" hidden="1">
      <c r="A6029" s="50" t="s">
        <v>14137</v>
      </c>
      <c r="B6029" s="50" t="s">
        <v>13988</v>
      </c>
      <c r="C6029" s="50" t="s">
        <v>14165</v>
      </c>
      <c r="D6029" s="12" t="s">
        <v>13402</v>
      </c>
      <c r="E6029" s="12" t="s">
        <v>13333</v>
      </c>
      <c r="F6029" s="49">
        <v>743710</v>
      </c>
      <c r="G6029" s="77" t="s">
        <v>5607</v>
      </c>
      <c r="H6029" s="14" t="str">
        <f t="shared" si="219"/>
        <v>true</v>
      </c>
      <c r="I6029" s="14" t="s">
        <v>2458</v>
      </c>
      <c r="J6029" s="33" t="e">
        <f>VLOOKUP(C6029,شرکتها!A:B,2,FALSE)</f>
        <v>#N/A</v>
      </c>
      <c r="K6029" s="33" t="s">
        <v>14024</v>
      </c>
      <c r="L6029" s="53" t="s">
        <v>6054</v>
      </c>
      <c r="M6029" s="68" t="s">
        <v>8912</v>
      </c>
      <c r="N6029" s="53" t="s">
        <v>6285</v>
      </c>
      <c r="O6029" s="53">
        <v>55200</v>
      </c>
      <c r="P6029" s="198" t="s">
        <v>12929</v>
      </c>
    </row>
    <row r="6030" spans="1:16" ht="18.75" hidden="1">
      <c r="A6030" s="50" t="s">
        <v>14141</v>
      </c>
      <c r="B6030" s="50" t="s">
        <v>13955</v>
      </c>
      <c r="C6030" s="50" t="s">
        <v>14166</v>
      </c>
      <c r="D6030" s="12" t="s">
        <v>13639</v>
      </c>
      <c r="E6030" s="12" t="s">
        <v>13333</v>
      </c>
      <c r="F6030" s="49">
        <v>380000</v>
      </c>
      <c r="G6030" s="77" t="s">
        <v>5607</v>
      </c>
      <c r="H6030" s="14" t="str">
        <f t="shared" si="219"/>
        <v>true</v>
      </c>
      <c r="I6030" s="14" t="s">
        <v>2458</v>
      </c>
      <c r="J6030" s="33" t="e">
        <f>VLOOKUP(C6030,شرکتها!A:B,2,FALSE)</f>
        <v>#N/A</v>
      </c>
      <c r="K6030" s="33" t="s">
        <v>14024</v>
      </c>
      <c r="L6030" s="53" t="s">
        <v>6054</v>
      </c>
      <c r="M6030" s="68" t="s">
        <v>8913</v>
      </c>
      <c r="N6030" s="53" t="s">
        <v>6076</v>
      </c>
      <c r="O6030" s="53">
        <v>55301</v>
      </c>
      <c r="P6030" s="198" t="s">
        <v>12929</v>
      </c>
    </row>
    <row r="6031" spans="1:16" ht="18.75" hidden="1">
      <c r="A6031" s="50" t="s">
        <v>14167</v>
      </c>
      <c r="B6031" s="50" t="s">
        <v>13955</v>
      </c>
      <c r="C6031" s="50" t="s">
        <v>13964</v>
      </c>
      <c r="D6031" s="12" t="s">
        <v>13822</v>
      </c>
      <c r="E6031" s="12" t="s">
        <v>13333</v>
      </c>
      <c r="F6031" s="49">
        <v>344990</v>
      </c>
      <c r="G6031" s="77" t="s">
        <v>13816</v>
      </c>
      <c r="H6031" s="14" t="str">
        <f t="shared" si="219"/>
        <v>true</v>
      </c>
      <c r="I6031" s="14" t="s">
        <v>2458</v>
      </c>
      <c r="J6031" s="33" t="s">
        <v>7110</v>
      </c>
      <c r="K6031" s="33" t="s">
        <v>14024</v>
      </c>
      <c r="L6031" s="53" t="s">
        <v>6054</v>
      </c>
      <c r="M6031" s="68" t="s">
        <v>8912</v>
      </c>
      <c r="N6031" s="53" t="s">
        <v>9836</v>
      </c>
      <c r="O6031" s="53">
        <v>55112</v>
      </c>
      <c r="P6031" s="198" t="s">
        <v>13625</v>
      </c>
    </row>
    <row r="6032" spans="1:16" ht="18.75" hidden="1">
      <c r="A6032" s="50" t="s">
        <v>14168</v>
      </c>
      <c r="B6032" s="50" t="s">
        <v>14010</v>
      </c>
      <c r="C6032" s="50" t="s">
        <v>14169</v>
      </c>
      <c r="D6032" s="12" t="s">
        <v>13808</v>
      </c>
      <c r="E6032" s="12" t="s">
        <v>13333</v>
      </c>
      <c r="F6032" s="49">
        <v>48300</v>
      </c>
      <c r="G6032" s="77" t="s">
        <v>5631</v>
      </c>
      <c r="H6032" s="14" t="str">
        <f t="shared" si="219"/>
        <v>true</v>
      </c>
      <c r="I6032" s="14" t="s">
        <v>2458</v>
      </c>
      <c r="J6032" s="33" t="s">
        <v>7110</v>
      </c>
      <c r="K6032" s="33" t="s">
        <v>14024</v>
      </c>
      <c r="L6032" s="53" t="s">
        <v>6054</v>
      </c>
      <c r="M6032" s="68" t="s">
        <v>8913</v>
      </c>
      <c r="N6032" s="53" t="s">
        <v>6286</v>
      </c>
      <c r="O6032" s="53">
        <v>55107</v>
      </c>
      <c r="P6032" s="198" t="s">
        <v>12938</v>
      </c>
    </row>
    <row r="6033" spans="1:16" ht="18.75" hidden="1">
      <c r="A6033" s="50" t="s">
        <v>14170</v>
      </c>
      <c r="B6033" s="50" t="s">
        <v>13988</v>
      </c>
      <c r="C6033" s="50" t="s">
        <v>14142</v>
      </c>
      <c r="D6033" s="12" t="s">
        <v>13746</v>
      </c>
      <c r="E6033" s="12" t="s">
        <v>13333</v>
      </c>
      <c r="F6033" s="49">
        <v>160040</v>
      </c>
      <c r="G6033" s="77" t="s">
        <v>14049</v>
      </c>
      <c r="H6033" s="14" t="str">
        <f t="shared" si="219"/>
        <v>true</v>
      </c>
      <c r="I6033" s="14" t="s">
        <v>2458</v>
      </c>
      <c r="J6033" s="33" t="s">
        <v>7110</v>
      </c>
      <c r="K6033" s="33" t="s">
        <v>14024</v>
      </c>
      <c r="L6033" s="53" t="s">
        <v>6054</v>
      </c>
      <c r="M6033" s="68" t="s">
        <v>8913</v>
      </c>
      <c r="N6033" s="53" t="s">
        <v>6076</v>
      </c>
      <c r="O6033" s="53">
        <v>55301</v>
      </c>
      <c r="P6033" s="198" t="s">
        <v>14050</v>
      </c>
    </row>
    <row r="6034" spans="1:16" ht="18.75" hidden="1">
      <c r="A6034" s="50" t="s">
        <v>14130</v>
      </c>
      <c r="B6034" s="50" t="s">
        <v>13810</v>
      </c>
      <c r="C6034" s="50" t="s">
        <v>14171</v>
      </c>
      <c r="D6034" s="12" t="s">
        <v>13477</v>
      </c>
      <c r="E6034" s="12" t="s">
        <v>13333</v>
      </c>
      <c r="F6034" s="49">
        <v>200000</v>
      </c>
      <c r="G6034" s="77" t="s">
        <v>14049</v>
      </c>
      <c r="H6034" s="14" t="str">
        <f t="shared" si="219"/>
        <v>true</v>
      </c>
      <c r="I6034" s="14" t="s">
        <v>2458</v>
      </c>
      <c r="J6034" s="33" t="s">
        <v>7110</v>
      </c>
      <c r="K6034" s="33" t="s">
        <v>14024</v>
      </c>
      <c r="L6034" s="53" t="s">
        <v>6054</v>
      </c>
      <c r="M6034" s="68" t="s">
        <v>8912</v>
      </c>
      <c r="N6034" s="53" t="s">
        <v>6285</v>
      </c>
      <c r="O6034" s="53">
        <v>55200</v>
      </c>
      <c r="P6034" s="198" t="s">
        <v>14050</v>
      </c>
    </row>
    <row r="6035" spans="1:16" ht="18.75" hidden="1">
      <c r="A6035" s="50" t="s">
        <v>14172</v>
      </c>
      <c r="B6035" s="50" t="s">
        <v>14129</v>
      </c>
      <c r="C6035" s="50" t="s">
        <v>14063</v>
      </c>
      <c r="D6035" s="12" t="s">
        <v>13967</v>
      </c>
      <c r="E6035" s="12" t="s">
        <v>13333</v>
      </c>
      <c r="F6035" s="49">
        <v>70420</v>
      </c>
      <c r="G6035" s="77" t="s">
        <v>5631</v>
      </c>
      <c r="H6035" s="14" t="str">
        <f t="shared" si="219"/>
        <v>true</v>
      </c>
      <c r="I6035" s="14" t="s">
        <v>2458</v>
      </c>
      <c r="J6035" s="33" t="s">
        <v>7110</v>
      </c>
      <c r="K6035" s="33" t="s">
        <v>14024</v>
      </c>
      <c r="L6035" s="53" t="s">
        <v>6054</v>
      </c>
      <c r="M6035" s="68" t="s">
        <v>8913</v>
      </c>
      <c r="N6035" s="53" t="s">
        <v>9836</v>
      </c>
      <c r="O6035" s="53">
        <v>55112</v>
      </c>
      <c r="P6035" s="198" t="s">
        <v>12938</v>
      </c>
    </row>
    <row r="6036" spans="1:16" ht="18.75" hidden="1">
      <c r="A6036" s="50" t="s">
        <v>14173</v>
      </c>
      <c r="B6036" s="50" t="s">
        <v>14010</v>
      </c>
      <c r="C6036" s="50" t="s">
        <v>14132</v>
      </c>
      <c r="D6036" s="12" t="s">
        <v>13746</v>
      </c>
      <c r="E6036" s="12" t="s">
        <v>13333</v>
      </c>
      <c r="F6036" s="49">
        <v>117510</v>
      </c>
      <c r="G6036" s="77" t="s">
        <v>14049</v>
      </c>
      <c r="H6036" s="14" t="str">
        <f t="shared" si="219"/>
        <v>true</v>
      </c>
      <c r="I6036" s="14" t="s">
        <v>2458</v>
      </c>
      <c r="J6036" s="33" t="s">
        <v>7110</v>
      </c>
      <c r="K6036" s="33" t="s">
        <v>14024</v>
      </c>
      <c r="L6036" s="53" t="s">
        <v>6054</v>
      </c>
      <c r="M6036" s="68" t="s">
        <v>8912</v>
      </c>
      <c r="N6036" s="53" t="s">
        <v>9836</v>
      </c>
      <c r="O6036" s="53">
        <v>55112</v>
      </c>
      <c r="P6036" s="198" t="s">
        <v>14050</v>
      </c>
    </row>
    <row r="6037" spans="1:16" ht="18.75" hidden="1">
      <c r="A6037" s="50" t="s">
        <v>14137</v>
      </c>
      <c r="B6037" s="50" t="s">
        <v>13988</v>
      </c>
      <c r="C6037" s="50" t="s">
        <v>14162</v>
      </c>
      <c r="D6037" s="12" t="s">
        <v>13473</v>
      </c>
      <c r="E6037" s="12" t="s">
        <v>13333</v>
      </c>
      <c r="F6037" s="49">
        <v>137150</v>
      </c>
      <c r="G6037" s="77" t="s">
        <v>12590</v>
      </c>
      <c r="H6037" s="14" t="str">
        <f t="shared" si="219"/>
        <v>true</v>
      </c>
      <c r="I6037" s="14" t="s">
        <v>2458</v>
      </c>
      <c r="J6037" s="33" t="s">
        <v>7110</v>
      </c>
      <c r="K6037" s="33" t="s">
        <v>14024</v>
      </c>
      <c r="L6037" s="53" t="s">
        <v>6054</v>
      </c>
      <c r="M6037" s="68" t="s">
        <v>8912</v>
      </c>
      <c r="N6037" s="53" t="s">
        <v>6285</v>
      </c>
      <c r="O6037" s="53">
        <v>55200</v>
      </c>
      <c r="P6037" s="198" t="s">
        <v>13670</v>
      </c>
    </row>
    <row r="6038" spans="1:16" ht="18.75" hidden="1">
      <c r="A6038" s="50" t="s">
        <v>14141</v>
      </c>
      <c r="B6038" s="50" t="s">
        <v>13955</v>
      </c>
      <c r="C6038" s="50" t="s">
        <v>14154</v>
      </c>
      <c r="D6038" s="12" t="s">
        <v>13623</v>
      </c>
      <c r="E6038" s="12" t="s">
        <v>13333</v>
      </c>
      <c r="F6038" s="49">
        <v>312860</v>
      </c>
      <c r="G6038" s="77" t="s">
        <v>5607</v>
      </c>
      <c r="H6038" s="14" t="str">
        <f t="shared" si="219"/>
        <v>true</v>
      </c>
      <c r="I6038" s="14" t="s">
        <v>2458</v>
      </c>
      <c r="J6038" s="33" t="e">
        <f>VLOOKUP(C6038,شرکتها!A:B,2,FALSE)</f>
        <v>#N/A</v>
      </c>
      <c r="K6038" s="33" t="s">
        <v>14024</v>
      </c>
      <c r="L6038" s="53" t="s">
        <v>6054</v>
      </c>
      <c r="M6038" s="68" t="s">
        <v>8913</v>
      </c>
      <c r="N6038" s="53" t="s">
        <v>6076</v>
      </c>
      <c r="O6038" s="53">
        <v>55301</v>
      </c>
      <c r="P6038" s="198" t="s">
        <v>12929</v>
      </c>
    </row>
    <row r="6039" spans="1:16" ht="18.75" hidden="1">
      <c r="A6039" s="50" t="s">
        <v>14174</v>
      </c>
      <c r="B6039" s="50" t="s">
        <v>14010</v>
      </c>
      <c r="C6039" s="50" t="s">
        <v>14132</v>
      </c>
      <c r="D6039" s="12" t="s">
        <v>13746</v>
      </c>
      <c r="E6039" s="12" t="s">
        <v>13333</v>
      </c>
      <c r="F6039" s="49">
        <v>267140</v>
      </c>
      <c r="G6039" s="77" t="s">
        <v>14049</v>
      </c>
      <c r="H6039" s="14" t="str">
        <f t="shared" si="219"/>
        <v>true</v>
      </c>
      <c r="I6039" s="14" t="s">
        <v>2458</v>
      </c>
      <c r="J6039" s="33" t="s">
        <v>7110</v>
      </c>
      <c r="K6039" s="33" t="s">
        <v>14024</v>
      </c>
      <c r="L6039" s="53" t="s">
        <v>6054</v>
      </c>
      <c r="M6039" s="68" t="s">
        <v>8912</v>
      </c>
      <c r="N6039" s="53" t="s">
        <v>6286</v>
      </c>
      <c r="O6039" s="53">
        <v>55107</v>
      </c>
      <c r="P6039" s="198" t="s">
        <v>14050</v>
      </c>
    </row>
    <row r="6040" spans="1:16" ht="18.75" hidden="1">
      <c r="A6040" s="50" t="s">
        <v>14140</v>
      </c>
      <c r="B6040" s="50" t="s">
        <v>13955</v>
      </c>
      <c r="C6040" s="50" t="s">
        <v>14175</v>
      </c>
      <c r="D6040" s="12" t="s">
        <v>13960</v>
      </c>
      <c r="E6040" s="12" t="s">
        <v>13333</v>
      </c>
      <c r="F6040" s="49">
        <v>250000</v>
      </c>
      <c r="G6040" s="77" t="s">
        <v>12590</v>
      </c>
      <c r="H6040" s="14" t="str">
        <f t="shared" si="219"/>
        <v>true</v>
      </c>
      <c r="I6040" s="14" t="s">
        <v>2458</v>
      </c>
      <c r="J6040" s="33" t="s">
        <v>7110</v>
      </c>
      <c r="K6040" s="33" t="s">
        <v>14024</v>
      </c>
      <c r="L6040" s="53" t="s">
        <v>6054</v>
      </c>
      <c r="M6040" s="68" t="s">
        <v>8912</v>
      </c>
      <c r="N6040" s="53" t="s">
        <v>6076</v>
      </c>
      <c r="O6040" s="53">
        <v>55301</v>
      </c>
      <c r="P6040" s="198" t="s">
        <v>14071</v>
      </c>
    </row>
    <row r="6041" spans="1:16" ht="18.75" hidden="1">
      <c r="A6041" s="50" t="s">
        <v>14135</v>
      </c>
      <c r="B6041" s="50" t="s">
        <v>14010</v>
      </c>
      <c r="C6041" s="50" t="s">
        <v>13985</v>
      </c>
      <c r="D6041" s="12" t="s">
        <v>13473</v>
      </c>
      <c r="E6041" s="12" t="s">
        <v>13333</v>
      </c>
      <c r="F6041" s="49">
        <v>110350</v>
      </c>
      <c r="G6041" s="77" t="s">
        <v>5607</v>
      </c>
      <c r="H6041" s="14" t="str">
        <f t="shared" si="219"/>
        <v>true</v>
      </c>
      <c r="I6041" s="14" t="s">
        <v>2458</v>
      </c>
      <c r="J6041" s="33" t="e">
        <f>VLOOKUP(C6041,شرکتها!A:B,2,FALSE)</f>
        <v>#N/A</v>
      </c>
      <c r="K6041" s="33" t="s">
        <v>14024</v>
      </c>
      <c r="L6041" s="53" t="s">
        <v>6054</v>
      </c>
      <c r="M6041" s="68" t="s">
        <v>8912</v>
      </c>
      <c r="N6041" s="53" t="s">
        <v>6285</v>
      </c>
      <c r="O6041" s="53">
        <v>55200</v>
      </c>
      <c r="P6041" s="198" t="s">
        <v>12929</v>
      </c>
    </row>
    <row r="6042" spans="1:16" ht="18.75" hidden="1">
      <c r="A6042" s="50" t="s">
        <v>14143</v>
      </c>
      <c r="B6042" s="50" t="s">
        <v>13810</v>
      </c>
      <c r="C6042" s="50" t="s">
        <v>13985</v>
      </c>
      <c r="D6042" s="12" t="s">
        <v>13473</v>
      </c>
      <c r="E6042" s="12" t="s">
        <v>13333</v>
      </c>
      <c r="F6042" s="49">
        <v>59650</v>
      </c>
      <c r="G6042" s="77" t="s">
        <v>5607</v>
      </c>
      <c r="H6042" s="14" t="str">
        <f t="shared" si="219"/>
        <v>true</v>
      </c>
      <c r="I6042" s="14" t="s">
        <v>2458</v>
      </c>
      <c r="J6042" s="33" t="e">
        <f>VLOOKUP(C6042,شرکتها!A:B,2,FALSE)</f>
        <v>#N/A</v>
      </c>
      <c r="K6042" s="33" t="s">
        <v>14024</v>
      </c>
      <c r="L6042" s="53" t="s">
        <v>6054</v>
      </c>
      <c r="M6042" s="68" t="s">
        <v>8913</v>
      </c>
      <c r="N6042" s="53" t="s">
        <v>6076</v>
      </c>
      <c r="O6042" s="53">
        <v>55301</v>
      </c>
      <c r="P6042" s="198" t="s">
        <v>12929</v>
      </c>
    </row>
    <row r="6043" spans="1:16" ht="18.75" hidden="1">
      <c r="A6043" s="50" t="s">
        <v>14176</v>
      </c>
      <c r="B6043" s="50" t="s">
        <v>13967</v>
      </c>
      <c r="C6043" s="50" t="s">
        <v>13968</v>
      </c>
      <c r="D6043" s="12" t="s">
        <v>13623</v>
      </c>
      <c r="E6043" s="12" t="s">
        <v>13333</v>
      </c>
      <c r="F6043" s="49">
        <v>68430</v>
      </c>
      <c r="G6043" s="77" t="s">
        <v>5773</v>
      </c>
      <c r="H6043" s="14" t="str">
        <f t="shared" si="219"/>
        <v>true</v>
      </c>
      <c r="I6043" s="14" t="s">
        <v>2458</v>
      </c>
      <c r="J6043" s="33" t="s">
        <v>7110</v>
      </c>
      <c r="K6043" s="33" t="s">
        <v>14024</v>
      </c>
      <c r="L6043" s="53" t="s">
        <v>6054</v>
      </c>
      <c r="M6043" s="68" t="s">
        <v>8912</v>
      </c>
      <c r="N6043" s="53" t="s">
        <v>9836</v>
      </c>
      <c r="O6043" s="53">
        <v>55112</v>
      </c>
      <c r="P6043" s="198" t="s">
        <v>13664</v>
      </c>
    </row>
    <row r="6044" spans="1:16" ht="18.75" hidden="1">
      <c r="A6044" s="50" t="s">
        <v>14177</v>
      </c>
      <c r="B6044" s="50" t="s">
        <v>13969</v>
      </c>
      <c r="C6044" s="50" t="s">
        <v>13978</v>
      </c>
      <c r="D6044" s="12" t="s">
        <v>13623</v>
      </c>
      <c r="E6044" s="12" t="s">
        <v>13333</v>
      </c>
      <c r="F6044" s="49">
        <v>31810</v>
      </c>
      <c r="G6044" s="77" t="s">
        <v>12590</v>
      </c>
      <c r="H6044" s="14" t="str">
        <f t="shared" si="219"/>
        <v>true</v>
      </c>
      <c r="I6044" s="14" t="s">
        <v>2458</v>
      </c>
      <c r="J6044" s="33" t="s">
        <v>7110</v>
      </c>
      <c r="K6044" s="33" t="s">
        <v>14024</v>
      </c>
      <c r="L6044" s="53" t="s">
        <v>6054</v>
      </c>
      <c r="M6044" s="68" t="s">
        <v>8912</v>
      </c>
      <c r="N6044" s="53" t="s">
        <v>6285</v>
      </c>
      <c r="O6044" s="53">
        <v>55200</v>
      </c>
      <c r="P6044" s="198" t="s">
        <v>13670</v>
      </c>
    </row>
    <row r="6045" spans="1:16" ht="18.75" hidden="1">
      <c r="A6045" s="50" t="s">
        <v>14178</v>
      </c>
      <c r="B6045" s="50" t="s">
        <v>13967</v>
      </c>
      <c r="C6045" s="50" t="s">
        <v>13968</v>
      </c>
      <c r="D6045" s="12" t="s">
        <v>13623</v>
      </c>
      <c r="E6045" s="12" t="s">
        <v>13333</v>
      </c>
      <c r="F6045" s="49">
        <v>100740</v>
      </c>
      <c r="G6045" s="77" t="s">
        <v>5773</v>
      </c>
      <c r="H6045" s="14" t="str">
        <f t="shared" si="219"/>
        <v>true</v>
      </c>
      <c r="I6045" s="14" t="s">
        <v>2458</v>
      </c>
      <c r="J6045" s="33" t="s">
        <v>7110</v>
      </c>
      <c r="K6045" s="33" t="s">
        <v>14024</v>
      </c>
      <c r="L6045" s="53" t="s">
        <v>6054</v>
      </c>
      <c r="M6045" s="68" t="s">
        <v>8912</v>
      </c>
      <c r="N6045" s="53" t="s">
        <v>6076</v>
      </c>
      <c r="O6045" s="53">
        <v>55301</v>
      </c>
      <c r="P6045" s="198" t="s">
        <v>13664</v>
      </c>
    </row>
    <row r="6046" spans="1:16" ht="18.75" hidden="1">
      <c r="A6046" s="50" t="s">
        <v>14179</v>
      </c>
      <c r="B6046" s="50" t="s">
        <v>13971</v>
      </c>
      <c r="C6046" s="50" t="s">
        <v>13972</v>
      </c>
      <c r="D6046" s="12" t="s">
        <v>13741</v>
      </c>
      <c r="E6046" s="12" t="s">
        <v>13333</v>
      </c>
      <c r="F6046" s="49">
        <v>7440</v>
      </c>
      <c r="G6046" s="77" t="s">
        <v>5609</v>
      </c>
      <c r="H6046" s="14" t="str">
        <f t="shared" si="219"/>
        <v>true</v>
      </c>
      <c r="I6046" s="14" t="s">
        <v>2458</v>
      </c>
      <c r="J6046" s="33" t="s">
        <v>7110</v>
      </c>
      <c r="K6046" s="33" t="s">
        <v>14024</v>
      </c>
      <c r="L6046" s="53" t="s">
        <v>6054</v>
      </c>
      <c r="M6046" s="68" t="s">
        <v>8912</v>
      </c>
      <c r="N6046" s="53" t="s">
        <v>6286</v>
      </c>
      <c r="O6046" s="53">
        <v>55107</v>
      </c>
      <c r="P6046" s="198" t="s">
        <v>14021</v>
      </c>
    </row>
    <row r="6047" spans="1:16" ht="18.75" hidden="1">
      <c r="A6047" s="50" t="s">
        <v>14179</v>
      </c>
      <c r="B6047" s="50" t="s">
        <v>13971</v>
      </c>
      <c r="C6047" s="50" t="s">
        <v>14118</v>
      </c>
      <c r="D6047" s="12" t="s">
        <v>13473</v>
      </c>
      <c r="E6047" s="12" t="s">
        <v>13333</v>
      </c>
      <c r="F6047" s="49">
        <v>307100</v>
      </c>
      <c r="G6047" s="77" t="s">
        <v>5773</v>
      </c>
      <c r="H6047" s="14" t="str">
        <f t="shared" si="219"/>
        <v>true</v>
      </c>
      <c r="I6047" s="14" t="s">
        <v>2458</v>
      </c>
      <c r="J6047" s="33" t="s">
        <v>7110</v>
      </c>
      <c r="K6047" s="33" t="s">
        <v>14024</v>
      </c>
      <c r="L6047" s="53" t="s">
        <v>6054</v>
      </c>
      <c r="M6047" s="68" t="s">
        <v>8912</v>
      </c>
      <c r="N6047" s="53" t="s">
        <v>6286</v>
      </c>
      <c r="O6047" s="53">
        <v>55107</v>
      </c>
      <c r="P6047" s="198" t="s">
        <v>13664</v>
      </c>
    </row>
    <row r="6048" spans="1:16" ht="18.75" hidden="1">
      <c r="A6048" s="50" t="s">
        <v>14180</v>
      </c>
      <c r="B6048" s="50" t="s">
        <v>13957</v>
      </c>
      <c r="C6048" s="50" t="s">
        <v>13959</v>
      </c>
      <c r="D6048" s="12" t="s">
        <v>13960</v>
      </c>
      <c r="E6048" s="12" t="s">
        <v>13333</v>
      </c>
      <c r="F6048" s="49">
        <v>135320</v>
      </c>
      <c r="G6048" s="77" t="s">
        <v>13816</v>
      </c>
      <c r="H6048" s="14" t="str">
        <f t="shared" si="219"/>
        <v>true</v>
      </c>
      <c r="I6048" s="14" t="s">
        <v>2458</v>
      </c>
      <c r="J6048" s="33" t="s">
        <v>7110</v>
      </c>
      <c r="K6048" s="33" t="s">
        <v>14024</v>
      </c>
      <c r="L6048" s="53" t="s">
        <v>6054</v>
      </c>
      <c r="M6048" s="68" t="s">
        <v>8912</v>
      </c>
      <c r="N6048" s="53" t="s">
        <v>6286</v>
      </c>
      <c r="O6048" s="53">
        <v>55107</v>
      </c>
      <c r="P6048" s="198" t="s">
        <v>13625</v>
      </c>
    </row>
    <row r="6049" spans="1:16" ht="18.75" hidden="1">
      <c r="A6049" s="50" t="s">
        <v>14181</v>
      </c>
      <c r="B6049" s="50" t="s">
        <v>13969</v>
      </c>
      <c r="C6049" s="50" t="s">
        <v>13970</v>
      </c>
      <c r="D6049" s="12" t="s">
        <v>13563</v>
      </c>
      <c r="E6049" s="12" t="s">
        <v>13333</v>
      </c>
      <c r="F6049" s="49">
        <v>113500</v>
      </c>
      <c r="G6049" s="77" t="s">
        <v>5609</v>
      </c>
      <c r="H6049" s="14" t="str">
        <f t="shared" si="219"/>
        <v>true</v>
      </c>
      <c r="I6049" s="14" t="s">
        <v>2458</v>
      </c>
      <c r="J6049" s="33" t="s">
        <v>7110</v>
      </c>
      <c r="K6049" s="33" t="s">
        <v>14024</v>
      </c>
      <c r="L6049" s="53" t="s">
        <v>6054</v>
      </c>
      <c r="M6049" s="68" t="s">
        <v>8912</v>
      </c>
      <c r="N6049" s="53" t="s">
        <v>9836</v>
      </c>
      <c r="O6049" s="53">
        <v>55112</v>
      </c>
      <c r="P6049" s="198" t="s">
        <v>12669</v>
      </c>
    </row>
    <row r="6050" spans="1:16" ht="18.75" hidden="1">
      <c r="A6050" s="50" t="s">
        <v>14182</v>
      </c>
      <c r="B6050" s="50" t="s">
        <v>13971</v>
      </c>
      <c r="C6050" s="50" t="s">
        <v>13972</v>
      </c>
      <c r="D6050" s="12" t="s">
        <v>13741</v>
      </c>
      <c r="E6050" s="12" t="s">
        <v>13333</v>
      </c>
      <c r="F6050" s="49">
        <v>56765</v>
      </c>
      <c r="G6050" s="77" t="s">
        <v>5609</v>
      </c>
      <c r="H6050" s="14" t="str">
        <f t="shared" si="219"/>
        <v>true</v>
      </c>
      <c r="I6050" s="14" t="s">
        <v>2458</v>
      </c>
      <c r="J6050" s="33" t="s">
        <v>7110</v>
      </c>
      <c r="K6050" s="33" t="s">
        <v>14024</v>
      </c>
      <c r="L6050" s="53" t="s">
        <v>6054</v>
      </c>
      <c r="M6050" s="68" t="s">
        <v>8912</v>
      </c>
      <c r="N6050" s="53" t="s">
        <v>9836</v>
      </c>
      <c r="O6050" s="53">
        <v>55112</v>
      </c>
      <c r="P6050" s="198" t="s">
        <v>14021</v>
      </c>
    </row>
    <row r="6051" spans="1:16" ht="18.75" hidden="1">
      <c r="A6051" s="50" t="s">
        <v>14177</v>
      </c>
      <c r="B6051" s="50" t="s">
        <v>13969</v>
      </c>
      <c r="C6051" s="50" t="s">
        <v>13833</v>
      </c>
      <c r="D6051" s="12" t="s">
        <v>13473</v>
      </c>
      <c r="E6051" s="12" t="s">
        <v>13333</v>
      </c>
      <c r="F6051" s="49">
        <v>90160</v>
      </c>
      <c r="G6051" s="77" t="s">
        <v>13816</v>
      </c>
      <c r="H6051" s="14" t="str">
        <f t="shared" si="219"/>
        <v>true</v>
      </c>
      <c r="I6051" s="14" t="s">
        <v>2458</v>
      </c>
      <c r="J6051" s="33" t="s">
        <v>7110</v>
      </c>
      <c r="K6051" s="33" t="s">
        <v>14024</v>
      </c>
      <c r="L6051" s="53" t="s">
        <v>6054</v>
      </c>
      <c r="M6051" s="68" t="s">
        <v>8912</v>
      </c>
      <c r="N6051" s="53" t="s">
        <v>6285</v>
      </c>
      <c r="O6051" s="53">
        <v>55200</v>
      </c>
      <c r="P6051" s="198" t="s">
        <v>13625</v>
      </c>
    </row>
    <row r="6052" spans="1:16" ht="18.75" hidden="1">
      <c r="A6052" s="50" t="s">
        <v>14182</v>
      </c>
      <c r="B6052" s="50" t="s">
        <v>13971</v>
      </c>
      <c r="C6052" s="50" t="s">
        <v>13958</v>
      </c>
      <c r="D6052" s="12" t="s">
        <v>13759</v>
      </c>
      <c r="E6052" s="12" t="s">
        <v>13333</v>
      </c>
      <c r="F6052" s="49">
        <v>36005</v>
      </c>
      <c r="G6052" s="77" t="s">
        <v>13825</v>
      </c>
      <c r="H6052" s="14" t="str">
        <f t="shared" si="219"/>
        <v>true</v>
      </c>
      <c r="I6052" s="14" t="s">
        <v>2458</v>
      </c>
      <c r="J6052" s="33" t="s">
        <v>7110</v>
      </c>
      <c r="K6052" s="33" t="s">
        <v>14024</v>
      </c>
      <c r="L6052" s="53" t="s">
        <v>6054</v>
      </c>
      <c r="M6052" s="68" t="s">
        <v>8912</v>
      </c>
      <c r="N6052" s="53" t="s">
        <v>9836</v>
      </c>
      <c r="O6052" s="53">
        <v>55112</v>
      </c>
      <c r="P6052" s="198" t="s">
        <v>13715</v>
      </c>
    </row>
    <row r="6053" spans="1:16" ht="18.75" hidden="1">
      <c r="A6053" s="50" t="s">
        <v>14183</v>
      </c>
      <c r="B6053" s="50" t="s">
        <v>13967</v>
      </c>
      <c r="C6053" s="50" t="s">
        <v>14184</v>
      </c>
      <c r="D6053" s="12" t="s">
        <v>13827</v>
      </c>
      <c r="E6053" s="12" t="s">
        <v>13333</v>
      </c>
      <c r="F6053" s="49">
        <v>244300</v>
      </c>
      <c r="G6053" s="77" t="s">
        <v>13816</v>
      </c>
      <c r="H6053" s="14" t="str">
        <f t="shared" si="219"/>
        <v>true</v>
      </c>
      <c r="I6053" s="14" t="s">
        <v>2458</v>
      </c>
      <c r="J6053" s="33" t="s">
        <v>7110</v>
      </c>
      <c r="K6053" s="33" t="s">
        <v>14024</v>
      </c>
      <c r="L6053" s="53" t="s">
        <v>6054</v>
      </c>
      <c r="M6053" s="68" t="s">
        <v>8912</v>
      </c>
      <c r="N6053" s="53" t="s">
        <v>6286</v>
      </c>
      <c r="O6053" s="53">
        <v>55107</v>
      </c>
      <c r="P6053" s="198" t="s">
        <v>13625</v>
      </c>
    </row>
    <row r="6054" spans="1:16" ht="18.75" hidden="1">
      <c r="A6054" s="50" t="s">
        <v>14185</v>
      </c>
      <c r="B6054" s="50" t="s">
        <v>13966</v>
      </c>
      <c r="C6054" s="50" t="s">
        <v>14118</v>
      </c>
      <c r="D6054" s="12" t="s">
        <v>13473</v>
      </c>
      <c r="E6054" s="12" t="s">
        <v>13333</v>
      </c>
      <c r="F6054" s="49">
        <v>266820</v>
      </c>
      <c r="G6054" s="77" t="s">
        <v>5773</v>
      </c>
      <c r="H6054" s="14" t="str">
        <f t="shared" si="219"/>
        <v>true</v>
      </c>
      <c r="I6054" s="14" t="s">
        <v>2458</v>
      </c>
      <c r="J6054" s="33" t="s">
        <v>7110</v>
      </c>
      <c r="K6054" s="33" t="s">
        <v>14024</v>
      </c>
      <c r="L6054" s="53" t="s">
        <v>6054</v>
      </c>
      <c r="M6054" s="68" t="s">
        <v>8912</v>
      </c>
      <c r="N6054" s="53" t="s">
        <v>6285</v>
      </c>
      <c r="O6054" s="53">
        <v>55200</v>
      </c>
      <c r="P6054" s="198" t="s">
        <v>13664</v>
      </c>
    </row>
    <row r="6055" spans="1:16" ht="18.75" hidden="1">
      <c r="A6055" s="50" t="s">
        <v>14183</v>
      </c>
      <c r="B6055" s="50" t="s">
        <v>13967</v>
      </c>
      <c r="C6055" s="50" t="s">
        <v>14165</v>
      </c>
      <c r="D6055" s="12" t="s">
        <v>13402</v>
      </c>
      <c r="E6055" s="12" t="s">
        <v>13333</v>
      </c>
      <c r="F6055" s="49">
        <v>242830</v>
      </c>
      <c r="G6055" s="77" t="s">
        <v>5607</v>
      </c>
      <c r="H6055" s="14" t="str">
        <f t="shared" si="219"/>
        <v>true</v>
      </c>
      <c r="I6055" s="14" t="s">
        <v>2458</v>
      </c>
      <c r="J6055" s="33" t="e">
        <f>VLOOKUP(C6055,شرکتها!A:B,2,FALSE)</f>
        <v>#N/A</v>
      </c>
      <c r="K6055" s="33" t="s">
        <v>14024</v>
      </c>
      <c r="L6055" s="53" t="s">
        <v>6054</v>
      </c>
      <c r="M6055" s="68" t="s">
        <v>8912</v>
      </c>
      <c r="N6055" s="53" t="s">
        <v>6286</v>
      </c>
      <c r="O6055" s="53">
        <v>55107</v>
      </c>
      <c r="P6055" s="198" t="s">
        <v>12929</v>
      </c>
    </row>
    <row r="6056" spans="1:16" ht="18.75" hidden="1">
      <c r="A6056" s="50" t="s">
        <v>14178</v>
      </c>
      <c r="B6056" s="50" t="s">
        <v>13967</v>
      </c>
      <c r="C6056" s="50" t="s">
        <v>14165</v>
      </c>
      <c r="D6056" s="12" t="s">
        <v>13402</v>
      </c>
      <c r="E6056" s="12" t="s">
        <v>13333</v>
      </c>
      <c r="F6056" s="49">
        <v>203460</v>
      </c>
      <c r="G6056" s="77" t="s">
        <v>5607</v>
      </c>
      <c r="H6056" s="14" t="str">
        <f t="shared" si="219"/>
        <v>true</v>
      </c>
      <c r="I6056" s="14" t="s">
        <v>2458</v>
      </c>
      <c r="J6056" s="33" t="e">
        <f>VLOOKUP(C6056,شرکتها!A:B,2,FALSE)</f>
        <v>#N/A</v>
      </c>
      <c r="K6056" s="33" t="s">
        <v>14024</v>
      </c>
      <c r="L6056" s="53" t="s">
        <v>6054</v>
      </c>
      <c r="M6056" s="68" t="s">
        <v>8912</v>
      </c>
      <c r="N6056" s="53" t="s">
        <v>6076</v>
      </c>
      <c r="O6056" s="53">
        <v>55301</v>
      </c>
      <c r="P6056" s="198" t="s">
        <v>12929</v>
      </c>
    </row>
    <row r="6057" spans="1:16" ht="18.75" hidden="1">
      <c r="A6057" s="50" t="s">
        <v>14186</v>
      </c>
      <c r="B6057" s="50" t="s">
        <v>13966</v>
      </c>
      <c r="C6057" s="50" t="s">
        <v>14118</v>
      </c>
      <c r="D6057" s="12" t="s">
        <v>13473</v>
      </c>
      <c r="E6057" s="12" t="s">
        <v>13333</v>
      </c>
      <c r="F6057" s="49">
        <v>48570</v>
      </c>
      <c r="G6057" s="77" t="s">
        <v>5773</v>
      </c>
      <c r="H6057" s="14" t="str">
        <f t="shared" si="219"/>
        <v>true</v>
      </c>
      <c r="I6057" s="14" t="s">
        <v>2458</v>
      </c>
      <c r="J6057" s="33" t="s">
        <v>7110</v>
      </c>
      <c r="K6057" s="33" t="s">
        <v>14024</v>
      </c>
      <c r="L6057" s="53" t="s">
        <v>6054</v>
      </c>
      <c r="M6057" s="68" t="s">
        <v>8912</v>
      </c>
      <c r="N6057" s="53" t="s">
        <v>6285</v>
      </c>
      <c r="O6057" s="53">
        <v>55200</v>
      </c>
      <c r="P6057" s="198" t="s">
        <v>13664</v>
      </c>
    </row>
    <row r="6058" spans="1:16" ht="18.75" hidden="1">
      <c r="A6058" s="50" t="s">
        <v>14187</v>
      </c>
      <c r="B6058" s="50" t="s">
        <v>13967</v>
      </c>
      <c r="C6058" s="50" t="s">
        <v>13707</v>
      </c>
      <c r="D6058" s="12" t="s">
        <v>13380</v>
      </c>
      <c r="E6058" s="12" t="s">
        <v>13333</v>
      </c>
      <c r="F6058" s="49">
        <v>24930</v>
      </c>
      <c r="G6058" s="77" t="s">
        <v>5609</v>
      </c>
      <c r="H6058" s="14" t="str">
        <f t="shared" si="219"/>
        <v>true</v>
      </c>
      <c r="I6058" s="14" t="s">
        <v>2458</v>
      </c>
      <c r="J6058" s="33" t="s">
        <v>7110</v>
      </c>
      <c r="K6058" s="33" t="s">
        <v>14024</v>
      </c>
      <c r="L6058" s="53" t="s">
        <v>6054</v>
      </c>
      <c r="M6058" s="68" t="s">
        <v>8912</v>
      </c>
      <c r="N6058" s="53" t="s">
        <v>6285</v>
      </c>
      <c r="O6058" s="53">
        <v>55200</v>
      </c>
      <c r="P6058" s="198" t="s">
        <v>12669</v>
      </c>
    </row>
    <row r="6059" spans="1:16" ht="18.75" hidden="1">
      <c r="A6059" s="50" t="s">
        <v>14178</v>
      </c>
      <c r="B6059" s="50" t="s">
        <v>13967</v>
      </c>
      <c r="C6059" s="50" t="s">
        <v>13964</v>
      </c>
      <c r="D6059" s="12" t="s">
        <v>13822</v>
      </c>
      <c r="E6059" s="12" t="s">
        <v>13333</v>
      </c>
      <c r="F6059" s="49">
        <v>119000</v>
      </c>
      <c r="G6059" s="77" t="s">
        <v>13816</v>
      </c>
      <c r="H6059" s="14" t="str">
        <f t="shared" si="219"/>
        <v>true</v>
      </c>
      <c r="I6059" s="14" t="s">
        <v>2458</v>
      </c>
      <c r="J6059" s="33" t="s">
        <v>7110</v>
      </c>
      <c r="K6059" s="33" t="s">
        <v>14024</v>
      </c>
      <c r="L6059" s="53" t="s">
        <v>6054</v>
      </c>
      <c r="M6059" s="68" t="s">
        <v>8912</v>
      </c>
      <c r="N6059" s="53" t="s">
        <v>6076</v>
      </c>
      <c r="O6059" s="53">
        <v>55301</v>
      </c>
      <c r="P6059" s="198" t="s">
        <v>13625</v>
      </c>
    </row>
    <row r="6060" spans="1:16" ht="18.75" hidden="1">
      <c r="A6060" s="50" t="s">
        <v>14188</v>
      </c>
      <c r="B6060" s="50" t="s">
        <v>13969</v>
      </c>
      <c r="C6060" s="50" t="s">
        <v>13979</v>
      </c>
      <c r="D6060" s="12" t="s">
        <v>13402</v>
      </c>
      <c r="E6060" s="12" t="s">
        <v>13333</v>
      </c>
      <c r="F6060" s="49">
        <v>365630</v>
      </c>
      <c r="G6060" s="77" t="s">
        <v>12590</v>
      </c>
      <c r="H6060" s="14" t="str">
        <f t="shared" si="219"/>
        <v>true</v>
      </c>
      <c r="I6060" s="14" t="s">
        <v>2458</v>
      </c>
      <c r="J6060" s="33" t="s">
        <v>7110</v>
      </c>
      <c r="K6060" s="33" t="s">
        <v>14024</v>
      </c>
      <c r="L6060" s="53" t="s">
        <v>6054</v>
      </c>
      <c r="M6060" s="68" t="s">
        <v>8912</v>
      </c>
      <c r="N6060" s="53" t="s">
        <v>6285</v>
      </c>
      <c r="O6060" s="53">
        <v>55200</v>
      </c>
      <c r="P6060" s="198" t="s">
        <v>13670</v>
      </c>
    </row>
    <row r="6061" spans="1:16" ht="18.75" hidden="1">
      <c r="A6061" s="50" t="s">
        <v>14189</v>
      </c>
      <c r="B6061" s="50" t="s">
        <v>13967</v>
      </c>
      <c r="C6061" s="50" t="s">
        <v>13968</v>
      </c>
      <c r="D6061" s="12" t="s">
        <v>13623</v>
      </c>
      <c r="E6061" s="12" t="s">
        <v>13333</v>
      </c>
      <c r="F6061" s="49">
        <v>293060</v>
      </c>
      <c r="G6061" s="77" t="s">
        <v>5773</v>
      </c>
      <c r="H6061" s="14" t="str">
        <f t="shared" si="219"/>
        <v>true</v>
      </c>
      <c r="I6061" s="14" t="s">
        <v>2458</v>
      </c>
      <c r="J6061" s="33" t="s">
        <v>7110</v>
      </c>
      <c r="K6061" s="33" t="s">
        <v>14024</v>
      </c>
      <c r="L6061" s="53" t="s">
        <v>6054</v>
      </c>
      <c r="M6061" s="68" t="s">
        <v>8912</v>
      </c>
      <c r="N6061" s="53" t="s">
        <v>6285</v>
      </c>
      <c r="O6061" s="53">
        <v>55200</v>
      </c>
      <c r="P6061" s="198" t="s">
        <v>13664</v>
      </c>
    </row>
    <row r="6062" spans="1:16" ht="18.75" hidden="1">
      <c r="A6062" s="50" t="s">
        <v>14190</v>
      </c>
      <c r="B6062" s="50" t="s">
        <v>13810</v>
      </c>
      <c r="C6062" s="50" t="s">
        <v>13963</v>
      </c>
      <c r="D6062" s="12" t="s">
        <v>13812</v>
      </c>
      <c r="E6062" s="12" t="s">
        <v>13333</v>
      </c>
      <c r="F6062" s="49">
        <v>58640</v>
      </c>
      <c r="G6062" s="77" t="s">
        <v>5609</v>
      </c>
      <c r="H6062" s="14" t="str">
        <f t="shared" si="219"/>
        <v>true</v>
      </c>
      <c r="I6062" s="14" t="s">
        <v>2458</v>
      </c>
      <c r="J6062" s="33" t="s">
        <v>7110</v>
      </c>
      <c r="K6062" s="33" t="s">
        <v>14024</v>
      </c>
      <c r="L6062" s="53" t="s">
        <v>13710</v>
      </c>
      <c r="M6062" s="68" t="s">
        <v>8912</v>
      </c>
      <c r="N6062" s="53" t="s">
        <v>13711</v>
      </c>
      <c r="O6062" s="53">
        <v>60200</v>
      </c>
      <c r="P6062" s="198" t="s">
        <v>14021</v>
      </c>
    </row>
    <row r="6063" spans="1:16" ht="18.75" hidden="1">
      <c r="A6063" s="50" t="s">
        <v>14130</v>
      </c>
      <c r="B6063" s="50" t="s">
        <v>13810</v>
      </c>
      <c r="C6063" s="50" t="s">
        <v>14184</v>
      </c>
      <c r="D6063" s="12" t="s">
        <v>13827</v>
      </c>
      <c r="E6063" s="12" t="s">
        <v>13333</v>
      </c>
      <c r="F6063" s="49">
        <v>115820</v>
      </c>
      <c r="G6063" s="77" t="s">
        <v>13816</v>
      </c>
      <c r="H6063" s="14" t="str">
        <f t="shared" si="219"/>
        <v>true</v>
      </c>
      <c r="I6063" s="14" t="s">
        <v>2458</v>
      </c>
      <c r="J6063" s="33" t="s">
        <v>7110</v>
      </c>
      <c r="K6063" s="33" t="s">
        <v>14024</v>
      </c>
      <c r="L6063" s="53" t="s">
        <v>6054</v>
      </c>
      <c r="M6063" s="68" t="s">
        <v>8912</v>
      </c>
      <c r="N6063" s="53" t="s">
        <v>6285</v>
      </c>
      <c r="O6063" s="53">
        <v>55200</v>
      </c>
      <c r="P6063" s="198" t="s">
        <v>13625</v>
      </c>
    </row>
    <row r="6064" spans="1:16" ht="18.75" hidden="1">
      <c r="A6064" s="50" t="s">
        <v>14191</v>
      </c>
      <c r="B6064" s="50" t="s">
        <v>14192</v>
      </c>
      <c r="C6064" s="50" t="s">
        <v>13975</v>
      </c>
      <c r="D6064" s="12" t="s">
        <v>13827</v>
      </c>
      <c r="E6064" s="12" t="s">
        <v>13333</v>
      </c>
      <c r="F6064" s="49">
        <v>150220</v>
      </c>
      <c r="G6064" s="77" t="s">
        <v>5773</v>
      </c>
      <c r="H6064" s="14" t="str">
        <f t="shared" si="219"/>
        <v>true</v>
      </c>
      <c r="I6064" s="14" t="s">
        <v>2458</v>
      </c>
      <c r="J6064" s="33" t="s">
        <v>7110</v>
      </c>
      <c r="K6064" s="33" t="s">
        <v>14024</v>
      </c>
      <c r="L6064" s="53" t="s">
        <v>6054</v>
      </c>
      <c r="M6064" s="68" t="s">
        <v>8912</v>
      </c>
      <c r="N6064" s="53" t="s">
        <v>6285</v>
      </c>
      <c r="O6064" s="53">
        <v>55200</v>
      </c>
      <c r="P6064" s="198" t="s">
        <v>13664</v>
      </c>
    </row>
    <row r="6065" spans="1:16" ht="18.75" hidden="1">
      <c r="A6065" s="50" t="s">
        <v>14193</v>
      </c>
      <c r="B6065" s="50" t="s">
        <v>14034</v>
      </c>
      <c r="C6065" s="50" t="s">
        <v>13964</v>
      </c>
      <c r="D6065" s="12" t="s">
        <v>13822</v>
      </c>
      <c r="E6065" s="12" t="s">
        <v>13333</v>
      </c>
      <c r="F6065" s="49">
        <v>50910</v>
      </c>
      <c r="G6065" s="77" t="s">
        <v>13816</v>
      </c>
      <c r="H6065" s="14" t="str">
        <f t="shared" si="219"/>
        <v>true</v>
      </c>
      <c r="I6065" s="14" t="s">
        <v>2458</v>
      </c>
      <c r="J6065" s="33" t="s">
        <v>7110</v>
      </c>
      <c r="K6065" s="33" t="s">
        <v>14024</v>
      </c>
      <c r="L6065" s="53" t="s">
        <v>6054</v>
      </c>
      <c r="M6065" s="68" t="s">
        <v>8912</v>
      </c>
      <c r="N6065" s="53" t="s">
        <v>6286</v>
      </c>
      <c r="O6065" s="53">
        <v>55107</v>
      </c>
      <c r="P6065" s="198" t="s">
        <v>13625</v>
      </c>
    </row>
    <row r="6066" spans="1:16" ht="18.75" hidden="1">
      <c r="A6066" s="50" t="s">
        <v>14194</v>
      </c>
      <c r="B6066" s="50" t="s">
        <v>14102</v>
      </c>
      <c r="C6066" s="50" t="s">
        <v>14105</v>
      </c>
      <c r="D6066" s="12" t="s">
        <v>13552</v>
      </c>
      <c r="E6066" s="12" t="s">
        <v>13333</v>
      </c>
      <c r="F6066" s="49">
        <v>73640</v>
      </c>
      <c r="G6066" s="77" t="s">
        <v>14084</v>
      </c>
      <c r="H6066" s="14" t="str">
        <f t="shared" si="219"/>
        <v>true</v>
      </c>
      <c r="I6066" s="14" t="s">
        <v>2458</v>
      </c>
      <c r="J6066" s="33" t="s">
        <v>7110</v>
      </c>
      <c r="K6066" s="33" t="s">
        <v>14024</v>
      </c>
      <c r="L6066" s="53" t="s">
        <v>6054</v>
      </c>
      <c r="M6066" s="68" t="s">
        <v>8913</v>
      </c>
      <c r="N6066" s="53" t="s">
        <v>6076</v>
      </c>
      <c r="O6066" s="53">
        <v>55301</v>
      </c>
      <c r="P6066" s="198" t="s">
        <v>14089</v>
      </c>
    </row>
    <row r="6067" spans="1:16" ht="18.75" hidden="1">
      <c r="A6067" s="50" t="s">
        <v>14194</v>
      </c>
      <c r="B6067" s="50" t="s">
        <v>14102</v>
      </c>
      <c r="C6067" s="50" t="s">
        <v>14103</v>
      </c>
      <c r="D6067" s="12" t="s">
        <v>13827</v>
      </c>
      <c r="E6067" s="12" t="s">
        <v>13333</v>
      </c>
      <c r="F6067" s="49">
        <v>45380</v>
      </c>
      <c r="G6067" s="77" t="s">
        <v>5773</v>
      </c>
      <c r="H6067" s="14" t="str">
        <f t="shared" si="219"/>
        <v>true</v>
      </c>
      <c r="I6067" s="14" t="s">
        <v>2458</v>
      </c>
      <c r="J6067" s="33" t="s">
        <v>7110</v>
      </c>
      <c r="K6067" s="33" t="s">
        <v>14024</v>
      </c>
      <c r="L6067" s="53" t="s">
        <v>6054</v>
      </c>
      <c r="M6067" s="68" t="s">
        <v>8913</v>
      </c>
      <c r="N6067" s="53" t="s">
        <v>6076</v>
      </c>
      <c r="O6067" s="53">
        <v>55301</v>
      </c>
      <c r="P6067" s="198" t="s">
        <v>13664</v>
      </c>
    </row>
    <row r="6068" spans="1:16" ht="18.75" hidden="1">
      <c r="A6068" s="50" t="s">
        <v>14194</v>
      </c>
      <c r="B6068" s="50" t="s">
        <v>14102</v>
      </c>
      <c r="C6068" s="50" t="s">
        <v>14108</v>
      </c>
      <c r="D6068" s="12" t="s">
        <v>13552</v>
      </c>
      <c r="E6068" s="12" t="s">
        <v>13333</v>
      </c>
      <c r="F6068" s="49">
        <v>92500</v>
      </c>
      <c r="G6068" s="77" t="s">
        <v>5647</v>
      </c>
      <c r="H6068" s="14" t="str">
        <f t="shared" si="219"/>
        <v>true</v>
      </c>
      <c r="I6068" s="14" t="s">
        <v>2458</v>
      </c>
      <c r="J6068" s="33" t="s">
        <v>7110</v>
      </c>
      <c r="K6068" s="33" t="s">
        <v>14024</v>
      </c>
      <c r="L6068" s="53" t="s">
        <v>6054</v>
      </c>
      <c r="M6068" s="68" t="s">
        <v>8913</v>
      </c>
      <c r="N6068" s="53" t="s">
        <v>6076</v>
      </c>
      <c r="O6068" s="53">
        <v>55301</v>
      </c>
      <c r="P6068" s="198" t="s">
        <v>14109</v>
      </c>
    </row>
    <row r="6069" spans="1:16" ht="18.75" hidden="1">
      <c r="A6069" s="50" t="s">
        <v>14195</v>
      </c>
      <c r="B6069" s="50" t="s">
        <v>14192</v>
      </c>
      <c r="C6069" s="50" t="s">
        <v>14063</v>
      </c>
      <c r="D6069" s="12" t="s">
        <v>13967</v>
      </c>
      <c r="E6069" s="12" t="s">
        <v>13333</v>
      </c>
      <c r="F6069" s="49">
        <v>198860</v>
      </c>
      <c r="G6069" s="77" t="s">
        <v>5631</v>
      </c>
      <c r="H6069" s="14" t="str">
        <f t="shared" si="219"/>
        <v>true</v>
      </c>
      <c r="I6069" s="14" t="s">
        <v>2458</v>
      </c>
      <c r="J6069" s="33" t="s">
        <v>7110</v>
      </c>
      <c r="K6069" s="33" t="s">
        <v>14024</v>
      </c>
      <c r="L6069" s="53" t="s">
        <v>6054</v>
      </c>
      <c r="M6069" s="68" t="s">
        <v>8913</v>
      </c>
      <c r="N6069" s="53" t="s">
        <v>6076</v>
      </c>
      <c r="O6069" s="53">
        <v>55301</v>
      </c>
      <c r="P6069" s="198" t="s">
        <v>12938</v>
      </c>
    </row>
    <row r="6070" spans="1:16" ht="18.75" hidden="1">
      <c r="A6070" s="50" t="s">
        <v>14196</v>
      </c>
      <c r="B6070" s="50" t="s">
        <v>14034</v>
      </c>
      <c r="C6070" s="50" t="s">
        <v>14063</v>
      </c>
      <c r="D6070" s="12" t="s">
        <v>13967</v>
      </c>
      <c r="E6070" s="12" t="s">
        <v>13333</v>
      </c>
      <c r="F6070" s="49">
        <v>70500</v>
      </c>
      <c r="G6070" s="77" t="s">
        <v>5631</v>
      </c>
      <c r="H6070" s="14" t="str">
        <f t="shared" si="219"/>
        <v>true</v>
      </c>
      <c r="I6070" s="14" t="s">
        <v>2458</v>
      </c>
      <c r="J6070" s="33" t="s">
        <v>7110</v>
      </c>
      <c r="K6070" s="33" t="s">
        <v>14024</v>
      </c>
      <c r="L6070" s="53" t="s">
        <v>6054</v>
      </c>
      <c r="M6070" s="68" t="s">
        <v>8913</v>
      </c>
      <c r="N6070" s="53" t="s">
        <v>6286</v>
      </c>
      <c r="O6070" s="53">
        <v>55107</v>
      </c>
      <c r="P6070" s="198" t="s">
        <v>12938</v>
      </c>
    </row>
    <row r="6071" spans="1:16" ht="18.75" hidden="1">
      <c r="A6071" s="50" t="s">
        <v>14194</v>
      </c>
      <c r="B6071" s="50" t="s">
        <v>14102</v>
      </c>
      <c r="C6071" s="50" t="s">
        <v>14197</v>
      </c>
      <c r="D6071" s="12" t="s">
        <v>13969</v>
      </c>
      <c r="E6071" s="12" t="s">
        <v>13333</v>
      </c>
      <c r="F6071" s="49">
        <v>173140</v>
      </c>
      <c r="G6071" s="77" t="s">
        <v>14049</v>
      </c>
      <c r="H6071" s="14" t="str">
        <f t="shared" si="219"/>
        <v>true</v>
      </c>
      <c r="I6071" s="14" t="s">
        <v>2458</v>
      </c>
      <c r="J6071" s="33" t="s">
        <v>7110</v>
      </c>
      <c r="K6071" s="33" t="s">
        <v>14024</v>
      </c>
      <c r="L6071" s="53" t="s">
        <v>6054</v>
      </c>
      <c r="M6071" s="68" t="s">
        <v>8913</v>
      </c>
      <c r="N6071" s="53" t="s">
        <v>6076</v>
      </c>
      <c r="O6071" s="53">
        <v>55301</v>
      </c>
      <c r="P6071" s="198" t="s">
        <v>14050</v>
      </c>
    </row>
    <row r="6072" spans="1:16" ht="18.75" hidden="1">
      <c r="A6072" s="50" t="s">
        <v>14195</v>
      </c>
      <c r="B6072" s="50" t="s">
        <v>14192</v>
      </c>
      <c r="C6072" s="50" t="s">
        <v>14197</v>
      </c>
      <c r="D6072" s="12" t="s">
        <v>13969</v>
      </c>
      <c r="E6072" s="12" t="s">
        <v>13333</v>
      </c>
      <c r="F6072" s="49">
        <v>159640</v>
      </c>
      <c r="G6072" s="77" t="s">
        <v>14049</v>
      </c>
      <c r="H6072" s="14" t="str">
        <f t="shared" si="219"/>
        <v>true</v>
      </c>
      <c r="I6072" s="14" t="s">
        <v>2458</v>
      </c>
      <c r="J6072" s="33" t="s">
        <v>7110</v>
      </c>
      <c r="K6072" s="33" t="s">
        <v>14024</v>
      </c>
      <c r="L6072" s="53" t="s">
        <v>6054</v>
      </c>
      <c r="M6072" s="68" t="s">
        <v>8913</v>
      </c>
      <c r="N6072" s="53" t="s">
        <v>6076</v>
      </c>
      <c r="O6072" s="53">
        <v>55301</v>
      </c>
      <c r="P6072" s="198" t="s">
        <v>14050</v>
      </c>
    </row>
    <row r="6073" spans="1:16" ht="18.75" hidden="1">
      <c r="A6073" s="50" t="s">
        <v>14191</v>
      </c>
      <c r="B6073" s="50" t="s">
        <v>14192</v>
      </c>
      <c r="C6073" s="50" t="s">
        <v>14105</v>
      </c>
      <c r="D6073" s="12" t="s">
        <v>13552</v>
      </c>
      <c r="E6073" s="12" t="s">
        <v>13333</v>
      </c>
      <c r="F6073" s="49">
        <v>70440</v>
      </c>
      <c r="G6073" s="77" t="s">
        <v>14084</v>
      </c>
      <c r="H6073" s="14" t="str">
        <f t="shared" si="219"/>
        <v>true</v>
      </c>
      <c r="I6073" s="14" t="s">
        <v>2458</v>
      </c>
      <c r="J6073" s="33" t="s">
        <v>7110</v>
      </c>
      <c r="K6073" s="33" t="s">
        <v>14024</v>
      </c>
      <c r="L6073" s="53" t="s">
        <v>6054</v>
      </c>
      <c r="M6073" s="68" t="s">
        <v>8912</v>
      </c>
      <c r="N6073" s="53" t="s">
        <v>6285</v>
      </c>
      <c r="O6073" s="53">
        <v>55200</v>
      </c>
      <c r="P6073" s="198" t="s">
        <v>14089</v>
      </c>
    </row>
    <row r="6074" spans="1:16" ht="18.75" hidden="1">
      <c r="A6074" s="50" t="str">
        <f>"60503-195606"</f>
        <v>60503-195606</v>
      </c>
      <c r="B6074" s="50" t="str">
        <f>"97/02/10"</f>
        <v>97/02/10</v>
      </c>
      <c r="C6074" s="50" t="s">
        <v>14198</v>
      </c>
      <c r="D6074" s="12" t="s">
        <v>13380</v>
      </c>
      <c r="E6074" s="12" t="s">
        <v>13333</v>
      </c>
      <c r="F6074" s="49">
        <v>410000</v>
      </c>
      <c r="G6074" s="77" t="s">
        <v>5611</v>
      </c>
      <c r="H6074" s="14" t="str">
        <f t="shared" si="219"/>
        <v>true</v>
      </c>
      <c r="I6074" s="14" t="s">
        <v>2458</v>
      </c>
      <c r="J6074" s="33" t="s">
        <v>7110</v>
      </c>
      <c r="K6074" s="33" t="s">
        <v>14024</v>
      </c>
      <c r="L6074" s="53" t="str">
        <f>" افغانستان"</f>
        <v xml:space="preserve"> افغانستان</v>
      </c>
      <c r="M6074" s="68" t="str">
        <f>"بشكه"</f>
        <v>بشكه</v>
      </c>
      <c r="N6074" s="53" t="str">
        <f>"منطقه ويژه دوغارون"</f>
        <v>منطقه ويژه دوغارون</v>
      </c>
      <c r="O6074" s="53">
        <v>60503</v>
      </c>
      <c r="P6074" s="198" t="s">
        <v>12934</v>
      </c>
    </row>
    <row r="6075" spans="1:16" ht="18.75" hidden="1">
      <c r="A6075" s="50" t="str">
        <f>"60503-195606"</f>
        <v>60503-195606</v>
      </c>
      <c r="B6075" s="50" t="str">
        <f>"97/02/10"</f>
        <v>97/02/10</v>
      </c>
      <c r="C6075" s="50" t="s">
        <v>14199</v>
      </c>
      <c r="D6075" s="12" t="s">
        <v>13266</v>
      </c>
      <c r="E6075" s="12" t="s">
        <v>13333</v>
      </c>
      <c r="F6075" s="49">
        <v>440000</v>
      </c>
      <c r="G6075" s="77" t="s">
        <v>5611</v>
      </c>
      <c r="H6075" s="14" t="str">
        <f t="shared" si="219"/>
        <v>true</v>
      </c>
      <c r="I6075" s="14" t="s">
        <v>2458</v>
      </c>
      <c r="J6075" s="33" t="s">
        <v>7110</v>
      </c>
      <c r="K6075" s="33" t="s">
        <v>14024</v>
      </c>
      <c r="L6075" s="53" t="str">
        <f>" افغانستان"</f>
        <v xml:space="preserve"> افغانستان</v>
      </c>
      <c r="M6075" s="68" t="str">
        <f>"بشكه"</f>
        <v>بشكه</v>
      </c>
      <c r="N6075" s="53" t="str">
        <f>"منطقه ويژه دوغارون"</f>
        <v>منطقه ويژه دوغارون</v>
      </c>
      <c r="O6075" s="53">
        <v>60503</v>
      </c>
      <c r="P6075" s="198" t="s">
        <v>12934</v>
      </c>
    </row>
    <row r="6076" spans="1:16" ht="18.75" hidden="1">
      <c r="A6076" s="50" t="str">
        <f>"60503-195606"</f>
        <v>60503-195606</v>
      </c>
      <c r="B6076" s="50" t="str">
        <f>"97/02/10"</f>
        <v>97/02/10</v>
      </c>
      <c r="C6076" s="50" t="s">
        <v>14200</v>
      </c>
      <c r="D6076" s="12" t="s">
        <v>13380</v>
      </c>
      <c r="E6076" s="12" t="s">
        <v>13333</v>
      </c>
      <c r="F6076" s="49">
        <v>500000</v>
      </c>
      <c r="G6076" s="77" t="s">
        <v>5611</v>
      </c>
      <c r="H6076" s="14" t="str">
        <f t="shared" si="219"/>
        <v>true</v>
      </c>
      <c r="I6076" s="14" t="s">
        <v>2458</v>
      </c>
      <c r="J6076" s="33" t="s">
        <v>7110</v>
      </c>
      <c r="K6076" s="33" t="s">
        <v>14024</v>
      </c>
      <c r="L6076" s="53" t="str">
        <f>" افغانستان"</f>
        <v xml:space="preserve"> افغانستان</v>
      </c>
      <c r="M6076" s="68" t="str">
        <f>"بشكه"</f>
        <v>بشكه</v>
      </c>
      <c r="N6076" s="53" t="str">
        <f>"منطقه ويژه دوغارون"</f>
        <v>منطقه ويژه دوغارون</v>
      </c>
      <c r="O6076" s="53">
        <v>60503</v>
      </c>
      <c r="P6076" s="198" t="s">
        <v>12934</v>
      </c>
    </row>
    <row r="6077" spans="1:16" ht="18.75" hidden="1">
      <c r="A6077" s="50" t="str">
        <f>"60503-195606"</f>
        <v>60503-195606</v>
      </c>
      <c r="B6077" s="50" t="str">
        <f>"97/02/10"</f>
        <v>97/02/10</v>
      </c>
      <c r="C6077" s="50" t="s">
        <v>14201</v>
      </c>
      <c r="D6077" s="12" t="s">
        <v>13266</v>
      </c>
      <c r="E6077" s="12" t="s">
        <v>13333</v>
      </c>
      <c r="F6077" s="49">
        <v>150000</v>
      </c>
      <c r="G6077" s="77" t="s">
        <v>5611</v>
      </c>
      <c r="H6077" s="14" t="str">
        <f t="shared" si="219"/>
        <v>true</v>
      </c>
      <c r="I6077" s="14" t="s">
        <v>2458</v>
      </c>
      <c r="J6077" s="33" t="s">
        <v>7110</v>
      </c>
      <c r="K6077" s="33" t="s">
        <v>14024</v>
      </c>
      <c r="L6077" s="53" t="str">
        <f>" افغانستان"</f>
        <v xml:space="preserve"> افغانستان</v>
      </c>
      <c r="M6077" s="68" t="str">
        <f>"بشكه"</f>
        <v>بشكه</v>
      </c>
      <c r="N6077" s="53" t="str">
        <f>"منطقه ويژه دوغارون"</f>
        <v>منطقه ويژه دوغارون</v>
      </c>
      <c r="O6077" s="53">
        <v>60503</v>
      </c>
      <c r="P6077" s="198" t="s">
        <v>12934</v>
      </c>
    </row>
    <row r="6078" spans="1:16" ht="18.75" hidden="1">
      <c r="A6078" s="50" t="str">
        <f>"60500-870509"</f>
        <v>60500-870509</v>
      </c>
      <c r="B6078" s="50" t="str">
        <f>"97/03/17"</f>
        <v>97/03/17</v>
      </c>
      <c r="C6078" s="50" t="s">
        <v>14202</v>
      </c>
      <c r="D6078" s="12" t="s">
        <v>13741</v>
      </c>
      <c r="E6078" s="12" t="s">
        <v>13333</v>
      </c>
      <c r="F6078" s="49">
        <v>45150</v>
      </c>
      <c r="G6078" s="77" t="s">
        <v>13271</v>
      </c>
      <c r="H6078" s="14" t="str">
        <f t="shared" si="219"/>
        <v>true</v>
      </c>
      <c r="I6078" s="14" t="s">
        <v>2458</v>
      </c>
      <c r="J6078" s="33" t="s">
        <v>7110</v>
      </c>
      <c r="K6078" s="33" t="s">
        <v>14024</v>
      </c>
      <c r="L6078" s="53" t="str">
        <f t="shared" ref="L6078:L6097" si="220">" افغانستان"</f>
        <v xml:space="preserve"> افغانستان</v>
      </c>
      <c r="M6078" s="68" t="str">
        <f t="shared" ref="M6078:M6097" si="221">"بشكه"</f>
        <v>بشكه</v>
      </c>
      <c r="N6078" s="53" t="str">
        <f t="shared" ref="N6078" si="222">"دوغارون"</f>
        <v>دوغارون</v>
      </c>
      <c r="O6078" s="53">
        <v>60500</v>
      </c>
      <c r="P6078" s="198" t="s">
        <v>14203</v>
      </c>
    </row>
    <row r="6079" spans="1:16" ht="18.75" hidden="1">
      <c r="A6079" s="50" t="str">
        <f>"60503-200484"</f>
        <v>60503-200484</v>
      </c>
      <c r="B6079" s="50" t="str">
        <f>"97/03/02"</f>
        <v>97/03/02</v>
      </c>
      <c r="C6079" s="50" t="s">
        <v>14204</v>
      </c>
      <c r="D6079" s="12" t="s">
        <v>13552</v>
      </c>
      <c r="E6079" s="12" t="s">
        <v>13333</v>
      </c>
      <c r="F6079" s="49">
        <v>594000</v>
      </c>
      <c r="G6079" s="77" t="s">
        <v>13271</v>
      </c>
      <c r="H6079" s="14" t="str">
        <f t="shared" si="219"/>
        <v>true</v>
      </c>
      <c r="I6079" s="14" t="s">
        <v>2458</v>
      </c>
      <c r="J6079" s="33" t="s">
        <v>7110</v>
      </c>
      <c r="K6079" s="33" t="s">
        <v>14024</v>
      </c>
      <c r="L6079" s="53" t="str">
        <f t="shared" si="220"/>
        <v xml:space="preserve"> افغانستان</v>
      </c>
      <c r="M6079" s="68" t="str">
        <f t="shared" si="221"/>
        <v>بشكه</v>
      </c>
      <c r="N6079" s="53" t="str">
        <f t="shared" ref="N6079:N6085" si="223">"منطقه ويژه دوغارون"</f>
        <v>منطقه ويژه دوغارون</v>
      </c>
      <c r="O6079" s="53">
        <v>60503</v>
      </c>
      <c r="P6079" s="198" t="s">
        <v>14203</v>
      </c>
    </row>
    <row r="6080" spans="1:16" ht="18.75" hidden="1">
      <c r="A6080" s="50" t="str">
        <f>"60503-200484"</f>
        <v>60503-200484</v>
      </c>
      <c r="B6080" s="50" t="str">
        <f>"97/03/02"</f>
        <v>97/03/02</v>
      </c>
      <c r="C6080" s="50" t="s">
        <v>14205</v>
      </c>
      <c r="D6080" s="12" t="s">
        <v>13422</v>
      </c>
      <c r="E6080" s="12" t="s">
        <v>13333</v>
      </c>
      <c r="F6080" s="49">
        <v>500000</v>
      </c>
      <c r="G6080" s="77" t="s">
        <v>13271</v>
      </c>
      <c r="H6080" s="14" t="str">
        <f t="shared" si="219"/>
        <v>true</v>
      </c>
      <c r="I6080" s="14" t="s">
        <v>2458</v>
      </c>
      <c r="J6080" s="33" t="s">
        <v>7110</v>
      </c>
      <c r="K6080" s="33" t="s">
        <v>14024</v>
      </c>
      <c r="L6080" s="53" t="str">
        <f t="shared" si="220"/>
        <v xml:space="preserve"> افغانستان</v>
      </c>
      <c r="M6080" s="68" t="str">
        <f t="shared" si="221"/>
        <v>بشكه</v>
      </c>
      <c r="N6080" s="53" t="str">
        <f t="shared" si="223"/>
        <v>منطقه ويژه دوغارون</v>
      </c>
      <c r="O6080" s="53">
        <v>60503</v>
      </c>
      <c r="P6080" s="198" t="s">
        <v>14206</v>
      </c>
    </row>
    <row r="6081" spans="1:16" ht="18.75" hidden="1">
      <c r="A6081" s="50" t="str">
        <f>"60503-202104"</f>
        <v>60503-202104</v>
      </c>
      <c r="B6081" s="50" t="str">
        <f>"97/03/13"</f>
        <v>97/03/13</v>
      </c>
      <c r="C6081" s="50" t="s">
        <v>14207</v>
      </c>
      <c r="D6081" s="12" t="s">
        <v>13741</v>
      </c>
      <c r="E6081" s="12" t="s">
        <v>13333</v>
      </c>
      <c r="F6081" s="49">
        <v>250000</v>
      </c>
      <c r="G6081" s="77" t="s">
        <v>5611</v>
      </c>
      <c r="H6081" s="14" t="str">
        <f t="shared" si="219"/>
        <v>true</v>
      </c>
      <c r="I6081" s="14" t="s">
        <v>2458</v>
      </c>
      <c r="J6081" s="33" t="s">
        <v>7110</v>
      </c>
      <c r="K6081" s="33" t="s">
        <v>14024</v>
      </c>
      <c r="L6081" s="53" t="str">
        <f t="shared" si="220"/>
        <v xml:space="preserve"> افغانستان</v>
      </c>
      <c r="M6081" s="68" t="str">
        <f t="shared" si="221"/>
        <v>بشكه</v>
      </c>
      <c r="N6081" s="53" t="str">
        <f t="shared" si="223"/>
        <v>منطقه ويژه دوغارون</v>
      </c>
      <c r="O6081" s="53">
        <v>60503</v>
      </c>
      <c r="P6081" s="198" t="s">
        <v>14040</v>
      </c>
    </row>
    <row r="6082" spans="1:16" ht="18.75" hidden="1">
      <c r="A6082" s="50" t="str">
        <f>"60503-202104"</f>
        <v>60503-202104</v>
      </c>
      <c r="B6082" s="50" t="str">
        <f>"97/03/13"</f>
        <v>97/03/13</v>
      </c>
      <c r="C6082" s="50" t="s">
        <v>14208</v>
      </c>
      <c r="D6082" s="12" t="s">
        <v>13835</v>
      </c>
      <c r="E6082" s="12" t="s">
        <v>13333</v>
      </c>
      <c r="F6082" s="49">
        <v>360000</v>
      </c>
      <c r="G6082" s="77" t="s">
        <v>5611</v>
      </c>
      <c r="H6082" s="14" t="str">
        <f t="shared" si="219"/>
        <v>true</v>
      </c>
      <c r="I6082" s="14" t="s">
        <v>2458</v>
      </c>
      <c r="J6082" s="33" t="s">
        <v>7110</v>
      </c>
      <c r="K6082" s="33" t="s">
        <v>14024</v>
      </c>
      <c r="L6082" s="53" t="str">
        <f t="shared" si="220"/>
        <v xml:space="preserve"> افغانستان</v>
      </c>
      <c r="M6082" s="68" t="str">
        <f t="shared" si="221"/>
        <v>بشكه</v>
      </c>
      <c r="N6082" s="53" t="str">
        <f t="shared" si="223"/>
        <v>منطقه ويژه دوغارون</v>
      </c>
      <c r="O6082" s="53">
        <v>60503</v>
      </c>
      <c r="P6082" s="198" t="s">
        <v>14040</v>
      </c>
    </row>
    <row r="6083" spans="1:16" ht="18.75" hidden="1">
      <c r="A6083" s="50" t="str">
        <f>"60503-202383"</f>
        <v>60503-202383</v>
      </c>
      <c r="B6083" s="50" t="str">
        <f>"97/03/17"</f>
        <v>97/03/17</v>
      </c>
      <c r="C6083" s="50" t="s">
        <v>14209</v>
      </c>
      <c r="D6083" s="12" t="s">
        <v>13473</v>
      </c>
      <c r="E6083" s="12" t="s">
        <v>13333</v>
      </c>
      <c r="F6083" s="49">
        <v>500000</v>
      </c>
      <c r="G6083" s="77" t="s">
        <v>5773</v>
      </c>
      <c r="H6083" s="14" t="str">
        <f t="shared" si="219"/>
        <v>true</v>
      </c>
      <c r="I6083" s="14" t="s">
        <v>2458</v>
      </c>
      <c r="J6083" s="33" t="s">
        <v>7110</v>
      </c>
      <c r="K6083" s="33" t="s">
        <v>14024</v>
      </c>
      <c r="L6083" s="53" t="str">
        <f t="shared" si="220"/>
        <v xml:space="preserve"> افغانستان</v>
      </c>
      <c r="M6083" s="68" t="str">
        <f t="shared" si="221"/>
        <v>بشكه</v>
      </c>
      <c r="N6083" s="53" t="str">
        <f>"منطقه ويژه دوغارون"</f>
        <v>منطقه ويژه دوغارون</v>
      </c>
      <c r="O6083" s="53">
        <v>60503</v>
      </c>
      <c r="P6083" s="198" t="s">
        <v>13664</v>
      </c>
    </row>
    <row r="6084" spans="1:16" ht="18.75" hidden="1">
      <c r="A6084" s="50" t="str">
        <f>"60503-202104"</f>
        <v>60503-202104</v>
      </c>
      <c r="B6084" s="50" t="str">
        <f>"97/03/13"</f>
        <v>97/03/13</v>
      </c>
      <c r="C6084" s="50" t="s">
        <v>14210</v>
      </c>
      <c r="D6084" s="12" t="s">
        <v>13552</v>
      </c>
      <c r="E6084" s="12" t="s">
        <v>13333</v>
      </c>
      <c r="F6084" s="49">
        <v>650000</v>
      </c>
      <c r="G6084" s="77" t="s">
        <v>5611</v>
      </c>
      <c r="H6084" s="14" t="str">
        <f t="shared" si="219"/>
        <v>true</v>
      </c>
      <c r="I6084" s="14" t="s">
        <v>2458</v>
      </c>
      <c r="J6084" s="33" t="s">
        <v>7110</v>
      </c>
      <c r="K6084" s="33" t="s">
        <v>14024</v>
      </c>
      <c r="L6084" s="53" t="str">
        <f t="shared" si="220"/>
        <v xml:space="preserve"> افغانستان</v>
      </c>
      <c r="M6084" s="68" t="str">
        <f t="shared" si="221"/>
        <v>بشكه</v>
      </c>
      <c r="N6084" s="53" t="str">
        <f t="shared" si="223"/>
        <v>منطقه ويژه دوغارون</v>
      </c>
      <c r="O6084" s="53">
        <v>60503</v>
      </c>
      <c r="P6084" s="198" t="s">
        <v>14053</v>
      </c>
    </row>
    <row r="6085" spans="1:16" ht="18.75" hidden="1">
      <c r="A6085" s="50" t="str">
        <f>"60503-200484"</f>
        <v>60503-200484</v>
      </c>
      <c r="B6085" s="50" t="str">
        <f>"97/03/02"</f>
        <v>97/03/02</v>
      </c>
      <c r="C6085" s="50" t="s">
        <v>14211</v>
      </c>
      <c r="D6085" s="12" t="s">
        <v>13380</v>
      </c>
      <c r="E6085" s="12" t="s">
        <v>13333</v>
      </c>
      <c r="F6085" s="49">
        <v>500000</v>
      </c>
      <c r="G6085" s="77" t="s">
        <v>13271</v>
      </c>
      <c r="H6085" s="14" t="str">
        <f t="shared" si="219"/>
        <v>true</v>
      </c>
      <c r="I6085" s="14" t="s">
        <v>2458</v>
      </c>
      <c r="J6085" s="33" t="s">
        <v>7110</v>
      </c>
      <c r="K6085" s="33" t="s">
        <v>14024</v>
      </c>
      <c r="L6085" s="53" t="str">
        <f t="shared" si="220"/>
        <v xml:space="preserve"> افغانستان</v>
      </c>
      <c r="M6085" s="68" t="str">
        <f t="shared" si="221"/>
        <v>بشكه</v>
      </c>
      <c r="N6085" s="53" t="str">
        <f t="shared" si="223"/>
        <v>منطقه ويژه دوغارون</v>
      </c>
      <c r="O6085" s="53">
        <v>60503</v>
      </c>
      <c r="P6085" s="198" t="s">
        <v>12427</v>
      </c>
    </row>
    <row r="6086" spans="1:16" ht="18.75" hidden="1">
      <c r="A6086" s="50" t="str">
        <f>"60503-202383"</f>
        <v>60503-202383</v>
      </c>
      <c r="B6086" s="50" t="str">
        <f>"97/03/17"</f>
        <v>97/03/17</v>
      </c>
      <c r="C6086" s="50" t="s">
        <v>14212</v>
      </c>
      <c r="D6086" s="12" t="s">
        <v>13575</v>
      </c>
      <c r="E6086" s="12" t="s">
        <v>13333</v>
      </c>
      <c r="F6086" s="49">
        <v>300000</v>
      </c>
      <c r="G6086" s="77" t="s">
        <v>5773</v>
      </c>
      <c r="H6086" s="14" t="str">
        <f t="shared" si="219"/>
        <v>true</v>
      </c>
      <c r="I6086" s="14" t="s">
        <v>2458</v>
      </c>
      <c r="J6086" s="33" t="s">
        <v>7110</v>
      </c>
      <c r="K6086" s="33" t="s">
        <v>14024</v>
      </c>
      <c r="L6086" s="53" t="str">
        <f t="shared" si="220"/>
        <v xml:space="preserve"> افغانستان</v>
      </c>
      <c r="M6086" s="68" t="str">
        <f t="shared" si="221"/>
        <v>بشكه</v>
      </c>
      <c r="N6086" s="53" t="str">
        <f>"منطقه ويژه دوغارون"</f>
        <v>منطقه ويژه دوغارون</v>
      </c>
      <c r="O6086" s="53">
        <v>60503</v>
      </c>
      <c r="P6086" s="198" t="s">
        <v>13664</v>
      </c>
    </row>
    <row r="6087" spans="1:16" ht="18.75" hidden="1">
      <c r="A6087" s="50" t="str">
        <f>"60503-205007"</f>
        <v>60503-205007</v>
      </c>
      <c r="B6087" s="50" t="str">
        <f>"97/04/02"</f>
        <v>97/04/02</v>
      </c>
      <c r="C6087" s="50" t="s">
        <v>14213</v>
      </c>
      <c r="D6087" s="12" t="s">
        <v>13266</v>
      </c>
      <c r="E6087" s="12" t="s">
        <v>13333</v>
      </c>
      <c r="F6087" s="49">
        <v>244000</v>
      </c>
      <c r="G6087" s="77" t="str">
        <f t="shared" ref="G6087:G6097" si="224">"HERAT GHORBAND CONSTRUCTION COMPANY"</f>
        <v>HERAT GHORBAND CONSTRUCTION COMPANY</v>
      </c>
      <c r="H6087" s="14" t="str">
        <f t="shared" ref="H6087:H6097" si="225">IF(I6087="نامشخص",IF(E6087&gt;C6087,"false","true"),IF(E6087&gt;I6087,"false","true"))</f>
        <v>true</v>
      </c>
      <c r="I6087" s="14" t="s">
        <v>2458</v>
      </c>
      <c r="J6087" s="33" t="s">
        <v>7110</v>
      </c>
      <c r="K6087" s="33" t="s">
        <v>14224</v>
      </c>
      <c r="L6087" s="53" t="str">
        <f t="shared" si="220"/>
        <v xml:space="preserve"> افغانستان</v>
      </c>
      <c r="M6087" s="68" t="str">
        <f t="shared" si="221"/>
        <v>بشكه</v>
      </c>
      <c r="N6087" s="53" t="str">
        <f t="shared" ref="N6087:N6097" si="226">"منطقه ويژه دوغارون"</f>
        <v>منطقه ويژه دوغارون</v>
      </c>
      <c r="O6087" s="53">
        <v>60503</v>
      </c>
      <c r="P6087" s="198" t="str">
        <f>"1396553902001"</f>
        <v>1396553902001</v>
      </c>
    </row>
    <row r="6088" spans="1:16" ht="18.75" hidden="1">
      <c r="A6088" s="50" t="str">
        <f>"60503-205007"</f>
        <v>60503-205007</v>
      </c>
      <c r="B6088" s="50" t="str">
        <f>"97/04/02"</f>
        <v>97/04/02</v>
      </c>
      <c r="C6088" s="50" t="s">
        <v>14214</v>
      </c>
      <c r="D6088" s="12" t="s">
        <v>13623</v>
      </c>
      <c r="E6088" s="12" t="s">
        <v>13333</v>
      </c>
      <c r="F6088" s="49">
        <v>200000</v>
      </c>
      <c r="G6088" s="77" t="str">
        <f t="shared" si="224"/>
        <v>HERAT GHORBAND CONSTRUCTION COMPANY</v>
      </c>
      <c r="H6088" s="14" t="str">
        <f t="shared" si="225"/>
        <v>true</v>
      </c>
      <c r="I6088" s="14" t="s">
        <v>2458</v>
      </c>
      <c r="J6088" s="33" t="s">
        <v>7110</v>
      </c>
      <c r="K6088" s="33" t="s">
        <v>14224</v>
      </c>
      <c r="L6088" s="53" t="str">
        <f t="shared" si="220"/>
        <v xml:space="preserve"> افغانستان</v>
      </c>
      <c r="M6088" s="68" t="str">
        <f t="shared" si="221"/>
        <v>بشكه</v>
      </c>
      <c r="N6088" s="53" t="str">
        <f t="shared" si="226"/>
        <v>منطقه ويژه دوغارون</v>
      </c>
      <c r="O6088" s="53">
        <v>60503</v>
      </c>
      <c r="P6088" s="198" t="str">
        <f>"1397558774001"</f>
        <v>1397558774001</v>
      </c>
    </row>
    <row r="6089" spans="1:16" ht="18.75" hidden="1">
      <c r="A6089" s="50" t="str">
        <f>"60503-205007"</f>
        <v>60503-205007</v>
      </c>
      <c r="B6089" s="50" t="str">
        <f>"97/04/02"</f>
        <v>97/04/02</v>
      </c>
      <c r="C6089" s="50" t="s">
        <v>14215</v>
      </c>
      <c r="D6089" s="12" t="s">
        <v>13746</v>
      </c>
      <c r="E6089" s="12" t="s">
        <v>13333</v>
      </c>
      <c r="F6089" s="49">
        <v>345000</v>
      </c>
      <c r="G6089" s="77" t="str">
        <f t="shared" si="224"/>
        <v>HERAT GHORBAND CONSTRUCTION COMPANY</v>
      </c>
      <c r="H6089" s="14" t="str">
        <f t="shared" si="225"/>
        <v>true</v>
      </c>
      <c r="I6089" s="14" t="s">
        <v>2458</v>
      </c>
      <c r="J6089" s="33" t="s">
        <v>7110</v>
      </c>
      <c r="K6089" s="33" t="s">
        <v>14224</v>
      </c>
      <c r="L6089" s="53" t="str">
        <f t="shared" si="220"/>
        <v xml:space="preserve"> افغانستان</v>
      </c>
      <c r="M6089" s="68" t="str">
        <f t="shared" si="221"/>
        <v>بشكه</v>
      </c>
      <c r="N6089" s="53" t="str">
        <f t="shared" si="226"/>
        <v>منطقه ويژه دوغارون</v>
      </c>
      <c r="O6089" s="53">
        <v>60503</v>
      </c>
      <c r="P6089" s="198" t="str">
        <f>"1397558774001"</f>
        <v>1397558774001</v>
      </c>
    </row>
    <row r="6090" spans="1:16" ht="18.75" hidden="1">
      <c r="A6090" s="50" t="str">
        <f>"60503-205007"</f>
        <v>60503-205007</v>
      </c>
      <c r="B6090" s="50" t="str">
        <f>"97/04/02"</f>
        <v>97/04/02</v>
      </c>
      <c r="C6090" s="50" t="s">
        <v>14216</v>
      </c>
      <c r="D6090" s="12" t="s">
        <v>13969</v>
      </c>
      <c r="E6090" s="12" t="s">
        <v>13333</v>
      </c>
      <c r="F6090" s="49">
        <v>445000</v>
      </c>
      <c r="G6090" s="77" t="str">
        <f t="shared" si="224"/>
        <v>HERAT GHORBAND CONSTRUCTION COMPANY</v>
      </c>
      <c r="H6090" s="14" t="str">
        <f t="shared" si="225"/>
        <v>true</v>
      </c>
      <c r="I6090" s="14" t="s">
        <v>2458</v>
      </c>
      <c r="J6090" s="33" t="s">
        <v>7110</v>
      </c>
      <c r="K6090" s="33" t="s">
        <v>14224</v>
      </c>
      <c r="L6090" s="53" t="str">
        <f t="shared" si="220"/>
        <v xml:space="preserve"> افغانستان</v>
      </c>
      <c r="M6090" s="68" t="str">
        <f t="shared" si="221"/>
        <v>بشكه</v>
      </c>
      <c r="N6090" s="53" t="str">
        <f t="shared" si="226"/>
        <v>منطقه ويژه دوغارون</v>
      </c>
      <c r="O6090" s="53">
        <v>60503</v>
      </c>
      <c r="P6090" s="198" t="str">
        <f>"1397558774001"</f>
        <v>1397558774001</v>
      </c>
    </row>
    <row r="6091" spans="1:16" ht="18.75" hidden="1">
      <c r="A6091" s="50" t="str">
        <f>"60503-205007"</f>
        <v>60503-205007</v>
      </c>
      <c r="B6091" s="50" t="str">
        <f>"97/04/02"</f>
        <v>97/04/02</v>
      </c>
      <c r="C6091" s="50" t="s">
        <v>14217</v>
      </c>
      <c r="D6091" s="12" t="s">
        <v>13385</v>
      </c>
      <c r="E6091" s="12" t="s">
        <v>13333</v>
      </c>
      <c r="F6091" s="49">
        <v>192000</v>
      </c>
      <c r="G6091" s="77" t="str">
        <f t="shared" si="224"/>
        <v>HERAT GHORBAND CONSTRUCTION COMPANY</v>
      </c>
      <c r="H6091" s="14" t="str">
        <f t="shared" si="225"/>
        <v>true</v>
      </c>
      <c r="I6091" s="14" t="s">
        <v>2458</v>
      </c>
      <c r="J6091" s="33" t="s">
        <v>7110</v>
      </c>
      <c r="K6091" s="33" t="s">
        <v>14224</v>
      </c>
      <c r="L6091" s="53" t="str">
        <f t="shared" si="220"/>
        <v xml:space="preserve"> افغانستان</v>
      </c>
      <c r="M6091" s="68" t="str">
        <f t="shared" si="221"/>
        <v>بشكه</v>
      </c>
      <c r="N6091" s="53" t="str">
        <f t="shared" si="226"/>
        <v>منطقه ويژه دوغارون</v>
      </c>
      <c r="O6091" s="53">
        <v>60503</v>
      </c>
      <c r="P6091" s="198" t="str">
        <f>"1397558774001"</f>
        <v>1397558774001</v>
      </c>
    </row>
    <row r="6092" spans="1:16" ht="18.75" hidden="1">
      <c r="A6092" s="50" t="str">
        <f t="shared" ref="A6092:A6097" si="227">"60503-192069"</f>
        <v>60503-192069</v>
      </c>
      <c r="B6092" s="50" t="str">
        <f t="shared" ref="B6092:B6097" si="228">"97/04/13"</f>
        <v>97/04/13</v>
      </c>
      <c r="C6092" s="50" t="s">
        <v>14218</v>
      </c>
      <c r="D6092" s="12" t="s">
        <v>12533</v>
      </c>
      <c r="E6092" s="12" t="s">
        <v>4971</v>
      </c>
      <c r="F6092" s="49">
        <v>120000</v>
      </c>
      <c r="G6092" s="77" t="str">
        <f t="shared" si="224"/>
        <v>HERAT GHORBAND CONSTRUCTION COMPANY</v>
      </c>
      <c r="H6092" s="14" t="str">
        <f t="shared" si="225"/>
        <v>true</v>
      </c>
      <c r="I6092" s="14" t="s">
        <v>2458</v>
      </c>
      <c r="J6092" s="33" t="s">
        <v>7110</v>
      </c>
      <c r="K6092" s="33" t="s">
        <v>14224</v>
      </c>
      <c r="L6092" s="53" t="str">
        <f t="shared" si="220"/>
        <v xml:space="preserve"> افغانستان</v>
      </c>
      <c r="M6092" s="68" t="str">
        <f t="shared" si="221"/>
        <v>بشكه</v>
      </c>
      <c r="N6092" s="53" t="str">
        <f t="shared" si="226"/>
        <v>منطقه ويژه دوغارون</v>
      </c>
      <c r="O6092" s="53">
        <v>60503</v>
      </c>
      <c r="P6092" s="198" t="str">
        <f t="shared" ref="P6092:P6097" si="229">"1396534629001"</f>
        <v>1396534629001</v>
      </c>
    </row>
    <row r="6093" spans="1:16" ht="18.75" hidden="1">
      <c r="A6093" s="50" t="str">
        <f t="shared" si="227"/>
        <v>60503-192069</v>
      </c>
      <c r="B6093" s="50" t="str">
        <f t="shared" si="228"/>
        <v>97/04/13</v>
      </c>
      <c r="C6093" s="50" t="s">
        <v>14219</v>
      </c>
      <c r="D6093" s="12" t="s">
        <v>12530</v>
      </c>
      <c r="E6093" s="12" t="s">
        <v>4971</v>
      </c>
      <c r="F6093" s="49">
        <v>240000</v>
      </c>
      <c r="G6093" s="77" t="str">
        <f t="shared" si="224"/>
        <v>HERAT GHORBAND CONSTRUCTION COMPANY</v>
      </c>
      <c r="H6093" s="14" t="str">
        <f t="shared" si="225"/>
        <v>true</v>
      </c>
      <c r="I6093" s="14" t="s">
        <v>2458</v>
      </c>
      <c r="J6093" s="33" t="s">
        <v>7110</v>
      </c>
      <c r="K6093" s="33" t="s">
        <v>14224</v>
      </c>
      <c r="L6093" s="53" t="str">
        <f t="shared" si="220"/>
        <v xml:space="preserve"> افغانستان</v>
      </c>
      <c r="M6093" s="68" t="str">
        <f t="shared" si="221"/>
        <v>بشكه</v>
      </c>
      <c r="N6093" s="53" t="str">
        <f t="shared" si="226"/>
        <v>منطقه ويژه دوغارون</v>
      </c>
      <c r="O6093" s="53">
        <v>60503</v>
      </c>
      <c r="P6093" s="198" t="str">
        <f t="shared" si="229"/>
        <v>1396534629001</v>
      </c>
    </row>
    <row r="6094" spans="1:16" ht="18.75" hidden="1">
      <c r="A6094" s="50" t="str">
        <f t="shared" si="227"/>
        <v>60503-192069</v>
      </c>
      <c r="B6094" s="50" t="str">
        <f t="shared" si="228"/>
        <v>97/04/13</v>
      </c>
      <c r="C6094" s="50" t="s">
        <v>14220</v>
      </c>
      <c r="D6094" s="12" t="s">
        <v>12695</v>
      </c>
      <c r="E6094" s="12" t="s">
        <v>4971</v>
      </c>
      <c r="F6094" s="49">
        <v>95000</v>
      </c>
      <c r="G6094" s="77" t="str">
        <f t="shared" si="224"/>
        <v>HERAT GHORBAND CONSTRUCTION COMPANY</v>
      </c>
      <c r="H6094" s="14" t="str">
        <f t="shared" si="225"/>
        <v>true</v>
      </c>
      <c r="I6094" s="14" t="s">
        <v>2458</v>
      </c>
      <c r="J6094" s="33" t="s">
        <v>7110</v>
      </c>
      <c r="K6094" s="33" t="s">
        <v>14224</v>
      </c>
      <c r="L6094" s="53" t="str">
        <f t="shared" si="220"/>
        <v xml:space="preserve"> افغانستان</v>
      </c>
      <c r="M6094" s="68" t="str">
        <f t="shared" si="221"/>
        <v>بشكه</v>
      </c>
      <c r="N6094" s="53" t="str">
        <f t="shared" si="226"/>
        <v>منطقه ويژه دوغارون</v>
      </c>
      <c r="O6094" s="53">
        <v>60503</v>
      </c>
      <c r="P6094" s="198" t="str">
        <f t="shared" si="229"/>
        <v>1396534629001</v>
      </c>
    </row>
    <row r="6095" spans="1:16" ht="18.75" hidden="1">
      <c r="A6095" s="50" t="str">
        <f t="shared" si="227"/>
        <v>60503-192069</v>
      </c>
      <c r="B6095" s="50" t="str">
        <f t="shared" si="228"/>
        <v>97/04/13</v>
      </c>
      <c r="C6095" s="50" t="s">
        <v>14221</v>
      </c>
      <c r="D6095" s="12" t="s">
        <v>12542</v>
      </c>
      <c r="E6095" s="12" t="s">
        <v>4971</v>
      </c>
      <c r="F6095" s="49">
        <v>150000</v>
      </c>
      <c r="G6095" s="77" t="str">
        <f t="shared" si="224"/>
        <v>HERAT GHORBAND CONSTRUCTION COMPANY</v>
      </c>
      <c r="H6095" s="14" t="str">
        <f t="shared" si="225"/>
        <v>true</v>
      </c>
      <c r="I6095" s="14" t="s">
        <v>2458</v>
      </c>
      <c r="J6095" s="33" t="s">
        <v>7110</v>
      </c>
      <c r="K6095" s="33" t="s">
        <v>14224</v>
      </c>
      <c r="L6095" s="53" t="str">
        <f t="shared" si="220"/>
        <v xml:space="preserve"> افغانستان</v>
      </c>
      <c r="M6095" s="68" t="str">
        <f t="shared" si="221"/>
        <v>بشكه</v>
      </c>
      <c r="N6095" s="53" t="str">
        <f t="shared" si="226"/>
        <v>منطقه ويژه دوغارون</v>
      </c>
      <c r="O6095" s="53">
        <v>60503</v>
      </c>
      <c r="P6095" s="198" t="str">
        <f t="shared" si="229"/>
        <v>1396534629001</v>
      </c>
    </row>
    <row r="6096" spans="1:16" ht="18.75" hidden="1">
      <c r="A6096" s="50" t="str">
        <f t="shared" si="227"/>
        <v>60503-192069</v>
      </c>
      <c r="B6096" s="50" t="str">
        <f t="shared" si="228"/>
        <v>97/04/13</v>
      </c>
      <c r="C6096" s="50" t="s">
        <v>14222</v>
      </c>
      <c r="D6096" s="12" t="s">
        <v>12691</v>
      </c>
      <c r="E6096" s="12" t="s">
        <v>4971</v>
      </c>
      <c r="F6096" s="49">
        <v>127000</v>
      </c>
      <c r="G6096" s="77" t="str">
        <f t="shared" si="224"/>
        <v>HERAT GHORBAND CONSTRUCTION COMPANY</v>
      </c>
      <c r="H6096" s="14" t="str">
        <f t="shared" si="225"/>
        <v>true</v>
      </c>
      <c r="I6096" s="14" t="s">
        <v>2458</v>
      </c>
      <c r="J6096" s="33" t="s">
        <v>7110</v>
      </c>
      <c r="K6096" s="33" t="s">
        <v>14224</v>
      </c>
      <c r="L6096" s="53" t="str">
        <f t="shared" si="220"/>
        <v xml:space="preserve"> افغانستان</v>
      </c>
      <c r="M6096" s="68" t="str">
        <f t="shared" si="221"/>
        <v>بشكه</v>
      </c>
      <c r="N6096" s="53" t="str">
        <f t="shared" si="226"/>
        <v>منطقه ويژه دوغارون</v>
      </c>
      <c r="O6096" s="53">
        <v>60503</v>
      </c>
      <c r="P6096" s="198" t="str">
        <f t="shared" si="229"/>
        <v>1396534629001</v>
      </c>
    </row>
    <row r="6097" spans="1:16" ht="18.75" hidden="1">
      <c r="A6097" s="50" t="str">
        <f t="shared" si="227"/>
        <v>60503-192069</v>
      </c>
      <c r="B6097" s="50" t="str">
        <f t="shared" si="228"/>
        <v>97/04/13</v>
      </c>
      <c r="C6097" s="50" t="s">
        <v>14223</v>
      </c>
      <c r="D6097" s="12" t="s">
        <v>12525</v>
      </c>
      <c r="E6097" s="12" t="s">
        <v>4971</v>
      </c>
      <c r="F6097" s="49">
        <v>210000</v>
      </c>
      <c r="G6097" s="77" t="str">
        <f t="shared" si="224"/>
        <v>HERAT GHORBAND CONSTRUCTION COMPANY</v>
      </c>
      <c r="H6097" s="14" t="str">
        <f t="shared" si="225"/>
        <v>true</v>
      </c>
      <c r="I6097" s="14" t="s">
        <v>2458</v>
      </c>
      <c r="J6097" s="33" t="s">
        <v>7110</v>
      </c>
      <c r="K6097" s="33" t="s">
        <v>14224</v>
      </c>
      <c r="L6097" s="53" t="str">
        <f t="shared" si="220"/>
        <v xml:space="preserve"> افغانستان</v>
      </c>
      <c r="M6097" s="68" t="str">
        <f t="shared" si="221"/>
        <v>بشكه</v>
      </c>
      <c r="N6097" s="53" t="str">
        <f t="shared" si="226"/>
        <v>منطقه ويژه دوغارون</v>
      </c>
      <c r="O6097" s="53">
        <v>60503</v>
      </c>
      <c r="P6097" s="198" t="str">
        <f t="shared" si="229"/>
        <v>1396534629001</v>
      </c>
    </row>
    <row r="6098" spans="1:16" ht="18.75" hidden="1">
      <c r="A6098" s="50" t="str">
        <f>"50100-10429673"</f>
        <v>50100-10429673</v>
      </c>
      <c r="B6098" s="50" t="str">
        <f>"97/04/19"</f>
        <v>97/04/19</v>
      </c>
      <c r="C6098" s="50" t="s">
        <v>14225</v>
      </c>
      <c r="D6098" s="12" t="s">
        <v>14226</v>
      </c>
      <c r="E6098" s="12" t="s">
        <v>13333</v>
      </c>
      <c r="F6098" s="49">
        <v>253521</v>
      </c>
      <c r="G6098" s="77" t="s">
        <v>6298</v>
      </c>
      <c r="H6098" s="14" t="str">
        <f t="shared" ref="H6098:H6161" si="230">IF(I6098="نامشخص",IF(E6098&gt;C6098,"false","true"),IF(E6098&gt;I6098,"false","true"))</f>
        <v>true</v>
      </c>
      <c r="I6098" s="14" t="s">
        <v>2458</v>
      </c>
      <c r="J6098" s="33" t="s">
        <v>7110</v>
      </c>
      <c r="K6098" s="33" t="s">
        <v>14227</v>
      </c>
      <c r="L6098" s="53" t="str">
        <f>"چين"</f>
        <v>چين</v>
      </c>
      <c r="M6098" s="68" t="str">
        <f>"بشكه"</f>
        <v>بشكه</v>
      </c>
      <c r="N6098" s="53" t="str">
        <f>"منطقه ويژه اقتصادي شهيد رجايي"</f>
        <v>منطقه ويژه اقتصادي شهيد رجايي</v>
      </c>
      <c r="O6098" s="53">
        <v>50100</v>
      </c>
      <c r="P6098" s="198">
        <v>1397561058001</v>
      </c>
    </row>
    <row r="6099" spans="1:16" ht="18.75" hidden="1">
      <c r="A6099" s="50" t="str">
        <f>"50100-10440104"</f>
        <v>50100-10440104</v>
      </c>
      <c r="B6099" s="50" t="str">
        <f>"97/04/21"</f>
        <v>97/04/21</v>
      </c>
      <c r="C6099" s="50" t="s">
        <v>14228</v>
      </c>
      <c r="D6099" s="12" t="s">
        <v>13552</v>
      </c>
      <c r="E6099" s="12" t="s">
        <v>13333</v>
      </c>
      <c r="F6099" s="49">
        <v>170000</v>
      </c>
      <c r="G6099" s="77" t="str">
        <f>"SHINING GREEN STAR FZE"</f>
        <v>SHINING GREEN STAR FZE</v>
      </c>
      <c r="H6099" s="14" t="str">
        <f t="shared" si="230"/>
        <v>true</v>
      </c>
      <c r="I6099" s="14" t="s">
        <v>2458</v>
      </c>
      <c r="J6099" s="33" t="e">
        <f>VLOOKUP(C6099,شرکتها!A:B,2,FALSE)</f>
        <v>#N/A</v>
      </c>
      <c r="K6099" s="33" t="s">
        <v>14227</v>
      </c>
      <c r="L6099" s="53" t="str">
        <f>"ويتنام"</f>
        <v>ويتنام</v>
      </c>
      <c r="M6099" s="68" t="str">
        <f>"بشكه"</f>
        <v>بشكه</v>
      </c>
      <c r="N6099" s="53" t="str">
        <f t="shared" ref="N6099:N6138" si="231">"منطقه ويژه اقتصادي شهيد رجايي"</f>
        <v>منطقه ويژه اقتصادي شهيد رجايي</v>
      </c>
      <c r="O6099" s="53">
        <v>50100</v>
      </c>
      <c r="P6099" s="198" t="str">
        <f>"1396548703001"</f>
        <v>1396548703001</v>
      </c>
    </row>
    <row r="6100" spans="1:16" ht="18.75" hidden="1">
      <c r="A6100" s="50" t="str">
        <f>"50100-10439837"</f>
        <v>50100-10439837</v>
      </c>
      <c r="B6100" s="50" t="str">
        <f>"97/04/21"</f>
        <v>97/04/21</v>
      </c>
      <c r="C6100" s="50" t="s">
        <v>14229</v>
      </c>
      <c r="D6100" s="12" t="s">
        <v>14230</v>
      </c>
      <c r="E6100" s="12" t="s">
        <v>13333</v>
      </c>
      <c r="F6100" s="49">
        <v>1735322</v>
      </c>
      <c r="G6100" s="77" t="str">
        <f>"AL MASAR PETROLUME L.L.C"</f>
        <v>AL MASAR PETROLUME L.L.C</v>
      </c>
      <c r="H6100" s="14" t="str">
        <f t="shared" si="230"/>
        <v>true</v>
      </c>
      <c r="I6100" s="14" t="s">
        <v>2458</v>
      </c>
      <c r="J6100" s="33" t="e">
        <f>VLOOKUP(C6100,شرکتها!A:B,2,FALSE)</f>
        <v>#N/A</v>
      </c>
      <c r="K6100" s="33" t="s">
        <v>14227</v>
      </c>
      <c r="L6100" s="53" t="str">
        <f>"قطر"</f>
        <v>قطر</v>
      </c>
      <c r="M6100" s="68" t="str">
        <f>"فله"</f>
        <v>فله</v>
      </c>
      <c r="N6100" s="53" t="str">
        <f t="shared" si="231"/>
        <v>منطقه ويژه اقتصادي شهيد رجايي</v>
      </c>
      <c r="O6100" s="53">
        <v>50100</v>
      </c>
      <c r="P6100" s="198" t="str">
        <f>"1397575283001"</f>
        <v>1397575283001</v>
      </c>
    </row>
    <row r="6101" spans="1:16" ht="18.75" hidden="1">
      <c r="A6101" s="50" t="str">
        <f>"50100-10433114"</f>
        <v>50100-10433114</v>
      </c>
      <c r="B6101" s="50" t="str">
        <f>"97/04/19"</f>
        <v>97/04/19</v>
      </c>
      <c r="C6101" s="50" t="s">
        <v>14035</v>
      </c>
      <c r="D6101" s="12" t="s">
        <v>13549</v>
      </c>
      <c r="E6101" s="12" t="s">
        <v>13333</v>
      </c>
      <c r="F6101" s="49">
        <v>41320</v>
      </c>
      <c r="G6101" s="77" t="str">
        <f>"Areej For Marketing"</f>
        <v>Areej For Marketing</v>
      </c>
      <c r="H6101" s="14" t="str">
        <f t="shared" si="230"/>
        <v>true</v>
      </c>
      <c r="I6101" s="14" t="s">
        <v>2458</v>
      </c>
      <c r="J6101" s="33" t="s">
        <v>7110</v>
      </c>
      <c r="K6101" s="33" t="s">
        <v>14227</v>
      </c>
      <c r="L6101" s="53" t="str">
        <f>"تايلند"</f>
        <v>تايلند</v>
      </c>
      <c r="M6101" s="68" t="str">
        <f>"بشكه"</f>
        <v>بشكه</v>
      </c>
      <c r="N6101" s="53" t="str">
        <f t="shared" si="231"/>
        <v>منطقه ويژه اقتصادي شهيد رجايي</v>
      </c>
      <c r="O6101" s="53">
        <v>50100</v>
      </c>
      <c r="P6101" s="198" t="str">
        <f>"1397561054001"</f>
        <v>1397561054001</v>
      </c>
    </row>
    <row r="6102" spans="1:16" ht="18.75" hidden="1">
      <c r="A6102" s="50" t="str">
        <f>"50100-10440264"</f>
        <v>50100-10440264</v>
      </c>
      <c r="B6102" s="50" t="str">
        <f>"97/04/21"</f>
        <v>97/04/21</v>
      </c>
      <c r="C6102" s="50" t="s">
        <v>14029</v>
      </c>
      <c r="D6102" s="12" t="s">
        <v>13549</v>
      </c>
      <c r="E6102" s="12" t="s">
        <v>13333</v>
      </c>
      <c r="F6102" s="49">
        <v>496925</v>
      </c>
      <c r="G6102" s="77" t="str">
        <f>"LLC Sebco Bitumen"</f>
        <v>LLC Sebco Bitumen</v>
      </c>
      <c r="H6102" s="14" t="str">
        <f t="shared" si="230"/>
        <v>true</v>
      </c>
      <c r="I6102" s="14" t="s">
        <v>2458</v>
      </c>
      <c r="J6102" s="33" t="s">
        <v>7110</v>
      </c>
      <c r="K6102" s="33" t="s">
        <v>14227</v>
      </c>
      <c r="L6102" s="53" t="str">
        <f>"تايوان"</f>
        <v>تايوان</v>
      </c>
      <c r="M6102" s="68" t="str">
        <f>"بشكه"</f>
        <v>بشكه</v>
      </c>
      <c r="N6102" s="53" t="str">
        <f t="shared" si="231"/>
        <v>منطقه ويژه اقتصادي شهيد رجايي</v>
      </c>
      <c r="O6102" s="53">
        <v>50100</v>
      </c>
      <c r="P6102" s="198" t="str">
        <f>"1396548704001"</f>
        <v>1396548704001</v>
      </c>
    </row>
    <row r="6103" spans="1:16" ht="18.75" hidden="1">
      <c r="A6103" s="50" t="str">
        <f>"50100-10440104"</f>
        <v>50100-10440104</v>
      </c>
      <c r="B6103" s="50" t="str">
        <f>"97/04/21"</f>
        <v>97/04/21</v>
      </c>
      <c r="C6103" s="50" t="s">
        <v>14231</v>
      </c>
      <c r="D6103" s="12" t="s">
        <v>13552</v>
      </c>
      <c r="E6103" s="12" t="s">
        <v>13333</v>
      </c>
      <c r="F6103" s="49">
        <v>330125</v>
      </c>
      <c r="G6103" s="77" t="str">
        <f>"SHINING GREEN STAR FZE"</f>
        <v>SHINING GREEN STAR FZE</v>
      </c>
      <c r="H6103" s="14" t="str">
        <f t="shared" si="230"/>
        <v>true</v>
      </c>
      <c r="I6103" s="14" t="s">
        <v>2458</v>
      </c>
      <c r="J6103" s="33" t="e">
        <f>VLOOKUP(C6103,شرکتها!A:B,2,FALSE)</f>
        <v>#N/A</v>
      </c>
      <c r="K6103" s="33" t="s">
        <v>14227</v>
      </c>
      <c r="L6103" s="53" t="str">
        <f>"ويتنام"</f>
        <v>ويتنام</v>
      </c>
      <c r="M6103" s="68" t="str">
        <f>"بشكه"</f>
        <v>بشكه</v>
      </c>
      <c r="N6103" s="53" t="str">
        <f t="shared" si="231"/>
        <v>منطقه ويژه اقتصادي شهيد رجايي</v>
      </c>
      <c r="O6103" s="53">
        <v>50100</v>
      </c>
      <c r="P6103" s="198" t="str">
        <f>"1396548703001"</f>
        <v>1396548703001</v>
      </c>
    </row>
    <row r="6104" spans="1:16" ht="18.75" hidden="1">
      <c r="A6104" s="50" t="str">
        <f>"50100-10420374"</f>
        <v>50100-10420374</v>
      </c>
      <c r="B6104" s="50" t="str">
        <f>"97/04/16"</f>
        <v>97/04/16</v>
      </c>
      <c r="C6104" s="50" t="s">
        <v>14232</v>
      </c>
      <c r="D6104" s="12" t="s">
        <v>14233</v>
      </c>
      <c r="E6104" s="12" t="s">
        <v>13333</v>
      </c>
      <c r="F6104" s="49">
        <v>3097878</v>
      </c>
      <c r="G6104" s="77" t="str">
        <f>"AL MASAR PETROLUME L.L.C"</f>
        <v>AL MASAR PETROLUME L.L.C</v>
      </c>
      <c r="H6104" s="14" t="str">
        <f t="shared" si="230"/>
        <v>true</v>
      </c>
      <c r="I6104" s="14" t="s">
        <v>2458</v>
      </c>
      <c r="J6104" s="33" t="e">
        <f>VLOOKUP(C6104,شرکتها!A:B,2,FALSE)</f>
        <v>#N/A</v>
      </c>
      <c r="K6104" s="33" t="s">
        <v>14227</v>
      </c>
      <c r="L6104" s="53" t="str">
        <f>"قطر"</f>
        <v>قطر</v>
      </c>
      <c r="M6104" s="68" t="str">
        <f>"فله"</f>
        <v>فله</v>
      </c>
      <c r="N6104" s="53" t="str">
        <f t="shared" si="231"/>
        <v>منطقه ويژه اقتصادي شهيد رجايي</v>
      </c>
      <c r="O6104" s="53">
        <v>50100</v>
      </c>
      <c r="P6104" s="198" t="str">
        <f>"1397576771001"</f>
        <v>1397576771001</v>
      </c>
    </row>
    <row r="6105" spans="1:16" ht="18.75" hidden="1">
      <c r="A6105" s="50" t="str">
        <f>"50100-10432913"</f>
        <v>50100-10432913</v>
      </c>
      <c r="B6105" s="50" t="str">
        <f>"97/04/19"</f>
        <v>97/04/19</v>
      </c>
      <c r="C6105" s="50" t="s">
        <v>14234</v>
      </c>
      <c r="D6105" s="12" t="s">
        <v>13552</v>
      </c>
      <c r="E6105" s="12" t="s">
        <v>13333</v>
      </c>
      <c r="F6105" s="49">
        <v>400000</v>
      </c>
      <c r="G6105" s="77" t="str">
        <f>"LLC Sebco Bitumen"</f>
        <v>LLC Sebco Bitumen</v>
      </c>
      <c r="H6105" s="14" t="str">
        <f t="shared" si="230"/>
        <v>true</v>
      </c>
      <c r="I6105" s="14" t="s">
        <v>2458</v>
      </c>
      <c r="J6105" s="33" t="s">
        <v>7110</v>
      </c>
      <c r="K6105" s="33" t="s">
        <v>14227</v>
      </c>
      <c r="L6105" s="53" t="str">
        <f>" امارات متحده عربي"</f>
        <v xml:space="preserve"> امارات متحده عربي</v>
      </c>
      <c r="M6105" s="68" t="str">
        <f t="shared" ref="M6105:M6117" si="232">"بشكه"</f>
        <v>بشكه</v>
      </c>
      <c r="N6105" s="53" t="str">
        <f t="shared" si="231"/>
        <v>منطقه ويژه اقتصادي شهيد رجايي</v>
      </c>
      <c r="O6105" s="53">
        <v>50100</v>
      </c>
      <c r="P6105" s="198" t="str">
        <f>"1397561058001"</f>
        <v>1397561058001</v>
      </c>
    </row>
    <row r="6106" spans="1:16" ht="18.75" hidden="1">
      <c r="A6106" s="50" t="str">
        <f>"50100-10450192"</f>
        <v>50100-10450192</v>
      </c>
      <c r="B6106" s="50" t="str">
        <f>"97/04/24"</f>
        <v>97/04/24</v>
      </c>
      <c r="C6106" s="50" t="s">
        <v>14235</v>
      </c>
      <c r="D6106" s="12" t="s">
        <v>13552</v>
      </c>
      <c r="E6106" s="12" t="s">
        <v>13333</v>
      </c>
      <c r="F6106" s="49">
        <v>60475</v>
      </c>
      <c r="G6106" s="77" t="str">
        <f>"DAXON PETROLEUM"</f>
        <v>DAXON PETROLEUM</v>
      </c>
      <c r="H6106" s="14" t="str">
        <f t="shared" si="230"/>
        <v>true</v>
      </c>
      <c r="I6106" s="14" t="s">
        <v>2458</v>
      </c>
      <c r="J6106" s="33" t="s">
        <v>7110</v>
      </c>
      <c r="K6106" s="33" t="s">
        <v>14227</v>
      </c>
      <c r="L6106" s="53" t="str">
        <f>"موزامبيك"</f>
        <v>موزامبيك</v>
      </c>
      <c r="M6106" s="68" t="str">
        <f t="shared" si="232"/>
        <v>بشكه</v>
      </c>
      <c r="N6106" s="53" t="str">
        <f t="shared" si="231"/>
        <v>منطقه ويژه اقتصادي شهيد رجايي</v>
      </c>
      <c r="O6106" s="53">
        <v>50100</v>
      </c>
      <c r="P6106" s="198" t="str">
        <f>"1397558729001"</f>
        <v>1397558729001</v>
      </c>
    </row>
    <row r="6107" spans="1:16" ht="18.75" hidden="1">
      <c r="A6107" s="50" t="str">
        <f>"50100-10450192"</f>
        <v>50100-10450192</v>
      </c>
      <c r="B6107" s="50" t="str">
        <f>"97/04/24"</f>
        <v>97/04/24</v>
      </c>
      <c r="C6107" s="50" t="s">
        <v>14236</v>
      </c>
      <c r="D6107" s="12" t="s">
        <v>13759</v>
      </c>
      <c r="E6107" s="12" t="s">
        <v>13333</v>
      </c>
      <c r="F6107" s="49">
        <v>142358</v>
      </c>
      <c r="G6107" s="77" t="str">
        <f>"DAXON PETROLEUM"</f>
        <v>DAXON PETROLEUM</v>
      </c>
      <c r="H6107" s="14" t="str">
        <f t="shared" si="230"/>
        <v>true</v>
      </c>
      <c r="I6107" s="14" t="s">
        <v>2458</v>
      </c>
      <c r="J6107" s="33" t="s">
        <v>7110</v>
      </c>
      <c r="K6107" s="33" t="s">
        <v>14227</v>
      </c>
      <c r="L6107" s="53" t="str">
        <f>"موزامبيك"</f>
        <v>موزامبيك</v>
      </c>
      <c r="M6107" s="68" t="str">
        <f t="shared" si="232"/>
        <v>بشكه</v>
      </c>
      <c r="N6107" s="53" t="str">
        <f t="shared" si="231"/>
        <v>منطقه ويژه اقتصادي شهيد رجايي</v>
      </c>
      <c r="O6107" s="53">
        <v>50100</v>
      </c>
      <c r="P6107" s="198" t="str">
        <f>"1397558729001"</f>
        <v>1397558729001</v>
      </c>
    </row>
    <row r="6108" spans="1:16" ht="18.75" hidden="1">
      <c r="A6108" s="50" t="str">
        <f>"50100-10478740"</f>
        <v>50100-10478740</v>
      </c>
      <c r="B6108" s="50" t="str">
        <f>"97/04/31"</f>
        <v>97/04/31</v>
      </c>
      <c r="C6108" s="50" t="s">
        <v>14048</v>
      </c>
      <c r="D6108" s="12" t="s">
        <v>13639</v>
      </c>
      <c r="E6108" s="12" t="s">
        <v>13333</v>
      </c>
      <c r="F6108" s="49">
        <v>1775</v>
      </c>
      <c r="G6108" s="77" t="str">
        <f>"JANSONS TRADING FZE"</f>
        <v>JANSONS TRADING FZE</v>
      </c>
      <c r="H6108" s="14" t="str">
        <f t="shared" si="230"/>
        <v>true</v>
      </c>
      <c r="I6108" s="14" t="s">
        <v>2458</v>
      </c>
      <c r="J6108" s="33" t="s">
        <v>7110</v>
      </c>
      <c r="K6108" s="33" t="s">
        <v>14227</v>
      </c>
      <c r="L6108" s="53" t="str">
        <f>"اندونزي"</f>
        <v>اندونزي</v>
      </c>
      <c r="M6108" s="68" t="str">
        <f t="shared" si="232"/>
        <v>بشكه</v>
      </c>
      <c r="N6108" s="53" t="str">
        <f t="shared" si="231"/>
        <v>منطقه ويژه اقتصادي شهيد رجايي</v>
      </c>
      <c r="O6108" s="53">
        <v>50100</v>
      </c>
      <c r="P6108" s="198" t="str">
        <f>"1397558728001"</f>
        <v>1397558728001</v>
      </c>
    </row>
    <row r="6109" spans="1:16" ht="18.75" hidden="1">
      <c r="A6109" s="50" t="str">
        <f>"50100-10450192"</f>
        <v>50100-10450192</v>
      </c>
      <c r="B6109" s="50" t="str">
        <f>"97/04/24"</f>
        <v>97/04/24</v>
      </c>
      <c r="C6109" s="50" t="s">
        <v>14237</v>
      </c>
      <c r="D6109" s="12" t="s">
        <v>13759</v>
      </c>
      <c r="E6109" s="12" t="s">
        <v>13333</v>
      </c>
      <c r="F6109" s="49">
        <v>300000</v>
      </c>
      <c r="G6109" s="77" t="str">
        <f>"DAXON PETROLEUM"</f>
        <v>DAXON PETROLEUM</v>
      </c>
      <c r="H6109" s="14" t="str">
        <f t="shared" si="230"/>
        <v>true</v>
      </c>
      <c r="I6109" s="14" t="s">
        <v>2458</v>
      </c>
      <c r="J6109" s="33" t="s">
        <v>7110</v>
      </c>
      <c r="K6109" s="33" t="s">
        <v>14227</v>
      </c>
      <c r="L6109" s="53" t="str">
        <f>"موزامبيك"</f>
        <v>موزامبيك</v>
      </c>
      <c r="M6109" s="68" t="str">
        <f t="shared" si="232"/>
        <v>بشكه</v>
      </c>
      <c r="N6109" s="53" t="str">
        <f t="shared" si="231"/>
        <v>منطقه ويژه اقتصادي شهيد رجايي</v>
      </c>
      <c r="O6109" s="53">
        <v>50100</v>
      </c>
      <c r="P6109" s="198" t="str">
        <f>"1397558729001"</f>
        <v>1397558729001</v>
      </c>
    </row>
    <row r="6110" spans="1:16" ht="18.75" hidden="1">
      <c r="A6110" s="50" t="str">
        <f>"50100-10478740"</f>
        <v>50100-10478740</v>
      </c>
      <c r="B6110" s="50" t="str">
        <f>"97/04/31"</f>
        <v>97/04/31</v>
      </c>
      <c r="C6110" s="50" t="s">
        <v>14238</v>
      </c>
      <c r="D6110" s="12" t="s">
        <v>13422</v>
      </c>
      <c r="E6110" s="12" t="s">
        <v>13333</v>
      </c>
      <c r="F6110" s="49">
        <v>103356</v>
      </c>
      <c r="G6110" s="77" t="str">
        <f>"JANSONS TRADING FZE"</f>
        <v>JANSONS TRADING FZE</v>
      </c>
      <c r="H6110" s="14" t="str">
        <f t="shared" si="230"/>
        <v>true</v>
      </c>
      <c r="I6110" s="14" t="s">
        <v>2458</v>
      </c>
      <c r="J6110" s="33" t="s">
        <v>7110</v>
      </c>
      <c r="K6110" s="33" t="s">
        <v>14227</v>
      </c>
      <c r="L6110" s="53" t="str">
        <f>"اندونزي"</f>
        <v>اندونزي</v>
      </c>
      <c r="M6110" s="68" t="str">
        <f t="shared" si="232"/>
        <v>بشكه</v>
      </c>
      <c r="N6110" s="53" t="str">
        <f t="shared" si="231"/>
        <v>منطقه ويژه اقتصادي شهيد رجايي</v>
      </c>
      <c r="O6110" s="53">
        <v>50100</v>
      </c>
      <c r="P6110" s="198" t="str">
        <f>"1397558728001"</f>
        <v>1397558728001</v>
      </c>
    </row>
    <row r="6111" spans="1:16" ht="18.75" hidden="1">
      <c r="A6111" s="50" t="str">
        <f>"50100-10450192"</f>
        <v>50100-10450192</v>
      </c>
      <c r="B6111" s="50" t="str">
        <f>"97/04/24"</f>
        <v>97/04/24</v>
      </c>
      <c r="C6111" s="50" t="s">
        <v>14239</v>
      </c>
      <c r="D6111" s="12" t="s">
        <v>13759</v>
      </c>
      <c r="E6111" s="12" t="s">
        <v>13333</v>
      </c>
      <c r="F6111" s="49">
        <v>499969</v>
      </c>
      <c r="G6111" s="77" t="str">
        <f>"DAXON PETROLEUM"</f>
        <v>DAXON PETROLEUM</v>
      </c>
      <c r="H6111" s="14" t="str">
        <f t="shared" si="230"/>
        <v>true</v>
      </c>
      <c r="I6111" s="14" t="s">
        <v>2458</v>
      </c>
      <c r="J6111" s="33" t="s">
        <v>7110</v>
      </c>
      <c r="K6111" s="33" t="s">
        <v>14227</v>
      </c>
      <c r="L6111" s="53" t="str">
        <f>"موزامبيك"</f>
        <v>موزامبيك</v>
      </c>
      <c r="M6111" s="68" t="str">
        <f t="shared" si="232"/>
        <v>بشكه</v>
      </c>
      <c r="N6111" s="53" t="str">
        <f t="shared" si="231"/>
        <v>منطقه ويژه اقتصادي شهيد رجايي</v>
      </c>
      <c r="O6111" s="53">
        <v>50100</v>
      </c>
      <c r="P6111" s="198" t="str">
        <f>"1397558729001"</f>
        <v>1397558729001</v>
      </c>
    </row>
    <row r="6112" spans="1:16" ht="18.75" hidden="1">
      <c r="A6112" s="50" t="str">
        <f>"50100-10432805"</f>
        <v>50100-10432805</v>
      </c>
      <c r="B6112" s="50" t="str">
        <f>"97/04/19"</f>
        <v>97/04/19</v>
      </c>
      <c r="C6112" s="50" t="s">
        <v>14240</v>
      </c>
      <c r="D6112" s="12" t="s">
        <v>14241</v>
      </c>
      <c r="E6112" s="12" t="s">
        <v>13333</v>
      </c>
      <c r="F6112" s="49">
        <v>1464230</v>
      </c>
      <c r="G6112" s="77" t="s">
        <v>6298</v>
      </c>
      <c r="H6112" s="14" t="str">
        <f t="shared" si="230"/>
        <v>true</v>
      </c>
      <c r="I6112" s="14" t="s">
        <v>2458</v>
      </c>
      <c r="J6112" s="33" t="s">
        <v>7110</v>
      </c>
      <c r="K6112" s="33" t="s">
        <v>14227</v>
      </c>
      <c r="L6112" s="53" t="str">
        <f>"چين"</f>
        <v>چين</v>
      </c>
      <c r="M6112" s="68" t="str">
        <f t="shared" si="232"/>
        <v>بشكه</v>
      </c>
      <c r="N6112" s="53" t="str">
        <f t="shared" si="231"/>
        <v>منطقه ويژه اقتصادي شهيد رجايي</v>
      </c>
      <c r="O6112" s="53">
        <v>50100</v>
      </c>
      <c r="P6112" s="198">
        <v>1397561058001</v>
      </c>
    </row>
    <row r="6113" spans="1:16" ht="18.75" hidden="1">
      <c r="A6113" s="50" t="str">
        <f>"50100-10433405"</f>
        <v>50100-10433405</v>
      </c>
      <c r="B6113" s="50" t="str">
        <f>"97/04/19"</f>
        <v>97/04/19</v>
      </c>
      <c r="C6113" s="50" t="s">
        <v>13773</v>
      </c>
      <c r="D6113" s="12" t="s">
        <v>13402</v>
      </c>
      <c r="E6113" s="12" t="s">
        <v>13333</v>
      </c>
      <c r="F6113" s="49">
        <v>38822</v>
      </c>
      <c r="G6113" s="77" t="str">
        <f>"BITUBIZ FZE"</f>
        <v>BITUBIZ FZE</v>
      </c>
      <c r="H6113" s="14" t="str">
        <f t="shared" si="230"/>
        <v>true</v>
      </c>
      <c r="I6113" s="14" t="s">
        <v>2458</v>
      </c>
      <c r="J6113" s="33" t="s">
        <v>7110</v>
      </c>
      <c r="K6113" s="33" t="s">
        <v>14227</v>
      </c>
      <c r="L6113" s="53" t="str">
        <f>"تايلند"</f>
        <v>تايلند</v>
      </c>
      <c r="M6113" s="68" t="str">
        <f t="shared" si="232"/>
        <v>بشكه</v>
      </c>
      <c r="N6113" s="53" t="str">
        <f t="shared" si="231"/>
        <v>منطقه ويژه اقتصادي شهيد رجايي</v>
      </c>
      <c r="O6113" s="53">
        <v>50100</v>
      </c>
      <c r="P6113" s="198" t="str">
        <f>"1397558719001"</f>
        <v>1397558719001</v>
      </c>
    </row>
    <row r="6114" spans="1:16" ht="18.75" hidden="1">
      <c r="A6114" s="50" t="str">
        <f>"50100-10438512"</f>
        <v>50100-10438512</v>
      </c>
      <c r="B6114" s="50" t="str">
        <f>"97/04/21"</f>
        <v>97/04/21</v>
      </c>
      <c r="C6114" s="50" t="s">
        <v>13999</v>
      </c>
      <c r="D6114" s="12" t="s">
        <v>13402</v>
      </c>
      <c r="E6114" s="12" t="s">
        <v>13333</v>
      </c>
      <c r="F6114" s="49">
        <v>20001</v>
      </c>
      <c r="G6114" s="77" t="str">
        <f>"DAXON PETROLEUM"</f>
        <v>DAXON PETROLEUM</v>
      </c>
      <c r="H6114" s="14" t="str">
        <f t="shared" si="230"/>
        <v>true</v>
      </c>
      <c r="I6114" s="14" t="s">
        <v>2458</v>
      </c>
      <c r="J6114" s="33" t="s">
        <v>7110</v>
      </c>
      <c r="K6114" s="33" t="s">
        <v>14227</v>
      </c>
      <c r="L6114" s="53" t="str">
        <f>"چين"</f>
        <v>چين</v>
      </c>
      <c r="M6114" s="68" t="str">
        <f t="shared" si="232"/>
        <v>بشكه</v>
      </c>
      <c r="N6114" s="53" t="str">
        <f t="shared" si="231"/>
        <v>منطقه ويژه اقتصادي شهيد رجايي</v>
      </c>
      <c r="O6114" s="53">
        <v>50100</v>
      </c>
      <c r="P6114" s="198" t="str">
        <f>"1396548700001"</f>
        <v>1396548700001</v>
      </c>
    </row>
    <row r="6115" spans="1:16" ht="18.75" hidden="1">
      <c r="A6115" s="50" t="str">
        <f>"50100-10464082"</f>
        <v>50100-10464082</v>
      </c>
      <c r="B6115" s="50" t="str">
        <f>"97/04/27"</f>
        <v>97/04/27</v>
      </c>
      <c r="C6115" s="50" t="s">
        <v>14242</v>
      </c>
      <c r="D6115" s="12" t="s">
        <v>13402</v>
      </c>
      <c r="E6115" s="12" t="s">
        <v>13333</v>
      </c>
      <c r="F6115" s="49">
        <v>245328</v>
      </c>
      <c r="G6115" s="77" t="str">
        <f>"DAXON PETROLEUM"</f>
        <v>DAXON PETROLEUM</v>
      </c>
      <c r="H6115" s="14" t="str">
        <f t="shared" si="230"/>
        <v>true</v>
      </c>
      <c r="I6115" s="14" t="s">
        <v>2458</v>
      </c>
      <c r="J6115" s="33" t="s">
        <v>7110</v>
      </c>
      <c r="K6115" s="33" t="s">
        <v>14227</v>
      </c>
      <c r="L6115" s="53" t="str">
        <f>"اندونزي"</f>
        <v>اندونزي</v>
      </c>
      <c r="M6115" s="68" t="str">
        <f t="shared" si="232"/>
        <v>بشكه</v>
      </c>
      <c r="N6115" s="53" t="str">
        <f t="shared" si="231"/>
        <v>منطقه ويژه اقتصادي شهيد رجايي</v>
      </c>
      <c r="O6115" s="53">
        <v>50100</v>
      </c>
      <c r="P6115" s="198" t="str">
        <f>"1396548700001"</f>
        <v>1396548700001</v>
      </c>
    </row>
    <row r="6116" spans="1:16" ht="18.75" hidden="1">
      <c r="A6116" s="50" t="str">
        <f>"50100-10421466"</f>
        <v>50100-10421466</v>
      </c>
      <c r="B6116" s="50" t="str">
        <f>"97/04/16"</f>
        <v>97/04/16</v>
      </c>
      <c r="C6116" s="50" t="s">
        <v>14243</v>
      </c>
      <c r="D6116" s="12" t="s">
        <v>13402</v>
      </c>
      <c r="E6116" s="12" t="s">
        <v>13333</v>
      </c>
      <c r="F6116" s="49">
        <v>887540</v>
      </c>
      <c r="G6116" s="77" t="str">
        <f>"LLC Sebco Bitumen"</f>
        <v>LLC Sebco Bitumen</v>
      </c>
      <c r="H6116" s="14" t="str">
        <f t="shared" si="230"/>
        <v>true</v>
      </c>
      <c r="I6116" s="14" t="s">
        <v>2458</v>
      </c>
      <c r="J6116" s="33" t="s">
        <v>7110</v>
      </c>
      <c r="K6116" s="33" t="s">
        <v>14227</v>
      </c>
      <c r="L6116" s="53" t="str">
        <f>"چين"</f>
        <v>چين</v>
      </c>
      <c r="M6116" s="68" t="str">
        <f t="shared" si="232"/>
        <v>بشكه</v>
      </c>
      <c r="N6116" s="53" t="str">
        <f t="shared" si="231"/>
        <v>منطقه ويژه اقتصادي شهيد رجايي</v>
      </c>
      <c r="O6116" s="53">
        <v>50100</v>
      </c>
      <c r="P6116" s="198" t="str">
        <f>"1397558720001"</f>
        <v>1397558720001</v>
      </c>
    </row>
    <row r="6117" spans="1:16" ht="18.75" hidden="1">
      <c r="A6117" s="50" t="str">
        <f>"50100-10421466"</f>
        <v>50100-10421466</v>
      </c>
      <c r="B6117" s="50" t="str">
        <f>"97/04/16"</f>
        <v>97/04/16</v>
      </c>
      <c r="C6117" s="50" t="s">
        <v>14020</v>
      </c>
      <c r="D6117" s="12" t="s">
        <v>13402</v>
      </c>
      <c r="E6117" s="12" t="s">
        <v>13333</v>
      </c>
      <c r="F6117" s="49">
        <v>104110</v>
      </c>
      <c r="G6117" s="77" t="str">
        <f>"LLC Sebco Bitumen"</f>
        <v>LLC Sebco Bitumen</v>
      </c>
      <c r="H6117" s="14" t="str">
        <f t="shared" si="230"/>
        <v>true</v>
      </c>
      <c r="I6117" s="14" t="s">
        <v>2458</v>
      </c>
      <c r="J6117" s="33" t="s">
        <v>7110</v>
      </c>
      <c r="K6117" s="33" t="s">
        <v>14227</v>
      </c>
      <c r="L6117" s="53" t="str">
        <f>"چين"</f>
        <v>چين</v>
      </c>
      <c r="M6117" s="68" t="str">
        <f t="shared" si="232"/>
        <v>بشكه</v>
      </c>
      <c r="N6117" s="53" t="str">
        <f t="shared" si="231"/>
        <v>منطقه ويژه اقتصادي شهيد رجايي</v>
      </c>
      <c r="O6117" s="53">
        <v>50100</v>
      </c>
      <c r="P6117" s="198" t="str">
        <f>"1397558720001"</f>
        <v>1397558720001</v>
      </c>
    </row>
    <row r="6118" spans="1:16" ht="18.75" hidden="1">
      <c r="A6118" s="50" t="str">
        <f>"50100-10439741"</f>
        <v>50100-10439741</v>
      </c>
      <c r="B6118" s="50" t="str">
        <f>"97/04/21"</f>
        <v>97/04/21</v>
      </c>
      <c r="C6118" s="50" t="s">
        <v>14244</v>
      </c>
      <c r="D6118" s="12" t="s">
        <v>14230</v>
      </c>
      <c r="E6118" s="12" t="s">
        <v>13333</v>
      </c>
      <c r="F6118" s="49">
        <v>3797681</v>
      </c>
      <c r="G6118" s="77" t="str">
        <f>"AL MASAR PETROLUME L.L.C"</f>
        <v>AL MASAR PETROLUME L.L.C</v>
      </c>
      <c r="H6118" s="14" t="str">
        <f t="shared" si="230"/>
        <v>true</v>
      </c>
      <c r="I6118" s="14" t="s">
        <v>2458</v>
      </c>
      <c r="J6118" s="33" t="e">
        <f>VLOOKUP(C6118,شرکتها!A:B,2,FALSE)</f>
        <v>#N/A</v>
      </c>
      <c r="K6118" s="33" t="s">
        <v>14227</v>
      </c>
      <c r="L6118" s="53" t="str">
        <f>"قطر"</f>
        <v>قطر</v>
      </c>
      <c r="M6118" s="68" t="str">
        <f>"فله"</f>
        <v>فله</v>
      </c>
      <c r="N6118" s="53" t="str">
        <f t="shared" si="231"/>
        <v>منطقه ويژه اقتصادي شهيد رجايي</v>
      </c>
      <c r="O6118" s="53">
        <v>50100</v>
      </c>
      <c r="P6118" s="198" t="str">
        <f>"1397576771001"</f>
        <v>1397576771001</v>
      </c>
    </row>
    <row r="6119" spans="1:16" ht="18.75" hidden="1">
      <c r="A6119" s="50" t="str">
        <f>"50100-10421928"</f>
        <v>50100-10421928</v>
      </c>
      <c r="B6119" s="50" t="str">
        <f>"97/04/16"</f>
        <v>97/04/16</v>
      </c>
      <c r="C6119" s="50" t="s">
        <v>14245</v>
      </c>
      <c r="D6119" s="12" t="s">
        <v>13759</v>
      </c>
      <c r="E6119" s="12" t="s">
        <v>13333</v>
      </c>
      <c r="F6119" s="49">
        <v>450000</v>
      </c>
      <c r="G6119" s="77" t="str">
        <f>"LLC Sebco Bitumen"</f>
        <v>LLC Sebco Bitumen</v>
      </c>
      <c r="H6119" s="14" t="str">
        <f t="shared" si="230"/>
        <v>true</v>
      </c>
      <c r="I6119" s="14" t="s">
        <v>2458</v>
      </c>
      <c r="J6119" s="33" t="s">
        <v>7110</v>
      </c>
      <c r="K6119" s="33" t="s">
        <v>14227</v>
      </c>
      <c r="L6119" s="53" t="str">
        <f>" امارات متحده عربي"</f>
        <v xml:space="preserve"> امارات متحده عربي</v>
      </c>
      <c r="M6119" s="68" t="str">
        <f t="shared" ref="M6119:M6138" si="233">"بشكه"</f>
        <v>بشكه</v>
      </c>
      <c r="N6119" s="53" t="str">
        <f t="shared" si="231"/>
        <v>منطقه ويژه اقتصادي شهيد رجايي</v>
      </c>
      <c r="O6119" s="53">
        <v>50100</v>
      </c>
      <c r="P6119" s="198" t="str">
        <f>"1397558720001"</f>
        <v>1397558720001</v>
      </c>
    </row>
    <row r="6120" spans="1:16" ht="18.75" hidden="1">
      <c r="A6120" s="50" t="str">
        <f>"50100-10421928"</f>
        <v>50100-10421928</v>
      </c>
      <c r="B6120" s="50" t="str">
        <f>"97/04/16"</f>
        <v>97/04/16</v>
      </c>
      <c r="C6120" s="50" t="s">
        <v>14243</v>
      </c>
      <c r="D6120" s="12" t="s">
        <v>13402</v>
      </c>
      <c r="E6120" s="12" t="s">
        <v>13333</v>
      </c>
      <c r="F6120" s="49">
        <v>112460</v>
      </c>
      <c r="G6120" s="77" t="str">
        <f>"LLC Sebco Bitumen"</f>
        <v>LLC Sebco Bitumen</v>
      </c>
      <c r="H6120" s="14" t="str">
        <f t="shared" si="230"/>
        <v>true</v>
      </c>
      <c r="I6120" s="14" t="s">
        <v>2458</v>
      </c>
      <c r="J6120" s="33" t="s">
        <v>7110</v>
      </c>
      <c r="K6120" s="33" t="s">
        <v>14227</v>
      </c>
      <c r="L6120" s="53" t="str">
        <f>" امارات متحده عربي"</f>
        <v xml:space="preserve"> امارات متحده عربي</v>
      </c>
      <c r="M6120" s="68" t="str">
        <f t="shared" si="233"/>
        <v>بشكه</v>
      </c>
      <c r="N6120" s="53" t="str">
        <f t="shared" si="231"/>
        <v>منطقه ويژه اقتصادي شهيد رجايي</v>
      </c>
      <c r="O6120" s="53">
        <v>50100</v>
      </c>
      <c r="P6120" s="198" t="str">
        <f>"1397558720001"</f>
        <v>1397558720001</v>
      </c>
    </row>
    <row r="6121" spans="1:16" ht="18.75" hidden="1">
      <c r="A6121" s="50" t="str">
        <f>"50100-10435979"</f>
        <v>50100-10435979</v>
      </c>
      <c r="B6121" s="50" t="str">
        <f>"97/04/20"</f>
        <v>97/04/20</v>
      </c>
      <c r="C6121" s="50" t="s">
        <v>13766</v>
      </c>
      <c r="D6121" s="12" t="s">
        <v>13639</v>
      </c>
      <c r="E6121" s="12" t="s">
        <v>13333</v>
      </c>
      <c r="F6121" s="49">
        <v>198670</v>
      </c>
      <c r="G6121" s="77" t="str">
        <f>"SHINING GREEN STAR FZE"</f>
        <v>SHINING GREEN STAR FZE</v>
      </c>
      <c r="H6121" s="14" t="str">
        <f t="shared" si="230"/>
        <v>true</v>
      </c>
      <c r="I6121" s="14" t="s">
        <v>2458</v>
      </c>
      <c r="J6121" s="33" t="e">
        <f>VLOOKUP(C6121,شرکتها!A:B,2,FALSE)</f>
        <v>#N/A</v>
      </c>
      <c r="K6121" s="33" t="s">
        <v>14227</v>
      </c>
      <c r="L6121" s="53" t="str">
        <f>"کنيا"</f>
        <v>کنيا</v>
      </c>
      <c r="M6121" s="68" t="str">
        <f t="shared" si="233"/>
        <v>بشكه</v>
      </c>
      <c r="N6121" s="53" t="str">
        <f t="shared" si="231"/>
        <v>منطقه ويژه اقتصادي شهيد رجايي</v>
      </c>
      <c r="O6121" s="53">
        <v>50100</v>
      </c>
      <c r="P6121" s="198" t="str">
        <f>"1396548703001"</f>
        <v>1396548703001</v>
      </c>
    </row>
    <row r="6122" spans="1:16" ht="18.75" hidden="1">
      <c r="A6122" s="50" t="str">
        <f>"50100-10435609"</f>
        <v>50100-10435609</v>
      </c>
      <c r="B6122" s="50" t="str">
        <f>"97/04/20"</f>
        <v>97/04/20</v>
      </c>
      <c r="C6122" s="50" t="s">
        <v>13766</v>
      </c>
      <c r="D6122" s="12" t="s">
        <v>13639</v>
      </c>
      <c r="E6122" s="12" t="s">
        <v>13333</v>
      </c>
      <c r="F6122" s="49">
        <v>59970</v>
      </c>
      <c r="G6122" s="77" t="str">
        <f>"SHINING GREEN STAR FZE"</f>
        <v>SHINING GREEN STAR FZE</v>
      </c>
      <c r="H6122" s="14" t="str">
        <f t="shared" si="230"/>
        <v>true</v>
      </c>
      <c r="I6122" s="14" t="s">
        <v>2458</v>
      </c>
      <c r="J6122" s="33" t="e">
        <f>VLOOKUP(C6122,شرکتها!A:B,2,FALSE)</f>
        <v>#N/A</v>
      </c>
      <c r="K6122" s="33" t="s">
        <v>14227</v>
      </c>
      <c r="L6122" s="53" t="str">
        <f>"اندونزي"</f>
        <v>اندونزي</v>
      </c>
      <c r="M6122" s="68" t="str">
        <f t="shared" si="233"/>
        <v>بشكه</v>
      </c>
      <c r="N6122" s="53" t="str">
        <f t="shared" si="231"/>
        <v>منطقه ويژه اقتصادي شهيد رجايي</v>
      </c>
      <c r="O6122" s="53">
        <v>50100</v>
      </c>
      <c r="P6122" s="198" t="str">
        <f>"1396548703001"</f>
        <v>1396548703001</v>
      </c>
    </row>
    <row r="6123" spans="1:16" ht="18.75" hidden="1">
      <c r="A6123" s="50" t="str">
        <f>"50100-10421928"</f>
        <v>50100-10421928</v>
      </c>
      <c r="B6123" s="50" t="str">
        <f>"97/04/16"</f>
        <v>97/04/16</v>
      </c>
      <c r="C6123" s="50" t="s">
        <v>14246</v>
      </c>
      <c r="D6123" s="12" t="s">
        <v>13759</v>
      </c>
      <c r="E6123" s="12" t="s">
        <v>13333</v>
      </c>
      <c r="F6123" s="49">
        <v>382300</v>
      </c>
      <c r="G6123" s="77" t="str">
        <f>"LLC Sebco Bitumen"</f>
        <v>LLC Sebco Bitumen</v>
      </c>
      <c r="H6123" s="14" t="str">
        <f t="shared" si="230"/>
        <v>true</v>
      </c>
      <c r="I6123" s="14" t="s">
        <v>2458</v>
      </c>
      <c r="J6123" s="33" t="s">
        <v>7110</v>
      </c>
      <c r="K6123" s="33" t="s">
        <v>14227</v>
      </c>
      <c r="L6123" s="53" t="str">
        <f>" امارات متحده عربي"</f>
        <v xml:space="preserve"> امارات متحده عربي</v>
      </c>
      <c r="M6123" s="68" t="str">
        <f t="shared" si="233"/>
        <v>بشكه</v>
      </c>
      <c r="N6123" s="53" t="str">
        <f t="shared" si="231"/>
        <v>منطقه ويژه اقتصادي شهيد رجايي</v>
      </c>
      <c r="O6123" s="53">
        <v>50100</v>
      </c>
      <c r="P6123" s="198" t="str">
        <f>"1397558720001"</f>
        <v>1397558720001</v>
      </c>
    </row>
    <row r="6124" spans="1:16" ht="18.75" hidden="1">
      <c r="A6124" s="50" t="str">
        <f>"50100-10435609"</f>
        <v>50100-10435609</v>
      </c>
      <c r="B6124" s="50" t="str">
        <f>"97/04/20"</f>
        <v>97/04/20</v>
      </c>
      <c r="C6124" s="50" t="s">
        <v>14247</v>
      </c>
      <c r="D6124" s="12" t="s">
        <v>13505</v>
      </c>
      <c r="E6124" s="12" t="s">
        <v>13333</v>
      </c>
      <c r="F6124" s="49">
        <v>450000</v>
      </c>
      <c r="G6124" s="77" t="str">
        <f>"SHINING GREEN STAR FZE"</f>
        <v>SHINING GREEN STAR FZE</v>
      </c>
      <c r="H6124" s="14" t="str">
        <f t="shared" si="230"/>
        <v>true</v>
      </c>
      <c r="I6124" s="14" t="s">
        <v>2458</v>
      </c>
      <c r="J6124" s="33" t="e">
        <f>VLOOKUP(C6124,شرکتها!A:B,2,FALSE)</f>
        <v>#N/A</v>
      </c>
      <c r="K6124" s="33" t="s">
        <v>14227</v>
      </c>
      <c r="L6124" s="53" t="str">
        <f>"اندونزي"</f>
        <v>اندونزي</v>
      </c>
      <c r="M6124" s="68" t="str">
        <f t="shared" si="233"/>
        <v>بشكه</v>
      </c>
      <c r="N6124" s="53" t="str">
        <f t="shared" si="231"/>
        <v>منطقه ويژه اقتصادي شهيد رجايي</v>
      </c>
      <c r="O6124" s="53">
        <v>50100</v>
      </c>
      <c r="P6124" s="198" t="str">
        <f>"1396548703001"</f>
        <v>1396548703001</v>
      </c>
    </row>
    <row r="6125" spans="1:16" ht="18.75" hidden="1">
      <c r="A6125" s="50" t="str">
        <f>"50100-10463850"</f>
        <v>50100-10463850</v>
      </c>
      <c r="B6125" s="50" t="str">
        <f>"97/04/27"</f>
        <v>97/04/27</v>
      </c>
      <c r="C6125" s="50" t="s">
        <v>13869</v>
      </c>
      <c r="D6125" s="12" t="s">
        <v>13385</v>
      </c>
      <c r="E6125" s="12" t="s">
        <v>13333</v>
      </c>
      <c r="F6125" s="49">
        <v>266172</v>
      </c>
      <c r="G6125" s="77" t="str">
        <f>"DAXON PETROLEUM"</f>
        <v>DAXON PETROLEUM</v>
      </c>
      <c r="H6125" s="14" t="str">
        <f t="shared" si="230"/>
        <v>true</v>
      </c>
      <c r="I6125" s="14" t="s">
        <v>2458</v>
      </c>
      <c r="J6125" s="33" t="s">
        <v>7110</v>
      </c>
      <c r="K6125" s="33" t="s">
        <v>14227</v>
      </c>
      <c r="L6125" s="53" t="str">
        <f>"اندونزي"</f>
        <v>اندونزي</v>
      </c>
      <c r="M6125" s="68" t="str">
        <f t="shared" si="233"/>
        <v>بشكه</v>
      </c>
      <c r="N6125" s="53" t="str">
        <f t="shared" si="231"/>
        <v>منطقه ويژه اقتصادي شهيد رجايي</v>
      </c>
      <c r="O6125" s="53">
        <v>50100</v>
      </c>
      <c r="P6125" s="198" t="str">
        <f>"1396548708001"</f>
        <v>1396548708001</v>
      </c>
    </row>
    <row r="6126" spans="1:16" ht="18.75" hidden="1">
      <c r="A6126" s="50" t="str">
        <f>"50100-10419571"</f>
        <v>50100-10419571</v>
      </c>
      <c r="B6126" s="50" t="str">
        <f>"97/04/16"</f>
        <v>97/04/16</v>
      </c>
      <c r="C6126" s="50" t="s">
        <v>14248</v>
      </c>
      <c r="D6126" s="12" t="s">
        <v>13563</v>
      </c>
      <c r="E6126" s="12" t="s">
        <v>13333</v>
      </c>
      <c r="F6126" s="49">
        <v>250000</v>
      </c>
      <c r="G6126" s="77" t="str">
        <f>"LLC Sebco Bitumen"</f>
        <v>LLC Sebco Bitumen</v>
      </c>
      <c r="H6126" s="14" t="str">
        <f t="shared" si="230"/>
        <v>true</v>
      </c>
      <c r="I6126" s="14" t="s">
        <v>2458</v>
      </c>
      <c r="J6126" s="33" t="s">
        <v>7110</v>
      </c>
      <c r="K6126" s="33" t="s">
        <v>14227</v>
      </c>
      <c r="L6126" s="53" t="str">
        <f>"هند"</f>
        <v>هند</v>
      </c>
      <c r="M6126" s="68" t="str">
        <f t="shared" si="233"/>
        <v>بشكه</v>
      </c>
      <c r="N6126" s="53" t="str">
        <f t="shared" si="231"/>
        <v>منطقه ويژه اقتصادي شهيد رجايي</v>
      </c>
      <c r="O6126" s="53">
        <v>50100</v>
      </c>
      <c r="P6126" s="198" t="str">
        <f>"1397558720001"</f>
        <v>1397558720001</v>
      </c>
    </row>
    <row r="6127" spans="1:16" ht="18.75" hidden="1">
      <c r="A6127" s="50" t="str">
        <f>"50100-10421928"</f>
        <v>50100-10421928</v>
      </c>
      <c r="B6127" s="50" t="str">
        <f>"97/04/16"</f>
        <v>97/04/16</v>
      </c>
      <c r="C6127" s="50" t="s">
        <v>14052</v>
      </c>
      <c r="D6127" s="12" t="s">
        <v>13402</v>
      </c>
      <c r="E6127" s="12" t="s">
        <v>13333</v>
      </c>
      <c r="F6127" s="49">
        <v>50000</v>
      </c>
      <c r="G6127" s="77" t="str">
        <f>"LLC Sebco Bitumen"</f>
        <v>LLC Sebco Bitumen</v>
      </c>
      <c r="H6127" s="14" t="str">
        <f t="shared" si="230"/>
        <v>true</v>
      </c>
      <c r="I6127" s="14" t="s">
        <v>2458</v>
      </c>
      <c r="J6127" s="33" t="s">
        <v>7110</v>
      </c>
      <c r="K6127" s="33" t="s">
        <v>14227</v>
      </c>
      <c r="L6127" s="53" t="str">
        <f>" امارات متحده عربي"</f>
        <v xml:space="preserve"> امارات متحده عربي</v>
      </c>
      <c r="M6127" s="68" t="str">
        <f t="shared" si="233"/>
        <v>بشكه</v>
      </c>
      <c r="N6127" s="53" t="str">
        <f t="shared" si="231"/>
        <v>منطقه ويژه اقتصادي شهيد رجايي</v>
      </c>
      <c r="O6127" s="53">
        <v>50100</v>
      </c>
      <c r="P6127" s="198" t="str">
        <f>"1397558720001"</f>
        <v>1397558720001</v>
      </c>
    </row>
    <row r="6128" spans="1:16" ht="18.75" hidden="1">
      <c r="A6128" s="50" t="str">
        <f>"50100-10419571"</f>
        <v>50100-10419571</v>
      </c>
      <c r="B6128" s="50" t="str">
        <f>"97/04/16"</f>
        <v>97/04/16</v>
      </c>
      <c r="C6128" s="50" t="s">
        <v>14020</v>
      </c>
      <c r="D6128" s="12" t="s">
        <v>13402</v>
      </c>
      <c r="E6128" s="12" t="s">
        <v>13333</v>
      </c>
      <c r="F6128" s="49">
        <v>250065</v>
      </c>
      <c r="G6128" s="77" t="str">
        <f>"LLC Sebco Bitumen"</f>
        <v>LLC Sebco Bitumen</v>
      </c>
      <c r="H6128" s="14" t="str">
        <f t="shared" si="230"/>
        <v>true</v>
      </c>
      <c r="I6128" s="14" t="s">
        <v>2458</v>
      </c>
      <c r="J6128" s="33" t="s">
        <v>7110</v>
      </c>
      <c r="K6128" s="33" t="s">
        <v>14227</v>
      </c>
      <c r="L6128" s="53" t="str">
        <f>"هند"</f>
        <v>هند</v>
      </c>
      <c r="M6128" s="68" t="str">
        <f t="shared" si="233"/>
        <v>بشكه</v>
      </c>
      <c r="N6128" s="53" t="str">
        <f t="shared" si="231"/>
        <v>منطقه ويژه اقتصادي شهيد رجايي</v>
      </c>
      <c r="O6128" s="53">
        <v>50100</v>
      </c>
      <c r="P6128" s="198" t="str">
        <f>"1397558720001"</f>
        <v>1397558720001</v>
      </c>
    </row>
    <row r="6129" spans="1:16" ht="18.75" hidden="1">
      <c r="A6129" s="50" t="str">
        <f>"50100-10478598"</f>
        <v>50100-10478598</v>
      </c>
      <c r="B6129" s="50" t="str">
        <f>"97/04/31"</f>
        <v>97/04/31</v>
      </c>
      <c r="C6129" s="50" t="s">
        <v>13774</v>
      </c>
      <c r="D6129" s="12" t="s">
        <v>12701</v>
      </c>
      <c r="E6129" s="12" t="s">
        <v>4971</v>
      </c>
      <c r="F6129" s="49">
        <v>2194</v>
      </c>
      <c r="G6129" s="77" t="str">
        <f>"SHINING GREEN STAR FZE"</f>
        <v>SHINING GREEN STAR FZE</v>
      </c>
      <c r="H6129" s="14" t="str">
        <f t="shared" si="230"/>
        <v>true</v>
      </c>
      <c r="I6129" s="14" t="s">
        <v>2458</v>
      </c>
      <c r="J6129" s="33" t="s">
        <v>7110</v>
      </c>
      <c r="K6129" s="33" t="s">
        <v>14227</v>
      </c>
      <c r="L6129" s="53" t="str">
        <f>"اندونزي"</f>
        <v>اندونزي</v>
      </c>
      <c r="M6129" s="68" t="str">
        <f t="shared" si="233"/>
        <v>بشكه</v>
      </c>
      <c r="N6129" s="53" t="str">
        <f t="shared" si="231"/>
        <v>منطقه ويژه اقتصادي شهيد رجايي</v>
      </c>
      <c r="O6129" s="53">
        <v>50100</v>
      </c>
      <c r="P6129" s="198" t="str">
        <f>"1396540543001"</f>
        <v>1396540543001</v>
      </c>
    </row>
    <row r="6130" spans="1:16" ht="18.75" hidden="1">
      <c r="A6130" s="50" t="str">
        <f>"50100-10438441"</f>
        <v>50100-10438441</v>
      </c>
      <c r="B6130" s="50" t="str">
        <f>"97/04/21"</f>
        <v>97/04/21</v>
      </c>
      <c r="C6130" s="50" t="s">
        <v>14045</v>
      </c>
      <c r="D6130" s="12" t="s">
        <v>13402</v>
      </c>
      <c r="E6130" s="12" t="s">
        <v>13333</v>
      </c>
      <c r="F6130" s="49">
        <v>48675</v>
      </c>
      <c r="G6130" s="77" t="str">
        <f>"DAXON PETROLEUM"</f>
        <v>DAXON PETROLEUM</v>
      </c>
      <c r="H6130" s="14" t="str">
        <f t="shared" si="230"/>
        <v>true</v>
      </c>
      <c r="I6130" s="14" t="s">
        <v>2458</v>
      </c>
      <c r="J6130" s="33" t="s">
        <v>7110</v>
      </c>
      <c r="K6130" s="33" t="s">
        <v>14227</v>
      </c>
      <c r="L6130" s="53" t="str">
        <f>"اندونزي"</f>
        <v>اندونزي</v>
      </c>
      <c r="M6130" s="68" t="str">
        <f t="shared" si="233"/>
        <v>بشكه</v>
      </c>
      <c r="N6130" s="53" t="str">
        <f t="shared" si="231"/>
        <v>منطقه ويژه اقتصادي شهيد رجايي</v>
      </c>
      <c r="O6130" s="53">
        <v>50100</v>
      </c>
      <c r="P6130" s="198" t="str">
        <f>"1397558729001"</f>
        <v>1397558729001</v>
      </c>
    </row>
    <row r="6131" spans="1:16" ht="18.75" hidden="1">
      <c r="A6131" s="50" t="str">
        <f>"50100-10438441"</f>
        <v>50100-10438441</v>
      </c>
      <c r="B6131" s="50" t="str">
        <f>"97/04/21"</f>
        <v>97/04/21</v>
      </c>
      <c r="C6131" s="50" t="s">
        <v>14235</v>
      </c>
      <c r="D6131" s="12" t="s">
        <v>13552</v>
      </c>
      <c r="E6131" s="12" t="s">
        <v>13333</v>
      </c>
      <c r="F6131" s="49">
        <v>296865</v>
      </c>
      <c r="G6131" s="77" t="str">
        <f>"DAXON PETROLEUM"</f>
        <v>DAXON PETROLEUM</v>
      </c>
      <c r="H6131" s="14" t="str">
        <f t="shared" si="230"/>
        <v>true</v>
      </c>
      <c r="I6131" s="14" t="s">
        <v>2458</v>
      </c>
      <c r="J6131" s="33" t="s">
        <v>7110</v>
      </c>
      <c r="K6131" s="33" t="s">
        <v>14227</v>
      </c>
      <c r="L6131" s="53" t="str">
        <f>"اندونزي"</f>
        <v>اندونزي</v>
      </c>
      <c r="M6131" s="68" t="str">
        <f t="shared" si="233"/>
        <v>بشكه</v>
      </c>
      <c r="N6131" s="53" t="str">
        <f t="shared" si="231"/>
        <v>منطقه ويژه اقتصادي شهيد رجايي</v>
      </c>
      <c r="O6131" s="53">
        <v>50100</v>
      </c>
      <c r="P6131" s="198" t="str">
        <f>"1397558729001"</f>
        <v>1397558729001</v>
      </c>
    </row>
    <row r="6132" spans="1:16" ht="18.75" hidden="1">
      <c r="A6132" s="50" t="str">
        <f>"50100-10432991"</f>
        <v>50100-10432991</v>
      </c>
      <c r="B6132" s="50" t="str">
        <f>"97/04/19"</f>
        <v>97/04/19</v>
      </c>
      <c r="C6132" s="50" t="s">
        <v>14249</v>
      </c>
      <c r="D6132" s="12" t="s">
        <v>14075</v>
      </c>
      <c r="E6132" s="12" t="s">
        <v>13333</v>
      </c>
      <c r="F6132" s="49">
        <v>984500</v>
      </c>
      <c r="G6132" s="77" t="str">
        <f>"AL MASAR PETROLUME L.L.C"</f>
        <v>AL MASAR PETROLUME L.L.C</v>
      </c>
      <c r="H6132" s="14" t="str">
        <f t="shared" si="230"/>
        <v>true</v>
      </c>
      <c r="I6132" s="14" t="s">
        <v>2458</v>
      </c>
      <c r="J6132" s="33" t="e">
        <f>VLOOKUP(C6132,شرکتها!A:B,2,FALSE)</f>
        <v>#N/A</v>
      </c>
      <c r="K6132" s="33" t="s">
        <v>14227</v>
      </c>
      <c r="L6132" s="53" t="str">
        <f>"رواندا"</f>
        <v>رواندا</v>
      </c>
      <c r="M6132" s="68" t="str">
        <f t="shared" si="233"/>
        <v>بشكه</v>
      </c>
      <c r="N6132" s="53" t="str">
        <f t="shared" si="231"/>
        <v>منطقه ويژه اقتصادي شهيد رجايي</v>
      </c>
      <c r="O6132" s="53">
        <v>50100</v>
      </c>
      <c r="P6132" s="198" t="str">
        <f>"1397576770001"</f>
        <v>1397576770001</v>
      </c>
    </row>
    <row r="6133" spans="1:16" ht="18.75" hidden="1">
      <c r="A6133" s="50" t="str">
        <f>"50100-10438441"</f>
        <v>50100-10438441</v>
      </c>
      <c r="B6133" s="50" t="str">
        <f>"97/04/21"</f>
        <v>97/04/21</v>
      </c>
      <c r="C6133" s="50" t="s">
        <v>14250</v>
      </c>
      <c r="D6133" s="12" t="s">
        <v>13422</v>
      </c>
      <c r="E6133" s="12" t="s">
        <v>13333</v>
      </c>
      <c r="F6133" s="49">
        <v>149420</v>
      </c>
      <c r="G6133" s="77" t="str">
        <f>"DAXON PETROLEUM"</f>
        <v>DAXON PETROLEUM</v>
      </c>
      <c r="H6133" s="14" t="str">
        <f t="shared" si="230"/>
        <v>true</v>
      </c>
      <c r="I6133" s="14" t="s">
        <v>2458</v>
      </c>
      <c r="J6133" s="33" t="s">
        <v>7110</v>
      </c>
      <c r="K6133" s="33" t="s">
        <v>14227</v>
      </c>
      <c r="L6133" s="53" t="str">
        <f>"اندونزي"</f>
        <v>اندونزي</v>
      </c>
      <c r="M6133" s="68" t="str">
        <f t="shared" si="233"/>
        <v>بشكه</v>
      </c>
      <c r="N6133" s="53" t="str">
        <f t="shared" si="231"/>
        <v>منطقه ويژه اقتصادي شهيد رجايي</v>
      </c>
      <c r="O6133" s="53">
        <v>50100</v>
      </c>
      <c r="P6133" s="198" t="str">
        <f>"1397558729001"</f>
        <v>1397558729001</v>
      </c>
    </row>
    <row r="6134" spans="1:16" ht="18.75" hidden="1">
      <c r="A6134" s="50" t="str">
        <f>"50100-10478598"</f>
        <v>50100-10478598</v>
      </c>
      <c r="B6134" s="50" t="str">
        <f>"97/04/31"</f>
        <v>97/04/31</v>
      </c>
      <c r="C6134" s="50" t="s">
        <v>14028</v>
      </c>
      <c r="D6134" s="12" t="s">
        <v>12824</v>
      </c>
      <c r="E6134" s="12" t="s">
        <v>4971</v>
      </c>
      <c r="F6134" s="49">
        <v>405524</v>
      </c>
      <c r="G6134" s="77" t="str">
        <f>"SHINING GREEN STAR FZE"</f>
        <v>SHINING GREEN STAR FZE</v>
      </c>
      <c r="H6134" s="14" t="str">
        <f t="shared" si="230"/>
        <v>true</v>
      </c>
      <c r="I6134" s="14" t="s">
        <v>2458</v>
      </c>
      <c r="J6134" s="33" t="s">
        <v>7110</v>
      </c>
      <c r="K6134" s="33" t="s">
        <v>14227</v>
      </c>
      <c r="L6134" s="53" t="str">
        <f>"اندونزي"</f>
        <v>اندونزي</v>
      </c>
      <c r="M6134" s="68" t="str">
        <f t="shared" si="233"/>
        <v>بشكه</v>
      </c>
      <c r="N6134" s="53" t="str">
        <f t="shared" si="231"/>
        <v>منطقه ويژه اقتصادي شهيد رجايي</v>
      </c>
      <c r="O6134" s="53">
        <v>50100</v>
      </c>
      <c r="P6134" s="198" t="str">
        <f>"1396540543001"</f>
        <v>1396540543001</v>
      </c>
    </row>
    <row r="6135" spans="1:16" ht="18.75" hidden="1">
      <c r="A6135" s="50" t="str">
        <f>"50100-10452429"</f>
        <v>50100-10452429</v>
      </c>
      <c r="B6135" s="50" t="str">
        <f>"97/04/24"</f>
        <v>97/04/24</v>
      </c>
      <c r="C6135" s="50" t="s">
        <v>14251</v>
      </c>
      <c r="D6135" s="12" t="s">
        <v>13960</v>
      </c>
      <c r="E6135" s="12" t="s">
        <v>13333</v>
      </c>
      <c r="F6135" s="49">
        <v>444360</v>
      </c>
      <c r="G6135" s="77" t="str">
        <f>"LLC Sebco Bitumen"</f>
        <v>LLC Sebco Bitumen</v>
      </c>
      <c r="H6135" s="14" t="str">
        <f t="shared" si="230"/>
        <v>true</v>
      </c>
      <c r="I6135" s="14" t="s">
        <v>2458</v>
      </c>
      <c r="J6135" s="33" t="s">
        <v>7110</v>
      </c>
      <c r="K6135" s="33" t="s">
        <v>14227</v>
      </c>
      <c r="L6135" s="53" t="str">
        <f>"چين"</f>
        <v>چين</v>
      </c>
      <c r="M6135" s="68" t="str">
        <f t="shared" si="233"/>
        <v>بشكه</v>
      </c>
      <c r="N6135" s="53" t="str">
        <f t="shared" si="231"/>
        <v>منطقه ويژه اقتصادي شهيد رجايي</v>
      </c>
      <c r="O6135" s="53">
        <v>50100</v>
      </c>
      <c r="P6135" s="198" t="str">
        <f>"1397561058001"</f>
        <v>1397561058001</v>
      </c>
    </row>
    <row r="6136" spans="1:16" ht="18.75" hidden="1">
      <c r="A6136" s="50" t="str">
        <f>"50100-10432913"</f>
        <v>50100-10432913</v>
      </c>
      <c r="B6136" s="50" t="str">
        <f>"97/04/19"</f>
        <v>97/04/19</v>
      </c>
      <c r="C6136" s="50" t="s">
        <v>14252</v>
      </c>
      <c r="D6136" s="12" t="s">
        <v>13960</v>
      </c>
      <c r="E6136" s="12" t="s">
        <v>13333</v>
      </c>
      <c r="F6136" s="49">
        <v>199400</v>
      </c>
      <c r="G6136" s="77" t="str">
        <f>"LLC Sebco Bitumen"</f>
        <v>LLC Sebco Bitumen</v>
      </c>
      <c r="H6136" s="14" t="str">
        <f t="shared" si="230"/>
        <v>true</v>
      </c>
      <c r="I6136" s="14" t="s">
        <v>2458</v>
      </c>
      <c r="J6136" s="33" t="s">
        <v>7110</v>
      </c>
      <c r="K6136" s="33" t="s">
        <v>14227</v>
      </c>
      <c r="L6136" s="53" t="str">
        <f>" امارات متحده عربي"</f>
        <v xml:space="preserve"> امارات متحده عربي</v>
      </c>
      <c r="M6136" s="68" t="str">
        <f t="shared" si="233"/>
        <v>بشكه</v>
      </c>
      <c r="N6136" s="53" t="str">
        <f t="shared" si="231"/>
        <v>منطقه ويژه اقتصادي شهيد رجايي</v>
      </c>
      <c r="O6136" s="53">
        <v>50100</v>
      </c>
      <c r="P6136" s="198" t="str">
        <f>"1397561058001"</f>
        <v>1397561058001</v>
      </c>
    </row>
    <row r="6137" spans="1:16" ht="18.75" hidden="1">
      <c r="A6137" s="50" t="str">
        <f>"50100-10421928"</f>
        <v>50100-10421928</v>
      </c>
      <c r="B6137" s="50" t="str">
        <f>"97/04/16"</f>
        <v>97/04/16</v>
      </c>
      <c r="C6137" s="50" t="s">
        <v>14253</v>
      </c>
      <c r="D6137" s="12" t="s">
        <v>13639</v>
      </c>
      <c r="E6137" s="12" t="s">
        <v>13333</v>
      </c>
      <c r="F6137" s="49">
        <v>250000</v>
      </c>
      <c r="G6137" s="77" t="str">
        <f>"LLC Sebco Bitumen"</f>
        <v>LLC Sebco Bitumen</v>
      </c>
      <c r="H6137" s="14" t="str">
        <f t="shared" si="230"/>
        <v>true</v>
      </c>
      <c r="I6137" s="14" t="s">
        <v>2458</v>
      </c>
      <c r="J6137" s="33" t="s">
        <v>7110</v>
      </c>
      <c r="K6137" s="33" t="s">
        <v>14227</v>
      </c>
      <c r="L6137" s="53" t="str">
        <f>" امارات متحده عربي"</f>
        <v xml:space="preserve"> امارات متحده عربي</v>
      </c>
      <c r="M6137" s="68" t="str">
        <f t="shared" si="233"/>
        <v>بشكه</v>
      </c>
      <c r="N6137" s="53" t="str">
        <f t="shared" si="231"/>
        <v>منطقه ويژه اقتصادي شهيد رجايي</v>
      </c>
      <c r="O6137" s="53">
        <v>50100</v>
      </c>
      <c r="P6137" s="198" t="str">
        <f>"1397558720001"</f>
        <v>1397558720001</v>
      </c>
    </row>
    <row r="6138" spans="1:16" ht="18.75" hidden="1">
      <c r="A6138" s="50" t="str">
        <f>"50100-10452429"</f>
        <v>50100-10452429</v>
      </c>
      <c r="B6138" s="50" t="str">
        <f>"97/04/24"</f>
        <v>97/04/24</v>
      </c>
      <c r="C6138" s="50" t="s">
        <v>14252</v>
      </c>
      <c r="D6138" s="12" t="s">
        <v>13960</v>
      </c>
      <c r="E6138" s="12" t="s">
        <v>13333</v>
      </c>
      <c r="F6138" s="49">
        <v>550600</v>
      </c>
      <c r="G6138" s="77" t="str">
        <f>"LLC Sebco Bitumen"</f>
        <v>LLC Sebco Bitumen</v>
      </c>
      <c r="H6138" s="14" t="str">
        <f t="shared" si="230"/>
        <v>true</v>
      </c>
      <c r="I6138" s="14" t="s">
        <v>2458</v>
      </c>
      <c r="J6138" s="33" t="s">
        <v>7110</v>
      </c>
      <c r="K6138" s="33" t="s">
        <v>14227</v>
      </c>
      <c r="L6138" s="53" t="str">
        <f>"چين"</f>
        <v>چين</v>
      </c>
      <c r="M6138" s="68" t="str">
        <f t="shared" si="233"/>
        <v>بشكه</v>
      </c>
      <c r="N6138" s="53" t="str">
        <f t="shared" si="231"/>
        <v>منطقه ويژه اقتصادي شهيد رجايي</v>
      </c>
      <c r="O6138" s="53">
        <v>50100</v>
      </c>
      <c r="P6138" s="198" t="str">
        <f>"1397561058001"</f>
        <v>1397561058001</v>
      </c>
    </row>
    <row r="6139" spans="1:16" ht="18.75" hidden="1">
      <c r="A6139" s="50" t="str">
        <f>"15100-616740"</f>
        <v>15100-616740</v>
      </c>
      <c r="B6139" s="50" t="str">
        <f>"97/04/19"</f>
        <v>97/04/19</v>
      </c>
      <c r="C6139" s="50" t="s">
        <v>14254</v>
      </c>
      <c r="D6139" s="12" t="s">
        <v>13969</v>
      </c>
      <c r="E6139" s="12" t="s">
        <v>13333</v>
      </c>
      <c r="F6139" s="49">
        <v>119740</v>
      </c>
      <c r="G6139" s="77" t="str">
        <f>"Areej For Marketing"</f>
        <v>Areej For Marketing</v>
      </c>
      <c r="H6139" s="14" t="str">
        <f t="shared" si="230"/>
        <v>true</v>
      </c>
      <c r="I6139" s="14" t="s">
        <v>2458</v>
      </c>
      <c r="J6139" s="33" t="s">
        <v>7110</v>
      </c>
      <c r="K6139" s="33" t="s">
        <v>14255</v>
      </c>
      <c r="L6139" s="53" t="str">
        <f t="shared" ref="L6139:L6202" si="234">"پاکستان"</f>
        <v>پاکستان</v>
      </c>
      <c r="M6139" s="68" t="str">
        <f>"بشكه"</f>
        <v>بشكه</v>
      </c>
      <c r="N6139" s="53" t="str">
        <f>"تفتان (ميرجاوه)"</f>
        <v>تفتان (ميرجاوه)</v>
      </c>
      <c r="O6139" s="53">
        <v>55200</v>
      </c>
      <c r="P6139" s="198" t="str">
        <f>"1397561054001"</f>
        <v>1397561054001</v>
      </c>
    </row>
    <row r="6140" spans="1:16" ht="18.75" hidden="1">
      <c r="A6140" s="50" t="str">
        <f>"15100-620122"</f>
        <v>15100-620122</v>
      </c>
      <c r="B6140" s="50" t="str">
        <f>"97/04/24"</f>
        <v>97/04/24</v>
      </c>
      <c r="C6140" s="50" t="s">
        <v>13964</v>
      </c>
      <c r="D6140" s="12" t="s">
        <v>13822</v>
      </c>
      <c r="E6140" s="12" t="s">
        <v>13333</v>
      </c>
      <c r="F6140" s="49">
        <v>123440</v>
      </c>
      <c r="G6140" s="77" t="str">
        <f>"PETRO FOLIO"</f>
        <v>PETRO FOLIO</v>
      </c>
      <c r="H6140" s="14" t="str">
        <f t="shared" si="230"/>
        <v>true</v>
      </c>
      <c r="I6140" s="14" t="s">
        <v>2458</v>
      </c>
      <c r="J6140" s="33" t="s">
        <v>7110</v>
      </c>
      <c r="K6140" s="33" t="s">
        <v>14255</v>
      </c>
      <c r="L6140" s="53" t="str">
        <f t="shared" si="234"/>
        <v>پاکستان</v>
      </c>
      <c r="M6140" s="68" t="str">
        <f>"بشكه"</f>
        <v>بشكه</v>
      </c>
      <c r="N6140" s="53" t="str">
        <f>"تفتان (ميرجاوه)"</f>
        <v>تفتان (ميرجاوه)</v>
      </c>
      <c r="O6140" s="53">
        <v>55200</v>
      </c>
      <c r="P6140" s="198" t="str">
        <f>"1397558725001"</f>
        <v>1397558725001</v>
      </c>
    </row>
    <row r="6141" spans="1:16" ht="18.75" hidden="1">
      <c r="A6141" s="50" t="str">
        <f>"15100-621504"</f>
        <v>15100-621504</v>
      </c>
      <c r="B6141" s="50" t="str">
        <f>"97/04/26"</f>
        <v>97/04/26</v>
      </c>
      <c r="C6141" s="50" t="s">
        <v>14159</v>
      </c>
      <c r="D6141" s="12" t="s">
        <v>13851</v>
      </c>
      <c r="E6141" s="12" t="s">
        <v>13333</v>
      </c>
      <c r="F6141" s="49">
        <v>122110</v>
      </c>
      <c r="G6141" s="77" t="str">
        <f>"DAXON PETROLEUM"</f>
        <v>DAXON PETROLEUM</v>
      </c>
      <c r="H6141" s="14" t="str">
        <f t="shared" si="230"/>
        <v>true</v>
      </c>
      <c r="I6141" s="14" t="s">
        <v>2458</v>
      </c>
      <c r="J6141" s="33" t="s">
        <v>7110</v>
      </c>
      <c r="K6141" s="33" t="s">
        <v>14255</v>
      </c>
      <c r="L6141" s="53" t="str">
        <f t="shared" si="234"/>
        <v>پاکستان</v>
      </c>
      <c r="M6141" s="68" t="str">
        <f>"بشكه"</f>
        <v>بشكه</v>
      </c>
      <c r="N6141" s="53" t="str">
        <f>"بازارچه ريمدان"</f>
        <v>بازارچه ريمدان</v>
      </c>
      <c r="O6141" s="53">
        <v>55112</v>
      </c>
      <c r="P6141" s="198" t="str">
        <f>"1397558729001"</f>
        <v>1397558729001</v>
      </c>
    </row>
    <row r="6142" spans="1:16" ht="18.75" hidden="1">
      <c r="A6142" s="50" t="str">
        <f>"15100-614905"</f>
        <v>15100-614905</v>
      </c>
      <c r="B6142" s="50" t="str">
        <f>"97/04/16"</f>
        <v>97/04/16</v>
      </c>
      <c r="C6142" s="50" t="s">
        <v>14184</v>
      </c>
      <c r="D6142" s="12" t="s">
        <v>13827</v>
      </c>
      <c r="E6142" s="12" t="s">
        <v>13333</v>
      </c>
      <c r="F6142" s="49">
        <v>118460</v>
      </c>
      <c r="G6142" s="77" t="str">
        <f>"PETRO FOLIO"</f>
        <v>PETRO FOLIO</v>
      </c>
      <c r="H6142" s="14" t="str">
        <f t="shared" si="230"/>
        <v>true</v>
      </c>
      <c r="I6142" s="14" t="s">
        <v>2458</v>
      </c>
      <c r="J6142" s="33" t="s">
        <v>7110</v>
      </c>
      <c r="K6142" s="33" t="s">
        <v>14255</v>
      </c>
      <c r="L6142" s="53" t="str">
        <f t="shared" si="234"/>
        <v>پاکستان</v>
      </c>
      <c r="M6142" s="68" t="str">
        <f t="shared" ref="M6142:M6147" si="235">"فله"</f>
        <v>فله</v>
      </c>
      <c r="N6142" s="53" t="str">
        <f>"پيشين"</f>
        <v>پيشين</v>
      </c>
      <c r="O6142" s="53">
        <v>55301</v>
      </c>
      <c r="P6142" s="198" t="str">
        <f>"1397558725001"</f>
        <v>1397558725001</v>
      </c>
    </row>
    <row r="6143" spans="1:16" ht="18.75" hidden="1">
      <c r="A6143" s="50" t="str">
        <f>"15100-619126"</f>
        <v>15100-619126</v>
      </c>
      <c r="B6143" s="50" t="str">
        <f>"97/04/23"</f>
        <v>97/04/23</v>
      </c>
      <c r="C6143" s="50" t="s">
        <v>14184</v>
      </c>
      <c r="D6143" s="12" t="s">
        <v>13827</v>
      </c>
      <c r="E6143" s="12" t="s">
        <v>13333</v>
      </c>
      <c r="F6143" s="49">
        <v>138340</v>
      </c>
      <c r="G6143" s="77" t="str">
        <f>"PETRO FOLIO"</f>
        <v>PETRO FOLIO</v>
      </c>
      <c r="H6143" s="14" t="str">
        <f t="shared" si="230"/>
        <v>true</v>
      </c>
      <c r="I6143" s="14" t="s">
        <v>2458</v>
      </c>
      <c r="J6143" s="33" t="s">
        <v>7110</v>
      </c>
      <c r="K6143" s="33" t="s">
        <v>14255</v>
      </c>
      <c r="L6143" s="53" t="str">
        <f t="shared" si="234"/>
        <v>پاکستان</v>
      </c>
      <c r="M6143" s="68" t="str">
        <f t="shared" si="235"/>
        <v>فله</v>
      </c>
      <c r="N6143" s="53" t="str">
        <f>"پيشين"</f>
        <v>پيشين</v>
      </c>
      <c r="O6143" s="53">
        <v>55301</v>
      </c>
      <c r="P6143" s="198" t="str">
        <f>"1397558725001"</f>
        <v>1397558725001</v>
      </c>
    </row>
    <row r="6144" spans="1:16" ht="18.75" hidden="1">
      <c r="A6144" s="50" t="str">
        <f>"15100-618467"</f>
        <v>15100-618467</v>
      </c>
      <c r="B6144" s="50" t="str">
        <f>"97/04/21"</f>
        <v>97/04/21</v>
      </c>
      <c r="C6144" s="50" t="s">
        <v>14184</v>
      </c>
      <c r="D6144" s="12" t="s">
        <v>13827</v>
      </c>
      <c r="E6144" s="12" t="s">
        <v>13333</v>
      </c>
      <c r="F6144" s="49">
        <v>139580</v>
      </c>
      <c r="G6144" s="77" t="str">
        <f>"PETRO FOLIO"</f>
        <v>PETRO FOLIO</v>
      </c>
      <c r="H6144" s="14" t="str">
        <f t="shared" si="230"/>
        <v>true</v>
      </c>
      <c r="I6144" s="14" t="s">
        <v>2458</v>
      </c>
      <c r="J6144" s="33" t="s">
        <v>7110</v>
      </c>
      <c r="K6144" s="33" t="s">
        <v>14255</v>
      </c>
      <c r="L6144" s="53" t="str">
        <f t="shared" si="234"/>
        <v>پاکستان</v>
      </c>
      <c r="M6144" s="68" t="str">
        <f t="shared" si="235"/>
        <v>فله</v>
      </c>
      <c r="N6144" s="53" t="str">
        <f>"پيشين"</f>
        <v>پيشين</v>
      </c>
      <c r="O6144" s="53">
        <v>55301</v>
      </c>
      <c r="P6144" s="198" t="str">
        <f>"1397558725001"</f>
        <v>1397558725001</v>
      </c>
    </row>
    <row r="6145" spans="1:16" ht="18.75" hidden="1">
      <c r="A6145" s="50" t="str">
        <f>"15100-614995"</f>
        <v>15100-614995</v>
      </c>
      <c r="B6145" s="50" t="str">
        <f>"97/04/16"</f>
        <v>97/04/16</v>
      </c>
      <c r="C6145" s="50" t="s">
        <v>14070</v>
      </c>
      <c r="D6145" s="12" t="s">
        <v>13818</v>
      </c>
      <c r="E6145" s="12" t="s">
        <v>13333</v>
      </c>
      <c r="F6145" s="49">
        <v>140100</v>
      </c>
      <c r="G6145" s="77" t="str">
        <f>"West Asia Sun LLC"</f>
        <v>West Asia Sun LLC</v>
      </c>
      <c r="H6145" s="14" t="str">
        <f t="shared" si="230"/>
        <v>true</v>
      </c>
      <c r="I6145" s="14" t="s">
        <v>2458</v>
      </c>
      <c r="J6145" s="33" t="s">
        <v>7110</v>
      </c>
      <c r="K6145" s="33" t="s">
        <v>14255</v>
      </c>
      <c r="L6145" s="53" t="str">
        <f t="shared" si="234"/>
        <v>پاکستان</v>
      </c>
      <c r="M6145" s="68" t="str">
        <f t="shared" si="235"/>
        <v>فله</v>
      </c>
      <c r="N6145" s="53" t="str">
        <f>"پيشين"</f>
        <v>پيشين</v>
      </c>
      <c r="O6145" s="53">
        <v>55301</v>
      </c>
      <c r="P6145" s="198" t="str">
        <f>"1397561081001"</f>
        <v>1397561081001</v>
      </c>
    </row>
    <row r="6146" spans="1:16" ht="18.75" hidden="1">
      <c r="A6146" s="50" t="str">
        <f>"15100-619150"</f>
        <v>15100-619150</v>
      </c>
      <c r="B6146" s="50" t="str">
        <f>"97/04/23"</f>
        <v>97/04/23</v>
      </c>
      <c r="C6146" s="50" t="s">
        <v>14256</v>
      </c>
      <c r="D6146" s="12" t="s">
        <v>14129</v>
      </c>
      <c r="E6146" s="12" t="s">
        <v>13333</v>
      </c>
      <c r="F6146" s="49">
        <v>120660</v>
      </c>
      <c r="G6146" s="77" t="str">
        <f>"Black Gold Traders FZE"</f>
        <v>Black Gold Traders FZE</v>
      </c>
      <c r="H6146" s="14" t="str">
        <f t="shared" si="230"/>
        <v>true</v>
      </c>
      <c r="I6146" s="14" t="s">
        <v>2458</v>
      </c>
      <c r="J6146" s="33" t="s">
        <v>7110</v>
      </c>
      <c r="K6146" s="33" t="s">
        <v>14255</v>
      </c>
      <c r="L6146" s="53" t="str">
        <f t="shared" si="234"/>
        <v>پاکستان</v>
      </c>
      <c r="M6146" s="68" t="str">
        <f t="shared" si="235"/>
        <v>فله</v>
      </c>
      <c r="N6146" s="53" t="str">
        <f>"تفتان (ميرجاوه)"</f>
        <v>تفتان (ميرجاوه)</v>
      </c>
      <c r="O6146" s="53">
        <v>55200</v>
      </c>
      <c r="P6146" s="198" t="str">
        <f>"1396548707001"</f>
        <v>1396548707001</v>
      </c>
    </row>
    <row r="6147" spans="1:16" ht="18.75" hidden="1">
      <c r="A6147" s="50" t="str">
        <f>"15100-614962"</f>
        <v>15100-614962</v>
      </c>
      <c r="B6147" s="50" t="str">
        <f>"97/04/16"</f>
        <v>97/04/16</v>
      </c>
      <c r="C6147" s="50" t="s">
        <v>14169</v>
      </c>
      <c r="D6147" s="12" t="s">
        <v>13808</v>
      </c>
      <c r="E6147" s="12" t="s">
        <v>13333</v>
      </c>
      <c r="F6147" s="49">
        <v>58760</v>
      </c>
      <c r="G6147" s="77" t="str">
        <f>"Black Gold Traders FZE"</f>
        <v>Black Gold Traders FZE</v>
      </c>
      <c r="H6147" s="14" t="str">
        <f t="shared" si="230"/>
        <v>true</v>
      </c>
      <c r="I6147" s="14" t="s">
        <v>2458</v>
      </c>
      <c r="J6147" s="33" t="s">
        <v>7110</v>
      </c>
      <c r="K6147" s="33" t="s">
        <v>14255</v>
      </c>
      <c r="L6147" s="53" t="str">
        <f t="shared" si="234"/>
        <v>پاکستان</v>
      </c>
      <c r="M6147" s="68" t="str">
        <f t="shared" si="235"/>
        <v>فله</v>
      </c>
      <c r="N6147" s="53" t="str">
        <f>"تفتان (ميرجاوه)"</f>
        <v>تفتان (ميرجاوه)</v>
      </c>
      <c r="O6147" s="53">
        <v>55200</v>
      </c>
      <c r="P6147" s="198" t="str">
        <f>"1396548707001"</f>
        <v>1396548707001</v>
      </c>
    </row>
    <row r="6148" spans="1:16" ht="18.75" hidden="1">
      <c r="A6148" s="50" t="str">
        <f>"15100-617714"</f>
        <v>15100-617714</v>
      </c>
      <c r="B6148" s="50" t="str">
        <f>"97/04/20"</f>
        <v>97/04/20</v>
      </c>
      <c r="C6148" s="50" t="s">
        <v>13964</v>
      </c>
      <c r="D6148" s="12" t="s">
        <v>13822</v>
      </c>
      <c r="E6148" s="12" t="s">
        <v>13333</v>
      </c>
      <c r="F6148" s="49">
        <v>70150</v>
      </c>
      <c r="G6148" s="77" t="str">
        <f>"PETRO FOLIO"</f>
        <v>PETRO FOLIO</v>
      </c>
      <c r="H6148" s="14" t="str">
        <f t="shared" si="230"/>
        <v>true</v>
      </c>
      <c r="I6148" s="14" t="s">
        <v>2458</v>
      </c>
      <c r="J6148" s="33" t="s">
        <v>7110</v>
      </c>
      <c r="K6148" s="33" t="s">
        <v>14255</v>
      </c>
      <c r="L6148" s="53" t="str">
        <f t="shared" si="234"/>
        <v>پاکستان</v>
      </c>
      <c r="M6148" s="68" t="str">
        <f>"بشكه"</f>
        <v>بشكه</v>
      </c>
      <c r="N6148" s="53" t="str">
        <f>"تفتان (ميرجاوه)"</f>
        <v>تفتان (ميرجاوه)</v>
      </c>
      <c r="O6148" s="53">
        <v>55200</v>
      </c>
      <c r="P6148" s="198" t="str">
        <f>"1397558725001"</f>
        <v>1397558725001</v>
      </c>
    </row>
    <row r="6149" spans="1:16" ht="18.75" hidden="1">
      <c r="A6149" s="50" t="str">
        <f>"15100-624080"</f>
        <v>15100-624080</v>
      </c>
      <c r="B6149" s="50" t="str">
        <f>"97/04/30"</f>
        <v>97/04/30</v>
      </c>
      <c r="C6149" s="50" t="s">
        <v>14257</v>
      </c>
      <c r="D6149" s="12" t="s">
        <v>13851</v>
      </c>
      <c r="E6149" s="12" t="s">
        <v>13333</v>
      </c>
      <c r="F6149" s="49">
        <v>269530</v>
      </c>
      <c r="G6149" s="77" t="str">
        <f>"DAXON PETROLEUM"</f>
        <v>DAXON PETROLEUM</v>
      </c>
      <c r="H6149" s="14" t="str">
        <f t="shared" si="230"/>
        <v>true</v>
      </c>
      <c r="I6149" s="14" t="s">
        <v>2458</v>
      </c>
      <c r="J6149" s="33" t="s">
        <v>7110</v>
      </c>
      <c r="K6149" s="33" t="s">
        <v>14255</v>
      </c>
      <c r="L6149" s="53" t="str">
        <f t="shared" si="234"/>
        <v>پاکستان</v>
      </c>
      <c r="M6149" s="68" t="str">
        <f>"بشكه"</f>
        <v>بشكه</v>
      </c>
      <c r="N6149" s="53" t="str">
        <f>"تفتان (ميرجاوه)"</f>
        <v>تفتان (ميرجاوه)</v>
      </c>
      <c r="O6149" s="53">
        <v>55200</v>
      </c>
      <c r="P6149" s="198" t="str">
        <f>"1397558729001"</f>
        <v>1397558729001</v>
      </c>
    </row>
    <row r="6150" spans="1:16" ht="18.75" hidden="1">
      <c r="A6150" s="50" t="str">
        <f>"15100-616836"</f>
        <v>15100-616836</v>
      </c>
      <c r="B6150" s="50" t="str">
        <f>"97/04/19"</f>
        <v>97/04/19</v>
      </c>
      <c r="C6150" s="50" t="s">
        <v>14105</v>
      </c>
      <c r="D6150" s="12" t="s">
        <v>13552</v>
      </c>
      <c r="E6150" s="12" t="s">
        <v>13333</v>
      </c>
      <c r="F6150" s="49">
        <v>71000</v>
      </c>
      <c r="G6150" s="77" t="str">
        <f>"HERAT GHORBAND CONSTRUCTION COMPANY"</f>
        <v>HERAT GHORBAND CONSTRUCTION COMPANY</v>
      </c>
      <c r="H6150" s="14" t="str">
        <f t="shared" si="230"/>
        <v>true</v>
      </c>
      <c r="I6150" s="14" t="s">
        <v>2458</v>
      </c>
      <c r="J6150" s="33" t="s">
        <v>7110</v>
      </c>
      <c r="K6150" s="33" t="s">
        <v>14255</v>
      </c>
      <c r="L6150" s="53" t="str">
        <f t="shared" si="234"/>
        <v>پاکستان</v>
      </c>
      <c r="M6150" s="68" t="str">
        <f>"فله"</f>
        <v>فله</v>
      </c>
      <c r="N6150" s="53" t="str">
        <f>"پيشين"</f>
        <v>پيشين</v>
      </c>
      <c r="O6150" s="53">
        <v>55301</v>
      </c>
      <c r="P6150" s="198" t="str">
        <f>"1397558774001"</f>
        <v>1397558774001</v>
      </c>
    </row>
    <row r="6151" spans="1:16" ht="18.75" hidden="1">
      <c r="A6151" s="50" t="str">
        <f>"15100-619141"</f>
        <v>15100-619141</v>
      </c>
      <c r="B6151" s="50" t="str">
        <f>"97/04/23"</f>
        <v>97/04/23</v>
      </c>
      <c r="C6151" s="50" t="s">
        <v>14026</v>
      </c>
      <c r="D6151" s="12" t="s">
        <v>13957</v>
      </c>
      <c r="E6151" s="12" t="s">
        <v>13333</v>
      </c>
      <c r="F6151" s="49">
        <v>189320</v>
      </c>
      <c r="G6151" s="77" t="str">
        <f>"BITUBIZ FZE"</f>
        <v>BITUBIZ FZE</v>
      </c>
      <c r="H6151" s="14" t="str">
        <f t="shared" si="230"/>
        <v>true</v>
      </c>
      <c r="I6151" s="14" t="s">
        <v>2458</v>
      </c>
      <c r="J6151" s="33" t="s">
        <v>7110</v>
      </c>
      <c r="K6151" s="33" t="s">
        <v>14255</v>
      </c>
      <c r="L6151" s="53" t="str">
        <f t="shared" si="234"/>
        <v>پاکستان</v>
      </c>
      <c r="M6151" s="68" t="str">
        <f>"فله"</f>
        <v>فله</v>
      </c>
      <c r="N6151" s="53" t="str">
        <f>"پيشين"</f>
        <v>پيشين</v>
      </c>
      <c r="O6151" s="53">
        <v>55301</v>
      </c>
      <c r="P6151" s="198" t="str">
        <f>"1397562145001"</f>
        <v>1397562145001</v>
      </c>
    </row>
    <row r="6152" spans="1:16" ht="18.75" hidden="1">
      <c r="A6152" s="50" t="str">
        <f>"15100-625144"</f>
        <v>15100-625144</v>
      </c>
      <c r="B6152" s="50" t="str">
        <f>"97/04/31"</f>
        <v>97/04/31</v>
      </c>
      <c r="C6152" s="50" t="s">
        <v>14258</v>
      </c>
      <c r="D6152" s="12" t="s">
        <v>13966</v>
      </c>
      <c r="E6152" s="12" t="s">
        <v>13333</v>
      </c>
      <c r="F6152" s="49">
        <v>50160</v>
      </c>
      <c r="G6152" s="77" t="str">
        <f>"Areej For Marketing"</f>
        <v>Areej For Marketing</v>
      </c>
      <c r="H6152" s="14" t="str">
        <f t="shared" si="230"/>
        <v>true</v>
      </c>
      <c r="I6152" s="14" t="s">
        <v>2458</v>
      </c>
      <c r="J6152" s="33" t="s">
        <v>7110</v>
      </c>
      <c r="K6152" s="33" t="s">
        <v>14255</v>
      </c>
      <c r="L6152" s="53" t="str">
        <f t="shared" si="234"/>
        <v>پاکستان</v>
      </c>
      <c r="M6152" s="68" t="str">
        <f>"فله"</f>
        <v>فله</v>
      </c>
      <c r="N6152" s="53" t="str">
        <f>"تفتان (ميرجاوه)"</f>
        <v>تفتان (ميرجاوه)</v>
      </c>
      <c r="O6152" s="53">
        <v>55200</v>
      </c>
      <c r="P6152" s="198" t="str">
        <f>"1397561054001"</f>
        <v>1397561054001</v>
      </c>
    </row>
    <row r="6153" spans="1:16" ht="18.75" hidden="1">
      <c r="A6153" s="50" t="str">
        <f>"15100-619120"</f>
        <v>15100-619120</v>
      </c>
      <c r="B6153" s="50" t="str">
        <f>"97/04/23"</f>
        <v>97/04/23</v>
      </c>
      <c r="C6153" s="50" t="s">
        <v>14105</v>
      </c>
      <c r="D6153" s="12" t="s">
        <v>13552</v>
      </c>
      <c r="E6153" s="12" t="s">
        <v>13333</v>
      </c>
      <c r="F6153" s="49">
        <v>48220</v>
      </c>
      <c r="G6153" s="77" t="str">
        <f>"HERAT GHORBAND CONSTRUCTION COMPANY"</f>
        <v>HERAT GHORBAND CONSTRUCTION COMPANY</v>
      </c>
      <c r="H6153" s="14" t="str">
        <f t="shared" si="230"/>
        <v>true</v>
      </c>
      <c r="I6153" s="14" t="s">
        <v>2458</v>
      </c>
      <c r="J6153" s="33" t="s">
        <v>7110</v>
      </c>
      <c r="K6153" s="33" t="s">
        <v>14255</v>
      </c>
      <c r="L6153" s="53" t="str">
        <f t="shared" si="234"/>
        <v>پاکستان</v>
      </c>
      <c r="M6153" s="68" t="str">
        <f>"فله"</f>
        <v>فله</v>
      </c>
      <c r="N6153" s="53" t="str">
        <f>"پيشين"</f>
        <v>پيشين</v>
      </c>
      <c r="O6153" s="53">
        <v>55301</v>
      </c>
      <c r="P6153" s="198" t="str">
        <f>"1397558774001"</f>
        <v>1397558774001</v>
      </c>
    </row>
    <row r="6154" spans="1:16" ht="18.75" hidden="1">
      <c r="A6154" s="50" t="str">
        <f>"15100-624813"</f>
        <v>15100-624813</v>
      </c>
      <c r="B6154" s="50" t="str">
        <f>"97/04/31"</f>
        <v>97/04/31</v>
      </c>
      <c r="C6154" s="50" t="s">
        <v>14259</v>
      </c>
      <c r="D6154" s="12" t="s">
        <v>13002</v>
      </c>
      <c r="E6154" s="12" t="s">
        <v>4971</v>
      </c>
      <c r="F6154" s="49">
        <v>37130</v>
      </c>
      <c r="G6154" s="77" t="str">
        <f>"LLC Sebco Bitumen"</f>
        <v>LLC Sebco Bitumen</v>
      </c>
      <c r="H6154" s="14" t="str">
        <f t="shared" si="230"/>
        <v>true</v>
      </c>
      <c r="I6154" s="14" t="s">
        <v>2458</v>
      </c>
      <c r="J6154" s="33" t="s">
        <v>7110</v>
      </c>
      <c r="K6154" s="33" t="s">
        <v>14255</v>
      </c>
      <c r="L6154" s="53" t="str">
        <f t="shared" si="234"/>
        <v>پاکستان</v>
      </c>
      <c r="M6154" s="68" t="str">
        <f>"فله"</f>
        <v>فله</v>
      </c>
      <c r="N6154" s="53" t="str">
        <f>"پيشين"</f>
        <v>پيشين</v>
      </c>
      <c r="O6154" s="53">
        <v>55301</v>
      </c>
      <c r="P6154" s="198" t="str">
        <f>"1396540546001"</f>
        <v>1396540546001</v>
      </c>
    </row>
    <row r="6155" spans="1:16" ht="18.75" hidden="1">
      <c r="A6155" s="50" t="str">
        <f>"15100-622449"</f>
        <v>15100-622449</v>
      </c>
      <c r="B6155" s="50" t="str">
        <f>"97/04/27"</f>
        <v>97/04/27</v>
      </c>
      <c r="C6155" s="50" t="s">
        <v>14257</v>
      </c>
      <c r="D6155" s="12" t="s">
        <v>13851</v>
      </c>
      <c r="E6155" s="12" t="s">
        <v>13333</v>
      </c>
      <c r="F6155" s="49">
        <v>49470</v>
      </c>
      <c r="G6155" s="77" t="str">
        <f>"DAXON PETROLEUM"</f>
        <v>DAXON PETROLEUM</v>
      </c>
      <c r="H6155" s="14" t="str">
        <f t="shared" si="230"/>
        <v>true</v>
      </c>
      <c r="I6155" s="14" t="s">
        <v>2458</v>
      </c>
      <c r="J6155" s="33" t="s">
        <v>7110</v>
      </c>
      <c r="K6155" s="33" t="s">
        <v>14255</v>
      </c>
      <c r="L6155" s="53" t="str">
        <f t="shared" si="234"/>
        <v>پاکستان</v>
      </c>
      <c r="M6155" s="68" t="str">
        <f>"بشكه"</f>
        <v>بشكه</v>
      </c>
      <c r="N6155" s="53" t="str">
        <f>"تفتان (ميرجاوه)"</f>
        <v>تفتان (ميرجاوه)</v>
      </c>
      <c r="O6155" s="53">
        <v>55200</v>
      </c>
      <c r="P6155" s="198" t="str">
        <f>"1397558729001"</f>
        <v>1397558729001</v>
      </c>
    </row>
    <row r="6156" spans="1:16" ht="18.75" hidden="1">
      <c r="A6156" s="50" t="str">
        <f>"15100-615650"</f>
        <v>15100-615650</v>
      </c>
      <c r="B6156" s="50" t="str">
        <f>"97/04/17"</f>
        <v>97/04/17</v>
      </c>
      <c r="C6156" s="50" t="s">
        <v>14026</v>
      </c>
      <c r="D6156" s="12" t="s">
        <v>13957</v>
      </c>
      <c r="E6156" s="12" t="s">
        <v>13333</v>
      </c>
      <c r="F6156" s="49">
        <v>168380</v>
      </c>
      <c r="G6156" s="77" t="str">
        <f>"BITUBIZ FZE"</f>
        <v>BITUBIZ FZE</v>
      </c>
      <c r="H6156" s="14" t="str">
        <f t="shared" si="230"/>
        <v>true</v>
      </c>
      <c r="I6156" s="14" t="s">
        <v>2458</v>
      </c>
      <c r="J6156" s="33" t="s">
        <v>7110</v>
      </c>
      <c r="K6156" s="33" t="s">
        <v>14255</v>
      </c>
      <c r="L6156" s="53" t="str">
        <f t="shared" si="234"/>
        <v>پاکستان</v>
      </c>
      <c r="M6156" s="68" t="str">
        <f>"فله"</f>
        <v>فله</v>
      </c>
      <c r="N6156" s="53" t="str">
        <f>"پيشين"</f>
        <v>پيشين</v>
      </c>
      <c r="O6156" s="53">
        <v>55301</v>
      </c>
      <c r="P6156" s="198" t="str">
        <f>"1397562145001"</f>
        <v>1397562145001</v>
      </c>
    </row>
    <row r="6157" spans="1:16" ht="18.75" hidden="1">
      <c r="A6157" s="50" t="str">
        <f>"15100-622570"</f>
        <v>15100-622570</v>
      </c>
      <c r="B6157" s="50" t="str">
        <f>"97/04/27"</f>
        <v>97/04/27</v>
      </c>
      <c r="C6157" s="50" t="s">
        <v>14026</v>
      </c>
      <c r="D6157" s="12" t="s">
        <v>13957</v>
      </c>
      <c r="E6157" s="12" t="s">
        <v>13333</v>
      </c>
      <c r="F6157" s="49">
        <v>195470</v>
      </c>
      <c r="G6157" s="77" t="str">
        <f>"BITUBIZ FZE"</f>
        <v>BITUBIZ FZE</v>
      </c>
      <c r="H6157" s="14" t="str">
        <f t="shared" si="230"/>
        <v>true</v>
      </c>
      <c r="I6157" s="14" t="s">
        <v>2458</v>
      </c>
      <c r="J6157" s="33" t="s">
        <v>7110</v>
      </c>
      <c r="K6157" s="33" t="s">
        <v>14255</v>
      </c>
      <c r="L6157" s="53" t="str">
        <f t="shared" si="234"/>
        <v>پاکستان</v>
      </c>
      <c r="M6157" s="68" t="str">
        <f>"فله"</f>
        <v>فله</v>
      </c>
      <c r="N6157" s="53" t="str">
        <f>"پيشين"</f>
        <v>پيشين</v>
      </c>
      <c r="O6157" s="53">
        <v>55301</v>
      </c>
      <c r="P6157" s="198" t="str">
        <f>"1397562145001"</f>
        <v>1397562145001</v>
      </c>
    </row>
    <row r="6158" spans="1:16" ht="18.75" hidden="1">
      <c r="A6158" s="50" t="str">
        <f>"15100-615007"</f>
        <v>15100-615007</v>
      </c>
      <c r="B6158" s="50" t="str">
        <f>"97/04/16"</f>
        <v>97/04/16</v>
      </c>
      <c r="C6158" s="50" t="s">
        <v>14103</v>
      </c>
      <c r="D6158" s="12" t="s">
        <v>13827</v>
      </c>
      <c r="E6158" s="12" t="s">
        <v>13333</v>
      </c>
      <c r="F6158" s="49">
        <v>118540</v>
      </c>
      <c r="G6158" s="77" t="str">
        <f>"Areej For Marketing"</f>
        <v>Areej For Marketing</v>
      </c>
      <c r="H6158" s="14" t="str">
        <f t="shared" si="230"/>
        <v>true</v>
      </c>
      <c r="I6158" s="14" t="s">
        <v>2458</v>
      </c>
      <c r="J6158" s="33" t="s">
        <v>7110</v>
      </c>
      <c r="K6158" s="33" t="s">
        <v>14255</v>
      </c>
      <c r="L6158" s="53" t="str">
        <f t="shared" si="234"/>
        <v>پاکستان</v>
      </c>
      <c r="M6158" s="68" t="str">
        <f>"فله"</f>
        <v>فله</v>
      </c>
      <c r="N6158" s="53" t="str">
        <f>"پيشين"</f>
        <v>پيشين</v>
      </c>
      <c r="O6158" s="53">
        <v>55301</v>
      </c>
      <c r="P6158" s="198" t="str">
        <f>"1397561054001"</f>
        <v>1397561054001</v>
      </c>
    </row>
    <row r="6159" spans="1:16" ht="18.75" hidden="1">
      <c r="A6159" s="50" t="str">
        <f>"15100-624813"</f>
        <v>15100-624813</v>
      </c>
      <c r="B6159" s="50" t="str">
        <f>"97/04/31"</f>
        <v>97/04/31</v>
      </c>
      <c r="C6159" s="50" t="s">
        <v>14260</v>
      </c>
      <c r="D6159" s="12" t="s">
        <v>14010</v>
      </c>
      <c r="E6159" s="12" t="s">
        <v>13333</v>
      </c>
      <c r="F6159" s="49">
        <v>105220</v>
      </c>
      <c r="G6159" s="77" t="str">
        <f>"LLC Sebco Bitumen"</f>
        <v>LLC Sebco Bitumen</v>
      </c>
      <c r="H6159" s="14" t="str">
        <f t="shared" si="230"/>
        <v>true</v>
      </c>
      <c r="I6159" s="14" t="s">
        <v>2458</v>
      </c>
      <c r="J6159" s="33" t="s">
        <v>7110</v>
      </c>
      <c r="K6159" s="33" t="s">
        <v>14255</v>
      </c>
      <c r="L6159" s="53" t="str">
        <f t="shared" si="234"/>
        <v>پاکستان</v>
      </c>
      <c r="M6159" s="68" t="str">
        <f>"فله"</f>
        <v>فله</v>
      </c>
      <c r="N6159" s="53" t="str">
        <f>"پيشين"</f>
        <v>پيشين</v>
      </c>
      <c r="O6159" s="53">
        <v>55301</v>
      </c>
      <c r="P6159" s="198" t="str">
        <f>"1397558720001"</f>
        <v>1397558720001</v>
      </c>
    </row>
    <row r="6160" spans="1:16" ht="18.75" hidden="1">
      <c r="A6160" s="50" t="str">
        <f>"15100-624257"</f>
        <v>15100-624257</v>
      </c>
      <c r="B6160" s="50" t="str">
        <f>"97/04/30"</f>
        <v>97/04/30</v>
      </c>
      <c r="C6160" s="50" t="s">
        <v>14261</v>
      </c>
      <c r="D6160" s="12" t="s">
        <v>13505</v>
      </c>
      <c r="E6160" s="12" t="s">
        <v>13333</v>
      </c>
      <c r="F6160" s="49">
        <v>47280</v>
      </c>
      <c r="G6160" s="77" t="str">
        <f>"LLC Sebco Bitumen"</f>
        <v>LLC Sebco Bitumen</v>
      </c>
      <c r="H6160" s="14" t="str">
        <f t="shared" si="230"/>
        <v>true</v>
      </c>
      <c r="I6160" s="14" t="s">
        <v>2458</v>
      </c>
      <c r="J6160" s="33" t="s">
        <v>7110</v>
      </c>
      <c r="K6160" s="33" t="s">
        <v>14255</v>
      </c>
      <c r="L6160" s="53" t="str">
        <f t="shared" si="234"/>
        <v>پاکستان</v>
      </c>
      <c r="M6160" s="68" t="str">
        <f>"بشكه"</f>
        <v>بشكه</v>
      </c>
      <c r="N6160" s="53" t="str">
        <f>"بازارچه ريمدان"</f>
        <v>بازارچه ريمدان</v>
      </c>
      <c r="O6160" s="53">
        <v>55112</v>
      </c>
      <c r="P6160" s="198" t="str">
        <f>"1396546618001"</f>
        <v>1396546618001</v>
      </c>
    </row>
    <row r="6161" spans="1:16" ht="18.75" hidden="1">
      <c r="A6161" s="50" t="str">
        <f>"15100-616761"</f>
        <v>15100-616761</v>
      </c>
      <c r="B6161" s="50" t="str">
        <f>"97/04/19"</f>
        <v>97/04/19</v>
      </c>
      <c r="C6161" s="50" t="s">
        <v>14197</v>
      </c>
      <c r="D6161" s="12" t="s">
        <v>13969</v>
      </c>
      <c r="E6161" s="12" t="s">
        <v>13333</v>
      </c>
      <c r="F6161" s="49">
        <v>159280</v>
      </c>
      <c r="G6161" s="77" t="str">
        <f>"JANSONS TRADING FZE"</f>
        <v>JANSONS TRADING FZE</v>
      </c>
      <c r="H6161" s="14" t="str">
        <f t="shared" si="230"/>
        <v>true</v>
      </c>
      <c r="I6161" s="14" t="s">
        <v>2458</v>
      </c>
      <c r="J6161" s="33" t="s">
        <v>7110</v>
      </c>
      <c r="K6161" s="33" t="s">
        <v>14255</v>
      </c>
      <c r="L6161" s="53" t="str">
        <f t="shared" si="234"/>
        <v>پاکستان</v>
      </c>
      <c r="M6161" s="68" t="str">
        <f t="shared" ref="M6161:M6166" si="236">"فله"</f>
        <v>فله</v>
      </c>
      <c r="N6161" s="53" t="str">
        <f>"پيشين"</f>
        <v>پيشين</v>
      </c>
      <c r="O6161" s="53">
        <v>55301</v>
      </c>
      <c r="P6161" s="198" t="str">
        <f>"1397558728001"</f>
        <v>1397558728001</v>
      </c>
    </row>
    <row r="6162" spans="1:16" ht="18.75" hidden="1">
      <c r="A6162" s="50" t="str">
        <f>"15100-624134"</f>
        <v>15100-624134</v>
      </c>
      <c r="B6162" s="50" t="str">
        <f>"97/04/30"</f>
        <v>97/04/30</v>
      </c>
      <c r="C6162" s="50" t="s">
        <v>14262</v>
      </c>
      <c r="D6162" s="12" t="s">
        <v>13808</v>
      </c>
      <c r="E6162" s="12" t="s">
        <v>13333</v>
      </c>
      <c r="F6162" s="49">
        <v>168410</v>
      </c>
      <c r="G6162" s="77" t="str">
        <f>"LEADING IN HIGHER OBJECTIVES LLC"</f>
        <v>LEADING IN HIGHER OBJECTIVES LLC</v>
      </c>
      <c r="H6162" s="14" t="str">
        <f t="shared" ref="H6162:H6225" si="237">IF(I6162="نامشخص",IF(E6162&gt;C6162,"false","true"),IF(E6162&gt;I6162,"false","true"))</f>
        <v>true</v>
      </c>
      <c r="I6162" s="14" t="s">
        <v>2458</v>
      </c>
      <c r="J6162" s="33" t="e">
        <f>VLOOKUP(C6162,شرکتها!A:B,2,FALSE)</f>
        <v>#N/A</v>
      </c>
      <c r="K6162" s="33" t="s">
        <v>14255</v>
      </c>
      <c r="L6162" s="53" t="str">
        <f t="shared" si="234"/>
        <v>پاکستان</v>
      </c>
      <c r="M6162" s="68" t="str">
        <f t="shared" si="236"/>
        <v>فله</v>
      </c>
      <c r="N6162" s="53" t="str">
        <f>"پيشين"</f>
        <v>پيشين</v>
      </c>
      <c r="O6162" s="53">
        <v>55301</v>
      </c>
      <c r="P6162" s="198" t="str">
        <f>"1397561079001"</f>
        <v>1397561079001</v>
      </c>
    </row>
    <row r="6163" spans="1:16" ht="18.75" hidden="1">
      <c r="A6163" s="50" t="str">
        <f>"15100-616791"</f>
        <v>15100-616791</v>
      </c>
      <c r="B6163" s="50" t="str">
        <f>"97/04/19"</f>
        <v>97/04/19</v>
      </c>
      <c r="C6163" s="50" t="s">
        <v>14110</v>
      </c>
      <c r="D6163" s="12" t="s">
        <v>14111</v>
      </c>
      <c r="E6163" s="12" t="s">
        <v>13333</v>
      </c>
      <c r="F6163" s="49">
        <v>73480</v>
      </c>
      <c r="G6163" s="77" t="str">
        <f>"PETRO FOLIO"</f>
        <v>PETRO FOLIO</v>
      </c>
      <c r="H6163" s="14" t="str">
        <f t="shared" si="237"/>
        <v>true</v>
      </c>
      <c r="I6163" s="14" t="s">
        <v>2458</v>
      </c>
      <c r="J6163" s="33" t="s">
        <v>7110</v>
      </c>
      <c r="K6163" s="33" t="s">
        <v>14255</v>
      </c>
      <c r="L6163" s="53" t="str">
        <f t="shared" si="234"/>
        <v>پاکستان</v>
      </c>
      <c r="M6163" s="68" t="str">
        <f t="shared" si="236"/>
        <v>فله</v>
      </c>
      <c r="N6163" s="53" t="str">
        <f>"بازارچه ريمدان"</f>
        <v>بازارچه ريمدان</v>
      </c>
      <c r="O6163" s="53">
        <v>55112</v>
      </c>
      <c r="P6163" s="198" t="str">
        <f>"1397558725001"</f>
        <v>1397558725001</v>
      </c>
    </row>
    <row r="6164" spans="1:16" ht="18.75" hidden="1">
      <c r="A6164" s="50" t="str">
        <f>"15100-614962"</f>
        <v>15100-614962</v>
      </c>
      <c r="B6164" s="50" t="str">
        <f>"97/04/16"</f>
        <v>97/04/16</v>
      </c>
      <c r="C6164" s="50" t="s">
        <v>13975</v>
      </c>
      <c r="D6164" s="12" t="s">
        <v>13827</v>
      </c>
      <c r="E6164" s="12" t="s">
        <v>13333</v>
      </c>
      <c r="F6164" s="49">
        <v>61740</v>
      </c>
      <c r="G6164" s="77" t="str">
        <f>"Areej For Marketing"</f>
        <v>Areej For Marketing</v>
      </c>
      <c r="H6164" s="14" t="str">
        <f t="shared" si="237"/>
        <v>true</v>
      </c>
      <c r="I6164" s="14" t="s">
        <v>2458</v>
      </c>
      <c r="J6164" s="33" t="s">
        <v>7110</v>
      </c>
      <c r="K6164" s="33" t="s">
        <v>14255</v>
      </c>
      <c r="L6164" s="53" t="str">
        <f t="shared" si="234"/>
        <v>پاکستان</v>
      </c>
      <c r="M6164" s="68" t="str">
        <f t="shared" si="236"/>
        <v>فله</v>
      </c>
      <c r="N6164" s="53" t="str">
        <f>"تفتان (ميرجاوه)"</f>
        <v>تفتان (ميرجاوه)</v>
      </c>
      <c r="O6164" s="53">
        <v>55200</v>
      </c>
      <c r="P6164" s="198" t="str">
        <f>"1397561054001"</f>
        <v>1397561054001</v>
      </c>
    </row>
    <row r="6165" spans="1:16" ht="18.75" hidden="1">
      <c r="A6165" s="50" t="str">
        <f>"15100-615027"</f>
        <v>15100-615027</v>
      </c>
      <c r="B6165" s="50" t="str">
        <f>"97/04/16"</f>
        <v>97/04/16</v>
      </c>
      <c r="C6165" s="50" t="s">
        <v>14070</v>
      </c>
      <c r="D6165" s="12" t="s">
        <v>13818</v>
      </c>
      <c r="E6165" s="12" t="s">
        <v>13333</v>
      </c>
      <c r="F6165" s="49">
        <v>44320</v>
      </c>
      <c r="G6165" s="77" t="str">
        <f>"West Asia Sun LLC"</f>
        <v>West Asia Sun LLC</v>
      </c>
      <c r="H6165" s="14" t="str">
        <f t="shared" si="237"/>
        <v>true</v>
      </c>
      <c r="I6165" s="14" t="s">
        <v>2458</v>
      </c>
      <c r="J6165" s="33" t="s">
        <v>7110</v>
      </c>
      <c r="K6165" s="33" t="s">
        <v>14255</v>
      </c>
      <c r="L6165" s="53" t="str">
        <f t="shared" si="234"/>
        <v>پاکستان</v>
      </c>
      <c r="M6165" s="68" t="str">
        <f t="shared" si="236"/>
        <v>فله</v>
      </c>
      <c r="N6165" s="53" t="str">
        <f>"بازارچه کوهک سراوان"</f>
        <v>بازارچه کوهک سراوان</v>
      </c>
      <c r="O6165" s="53">
        <v>55107</v>
      </c>
      <c r="P6165" s="198" t="str">
        <f>"1397561081001"</f>
        <v>1397561081001</v>
      </c>
    </row>
    <row r="6166" spans="1:16" ht="18.75" hidden="1">
      <c r="A6166" s="50" t="str">
        <f>"15100-624227"</f>
        <v>15100-624227</v>
      </c>
      <c r="B6166" s="50" t="str">
        <f>"97/04/30"</f>
        <v>97/04/30</v>
      </c>
      <c r="C6166" s="50" t="s">
        <v>14256</v>
      </c>
      <c r="D6166" s="12" t="s">
        <v>14129</v>
      </c>
      <c r="E6166" s="12" t="s">
        <v>13333</v>
      </c>
      <c r="F6166" s="49">
        <v>72200</v>
      </c>
      <c r="G6166" s="77" t="str">
        <f>"Black Gold Traders FZE"</f>
        <v>Black Gold Traders FZE</v>
      </c>
      <c r="H6166" s="14" t="str">
        <f t="shared" si="237"/>
        <v>true</v>
      </c>
      <c r="I6166" s="14" t="s">
        <v>2458</v>
      </c>
      <c r="J6166" s="33" t="s">
        <v>7110</v>
      </c>
      <c r="K6166" s="33" t="s">
        <v>14255</v>
      </c>
      <c r="L6166" s="53" t="str">
        <f t="shared" si="234"/>
        <v>پاکستان</v>
      </c>
      <c r="M6166" s="68" t="str">
        <f t="shared" si="236"/>
        <v>فله</v>
      </c>
      <c r="N6166" s="53" t="str">
        <f>"تفتان (ميرجاوه)"</f>
        <v>تفتان (ميرجاوه)</v>
      </c>
      <c r="O6166" s="53">
        <v>55200</v>
      </c>
      <c r="P6166" s="198" t="str">
        <f>"1396548707001"</f>
        <v>1396548707001</v>
      </c>
    </row>
    <row r="6167" spans="1:16" ht="18.75" hidden="1">
      <c r="A6167" s="50" t="str">
        <f>"15100-614956"</f>
        <v>15100-614956</v>
      </c>
      <c r="B6167" s="50" t="str">
        <f>"97/04/16"</f>
        <v>97/04/16</v>
      </c>
      <c r="C6167" s="50" t="s">
        <v>14105</v>
      </c>
      <c r="D6167" s="12" t="s">
        <v>13552</v>
      </c>
      <c r="E6167" s="12" t="s">
        <v>13333</v>
      </c>
      <c r="F6167" s="49">
        <v>71600</v>
      </c>
      <c r="G6167" s="77" t="str">
        <f>"HERAT GHORBAND CONSTRUCTION COMPANY"</f>
        <v>HERAT GHORBAND CONSTRUCTION COMPANY</v>
      </c>
      <c r="H6167" s="14" t="str">
        <f t="shared" si="237"/>
        <v>true</v>
      </c>
      <c r="I6167" s="14" t="s">
        <v>2458</v>
      </c>
      <c r="J6167" s="33" t="s">
        <v>7110</v>
      </c>
      <c r="K6167" s="33" t="s">
        <v>14255</v>
      </c>
      <c r="L6167" s="53" t="str">
        <f t="shared" si="234"/>
        <v>پاکستان</v>
      </c>
      <c r="M6167" s="68" t="str">
        <f>"بشكه"</f>
        <v>بشكه</v>
      </c>
      <c r="N6167" s="53" t="str">
        <f>"تفتان (ميرجاوه)"</f>
        <v>تفتان (ميرجاوه)</v>
      </c>
      <c r="O6167" s="53">
        <v>55200</v>
      </c>
      <c r="P6167" s="198" t="str">
        <f>"1397558774001"</f>
        <v>1397558774001</v>
      </c>
    </row>
    <row r="6168" spans="1:16" ht="18.75" hidden="1">
      <c r="A6168" s="50" t="str">
        <f>"15100-620766"</f>
        <v>15100-620766</v>
      </c>
      <c r="B6168" s="50" t="str">
        <f>"97/04/25"</f>
        <v>97/04/25</v>
      </c>
      <c r="C6168" s="50" t="s">
        <v>14184</v>
      </c>
      <c r="D6168" s="12" t="s">
        <v>13827</v>
      </c>
      <c r="E6168" s="12" t="s">
        <v>13333</v>
      </c>
      <c r="F6168" s="49">
        <v>67500</v>
      </c>
      <c r="G6168" s="77" t="str">
        <f>"PETRO FOLIO"</f>
        <v>PETRO FOLIO</v>
      </c>
      <c r="H6168" s="14" t="str">
        <f t="shared" si="237"/>
        <v>true</v>
      </c>
      <c r="I6168" s="14" t="s">
        <v>2458</v>
      </c>
      <c r="J6168" s="33" t="s">
        <v>7110</v>
      </c>
      <c r="K6168" s="33" t="s">
        <v>14255</v>
      </c>
      <c r="L6168" s="53" t="str">
        <f t="shared" si="234"/>
        <v>پاکستان</v>
      </c>
      <c r="M6168" s="68" t="str">
        <f>"فله"</f>
        <v>فله</v>
      </c>
      <c r="N6168" s="53" t="str">
        <f>"بازارچه ريمدان"</f>
        <v>بازارچه ريمدان</v>
      </c>
      <c r="O6168" s="53">
        <v>55112</v>
      </c>
      <c r="P6168" s="198" t="str">
        <f>"1397558725001"</f>
        <v>1397558725001</v>
      </c>
    </row>
    <row r="6169" spans="1:16" ht="18.75" hidden="1">
      <c r="A6169" s="50" t="str">
        <f>"15100-616722"</f>
        <v>15100-616722</v>
      </c>
      <c r="B6169" s="50" t="str">
        <f>"97/04/19"</f>
        <v>97/04/19</v>
      </c>
      <c r="C6169" s="50" t="s">
        <v>14184</v>
      </c>
      <c r="D6169" s="12" t="s">
        <v>13827</v>
      </c>
      <c r="E6169" s="12" t="s">
        <v>13333</v>
      </c>
      <c r="F6169" s="49">
        <v>194040</v>
      </c>
      <c r="G6169" s="77" t="str">
        <f>"PETRO FOLIO"</f>
        <v>PETRO FOLIO</v>
      </c>
      <c r="H6169" s="14" t="str">
        <f t="shared" si="237"/>
        <v>true</v>
      </c>
      <c r="I6169" s="14" t="s">
        <v>2458</v>
      </c>
      <c r="J6169" s="33" t="s">
        <v>7110</v>
      </c>
      <c r="K6169" s="33" t="s">
        <v>14255</v>
      </c>
      <c r="L6169" s="53" t="str">
        <f t="shared" si="234"/>
        <v>پاکستان</v>
      </c>
      <c r="M6169" s="68" t="str">
        <f>"فله"</f>
        <v>فله</v>
      </c>
      <c r="N6169" s="53" t="str">
        <f>"پيشين"</f>
        <v>پيشين</v>
      </c>
      <c r="O6169" s="53">
        <v>55301</v>
      </c>
      <c r="P6169" s="198" t="str">
        <f>"1397558725001"</f>
        <v>1397558725001</v>
      </c>
    </row>
    <row r="6170" spans="1:16" ht="18.75" hidden="1">
      <c r="A6170" s="50" t="str">
        <f>"15100-618458"</f>
        <v>15100-618458</v>
      </c>
      <c r="B6170" s="50" t="str">
        <f>"97/04/21"</f>
        <v>97/04/21</v>
      </c>
      <c r="C6170" s="50" t="s">
        <v>14184</v>
      </c>
      <c r="D6170" s="12" t="s">
        <v>13827</v>
      </c>
      <c r="E6170" s="12" t="s">
        <v>13333</v>
      </c>
      <c r="F6170" s="49">
        <v>42380</v>
      </c>
      <c r="G6170" s="77" t="str">
        <f>"PETRO FOLIO"</f>
        <v>PETRO FOLIO</v>
      </c>
      <c r="H6170" s="14" t="str">
        <f t="shared" si="237"/>
        <v>true</v>
      </c>
      <c r="I6170" s="14" t="s">
        <v>2458</v>
      </c>
      <c r="J6170" s="33" t="s">
        <v>7110</v>
      </c>
      <c r="K6170" s="33" t="s">
        <v>14255</v>
      </c>
      <c r="L6170" s="53" t="str">
        <f t="shared" si="234"/>
        <v>پاکستان</v>
      </c>
      <c r="M6170" s="68" t="s">
        <v>8914</v>
      </c>
      <c r="N6170" s="53" t="str">
        <f>"بازارچه ريمدان"</f>
        <v>بازارچه ريمدان</v>
      </c>
      <c r="O6170" s="53">
        <v>55112</v>
      </c>
      <c r="P6170" s="198" t="str">
        <f>"1397558725001"</f>
        <v>1397558725001</v>
      </c>
    </row>
    <row r="6171" spans="1:16" ht="18.75" hidden="1">
      <c r="A6171" s="50" t="str">
        <f>"15100-614947"</f>
        <v>15100-614947</v>
      </c>
      <c r="B6171" s="50" t="str">
        <f>"97/04/16"</f>
        <v>97/04/16</v>
      </c>
      <c r="C6171" s="50" t="s">
        <v>14256</v>
      </c>
      <c r="D6171" s="12" t="s">
        <v>14129</v>
      </c>
      <c r="E6171" s="12" t="s">
        <v>13333</v>
      </c>
      <c r="F6171" s="49">
        <v>68960</v>
      </c>
      <c r="G6171" s="77" t="str">
        <f>"Black Gold Traders FZE"</f>
        <v>Black Gold Traders FZE</v>
      </c>
      <c r="H6171" s="14" t="str">
        <f t="shared" si="237"/>
        <v>true</v>
      </c>
      <c r="I6171" s="14" t="s">
        <v>2458</v>
      </c>
      <c r="J6171" s="33" t="s">
        <v>7110</v>
      </c>
      <c r="K6171" s="33" t="s">
        <v>14255</v>
      </c>
      <c r="L6171" s="53" t="str">
        <f t="shared" si="234"/>
        <v>پاکستان</v>
      </c>
      <c r="M6171" s="68" t="str">
        <f>"فله"</f>
        <v>فله</v>
      </c>
      <c r="N6171" s="53" t="str">
        <f>"پيشين"</f>
        <v>پيشين</v>
      </c>
      <c r="O6171" s="53">
        <v>55301</v>
      </c>
      <c r="P6171" s="198" t="str">
        <f>"1396548707001"</f>
        <v>1396548707001</v>
      </c>
    </row>
    <row r="6172" spans="1:16" ht="18.75" hidden="1">
      <c r="A6172" s="50" t="str">
        <f>"15100-620083"</f>
        <v>15100-620083</v>
      </c>
      <c r="B6172" s="50" t="str">
        <f>"97/04/24"</f>
        <v>97/04/24</v>
      </c>
      <c r="C6172" s="50" t="s">
        <v>14263</v>
      </c>
      <c r="D6172" s="12" t="s">
        <v>13473</v>
      </c>
      <c r="E6172" s="12" t="s">
        <v>13333</v>
      </c>
      <c r="F6172" s="49">
        <v>48160</v>
      </c>
      <c r="G6172" s="77" t="str">
        <f>"DAXON PETROLEUM"</f>
        <v>DAXON PETROLEUM</v>
      </c>
      <c r="H6172" s="14" t="str">
        <f t="shared" si="237"/>
        <v>true</v>
      </c>
      <c r="I6172" s="14" t="s">
        <v>2458</v>
      </c>
      <c r="J6172" s="33" t="s">
        <v>7110</v>
      </c>
      <c r="K6172" s="33" t="s">
        <v>14255</v>
      </c>
      <c r="L6172" s="53" t="str">
        <f t="shared" si="234"/>
        <v>پاکستان</v>
      </c>
      <c r="M6172" s="68" t="str">
        <f>"فله"</f>
        <v>فله</v>
      </c>
      <c r="N6172" s="53" t="str">
        <f>"تفتان (ميرجاوه)"</f>
        <v>تفتان (ميرجاوه)</v>
      </c>
      <c r="O6172" s="53">
        <v>55200</v>
      </c>
      <c r="P6172" s="198" t="str">
        <f>"1397558729001"</f>
        <v>1397558729001</v>
      </c>
    </row>
    <row r="6173" spans="1:16" ht="18.75" hidden="1">
      <c r="A6173" s="50" t="str">
        <f>"15100-620727"</f>
        <v>15100-620727</v>
      </c>
      <c r="B6173" s="50" t="str">
        <f>"97/04/25"</f>
        <v>97/04/25</v>
      </c>
      <c r="C6173" s="50" t="s">
        <v>14026</v>
      </c>
      <c r="D6173" s="12" t="s">
        <v>13957</v>
      </c>
      <c r="E6173" s="12" t="s">
        <v>13333</v>
      </c>
      <c r="F6173" s="49">
        <v>73570</v>
      </c>
      <c r="G6173" s="77" t="str">
        <f>"BITUBIZ FZE"</f>
        <v>BITUBIZ FZE</v>
      </c>
      <c r="H6173" s="14" t="str">
        <f t="shared" si="237"/>
        <v>true</v>
      </c>
      <c r="I6173" s="14" t="s">
        <v>2458</v>
      </c>
      <c r="J6173" s="33" t="s">
        <v>7110</v>
      </c>
      <c r="K6173" s="33" t="s">
        <v>14255</v>
      </c>
      <c r="L6173" s="53" t="str">
        <f t="shared" si="234"/>
        <v>پاکستان</v>
      </c>
      <c r="M6173" s="68" t="str">
        <f>"بشكه"</f>
        <v>بشكه</v>
      </c>
      <c r="N6173" s="53" t="str">
        <f>"تفتان (ميرجاوه)"</f>
        <v>تفتان (ميرجاوه)</v>
      </c>
      <c r="O6173" s="53">
        <v>55200</v>
      </c>
      <c r="P6173" s="198" t="str">
        <f>"1397562145001"</f>
        <v>1397562145001</v>
      </c>
    </row>
    <row r="6174" spans="1:16" ht="18.75" hidden="1">
      <c r="A6174" s="50" t="str">
        <f>"15100-618424"</f>
        <v>15100-618424</v>
      </c>
      <c r="B6174" s="50" t="str">
        <f>"97/04/21"</f>
        <v>97/04/21</v>
      </c>
      <c r="C6174" s="50" t="s">
        <v>14070</v>
      </c>
      <c r="D6174" s="12" t="s">
        <v>13818</v>
      </c>
      <c r="E6174" s="12" t="s">
        <v>13333</v>
      </c>
      <c r="F6174" s="49">
        <v>70980</v>
      </c>
      <c r="G6174" s="77" t="str">
        <f>"West Asia Sun LLC"</f>
        <v>West Asia Sun LLC</v>
      </c>
      <c r="H6174" s="14" t="str">
        <f t="shared" si="237"/>
        <v>true</v>
      </c>
      <c r="I6174" s="14" t="s">
        <v>2458</v>
      </c>
      <c r="J6174" s="33" t="s">
        <v>7110</v>
      </c>
      <c r="K6174" s="33" t="s">
        <v>14255</v>
      </c>
      <c r="L6174" s="53" t="str">
        <f t="shared" si="234"/>
        <v>پاکستان</v>
      </c>
      <c r="M6174" s="68" t="str">
        <f>"بشكه"</f>
        <v>بشكه</v>
      </c>
      <c r="N6174" s="53" t="str">
        <f>"پيشين"</f>
        <v>پيشين</v>
      </c>
      <c r="O6174" s="53">
        <v>55301</v>
      </c>
      <c r="P6174" s="198" t="str">
        <f>"1397561081001"</f>
        <v>1397561081001</v>
      </c>
    </row>
    <row r="6175" spans="1:16" ht="18.75" hidden="1">
      <c r="A6175" s="50" t="str">
        <f>"15100-615533"</f>
        <v>15100-615533</v>
      </c>
      <c r="B6175" s="50" t="str">
        <f>"97/04/17"</f>
        <v>97/04/17</v>
      </c>
      <c r="C6175" s="50" t="s">
        <v>14197</v>
      </c>
      <c r="D6175" s="12" t="s">
        <v>13969</v>
      </c>
      <c r="E6175" s="12" t="s">
        <v>13333</v>
      </c>
      <c r="F6175" s="49">
        <v>116840</v>
      </c>
      <c r="G6175" s="77" t="str">
        <f>"JANSONS TRADING FZE"</f>
        <v>JANSONS TRADING FZE</v>
      </c>
      <c r="H6175" s="14" t="str">
        <f t="shared" si="237"/>
        <v>true</v>
      </c>
      <c r="I6175" s="14" t="s">
        <v>2458</v>
      </c>
      <c r="J6175" s="33" t="s">
        <v>7110</v>
      </c>
      <c r="K6175" s="33" t="s">
        <v>14255</v>
      </c>
      <c r="L6175" s="53" t="str">
        <f t="shared" si="234"/>
        <v>پاکستان</v>
      </c>
      <c r="M6175" s="68" t="str">
        <f>"فله"</f>
        <v>فله</v>
      </c>
      <c r="N6175" s="53" t="str">
        <f>"پيشين"</f>
        <v>پيشين</v>
      </c>
      <c r="O6175" s="53">
        <v>55301</v>
      </c>
      <c r="P6175" s="198" t="str">
        <f>"1397558728001"</f>
        <v>1397558728001</v>
      </c>
    </row>
    <row r="6176" spans="1:16" ht="18.75" hidden="1">
      <c r="A6176" s="50" t="str">
        <f>"15100-620874"</f>
        <v>15100-620874</v>
      </c>
      <c r="B6176" s="50" t="str">
        <f>"97/04/25"</f>
        <v>97/04/25</v>
      </c>
      <c r="C6176" s="50" t="s">
        <v>14197</v>
      </c>
      <c r="D6176" s="12" t="s">
        <v>13969</v>
      </c>
      <c r="E6176" s="12" t="s">
        <v>13333</v>
      </c>
      <c r="F6176" s="49">
        <v>187470</v>
      </c>
      <c r="G6176" s="77" t="str">
        <f>"JANSONS TRADING FZE"</f>
        <v>JANSONS TRADING FZE</v>
      </c>
      <c r="H6176" s="14" t="str">
        <f t="shared" si="237"/>
        <v>true</v>
      </c>
      <c r="I6176" s="14" t="s">
        <v>2458</v>
      </c>
      <c r="J6176" s="33" t="s">
        <v>7110</v>
      </c>
      <c r="K6176" s="33" t="s">
        <v>14255</v>
      </c>
      <c r="L6176" s="53" t="str">
        <f t="shared" si="234"/>
        <v>پاکستان</v>
      </c>
      <c r="M6176" s="68" t="str">
        <f>"فله"</f>
        <v>فله</v>
      </c>
      <c r="N6176" s="53" t="str">
        <f>"پيشين"</f>
        <v>پيشين</v>
      </c>
      <c r="O6176" s="53">
        <v>55301</v>
      </c>
      <c r="P6176" s="198" t="str">
        <f>"1397558728001"</f>
        <v>1397558728001</v>
      </c>
    </row>
    <row r="6177" spans="1:16" ht="18.75" hidden="1">
      <c r="A6177" s="50" t="str">
        <f>"15100-621529"</f>
        <v>15100-621529</v>
      </c>
      <c r="B6177" s="50" t="str">
        <f>"97/04/26"</f>
        <v>97/04/26</v>
      </c>
      <c r="C6177" s="50" t="s">
        <v>14159</v>
      </c>
      <c r="D6177" s="12" t="s">
        <v>13851</v>
      </c>
      <c r="E6177" s="12" t="s">
        <v>13333</v>
      </c>
      <c r="F6177" s="49">
        <v>99840</v>
      </c>
      <c r="G6177" s="77" t="str">
        <f>"DAXON PETROLEUM"</f>
        <v>DAXON PETROLEUM</v>
      </c>
      <c r="H6177" s="14" t="str">
        <f t="shared" si="237"/>
        <v>true</v>
      </c>
      <c r="I6177" s="14" t="s">
        <v>2458</v>
      </c>
      <c r="J6177" s="33" t="s">
        <v>7110</v>
      </c>
      <c r="K6177" s="33" t="s">
        <v>14255</v>
      </c>
      <c r="L6177" s="53" t="str">
        <f t="shared" si="234"/>
        <v>پاکستان</v>
      </c>
      <c r="M6177" s="68" t="str">
        <f>"بشكه"</f>
        <v>بشكه</v>
      </c>
      <c r="N6177" s="53" t="str">
        <f>"تفتان (ميرجاوه)"</f>
        <v>تفتان (ميرجاوه)</v>
      </c>
      <c r="O6177" s="53">
        <v>55200</v>
      </c>
      <c r="P6177" s="198" t="str">
        <f>"1397558729001"</f>
        <v>1397558729001</v>
      </c>
    </row>
    <row r="6178" spans="1:16" ht="18.75" hidden="1">
      <c r="A6178" s="50" t="str">
        <f>"15100-616926"</f>
        <v>15100-616926</v>
      </c>
      <c r="B6178" s="50" t="str">
        <f>"97/04/19"</f>
        <v>97/04/19</v>
      </c>
      <c r="C6178" s="50" t="s">
        <v>14258</v>
      </c>
      <c r="D6178" s="12" t="s">
        <v>13966</v>
      </c>
      <c r="E6178" s="12" t="s">
        <v>13333</v>
      </c>
      <c r="F6178" s="49">
        <v>73360</v>
      </c>
      <c r="G6178" s="77" t="str">
        <f>"Areej For Marketing"</f>
        <v>Areej For Marketing</v>
      </c>
      <c r="H6178" s="14" t="str">
        <f t="shared" si="237"/>
        <v>true</v>
      </c>
      <c r="I6178" s="14" t="s">
        <v>2458</v>
      </c>
      <c r="J6178" s="33" t="s">
        <v>7110</v>
      </c>
      <c r="K6178" s="33" t="s">
        <v>14255</v>
      </c>
      <c r="L6178" s="53" t="str">
        <f t="shared" si="234"/>
        <v>پاکستان</v>
      </c>
      <c r="M6178" s="68" t="str">
        <f>"فله"</f>
        <v>فله</v>
      </c>
      <c r="N6178" s="53" t="str">
        <f>"پيشين"</f>
        <v>پيشين</v>
      </c>
      <c r="O6178" s="53">
        <v>55301</v>
      </c>
      <c r="P6178" s="198" t="str">
        <f>"1397561054001"</f>
        <v>1397561054001</v>
      </c>
    </row>
    <row r="6179" spans="1:16" ht="18.75" hidden="1">
      <c r="A6179" s="50" t="str">
        <f>"15100-623240"</f>
        <v>15100-623240</v>
      </c>
      <c r="B6179" s="50" t="str">
        <f>"97/04/28"</f>
        <v>97/04/28</v>
      </c>
      <c r="C6179" s="50" t="s">
        <v>14262</v>
      </c>
      <c r="D6179" s="12" t="s">
        <v>13808</v>
      </c>
      <c r="E6179" s="12" t="s">
        <v>13333</v>
      </c>
      <c r="F6179" s="49">
        <v>230890</v>
      </c>
      <c r="G6179" s="77" t="str">
        <f>"LEADING IN HIGHER OBJECTIVES LLC"</f>
        <v>LEADING IN HIGHER OBJECTIVES LLC</v>
      </c>
      <c r="H6179" s="14" t="str">
        <f t="shared" si="237"/>
        <v>true</v>
      </c>
      <c r="I6179" s="14" t="s">
        <v>2458</v>
      </c>
      <c r="J6179" s="33" t="e">
        <f>VLOOKUP(C6179,شرکتها!A:B,2,FALSE)</f>
        <v>#N/A</v>
      </c>
      <c r="K6179" s="33" t="s">
        <v>14255</v>
      </c>
      <c r="L6179" s="53" t="str">
        <f t="shared" si="234"/>
        <v>پاکستان</v>
      </c>
      <c r="M6179" s="68" t="str">
        <f>"فله"</f>
        <v>فله</v>
      </c>
      <c r="N6179" s="53" t="str">
        <f>"پيشين"</f>
        <v>پيشين</v>
      </c>
      <c r="O6179" s="53">
        <v>55301</v>
      </c>
      <c r="P6179" s="198" t="str">
        <f>"1397561079001"</f>
        <v>1397561079001</v>
      </c>
    </row>
    <row r="6180" spans="1:16" ht="18.75" hidden="1">
      <c r="A6180" s="50" t="str">
        <f>"15100-615036"</f>
        <v>15100-615036</v>
      </c>
      <c r="B6180" s="50" t="str">
        <f>"97/04/16"</f>
        <v>97/04/16</v>
      </c>
      <c r="C6180" s="50" t="s">
        <v>14197</v>
      </c>
      <c r="D6180" s="12" t="s">
        <v>13969</v>
      </c>
      <c r="E6180" s="12" t="s">
        <v>13333</v>
      </c>
      <c r="F6180" s="49">
        <v>25430</v>
      </c>
      <c r="G6180" s="77" t="str">
        <f>"JANSONS TRADING FZE"</f>
        <v>JANSONS TRADING FZE</v>
      </c>
      <c r="H6180" s="14" t="str">
        <f t="shared" si="237"/>
        <v>true</v>
      </c>
      <c r="I6180" s="14" t="s">
        <v>2458</v>
      </c>
      <c r="J6180" s="33" t="s">
        <v>7110</v>
      </c>
      <c r="K6180" s="33" t="s">
        <v>14255</v>
      </c>
      <c r="L6180" s="53" t="str">
        <f t="shared" si="234"/>
        <v>پاکستان</v>
      </c>
      <c r="M6180" s="68" t="str">
        <f>"بشكه"</f>
        <v>بشكه</v>
      </c>
      <c r="N6180" s="53" t="str">
        <f>"تفتان (ميرجاوه)"</f>
        <v>تفتان (ميرجاوه)</v>
      </c>
      <c r="O6180" s="53">
        <v>55200</v>
      </c>
      <c r="P6180" s="198" t="str">
        <f>"1397558728001"</f>
        <v>1397558728001</v>
      </c>
    </row>
    <row r="6181" spans="1:16" ht="18.75" hidden="1">
      <c r="A6181" s="50" t="str">
        <f>"15100-615620"</f>
        <v>15100-615620</v>
      </c>
      <c r="B6181" s="50" t="str">
        <f>"97/04/17"</f>
        <v>97/04/17</v>
      </c>
      <c r="C6181" s="50" t="s">
        <v>14262</v>
      </c>
      <c r="D6181" s="12" t="s">
        <v>13808</v>
      </c>
      <c r="E6181" s="12" t="s">
        <v>13333</v>
      </c>
      <c r="F6181" s="49">
        <v>143780</v>
      </c>
      <c r="G6181" s="77" t="str">
        <f>"LEADING IN HIGHER OBJECTIVES LLC"</f>
        <v>LEADING IN HIGHER OBJECTIVES LLC</v>
      </c>
      <c r="H6181" s="14" t="str">
        <f t="shared" si="237"/>
        <v>true</v>
      </c>
      <c r="I6181" s="14" t="s">
        <v>2458</v>
      </c>
      <c r="J6181" s="33" t="e">
        <f>VLOOKUP(C6181,شرکتها!A:B,2,FALSE)</f>
        <v>#N/A</v>
      </c>
      <c r="K6181" s="33" t="s">
        <v>14255</v>
      </c>
      <c r="L6181" s="53" t="str">
        <f t="shared" si="234"/>
        <v>پاکستان</v>
      </c>
      <c r="M6181" s="68" t="str">
        <f>"فله"</f>
        <v>فله</v>
      </c>
      <c r="N6181" s="53" t="str">
        <f>"پيشين"</f>
        <v>پيشين</v>
      </c>
      <c r="O6181" s="53">
        <v>55301</v>
      </c>
      <c r="P6181" s="198" t="str">
        <f>"1397561079001"</f>
        <v>1397561079001</v>
      </c>
    </row>
    <row r="6182" spans="1:16" ht="18.75" hidden="1">
      <c r="A6182" s="50" t="str">
        <f>"15100-618440"</f>
        <v>15100-618440</v>
      </c>
      <c r="B6182" s="50" t="str">
        <f>"97/04/21"</f>
        <v>97/04/21</v>
      </c>
      <c r="C6182" s="50" t="s">
        <v>14060</v>
      </c>
      <c r="D6182" s="12" t="s">
        <v>13827</v>
      </c>
      <c r="E6182" s="12" t="s">
        <v>13333</v>
      </c>
      <c r="F6182" s="49">
        <v>71730</v>
      </c>
      <c r="G6182" s="77" t="str">
        <f>"Areej For Marketing"</f>
        <v>Areej For Marketing</v>
      </c>
      <c r="H6182" s="14" t="str">
        <f t="shared" si="237"/>
        <v>true</v>
      </c>
      <c r="I6182" s="14" t="s">
        <v>2458</v>
      </c>
      <c r="J6182" s="33" t="s">
        <v>7110</v>
      </c>
      <c r="K6182" s="33" t="s">
        <v>14255</v>
      </c>
      <c r="L6182" s="53" t="str">
        <f t="shared" si="234"/>
        <v>پاکستان</v>
      </c>
      <c r="M6182" s="68" t="str">
        <f>"بشكه"</f>
        <v>بشكه</v>
      </c>
      <c r="N6182" s="53" t="str">
        <f>"تفتان (ميرجاوه)"</f>
        <v>تفتان (ميرجاوه)</v>
      </c>
      <c r="O6182" s="53">
        <v>55200</v>
      </c>
      <c r="P6182" s="198" t="str">
        <f>"1397561054001"</f>
        <v>1397561054001</v>
      </c>
    </row>
    <row r="6183" spans="1:16" ht="18.75" hidden="1">
      <c r="A6183" s="50" t="str">
        <f>"15100-619174"</f>
        <v>15100-619174</v>
      </c>
      <c r="B6183" s="50" t="str">
        <f>"97/04/23"</f>
        <v>97/04/23</v>
      </c>
      <c r="C6183" s="50" t="s">
        <v>14060</v>
      </c>
      <c r="D6183" s="12" t="s">
        <v>13827</v>
      </c>
      <c r="E6183" s="12" t="s">
        <v>13333</v>
      </c>
      <c r="F6183" s="49">
        <v>48130</v>
      </c>
      <c r="G6183" s="77" t="str">
        <f>"Areej For Marketing"</f>
        <v>Areej For Marketing</v>
      </c>
      <c r="H6183" s="14" t="str">
        <f t="shared" si="237"/>
        <v>true</v>
      </c>
      <c r="I6183" s="14" t="s">
        <v>2458</v>
      </c>
      <c r="J6183" s="33" t="s">
        <v>7110</v>
      </c>
      <c r="K6183" s="33" t="s">
        <v>14255</v>
      </c>
      <c r="L6183" s="53" t="str">
        <f t="shared" si="234"/>
        <v>پاکستان</v>
      </c>
      <c r="M6183" s="68" t="str">
        <f>"بشكه"</f>
        <v>بشكه</v>
      </c>
      <c r="N6183" s="53" t="str">
        <f>"تفتان (ميرجاوه)"</f>
        <v>تفتان (ميرجاوه)</v>
      </c>
      <c r="O6183" s="53">
        <v>55200</v>
      </c>
      <c r="P6183" s="198" t="str">
        <f>"1397561054001"</f>
        <v>1397561054001</v>
      </c>
    </row>
    <row r="6184" spans="1:16" ht="18.75" hidden="1">
      <c r="A6184" s="50" t="str">
        <f>"15100-615563"</f>
        <v>15100-615563</v>
      </c>
      <c r="B6184" s="50" t="str">
        <f>"97/04/17"</f>
        <v>97/04/17</v>
      </c>
      <c r="C6184" s="50" t="s">
        <v>14264</v>
      </c>
      <c r="D6184" s="12" t="s">
        <v>13969</v>
      </c>
      <c r="E6184" s="12" t="s">
        <v>13333</v>
      </c>
      <c r="F6184" s="49">
        <v>170540</v>
      </c>
      <c r="G6184" s="77" t="str">
        <f>"Areej For Marketing"</f>
        <v>Areej For Marketing</v>
      </c>
      <c r="H6184" s="14" t="str">
        <f t="shared" si="237"/>
        <v>true</v>
      </c>
      <c r="I6184" s="14" t="s">
        <v>2458</v>
      </c>
      <c r="J6184" s="33" t="s">
        <v>7110</v>
      </c>
      <c r="K6184" s="33" t="s">
        <v>14255</v>
      </c>
      <c r="L6184" s="53" t="str">
        <f t="shared" si="234"/>
        <v>پاکستان</v>
      </c>
      <c r="M6184" s="68" t="str">
        <f>"فله"</f>
        <v>فله</v>
      </c>
      <c r="N6184" s="53" t="str">
        <f>"تفتان (ميرجاوه)"</f>
        <v>تفتان (ميرجاوه)</v>
      </c>
      <c r="O6184" s="53">
        <v>55200</v>
      </c>
      <c r="P6184" s="198" t="str">
        <f>"1397561054001"</f>
        <v>1397561054001</v>
      </c>
    </row>
    <row r="6185" spans="1:16" ht="18.75" hidden="1">
      <c r="A6185" s="50" t="str">
        <f>"15100-614938"</f>
        <v>15100-614938</v>
      </c>
      <c r="B6185" s="50" t="str">
        <f>"97/04/16"</f>
        <v>97/04/16</v>
      </c>
      <c r="C6185" s="50" t="s">
        <v>13975</v>
      </c>
      <c r="D6185" s="12" t="s">
        <v>13827</v>
      </c>
      <c r="E6185" s="12" t="s">
        <v>13333</v>
      </c>
      <c r="F6185" s="49">
        <v>74180</v>
      </c>
      <c r="G6185" s="77" t="str">
        <f>"Areej For Marketing"</f>
        <v>Areej For Marketing</v>
      </c>
      <c r="H6185" s="14" t="str">
        <f t="shared" si="237"/>
        <v>true</v>
      </c>
      <c r="I6185" s="14" t="s">
        <v>2458</v>
      </c>
      <c r="J6185" s="33" t="s">
        <v>7110</v>
      </c>
      <c r="K6185" s="33" t="s">
        <v>14255</v>
      </c>
      <c r="L6185" s="53" t="str">
        <f t="shared" si="234"/>
        <v>پاکستان</v>
      </c>
      <c r="M6185" s="68" t="str">
        <f>"بشكه"</f>
        <v>بشكه</v>
      </c>
      <c r="N6185" s="53" t="str">
        <f>"تفتان (ميرجاوه)"</f>
        <v>تفتان (ميرجاوه)</v>
      </c>
      <c r="O6185" s="53">
        <v>55200</v>
      </c>
      <c r="P6185" s="198" t="str">
        <f>"1397561054001"</f>
        <v>1397561054001</v>
      </c>
    </row>
    <row r="6186" spans="1:16" ht="18.75" hidden="1">
      <c r="A6186" s="50" t="str">
        <f>"15100-623294"</f>
        <v>15100-623294</v>
      </c>
      <c r="B6186" s="50" t="str">
        <f>"97/04/28"</f>
        <v>97/04/28</v>
      </c>
      <c r="C6186" s="50" t="s">
        <v>14257</v>
      </c>
      <c r="D6186" s="12" t="s">
        <v>13851</v>
      </c>
      <c r="E6186" s="12" t="s">
        <v>13333</v>
      </c>
      <c r="F6186" s="49">
        <v>47140</v>
      </c>
      <c r="G6186" s="77" t="str">
        <f>"DAXON PETROLEUM"</f>
        <v>DAXON PETROLEUM</v>
      </c>
      <c r="H6186" s="14" t="str">
        <f t="shared" si="237"/>
        <v>true</v>
      </c>
      <c r="I6186" s="14" t="s">
        <v>2458</v>
      </c>
      <c r="J6186" s="33" t="s">
        <v>7110</v>
      </c>
      <c r="K6186" s="33" t="s">
        <v>14255</v>
      </c>
      <c r="L6186" s="53" t="str">
        <f t="shared" si="234"/>
        <v>پاکستان</v>
      </c>
      <c r="M6186" s="68" t="str">
        <f>"فله"</f>
        <v>فله</v>
      </c>
      <c r="N6186" s="53" t="str">
        <f>"تفتان (ميرجاوه)"</f>
        <v>تفتان (ميرجاوه)</v>
      </c>
      <c r="O6186" s="53">
        <v>55200</v>
      </c>
      <c r="P6186" s="198" t="str">
        <f>"1397558729001"</f>
        <v>1397558729001</v>
      </c>
    </row>
    <row r="6187" spans="1:16" ht="18.75" hidden="1">
      <c r="A6187" s="50" t="str">
        <f>"15100-615599"</f>
        <v>15100-615599</v>
      </c>
      <c r="B6187" s="50" t="str">
        <f>"97/04/17"</f>
        <v>97/04/17</v>
      </c>
      <c r="C6187" s="50" t="s">
        <v>14110</v>
      </c>
      <c r="D6187" s="12" t="s">
        <v>14111</v>
      </c>
      <c r="E6187" s="12" t="s">
        <v>13333</v>
      </c>
      <c r="F6187" s="49">
        <v>70620</v>
      </c>
      <c r="G6187" s="77" t="str">
        <f>"PETRO FOLIO"</f>
        <v>PETRO FOLIO</v>
      </c>
      <c r="H6187" s="14" t="str">
        <f t="shared" si="237"/>
        <v>true</v>
      </c>
      <c r="I6187" s="14" t="s">
        <v>2458</v>
      </c>
      <c r="J6187" s="33" t="s">
        <v>7110</v>
      </c>
      <c r="K6187" s="33" t="s">
        <v>14255</v>
      </c>
      <c r="L6187" s="53" t="str">
        <f t="shared" si="234"/>
        <v>پاکستان</v>
      </c>
      <c r="M6187" s="68" t="str">
        <f>"فله"</f>
        <v>فله</v>
      </c>
      <c r="N6187" s="53" t="str">
        <f>"پيشين"</f>
        <v>پيشين</v>
      </c>
      <c r="O6187" s="53">
        <v>55301</v>
      </c>
      <c r="P6187" s="198" t="str">
        <f>"1397558725001"</f>
        <v>1397558725001</v>
      </c>
    </row>
    <row r="6188" spans="1:16" ht="18.75" hidden="1">
      <c r="A6188" s="50" t="str">
        <f>"15100-620204"</f>
        <v>15100-620204</v>
      </c>
      <c r="B6188" s="50" t="str">
        <f>"97/04/24"</f>
        <v>97/04/24</v>
      </c>
      <c r="C6188" s="50" t="s">
        <v>14103</v>
      </c>
      <c r="D6188" s="12" t="s">
        <v>13827</v>
      </c>
      <c r="E6188" s="12" t="s">
        <v>13333</v>
      </c>
      <c r="F6188" s="49">
        <v>33640</v>
      </c>
      <c r="G6188" s="77" t="str">
        <f>"Areej For Marketing"</f>
        <v>Areej For Marketing</v>
      </c>
      <c r="H6188" s="14" t="str">
        <f t="shared" si="237"/>
        <v>true</v>
      </c>
      <c r="I6188" s="14" t="s">
        <v>2458</v>
      </c>
      <c r="J6188" s="33" t="s">
        <v>7110</v>
      </c>
      <c r="K6188" s="33" t="s">
        <v>14255</v>
      </c>
      <c r="L6188" s="53" t="str">
        <f t="shared" si="234"/>
        <v>پاکستان</v>
      </c>
      <c r="M6188" s="68" t="str">
        <f>"فله"</f>
        <v>فله</v>
      </c>
      <c r="N6188" s="53" t="str">
        <f>"پيشين"</f>
        <v>پيشين</v>
      </c>
      <c r="O6188" s="53">
        <v>55301</v>
      </c>
      <c r="P6188" s="198" t="str">
        <f>"1397561054001"</f>
        <v>1397561054001</v>
      </c>
    </row>
    <row r="6189" spans="1:16" ht="18.75" hidden="1">
      <c r="A6189" s="50" t="str">
        <f>"15100-621556"</f>
        <v>15100-621556</v>
      </c>
      <c r="B6189" s="50" t="str">
        <f>"97/04/26"</f>
        <v>97/04/26</v>
      </c>
      <c r="C6189" s="50" t="s">
        <v>14260</v>
      </c>
      <c r="D6189" s="12" t="s">
        <v>14010</v>
      </c>
      <c r="E6189" s="12" t="s">
        <v>13333</v>
      </c>
      <c r="F6189" s="49">
        <v>71600</v>
      </c>
      <c r="G6189" s="77" t="str">
        <f>"LLC Sebco Bitumen"</f>
        <v>LLC Sebco Bitumen</v>
      </c>
      <c r="H6189" s="14" t="str">
        <f t="shared" si="237"/>
        <v>true</v>
      </c>
      <c r="I6189" s="14" t="s">
        <v>2458</v>
      </c>
      <c r="J6189" s="33" t="s">
        <v>7110</v>
      </c>
      <c r="K6189" s="33" t="s">
        <v>14255</v>
      </c>
      <c r="L6189" s="53" t="str">
        <f t="shared" si="234"/>
        <v>پاکستان</v>
      </c>
      <c r="M6189" s="68" t="str">
        <f>"بشكه"</f>
        <v>بشكه</v>
      </c>
      <c r="N6189" s="53" t="str">
        <f>"تفتان (ميرجاوه)"</f>
        <v>تفتان (ميرجاوه)</v>
      </c>
      <c r="O6189" s="53">
        <v>55200</v>
      </c>
      <c r="P6189" s="198" t="str">
        <f>"1397558720001"</f>
        <v>1397558720001</v>
      </c>
    </row>
    <row r="6190" spans="1:16" ht="18.75" hidden="1">
      <c r="A6190" s="50" t="str">
        <f>"15100-622606"</f>
        <v>15100-622606</v>
      </c>
      <c r="B6190" s="50" t="str">
        <f>"97/04/27"</f>
        <v>97/04/27</v>
      </c>
      <c r="C6190" s="50" t="s">
        <v>14257</v>
      </c>
      <c r="D6190" s="12" t="s">
        <v>13851</v>
      </c>
      <c r="E6190" s="12" t="s">
        <v>13333</v>
      </c>
      <c r="F6190" s="49">
        <v>101460</v>
      </c>
      <c r="G6190" s="77" t="str">
        <f>"DAXON PETROLEUM"</f>
        <v>DAXON PETROLEUM</v>
      </c>
      <c r="H6190" s="14" t="str">
        <f t="shared" si="237"/>
        <v>true</v>
      </c>
      <c r="I6190" s="14" t="s">
        <v>2458</v>
      </c>
      <c r="J6190" s="33" t="s">
        <v>7110</v>
      </c>
      <c r="K6190" s="33" t="s">
        <v>14255</v>
      </c>
      <c r="L6190" s="53" t="str">
        <f t="shared" si="234"/>
        <v>پاکستان</v>
      </c>
      <c r="M6190" s="68" t="str">
        <f>"فله"</f>
        <v>فله</v>
      </c>
      <c r="N6190" s="53" t="str">
        <f>"بازارچه ريمدان"</f>
        <v>بازارچه ريمدان</v>
      </c>
      <c r="O6190" s="53">
        <v>55112</v>
      </c>
      <c r="P6190" s="198" t="str">
        <f>"1397558729001"</f>
        <v>1397558729001</v>
      </c>
    </row>
    <row r="6191" spans="1:16" ht="18.75" hidden="1">
      <c r="A6191" s="50" t="str">
        <f>"15100-614920"</f>
        <v>15100-614920</v>
      </c>
      <c r="B6191" s="50" t="str">
        <f>"97/04/16"</f>
        <v>97/04/16</v>
      </c>
      <c r="C6191" s="50" t="s">
        <v>13964</v>
      </c>
      <c r="D6191" s="12" t="s">
        <v>13822</v>
      </c>
      <c r="E6191" s="12" t="s">
        <v>13333</v>
      </c>
      <c r="F6191" s="49">
        <v>150200</v>
      </c>
      <c r="G6191" s="77" t="str">
        <f>"PETRO FOLIO"</f>
        <v>PETRO FOLIO</v>
      </c>
      <c r="H6191" s="14" t="str">
        <f t="shared" si="237"/>
        <v>true</v>
      </c>
      <c r="I6191" s="14" t="s">
        <v>2458</v>
      </c>
      <c r="J6191" s="33" t="s">
        <v>7110</v>
      </c>
      <c r="K6191" s="33" t="s">
        <v>14255</v>
      </c>
      <c r="L6191" s="53" t="str">
        <f t="shared" si="234"/>
        <v>پاکستان</v>
      </c>
      <c r="M6191" s="68" t="str">
        <f>"بشكه"</f>
        <v>بشكه</v>
      </c>
      <c r="N6191" s="53" t="str">
        <f>"تفتان (ميرجاوه)"</f>
        <v>تفتان (ميرجاوه)</v>
      </c>
      <c r="O6191" s="53">
        <v>55200</v>
      </c>
      <c r="P6191" s="198" t="str">
        <f>"1397558725001"</f>
        <v>1397558725001</v>
      </c>
    </row>
    <row r="6192" spans="1:16" ht="18.75" hidden="1">
      <c r="A6192" s="50" t="str">
        <f>"15100-624161"</f>
        <v>15100-624161</v>
      </c>
      <c r="B6192" s="50" t="str">
        <f>"97/04/30"</f>
        <v>97/04/30</v>
      </c>
      <c r="C6192" s="50" t="s">
        <v>14258</v>
      </c>
      <c r="D6192" s="12" t="s">
        <v>13966</v>
      </c>
      <c r="E6192" s="12" t="s">
        <v>13333</v>
      </c>
      <c r="F6192" s="49">
        <v>9880</v>
      </c>
      <c r="G6192" s="77" t="str">
        <f>"Areej For Marketing"</f>
        <v>Areej For Marketing</v>
      </c>
      <c r="H6192" s="14" t="str">
        <f t="shared" si="237"/>
        <v>true</v>
      </c>
      <c r="I6192" s="14" t="s">
        <v>2458</v>
      </c>
      <c r="J6192" s="33" t="s">
        <v>7110</v>
      </c>
      <c r="K6192" s="33" t="s">
        <v>14255</v>
      </c>
      <c r="L6192" s="53" t="str">
        <f t="shared" si="234"/>
        <v>پاکستان</v>
      </c>
      <c r="M6192" s="68" t="str">
        <f>"فله"</f>
        <v>فله</v>
      </c>
      <c r="N6192" s="53" t="str">
        <f>"پيشين"</f>
        <v>پيشين</v>
      </c>
      <c r="O6192" s="53">
        <v>55301</v>
      </c>
      <c r="P6192" s="198" t="str">
        <f>"1397561054001"</f>
        <v>1397561054001</v>
      </c>
    </row>
    <row r="6193" spans="1:16" ht="18.75" hidden="1">
      <c r="A6193" s="50" t="str">
        <f>"15100-616698"</f>
        <v>15100-616698</v>
      </c>
      <c r="B6193" s="50" t="str">
        <f>"97/04/19"</f>
        <v>97/04/19</v>
      </c>
      <c r="C6193" s="50" t="s">
        <v>14070</v>
      </c>
      <c r="D6193" s="12" t="s">
        <v>13818</v>
      </c>
      <c r="E6193" s="12" t="s">
        <v>13333</v>
      </c>
      <c r="F6193" s="49">
        <v>167200</v>
      </c>
      <c r="G6193" s="77" t="str">
        <f>"West Asia Sun LLC"</f>
        <v>West Asia Sun LLC</v>
      </c>
      <c r="H6193" s="14" t="str">
        <f t="shared" si="237"/>
        <v>true</v>
      </c>
      <c r="I6193" s="14" t="s">
        <v>2458</v>
      </c>
      <c r="J6193" s="33" t="s">
        <v>7110</v>
      </c>
      <c r="K6193" s="33" t="s">
        <v>14255</v>
      </c>
      <c r="L6193" s="53" t="str">
        <f t="shared" si="234"/>
        <v>پاکستان</v>
      </c>
      <c r="M6193" s="68" t="str">
        <f>"فله"</f>
        <v>فله</v>
      </c>
      <c r="N6193" s="53" t="str">
        <f>"پيشين"</f>
        <v>پيشين</v>
      </c>
      <c r="O6193" s="53">
        <v>55301</v>
      </c>
      <c r="P6193" s="198" t="str">
        <f>"1397561081001"</f>
        <v>1397561081001</v>
      </c>
    </row>
    <row r="6194" spans="1:16" ht="18.75" hidden="1">
      <c r="A6194" s="50" t="str">
        <f>"15100-619162"</f>
        <v>15100-619162</v>
      </c>
      <c r="B6194" s="50" t="str">
        <f>"97/04/23"</f>
        <v>97/04/23</v>
      </c>
      <c r="C6194" s="50" t="s">
        <v>14197</v>
      </c>
      <c r="D6194" s="12" t="s">
        <v>13969</v>
      </c>
      <c r="E6194" s="12" t="s">
        <v>13333</v>
      </c>
      <c r="F6194" s="49">
        <v>178840</v>
      </c>
      <c r="G6194" s="77" t="str">
        <f>"JANSONS TRADING FZE"</f>
        <v>JANSONS TRADING FZE</v>
      </c>
      <c r="H6194" s="14" t="str">
        <f t="shared" si="237"/>
        <v>true</v>
      </c>
      <c r="I6194" s="14" t="s">
        <v>2458</v>
      </c>
      <c r="J6194" s="33" t="s">
        <v>7110</v>
      </c>
      <c r="K6194" s="33" t="s">
        <v>14255</v>
      </c>
      <c r="L6194" s="53" t="str">
        <f t="shared" si="234"/>
        <v>پاکستان</v>
      </c>
      <c r="M6194" s="68" t="str">
        <f>"فله"</f>
        <v>فله</v>
      </c>
      <c r="N6194" s="53" t="str">
        <f>"پيشين"</f>
        <v>پيشين</v>
      </c>
      <c r="O6194" s="53">
        <v>55301</v>
      </c>
      <c r="P6194" s="198" t="str">
        <f>"1397558728001"</f>
        <v>1397558728001</v>
      </c>
    </row>
    <row r="6195" spans="1:16" ht="18.75" hidden="1">
      <c r="A6195" s="50" t="str">
        <f>"15100-620204"</f>
        <v>15100-620204</v>
      </c>
      <c r="B6195" s="50" t="str">
        <f>"97/04/24"</f>
        <v>97/04/24</v>
      </c>
      <c r="C6195" s="50" t="s">
        <v>14060</v>
      </c>
      <c r="D6195" s="12" t="s">
        <v>13827</v>
      </c>
      <c r="E6195" s="12" t="s">
        <v>13333</v>
      </c>
      <c r="F6195" s="49">
        <v>57520</v>
      </c>
      <c r="G6195" s="77" t="str">
        <f>"Areej For Marketing"</f>
        <v>Areej For Marketing</v>
      </c>
      <c r="H6195" s="14" t="str">
        <f t="shared" si="237"/>
        <v>true</v>
      </c>
      <c r="I6195" s="14" t="s">
        <v>2458</v>
      </c>
      <c r="J6195" s="33" t="s">
        <v>7110</v>
      </c>
      <c r="K6195" s="33" t="s">
        <v>14255</v>
      </c>
      <c r="L6195" s="53" t="str">
        <f t="shared" si="234"/>
        <v>پاکستان</v>
      </c>
      <c r="M6195" s="68" t="str">
        <f>"فله"</f>
        <v>فله</v>
      </c>
      <c r="N6195" s="53" t="str">
        <f>"پيشين"</f>
        <v>پيشين</v>
      </c>
      <c r="O6195" s="53">
        <v>55301</v>
      </c>
      <c r="P6195" s="198" t="str">
        <f>"1397561054001"</f>
        <v>1397561054001</v>
      </c>
    </row>
    <row r="6196" spans="1:16" ht="18.75" hidden="1">
      <c r="A6196" s="50" t="str">
        <f>"15100-621736"</f>
        <v>15100-621736</v>
      </c>
      <c r="B6196" s="50" t="str">
        <f>"97/04/26"</f>
        <v>97/04/26</v>
      </c>
      <c r="C6196" s="50" t="s">
        <v>14060</v>
      </c>
      <c r="D6196" s="12" t="s">
        <v>13827</v>
      </c>
      <c r="E6196" s="12" t="s">
        <v>13333</v>
      </c>
      <c r="F6196" s="49">
        <v>96460</v>
      </c>
      <c r="G6196" s="77" t="str">
        <f>"Areej For Marketing"</f>
        <v>Areej For Marketing</v>
      </c>
      <c r="H6196" s="14" t="str">
        <f t="shared" si="237"/>
        <v>true</v>
      </c>
      <c r="I6196" s="14" t="s">
        <v>2458</v>
      </c>
      <c r="J6196" s="33" t="s">
        <v>7110</v>
      </c>
      <c r="K6196" s="33" t="s">
        <v>14255</v>
      </c>
      <c r="L6196" s="53" t="str">
        <f t="shared" si="234"/>
        <v>پاکستان</v>
      </c>
      <c r="M6196" s="68" t="str">
        <f>"فله"</f>
        <v>فله</v>
      </c>
      <c r="N6196" s="53" t="str">
        <f>"بازارچه ريمدان"</f>
        <v>بازارچه ريمدان</v>
      </c>
      <c r="O6196" s="53">
        <v>55112</v>
      </c>
      <c r="P6196" s="198" t="str">
        <f>"1397561054001"</f>
        <v>1397561054001</v>
      </c>
    </row>
    <row r="6197" spans="1:16" ht="18.75">
      <c r="A6197" s="50" t="str">
        <f>"15100-621809"</f>
        <v>15100-621809</v>
      </c>
      <c r="B6197" s="50" t="str">
        <f>"97/04/26"</f>
        <v>97/04/26</v>
      </c>
      <c r="C6197" s="50" t="s">
        <v>14265</v>
      </c>
      <c r="D6197" s="12" t="s">
        <v>14233</v>
      </c>
      <c r="E6197" s="12" t="s">
        <v>13333</v>
      </c>
      <c r="F6197" s="49">
        <v>98240</v>
      </c>
      <c r="G6197" s="77" t="str">
        <f>"DAXON PETROLEUM"</f>
        <v>DAXON PETROLEUM</v>
      </c>
      <c r="H6197" s="14" t="str">
        <f t="shared" si="237"/>
        <v>true</v>
      </c>
      <c r="I6197" s="14" t="s">
        <v>2458</v>
      </c>
      <c r="J6197" s="33" t="e">
        <f>VLOOKUP(C6197,شرکتها!A:B,2,FALSE)</f>
        <v>#N/A</v>
      </c>
      <c r="K6197" s="33" t="s">
        <v>14255</v>
      </c>
      <c r="L6197" s="53" t="str">
        <f t="shared" si="234"/>
        <v>پاکستان</v>
      </c>
      <c r="M6197" s="68" t="str">
        <f>"بشكه"</f>
        <v>بشكه</v>
      </c>
      <c r="N6197" s="53" t="str">
        <f>"تفتان (ميرجاوه)"</f>
        <v>تفتان (ميرجاوه)</v>
      </c>
      <c r="O6197" s="53">
        <v>55200</v>
      </c>
      <c r="P6197" s="198" t="str">
        <f>"1397570122001"</f>
        <v>1397570122001</v>
      </c>
    </row>
    <row r="6198" spans="1:16" ht="18.75" hidden="1">
      <c r="A6198" s="50" t="str">
        <f>"15100-624161"</f>
        <v>15100-624161</v>
      </c>
      <c r="B6198" s="50" t="str">
        <f>"97/04/30"</f>
        <v>97/04/30</v>
      </c>
      <c r="C6198" s="50" t="s">
        <v>14266</v>
      </c>
      <c r="D6198" s="12" t="s">
        <v>13966</v>
      </c>
      <c r="E6198" s="12" t="s">
        <v>13333</v>
      </c>
      <c r="F6198" s="49">
        <v>106500</v>
      </c>
      <c r="G6198" s="77" t="str">
        <f>"Areej For Marketing"</f>
        <v>Areej For Marketing</v>
      </c>
      <c r="H6198" s="14" t="str">
        <f t="shared" si="237"/>
        <v>true</v>
      </c>
      <c r="I6198" s="14" t="s">
        <v>2458</v>
      </c>
      <c r="J6198" s="33" t="s">
        <v>7110</v>
      </c>
      <c r="K6198" s="33" t="s">
        <v>14255</v>
      </c>
      <c r="L6198" s="53" t="str">
        <f t="shared" si="234"/>
        <v>پاکستان</v>
      </c>
      <c r="M6198" s="68" t="str">
        <f>"فله"</f>
        <v>فله</v>
      </c>
      <c r="N6198" s="53" t="str">
        <f>"پيشين"</f>
        <v>پيشين</v>
      </c>
      <c r="O6198" s="53">
        <v>55301</v>
      </c>
      <c r="P6198" s="198" t="str">
        <f>"1397561054001"</f>
        <v>1397561054001</v>
      </c>
    </row>
    <row r="6199" spans="1:16" ht="18.75" hidden="1">
      <c r="A6199" s="50" t="str">
        <f>"15100-614917"</f>
        <v>15100-614917</v>
      </c>
      <c r="B6199" s="50" t="str">
        <f>"97/04/16"</f>
        <v>97/04/16</v>
      </c>
      <c r="C6199" s="50" t="s">
        <v>14197</v>
      </c>
      <c r="D6199" s="12" t="s">
        <v>13969</v>
      </c>
      <c r="E6199" s="12" t="s">
        <v>13333</v>
      </c>
      <c r="F6199" s="49">
        <v>186060</v>
      </c>
      <c r="G6199" s="77" t="str">
        <f>"JANSONS TRADING FZE"</f>
        <v>JANSONS TRADING FZE</v>
      </c>
      <c r="H6199" s="14" t="str">
        <f t="shared" si="237"/>
        <v>true</v>
      </c>
      <c r="I6199" s="14" t="s">
        <v>2458</v>
      </c>
      <c r="J6199" s="33" t="s">
        <v>7110</v>
      </c>
      <c r="K6199" s="33" t="s">
        <v>14255</v>
      </c>
      <c r="L6199" s="53" t="str">
        <f t="shared" si="234"/>
        <v>پاکستان</v>
      </c>
      <c r="M6199" s="68" t="str">
        <f>"فله"</f>
        <v>فله</v>
      </c>
      <c r="N6199" s="53" t="str">
        <f>"پيشين"</f>
        <v>پيشين</v>
      </c>
      <c r="O6199" s="53">
        <v>55301</v>
      </c>
      <c r="P6199" s="198" t="str">
        <f>"1397558728001"</f>
        <v>1397558728001</v>
      </c>
    </row>
    <row r="6200" spans="1:16" ht="18.75" hidden="1">
      <c r="A6200" s="50" t="str">
        <f>"15100-620177"</f>
        <v>15100-620177</v>
      </c>
      <c r="B6200" s="50" t="str">
        <f>"97/04/24"</f>
        <v>97/04/24</v>
      </c>
      <c r="C6200" s="50" t="s">
        <v>14197</v>
      </c>
      <c r="D6200" s="12" t="s">
        <v>13969</v>
      </c>
      <c r="E6200" s="12" t="s">
        <v>13333</v>
      </c>
      <c r="F6200" s="49">
        <v>141600</v>
      </c>
      <c r="G6200" s="77" t="str">
        <f>"JANSONS TRADING FZE"</f>
        <v>JANSONS TRADING FZE</v>
      </c>
      <c r="H6200" s="14" t="str">
        <f t="shared" si="237"/>
        <v>true</v>
      </c>
      <c r="I6200" s="14" t="s">
        <v>2458</v>
      </c>
      <c r="J6200" s="33" t="s">
        <v>7110</v>
      </c>
      <c r="K6200" s="33" t="s">
        <v>14255</v>
      </c>
      <c r="L6200" s="53" t="str">
        <f t="shared" si="234"/>
        <v>پاکستان</v>
      </c>
      <c r="M6200" s="68" t="str">
        <f>"فله"</f>
        <v>فله</v>
      </c>
      <c r="N6200" s="53" t="str">
        <f>"پيشين"</f>
        <v>پيشين</v>
      </c>
      <c r="O6200" s="53">
        <v>55301</v>
      </c>
      <c r="P6200" s="198" t="str">
        <f>"1397558728001"</f>
        <v>1397558728001</v>
      </c>
    </row>
    <row r="6201" spans="1:16" ht="18.75" hidden="1">
      <c r="A6201" s="50" t="str">
        <f>"15100-617693"</f>
        <v>15100-617693</v>
      </c>
      <c r="B6201" s="50" t="str">
        <f>"97/04/20"</f>
        <v>97/04/20</v>
      </c>
      <c r="C6201" s="50" t="s">
        <v>14197</v>
      </c>
      <c r="D6201" s="12" t="s">
        <v>13969</v>
      </c>
      <c r="E6201" s="12" t="s">
        <v>13333</v>
      </c>
      <c r="F6201" s="49">
        <v>171700</v>
      </c>
      <c r="G6201" s="77" t="str">
        <f>"JANSONS TRADING FZE"</f>
        <v>JANSONS TRADING FZE</v>
      </c>
      <c r="H6201" s="14" t="str">
        <f t="shared" si="237"/>
        <v>true</v>
      </c>
      <c r="I6201" s="14" t="s">
        <v>2458</v>
      </c>
      <c r="J6201" s="33" t="s">
        <v>7110</v>
      </c>
      <c r="K6201" s="33" t="s">
        <v>14255</v>
      </c>
      <c r="L6201" s="53" t="str">
        <f t="shared" si="234"/>
        <v>پاکستان</v>
      </c>
      <c r="M6201" s="68" t="str">
        <f>"فله"</f>
        <v>فله</v>
      </c>
      <c r="N6201" s="53" t="str">
        <f>"پيشين"</f>
        <v>پيشين</v>
      </c>
      <c r="O6201" s="53">
        <v>55301</v>
      </c>
      <c r="P6201" s="198" t="str">
        <f>"1397558728001"</f>
        <v>1397558728001</v>
      </c>
    </row>
    <row r="6202" spans="1:16" ht="18.75" hidden="1">
      <c r="A6202" s="50" t="str">
        <f>"15100-621748"</f>
        <v>15100-621748</v>
      </c>
      <c r="B6202" s="50" t="str">
        <f>"97/04/26"</f>
        <v>97/04/26</v>
      </c>
      <c r="C6202" s="50" t="s">
        <v>14267</v>
      </c>
      <c r="D6202" s="12" t="s">
        <v>13966</v>
      </c>
      <c r="E6202" s="12" t="s">
        <v>13333</v>
      </c>
      <c r="F6202" s="49">
        <v>73700</v>
      </c>
      <c r="G6202" s="77" t="str">
        <f>"JANSONS TRADING FZE"</f>
        <v>JANSONS TRADING FZE</v>
      </c>
      <c r="H6202" s="14" t="str">
        <f t="shared" si="237"/>
        <v>true</v>
      </c>
      <c r="I6202" s="14" t="s">
        <v>2458</v>
      </c>
      <c r="J6202" s="33" t="s">
        <v>7110</v>
      </c>
      <c r="K6202" s="33" t="s">
        <v>14255</v>
      </c>
      <c r="L6202" s="53" t="str">
        <f t="shared" si="234"/>
        <v>پاکستان</v>
      </c>
      <c r="M6202" s="68" t="str">
        <f>"فله"</f>
        <v>فله</v>
      </c>
      <c r="N6202" s="53" t="str">
        <f>"بازارچه ريمدان"</f>
        <v>بازارچه ريمدان</v>
      </c>
      <c r="O6202" s="53">
        <v>55112</v>
      </c>
      <c r="P6202" s="198" t="str">
        <f>"1397558728001"</f>
        <v>1397558728001</v>
      </c>
    </row>
    <row r="6203" spans="1:16" ht="18.75" hidden="1">
      <c r="A6203" s="50" t="str">
        <f>"15100-622404"</f>
        <v>15100-622404</v>
      </c>
      <c r="B6203" s="50" t="str">
        <f>"97/04/27"</f>
        <v>97/04/27</v>
      </c>
      <c r="C6203" s="50" t="s">
        <v>14267</v>
      </c>
      <c r="D6203" s="12" t="s">
        <v>13966</v>
      </c>
      <c r="E6203" s="12" t="s">
        <v>13333</v>
      </c>
      <c r="F6203" s="49">
        <v>124200</v>
      </c>
      <c r="G6203" s="77" t="str">
        <f>"JANSONS TRADING FZE"</f>
        <v>JANSONS TRADING FZE</v>
      </c>
      <c r="H6203" s="14" t="str">
        <f t="shared" si="237"/>
        <v>true</v>
      </c>
      <c r="I6203" s="14" t="s">
        <v>2458</v>
      </c>
      <c r="J6203" s="33" t="s">
        <v>7110</v>
      </c>
      <c r="K6203" s="33" t="s">
        <v>14255</v>
      </c>
      <c r="L6203" s="53" t="str">
        <f t="shared" ref="L6203:L6208" si="238">"پاکستان"</f>
        <v>پاکستان</v>
      </c>
      <c r="M6203" s="68" t="str">
        <f>"بشكه"</f>
        <v>بشكه</v>
      </c>
      <c r="N6203" s="53" t="str">
        <f>"تفتان (ميرجاوه)"</f>
        <v>تفتان (ميرجاوه)</v>
      </c>
      <c r="O6203" s="53">
        <v>55200</v>
      </c>
      <c r="P6203" s="198" t="str">
        <f>"1397558728001"</f>
        <v>1397558728001</v>
      </c>
    </row>
    <row r="6204" spans="1:16" ht="18.75" hidden="1">
      <c r="A6204" s="50" t="str">
        <f>"15100-615022"</f>
        <v>15100-615022</v>
      </c>
      <c r="B6204" s="50" t="str">
        <f>"97/04/16"</f>
        <v>97/04/16</v>
      </c>
      <c r="C6204" s="50" t="s">
        <v>14268</v>
      </c>
      <c r="D6204" s="12" t="s">
        <v>14111</v>
      </c>
      <c r="E6204" s="12" t="s">
        <v>13333</v>
      </c>
      <c r="F6204" s="49">
        <v>67800</v>
      </c>
      <c r="G6204" s="77" t="str">
        <f>"BITUBIZ FZE"</f>
        <v>BITUBIZ FZE</v>
      </c>
      <c r="H6204" s="14" t="str">
        <f t="shared" si="237"/>
        <v>true</v>
      </c>
      <c r="I6204" s="14" t="s">
        <v>2458</v>
      </c>
      <c r="J6204" s="33" t="s">
        <v>7110</v>
      </c>
      <c r="K6204" s="33" t="s">
        <v>14255</v>
      </c>
      <c r="L6204" s="53" t="str">
        <f t="shared" si="238"/>
        <v>پاکستان</v>
      </c>
      <c r="M6204" s="68" t="str">
        <f>"فله"</f>
        <v>فله</v>
      </c>
      <c r="N6204" s="53" t="str">
        <f>"پيشين"</f>
        <v>پيشين</v>
      </c>
      <c r="O6204" s="53">
        <v>55301</v>
      </c>
      <c r="P6204" s="198" t="str">
        <f>"1397558719001"</f>
        <v>1397558719001</v>
      </c>
    </row>
    <row r="6205" spans="1:16" ht="18.75" hidden="1">
      <c r="A6205" s="50" t="str">
        <f>"15100-616803"</f>
        <v>15100-616803</v>
      </c>
      <c r="B6205" s="50" t="str">
        <f>"97/04/19"</f>
        <v>97/04/19</v>
      </c>
      <c r="C6205" s="50" t="s">
        <v>14264</v>
      </c>
      <c r="D6205" s="12" t="s">
        <v>13969</v>
      </c>
      <c r="E6205" s="12" t="s">
        <v>13333</v>
      </c>
      <c r="F6205" s="49">
        <v>24040</v>
      </c>
      <c r="G6205" s="77" t="str">
        <f>"Areej For Marketing"</f>
        <v>Areej For Marketing</v>
      </c>
      <c r="H6205" s="14" t="str">
        <f t="shared" si="237"/>
        <v>true</v>
      </c>
      <c r="I6205" s="14" t="s">
        <v>2458</v>
      </c>
      <c r="J6205" s="33" t="s">
        <v>7110</v>
      </c>
      <c r="K6205" s="33" t="s">
        <v>14255</v>
      </c>
      <c r="L6205" s="53" t="str">
        <f t="shared" si="238"/>
        <v>پاکستان</v>
      </c>
      <c r="M6205" s="68" t="str">
        <f>"فله"</f>
        <v>فله</v>
      </c>
      <c r="N6205" s="53" t="str">
        <f>"تفتان (ميرجاوه)"</f>
        <v>تفتان (ميرجاوه)</v>
      </c>
      <c r="O6205" s="53">
        <v>55200</v>
      </c>
      <c r="P6205" s="198" t="str">
        <f>"1397561054001"</f>
        <v>1397561054001</v>
      </c>
    </row>
    <row r="6206" spans="1:16" ht="18.75" hidden="1">
      <c r="A6206" s="50" t="str">
        <f>"15100-624068"</f>
        <v>15100-624068</v>
      </c>
      <c r="B6206" s="50" t="str">
        <f>"97/04/30"</f>
        <v>97/04/30</v>
      </c>
      <c r="C6206" s="50" t="s">
        <v>14267</v>
      </c>
      <c r="D6206" s="12" t="s">
        <v>13966</v>
      </c>
      <c r="E6206" s="12" t="s">
        <v>13333</v>
      </c>
      <c r="F6206" s="49">
        <v>147550</v>
      </c>
      <c r="G6206" s="77" t="str">
        <f>"JANSONS TRADING FZE"</f>
        <v>JANSONS TRADING FZE</v>
      </c>
      <c r="H6206" s="14" t="str">
        <f t="shared" si="237"/>
        <v>true</v>
      </c>
      <c r="I6206" s="14" t="s">
        <v>2458</v>
      </c>
      <c r="J6206" s="33" t="s">
        <v>7110</v>
      </c>
      <c r="K6206" s="33" t="s">
        <v>14255</v>
      </c>
      <c r="L6206" s="53" t="str">
        <f t="shared" si="238"/>
        <v>پاکستان</v>
      </c>
      <c r="M6206" s="68" t="str">
        <f>"بشكه"</f>
        <v>بشكه</v>
      </c>
      <c r="N6206" s="53" t="str">
        <f>"تفتان (ميرجاوه)"</f>
        <v>تفتان (ميرجاوه)</v>
      </c>
      <c r="O6206" s="53">
        <v>55200</v>
      </c>
      <c r="P6206" s="198" t="str">
        <f>"1397558728001"</f>
        <v>1397558728001</v>
      </c>
    </row>
    <row r="6207" spans="1:16" ht="18.75" hidden="1">
      <c r="A6207" s="50" t="str">
        <f>"15100-623270"</f>
        <v>15100-623270</v>
      </c>
      <c r="B6207" s="50" t="str">
        <f>"97/04/28"</f>
        <v>97/04/28</v>
      </c>
      <c r="C6207" s="50" t="s">
        <v>14267</v>
      </c>
      <c r="D6207" s="12" t="s">
        <v>13966</v>
      </c>
      <c r="E6207" s="12" t="s">
        <v>13333</v>
      </c>
      <c r="F6207" s="49">
        <v>138060</v>
      </c>
      <c r="G6207" s="77" t="str">
        <f>"JANSONS TRADING FZE"</f>
        <v>JANSONS TRADING FZE</v>
      </c>
      <c r="H6207" s="14" t="str">
        <f t="shared" si="237"/>
        <v>true</v>
      </c>
      <c r="I6207" s="14" t="s">
        <v>2458</v>
      </c>
      <c r="J6207" s="33" t="s">
        <v>7110</v>
      </c>
      <c r="K6207" s="33" t="s">
        <v>14255</v>
      </c>
      <c r="L6207" s="53" t="str">
        <f t="shared" si="238"/>
        <v>پاکستان</v>
      </c>
      <c r="M6207" s="68" t="str">
        <f>"فله"</f>
        <v>فله</v>
      </c>
      <c r="N6207" s="53" t="str">
        <f>"پيشين"</f>
        <v>پيشين</v>
      </c>
      <c r="O6207" s="53">
        <v>55301</v>
      </c>
      <c r="P6207" s="198" t="str">
        <f>"1397558728001"</f>
        <v>1397558728001</v>
      </c>
    </row>
    <row r="6208" spans="1:16" ht="18.75" hidden="1">
      <c r="A6208" s="50" t="str">
        <f>"15100-620204"</f>
        <v>15100-620204</v>
      </c>
      <c r="B6208" s="50" t="str">
        <f>"97/04/24"</f>
        <v>97/04/24</v>
      </c>
      <c r="C6208" s="50" t="s">
        <v>14264</v>
      </c>
      <c r="D6208" s="12" t="s">
        <v>13969</v>
      </c>
      <c r="E6208" s="12" t="s">
        <v>13333</v>
      </c>
      <c r="F6208" s="49">
        <v>105420</v>
      </c>
      <c r="G6208" s="77" t="str">
        <f>"Areej For Marketing"</f>
        <v>Areej For Marketing</v>
      </c>
      <c r="H6208" s="14" t="str">
        <f t="shared" si="237"/>
        <v>true</v>
      </c>
      <c r="I6208" s="14" t="s">
        <v>2458</v>
      </c>
      <c r="J6208" s="33" t="s">
        <v>7110</v>
      </c>
      <c r="K6208" s="33" t="s">
        <v>14255</v>
      </c>
      <c r="L6208" s="53" t="str">
        <f t="shared" si="238"/>
        <v>پاکستان</v>
      </c>
      <c r="M6208" s="68" t="str">
        <f>"فله"</f>
        <v>فله</v>
      </c>
      <c r="N6208" s="53" t="str">
        <f>"پيشين"</f>
        <v>پيشين</v>
      </c>
      <c r="O6208" s="53">
        <v>55301</v>
      </c>
      <c r="P6208" s="198" t="str">
        <f>"1397561054001"</f>
        <v>1397561054001</v>
      </c>
    </row>
    <row r="6209" spans="1:17" ht="18.75" hidden="1">
      <c r="A6209" s="50" t="s">
        <v>14269</v>
      </c>
      <c r="B6209" s="50" t="s">
        <v>14270</v>
      </c>
      <c r="C6209" s="50" t="s">
        <v>14257</v>
      </c>
      <c r="D6209" s="12" t="s">
        <v>13851</v>
      </c>
      <c r="E6209" s="12" t="s">
        <v>13333</v>
      </c>
      <c r="F6209" s="49">
        <v>46800</v>
      </c>
      <c r="G6209" s="77" t="s">
        <v>6454</v>
      </c>
      <c r="H6209" s="14" t="str">
        <f t="shared" si="237"/>
        <v>true</v>
      </c>
      <c r="I6209" s="14" t="s">
        <v>2458</v>
      </c>
      <c r="J6209" s="33" t="s">
        <v>7110</v>
      </c>
      <c r="K6209" s="33" t="s">
        <v>14255</v>
      </c>
      <c r="L6209" s="53" t="s">
        <v>6054</v>
      </c>
      <c r="M6209" s="68" t="s">
        <v>8913</v>
      </c>
      <c r="N6209" s="53" t="s">
        <v>6285</v>
      </c>
      <c r="O6209" s="53">
        <v>55200</v>
      </c>
      <c r="P6209" s="198" t="s">
        <v>14021</v>
      </c>
    </row>
    <row r="6210" spans="1:17" ht="18.75" hidden="1">
      <c r="A6210" s="50" t="s">
        <v>14271</v>
      </c>
      <c r="B6210" s="50" t="s">
        <v>13810</v>
      </c>
      <c r="C6210" s="50" t="s">
        <v>14162</v>
      </c>
      <c r="D6210" s="12" t="s">
        <v>13473</v>
      </c>
      <c r="E6210" s="12" t="s">
        <v>13333</v>
      </c>
      <c r="F6210" s="49">
        <v>60960</v>
      </c>
      <c r="G6210" s="77" t="s">
        <v>12590</v>
      </c>
      <c r="H6210" s="14" t="str">
        <f t="shared" si="237"/>
        <v>true</v>
      </c>
      <c r="I6210" s="14" t="s">
        <v>2458</v>
      </c>
      <c r="J6210" s="33" t="s">
        <v>7110</v>
      </c>
      <c r="K6210" s="33" t="s">
        <v>14255</v>
      </c>
      <c r="L6210" s="53" t="s">
        <v>6054</v>
      </c>
      <c r="M6210" s="68" t="s">
        <v>8912</v>
      </c>
      <c r="N6210" s="53" t="s">
        <v>6285</v>
      </c>
      <c r="O6210" s="53">
        <v>55200</v>
      </c>
      <c r="P6210" s="198">
        <v>1397558724001</v>
      </c>
    </row>
    <row r="6211" spans="1:17" ht="18.75" hidden="1">
      <c r="A6211" s="50" t="s">
        <v>14272</v>
      </c>
      <c r="B6211" s="50" t="s">
        <v>13988</v>
      </c>
      <c r="C6211" s="50" t="s">
        <v>14105</v>
      </c>
      <c r="D6211" s="12" t="s">
        <v>13552</v>
      </c>
      <c r="E6211" s="12" t="s">
        <v>13333</v>
      </c>
      <c r="F6211" s="49">
        <v>68670</v>
      </c>
      <c r="G6211" s="77" t="s">
        <v>12823</v>
      </c>
      <c r="H6211" s="14" t="str">
        <f t="shared" si="237"/>
        <v>true</v>
      </c>
      <c r="I6211" s="14" t="s">
        <v>2458</v>
      </c>
      <c r="J6211" s="33" t="s">
        <v>7110</v>
      </c>
      <c r="K6211" s="33" t="s">
        <v>14255</v>
      </c>
      <c r="L6211" s="53" t="s">
        <v>6054</v>
      </c>
      <c r="M6211" s="68" t="s">
        <v>8912</v>
      </c>
      <c r="N6211" s="53" t="s">
        <v>6285</v>
      </c>
      <c r="O6211" s="53">
        <v>55200</v>
      </c>
      <c r="P6211" s="198" t="s">
        <v>14089</v>
      </c>
    </row>
    <row r="6212" spans="1:17" ht="18.75" hidden="1">
      <c r="A6212" s="50" t="s">
        <v>14271</v>
      </c>
      <c r="B6212" s="50" t="s">
        <v>13810</v>
      </c>
      <c r="C6212" s="50" t="s">
        <v>13963</v>
      </c>
      <c r="D6212" s="12" t="s">
        <v>13812</v>
      </c>
      <c r="E6212" s="12" t="s">
        <v>13333</v>
      </c>
      <c r="F6212" s="49">
        <v>12480</v>
      </c>
      <c r="G6212" s="77" t="s">
        <v>6454</v>
      </c>
      <c r="H6212" s="14" t="str">
        <f t="shared" si="237"/>
        <v>true</v>
      </c>
      <c r="I6212" s="14" t="s">
        <v>2458</v>
      </c>
      <c r="J6212" s="33" t="s">
        <v>7110</v>
      </c>
      <c r="K6212" s="33" t="s">
        <v>14255</v>
      </c>
      <c r="L6212" s="53" t="s">
        <v>6054</v>
      </c>
      <c r="M6212" s="68" t="s">
        <v>8912</v>
      </c>
      <c r="N6212" s="53" t="s">
        <v>6285</v>
      </c>
      <c r="O6212" s="53">
        <v>55200</v>
      </c>
      <c r="P6212" s="198" t="s">
        <v>14021</v>
      </c>
    </row>
    <row r="6213" spans="1:17" ht="18.75" hidden="1">
      <c r="A6213" s="50" t="s">
        <v>14273</v>
      </c>
      <c r="B6213" s="50" t="s">
        <v>13966</v>
      </c>
      <c r="C6213" s="50" t="s">
        <v>13958</v>
      </c>
      <c r="D6213" s="12" t="s">
        <v>13759</v>
      </c>
      <c r="E6213" s="12" t="s">
        <v>13333</v>
      </c>
      <c r="F6213" s="49">
        <v>474170</v>
      </c>
      <c r="G6213" s="77" t="s">
        <v>13714</v>
      </c>
      <c r="H6213" s="14" t="str">
        <f t="shared" si="237"/>
        <v>true</v>
      </c>
      <c r="I6213" s="14" t="s">
        <v>2458</v>
      </c>
      <c r="J6213" s="33" t="s">
        <v>7110</v>
      </c>
      <c r="K6213" s="33" t="s">
        <v>14255</v>
      </c>
      <c r="L6213" s="53" t="s">
        <v>6054</v>
      </c>
      <c r="M6213" s="68" t="s">
        <v>8912</v>
      </c>
      <c r="N6213" s="53" t="s">
        <v>6076</v>
      </c>
      <c r="O6213" s="53">
        <v>55301</v>
      </c>
      <c r="P6213" s="198" t="s">
        <v>13715</v>
      </c>
    </row>
    <row r="6214" spans="1:17" ht="18.75" hidden="1">
      <c r="A6214" s="50" t="s">
        <v>14274</v>
      </c>
      <c r="B6214" s="50" t="s">
        <v>13965</v>
      </c>
      <c r="C6214" s="50" t="s">
        <v>14275</v>
      </c>
      <c r="D6214" s="12" t="s">
        <v>13575</v>
      </c>
      <c r="E6214" s="12" t="s">
        <v>13333</v>
      </c>
      <c r="F6214" s="49">
        <v>600000</v>
      </c>
      <c r="G6214" s="77" t="s">
        <v>13714</v>
      </c>
      <c r="H6214" s="14" t="str">
        <f t="shared" si="237"/>
        <v>true</v>
      </c>
      <c r="I6214" s="14" t="s">
        <v>2458</v>
      </c>
      <c r="J6214" s="33" t="s">
        <v>7110</v>
      </c>
      <c r="K6214" s="33" t="s">
        <v>14255</v>
      </c>
      <c r="L6214" s="53" t="s">
        <v>6054</v>
      </c>
      <c r="M6214" s="68" t="s">
        <v>8912</v>
      </c>
      <c r="N6214" s="53" t="s">
        <v>6076</v>
      </c>
      <c r="O6214" s="53">
        <v>55301</v>
      </c>
      <c r="P6214" s="198" t="s">
        <v>13715</v>
      </c>
    </row>
    <row r="6215" spans="1:17" ht="18.75" hidden="1">
      <c r="A6215" s="50" t="s">
        <v>14274</v>
      </c>
      <c r="B6215" s="50" t="s">
        <v>13965</v>
      </c>
      <c r="C6215" s="50" t="s">
        <v>14169</v>
      </c>
      <c r="D6215" s="12" t="s">
        <v>13808</v>
      </c>
      <c r="E6215" s="12" t="s">
        <v>13333</v>
      </c>
      <c r="F6215" s="49">
        <v>422940</v>
      </c>
      <c r="G6215" s="77" t="s">
        <v>6300</v>
      </c>
      <c r="H6215" s="14" t="str">
        <f t="shared" si="237"/>
        <v>true</v>
      </c>
      <c r="I6215" s="14" t="s">
        <v>2458</v>
      </c>
      <c r="J6215" s="33" t="s">
        <v>7110</v>
      </c>
      <c r="K6215" s="33" t="s">
        <v>14255</v>
      </c>
      <c r="L6215" s="53" t="s">
        <v>6054</v>
      </c>
      <c r="M6215" s="68" t="s">
        <v>8912</v>
      </c>
      <c r="N6215" s="53" t="s">
        <v>6076</v>
      </c>
      <c r="O6215" s="53">
        <v>55301</v>
      </c>
      <c r="P6215" s="198" t="s">
        <v>12938</v>
      </c>
    </row>
    <row r="6216" spans="1:17" ht="18.75" hidden="1">
      <c r="A6216" s="54" t="s">
        <v>14274</v>
      </c>
      <c r="B6216" s="54" t="s">
        <v>13965</v>
      </c>
      <c r="C6216" s="54" t="s">
        <v>14257</v>
      </c>
      <c r="D6216" s="55" t="s">
        <v>13851</v>
      </c>
      <c r="E6216" s="55" t="s">
        <v>13333</v>
      </c>
      <c r="F6216" s="56">
        <v>423010</v>
      </c>
      <c r="G6216" s="186" t="s">
        <v>6454</v>
      </c>
      <c r="H6216" s="57" t="str">
        <f t="shared" si="237"/>
        <v>true</v>
      </c>
      <c r="I6216" s="57" t="s">
        <v>2458</v>
      </c>
      <c r="J6216" s="33" t="s">
        <v>7110</v>
      </c>
      <c r="K6216" s="187" t="s">
        <v>14255</v>
      </c>
      <c r="L6216" s="188" t="s">
        <v>6054</v>
      </c>
      <c r="M6216" s="189" t="s">
        <v>8912</v>
      </c>
      <c r="N6216" s="188" t="s">
        <v>6076</v>
      </c>
      <c r="O6216" s="188">
        <v>55301</v>
      </c>
      <c r="P6216" s="200" t="s">
        <v>14021</v>
      </c>
      <c r="Q6216" s="17" t="s">
        <v>14452</v>
      </c>
    </row>
    <row r="6217" spans="1:17" ht="18.75" hidden="1">
      <c r="A6217" s="50" t="s">
        <v>14274</v>
      </c>
      <c r="B6217" s="50" t="s">
        <v>13965</v>
      </c>
      <c r="C6217" s="50" t="s">
        <v>13981</v>
      </c>
      <c r="D6217" s="12" t="s">
        <v>13741</v>
      </c>
      <c r="E6217" s="12" t="s">
        <v>13333</v>
      </c>
      <c r="F6217" s="49">
        <v>225210</v>
      </c>
      <c r="G6217" s="77" t="s">
        <v>13714</v>
      </c>
      <c r="H6217" s="14" t="str">
        <f t="shared" si="237"/>
        <v>true</v>
      </c>
      <c r="I6217" s="14" t="s">
        <v>2458</v>
      </c>
      <c r="J6217" s="33" t="s">
        <v>7110</v>
      </c>
      <c r="K6217" s="33" t="s">
        <v>14255</v>
      </c>
      <c r="L6217" s="53" t="s">
        <v>6054</v>
      </c>
      <c r="M6217" s="68" t="s">
        <v>8912</v>
      </c>
      <c r="N6217" s="53" t="s">
        <v>6076</v>
      </c>
      <c r="O6217" s="53">
        <v>55301</v>
      </c>
      <c r="P6217" s="198" t="s">
        <v>13715</v>
      </c>
    </row>
    <row r="6218" spans="1:17" ht="18.75" hidden="1">
      <c r="A6218" s="50" t="s">
        <v>14276</v>
      </c>
      <c r="B6218" s="50" t="s">
        <v>14034</v>
      </c>
      <c r="C6218" s="50" t="s">
        <v>14066</v>
      </c>
      <c r="D6218" s="12" t="s">
        <v>13422</v>
      </c>
      <c r="E6218" s="12" t="s">
        <v>13333</v>
      </c>
      <c r="F6218" s="49">
        <v>193860</v>
      </c>
      <c r="G6218" s="77" t="s">
        <v>6298</v>
      </c>
      <c r="H6218" s="14" t="str">
        <f t="shared" si="237"/>
        <v>true</v>
      </c>
      <c r="I6218" s="14" t="s">
        <v>2458</v>
      </c>
      <c r="J6218" s="33" t="s">
        <v>7110</v>
      </c>
      <c r="K6218" s="33" t="s">
        <v>14255</v>
      </c>
      <c r="L6218" s="53" t="s">
        <v>6054</v>
      </c>
      <c r="M6218" s="68" t="s">
        <v>8913</v>
      </c>
      <c r="N6218" s="53" t="s">
        <v>6076</v>
      </c>
      <c r="O6218" s="53">
        <v>55301</v>
      </c>
      <c r="P6218" s="198" t="s">
        <v>14053</v>
      </c>
    </row>
    <row r="6219" spans="1:17" ht="18.75" hidden="1">
      <c r="A6219" s="50" t="s">
        <v>14276</v>
      </c>
      <c r="B6219" s="50" t="s">
        <v>14034</v>
      </c>
      <c r="C6219" s="50" t="s">
        <v>14262</v>
      </c>
      <c r="D6219" s="12" t="s">
        <v>13808</v>
      </c>
      <c r="E6219" s="12" t="s">
        <v>13333</v>
      </c>
      <c r="F6219" s="49">
        <v>73940</v>
      </c>
      <c r="G6219" s="77" t="s">
        <v>13714</v>
      </c>
      <c r="H6219" s="14" t="str">
        <f t="shared" si="237"/>
        <v>true</v>
      </c>
      <c r="I6219" s="14" t="s">
        <v>2458</v>
      </c>
      <c r="J6219" s="33" t="e">
        <f>VLOOKUP(C6219,شرکتها!A:B,2,FALSE)</f>
        <v>#N/A</v>
      </c>
      <c r="K6219" s="33" t="s">
        <v>14255</v>
      </c>
      <c r="L6219" s="53" t="s">
        <v>6054</v>
      </c>
      <c r="M6219" s="68" t="s">
        <v>8913</v>
      </c>
      <c r="N6219" s="53" t="s">
        <v>6076</v>
      </c>
      <c r="O6219" s="53">
        <v>55301</v>
      </c>
      <c r="P6219" s="198" t="s">
        <v>14078</v>
      </c>
    </row>
    <row r="6220" spans="1:17" ht="18.75" hidden="1">
      <c r="A6220" s="50" t="s">
        <v>14277</v>
      </c>
      <c r="B6220" s="50" t="s">
        <v>14075</v>
      </c>
      <c r="C6220" s="50" t="s">
        <v>14073</v>
      </c>
      <c r="D6220" s="12" t="s">
        <v>13827</v>
      </c>
      <c r="E6220" s="12" t="s">
        <v>13333</v>
      </c>
      <c r="F6220" s="49">
        <v>117060</v>
      </c>
      <c r="G6220" s="77" t="s">
        <v>14278</v>
      </c>
      <c r="H6220" s="14" t="str">
        <f t="shared" si="237"/>
        <v>true</v>
      </c>
      <c r="I6220" s="14" t="s">
        <v>2458</v>
      </c>
      <c r="J6220" s="33" t="s">
        <v>7110</v>
      </c>
      <c r="K6220" s="33" t="s">
        <v>14255</v>
      </c>
      <c r="L6220" s="53" t="s">
        <v>6054</v>
      </c>
      <c r="M6220" s="68" t="s">
        <v>8912</v>
      </c>
      <c r="N6220" s="53" t="s">
        <v>6286</v>
      </c>
      <c r="O6220" s="53">
        <v>55107</v>
      </c>
      <c r="P6220" s="198" t="s">
        <v>14050</v>
      </c>
    </row>
    <row r="6221" spans="1:17" ht="18.75" hidden="1">
      <c r="A6221" s="50" t="s">
        <v>14277</v>
      </c>
      <c r="B6221" s="50" t="s">
        <v>14075</v>
      </c>
      <c r="C6221" s="50" t="s">
        <v>13707</v>
      </c>
      <c r="D6221" s="12" t="s">
        <v>13380</v>
      </c>
      <c r="E6221" s="12" t="s">
        <v>13333</v>
      </c>
      <c r="F6221" s="49">
        <v>28080</v>
      </c>
      <c r="G6221" s="77" t="s">
        <v>6454</v>
      </c>
      <c r="H6221" s="14" t="str">
        <f t="shared" si="237"/>
        <v>true</v>
      </c>
      <c r="I6221" s="14" t="s">
        <v>2458</v>
      </c>
      <c r="J6221" s="33" t="s">
        <v>7110</v>
      </c>
      <c r="K6221" s="33" t="s">
        <v>14255</v>
      </c>
      <c r="L6221" s="53" t="s">
        <v>6054</v>
      </c>
      <c r="M6221" s="68" t="s">
        <v>8912</v>
      </c>
      <c r="N6221" s="53" t="s">
        <v>6286</v>
      </c>
      <c r="O6221" s="53">
        <v>55107</v>
      </c>
      <c r="P6221" s="198" t="s">
        <v>12669</v>
      </c>
    </row>
    <row r="6222" spans="1:17" ht="18.75" hidden="1">
      <c r="A6222" s="50" t="s">
        <v>14279</v>
      </c>
      <c r="B6222" s="50" t="s">
        <v>14055</v>
      </c>
      <c r="C6222" s="50" t="s">
        <v>14124</v>
      </c>
      <c r="D6222" s="12" t="s">
        <v>13835</v>
      </c>
      <c r="E6222" s="12" t="s">
        <v>13333</v>
      </c>
      <c r="F6222" s="49">
        <v>268130</v>
      </c>
      <c r="G6222" s="77" t="s">
        <v>13495</v>
      </c>
      <c r="H6222" s="14" t="str">
        <f t="shared" si="237"/>
        <v>true</v>
      </c>
      <c r="I6222" s="14" t="s">
        <v>2458</v>
      </c>
      <c r="J6222" s="33" t="s">
        <v>7110</v>
      </c>
      <c r="K6222" s="33" t="s">
        <v>14255</v>
      </c>
      <c r="L6222" s="53" t="s">
        <v>6054</v>
      </c>
      <c r="M6222" s="68" t="s">
        <v>8912</v>
      </c>
      <c r="N6222" s="53" t="s">
        <v>6286</v>
      </c>
      <c r="O6222" s="53">
        <v>55107</v>
      </c>
      <c r="P6222" s="198" t="s">
        <v>13625</v>
      </c>
    </row>
    <row r="6223" spans="1:17" ht="18.75" hidden="1">
      <c r="A6223" s="50" t="s">
        <v>14276</v>
      </c>
      <c r="B6223" s="50" t="s">
        <v>14034</v>
      </c>
      <c r="C6223" s="50" t="s">
        <v>14266</v>
      </c>
      <c r="D6223" s="12" t="s">
        <v>13966</v>
      </c>
      <c r="E6223" s="12" t="s">
        <v>13333</v>
      </c>
      <c r="F6223" s="49">
        <v>71220</v>
      </c>
      <c r="G6223" s="77" t="s">
        <v>11829</v>
      </c>
      <c r="H6223" s="14" t="str">
        <f t="shared" si="237"/>
        <v>true</v>
      </c>
      <c r="I6223" s="14" t="s">
        <v>2458</v>
      </c>
      <c r="J6223" s="33" t="s">
        <v>7110</v>
      </c>
      <c r="K6223" s="33" t="s">
        <v>14255</v>
      </c>
      <c r="L6223" s="53" t="s">
        <v>6054</v>
      </c>
      <c r="M6223" s="68" t="s">
        <v>8913</v>
      </c>
      <c r="N6223" s="53" t="s">
        <v>6076</v>
      </c>
      <c r="O6223" s="53">
        <v>55301</v>
      </c>
      <c r="P6223" s="198" t="s">
        <v>13664</v>
      </c>
    </row>
    <row r="6224" spans="1:17" ht="18.75" hidden="1">
      <c r="A6224" s="50" t="s">
        <v>14280</v>
      </c>
      <c r="B6224" s="50" t="s">
        <v>14192</v>
      </c>
      <c r="C6224" s="50" t="s">
        <v>14124</v>
      </c>
      <c r="D6224" s="12" t="s">
        <v>13835</v>
      </c>
      <c r="E6224" s="12" t="s">
        <v>13333</v>
      </c>
      <c r="F6224" s="49">
        <v>29000</v>
      </c>
      <c r="G6224" s="77" t="s">
        <v>13495</v>
      </c>
      <c r="H6224" s="14" t="str">
        <f t="shared" si="237"/>
        <v>true</v>
      </c>
      <c r="I6224" s="14" t="s">
        <v>2458</v>
      </c>
      <c r="J6224" s="33" t="s">
        <v>7110</v>
      </c>
      <c r="K6224" s="33" t="s">
        <v>14255</v>
      </c>
      <c r="L6224" s="53" t="s">
        <v>6054</v>
      </c>
      <c r="M6224" s="68" t="s">
        <v>8913</v>
      </c>
      <c r="N6224" s="53" t="s">
        <v>9836</v>
      </c>
      <c r="O6224" s="53">
        <v>55112</v>
      </c>
      <c r="P6224" s="198" t="s">
        <v>13625</v>
      </c>
    </row>
    <row r="6225" spans="1:16" ht="18.75" hidden="1">
      <c r="A6225" s="50" t="s">
        <v>14281</v>
      </c>
      <c r="B6225" s="50" t="s">
        <v>14192</v>
      </c>
      <c r="C6225" s="50" t="s">
        <v>14124</v>
      </c>
      <c r="D6225" s="12" t="s">
        <v>13835</v>
      </c>
      <c r="E6225" s="12" t="s">
        <v>13333</v>
      </c>
      <c r="F6225" s="49">
        <v>117770</v>
      </c>
      <c r="G6225" s="77" t="s">
        <v>13495</v>
      </c>
      <c r="H6225" s="14" t="str">
        <f t="shared" si="237"/>
        <v>true</v>
      </c>
      <c r="I6225" s="14" t="s">
        <v>2458</v>
      </c>
      <c r="J6225" s="33" t="s">
        <v>7110</v>
      </c>
      <c r="K6225" s="33" t="s">
        <v>14255</v>
      </c>
      <c r="L6225" s="53" t="s">
        <v>6054</v>
      </c>
      <c r="M6225" s="68" t="s">
        <v>8913</v>
      </c>
      <c r="N6225" s="53" t="s">
        <v>9836</v>
      </c>
      <c r="O6225" s="53">
        <v>55112</v>
      </c>
      <c r="P6225" s="198" t="s">
        <v>13625</v>
      </c>
    </row>
    <row r="6226" spans="1:16" ht="18.75" hidden="1">
      <c r="A6226" s="50" t="s">
        <v>14282</v>
      </c>
      <c r="B6226" s="50" t="s">
        <v>14102</v>
      </c>
      <c r="C6226" s="50" t="s">
        <v>14103</v>
      </c>
      <c r="D6226" s="12" t="s">
        <v>13827</v>
      </c>
      <c r="E6226" s="12" t="s">
        <v>13333</v>
      </c>
      <c r="F6226" s="49">
        <v>67360</v>
      </c>
      <c r="G6226" s="77" t="s">
        <v>11829</v>
      </c>
      <c r="H6226" s="14" t="str">
        <f t="shared" ref="H6226:H6229" si="239">IF(I6226="نامشخص",IF(E6226&gt;C6226,"false","true"),IF(E6226&gt;I6226,"false","true"))</f>
        <v>true</v>
      </c>
      <c r="I6226" s="14" t="s">
        <v>2458</v>
      </c>
      <c r="J6226" s="33" t="s">
        <v>7110</v>
      </c>
      <c r="K6226" s="33" t="s">
        <v>14255</v>
      </c>
      <c r="L6226" s="53" t="s">
        <v>6054</v>
      </c>
      <c r="M6226" s="68" t="s">
        <v>8913</v>
      </c>
      <c r="N6226" s="53" t="s">
        <v>9836</v>
      </c>
      <c r="O6226" s="53">
        <v>55112</v>
      </c>
      <c r="P6226" s="198" t="s">
        <v>13664</v>
      </c>
    </row>
    <row r="6227" spans="1:16" ht="18.75" hidden="1">
      <c r="A6227" s="50" t="s">
        <v>14283</v>
      </c>
      <c r="B6227" s="50" t="s">
        <v>13996</v>
      </c>
      <c r="C6227" s="50" t="s">
        <v>14073</v>
      </c>
      <c r="D6227" s="12" t="s">
        <v>13827</v>
      </c>
      <c r="E6227" s="12" t="s">
        <v>13333</v>
      </c>
      <c r="F6227" s="49">
        <v>70660</v>
      </c>
      <c r="G6227" s="77" t="s">
        <v>14278</v>
      </c>
      <c r="H6227" s="14" t="str">
        <f t="shared" si="239"/>
        <v>true</v>
      </c>
      <c r="I6227" s="14" t="s">
        <v>2458</v>
      </c>
      <c r="J6227" s="33" t="s">
        <v>7110</v>
      </c>
      <c r="K6227" s="33" t="s">
        <v>14255</v>
      </c>
      <c r="L6227" s="53" t="s">
        <v>6054</v>
      </c>
      <c r="M6227" s="68" t="s">
        <v>8912</v>
      </c>
      <c r="N6227" s="53" t="s">
        <v>6285</v>
      </c>
      <c r="O6227" s="53">
        <v>55200</v>
      </c>
      <c r="P6227" s="198" t="s">
        <v>14050</v>
      </c>
    </row>
    <row r="6228" spans="1:16" ht="18.75" hidden="1">
      <c r="A6228" s="50" t="s">
        <v>14276</v>
      </c>
      <c r="B6228" s="50" t="s">
        <v>14034</v>
      </c>
      <c r="C6228" s="50" t="s">
        <v>14110</v>
      </c>
      <c r="D6228" s="12" t="s">
        <v>13422</v>
      </c>
      <c r="E6228" s="12" t="s">
        <v>13333</v>
      </c>
      <c r="F6228" s="49">
        <v>160400</v>
      </c>
      <c r="G6228" s="77" t="s">
        <v>13495</v>
      </c>
      <c r="H6228" s="14" t="str">
        <f t="shared" si="239"/>
        <v>true</v>
      </c>
      <c r="I6228" s="14" t="s">
        <v>2458</v>
      </c>
      <c r="J6228" s="33" t="s">
        <v>7110</v>
      </c>
      <c r="K6228" s="33" t="s">
        <v>14255</v>
      </c>
      <c r="L6228" s="53" t="s">
        <v>6054</v>
      </c>
      <c r="M6228" s="68" t="s">
        <v>8913</v>
      </c>
      <c r="N6228" s="53" t="s">
        <v>6076</v>
      </c>
      <c r="O6228" s="53">
        <v>55301</v>
      </c>
      <c r="P6228" s="198" t="s">
        <v>13625</v>
      </c>
    </row>
    <row r="6229" spans="1:16" ht="18.75" hidden="1">
      <c r="A6229" s="50" t="s">
        <v>14280</v>
      </c>
      <c r="B6229" s="50" t="s">
        <v>14192</v>
      </c>
      <c r="C6229" s="50" t="s">
        <v>14184</v>
      </c>
      <c r="D6229" s="12" t="s">
        <v>13835</v>
      </c>
      <c r="E6229" s="12" t="s">
        <v>13333</v>
      </c>
      <c r="F6229" s="49">
        <v>19380</v>
      </c>
      <c r="G6229" s="77" t="s">
        <v>13495</v>
      </c>
      <c r="H6229" s="14" t="str">
        <f t="shared" si="239"/>
        <v>true</v>
      </c>
      <c r="I6229" s="14" t="s">
        <v>2458</v>
      </c>
      <c r="J6229" s="33" t="s">
        <v>7110</v>
      </c>
      <c r="K6229" s="33" t="s">
        <v>14255</v>
      </c>
      <c r="L6229" s="53" t="s">
        <v>6054</v>
      </c>
      <c r="M6229" s="68" t="s">
        <v>8913</v>
      </c>
      <c r="N6229" s="53" t="s">
        <v>9836</v>
      </c>
      <c r="O6229" s="53">
        <v>55112</v>
      </c>
      <c r="P6229" s="198">
        <v>1397558725001</v>
      </c>
    </row>
    <row r="6230" spans="1:16" ht="18.75" hidden="1">
      <c r="A6230" s="50" t="s">
        <v>14285</v>
      </c>
      <c r="B6230" s="50" t="s">
        <v>14255</v>
      </c>
      <c r="C6230" s="50" t="s">
        <v>14077</v>
      </c>
      <c r="D6230" s="12" t="s">
        <v>13969</v>
      </c>
      <c r="E6230" s="12" t="s">
        <v>13333</v>
      </c>
      <c r="F6230" s="49">
        <v>20600</v>
      </c>
      <c r="G6230" s="77" t="s">
        <v>13714</v>
      </c>
      <c r="H6230" s="14" t="str">
        <f t="shared" ref="H6230:H6268" si="240">IF(I6230="نامشخص",IF(E6230&gt;C6230,"false","true"),IF(E6230&gt;I6230,"false","true"))</f>
        <v>true</v>
      </c>
      <c r="I6230" s="14" t="s">
        <v>2458</v>
      </c>
      <c r="J6230" s="33" t="e">
        <f>VLOOKUP(C6230,شرکتها!A:B,2,FALSE)</f>
        <v>#N/A</v>
      </c>
      <c r="K6230" s="33" t="s">
        <v>14286</v>
      </c>
      <c r="L6230" s="53" t="s">
        <v>6054</v>
      </c>
      <c r="M6230" s="68" t="s">
        <v>8913</v>
      </c>
      <c r="N6230" s="53" t="s">
        <v>6076</v>
      </c>
      <c r="O6230" s="53">
        <v>55301</v>
      </c>
      <c r="P6230" s="198" t="s">
        <v>14078</v>
      </c>
    </row>
    <row r="6231" spans="1:16" ht="18.75" hidden="1">
      <c r="A6231" s="50" t="s">
        <v>14287</v>
      </c>
      <c r="B6231" s="50" t="s">
        <v>14241</v>
      </c>
      <c r="C6231" s="50" t="s">
        <v>14288</v>
      </c>
      <c r="D6231" s="12" t="s">
        <v>13966</v>
      </c>
      <c r="E6231" s="12" t="s">
        <v>13333</v>
      </c>
      <c r="F6231" s="49">
        <v>66820</v>
      </c>
      <c r="G6231" s="77" t="s">
        <v>14278</v>
      </c>
      <c r="H6231" s="14" t="str">
        <f t="shared" si="240"/>
        <v>true</v>
      </c>
      <c r="I6231" s="14" t="s">
        <v>2458</v>
      </c>
      <c r="J6231" s="33" t="s">
        <v>7110</v>
      </c>
      <c r="K6231" s="33" t="s">
        <v>14286</v>
      </c>
      <c r="L6231" s="53" t="s">
        <v>6054</v>
      </c>
      <c r="M6231" s="68" t="s">
        <v>8913</v>
      </c>
      <c r="N6231" s="53" t="s">
        <v>6076</v>
      </c>
      <c r="O6231" s="53">
        <v>55301</v>
      </c>
      <c r="P6231" s="198" t="s">
        <v>14050</v>
      </c>
    </row>
    <row r="6232" spans="1:16" ht="18.75">
      <c r="A6232" s="50" t="s">
        <v>14289</v>
      </c>
      <c r="B6232" s="50" t="s">
        <v>14255</v>
      </c>
      <c r="C6232" s="50" t="s">
        <v>14290</v>
      </c>
      <c r="D6232" s="12" t="s">
        <v>13957</v>
      </c>
      <c r="E6232" s="12" t="s">
        <v>13333</v>
      </c>
      <c r="F6232" s="49">
        <v>120630</v>
      </c>
      <c r="G6232" s="77" t="s">
        <v>6454</v>
      </c>
      <c r="H6232" s="14" t="str">
        <f t="shared" si="240"/>
        <v>true</v>
      </c>
      <c r="I6232" s="14" t="s">
        <v>2458</v>
      </c>
      <c r="J6232" s="33" t="e">
        <f>VLOOKUP(C6232,شرکتها!A:B,2,FALSE)</f>
        <v>#N/A</v>
      </c>
      <c r="K6232" s="33" t="s">
        <v>14286</v>
      </c>
      <c r="L6232" s="53" t="s">
        <v>6054</v>
      </c>
      <c r="M6232" s="68" t="s">
        <v>8912</v>
      </c>
      <c r="N6232" s="53" t="s">
        <v>6285</v>
      </c>
      <c r="O6232" s="53">
        <v>55200</v>
      </c>
      <c r="P6232" s="198" t="s">
        <v>14291</v>
      </c>
    </row>
    <row r="6233" spans="1:16" ht="18.75" hidden="1">
      <c r="A6233" s="50" t="s">
        <v>14292</v>
      </c>
      <c r="B6233" s="50" t="s">
        <v>14227</v>
      </c>
      <c r="C6233" s="50" t="s">
        <v>14258</v>
      </c>
      <c r="D6233" s="12" t="s">
        <v>13966</v>
      </c>
      <c r="E6233" s="12" t="s">
        <v>13333</v>
      </c>
      <c r="F6233" s="49">
        <v>49390</v>
      </c>
      <c r="G6233" s="77" t="s">
        <v>11829</v>
      </c>
      <c r="H6233" s="14" t="str">
        <f t="shared" si="240"/>
        <v>true</v>
      </c>
      <c r="I6233" s="14" t="s">
        <v>2458</v>
      </c>
      <c r="J6233" s="33" t="s">
        <v>7110</v>
      </c>
      <c r="K6233" s="33" t="s">
        <v>14286</v>
      </c>
      <c r="L6233" s="53" t="s">
        <v>6054</v>
      </c>
      <c r="M6233" s="68" t="s">
        <v>8912</v>
      </c>
      <c r="N6233" s="53" t="s">
        <v>6285</v>
      </c>
      <c r="O6233" s="53">
        <v>55200</v>
      </c>
      <c r="P6233" s="198" t="s">
        <v>13664</v>
      </c>
    </row>
    <row r="6234" spans="1:16" ht="18.75" hidden="1">
      <c r="A6234" s="50" t="s">
        <v>14293</v>
      </c>
      <c r="B6234" s="50" t="s">
        <v>14227</v>
      </c>
      <c r="C6234" s="50" t="s">
        <v>14159</v>
      </c>
      <c r="D6234" s="12" t="s">
        <v>13851</v>
      </c>
      <c r="E6234" s="12" t="s">
        <v>13333</v>
      </c>
      <c r="F6234" s="49">
        <v>11310</v>
      </c>
      <c r="G6234" s="77" t="s">
        <v>6454</v>
      </c>
      <c r="H6234" s="14" t="str">
        <f t="shared" si="240"/>
        <v>true</v>
      </c>
      <c r="I6234" s="14" t="s">
        <v>2458</v>
      </c>
      <c r="J6234" s="33" t="s">
        <v>7110</v>
      </c>
      <c r="K6234" s="33" t="s">
        <v>14286</v>
      </c>
      <c r="L6234" s="53" t="s">
        <v>6054</v>
      </c>
      <c r="M6234" s="68" t="s">
        <v>8913</v>
      </c>
      <c r="N6234" s="53" t="s">
        <v>6076</v>
      </c>
      <c r="O6234" s="53">
        <v>55301</v>
      </c>
      <c r="P6234" s="198" t="s">
        <v>14021</v>
      </c>
    </row>
    <row r="6235" spans="1:16" ht="18.75" hidden="1">
      <c r="A6235" s="50" t="s">
        <v>14293</v>
      </c>
      <c r="B6235" s="50" t="s">
        <v>14227</v>
      </c>
      <c r="C6235" s="50" t="s">
        <v>14155</v>
      </c>
      <c r="D6235" s="12" t="s">
        <v>13741</v>
      </c>
      <c r="E6235" s="12" t="s">
        <v>13333</v>
      </c>
      <c r="F6235" s="49">
        <v>105230</v>
      </c>
      <c r="G6235" s="77" t="s">
        <v>6454</v>
      </c>
      <c r="H6235" s="14" t="str">
        <f t="shared" si="240"/>
        <v>true</v>
      </c>
      <c r="I6235" s="14" t="s">
        <v>2458</v>
      </c>
      <c r="J6235" s="33" t="s">
        <v>7110</v>
      </c>
      <c r="K6235" s="33" t="s">
        <v>14286</v>
      </c>
      <c r="L6235" s="53" t="s">
        <v>6054</v>
      </c>
      <c r="M6235" s="68" t="s">
        <v>8913</v>
      </c>
      <c r="N6235" s="53" t="s">
        <v>6076</v>
      </c>
      <c r="O6235" s="53">
        <v>55301</v>
      </c>
      <c r="P6235" s="198" t="s">
        <v>14021</v>
      </c>
    </row>
    <row r="6236" spans="1:16" ht="18.75" hidden="1">
      <c r="A6236" s="50" t="s">
        <v>14294</v>
      </c>
      <c r="B6236" s="50" t="s">
        <v>14295</v>
      </c>
      <c r="C6236" s="50" t="s">
        <v>14068</v>
      </c>
      <c r="D6236" s="12" t="s">
        <v>13812</v>
      </c>
      <c r="E6236" s="12" t="s">
        <v>13333</v>
      </c>
      <c r="F6236" s="49">
        <v>15380</v>
      </c>
      <c r="G6236" s="77" t="s">
        <v>14278</v>
      </c>
      <c r="H6236" s="14" t="str">
        <f t="shared" si="240"/>
        <v>true</v>
      </c>
      <c r="I6236" s="14" t="s">
        <v>2458</v>
      </c>
      <c r="J6236" s="33" t="s">
        <v>7110</v>
      </c>
      <c r="K6236" s="33" t="s">
        <v>14286</v>
      </c>
      <c r="L6236" s="53" t="s">
        <v>6054</v>
      </c>
      <c r="M6236" s="68" t="s">
        <v>8913</v>
      </c>
      <c r="N6236" s="53" t="s">
        <v>6076</v>
      </c>
      <c r="O6236" s="53">
        <v>55301</v>
      </c>
      <c r="P6236" s="198" t="s">
        <v>14050</v>
      </c>
    </row>
    <row r="6237" spans="1:16" ht="18.75" hidden="1">
      <c r="A6237" s="50" t="s">
        <v>14294</v>
      </c>
      <c r="B6237" s="50" t="s">
        <v>14295</v>
      </c>
      <c r="C6237" s="50" t="s">
        <v>14296</v>
      </c>
      <c r="D6237" s="12" t="s">
        <v>13966</v>
      </c>
      <c r="E6237" s="12" t="s">
        <v>13333</v>
      </c>
      <c r="F6237" s="49">
        <v>235760</v>
      </c>
      <c r="G6237" s="77" t="s">
        <v>14278</v>
      </c>
      <c r="H6237" s="14" t="str">
        <f t="shared" si="240"/>
        <v>true</v>
      </c>
      <c r="I6237" s="14" t="s">
        <v>2458</v>
      </c>
      <c r="J6237" s="33" t="s">
        <v>7110</v>
      </c>
      <c r="K6237" s="33" t="s">
        <v>14286</v>
      </c>
      <c r="L6237" s="53" t="s">
        <v>6054</v>
      </c>
      <c r="M6237" s="68" t="s">
        <v>8913</v>
      </c>
      <c r="N6237" s="53" t="s">
        <v>6076</v>
      </c>
      <c r="O6237" s="53">
        <v>55301</v>
      </c>
      <c r="P6237" s="198" t="s">
        <v>14050</v>
      </c>
    </row>
    <row r="6238" spans="1:16" ht="18.75" hidden="1">
      <c r="A6238" s="50" t="s">
        <v>14297</v>
      </c>
      <c r="B6238" s="50" t="s">
        <v>14241</v>
      </c>
      <c r="C6238" s="50" t="s">
        <v>14266</v>
      </c>
      <c r="D6238" s="12" t="s">
        <v>13966</v>
      </c>
      <c r="E6238" s="12" t="s">
        <v>13333</v>
      </c>
      <c r="F6238" s="49">
        <v>115240</v>
      </c>
      <c r="G6238" s="77" t="s">
        <v>11829</v>
      </c>
      <c r="H6238" s="14" t="str">
        <f t="shared" si="240"/>
        <v>true</v>
      </c>
      <c r="I6238" s="14" t="s">
        <v>2458</v>
      </c>
      <c r="J6238" s="33" t="s">
        <v>7110</v>
      </c>
      <c r="K6238" s="33" t="s">
        <v>14286</v>
      </c>
      <c r="L6238" s="53" t="s">
        <v>6054</v>
      </c>
      <c r="M6238" s="68" t="s">
        <v>8913</v>
      </c>
      <c r="N6238" s="53" t="s">
        <v>6076</v>
      </c>
      <c r="O6238" s="53">
        <v>55301</v>
      </c>
      <c r="P6238" s="198" t="s">
        <v>13664</v>
      </c>
    </row>
    <row r="6239" spans="1:16" ht="18.75" hidden="1">
      <c r="A6239" s="50" t="s">
        <v>14298</v>
      </c>
      <c r="B6239" s="50" t="s">
        <v>14295</v>
      </c>
      <c r="C6239" s="50" t="s">
        <v>14184</v>
      </c>
      <c r="D6239" s="12" t="s">
        <v>13827</v>
      </c>
      <c r="E6239" s="12" t="s">
        <v>13333</v>
      </c>
      <c r="F6239" s="49">
        <v>66180</v>
      </c>
      <c r="G6239" s="77" t="s">
        <v>13495</v>
      </c>
      <c r="H6239" s="14" t="str">
        <f t="shared" si="240"/>
        <v>true</v>
      </c>
      <c r="I6239" s="14" t="s">
        <v>2458</v>
      </c>
      <c r="J6239" s="33" t="s">
        <v>7110</v>
      </c>
      <c r="K6239" s="33" t="s">
        <v>14286</v>
      </c>
      <c r="L6239" s="53" t="s">
        <v>6054</v>
      </c>
      <c r="M6239" s="68" t="s">
        <v>8912</v>
      </c>
      <c r="N6239" s="53" t="s">
        <v>6285</v>
      </c>
      <c r="O6239" s="53">
        <v>55200</v>
      </c>
      <c r="P6239" s="198">
        <v>1397558725001</v>
      </c>
    </row>
    <row r="6240" spans="1:16" ht="18.75" hidden="1">
      <c r="A6240" s="50" t="s">
        <v>14298</v>
      </c>
      <c r="B6240" s="50" t="s">
        <v>14295</v>
      </c>
      <c r="C6240" s="50" t="s">
        <v>14268</v>
      </c>
      <c r="D6240" s="12" t="s">
        <v>14111</v>
      </c>
      <c r="E6240" s="12" t="s">
        <v>13333</v>
      </c>
      <c r="F6240" s="49">
        <v>79040</v>
      </c>
      <c r="G6240" s="77" t="s">
        <v>9897</v>
      </c>
      <c r="H6240" s="14" t="str">
        <f t="shared" si="240"/>
        <v>true</v>
      </c>
      <c r="I6240" s="14" t="s">
        <v>2458</v>
      </c>
      <c r="J6240" s="33" t="s">
        <v>7110</v>
      </c>
      <c r="K6240" s="33" t="s">
        <v>14286</v>
      </c>
      <c r="L6240" s="53" t="s">
        <v>6054</v>
      </c>
      <c r="M6240" s="68" t="s">
        <v>8912</v>
      </c>
      <c r="N6240" s="53" t="s">
        <v>6285</v>
      </c>
      <c r="O6240" s="53">
        <v>55200</v>
      </c>
      <c r="P6240" s="198" t="s">
        <v>14056</v>
      </c>
    </row>
    <row r="6241" spans="1:16" ht="18.75">
      <c r="A6241" s="50" t="s">
        <v>14299</v>
      </c>
      <c r="B6241" s="50" t="s">
        <v>14255</v>
      </c>
      <c r="C6241" s="50" t="s">
        <v>14300</v>
      </c>
      <c r="D6241" s="12" t="s">
        <v>13969</v>
      </c>
      <c r="E6241" s="12" t="s">
        <v>13333</v>
      </c>
      <c r="F6241" s="49">
        <v>180430</v>
      </c>
      <c r="G6241" s="77" t="s">
        <v>6454</v>
      </c>
      <c r="H6241" s="14" t="str">
        <f t="shared" si="240"/>
        <v>true</v>
      </c>
      <c r="I6241" s="14" t="s">
        <v>2458</v>
      </c>
      <c r="J6241" s="33" t="e">
        <f>VLOOKUP(C6241,شرکتها!A:B,2,FALSE)</f>
        <v>#N/A</v>
      </c>
      <c r="K6241" s="33" t="s">
        <v>14286</v>
      </c>
      <c r="L6241" s="53" t="s">
        <v>14301</v>
      </c>
      <c r="M6241" s="68" t="s">
        <v>8912</v>
      </c>
      <c r="N6241" s="53" t="s">
        <v>6057</v>
      </c>
      <c r="O6241" s="53">
        <v>30100</v>
      </c>
      <c r="P6241" s="198" t="s">
        <v>14291</v>
      </c>
    </row>
    <row r="6242" spans="1:16" ht="18.75" hidden="1">
      <c r="A6242" s="50" t="s">
        <v>14302</v>
      </c>
      <c r="B6242" s="50" t="s">
        <v>14303</v>
      </c>
      <c r="C6242" s="50" t="s">
        <v>14304</v>
      </c>
      <c r="D6242" s="12" t="s">
        <v>13984</v>
      </c>
      <c r="E6242" s="12" t="s">
        <v>13333</v>
      </c>
      <c r="F6242" s="49">
        <v>195140</v>
      </c>
      <c r="G6242" s="77" t="s">
        <v>6298</v>
      </c>
      <c r="H6242" s="14" t="str">
        <f t="shared" si="240"/>
        <v>true</v>
      </c>
      <c r="I6242" s="14" t="s">
        <v>2458</v>
      </c>
      <c r="J6242" s="33" t="s">
        <v>7110</v>
      </c>
      <c r="K6242" s="33" t="s">
        <v>14286</v>
      </c>
      <c r="L6242" s="53" t="s">
        <v>6054</v>
      </c>
      <c r="M6242" s="68" t="s">
        <v>8913</v>
      </c>
      <c r="N6242" s="53" t="s">
        <v>6076</v>
      </c>
      <c r="O6242" s="53">
        <v>55301</v>
      </c>
      <c r="P6242" s="198" t="s">
        <v>14040</v>
      </c>
    </row>
    <row r="6243" spans="1:16" ht="18.75" hidden="1">
      <c r="A6243" s="50" t="s">
        <v>14305</v>
      </c>
      <c r="B6243" s="50" t="s">
        <v>14306</v>
      </c>
      <c r="C6243" s="50" t="s">
        <v>14262</v>
      </c>
      <c r="D6243" s="12" t="s">
        <v>13808</v>
      </c>
      <c r="E6243" s="12" t="s">
        <v>13333</v>
      </c>
      <c r="F6243" s="49">
        <v>68250</v>
      </c>
      <c r="G6243" s="77" t="s">
        <v>13714</v>
      </c>
      <c r="H6243" s="14" t="str">
        <f t="shared" si="240"/>
        <v>true</v>
      </c>
      <c r="I6243" s="14" t="s">
        <v>2458</v>
      </c>
      <c r="J6243" s="33" t="e">
        <f>VLOOKUP(C6243,شرکتها!A:B,2,FALSE)</f>
        <v>#N/A</v>
      </c>
      <c r="K6243" s="33" t="s">
        <v>14286</v>
      </c>
      <c r="L6243" s="53" t="s">
        <v>6054</v>
      </c>
      <c r="M6243" s="68" t="s">
        <v>8912</v>
      </c>
      <c r="N6243" s="53" t="s">
        <v>6076</v>
      </c>
      <c r="O6243" s="53">
        <v>55301</v>
      </c>
      <c r="P6243" s="198" t="s">
        <v>14078</v>
      </c>
    </row>
    <row r="6244" spans="1:16" ht="18.75" hidden="1">
      <c r="A6244" s="50" t="s">
        <v>14307</v>
      </c>
      <c r="B6244" s="50" t="s">
        <v>14306</v>
      </c>
      <c r="C6244" s="50" t="s">
        <v>14184</v>
      </c>
      <c r="D6244" s="12" t="s">
        <v>13827</v>
      </c>
      <c r="E6244" s="12" t="s">
        <v>13333</v>
      </c>
      <c r="F6244" s="49">
        <v>119940</v>
      </c>
      <c r="G6244" s="77" t="s">
        <v>13495</v>
      </c>
      <c r="H6244" s="14" t="str">
        <f t="shared" si="240"/>
        <v>true</v>
      </c>
      <c r="I6244" s="14" t="s">
        <v>2458</v>
      </c>
      <c r="J6244" s="33" t="s">
        <v>7110</v>
      </c>
      <c r="K6244" s="33" t="s">
        <v>14286</v>
      </c>
      <c r="L6244" s="53" t="s">
        <v>6054</v>
      </c>
      <c r="M6244" s="68" t="s">
        <v>8913</v>
      </c>
      <c r="N6244" s="53" t="s">
        <v>9836</v>
      </c>
      <c r="O6244" s="53">
        <v>55112</v>
      </c>
      <c r="P6244" s="198" t="s">
        <v>13625</v>
      </c>
    </row>
    <row r="6245" spans="1:16" ht="18.75" hidden="1">
      <c r="A6245" s="50" t="s">
        <v>14308</v>
      </c>
      <c r="B6245" s="50" t="s">
        <v>14295</v>
      </c>
      <c r="C6245" s="50" t="s">
        <v>14105</v>
      </c>
      <c r="D6245" s="12" t="s">
        <v>13552</v>
      </c>
      <c r="E6245" s="12" t="s">
        <v>13333</v>
      </c>
      <c r="F6245" s="49">
        <v>66580</v>
      </c>
      <c r="G6245" s="77" t="s">
        <v>12823</v>
      </c>
      <c r="H6245" s="14" t="str">
        <f t="shared" si="240"/>
        <v>true</v>
      </c>
      <c r="I6245" s="14" t="s">
        <v>2458</v>
      </c>
      <c r="J6245" s="33" t="s">
        <v>7110</v>
      </c>
      <c r="K6245" s="33" t="s">
        <v>14286</v>
      </c>
      <c r="L6245" s="53" t="s">
        <v>6054</v>
      </c>
      <c r="M6245" s="68" t="s">
        <v>8913</v>
      </c>
      <c r="N6245" s="53" t="s">
        <v>6076</v>
      </c>
      <c r="O6245" s="53">
        <v>55301</v>
      </c>
      <c r="P6245" s="198" t="s">
        <v>14089</v>
      </c>
    </row>
    <row r="6246" spans="1:16" ht="18.75" hidden="1">
      <c r="A6246" s="50" t="s">
        <v>14309</v>
      </c>
      <c r="B6246" s="50" t="s">
        <v>14295</v>
      </c>
      <c r="C6246" s="50" t="s">
        <v>14262</v>
      </c>
      <c r="D6246" s="12" t="s">
        <v>13808</v>
      </c>
      <c r="E6246" s="12" t="s">
        <v>13333</v>
      </c>
      <c r="F6246" s="49">
        <v>25040</v>
      </c>
      <c r="G6246" s="77" t="s">
        <v>13714</v>
      </c>
      <c r="H6246" s="14" t="str">
        <f t="shared" si="240"/>
        <v>true</v>
      </c>
      <c r="I6246" s="14" t="s">
        <v>2458</v>
      </c>
      <c r="J6246" s="33" t="e">
        <f>VLOOKUP(C6246,شرکتها!A:B,2,FALSE)</f>
        <v>#N/A</v>
      </c>
      <c r="K6246" s="33" t="s">
        <v>14286</v>
      </c>
      <c r="L6246" s="53" t="s">
        <v>6054</v>
      </c>
      <c r="M6246" s="68" t="s">
        <v>8913</v>
      </c>
      <c r="N6246" s="53" t="s">
        <v>6076</v>
      </c>
      <c r="O6246" s="53">
        <v>55301</v>
      </c>
      <c r="P6246" s="198" t="s">
        <v>14078</v>
      </c>
    </row>
    <row r="6247" spans="1:16" ht="18.75" hidden="1">
      <c r="A6247" s="50" t="s">
        <v>14309</v>
      </c>
      <c r="B6247" s="50" t="s">
        <v>14295</v>
      </c>
      <c r="C6247" s="50" t="s">
        <v>14077</v>
      </c>
      <c r="D6247" s="12" t="s">
        <v>13969</v>
      </c>
      <c r="E6247" s="12" t="s">
        <v>13333</v>
      </c>
      <c r="F6247" s="49">
        <v>316430</v>
      </c>
      <c r="G6247" s="77" t="s">
        <v>13714</v>
      </c>
      <c r="H6247" s="14" t="str">
        <f t="shared" si="240"/>
        <v>true</v>
      </c>
      <c r="I6247" s="14" t="s">
        <v>2458</v>
      </c>
      <c r="J6247" s="33" t="e">
        <f>VLOOKUP(C6247,شرکتها!A:B,2,FALSE)</f>
        <v>#N/A</v>
      </c>
      <c r="K6247" s="33" t="s">
        <v>14286</v>
      </c>
      <c r="L6247" s="53" t="s">
        <v>6054</v>
      </c>
      <c r="M6247" s="68" t="s">
        <v>8913</v>
      </c>
      <c r="N6247" s="53" t="s">
        <v>6076</v>
      </c>
      <c r="O6247" s="53">
        <v>55301</v>
      </c>
      <c r="P6247" s="198" t="s">
        <v>14078</v>
      </c>
    </row>
    <row r="6248" spans="1:16" ht="18.75" hidden="1">
      <c r="A6248" s="50" t="s">
        <v>14310</v>
      </c>
      <c r="B6248" s="50" t="s">
        <v>14311</v>
      </c>
      <c r="C6248" s="50" t="s">
        <v>14312</v>
      </c>
      <c r="D6248" s="12" t="s">
        <v>13815</v>
      </c>
      <c r="E6248" s="12" t="s">
        <v>13333</v>
      </c>
      <c r="F6248" s="49">
        <v>123090</v>
      </c>
      <c r="G6248" s="77" t="s">
        <v>6298</v>
      </c>
      <c r="H6248" s="14" t="str">
        <f t="shared" si="240"/>
        <v>true</v>
      </c>
      <c r="I6248" s="14" t="s">
        <v>2458</v>
      </c>
      <c r="J6248" s="33" t="s">
        <v>7110</v>
      </c>
      <c r="K6248" s="33" t="s">
        <v>14286</v>
      </c>
      <c r="L6248" s="53" t="s">
        <v>6054</v>
      </c>
      <c r="M6248" s="68" t="s">
        <v>8912</v>
      </c>
      <c r="N6248" s="53" t="s">
        <v>6285</v>
      </c>
      <c r="O6248" s="53">
        <v>55200</v>
      </c>
      <c r="P6248" s="198" t="s">
        <v>14040</v>
      </c>
    </row>
    <row r="6249" spans="1:16" ht="18.75">
      <c r="A6249" s="50" t="s">
        <v>14313</v>
      </c>
      <c r="B6249" s="50" t="s">
        <v>14224</v>
      </c>
      <c r="C6249" s="50" t="s">
        <v>14314</v>
      </c>
      <c r="D6249" s="12" t="s">
        <v>14102</v>
      </c>
      <c r="E6249" s="12" t="s">
        <v>13333</v>
      </c>
      <c r="F6249" s="49">
        <v>22920</v>
      </c>
      <c r="G6249" s="77" t="s">
        <v>6454</v>
      </c>
      <c r="H6249" s="14" t="str">
        <f t="shared" si="240"/>
        <v>true</v>
      </c>
      <c r="I6249" s="14" t="s">
        <v>2458</v>
      </c>
      <c r="J6249" s="33" t="e">
        <f>VLOOKUP(C6249,شرکتها!A:B,2,FALSE)</f>
        <v>#N/A</v>
      </c>
      <c r="K6249" s="33" t="s">
        <v>14286</v>
      </c>
      <c r="L6249" s="53" t="s">
        <v>6054</v>
      </c>
      <c r="M6249" s="68" t="s">
        <v>8913</v>
      </c>
      <c r="N6249" s="53" t="s">
        <v>6286</v>
      </c>
      <c r="O6249" s="53">
        <v>55107</v>
      </c>
      <c r="P6249" s="198" t="s">
        <v>14315</v>
      </c>
    </row>
    <row r="6250" spans="1:16" ht="18.75" hidden="1">
      <c r="A6250" s="50" t="s">
        <v>14316</v>
      </c>
      <c r="B6250" s="50" t="s">
        <v>14224</v>
      </c>
      <c r="C6250" s="50" t="s">
        <v>14317</v>
      </c>
      <c r="D6250" s="12" t="s">
        <v>13957</v>
      </c>
      <c r="E6250" s="12" t="s">
        <v>13333</v>
      </c>
      <c r="F6250" s="49">
        <v>267790</v>
      </c>
      <c r="G6250" s="77" t="s">
        <v>11829</v>
      </c>
      <c r="H6250" s="14" t="str">
        <f t="shared" si="240"/>
        <v>true</v>
      </c>
      <c r="I6250" s="14" t="s">
        <v>2458</v>
      </c>
      <c r="J6250" s="33" t="s">
        <v>7110</v>
      </c>
      <c r="K6250" s="33" t="s">
        <v>14286</v>
      </c>
      <c r="L6250" s="53" t="s">
        <v>6054</v>
      </c>
      <c r="M6250" s="68" t="s">
        <v>8913</v>
      </c>
      <c r="N6250" s="53" t="s">
        <v>6285</v>
      </c>
      <c r="O6250" s="53">
        <v>55200</v>
      </c>
      <c r="P6250" s="198" t="s">
        <v>13664</v>
      </c>
    </row>
    <row r="6251" spans="1:16" ht="18.75" hidden="1">
      <c r="A6251" s="50" t="s">
        <v>14318</v>
      </c>
      <c r="B6251" s="50" t="s">
        <v>14306</v>
      </c>
      <c r="C6251" s="50" t="s">
        <v>14266</v>
      </c>
      <c r="D6251" s="12" t="s">
        <v>13966</v>
      </c>
      <c r="E6251" s="12" t="s">
        <v>13333</v>
      </c>
      <c r="F6251" s="49">
        <v>48280</v>
      </c>
      <c r="G6251" s="77" t="s">
        <v>11829</v>
      </c>
      <c r="H6251" s="14" t="str">
        <f t="shared" si="240"/>
        <v>true</v>
      </c>
      <c r="I6251" s="14" t="s">
        <v>2458</v>
      </c>
      <c r="J6251" s="33" t="s">
        <v>7110</v>
      </c>
      <c r="K6251" s="33" t="s">
        <v>14286</v>
      </c>
      <c r="L6251" s="53" t="s">
        <v>6054</v>
      </c>
      <c r="M6251" s="68" t="s">
        <v>8913</v>
      </c>
      <c r="N6251" s="53" t="s">
        <v>6076</v>
      </c>
      <c r="O6251" s="53">
        <v>55301</v>
      </c>
      <c r="P6251" s="198" t="s">
        <v>13664</v>
      </c>
    </row>
    <row r="6252" spans="1:16" ht="18.75" hidden="1">
      <c r="A6252" s="50" t="s">
        <v>14319</v>
      </c>
      <c r="B6252" s="50" t="s">
        <v>14311</v>
      </c>
      <c r="C6252" s="50" t="s">
        <v>14105</v>
      </c>
      <c r="D6252" s="12" t="s">
        <v>13552</v>
      </c>
      <c r="E6252" s="12" t="s">
        <v>13333</v>
      </c>
      <c r="F6252" s="49">
        <v>70020</v>
      </c>
      <c r="G6252" s="77" t="s">
        <v>12823</v>
      </c>
      <c r="H6252" s="14" t="str">
        <f t="shared" si="240"/>
        <v>true</v>
      </c>
      <c r="I6252" s="14" t="s">
        <v>2458</v>
      </c>
      <c r="J6252" s="33" t="s">
        <v>7110</v>
      </c>
      <c r="K6252" s="33" t="s">
        <v>14286</v>
      </c>
      <c r="L6252" s="53" t="s">
        <v>6054</v>
      </c>
      <c r="M6252" s="68" t="s">
        <v>8913</v>
      </c>
      <c r="N6252" s="53" t="s">
        <v>6076</v>
      </c>
      <c r="O6252" s="53">
        <v>55301</v>
      </c>
      <c r="P6252" s="198" t="s">
        <v>14089</v>
      </c>
    </row>
    <row r="6253" spans="1:16" ht="18.75" hidden="1">
      <c r="A6253" s="50" t="s">
        <v>14320</v>
      </c>
      <c r="B6253" s="50" t="s">
        <v>14295</v>
      </c>
      <c r="C6253" s="50" t="s">
        <v>14266</v>
      </c>
      <c r="D6253" s="12" t="s">
        <v>13966</v>
      </c>
      <c r="E6253" s="12" t="s">
        <v>13333</v>
      </c>
      <c r="F6253" s="49">
        <v>20690</v>
      </c>
      <c r="G6253" s="77" t="s">
        <v>11829</v>
      </c>
      <c r="H6253" s="14" t="str">
        <f t="shared" si="240"/>
        <v>true</v>
      </c>
      <c r="I6253" s="14" t="s">
        <v>2458</v>
      </c>
      <c r="J6253" s="33" t="s">
        <v>7110</v>
      </c>
      <c r="K6253" s="33" t="s">
        <v>14286</v>
      </c>
      <c r="L6253" s="53" t="s">
        <v>6054</v>
      </c>
      <c r="M6253" s="68" t="s">
        <v>8913</v>
      </c>
      <c r="N6253" s="53" t="s">
        <v>6076</v>
      </c>
      <c r="O6253" s="53">
        <v>55301</v>
      </c>
      <c r="P6253" s="198" t="s">
        <v>13664</v>
      </c>
    </row>
    <row r="6254" spans="1:16" ht="18.75" hidden="1">
      <c r="A6254" s="50" t="s">
        <v>14320</v>
      </c>
      <c r="B6254" s="50" t="s">
        <v>14295</v>
      </c>
      <c r="C6254" s="50" t="s">
        <v>13975</v>
      </c>
      <c r="D6254" s="12" t="s">
        <v>13827</v>
      </c>
      <c r="E6254" s="12" t="s">
        <v>13333</v>
      </c>
      <c r="F6254" s="49">
        <v>70330</v>
      </c>
      <c r="G6254" s="77" t="s">
        <v>11829</v>
      </c>
      <c r="H6254" s="14" t="str">
        <f t="shared" si="240"/>
        <v>true</v>
      </c>
      <c r="I6254" s="14" t="s">
        <v>2458</v>
      </c>
      <c r="J6254" s="33" t="s">
        <v>7110</v>
      </c>
      <c r="K6254" s="33" t="s">
        <v>14286</v>
      </c>
      <c r="L6254" s="53" t="s">
        <v>6054</v>
      </c>
      <c r="M6254" s="68" t="s">
        <v>8913</v>
      </c>
      <c r="N6254" s="53" t="s">
        <v>6076</v>
      </c>
      <c r="O6254" s="53">
        <v>55301</v>
      </c>
      <c r="P6254" s="198" t="s">
        <v>13664</v>
      </c>
    </row>
    <row r="6255" spans="1:16" ht="18.75" hidden="1">
      <c r="A6255" s="50" t="s">
        <v>14321</v>
      </c>
      <c r="B6255" s="50" t="s">
        <v>14306</v>
      </c>
      <c r="C6255" s="50" t="s">
        <v>14304</v>
      </c>
      <c r="D6255" s="12" t="s">
        <v>13984</v>
      </c>
      <c r="E6255" s="12" t="s">
        <v>13333</v>
      </c>
      <c r="F6255" s="49">
        <v>166580</v>
      </c>
      <c r="G6255" s="77" t="s">
        <v>6298</v>
      </c>
      <c r="H6255" s="14" t="str">
        <f t="shared" si="240"/>
        <v>true</v>
      </c>
      <c r="I6255" s="14" t="s">
        <v>2458</v>
      </c>
      <c r="J6255" s="33" t="s">
        <v>7110</v>
      </c>
      <c r="K6255" s="33" t="s">
        <v>14286</v>
      </c>
      <c r="L6255" s="53" t="s">
        <v>6054</v>
      </c>
      <c r="M6255" s="68" t="s">
        <v>8912</v>
      </c>
      <c r="N6255" s="53" t="s">
        <v>6285</v>
      </c>
      <c r="O6255" s="53">
        <v>55200</v>
      </c>
      <c r="P6255" s="198" t="s">
        <v>14040</v>
      </c>
    </row>
    <row r="6256" spans="1:16" ht="18.75" hidden="1">
      <c r="A6256" s="50" t="s">
        <v>14322</v>
      </c>
      <c r="B6256" s="50" t="s">
        <v>14311</v>
      </c>
      <c r="C6256" s="50" t="s">
        <v>14068</v>
      </c>
      <c r="D6256" s="12" t="s">
        <v>13812</v>
      </c>
      <c r="E6256" s="12" t="s">
        <v>13333</v>
      </c>
      <c r="F6256" s="49">
        <v>154930</v>
      </c>
      <c r="G6256" s="77" t="s">
        <v>14278</v>
      </c>
      <c r="H6256" s="14" t="str">
        <f t="shared" si="240"/>
        <v>true</v>
      </c>
      <c r="I6256" s="14" t="s">
        <v>2458</v>
      </c>
      <c r="J6256" s="33" t="s">
        <v>7110</v>
      </c>
      <c r="K6256" s="33" t="s">
        <v>14286</v>
      </c>
      <c r="L6256" s="53" t="s">
        <v>6054</v>
      </c>
      <c r="M6256" s="68" t="s">
        <v>8912</v>
      </c>
      <c r="N6256" s="53" t="s">
        <v>6285</v>
      </c>
      <c r="O6256" s="53">
        <v>55200</v>
      </c>
      <c r="P6256" s="198" t="s">
        <v>14050</v>
      </c>
    </row>
    <row r="6257" spans="1:16" ht="18.75" hidden="1">
      <c r="A6257" s="50" t="s">
        <v>14322</v>
      </c>
      <c r="B6257" s="50" t="s">
        <v>14311</v>
      </c>
      <c r="C6257" s="50" t="s">
        <v>14296</v>
      </c>
      <c r="D6257" s="12" t="s">
        <v>13966</v>
      </c>
      <c r="E6257" s="12" t="s">
        <v>13333</v>
      </c>
      <c r="F6257" s="49">
        <v>138320</v>
      </c>
      <c r="G6257" s="77" t="s">
        <v>14278</v>
      </c>
      <c r="H6257" s="14" t="str">
        <f t="shared" si="240"/>
        <v>true</v>
      </c>
      <c r="I6257" s="14" t="s">
        <v>2458</v>
      </c>
      <c r="J6257" s="33" t="s">
        <v>7110</v>
      </c>
      <c r="K6257" s="33" t="s">
        <v>14286</v>
      </c>
      <c r="L6257" s="53" t="s">
        <v>6054</v>
      </c>
      <c r="M6257" s="68" t="s">
        <v>8912</v>
      </c>
      <c r="N6257" s="53" t="s">
        <v>6285</v>
      </c>
      <c r="O6257" s="53">
        <v>55200</v>
      </c>
      <c r="P6257" s="198" t="s">
        <v>14050</v>
      </c>
    </row>
    <row r="6258" spans="1:16" ht="18.75" hidden="1">
      <c r="A6258" s="50" t="s">
        <v>14323</v>
      </c>
      <c r="B6258" s="50" t="s">
        <v>14311</v>
      </c>
      <c r="C6258" s="50" t="s">
        <v>14296</v>
      </c>
      <c r="D6258" s="12" t="s">
        <v>13966</v>
      </c>
      <c r="E6258" s="12" t="s">
        <v>13333</v>
      </c>
      <c r="F6258" s="49">
        <v>183630</v>
      </c>
      <c r="G6258" s="77" t="s">
        <v>14278</v>
      </c>
      <c r="H6258" s="14" t="str">
        <f t="shared" si="240"/>
        <v>true</v>
      </c>
      <c r="I6258" s="14" t="s">
        <v>2458</v>
      </c>
      <c r="J6258" s="33" t="s">
        <v>7110</v>
      </c>
      <c r="K6258" s="33" t="s">
        <v>14286</v>
      </c>
      <c r="L6258" s="53" t="s">
        <v>6054</v>
      </c>
      <c r="M6258" s="68" t="s">
        <v>8913</v>
      </c>
      <c r="N6258" s="53" t="s">
        <v>6076</v>
      </c>
      <c r="O6258" s="53">
        <v>55301</v>
      </c>
      <c r="P6258" s="198" t="s">
        <v>14050</v>
      </c>
    </row>
    <row r="6259" spans="1:16" ht="18.75" hidden="1">
      <c r="A6259" s="50" t="s">
        <v>14324</v>
      </c>
      <c r="B6259" s="50" t="s">
        <v>14325</v>
      </c>
      <c r="C6259" s="50" t="s">
        <v>14304</v>
      </c>
      <c r="D6259" s="12" t="s">
        <v>13984</v>
      </c>
      <c r="E6259" s="12" t="s">
        <v>13333</v>
      </c>
      <c r="F6259" s="49">
        <v>78510</v>
      </c>
      <c r="G6259" s="77" t="s">
        <v>6298</v>
      </c>
      <c r="H6259" s="14" t="str">
        <f t="shared" si="240"/>
        <v>true</v>
      </c>
      <c r="I6259" s="14" t="s">
        <v>2458</v>
      </c>
      <c r="J6259" s="33" t="s">
        <v>7110</v>
      </c>
      <c r="K6259" s="33" t="s">
        <v>14286</v>
      </c>
      <c r="L6259" s="53" t="s">
        <v>6054</v>
      </c>
      <c r="M6259" s="68" t="s">
        <v>8913</v>
      </c>
      <c r="N6259" s="53" t="s">
        <v>6076</v>
      </c>
      <c r="O6259" s="53">
        <v>55301</v>
      </c>
      <c r="P6259" s="198" t="s">
        <v>14040</v>
      </c>
    </row>
    <row r="6260" spans="1:16" ht="18.75" hidden="1">
      <c r="A6260" s="50" t="s">
        <v>14326</v>
      </c>
      <c r="B6260" s="50" t="s">
        <v>14224</v>
      </c>
      <c r="C6260" s="50" t="s">
        <v>14026</v>
      </c>
      <c r="D6260" s="12" t="s">
        <v>13957</v>
      </c>
      <c r="E6260" s="12" t="s">
        <v>13333</v>
      </c>
      <c r="F6260" s="49">
        <v>162480</v>
      </c>
      <c r="G6260" s="77" t="s">
        <v>9897</v>
      </c>
      <c r="H6260" s="14" t="str">
        <f t="shared" si="240"/>
        <v>true</v>
      </c>
      <c r="I6260" s="14" t="s">
        <v>2458</v>
      </c>
      <c r="J6260" s="33" t="s">
        <v>7110</v>
      </c>
      <c r="K6260" s="33" t="s">
        <v>14286</v>
      </c>
      <c r="L6260" s="53" t="s">
        <v>6054</v>
      </c>
      <c r="M6260" s="68" t="s">
        <v>8913</v>
      </c>
      <c r="N6260" s="53" t="s">
        <v>6076</v>
      </c>
      <c r="O6260" s="53">
        <v>55301</v>
      </c>
      <c r="P6260" s="198" t="s">
        <v>14027</v>
      </c>
    </row>
    <row r="6261" spans="1:16" ht="18.75" hidden="1">
      <c r="A6261" s="50" t="s">
        <v>14327</v>
      </c>
      <c r="B6261" s="50" t="s">
        <v>14325</v>
      </c>
      <c r="C6261" s="50" t="s">
        <v>14304</v>
      </c>
      <c r="D6261" s="12" t="s">
        <v>13984</v>
      </c>
      <c r="E6261" s="12" t="s">
        <v>13333</v>
      </c>
      <c r="F6261" s="49">
        <v>98780</v>
      </c>
      <c r="G6261" s="77" t="s">
        <v>6298</v>
      </c>
      <c r="H6261" s="14" t="str">
        <f t="shared" si="240"/>
        <v>true</v>
      </c>
      <c r="I6261" s="14" t="s">
        <v>2458</v>
      </c>
      <c r="J6261" s="33" t="s">
        <v>7110</v>
      </c>
      <c r="K6261" s="33" t="s">
        <v>14286</v>
      </c>
      <c r="L6261" s="53" t="s">
        <v>6054</v>
      </c>
      <c r="M6261" s="68" t="s">
        <v>8913</v>
      </c>
      <c r="N6261" s="53" t="s">
        <v>6286</v>
      </c>
      <c r="O6261" s="53">
        <v>55107</v>
      </c>
      <c r="P6261" s="198" t="s">
        <v>14040</v>
      </c>
    </row>
    <row r="6262" spans="1:16" ht="18.75" hidden="1">
      <c r="A6262" s="50" t="s">
        <v>14328</v>
      </c>
      <c r="B6262" s="50" t="s">
        <v>14311</v>
      </c>
      <c r="C6262" s="50" t="s">
        <v>14184</v>
      </c>
      <c r="D6262" s="12" t="s">
        <v>13827</v>
      </c>
      <c r="E6262" s="12" t="s">
        <v>13333</v>
      </c>
      <c r="F6262" s="49">
        <v>142980</v>
      </c>
      <c r="G6262" s="77" t="s">
        <v>13495</v>
      </c>
      <c r="H6262" s="14" t="str">
        <f t="shared" si="240"/>
        <v>true</v>
      </c>
      <c r="I6262" s="14" t="s">
        <v>2458</v>
      </c>
      <c r="J6262" s="33" t="s">
        <v>7110</v>
      </c>
      <c r="K6262" s="33" t="s">
        <v>14286</v>
      </c>
      <c r="L6262" s="53" t="s">
        <v>6054</v>
      </c>
      <c r="M6262" s="68" t="s">
        <v>8913</v>
      </c>
      <c r="N6262" s="53" t="s">
        <v>6076</v>
      </c>
      <c r="O6262" s="53">
        <v>55301</v>
      </c>
      <c r="P6262" s="198" t="s">
        <v>13625</v>
      </c>
    </row>
    <row r="6263" spans="1:16" ht="18.75" hidden="1">
      <c r="A6263" s="50" t="s">
        <v>14323</v>
      </c>
      <c r="B6263" s="50" t="s">
        <v>14311</v>
      </c>
      <c r="C6263" s="50" t="s">
        <v>14267</v>
      </c>
      <c r="D6263" s="12" t="s">
        <v>13966</v>
      </c>
      <c r="E6263" s="12" t="s">
        <v>13333</v>
      </c>
      <c r="F6263" s="49">
        <v>108690</v>
      </c>
      <c r="G6263" s="77" t="s">
        <v>14278</v>
      </c>
      <c r="H6263" s="14" t="str">
        <f t="shared" si="240"/>
        <v>true</v>
      </c>
      <c r="I6263" s="14" t="s">
        <v>2458</v>
      </c>
      <c r="J6263" s="33" t="s">
        <v>7110</v>
      </c>
      <c r="K6263" s="33" t="s">
        <v>14286</v>
      </c>
      <c r="L6263" s="53" t="s">
        <v>6054</v>
      </c>
      <c r="M6263" s="68" t="s">
        <v>8913</v>
      </c>
      <c r="N6263" s="53" t="s">
        <v>6076</v>
      </c>
      <c r="O6263" s="53">
        <v>55301</v>
      </c>
      <c r="P6263" s="198" t="s">
        <v>14050</v>
      </c>
    </row>
    <row r="6264" spans="1:16" ht="18.75" hidden="1">
      <c r="A6264" s="50" t="s">
        <v>14329</v>
      </c>
      <c r="B6264" s="50" t="s">
        <v>14325</v>
      </c>
      <c r="C6264" s="50" t="s">
        <v>14159</v>
      </c>
      <c r="D6264" s="12" t="s">
        <v>13851</v>
      </c>
      <c r="E6264" s="12" t="s">
        <v>13333</v>
      </c>
      <c r="F6264" s="49">
        <v>98070</v>
      </c>
      <c r="G6264" s="77" t="s">
        <v>6454</v>
      </c>
      <c r="H6264" s="14" t="str">
        <f t="shared" si="240"/>
        <v>true</v>
      </c>
      <c r="I6264" s="14" t="s">
        <v>2458</v>
      </c>
      <c r="J6264" s="33" t="s">
        <v>7110</v>
      </c>
      <c r="K6264" s="33" t="s">
        <v>14286</v>
      </c>
      <c r="L6264" s="53" t="s">
        <v>6054</v>
      </c>
      <c r="M6264" s="68" t="s">
        <v>8912</v>
      </c>
      <c r="N6264" s="53" t="s">
        <v>6285</v>
      </c>
      <c r="O6264" s="53">
        <v>55200</v>
      </c>
      <c r="P6264" s="198" t="s">
        <v>14021</v>
      </c>
    </row>
    <row r="6265" spans="1:16" ht="18.75" hidden="1">
      <c r="A6265" s="50" t="s">
        <v>14330</v>
      </c>
      <c r="B6265" s="50" t="s">
        <v>14331</v>
      </c>
      <c r="C6265" s="50" t="s">
        <v>14026</v>
      </c>
      <c r="D6265" s="12" t="s">
        <v>13957</v>
      </c>
      <c r="E6265" s="12" t="s">
        <v>13333</v>
      </c>
      <c r="F6265" s="49">
        <v>95920</v>
      </c>
      <c r="G6265" s="77" t="s">
        <v>9897</v>
      </c>
      <c r="H6265" s="14" t="str">
        <f t="shared" si="240"/>
        <v>true</v>
      </c>
      <c r="I6265" s="14" t="s">
        <v>2458</v>
      </c>
      <c r="J6265" s="33" t="s">
        <v>7110</v>
      </c>
      <c r="K6265" s="33" t="s">
        <v>14286</v>
      </c>
      <c r="L6265" s="53" t="s">
        <v>6054</v>
      </c>
      <c r="M6265" s="68" t="s">
        <v>8913</v>
      </c>
      <c r="N6265" s="53" t="s">
        <v>6285</v>
      </c>
      <c r="O6265" s="53">
        <v>55200</v>
      </c>
      <c r="P6265" s="198" t="s">
        <v>14027</v>
      </c>
    </row>
    <row r="6266" spans="1:16" ht="18.75" hidden="1">
      <c r="A6266" s="50" t="s">
        <v>14332</v>
      </c>
      <c r="B6266" s="50" t="s">
        <v>14331</v>
      </c>
      <c r="C6266" s="50" t="s">
        <v>14304</v>
      </c>
      <c r="D6266" s="12" t="s">
        <v>13984</v>
      </c>
      <c r="E6266" s="12" t="s">
        <v>13333</v>
      </c>
      <c r="F6266" s="49">
        <v>140450</v>
      </c>
      <c r="G6266" s="77" t="s">
        <v>6298</v>
      </c>
      <c r="H6266" s="14" t="str">
        <f t="shared" si="240"/>
        <v>true</v>
      </c>
      <c r="I6266" s="14" t="s">
        <v>2458</v>
      </c>
      <c r="J6266" s="33" t="s">
        <v>7110</v>
      </c>
      <c r="K6266" s="33" t="s">
        <v>14286</v>
      </c>
      <c r="L6266" s="53" t="s">
        <v>6054</v>
      </c>
      <c r="M6266" s="68" t="s">
        <v>8913</v>
      </c>
      <c r="N6266" s="53" t="s">
        <v>6286</v>
      </c>
      <c r="O6266" s="53">
        <v>55107</v>
      </c>
      <c r="P6266" s="198" t="s">
        <v>14040</v>
      </c>
    </row>
    <row r="6267" spans="1:16" ht="18.75" hidden="1">
      <c r="A6267" s="50" t="s">
        <v>14333</v>
      </c>
      <c r="B6267" s="50" t="s">
        <v>14241</v>
      </c>
      <c r="C6267" s="50" t="s">
        <v>14105</v>
      </c>
      <c r="D6267" s="12" t="s">
        <v>13552</v>
      </c>
      <c r="E6267" s="12" t="s">
        <v>13333</v>
      </c>
      <c r="F6267" s="49">
        <v>49580</v>
      </c>
      <c r="G6267" s="77" t="s">
        <v>12823</v>
      </c>
      <c r="H6267" s="14" t="str">
        <f t="shared" si="240"/>
        <v>true</v>
      </c>
      <c r="I6267" s="14" t="s">
        <v>2458</v>
      </c>
      <c r="J6267" s="33" t="s">
        <v>7110</v>
      </c>
      <c r="K6267" s="33" t="s">
        <v>14286</v>
      </c>
      <c r="L6267" s="53" t="s">
        <v>6054</v>
      </c>
      <c r="M6267" s="68" t="s">
        <v>8913</v>
      </c>
      <c r="N6267" s="53" t="s">
        <v>6076</v>
      </c>
      <c r="O6267" s="53">
        <v>55301</v>
      </c>
      <c r="P6267" s="198" t="s">
        <v>14089</v>
      </c>
    </row>
    <row r="6268" spans="1:16" ht="18.75" hidden="1">
      <c r="A6268" s="50" t="s">
        <v>14333</v>
      </c>
      <c r="B6268" s="50" t="s">
        <v>14241</v>
      </c>
      <c r="C6268" s="50" t="s">
        <v>14083</v>
      </c>
      <c r="D6268" s="12" t="s">
        <v>13402</v>
      </c>
      <c r="E6268" s="12" t="s">
        <v>13333</v>
      </c>
      <c r="F6268" s="49">
        <v>19900</v>
      </c>
      <c r="G6268" s="77" t="s">
        <v>12823</v>
      </c>
      <c r="H6268" s="14" t="str">
        <f t="shared" si="240"/>
        <v>true</v>
      </c>
      <c r="I6268" s="14" t="s">
        <v>2458</v>
      </c>
      <c r="J6268" s="33" t="s">
        <v>7110</v>
      </c>
      <c r="K6268" s="33" t="s">
        <v>14286</v>
      </c>
      <c r="L6268" s="53" t="s">
        <v>6054</v>
      </c>
      <c r="M6268" s="68" t="s">
        <v>8913</v>
      </c>
      <c r="N6268" s="53" t="s">
        <v>6076</v>
      </c>
      <c r="O6268" s="53">
        <v>55301</v>
      </c>
      <c r="P6268" s="198" t="s">
        <v>13731</v>
      </c>
    </row>
    <row r="6269" spans="1:16" ht="18.75" hidden="1">
      <c r="A6269" s="50" t="s">
        <v>14334</v>
      </c>
      <c r="B6269" s="50" t="s">
        <v>13835</v>
      </c>
      <c r="C6269" s="50" t="s">
        <v>13838</v>
      </c>
      <c r="D6269" s="12" t="s">
        <v>13385</v>
      </c>
      <c r="E6269" s="12" t="s">
        <v>13333</v>
      </c>
      <c r="F6269" s="49">
        <v>113690</v>
      </c>
      <c r="G6269" s="77" t="s">
        <v>6298</v>
      </c>
      <c r="H6269" s="14" t="str">
        <f t="shared" ref="H6269:H6292" si="241">IF(I6269="نامشخص",IF(E6269&gt;C6269,"false","true"),IF(E6269&gt;I6269,"false","true"))</f>
        <v>true</v>
      </c>
      <c r="I6269" s="14" t="s">
        <v>2458</v>
      </c>
      <c r="J6269" s="33" t="s">
        <v>7110</v>
      </c>
      <c r="K6269" s="33" t="s">
        <v>14359</v>
      </c>
      <c r="L6269" s="53" t="s">
        <v>6054</v>
      </c>
      <c r="M6269" s="68" t="s">
        <v>8912</v>
      </c>
      <c r="N6269" s="53" t="s">
        <v>6076</v>
      </c>
      <c r="O6269" s="53">
        <v>55301</v>
      </c>
      <c r="P6269" s="198" t="s">
        <v>12934</v>
      </c>
    </row>
    <row r="6270" spans="1:16" ht="18.75" hidden="1">
      <c r="A6270" s="50" t="s">
        <v>14335</v>
      </c>
      <c r="B6270" s="50" t="s">
        <v>13965</v>
      </c>
      <c r="C6270" s="50" t="s">
        <v>14081</v>
      </c>
      <c r="D6270" s="12" t="s">
        <v>13746</v>
      </c>
      <c r="E6270" s="12" t="s">
        <v>13333</v>
      </c>
      <c r="F6270" s="49">
        <v>25720</v>
      </c>
      <c r="G6270" s="77" t="s">
        <v>13714</v>
      </c>
      <c r="H6270" s="14" t="str">
        <f t="shared" si="241"/>
        <v>true</v>
      </c>
      <c r="I6270" s="14" t="s">
        <v>2458</v>
      </c>
      <c r="J6270" s="33" t="e">
        <f>VLOOKUP(C6270,شرکتها!A:B,2,FALSE)</f>
        <v>#N/A</v>
      </c>
      <c r="K6270" s="33" t="s">
        <v>14359</v>
      </c>
      <c r="L6270" s="53" t="s">
        <v>6054</v>
      </c>
      <c r="M6270" s="68" t="s">
        <v>8913</v>
      </c>
      <c r="N6270" s="53" t="s">
        <v>6076</v>
      </c>
      <c r="O6270" s="53">
        <v>55301</v>
      </c>
      <c r="P6270" s="198" t="s">
        <v>14078</v>
      </c>
    </row>
    <row r="6271" spans="1:16" ht="18.75" hidden="1">
      <c r="A6271" s="50" t="s">
        <v>14335</v>
      </c>
      <c r="B6271" s="50" t="s">
        <v>13965</v>
      </c>
      <c r="C6271" s="50" t="s">
        <v>14336</v>
      </c>
      <c r="D6271" s="12" t="s">
        <v>13552</v>
      </c>
      <c r="E6271" s="12" t="s">
        <v>13333</v>
      </c>
      <c r="F6271" s="49">
        <v>600000</v>
      </c>
      <c r="G6271" s="77" t="s">
        <v>6453</v>
      </c>
      <c r="H6271" s="14" t="str">
        <f t="shared" si="241"/>
        <v>true</v>
      </c>
      <c r="I6271" s="14" t="s">
        <v>2458</v>
      </c>
      <c r="J6271" s="33" t="e">
        <f>VLOOKUP(C6271,شرکتها!A:B,2,FALSE)</f>
        <v>#N/A</v>
      </c>
      <c r="K6271" s="33" t="s">
        <v>14359</v>
      </c>
      <c r="L6271" s="53" t="s">
        <v>6054</v>
      </c>
      <c r="M6271" s="68" t="s">
        <v>8913</v>
      </c>
      <c r="N6271" s="53" t="s">
        <v>6076</v>
      </c>
      <c r="O6271" s="53">
        <v>55301</v>
      </c>
      <c r="P6271" s="198" t="s">
        <v>12929</v>
      </c>
    </row>
    <row r="6272" spans="1:16" ht="18.75" hidden="1">
      <c r="A6272" s="50" t="s">
        <v>14335</v>
      </c>
      <c r="B6272" s="50" t="s">
        <v>13965</v>
      </c>
      <c r="C6272" s="50" t="s">
        <v>14337</v>
      </c>
      <c r="D6272" s="12" t="s">
        <v>13552</v>
      </c>
      <c r="E6272" s="12" t="s">
        <v>13333</v>
      </c>
      <c r="F6272" s="49">
        <v>200000</v>
      </c>
      <c r="G6272" s="77" t="s">
        <v>6298</v>
      </c>
      <c r="H6272" s="14" t="str">
        <f t="shared" si="241"/>
        <v>true</v>
      </c>
      <c r="I6272" s="14" t="s">
        <v>2458</v>
      </c>
      <c r="J6272" s="33" t="s">
        <v>7110</v>
      </c>
      <c r="K6272" s="33" t="s">
        <v>14359</v>
      </c>
      <c r="L6272" s="53" t="s">
        <v>6054</v>
      </c>
      <c r="M6272" s="68" t="s">
        <v>8913</v>
      </c>
      <c r="N6272" s="53" t="s">
        <v>6076</v>
      </c>
      <c r="O6272" s="53">
        <v>55301</v>
      </c>
      <c r="P6272" s="198" t="s">
        <v>14040</v>
      </c>
    </row>
    <row r="6273" spans="1:16" ht="18.75" hidden="1">
      <c r="A6273" s="50" t="s">
        <v>14335</v>
      </c>
      <c r="B6273" s="50" t="s">
        <v>13965</v>
      </c>
      <c r="C6273" s="50" t="s">
        <v>13959</v>
      </c>
      <c r="D6273" s="12" t="s">
        <v>13960</v>
      </c>
      <c r="E6273" s="12" t="s">
        <v>13333</v>
      </c>
      <c r="F6273" s="49">
        <v>207320</v>
      </c>
      <c r="G6273" s="77" t="s">
        <v>13495</v>
      </c>
      <c r="H6273" s="14" t="str">
        <f t="shared" si="241"/>
        <v>true</v>
      </c>
      <c r="I6273" s="14" t="s">
        <v>2458</v>
      </c>
      <c r="J6273" s="33" t="s">
        <v>7110</v>
      </c>
      <c r="K6273" s="33" t="s">
        <v>14359</v>
      </c>
      <c r="L6273" s="53" t="s">
        <v>6054</v>
      </c>
      <c r="M6273" s="68" t="s">
        <v>8913</v>
      </c>
      <c r="N6273" s="53" t="s">
        <v>6076</v>
      </c>
      <c r="O6273" s="53">
        <v>55301</v>
      </c>
      <c r="P6273" s="198" t="s">
        <v>13625</v>
      </c>
    </row>
    <row r="6274" spans="1:16" ht="18.75" hidden="1">
      <c r="A6274" s="50" t="s">
        <v>14335</v>
      </c>
      <c r="B6274" s="50" t="s">
        <v>13965</v>
      </c>
      <c r="C6274" s="50" t="s">
        <v>14338</v>
      </c>
      <c r="D6274" s="12" t="s">
        <v>13552</v>
      </c>
      <c r="E6274" s="12" t="s">
        <v>13333</v>
      </c>
      <c r="F6274" s="49">
        <v>150000</v>
      </c>
      <c r="G6274" s="77" t="s">
        <v>6298</v>
      </c>
      <c r="H6274" s="14" t="str">
        <f t="shared" si="241"/>
        <v>true</v>
      </c>
      <c r="I6274" s="14" t="s">
        <v>2458</v>
      </c>
      <c r="J6274" s="33" t="s">
        <v>7110</v>
      </c>
      <c r="K6274" s="33" t="s">
        <v>14359</v>
      </c>
      <c r="L6274" s="53" t="s">
        <v>6054</v>
      </c>
      <c r="M6274" s="68" t="s">
        <v>8913</v>
      </c>
      <c r="N6274" s="53" t="s">
        <v>6076</v>
      </c>
      <c r="O6274" s="53">
        <v>55301</v>
      </c>
      <c r="P6274" s="198" t="s">
        <v>14040</v>
      </c>
    </row>
    <row r="6275" spans="1:16" ht="18.75" hidden="1">
      <c r="A6275" s="50" t="s">
        <v>14339</v>
      </c>
      <c r="B6275" s="50" t="s">
        <v>14340</v>
      </c>
      <c r="C6275" s="50" t="s">
        <v>14159</v>
      </c>
      <c r="D6275" s="12" t="s">
        <v>13851</v>
      </c>
      <c r="E6275" s="12" t="s">
        <v>13333</v>
      </c>
      <c r="F6275" s="49">
        <v>36940</v>
      </c>
      <c r="G6275" s="77" t="s">
        <v>6454</v>
      </c>
      <c r="H6275" s="14" t="str">
        <f t="shared" si="241"/>
        <v>true</v>
      </c>
      <c r="I6275" s="14" t="s">
        <v>2458</v>
      </c>
      <c r="J6275" s="33" t="s">
        <v>7110</v>
      </c>
      <c r="K6275" s="33" t="s">
        <v>14359</v>
      </c>
      <c r="L6275" s="53" t="s">
        <v>6054</v>
      </c>
      <c r="M6275" s="68" t="s">
        <v>8913</v>
      </c>
      <c r="N6275" s="53" t="s">
        <v>9836</v>
      </c>
      <c r="O6275" s="53">
        <v>55112</v>
      </c>
      <c r="P6275" s="198" t="s">
        <v>14021</v>
      </c>
    </row>
    <row r="6276" spans="1:16" ht="18.75" hidden="1">
      <c r="A6276" s="50" t="s">
        <v>14341</v>
      </c>
      <c r="B6276" s="50" t="s">
        <v>14226</v>
      </c>
      <c r="C6276" s="50" t="s">
        <v>14070</v>
      </c>
      <c r="D6276" s="12" t="s">
        <v>13818</v>
      </c>
      <c r="E6276" s="12" t="s">
        <v>13333</v>
      </c>
      <c r="F6276" s="49">
        <v>25780</v>
      </c>
      <c r="G6276" s="77" t="s">
        <v>12608</v>
      </c>
      <c r="H6276" s="14" t="str">
        <f t="shared" si="241"/>
        <v>true</v>
      </c>
      <c r="I6276" s="14" t="s">
        <v>2458</v>
      </c>
      <c r="J6276" s="33" t="s">
        <v>7110</v>
      </c>
      <c r="K6276" s="33" t="s">
        <v>14359</v>
      </c>
      <c r="L6276" s="53" t="s">
        <v>6054</v>
      </c>
      <c r="M6276" s="68" t="s">
        <v>8913</v>
      </c>
      <c r="N6276" s="53" t="s">
        <v>6286</v>
      </c>
      <c r="O6276" s="53">
        <v>55107</v>
      </c>
      <c r="P6276" s="198" t="s">
        <v>14071</v>
      </c>
    </row>
    <row r="6277" spans="1:16" ht="18.75" hidden="1">
      <c r="A6277" s="50" t="s">
        <v>14339</v>
      </c>
      <c r="B6277" s="50" t="s">
        <v>14340</v>
      </c>
      <c r="C6277" s="50" t="s">
        <v>14257</v>
      </c>
      <c r="D6277" s="12" t="s">
        <v>13851</v>
      </c>
      <c r="E6277" s="12" t="s">
        <v>13333</v>
      </c>
      <c r="F6277" s="49">
        <v>62590</v>
      </c>
      <c r="G6277" s="77" t="s">
        <v>6454</v>
      </c>
      <c r="H6277" s="14" t="str">
        <f t="shared" si="241"/>
        <v>true</v>
      </c>
      <c r="I6277" s="14" t="s">
        <v>2458</v>
      </c>
      <c r="J6277" s="33" t="s">
        <v>7110</v>
      </c>
      <c r="K6277" s="33" t="s">
        <v>14359</v>
      </c>
      <c r="L6277" s="53" t="s">
        <v>6054</v>
      </c>
      <c r="M6277" s="68" t="s">
        <v>8913</v>
      </c>
      <c r="N6277" s="53" t="s">
        <v>9836</v>
      </c>
      <c r="O6277" s="53">
        <v>55112</v>
      </c>
      <c r="P6277" s="198" t="s">
        <v>14021</v>
      </c>
    </row>
    <row r="6278" spans="1:16" ht="18.75" hidden="1">
      <c r="A6278" s="50" t="s">
        <v>14342</v>
      </c>
      <c r="B6278" s="50" t="s">
        <v>14343</v>
      </c>
      <c r="C6278" s="50" t="s">
        <v>14184</v>
      </c>
      <c r="D6278" s="12" t="s">
        <v>13827</v>
      </c>
      <c r="E6278" s="12" t="s">
        <v>13333</v>
      </c>
      <c r="F6278" s="49">
        <v>45880</v>
      </c>
      <c r="G6278" s="77" t="s">
        <v>13495</v>
      </c>
      <c r="H6278" s="14" t="str">
        <f t="shared" si="241"/>
        <v>true</v>
      </c>
      <c r="I6278" s="14" t="s">
        <v>2458</v>
      </c>
      <c r="J6278" s="33" t="s">
        <v>7110</v>
      </c>
      <c r="K6278" s="33" t="s">
        <v>14359</v>
      </c>
      <c r="L6278" s="53" t="s">
        <v>6054</v>
      </c>
      <c r="M6278" s="68" t="s">
        <v>8913</v>
      </c>
      <c r="N6278" s="53" t="s">
        <v>9836</v>
      </c>
      <c r="O6278" s="53">
        <v>55112</v>
      </c>
      <c r="P6278" s="198" t="s">
        <v>13625</v>
      </c>
    </row>
    <row r="6279" spans="1:16" ht="18.75" hidden="1">
      <c r="A6279" s="50" t="s">
        <v>14344</v>
      </c>
      <c r="B6279" s="50" t="s">
        <v>14343</v>
      </c>
      <c r="C6279" s="50" t="s">
        <v>14262</v>
      </c>
      <c r="D6279" s="12" t="s">
        <v>13808</v>
      </c>
      <c r="E6279" s="12" t="s">
        <v>13333</v>
      </c>
      <c r="F6279" s="49">
        <v>289690</v>
      </c>
      <c r="G6279" s="77" t="s">
        <v>13714</v>
      </c>
      <c r="H6279" s="14" t="str">
        <f t="shared" si="241"/>
        <v>true</v>
      </c>
      <c r="I6279" s="14" t="s">
        <v>2458</v>
      </c>
      <c r="J6279" s="33" t="e">
        <f>VLOOKUP(C6279,شرکتها!A:B,2,FALSE)</f>
        <v>#N/A</v>
      </c>
      <c r="K6279" s="33" t="s">
        <v>14359</v>
      </c>
      <c r="L6279" s="53" t="s">
        <v>6054</v>
      </c>
      <c r="M6279" s="68" t="s">
        <v>8913</v>
      </c>
      <c r="N6279" s="53" t="s">
        <v>6076</v>
      </c>
      <c r="O6279" s="53">
        <v>55301</v>
      </c>
      <c r="P6279" s="198" t="s">
        <v>14078</v>
      </c>
    </row>
    <row r="6280" spans="1:16" ht="18.75" hidden="1">
      <c r="A6280" s="50" t="s">
        <v>14345</v>
      </c>
      <c r="B6280" s="50" t="s">
        <v>14306</v>
      </c>
      <c r="C6280" s="50" t="s">
        <v>14304</v>
      </c>
      <c r="D6280" s="12" t="s">
        <v>13984</v>
      </c>
      <c r="E6280" s="12" t="s">
        <v>13333</v>
      </c>
      <c r="F6280" s="49">
        <v>236960</v>
      </c>
      <c r="G6280" s="77" t="s">
        <v>6298</v>
      </c>
      <c r="H6280" s="14" t="str">
        <f t="shared" si="241"/>
        <v>true</v>
      </c>
      <c r="I6280" s="14" t="s">
        <v>2458</v>
      </c>
      <c r="J6280" s="33" t="s">
        <v>7110</v>
      </c>
      <c r="K6280" s="33" t="s">
        <v>14359</v>
      </c>
      <c r="L6280" s="53" t="s">
        <v>6054</v>
      </c>
      <c r="M6280" s="68" t="s">
        <v>8913</v>
      </c>
      <c r="N6280" s="53" t="s">
        <v>6076</v>
      </c>
      <c r="O6280" s="53">
        <v>55301</v>
      </c>
      <c r="P6280" s="198" t="s">
        <v>14040</v>
      </c>
    </row>
    <row r="6281" spans="1:16" ht="18.75" hidden="1">
      <c r="A6281" s="50" t="s">
        <v>14346</v>
      </c>
      <c r="B6281" s="50" t="s">
        <v>14347</v>
      </c>
      <c r="C6281" s="50" t="s">
        <v>14256</v>
      </c>
      <c r="D6281" s="12" t="s">
        <v>14129</v>
      </c>
      <c r="E6281" s="12" t="s">
        <v>13333</v>
      </c>
      <c r="F6281" s="49">
        <v>94640</v>
      </c>
      <c r="G6281" s="77" t="s">
        <v>6300</v>
      </c>
      <c r="H6281" s="14" t="str">
        <f t="shared" si="241"/>
        <v>true</v>
      </c>
      <c r="I6281" s="14" t="s">
        <v>2458</v>
      </c>
      <c r="J6281" s="33" t="s">
        <v>7110</v>
      </c>
      <c r="K6281" s="33" t="s">
        <v>14359</v>
      </c>
      <c r="L6281" s="53" t="s">
        <v>6054</v>
      </c>
      <c r="M6281" s="68" t="s">
        <v>8913</v>
      </c>
      <c r="N6281" s="53" t="s">
        <v>6076</v>
      </c>
      <c r="O6281" s="53">
        <v>55301</v>
      </c>
      <c r="P6281" s="198" t="s">
        <v>12938</v>
      </c>
    </row>
    <row r="6282" spans="1:16" ht="18.75" hidden="1">
      <c r="A6282" s="50" t="s">
        <v>14348</v>
      </c>
      <c r="B6282" s="50" t="s">
        <v>14303</v>
      </c>
      <c r="C6282" s="50" t="s">
        <v>14259</v>
      </c>
      <c r="D6282" s="12" t="s">
        <v>13002</v>
      </c>
      <c r="E6282" s="12" t="s">
        <v>4971</v>
      </c>
      <c r="F6282" s="49">
        <v>30870</v>
      </c>
      <c r="G6282" s="77" t="s">
        <v>6298</v>
      </c>
      <c r="H6282" s="14" t="str">
        <f t="shared" si="241"/>
        <v>true</v>
      </c>
      <c r="I6282" s="14" t="s">
        <v>2458</v>
      </c>
      <c r="J6282" s="33" t="s">
        <v>7110</v>
      </c>
      <c r="K6282" s="33" t="s">
        <v>14359</v>
      </c>
      <c r="L6282" s="53" t="s">
        <v>6054</v>
      </c>
      <c r="M6282" s="68" t="s">
        <v>8912</v>
      </c>
      <c r="N6282" s="53" t="s">
        <v>6285</v>
      </c>
      <c r="O6282" s="53">
        <v>55200</v>
      </c>
      <c r="P6282" s="198" t="s">
        <v>12429</v>
      </c>
    </row>
    <row r="6283" spans="1:16" ht="18.75" hidden="1">
      <c r="A6283" s="50" t="s">
        <v>14348</v>
      </c>
      <c r="B6283" s="50" t="s">
        <v>14303</v>
      </c>
      <c r="C6283" s="50" t="s">
        <v>13964</v>
      </c>
      <c r="D6283" s="12" t="s">
        <v>13822</v>
      </c>
      <c r="E6283" s="12" t="s">
        <v>13333</v>
      </c>
      <c r="F6283" s="49">
        <v>24201</v>
      </c>
      <c r="G6283" s="77" t="s">
        <v>13495</v>
      </c>
      <c r="H6283" s="14" t="str">
        <f t="shared" si="241"/>
        <v>true</v>
      </c>
      <c r="I6283" s="14" t="s">
        <v>2458</v>
      </c>
      <c r="J6283" s="33" t="s">
        <v>7110</v>
      </c>
      <c r="K6283" s="33" t="s">
        <v>14359</v>
      </c>
      <c r="L6283" s="53" t="s">
        <v>6054</v>
      </c>
      <c r="M6283" s="68" t="s">
        <v>8912</v>
      </c>
      <c r="N6283" s="53" t="s">
        <v>6285</v>
      </c>
      <c r="O6283" s="53">
        <v>55200</v>
      </c>
      <c r="P6283" s="198" t="s">
        <v>13625</v>
      </c>
    </row>
    <row r="6284" spans="1:16" ht="18.75" hidden="1">
      <c r="A6284" s="50" t="s">
        <v>14348</v>
      </c>
      <c r="B6284" s="50" t="s">
        <v>14303</v>
      </c>
      <c r="C6284" s="50" t="s">
        <v>14026</v>
      </c>
      <c r="D6284" s="12" t="s">
        <v>13957</v>
      </c>
      <c r="E6284" s="12" t="s">
        <v>13333</v>
      </c>
      <c r="F6284" s="49">
        <v>52029</v>
      </c>
      <c r="G6284" s="77" t="s">
        <v>9897</v>
      </c>
      <c r="H6284" s="14" t="str">
        <f t="shared" si="241"/>
        <v>true</v>
      </c>
      <c r="I6284" s="14" t="s">
        <v>2458</v>
      </c>
      <c r="J6284" s="33" t="s">
        <v>7110</v>
      </c>
      <c r="K6284" s="33" t="s">
        <v>14359</v>
      </c>
      <c r="L6284" s="53" t="s">
        <v>6054</v>
      </c>
      <c r="M6284" s="68" t="s">
        <v>8912</v>
      </c>
      <c r="N6284" s="53" t="s">
        <v>6285</v>
      </c>
      <c r="O6284" s="53">
        <v>55200</v>
      </c>
      <c r="P6284" s="198" t="s">
        <v>14027</v>
      </c>
    </row>
    <row r="6285" spans="1:16" ht="18.75" hidden="1">
      <c r="A6285" s="50" t="s">
        <v>14348</v>
      </c>
      <c r="B6285" s="50" t="s">
        <v>14303</v>
      </c>
      <c r="C6285" s="50" t="s">
        <v>14063</v>
      </c>
      <c r="D6285" s="12" t="s">
        <v>13967</v>
      </c>
      <c r="E6285" s="12" t="s">
        <v>13333</v>
      </c>
      <c r="F6285" s="49">
        <v>12820</v>
      </c>
      <c r="G6285" s="77" t="s">
        <v>6300</v>
      </c>
      <c r="H6285" s="14" t="str">
        <f t="shared" si="241"/>
        <v>true</v>
      </c>
      <c r="I6285" s="14" t="s">
        <v>2458</v>
      </c>
      <c r="J6285" s="33" t="s">
        <v>7110</v>
      </c>
      <c r="K6285" s="33" t="s">
        <v>14359</v>
      </c>
      <c r="L6285" s="53" t="s">
        <v>6054</v>
      </c>
      <c r="M6285" s="68" t="s">
        <v>8912</v>
      </c>
      <c r="N6285" s="53" t="s">
        <v>6285</v>
      </c>
      <c r="O6285" s="53">
        <v>55200</v>
      </c>
      <c r="P6285" s="198" t="s">
        <v>12938</v>
      </c>
    </row>
    <row r="6286" spans="1:16" ht="18.75">
      <c r="A6286" s="50" t="s">
        <v>14349</v>
      </c>
      <c r="B6286" s="50" t="s">
        <v>14306</v>
      </c>
      <c r="C6286" s="50" t="s">
        <v>14350</v>
      </c>
      <c r="D6286" s="12" t="s">
        <v>14351</v>
      </c>
      <c r="E6286" s="12" t="s">
        <v>13333</v>
      </c>
      <c r="F6286" s="49">
        <v>49830</v>
      </c>
      <c r="G6286" s="77" t="s">
        <v>6454</v>
      </c>
      <c r="H6286" s="14" t="str">
        <f t="shared" si="241"/>
        <v>true</v>
      </c>
      <c r="I6286" s="14" t="s">
        <v>2458</v>
      </c>
      <c r="J6286" s="33" t="e">
        <f>VLOOKUP(C6286,شرکتها!A:B,2,FALSE)</f>
        <v>#N/A</v>
      </c>
      <c r="K6286" s="33" t="s">
        <v>14359</v>
      </c>
      <c r="L6286" s="53" t="s">
        <v>6054</v>
      </c>
      <c r="M6286" s="68" t="s">
        <v>8913</v>
      </c>
      <c r="N6286" s="53" t="s">
        <v>6285</v>
      </c>
      <c r="O6286" s="53">
        <v>55200</v>
      </c>
      <c r="P6286" s="198" t="s">
        <v>14315</v>
      </c>
    </row>
    <row r="6287" spans="1:16" ht="18.75" hidden="1">
      <c r="A6287" s="50" t="s">
        <v>14352</v>
      </c>
      <c r="B6287" s="50" t="s">
        <v>14306</v>
      </c>
      <c r="C6287" s="50" t="s">
        <v>14184</v>
      </c>
      <c r="D6287" s="12" t="s">
        <v>13827</v>
      </c>
      <c r="E6287" s="12" t="s">
        <v>13333</v>
      </c>
      <c r="F6287" s="49">
        <v>68640</v>
      </c>
      <c r="G6287" s="77" t="s">
        <v>13495</v>
      </c>
      <c r="H6287" s="14" t="str">
        <f t="shared" si="241"/>
        <v>true</v>
      </c>
      <c r="I6287" s="14" t="s">
        <v>2458</v>
      </c>
      <c r="J6287" s="33" t="s">
        <v>7110</v>
      </c>
      <c r="K6287" s="33" t="s">
        <v>14359</v>
      </c>
      <c r="L6287" s="53" t="s">
        <v>6054</v>
      </c>
      <c r="M6287" s="68" t="s">
        <v>8913</v>
      </c>
      <c r="N6287" s="53" t="s">
        <v>6076</v>
      </c>
      <c r="O6287" s="53">
        <v>55301</v>
      </c>
      <c r="P6287" s="198" t="s">
        <v>13625</v>
      </c>
    </row>
    <row r="6288" spans="1:16" ht="18.75" hidden="1">
      <c r="A6288" s="50" t="s">
        <v>14353</v>
      </c>
      <c r="B6288" s="50" t="s">
        <v>14224</v>
      </c>
      <c r="C6288" s="50" t="s">
        <v>14304</v>
      </c>
      <c r="D6288" s="12" t="s">
        <v>13984</v>
      </c>
      <c r="E6288" s="12" t="s">
        <v>13333</v>
      </c>
      <c r="F6288" s="49">
        <v>200750</v>
      </c>
      <c r="G6288" s="77" t="s">
        <v>6298</v>
      </c>
      <c r="H6288" s="14" t="str">
        <f t="shared" si="241"/>
        <v>true</v>
      </c>
      <c r="I6288" s="14" t="s">
        <v>2458</v>
      </c>
      <c r="J6288" s="33" t="s">
        <v>7110</v>
      </c>
      <c r="K6288" s="33" t="s">
        <v>14359</v>
      </c>
      <c r="L6288" s="53" t="s">
        <v>6054</v>
      </c>
      <c r="M6288" s="68" t="s">
        <v>8912</v>
      </c>
      <c r="N6288" s="53" t="s">
        <v>6285</v>
      </c>
      <c r="O6288" s="53">
        <v>55200</v>
      </c>
      <c r="P6288" s="198" t="s">
        <v>14040</v>
      </c>
    </row>
    <row r="6289" spans="1:17" ht="18.75" hidden="1">
      <c r="A6289" s="50" t="s">
        <v>14354</v>
      </c>
      <c r="B6289" s="50" t="s">
        <v>14306</v>
      </c>
      <c r="C6289" s="50" t="s">
        <v>14256</v>
      </c>
      <c r="D6289" s="12" t="s">
        <v>14129</v>
      </c>
      <c r="E6289" s="12" t="s">
        <v>13333</v>
      </c>
      <c r="F6289" s="49">
        <v>52880</v>
      </c>
      <c r="G6289" s="77" t="s">
        <v>6300</v>
      </c>
      <c r="H6289" s="14" t="str">
        <f t="shared" si="241"/>
        <v>true</v>
      </c>
      <c r="I6289" s="14" t="s">
        <v>2458</v>
      </c>
      <c r="J6289" s="33" t="s">
        <v>7110</v>
      </c>
      <c r="K6289" s="33" t="s">
        <v>14359</v>
      </c>
      <c r="L6289" s="53" t="s">
        <v>6054</v>
      </c>
      <c r="M6289" s="68" t="s">
        <v>8913</v>
      </c>
      <c r="N6289" s="53" t="s">
        <v>6076</v>
      </c>
      <c r="O6289" s="53">
        <v>55301</v>
      </c>
      <c r="P6289" s="198" t="s">
        <v>12938</v>
      </c>
    </row>
    <row r="6290" spans="1:17" ht="18.75" hidden="1">
      <c r="A6290" s="54" t="s">
        <v>14348</v>
      </c>
      <c r="B6290" s="54" t="s">
        <v>14303</v>
      </c>
      <c r="C6290" s="54" t="s">
        <v>14355</v>
      </c>
      <c r="D6290" s="55" t="s">
        <v>12895</v>
      </c>
      <c r="E6290" s="55" t="s">
        <v>4971</v>
      </c>
      <c r="F6290" s="56">
        <v>293000</v>
      </c>
      <c r="G6290" s="186" t="s">
        <v>6300</v>
      </c>
      <c r="H6290" s="57" t="str">
        <f t="shared" si="241"/>
        <v>true</v>
      </c>
      <c r="I6290" s="57" t="s">
        <v>2458</v>
      </c>
      <c r="J6290" s="33" t="s">
        <v>7110</v>
      </c>
      <c r="K6290" s="187" t="s">
        <v>14359</v>
      </c>
      <c r="L6290" s="188" t="s">
        <v>6054</v>
      </c>
      <c r="M6290" s="189" t="s">
        <v>8912</v>
      </c>
      <c r="N6290" s="188" t="s">
        <v>6285</v>
      </c>
      <c r="O6290" s="188">
        <v>55200</v>
      </c>
      <c r="P6290" s="200" t="s">
        <v>9774</v>
      </c>
      <c r="Q6290" s="17" t="s">
        <v>14360</v>
      </c>
    </row>
    <row r="6291" spans="1:17" ht="18.75" hidden="1">
      <c r="A6291" s="50" t="s">
        <v>14356</v>
      </c>
      <c r="B6291" s="50" t="s">
        <v>14306</v>
      </c>
      <c r="C6291" s="50" t="s">
        <v>14267</v>
      </c>
      <c r="D6291" s="12" t="s">
        <v>13966</v>
      </c>
      <c r="E6291" s="12" t="s">
        <v>13333</v>
      </c>
      <c r="F6291" s="49">
        <v>68640</v>
      </c>
      <c r="G6291" s="77" t="s">
        <v>14278</v>
      </c>
      <c r="H6291" s="14" t="str">
        <f t="shared" si="241"/>
        <v>true</v>
      </c>
      <c r="I6291" s="14" t="s">
        <v>2458</v>
      </c>
      <c r="J6291" s="33" t="s">
        <v>7110</v>
      </c>
      <c r="K6291" s="33" t="s">
        <v>14359</v>
      </c>
      <c r="L6291" s="53" t="s">
        <v>6054</v>
      </c>
      <c r="M6291" s="68" t="s">
        <v>8913</v>
      </c>
      <c r="N6291" s="53" t="s">
        <v>6076</v>
      </c>
      <c r="O6291" s="53">
        <v>55301</v>
      </c>
      <c r="P6291" s="198" t="s">
        <v>14050</v>
      </c>
    </row>
    <row r="6292" spans="1:17" ht="18.75" hidden="1">
      <c r="A6292" s="50" t="s">
        <v>14357</v>
      </c>
      <c r="B6292" s="50" t="s">
        <v>14358</v>
      </c>
      <c r="C6292" s="50" t="s">
        <v>14267</v>
      </c>
      <c r="D6292" s="12" t="s">
        <v>13966</v>
      </c>
      <c r="E6292" s="12" t="s">
        <v>13333</v>
      </c>
      <c r="F6292" s="49">
        <v>119160</v>
      </c>
      <c r="G6292" s="77" t="s">
        <v>14278</v>
      </c>
      <c r="H6292" s="14" t="str">
        <f t="shared" si="241"/>
        <v>true</v>
      </c>
      <c r="I6292" s="14" t="s">
        <v>2458</v>
      </c>
      <c r="J6292" s="33" t="s">
        <v>7110</v>
      </c>
      <c r="K6292" s="33" t="s">
        <v>14359</v>
      </c>
      <c r="L6292" s="53" t="s">
        <v>6054</v>
      </c>
      <c r="M6292" s="68" t="s">
        <v>8913</v>
      </c>
      <c r="N6292" s="53" t="s">
        <v>6076</v>
      </c>
      <c r="O6292" s="53">
        <v>55301</v>
      </c>
      <c r="P6292" s="198" t="s">
        <v>14050</v>
      </c>
    </row>
    <row r="6293" spans="1:17" ht="18.75" hidden="1">
      <c r="A6293" s="50" t="str">
        <f>"50100-10494537"</f>
        <v>50100-10494537</v>
      </c>
      <c r="B6293" s="50" t="str">
        <f>"97/05/04"</f>
        <v>97/05/04</v>
      </c>
      <c r="C6293" s="50" t="s">
        <v>14238</v>
      </c>
      <c r="D6293" s="12" t="s">
        <v>13422</v>
      </c>
      <c r="E6293" s="12" t="s">
        <v>13333</v>
      </c>
      <c r="F6293" s="49">
        <v>296164</v>
      </c>
      <c r="G6293" s="77" t="str">
        <f>"JANSONS TRADING FZE"</f>
        <v>JANSONS TRADING FZE</v>
      </c>
      <c r="H6293" s="14" t="str">
        <f t="shared" ref="H6293:H6343" si="242">IF(I6293="نامشخص",IF(E6293&gt;C6293,"false","true"),IF(E6293&gt;I6293,"false","true"))</f>
        <v>true</v>
      </c>
      <c r="I6293" s="14" t="s">
        <v>2458</v>
      </c>
      <c r="J6293" s="33" t="s">
        <v>7110</v>
      </c>
      <c r="K6293" s="33" t="s">
        <v>14407</v>
      </c>
      <c r="L6293" s="53" t="str">
        <f>" امارات متحده عربي"</f>
        <v xml:space="preserve"> امارات متحده عربي</v>
      </c>
      <c r="M6293" s="68" t="str">
        <f t="shared" ref="M6293:M6302" si="243">"بشكه"</f>
        <v>بشكه</v>
      </c>
      <c r="N6293" s="53" t="str">
        <f t="shared" ref="N6293:N6316" si="244">"منطقه ويژه اقتصادي شهيد رجايي"</f>
        <v>منطقه ويژه اقتصادي شهيد رجايي</v>
      </c>
      <c r="O6293" s="53">
        <v>50100</v>
      </c>
      <c r="P6293" s="198" t="str">
        <f>"1397558728001"</f>
        <v>1397558728001</v>
      </c>
    </row>
    <row r="6294" spans="1:17" ht="18.75" hidden="1">
      <c r="A6294" s="50" t="str">
        <f>"50100-10494537"</f>
        <v>50100-10494537</v>
      </c>
      <c r="B6294" s="50" t="str">
        <f>"97/05/04"</f>
        <v>97/05/04</v>
      </c>
      <c r="C6294" s="50" t="s">
        <v>14361</v>
      </c>
      <c r="D6294" s="12" t="s">
        <v>13957</v>
      </c>
      <c r="E6294" s="12" t="s">
        <v>13333</v>
      </c>
      <c r="F6294" s="49">
        <v>1188336</v>
      </c>
      <c r="G6294" s="77" t="str">
        <f>"JANSONS TRADING FZE"</f>
        <v>JANSONS TRADING FZE</v>
      </c>
      <c r="H6294" s="14" t="str">
        <f t="shared" si="242"/>
        <v>true</v>
      </c>
      <c r="I6294" s="14" t="s">
        <v>2458</v>
      </c>
      <c r="J6294" s="33" t="s">
        <v>7110</v>
      </c>
      <c r="K6294" s="33" t="s">
        <v>14407</v>
      </c>
      <c r="L6294" s="53" t="str">
        <f>" امارات متحده عربي"</f>
        <v xml:space="preserve"> امارات متحده عربي</v>
      </c>
      <c r="M6294" s="68" t="str">
        <f t="shared" si="243"/>
        <v>بشكه</v>
      </c>
      <c r="N6294" s="53" t="str">
        <f t="shared" si="244"/>
        <v>منطقه ويژه اقتصادي شهيد رجايي</v>
      </c>
      <c r="O6294" s="53">
        <v>50100</v>
      </c>
      <c r="P6294" s="198" t="str">
        <f>"1397558728001"</f>
        <v>1397558728001</v>
      </c>
    </row>
    <row r="6295" spans="1:17" ht="18.75">
      <c r="A6295" s="50" t="str">
        <f>"50100-10509976"</f>
        <v>50100-10509976</v>
      </c>
      <c r="B6295" s="50" t="str">
        <f>"97/05/08"</f>
        <v>97/05/08</v>
      </c>
      <c r="C6295" s="50" t="s">
        <v>14362</v>
      </c>
      <c r="D6295" s="12" t="s">
        <v>13623</v>
      </c>
      <c r="E6295" s="12" t="s">
        <v>13333</v>
      </c>
      <c r="F6295" s="49">
        <v>495000</v>
      </c>
      <c r="G6295" s="77" t="str">
        <f>"DAXON PETROLEUM"</f>
        <v>DAXON PETROLEUM</v>
      </c>
      <c r="H6295" s="14" t="str">
        <f t="shared" si="242"/>
        <v>true</v>
      </c>
      <c r="I6295" s="14" t="s">
        <v>2458</v>
      </c>
      <c r="J6295" s="33" t="e">
        <f>VLOOKUP(C6295,شرکتها!A:B,2,FALSE)</f>
        <v>#N/A</v>
      </c>
      <c r="K6295" s="33" t="s">
        <v>14407</v>
      </c>
      <c r="L6295" s="53" t="str">
        <f>"بنگلادش"</f>
        <v>بنگلادش</v>
      </c>
      <c r="M6295" s="68" t="str">
        <f t="shared" si="243"/>
        <v>بشكه</v>
      </c>
      <c r="N6295" s="53" t="str">
        <f t="shared" si="244"/>
        <v>منطقه ويژه اقتصادي شهيد رجايي</v>
      </c>
      <c r="O6295" s="53">
        <v>50100</v>
      </c>
      <c r="P6295" s="198" t="str">
        <f>"1397561055001"</f>
        <v>1397561055001</v>
      </c>
    </row>
    <row r="6296" spans="1:17" ht="18.75" hidden="1">
      <c r="A6296" s="50" t="str">
        <f>"50100-10499175"</f>
        <v>50100-10499175</v>
      </c>
      <c r="B6296" s="50" t="str">
        <f>"97/05/06"</f>
        <v>97/05/06</v>
      </c>
      <c r="C6296" s="50" t="s">
        <v>13983</v>
      </c>
      <c r="D6296" s="12" t="s">
        <v>13984</v>
      </c>
      <c r="E6296" s="12" t="s">
        <v>13333</v>
      </c>
      <c r="F6296" s="49">
        <v>12260</v>
      </c>
      <c r="G6296" s="77" t="str">
        <f>"SHINING GREEN STAR FZE"</f>
        <v>SHINING GREEN STAR FZE</v>
      </c>
      <c r="H6296" s="14" t="str">
        <f t="shared" si="242"/>
        <v>true</v>
      </c>
      <c r="I6296" s="14" t="s">
        <v>2458</v>
      </c>
      <c r="J6296" s="33" t="e">
        <f>VLOOKUP(C6296,شرکتها!A:B,2,FALSE)</f>
        <v>#N/A</v>
      </c>
      <c r="K6296" s="33" t="s">
        <v>14407</v>
      </c>
      <c r="L6296" s="53" t="str">
        <f>"اندونزي"</f>
        <v>اندونزي</v>
      </c>
      <c r="M6296" s="68" t="str">
        <f t="shared" si="243"/>
        <v>بشكه</v>
      </c>
      <c r="N6296" s="53" t="str">
        <f t="shared" si="244"/>
        <v>منطقه ويژه اقتصادي شهيد رجايي</v>
      </c>
      <c r="O6296" s="53">
        <v>50100</v>
      </c>
      <c r="P6296" s="198" t="str">
        <f>"1396548703001"</f>
        <v>1396548703001</v>
      </c>
    </row>
    <row r="6297" spans="1:17" ht="18.75" hidden="1">
      <c r="A6297" s="50" t="str">
        <f>"50100-10510177"</f>
        <v>50100-10510177</v>
      </c>
      <c r="B6297" s="50" t="str">
        <f>"97/05/08"</f>
        <v>97/05/08</v>
      </c>
      <c r="C6297" s="50" t="s">
        <v>14363</v>
      </c>
      <c r="D6297" s="12" t="s">
        <v>13967</v>
      </c>
      <c r="E6297" s="12" t="s">
        <v>13333</v>
      </c>
      <c r="F6297" s="49">
        <v>996600</v>
      </c>
      <c r="G6297" s="77" t="str">
        <f>"HERAT GHORBAND CONSTRUCTION COMPANY"</f>
        <v>HERAT GHORBAND CONSTRUCTION COMPANY</v>
      </c>
      <c r="H6297" s="14" t="str">
        <f t="shared" si="242"/>
        <v>true</v>
      </c>
      <c r="I6297" s="14" t="s">
        <v>2458</v>
      </c>
      <c r="J6297" s="33" t="s">
        <v>7110</v>
      </c>
      <c r="K6297" s="33" t="s">
        <v>14407</v>
      </c>
      <c r="L6297" s="53" t="str">
        <f>"تايوان"</f>
        <v>تايوان</v>
      </c>
      <c r="M6297" s="68" t="str">
        <f t="shared" si="243"/>
        <v>بشكه</v>
      </c>
      <c r="N6297" s="53" t="str">
        <f t="shared" si="244"/>
        <v>منطقه ويژه اقتصادي شهيد رجايي</v>
      </c>
      <c r="O6297" s="53">
        <v>50100</v>
      </c>
      <c r="P6297" s="198" t="str">
        <f>"1397558726001"</f>
        <v>1397558726001</v>
      </c>
    </row>
    <row r="6298" spans="1:17" ht="18.75" hidden="1">
      <c r="A6298" s="50" t="str">
        <f>"50100-10499792"</f>
        <v>50100-10499792</v>
      </c>
      <c r="B6298" s="50" t="str">
        <f>"97/05/06"</f>
        <v>97/05/06</v>
      </c>
      <c r="C6298" s="50" t="s">
        <v>14364</v>
      </c>
      <c r="D6298" s="12" t="s">
        <v>14111</v>
      </c>
      <c r="E6298" s="12" t="s">
        <v>13333</v>
      </c>
      <c r="F6298" s="49">
        <v>290735</v>
      </c>
      <c r="G6298" s="77" t="str">
        <f>"LLC Sebco Bitumen"</f>
        <v>LLC Sebco Bitumen</v>
      </c>
      <c r="H6298" s="14" t="str">
        <f t="shared" si="242"/>
        <v>true</v>
      </c>
      <c r="I6298" s="14" t="s">
        <v>2458</v>
      </c>
      <c r="J6298" s="33" t="s">
        <v>7110</v>
      </c>
      <c r="K6298" s="33" t="s">
        <v>14407</v>
      </c>
      <c r="L6298" s="53" t="str">
        <f>"تانزانيا"</f>
        <v>تانزانيا</v>
      </c>
      <c r="M6298" s="68" t="str">
        <f t="shared" si="243"/>
        <v>بشكه</v>
      </c>
      <c r="N6298" s="53" t="str">
        <f t="shared" si="244"/>
        <v>منطقه ويژه اقتصادي شهيد رجايي</v>
      </c>
      <c r="O6298" s="53">
        <v>50100</v>
      </c>
      <c r="P6298" s="198" t="str">
        <f>"1397561058001"</f>
        <v>1397561058001</v>
      </c>
    </row>
    <row r="6299" spans="1:17" ht="18.75" hidden="1">
      <c r="A6299" s="50" t="str">
        <f>"50100-10528644"</f>
        <v>50100-10528644</v>
      </c>
      <c r="B6299" s="50" t="str">
        <f>"97/05/14"</f>
        <v>97/05/14</v>
      </c>
      <c r="C6299" s="50" t="s">
        <v>14365</v>
      </c>
      <c r="D6299" s="12" t="s">
        <v>14366</v>
      </c>
      <c r="E6299" s="12" t="s">
        <v>13333</v>
      </c>
      <c r="F6299" s="49">
        <v>991900</v>
      </c>
      <c r="G6299" s="77" t="str">
        <f>"LLC Sebco Bitumen"</f>
        <v>LLC Sebco Bitumen</v>
      </c>
      <c r="H6299" s="14" t="str">
        <f t="shared" si="242"/>
        <v>true</v>
      </c>
      <c r="I6299" s="14" t="s">
        <v>2458</v>
      </c>
      <c r="J6299" s="33" t="s">
        <v>7110</v>
      </c>
      <c r="K6299" s="33" t="s">
        <v>14407</v>
      </c>
      <c r="L6299" s="53" t="str">
        <f>"چين"</f>
        <v>چين</v>
      </c>
      <c r="M6299" s="68" t="str">
        <f t="shared" si="243"/>
        <v>بشكه</v>
      </c>
      <c r="N6299" s="53" t="str">
        <f t="shared" si="244"/>
        <v>منطقه ويژه اقتصادي شهيد رجايي</v>
      </c>
      <c r="O6299" s="53">
        <v>50100</v>
      </c>
      <c r="P6299" s="198">
        <v>1397561058001</v>
      </c>
    </row>
    <row r="6300" spans="1:17" ht="18.75">
      <c r="A6300" s="50" t="str">
        <f>"50100-10529749"</f>
        <v>50100-10529749</v>
      </c>
      <c r="B6300" s="50" t="str">
        <f>"97/05/14"</f>
        <v>97/05/14</v>
      </c>
      <c r="C6300" s="50" t="s">
        <v>14367</v>
      </c>
      <c r="D6300" s="12" t="s">
        <v>14306</v>
      </c>
      <c r="E6300" s="12" t="s">
        <v>13333</v>
      </c>
      <c r="F6300" s="49">
        <v>496804</v>
      </c>
      <c r="G6300" s="77" t="str">
        <f>"DAXON PETROLEUM"</f>
        <v>DAXON PETROLEUM</v>
      </c>
      <c r="H6300" s="14" t="str">
        <f t="shared" si="242"/>
        <v>true</v>
      </c>
      <c r="I6300" s="14" t="s">
        <v>2458</v>
      </c>
      <c r="J6300" s="33" t="e">
        <f>VLOOKUP(C6300,شرکتها!A:B,2,FALSE)</f>
        <v>#N/A</v>
      </c>
      <c r="K6300" s="33" t="s">
        <v>14407</v>
      </c>
      <c r="L6300" s="53" t="str">
        <f>"تايوان"</f>
        <v>تايوان</v>
      </c>
      <c r="M6300" s="68" t="str">
        <f t="shared" si="243"/>
        <v>بشكه</v>
      </c>
      <c r="N6300" s="53" t="str">
        <f t="shared" si="244"/>
        <v>منطقه ويژه اقتصادي شهيد رجايي</v>
      </c>
      <c r="O6300" s="53">
        <v>50100</v>
      </c>
      <c r="P6300" s="198" t="str">
        <f>"1397561055001"</f>
        <v>1397561055001</v>
      </c>
    </row>
    <row r="6301" spans="1:17" ht="18.75" hidden="1">
      <c r="A6301" s="50" t="str">
        <f>"50100-10499792"</f>
        <v>50100-10499792</v>
      </c>
      <c r="B6301" s="50" t="str">
        <f>"97/05/06"</f>
        <v>97/05/06</v>
      </c>
      <c r="C6301" s="50" t="s">
        <v>14251</v>
      </c>
      <c r="D6301" s="12" t="s">
        <v>13960</v>
      </c>
      <c r="E6301" s="12" t="s">
        <v>13333</v>
      </c>
      <c r="F6301" s="49">
        <v>205640</v>
      </c>
      <c r="G6301" s="77" t="str">
        <f>"LLC Sebco Bitumen"</f>
        <v>LLC Sebco Bitumen</v>
      </c>
      <c r="H6301" s="14" t="str">
        <f t="shared" si="242"/>
        <v>true</v>
      </c>
      <c r="I6301" s="14" t="s">
        <v>2458</v>
      </c>
      <c r="J6301" s="33" t="s">
        <v>7110</v>
      </c>
      <c r="K6301" s="33" t="s">
        <v>14407</v>
      </c>
      <c r="L6301" s="53" t="str">
        <f>"تانزانيا"</f>
        <v>تانزانيا</v>
      </c>
      <c r="M6301" s="68" t="str">
        <f t="shared" si="243"/>
        <v>بشكه</v>
      </c>
      <c r="N6301" s="53" t="str">
        <f t="shared" si="244"/>
        <v>منطقه ويژه اقتصادي شهيد رجايي</v>
      </c>
      <c r="O6301" s="53">
        <v>50100</v>
      </c>
      <c r="P6301" s="198" t="str">
        <f>"1397561058001"</f>
        <v>1397561058001</v>
      </c>
    </row>
    <row r="6302" spans="1:17" ht="18.75" hidden="1">
      <c r="A6302" s="50" t="str">
        <f>"50100-10510123"</f>
        <v>50100-10510123</v>
      </c>
      <c r="B6302" s="50" t="str">
        <f>"97/05/08"</f>
        <v>97/05/08</v>
      </c>
      <c r="C6302" s="50" t="s">
        <v>14364</v>
      </c>
      <c r="D6302" s="12" t="s">
        <v>14111</v>
      </c>
      <c r="E6302" s="12" t="s">
        <v>13333</v>
      </c>
      <c r="F6302" s="49">
        <v>149265</v>
      </c>
      <c r="G6302" s="77" t="str">
        <f>"LLC Sebco Bitumen"</f>
        <v>LLC Sebco Bitumen</v>
      </c>
      <c r="H6302" s="14" t="str">
        <f t="shared" si="242"/>
        <v>true</v>
      </c>
      <c r="I6302" s="14" t="s">
        <v>2458</v>
      </c>
      <c r="J6302" s="33" t="s">
        <v>7110</v>
      </c>
      <c r="K6302" s="33" t="s">
        <v>14407</v>
      </c>
      <c r="L6302" s="53" t="str">
        <f>"تانزانيا"</f>
        <v>تانزانيا</v>
      </c>
      <c r="M6302" s="68" t="str">
        <f t="shared" si="243"/>
        <v>بشكه</v>
      </c>
      <c r="N6302" s="53" t="str">
        <f t="shared" si="244"/>
        <v>منطقه ويژه اقتصادي شهيد رجايي</v>
      </c>
      <c r="O6302" s="53">
        <v>50100</v>
      </c>
      <c r="P6302" s="198" t="str">
        <f>"1397561058001"</f>
        <v>1397561058001</v>
      </c>
    </row>
    <row r="6303" spans="1:17" ht="18.75" hidden="1">
      <c r="A6303" s="50" t="str">
        <f>"50100-10524948"</f>
        <v>50100-10524948</v>
      </c>
      <c r="B6303" s="50" t="str">
        <f>"97/05/13"</f>
        <v>97/05/13</v>
      </c>
      <c r="C6303" s="50" t="s">
        <v>14368</v>
      </c>
      <c r="D6303" s="12" t="s">
        <v>14255</v>
      </c>
      <c r="E6303" s="12" t="s">
        <v>13333</v>
      </c>
      <c r="F6303" s="49">
        <v>3098032</v>
      </c>
      <c r="G6303" s="77" t="str">
        <f>"AL MASAR PETROLUME L.L.C"</f>
        <v>AL MASAR PETROLUME L.L.C</v>
      </c>
      <c r="H6303" s="14" t="str">
        <f t="shared" si="242"/>
        <v>true</v>
      </c>
      <c r="I6303" s="14" t="s">
        <v>2458</v>
      </c>
      <c r="J6303" s="33" t="e">
        <f>VLOOKUP(C6303,شرکتها!A:B,2,FALSE)</f>
        <v>#N/A</v>
      </c>
      <c r="K6303" s="33" t="s">
        <v>14407</v>
      </c>
      <c r="L6303" s="53" t="str">
        <f>"قطر"</f>
        <v>قطر</v>
      </c>
      <c r="M6303" s="68" t="str">
        <f>"فله"</f>
        <v>فله</v>
      </c>
      <c r="N6303" s="53" t="str">
        <f t="shared" si="244"/>
        <v>منطقه ويژه اقتصادي شهيد رجايي</v>
      </c>
      <c r="O6303" s="53">
        <v>50100</v>
      </c>
      <c r="P6303" s="198">
        <v>1397585799001</v>
      </c>
    </row>
    <row r="6304" spans="1:17" ht="18.75" hidden="1">
      <c r="A6304" s="50" t="str">
        <f>"50100-10483097"</f>
        <v>50100-10483097</v>
      </c>
      <c r="B6304" s="50" t="str">
        <f>"97/05/01"</f>
        <v>97/05/01</v>
      </c>
      <c r="C6304" s="50" t="s">
        <v>14249</v>
      </c>
      <c r="D6304" s="12" t="s">
        <v>14075</v>
      </c>
      <c r="E6304" s="12" t="s">
        <v>13333</v>
      </c>
      <c r="F6304" s="49">
        <v>985607</v>
      </c>
      <c r="G6304" s="77" t="str">
        <f>"AL MASAR PETROLUME L.L.C"</f>
        <v>AL MASAR PETROLUME L.L.C</v>
      </c>
      <c r="H6304" s="14" t="str">
        <f t="shared" si="242"/>
        <v>true</v>
      </c>
      <c r="I6304" s="14" t="s">
        <v>2458</v>
      </c>
      <c r="J6304" s="33" t="e">
        <f>VLOOKUP(C6304,شرکتها!A:B,2,FALSE)</f>
        <v>#N/A</v>
      </c>
      <c r="K6304" s="33" t="s">
        <v>14407</v>
      </c>
      <c r="L6304" s="53" t="str">
        <f>"رواندا"</f>
        <v>رواندا</v>
      </c>
      <c r="M6304" s="68" t="str">
        <f>"بشكه"</f>
        <v>بشكه</v>
      </c>
      <c r="N6304" s="53" t="str">
        <f t="shared" si="244"/>
        <v>منطقه ويژه اقتصادي شهيد رجايي</v>
      </c>
      <c r="O6304" s="53">
        <v>50100</v>
      </c>
      <c r="P6304" s="198" t="str">
        <f>"1397576770001"</f>
        <v>1397576770001</v>
      </c>
    </row>
    <row r="6305" spans="1:16" ht="18.75" hidden="1">
      <c r="A6305" s="50" t="str">
        <f>"50100-10525036"</f>
        <v>50100-10525036</v>
      </c>
      <c r="B6305" s="50" t="str">
        <f>"97/05/13"</f>
        <v>97/05/13</v>
      </c>
      <c r="C6305" s="50" t="s">
        <v>14369</v>
      </c>
      <c r="D6305" s="12" t="s">
        <v>13960</v>
      </c>
      <c r="E6305" s="12" t="s">
        <v>13333</v>
      </c>
      <c r="F6305" s="49">
        <v>99300</v>
      </c>
      <c r="G6305" s="77" t="str">
        <f>"DAXON PETROLEUM"</f>
        <v>DAXON PETROLEUM</v>
      </c>
      <c r="H6305" s="14" t="str">
        <f t="shared" si="242"/>
        <v>true</v>
      </c>
      <c r="I6305" s="14" t="s">
        <v>2458</v>
      </c>
      <c r="J6305" s="33" t="s">
        <v>7110</v>
      </c>
      <c r="K6305" s="33" t="s">
        <v>14407</v>
      </c>
      <c r="L6305" s="53" t="str">
        <f>"کنيا"</f>
        <v>کنيا</v>
      </c>
      <c r="M6305" s="68" t="str">
        <f>"بشكه"</f>
        <v>بشكه</v>
      </c>
      <c r="N6305" s="53" t="str">
        <f t="shared" si="244"/>
        <v>منطقه ويژه اقتصادي شهيد رجايي</v>
      </c>
      <c r="O6305" s="53">
        <v>50100</v>
      </c>
      <c r="P6305" s="198" t="str">
        <f>"1397558729001"</f>
        <v>1397558729001</v>
      </c>
    </row>
    <row r="6306" spans="1:16" ht="18.75" hidden="1">
      <c r="A6306" s="50" t="str">
        <f>"50100-10512466"</f>
        <v>50100-10512466</v>
      </c>
      <c r="B6306" s="50" t="str">
        <f>"97/05/09"</f>
        <v>97/05/09</v>
      </c>
      <c r="C6306" s="50" t="s">
        <v>14370</v>
      </c>
      <c r="D6306" s="12" t="s">
        <v>14295</v>
      </c>
      <c r="E6306" s="12" t="s">
        <v>13333</v>
      </c>
      <c r="F6306" s="49">
        <v>3297434</v>
      </c>
      <c r="G6306" s="77" t="str">
        <f>"AL MASAR PETROLUME L.L.C"</f>
        <v>AL MASAR PETROLUME L.L.C</v>
      </c>
      <c r="H6306" s="14" t="str">
        <f t="shared" si="242"/>
        <v>true</v>
      </c>
      <c r="I6306" s="14" t="s">
        <v>2458</v>
      </c>
      <c r="J6306" s="33" t="e">
        <f>VLOOKUP(C6306,شرکتها!A:B,2,FALSE)</f>
        <v>#N/A</v>
      </c>
      <c r="K6306" s="33" t="s">
        <v>14407</v>
      </c>
      <c r="L6306" s="53" t="str">
        <f>"قطر"</f>
        <v>قطر</v>
      </c>
      <c r="M6306" s="68" t="str">
        <f>"فله"</f>
        <v>فله</v>
      </c>
      <c r="N6306" s="53" t="str">
        <f t="shared" si="244"/>
        <v>منطقه ويژه اقتصادي شهيد رجايي</v>
      </c>
      <c r="O6306" s="53">
        <v>50100</v>
      </c>
      <c r="P6306" s="198" t="str">
        <f>"1397585799001"</f>
        <v>1397585799001</v>
      </c>
    </row>
    <row r="6307" spans="1:16" ht="18.75" hidden="1">
      <c r="A6307" s="50" t="str">
        <f>"50100-10517907"</f>
        <v>50100-10517907</v>
      </c>
      <c r="B6307" s="50" t="str">
        <f>"97/05/11"</f>
        <v>97/05/11</v>
      </c>
      <c r="C6307" s="50" t="s">
        <v>14236</v>
      </c>
      <c r="D6307" s="12" t="s">
        <v>13759</v>
      </c>
      <c r="E6307" s="12" t="s">
        <v>13333</v>
      </c>
      <c r="F6307" s="49">
        <v>108142</v>
      </c>
      <c r="G6307" s="77" t="str">
        <f>"DAXON PETROLEUM"</f>
        <v>DAXON PETROLEUM</v>
      </c>
      <c r="H6307" s="14" t="str">
        <f t="shared" si="242"/>
        <v>true</v>
      </c>
      <c r="I6307" s="14" t="s">
        <v>2458</v>
      </c>
      <c r="J6307" s="33" t="s">
        <v>7110</v>
      </c>
      <c r="K6307" s="33" t="s">
        <v>14407</v>
      </c>
      <c r="L6307" s="53" t="str">
        <f>"سريلانکا"</f>
        <v>سريلانکا</v>
      </c>
      <c r="M6307" s="68" t="str">
        <f>"بشكه"</f>
        <v>بشكه</v>
      </c>
      <c r="N6307" s="53" t="str">
        <f t="shared" si="244"/>
        <v>منطقه ويژه اقتصادي شهيد رجايي</v>
      </c>
      <c r="O6307" s="53">
        <v>50100</v>
      </c>
      <c r="P6307" s="198" t="str">
        <f>"1397558729001"</f>
        <v>1397558729001</v>
      </c>
    </row>
    <row r="6308" spans="1:16" ht="18.75" hidden="1">
      <c r="A6308" s="50" t="str">
        <f>"50100-10517907"</f>
        <v>50100-10517907</v>
      </c>
      <c r="B6308" s="50" t="str">
        <f>"97/05/11"</f>
        <v>97/05/11</v>
      </c>
      <c r="C6308" s="50" t="s">
        <v>14008</v>
      </c>
      <c r="D6308" s="12" t="s">
        <v>13473</v>
      </c>
      <c r="E6308" s="12" t="s">
        <v>13333</v>
      </c>
      <c r="F6308" s="49">
        <v>2445</v>
      </c>
      <c r="G6308" s="77" t="str">
        <f>"DAXON PETROLEUM"</f>
        <v>DAXON PETROLEUM</v>
      </c>
      <c r="H6308" s="14" t="str">
        <f t="shared" si="242"/>
        <v>true</v>
      </c>
      <c r="I6308" s="14" t="s">
        <v>2458</v>
      </c>
      <c r="J6308" s="33" t="s">
        <v>7110</v>
      </c>
      <c r="K6308" s="33" t="s">
        <v>14407</v>
      </c>
      <c r="L6308" s="53" t="str">
        <f>"سريلانکا"</f>
        <v>سريلانکا</v>
      </c>
      <c r="M6308" s="68" t="str">
        <f>"بشكه"</f>
        <v>بشكه</v>
      </c>
      <c r="N6308" s="53" t="str">
        <f t="shared" si="244"/>
        <v>منطقه ويژه اقتصادي شهيد رجايي</v>
      </c>
      <c r="O6308" s="53">
        <v>50100</v>
      </c>
      <c r="P6308" s="198" t="str">
        <f>"1397558729001"</f>
        <v>1397558729001</v>
      </c>
    </row>
    <row r="6309" spans="1:16" ht="18.75" hidden="1">
      <c r="A6309" s="50" t="str">
        <f>"50100-10517907"</f>
        <v>50100-10517907</v>
      </c>
      <c r="B6309" s="50" t="str">
        <f>"97/05/11"</f>
        <v>97/05/11</v>
      </c>
      <c r="C6309" s="50" t="s">
        <v>14369</v>
      </c>
      <c r="D6309" s="12" t="s">
        <v>13960</v>
      </c>
      <c r="E6309" s="12" t="s">
        <v>13333</v>
      </c>
      <c r="F6309" s="49">
        <v>389292</v>
      </c>
      <c r="G6309" s="77" t="str">
        <f>"DAXON PETROLEUM"</f>
        <v>DAXON PETROLEUM</v>
      </c>
      <c r="H6309" s="14" t="str">
        <f t="shared" si="242"/>
        <v>true</v>
      </c>
      <c r="I6309" s="14" t="s">
        <v>2458</v>
      </c>
      <c r="J6309" s="33" t="s">
        <v>7110</v>
      </c>
      <c r="K6309" s="33" t="s">
        <v>14407</v>
      </c>
      <c r="L6309" s="53" t="str">
        <f>"سريلانکا"</f>
        <v>سريلانکا</v>
      </c>
      <c r="M6309" s="68" t="str">
        <f>"بشكه"</f>
        <v>بشكه</v>
      </c>
      <c r="N6309" s="53" t="str">
        <f t="shared" si="244"/>
        <v>منطقه ويژه اقتصادي شهيد رجايي</v>
      </c>
      <c r="O6309" s="53">
        <v>50100</v>
      </c>
      <c r="P6309" s="198" t="str">
        <f>"1397558729001"</f>
        <v>1397558729001</v>
      </c>
    </row>
    <row r="6310" spans="1:16" ht="18.75" hidden="1">
      <c r="A6310" s="50" t="str">
        <f>"50100-10490655"</f>
        <v>50100-10490655</v>
      </c>
      <c r="B6310" s="50" t="str">
        <f>"97/05/03"</f>
        <v>97/05/03</v>
      </c>
      <c r="C6310" s="50" t="s">
        <v>14371</v>
      </c>
      <c r="D6310" s="12" t="s">
        <v>14358</v>
      </c>
      <c r="E6310" s="12" t="s">
        <v>13333</v>
      </c>
      <c r="F6310" s="49">
        <v>3093872</v>
      </c>
      <c r="G6310" s="77" t="str">
        <f>"AL MASAR PETROLUME L.L.C"</f>
        <v>AL MASAR PETROLUME L.L.C</v>
      </c>
      <c r="H6310" s="14" t="str">
        <f t="shared" si="242"/>
        <v>true</v>
      </c>
      <c r="I6310" s="14" t="s">
        <v>2458</v>
      </c>
      <c r="J6310" s="33" t="e">
        <f>VLOOKUP(C6310,شرکتها!A:B,2,FALSE)</f>
        <v>#N/A</v>
      </c>
      <c r="K6310" s="33" t="s">
        <v>14407</v>
      </c>
      <c r="L6310" s="53" t="str">
        <f>"قطر"</f>
        <v>قطر</v>
      </c>
      <c r="M6310" s="68" t="str">
        <f>"فله"</f>
        <v>فله</v>
      </c>
      <c r="N6310" s="53" t="str">
        <f t="shared" si="244"/>
        <v>منطقه ويژه اقتصادي شهيد رجايي</v>
      </c>
      <c r="O6310" s="53">
        <v>50100</v>
      </c>
      <c r="P6310" s="198" t="str">
        <f>"1397585799001"</f>
        <v>1397585799001</v>
      </c>
    </row>
    <row r="6311" spans="1:16" ht="18.75" hidden="1">
      <c r="A6311" s="50" t="str">
        <f>"50100-10510123"</f>
        <v>50100-10510123</v>
      </c>
      <c r="B6311" s="50" t="str">
        <f>"97/05/08"</f>
        <v>97/05/08</v>
      </c>
      <c r="C6311" s="50" t="s">
        <v>14372</v>
      </c>
      <c r="D6311" s="12" t="s">
        <v>13776</v>
      </c>
      <c r="E6311" s="12" t="s">
        <v>13333</v>
      </c>
      <c r="F6311" s="49">
        <v>345735</v>
      </c>
      <c r="G6311" s="77" t="str">
        <f>"LLC Sebco Bitumen"</f>
        <v>LLC Sebco Bitumen</v>
      </c>
      <c r="H6311" s="14" t="str">
        <f t="shared" si="242"/>
        <v>true</v>
      </c>
      <c r="I6311" s="14" t="s">
        <v>2458</v>
      </c>
      <c r="J6311" s="33" t="s">
        <v>7110</v>
      </c>
      <c r="K6311" s="33" t="s">
        <v>14407</v>
      </c>
      <c r="L6311" s="53" t="str">
        <f>"تانزانيا"</f>
        <v>تانزانيا</v>
      </c>
      <c r="M6311" s="68" t="str">
        <f>"بشكه"</f>
        <v>بشكه</v>
      </c>
      <c r="N6311" s="53" t="str">
        <f t="shared" si="244"/>
        <v>منطقه ويژه اقتصادي شهيد رجايي</v>
      </c>
      <c r="O6311" s="53">
        <v>50100</v>
      </c>
      <c r="P6311" s="198" t="str">
        <f>"1397561058001"</f>
        <v>1397561058001</v>
      </c>
    </row>
    <row r="6312" spans="1:16" ht="18.75" hidden="1">
      <c r="A6312" s="50" t="str">
        <f>"50100-10485190"</f>
        <v>50100-10485190</v>
      </c>
      <c r="B6312" s="50" t="str">
        <f>"97/05/02"</f>
        <v>97/05/02</v>
      </c>
      <c r="C6312" s="50" t="s">
        <v>14236</v>
      </c>
      <c r="D6312" s="12" t="s">
        <v>13759</v>
      </c>
      <c r="E6312" s="12" t="s">
        <v>13333</v>
      </c>
      <c r="F6312" s="49">
        <v>49500</v>
      </c>
      <c r="G6312" s="77" t="str">
        <f>"DAXON PETROLEUM"</f>
        <v>DAXON PETROLEUM</v>
      </c>
      <c r="H6312" s="14" t="str">
        <f t="shared" si="242"/>
        <v>true</v>
      </c>
      <c r="I6312" s="14" t="s">
        <v>2458</v>
      </c>
      <c r="J6312" s="33" t="s">
        <v>7110</v>
      </c>
      <c r="K6312" s="33" t="s">
        <v>14407</v>
      </c>
      <c r="L6312" s="53" t="str">
        <f>"اندونزي"</f>
        <v>اندونزي</v>
      </c>
      <c r="M6312" s="68" t="str">
        <f>"بشكه"</f>
        <v>بشكه</v>
      </c>
      <c r="N6312" s="53" t="str">
        <f t="shared" si="244"/>
        <v>منطقه ويژه اقتصادي شهيد رجايي</v>
      </c>
      <c r="O6312" s="53">
        <v>50100</v>
      </c>
      <c r="P6312" s="198" t="str">
        <f>"1397558729001"</f>
        <v>1397558729001</v>
      </c>
    </row>
    <row r="6313" spans="1:16" ht="18.75" hidden="1">
      <c r="A6313" s="50" t="str">
        <f>"50100-10499459"</f>
        <v>50100-10499459</v>
      </c>
      <c r="B6313" s="50" t="str">
        <f>"97/05/06"</f>
        <v>97/05/06</v>
      </c>
      <c r="C6313" s="50" t="s">
        <v>14043</v>
      </c>
      <c r="D6313" s="12" t="s">
        <v>13552</v>
      </c>
      <c r="E6313" s="12" t="s">
        <v>13333</v>
      </c>
      <c r="F6313" s="49">
        <v>112748</v>
      </c>
      <c r="G6313" s="77" t="str">
        <f>"GLOBUS INTERNATIONAL FZE"</f>
        <v>GLOBUS INTERNATIONAL FZE</v>
      </c>
      <c r="H6313" s="14" t="str">
        <f t="shared" si="242"/>
        <v>true</v>
      </c>
      <c r="I6313" s="14" t="s">
        <v>2458</v>
      </c>
      <c r="J6313" s="33" t="e">
        <f>VLOOKUP(C6313,شرکتها!A:B,2,FALSE)</f>
        <v>#N/A</v>
      </c>
      <c r="K6313" s="33" t="s">
        <v>14407</v>
      </c>
      <c r="L6313" s="53" t="str">
        <f>" امارات متحده عربي"</f>
        <v xml:space="preserve"> امارات متحده عربي</v>
      </c>
      <c r="M6313" s="68" t="str">
        <f>"بشكه"</f>
        <v>بشكه</v>
      </c>
      <c r="N6313" s="53" t="str">
        <f t="shared" si="244"/>
        <v>منطقه ويژه اقتصادي شهيد رجايي</v>
      </c>
      <c r="O6313" s="53">
        <v>50100</v>
      </c>
      <c r="P6313" s="198" t="str">
        <f>"1397560053001"</f>
        <v>1397560053001</v>
      </c>
    </row>
    <row r="6314" spans="1:16" ht="18.75" hidden="1">
      <c r="A6314" s="50" t="str">
        <f>"50100-10498987"</f>
        <v>50100-10498987</v>
      </c>
      <c r="B6314" s="50" t="str">
        <f>"97/05/06"</f>
        <v>97/05/06</v>
      </c>
      <c r="C6314" s="50" t="s">
        <v>14373</v>
      </c>
      <c r="D6314" s="12" t="s">
        <v>14347</v>
      </c>
      <c r="E6314" s="12" t="s">
        <v>13333</v>
      </c>
      <c r="F6314" s="49">
        <v>1985038</v>
      </c>
      <c r="G6314" s="77" t="str">
        <f>"AL MASAR PETROLUME L.L.C"</f>
        <v>AL MASAR PETROLUME L.L.C</v>
      </c>
      <c r="H6314" s="14" t="str">
        <f t="shared" si="242"/>
        <v>true</v>
      </c>
      <c r="I6314" s="14" t="s">
        <v>2458</v>
      </c>
      <c r="J6314" s="33" t="e">
        <f>VLOOKUP(C6314,شرکتها!A:B,2,FALSE)</f>
        <v>#N/A</v>
      </c>
      <c r="K6314" s="33" t="s">
        <v>14407</v>
      </c>
      <c r="L6314" s="53" t="str">
        <f>"عمان"</f>
        <v>عمان</v>
      </c>
      <c r="M6314" s="68" t="str">
        <f>"فله"</f>
        <v>فله</v>
      </c>
      <c r="N6314" s="53" t="str">
        <f t="shared" si="244"/>
        <v>منطقه ويژه اقتصادي شهيد رجايي</v>
      </c>
      <c r="O6314" s="53">
        <v>50100</v>
      </c>
      <c r="P6314" s="198" t="str">
        <f>"1397585799001"</f>
        <v>1397585799001</v>
      </c>
    </row>
    <row r="6315" spans="1:16" ht="18.75" hidden="1">
      <c r="A6315" s="50" t="str">
        <f>"50100-10499459"</f>
        <v>50100-10499459</v>
      </c>
      <c r="B6315" s="50" t="str">
        <f>"97/05/06"</f>
        <v>97/05/06</v>
      </c>
      <c r="C6315" s="50" t="s">
        <v>14374</v>
      </c>
      <c r="D6315" s="12" t="s">
        <v>14034</v>
      </c>
      <c r="E6315" s="12" t="s">
        <v>13333</v>
      </c>
      <c r="F6315" s="49">
        <v>126964</v>
      </c>
      <c r="G6315" s="77" t="str">
        <f>"GLOBUS INTERNATIONAL FZE"</f>
        <v>GLOBUS INTERNATIONAL FZE</v>
      </c>
      <c r="H6315" s="14" t="str">
        <f t="shared" si="242"/>
        <v>true</v>
      </c>
      <c r="I6315" s="14" t="s">
        <v>2458</v>
      </c>
      <c r="J6315" s="33" t="e">
        <f>VLOOKUP(C6315,شرکتها!A:B,2,FALSE)</f>
        <v>#N/A</v>
      </c>
      <c r="K6315" s="33" t="s">
        <v>14407</v>
      </c>
      <c r="L6315" s="53" t="str">
        <f>" امارات متحده عربي"</f>
        <v xml:space="preserve"> امارات متحده عربي</v>
      </c>
      <c r="M6315" s="68" t="str">
        <f>"بشكه"</f>
        <v>بشكه</v>
      </c>
      <c r="N6315" s="53" t="str">
        <f t="shared" si="244"/>
        <v>منطقه ويژه اقتصادي شهيد رجايي</v>
      </c>
      <c r="O6315" s="53">
        <v>50100</v>
      </c>
      <c r="P6315" s="198" t="str">
        <f>"1397560053001"</f>
        <v>1397560053001</v>
      </c>
    </row>
    <row r="6316" spans="1:16" ht="18.75" hidden="1">
      <c r="A6316" s="50" t="str">
        <f>"50100-10499175"</f>
        <v>50100-10499175</v>
      </c>
      <c r="B6316" s="50" t="str">
        <f>"97/05/06"</f>
        <v>97/05/06</v>
      </c>
      <c r="C6316" s="50" t="s">
        <v>14375</v>
      </c>
      <c r="D6316" s="12" t="s">
        <v>13984</v>
      </c>
      <c r="E6316" s="12" t="s">
        <v>13333</v>
      </c>
      <c r="F6316" s="49">
        <v>499780</v>
      </c>
      <c r="G6316" s="77" t="str">
        <f>"SHINING GREEN STAR FZE"</f>
        <v>SHINING GREEN STAR FZE</v>
      </c>
      <c r="H6316" s="14" t="str">
        <f t="shared" si="242"/>
        <v>true</v>
      </c>
      <c r="I6316" s="14" t="s">
        <v>2458</v>
      </c>
      <c r="J6316" s="33" t="e">
        <f>VLOOKUP(C6316,شرکتها!A:B,2,FALSE)</f>
        <v>#N/A</v>
      </c>
      <c r="K6316" s="33" t="s">
        <v>14407</v>
      </c>
      <c r="L6316" s="53" t="str">
        <f>"اندونزي"</f>
        <v>اندونزي</v>
      </c>
      <c r="M6316" s="68" t="str">
        <f>"بشكه"</f>
        <v>بشكه</v>
      </c>
      <c r="N6316" s="53" t="str">
        <f t="shared" si="244"/>
        <v>منطقه ويژه اقتصادي شهيد رجايي</v>
      </c>
      <c r="O6316" s="53">
        <v>50100</v>
      </c>
      <c r="P6316" s="198" t="str">
        <f>"1396548703001"</f>
        <v>1396548703001</v>
      </c>
    </row>
    <row r="6317" spans="1:16" ht="18.75">
      <c r="A6317" s="50" t="s">
        <v>14376</v>
      </c>
      <c r="B6317" s="50" t="s">
        <v>14377</v>
      </c>
      <c r="C6317" s="50" t="s">
        <v>14314</v>
      </c>
      <c r="D6317" s="12" t="s">
        <v>14102</v>
      </c>
      <c r="E6317" s="12" t="s">
        <v>13333</v>
      </c>
      <c r="F6317" s="49">
        <v>266430</v>
      </c>
      <c r="G6317" s="77" t="s">
        <v>6454</v>
      </c>
      <c r="H6317" s="14" t="str">
        <f t="shared" si="242"/>
        <v>true</v>
      </c>
      <c r="I6317" s="14" t="s">
        <v>2458</v>
      </c>
      <c r="J6317" s="33" t="e">
        <f>VLOOKUP(C6317,شرکتها!A:B,2,FALSE)</f>
        <v>#N/A</v>
      </c>
      <c r="K6317" s="33" t="s">
        <v>14407</v>
      </c>
      <c r="L6317" s="53" t="s">
        <v>6054</v>
      </c>
      <c r="M6317" s="68" t="s">
        <v>8912</v>
      </c>
      <c r="N6317" s="53" t="s">
        <v>6285</v>
      </c>
      <c r="O6317" s="53">
        <v>55200</v>
      </c>
      <c r="P6317" s="198" t="s">
        <v>14315</v>
      </c>
    </row>
    <row r="6318" spans="1:16" ht="18.75" hidden="1">
      <c r="A6318" s="50" t="s">
        <v>14378</v>
      </c>
      <c r="B6318" s="50" t="s">
        <v>14379</v>
      </c>
      <c r="C6318" s="50" t="s">
        <v>14254</v>
      </c>
      <c r="D6318" s="12" t="s">
        <v>13969</v>
      </c>
      <c r="E6318" s="12" t="s">
        <v>13333</v>
      </c>
      <c r="F6318" s="49">
        <v>98130</v>
      </c>
      <c r="G6318" s="77" t="s">
        <v>11829</v>
      </c>
      <c r="H6318" s="14" t="str">
        <f t="shared" si="242"/>
        <v>true</v>
      </c>
      <c r="I6318" s="14" t="s">
        <v>2458</v>
      </c>
      <c r="J6318" s="33" t="s">
        <v>7110</v>
      </c>
      <c r="K6318" s="33" t="s">
        <v>14407</v>
      </c>
      <c r="L6318" s="53" t="s">
        <v>6054</v>
      </c>
      <c r="M6318" s="68" t="s">
        <v>8912</v>
      </c>
      <c r="N6318" s="53" t="s">
        <v>6285</v>
      </c>
      <c r="O6318" s="53">
        <v>55200</v>
      </c>
      <c r="P6318" s="198" t="s">
        <v>13664</v>
      </c>
    </row>
    <row r="6319" spans="1:16" ht="18.75" hidden="1">
      <c r="A6319" s="50" t="s">
        <v>14380</v>
      </c>
      <c r="B6319" s="50" t="s">
        <v>14366</v>
      </c>
      <c r="C6319" s="50" t="s">
        <v>14184</v>
      </c>
      <c r="D6319" s="12" t="s">
        <v>13827</v>
      </c>
      <c r="E6319" s="12" t="s">
        <v>13333</v>
      </c>
      <c r="F6319" s="49">
        <v>345520</v>
      </c>
      <c r="G6319" s="77" t="s">
        <v>13495</v>
      </c>
      <c r="H6319" s="14" t="str">
        <f t="shared" si="242"/>
        <v>true</v>
      </c>
      <c r="I6319" s="14" t="s">
        <v>2458</v>
      </c>
      <c r="J6319" s="33" t="s">
        <v>7110</v>
      </c>
      <c r="K6319" s="33" t="s">
        <v>14407</v>
      </c>
      <c r="L6319" s="53" t="s">
        <v>6054</v>
      </c>
      <c r="M6319" s="68" t="s">
        <v>8912</v>
      </c>
      <c r="N6319" s="53" t="s">
        <v>6285</v>
      </c>
      <c r="O6319" s="53">
        <v>55200</v>
      </c>
      <c r="P6319" s="198" t="s">
        <v>13625</v>
      </c>
    </row>
    <row r="6320" spans="1:16" ht="18.75" hidden="1">
      <c r="A6320" s="50" t="s">
        <v>14381</v>
      </c>
      <c r="B6320" s="50" t="s">
        <v>14382</v>
      </c>
      <c r="C6320" s="50" t="s">
        <v>14077</v>
      </c>
      <c r="D6320" s="12" t="s">
        <v>13969</v>
      </c>
      <c r="E6320" s="12" t="s">
        <v>13333</v>
      </c>
      <c r="F6320" s="49">
        <v>196900</v>
      </c>
      <c r="G6320" s="77" t="s">
        <v>13714</v>
      </c>
      <c r="H6320" s="14" t="str">
        <f t="shared" si="242"/>
        <v>true</v>
      </c>
      <c r="I6320" s="14" t="s">
        <v>2458</v>
      </c>
      <c r="J6320" s="33" t="e">
        <f>VLOOKUP(C6320,شرکتها!A:B,2,FALSE)</f>
        <v>#N/A</v>
      </c>
      <c r="K6320" s="33" t="s">
        <v>14407</v>
      </c>
      <c r="L6320" s="53" t="s">
        <v>6054</v>
      </c>
      <c r="M6320" s="68" t="s">
        <v>8913</v>
      </c>
      <c r="N6320" s="53" t="s">
        <v>6076</v>
      </c>
      <c r="O6320" s="53">
        <v>55301</v>
      </c>
      <c r="P6320" s="198" t="s">
        <v>14078</v>
      </c>
    </row>
    <row r="6321" spans="1:16" ht="18.75" hidden="1">
      <c r="A6321" s="50" t="s">
        <v>14383</v>
      </c>
      <c r="B6321" s="50" t="s">
        <v>14377</v>
      </c>
      <c r="C6321" s="50" t="s">
        <v>14077</v>
      </c>
      <c r="D6321" s="12" t="s">
        <v>13969</v>
      </c>
      <c r="E6321" s="12" t="s">
        <v>13333</v>
      </c>
      <c r="F6321" s="49">
        <v>96920</v>
      </c>
      <c r="G6321" s="77" t="s">
        <v>13714</v>
      </c>
      <c r="H6321" s="14" t="str">
        <f t="shared" si="242"/>
        <v>true</v>
      </c>
      <c r="I6321" s="14" t="s">
        <v>2458</v>
      </c>
      <c r="J6321" s="33" t="e">
        <f>VLOOKUP(C6321,شرکتها!A:B,2,FALSE)</f>
        <v>#N/A</v>
      </c>
      <c r="K6321" s="33" t="s">
        <v>14407</v>
      </c>
      <c r="L6321" s="53" t="s">
        <v>6054</v>
      </c>
      <c r="M6321" s="68" t="s">
        <v>8912</v>
      </c>
      <c r="N6321" s="53" t="s">
        <v>6285</v>
      </c>
      <c r="O6321" s="53">
        <v>55200</v>
      </c>
      <c r="P6321" s="198" t="s">
        <v>14078</v>
      </c>
    </row>
    <row r="6322" spans="1:16" ht="18.75" hidden="1">
      <c r="A6322" s="50" t="s">
        <v>14384</v>
      </c>
      <c r="B6322" s="50" t="s">
        <v>14385</v>
      </c>
      <c r="C6322" s="50" t="s">
        <v>14077</v>
      </c>
      <c r="D6322" s="12" t="s">
        <v>13969</v>
      </c>
      <c r="E6322" s="12" t="s">
        <v>13333</v>
      </c>
      <c r="F6322" s="49">
        <v>74240</v>
      </c>
      <c r="G6322" s="77" t="s">
        <v>13714</v>
      </c>
      <c r="H6322" s="14" t="str">
        <f t="shared" si="242"/>
        <v>true</v>
      </c>
      <c r="I6322" s="14" t="s">
        <v>2458</v>
      </c>
      <c r="J6322" s="33" t="e">
        <f>VLOOKUP(C6322,شرکتها!A:B,2,FALSE)</f>
        <v>#N/A</v>
      </c>
      <c r="K6322" s="33" t="s">
        <v>14407</v>
      </c>
      <c r="L6322" s="53" t="s">
        <v>6054</v>
      </c>
      <c r="M6322" s="68" t="s">
        <v>8913</v>
      </c>
      <c r="N6322" s="53" t="s">
        <v>6076</v>
      </c>
      <c r="O6322" s="53">
        <v>55301</v>
      </c>
      <c r="P6322" s="198" t="s">
        <v>14078</v>
      </c>
    </row>
    <row r="6323" spans="1:16" ht="18.75" hidden="1">
      <c r="A6323" s="50" t="s">
        <v>14386</v>
      </c>
      <c r="B6323" s="50" t="s">
        <v>14387</v>
      </c>
      <c r="C6323" s="50" t="s">
        <v>14110</v>
      </c>
      <c r="D6323" s="12" t="s">
        <v>14111</v>
      </c>
      <c r="E6323" s="12" t="s">
        <v>13333</v>
      </c>
      <c r="F6323" s="49">
        <v>282010</v>
      </c>
      <c r="G6323" s="77" t="s">
        <v>13495</v>
      </c>
      <c r="H6323" s="14" t="str">
        <f t="shared" si="242"/>
        <v>true</v>
      </c>
      <c r="I6323" s="14" t="s">
        <v>2458</v>
      </c>
      <c r="J6323" s="33" t="s">
        <v>7110</v>
      </c>
      <c r="K6323" s="33" t="s">
        <v>14407</v>
      </c>
      <c r="L6323" s="53" t="s">
        <v>6054</v>
      </c>
      <c r="M6323" s="68" t="s">
        <v>8912</v>
      </c>
      <c r="N6323" s="53" t="s">
        <v>6076</v>
      </c>
      <c r="O6323" s="53">
        <v>55301</v>
      </c>
      <c r="P6323" s="198" t="s">
        <v>13625</v>
      </c>
    </row>
    <row r="6324" spans="1:16" ht="18.75">
      <c r="A6324" s="50" t="s">
        <v>14388</v>
      </c>
      <c r="B6324" s="50" t="s">
        <v>14389</v>
      </c>
      <c r="C6324" s="50" t="s">
        <v>14300</v>
      </c>
      <c r="D6324" s="12" t="s">
        <v>13969</v>
      </c>
      <c r="E6324" s="12" t="s">
        <v>13333</v>
      </c>
      <c r="F6324" s="49">
        <v>116460</v>
      </c>
      <c r="G6324" s="77" t="s">
        <v>6454</v>
      </c>
      <c r="H6324" s="14" t="str">
        <f t="shared" si="242"/>
        <v>true</v>
      </c>
      <c r="I6324" s="14" t="s">
        <v>2458</v>
      </c>
      <c r="J6324" s="33" t="e">
        <f>VLOOKUP(C6324,شرکتها!A:B,2,FALSE)</f>
        <v>#N/A</v>
      </c>
      <c r="K6324" s="33" t="s">
        <v>14407</v>
      </c>
      <c r="L6324" s="53" t="s">
        <v>14301</v>
      </c>
      <c r="M6324" s="68" t="s">
        <v>8912</v>
      </c>
      <c r="N6324" s="53" t="s">
        <v>6057</v>
      </c>
      <c r="O6324" s="53">
        <v>30100</v>
      </c>
      <c r="P6324" s="198" t="s">
        <v>14291</v>
      </c>
    </row>
    <row r="6325" spans="1:16" ht="18.75" hidden="1">
      <c r="A6325" s="50" t="s">
        <v>14390</v>
      </c>
      <c r="B6325" s="50" t="s">
        <v>14382</v>
      </c>
      <c r="C6325" s="50" t="s">
        <v>14159</v>
      </c>
      <c r="D6325" s="12" t="s">
        <v>13851</v>
      </c>
      <c r="E6325" s="12" t="s">
        <v>13333</v>
      </c>
      <c r="F6325" s="49">
        <v>268500</v>
      </c>
      <c r="G6325" s="77" t="s">
        <v>6454</v>
      </c>
      <c r="H6325" s="14" t="str">
        <f t="shared" si="242"/>
        <v>true</v>
      </c>
      <c r="I6325" s="14" t="s">
        <v>2458</v>
      </c>
      <c r="J6325" s="33" t="s">
        <v>7110</v>
      </c>
      <c r="K6325" s="33" t="s">
        <v>14407</v>
      </c>
      <c r="L6325" s="53" t="s">
        <v>6054</v>
      </c>
      <c r="M6325" s="68" t="s">
        <v>8912</v>
      </c>
      <c r="N6325" s="53" t="s">
        <v>6285</v>
      </c>
      <c r="O6325" s="53">
        <v>55200</v>
      </c>
      <c r="P6325" s="198" t="s">
        <v>14021</v>
      </c>
    </row>
    <row r="6326" spans="1:16" ht="18.75" hidden="1">
      <c r="A6326" s="50" t="s">
        <v>14391</v>
      </c>
      <c r="B6326" s="50" t="s">
        <v>14392</v>
      </c>
      <c r="C6326" s="50" t="s">
        <v>14258</v>
      </c>
      <c r="D6326" s="12" t="s">
        <v>13966</v>
      </c>
      <c r="E6326" s="12" t="s">
        <v>13333</v>
      </c>
      <c r="F6326" s="49">
        <v>48400</v>
      </c>
      <c r="G6326" s="77" t="s">
        <v>11829</v>
      </c>
      <c r="H6326" s="14" t="str">
        <f t="shared" si="242"/>
        <v>true</v>
      </c>
      <c r="I6326" s="14" t="s">
        <v>2458</v>
      </c>
      <c r="J6326" s="33" t="s">
        <v>7110</v>
      </c>
      <c r="K6326" s="33" t="s">
        <v>14407</v>
      </c>
      <c r="L6326" s="53" t="s">
        <v>6054</v>
      </c>
      <c r="M6326" s="68" t="s">
        <v>8912</v>
      </c>
      <c r="N6326" s="53" t="s">
        <v>6285</v>
      </c>
      <c r="O6326" s="53">
        <v>55200</v>
      </c>
      <c r="P6326" s="198" t="s">
        <v>13664</v>
      </c>
    </row>
    <row r="6327" spans="1:16" ht="18.75" hidden="1">
      <c r="A6327" s="50" t="s">
        <v>14393</v>
      </c>
      <c r="B6327" s="50" t="s">
        <v>14389</v>
      </c>
      <c r="C6327" s="50" t="s">
        <v>14077</v>
      </c>
      <c r="D6327" s="12" t="s">
        <v>13969</v>
      </c>
      <c r="E6327" s="12" t="s">
        <v>13333</v>
      </c>
      <c r="F6327" s="49">
        <v>47140</v>
      </c>
      <c r="G6327" s="77" t="s">
        <v>13714</v>
      </c>
      <c r="H6327" s="14" t="str">
        <f t="shared" si="242"/>
        <v>true</v>
      </c>
      <c r="I6327" s="14" t="s">
        <v>2458</v>
      </c>
      <c r="J6327" s="33" t="e">
        <f>VLOOKUP(C6327,شرکتها!A:B,2,FALSE)</f>
        <v>#N/A</v>
      </c>
      <c r="K6327" s="33" t="s">
        <v>14407</v>
      </c>
      <c r="L6327" s="53" t="s">
        <v>6054</v>
      </c>
      <c r="M6327" s="68" t="s">
        <v>8913</v>
      </c>
      <c r="N6327" s="53" t="s">
        <v>6076</v>
      </c>
      <c r="O6327" s="53">
        <v>55301</v>
      </c>
      <c r="P6327" s="198" t="s">
        <v>14078</v>
      </c>
    </row>
    <row r="6328" spans="1:16" ht="18.75" hidden="1">
      <c r="A6328" s="50" t="s">
        <v>14394</v>
      </c>
      <c r="B6328" s="50" t="s">
        <v>14366</v>
      </c>
      <c r="C6328" s="50" t="s">
        <v>14077</v>
      </c>
      <c r="D6328" s="12" t="s">
        <v>13969</v>
      </c>
      <c r="E6328" s="12" t="s">
        <v>13333</v>
      </c>
      <c r="F6328" s="49">
        <v>92290</v>
      </c>
      <c r="G6328" s="77" t="s">
        <v>13714</v>
      </c>
      <c r="H6328" s="14" t="str">
        <f t="shared" si="242"/>
        <v>true</v>
      </c>
      <c r="I6328" s="14" t="s">
        <v>2458</v>
      </c>
      <c r="J6328" s="33" t="e">
        <f>VLOOKUP(C6328,شرکتها!A:B,2,FALSE)</f>
        <v>#N/A</v>
      </c>
      <c r="K6328" s="33" t="s">
        <v>14407</v>
      </c>
      <c r="L6328" s="53" t="s">
        <v>6054</v>
      </c>
      <c r="M6328" s="68" t="s">
        <v>8913</v>
      </c>
      <c r="N6328" s="53" t="s">
        <v>6076</v>
      </c>
      <c r="O6328" s="53">
        <v>55301</v>
      </c>
      <c r="P6328" s="198" t="s">
        <v>14078</v>
      </c>
    </row>
    <row r="6329" spans="1:16" ht="18.75">
      <c r="A6329" s="50" t="s">
        <v>14395</v>
      </c>
      <c r="B6329" s="50" t="s">
        <v>14389</v>
      </c>
      <c r="C6329" s="50" t="s">
        <v>14350</v>
      </c>
      <c r="D6329" s="12" t="s">
        <v>14351</v>
      </c>
      <c r="E6329" s="12" t="s">
        <v>13333</v>
      </c>
      <c r="F6329" s="49">
        <v>208110</v>
      </c>
      <c r="G6329" s="77" t="s">
        <v>6454</v>
      </c>
      <c r="H6329" s="14" t="str">
        <f t="shared" si="242"/>
        <v>true</v>
      </c>
      <c r="I6329" s="14" t="s">
        <v>2458</v>
      </c>
      <c r="J6329" s="33" t="e">
        <f>VLOOKUP(C6329,شرکتها!A:B,2,FALSE)</f>
        <v>#N/A</v>
      </c>
      <c r="K6329" s="33" t="s">
        <v>14407</v>
      </c>
      <c r="L6329" s="53" t="s">
        <v>6054</v>
      </c>
      <c r="M6329" s="68" t="s">
        <v>8912</v>
      </c>
      <c r="N6329" s="53" t="s">
        <v>6285</v>
      </c>
      <c r="O6329" s="53">
        <v>55200</v>
      </c>
      <c r="P6329" s="198" t="s">
        <v>14315</v>
      </c>
    </row>
    <row r="6330" spans="1:16" ht="18.75">
      <c r="A6330" s="50" t="s">
        <v>14395</v>
      </c>
      <c r="B6330" s="50" t="s">
        <v>14389</v>
      </c>
      <c r="C6330" s="50" t="s">
        <v>14314</v>
      </c>
      <c r="D6330" s="12" t="s">
        <v>14102</v>
      </c>
      <c r="E6330" s="12" t="s">
        <v>13333</v>
      </c>
      <c r="F6330" s="49">
        <v>99290</v>
      </c>
      <c r="G6330" s="77" t="s">
        <v>6454</v>
      </c>
      <c r="H6330" s="14" t="str">
        <f t="shared" si="242"/>
        <v>true</v>
      </c>
      <c r="I6330" s="14" t="s">
        <v>2458</v>
      </c>
      <c r="J6330" s="33" t="e">
        <f>VLOOKUP(C6330,شرکتها!A:B,2,FALSE)</f>
        <v>#N/A</v>
      </c>
      <c r="K6330" s="33" t="s">
        <v>14407</v>
      </c>
      <c r="L6330" s="53" t="s">
        <v>6054</v>
      </c>
      <c r="M6330" s="68" t="s">
        <v>8912</v>
      </c>
      <c r="N6330" s="53" t="s">
        <v>6285</v>
      </c>
      <c r="O6330" s="53">
        <v>55200</v>
      </c>
      <c r="P6330" s="198" t="s">
        <v>14315</v>
      </c>
    </row>
    <row r="6331" spans="1:16" ht="18.75" hidden="1">
      <c r="A6331" s="50" t="s">
        <v>14396</v>
      </c>
      <c r="B6331" s="50" t="s">
        <v>14397</v>
      </c>
      <c r="C6331" s="50" t="s">
        <v>14077</v>
      </c>
      <c r="D6331" s="12" t="s">
        <v>13969</v>
      </c>
      <c r="E6331" s="12" t="s">
        <v>13333</v>
      </c>
      <c r="F6331" s="49">
        <v>22420</v>
      </c>
      <c r="G6331" s="77" t="s">
        <v>13714</v>
      </c>
      <c r="H6331" s="14" t="str">
        <f t="shared" si="242"/>
        <v>true</v>
      </c>
      <c r="I6331" s="14" t="s">
        <v>2458</v>
      </c>
      <c r="J6331" s="33" t="e">
        <f>VLOOKUP(C6331,شرکتها!A:B,2,FALSE)</f>
        <v>#N/A</v>
      </c>
      <c r="K6331" s="33" t="s">
        <v>14407</v>
      </c>
      <c r="L6331" s="53" t="s">
        <v>6054</v>
      </c>
      <c r="M6331" s="68" t="s">
        <v>8913</v>
      </c>
      <c r="N6331" s="53" t="s">
        <v>6076</v>
      </c>
      <c r="O6331" s="53">
        <v>55301</v>
      </c>
      <c r="P6331" s="198" t="s">
        <v>14078</v>
      </c>
    </row>
    <row r="6332" spans="1:16" ht="18.75" hidden="1">
      <c r="A6332" s="50" t="s">
        <v>14398</v>
      </c>
      <c r="B6332" s="50" t="s">
        <v>14382</v>
      </c>
      <c r="C6332" s="50" t="s">
        <v>14060</v>
      </c>
      <c r="D6332" s="12" t="s">
        <v>13827</v>
      </c>
      <c r="E6332" s="12" t="s">
        <v>13333</v>
      </c>
      <c r="F6332" s="49">
        <v>11520</v>
      </c>
      <c r="G6332" s="77" t="s">
        <v>11829</v>
      </c>
      <c r="H6332" s="14" t="str">
        <f t="shared" si="242"/>
        <v>true</v>
      </c>
      <c r="I6332" s="14" t="s">
        <v>2458</v>
      </c>
      <c r="J6332" s="33" t="s">
        <v>7110</v>
      </c>
      <c r="K6332" s="33" t="s">
        <v>14407</v>
      </c>
      <c r="L6332" s="53" t="s">
        <v>6054</v>
      </c>
      <c r="M6332" s="68" t="s">
        <v>8913</v>
      </c>
      <c r="N6332" s="53" t="s">
        <v>6076</v>
      </c>
      <c r="O6332" s="53">
        <v>55301</v>
      </c>
      <c r="P6332" s="198" t="s">
        <v>13664</v>
      </c>
    </row>
    <row r="6333" spans="1:16" ht="18.75" hidden="1">
      <c r="A6333" s="50" t="s">
        <v>14398</v>
      </c>
      <c r="B6333" s="50" t="s">
        <v>14382</v>
      </c>
      <c r="C6333" s="50" t="s">
        <v>14399</v>
      </c>
      <c r="D6333" s="12" t="s">
        <v>13741</v>
      </c>
      <c r="E6333" s="12" t="s">
        <v>13333</v>
      </c>
      <c r="F6333" s="49">
        <v>24620</v>
      </c>
      <c r="G6333" s="77" t="s">
        <v>11829</v>
      </c>
      <c r="H6333" s="14" t="str">
        <f t="shared" si="242"/>
        <v>true</v>
      </c>
      <c r="I6333" s="14" t="s">
        <v>2458</v>
      </c>
      <c r="J6333" s="33" t="s">
        <v>7110</v>
      </c>
      <c r="K6333" s="33" t="s">
        <v>14407</v>
      </c>
      <c r="L6333" s="53" t="s">
        <v>6054</v>
      </c>
      <c r="M6333" s="68" t="s">
        <v>8913</v>
      </c>
      <c r="N6333" s="53" t="s">
        <v>6076</v>
      </c>
      <c r="O6333" s="53">
        <v>55301</v>
      </c>
      <c r="P6333" s="198" t="s">
        <v>13664</v>
      </c>
    </row>
    <row r="6334" spans="1:16" ht="18.75" hidden="1">
      <c r="A6334" s="50" t="s">
        <v>14398</v>
      </c>
      <c r="B6334" s="50" t="s">
        <v>14382</v>
      </c>
      <c r="C6334" s="50" t="s">
        <v>14258</v>
      </c>
      <c r="D6334" s="12" t="s">
        <v>13966</v>
      </c>
      <c r="E6334" s="12" t="s">
        <v>13333</v>
      </c>
      <c r="F6334" s="49">
        <v>76180</v>
      </c>
      <c r="G6334" s="77" t="s">
        <v>11829</v>
      </c>
      <c r="H6334" s="14" t="str">
        <f t="shared" si="242"/>
        <v>true</v>
      </c>
      <c r="I6334" s="14" t="s">
        <v>2458</v>
      </c>
      <c r="J6334" s="33" t="s">
        <v>7110</v>
      </c>
      <c r="K6334" s="33" t="s">
        <v>14407</v>
      </c>
      <c r="L6334" s="53" t="s">
        <v>6054</v>
      </c>
      <c r="M6334" s="68" t="s">
        <v>8913</v>
      </c>
      <c r="N6334" s="53" t="s">
        <v>6076</v>
      </c>
      <c r="O6334" s="53">
        <v>55301</v>
      </c>
      <c r="P6334" s="198" t="s">
        <v>13664</v>
      </c>
    </row>
    <row r="6335" spans="1:16" ht="18.75">
      <c r="A6335" s="50" t="s">
        <v>14400</v>
      </c>
      <c r="B6335" s="50" t="s">
        <v>14397</v>
      </c>
      <c r="C6335" s="50" t="s">
        <v>14290</v>
      </c>
      <c r="D6335" s="12" t="s">
        <v>13957</v>
      </c>
      <c r="E6335" s="12" t="s">
        <v>13333</v>
      </c>
      <c r="F6335" s="49">
        <v>74460</v>
      </c>
      <c r="G6335" s="77" t="s">
        <v>6454</v>
      </c>
      <c r="H6335" s="14" t="str">
        <f t="shared" si="242"/>
        <v>true</v>
      </c>
      <c r="I6335" s="14" t="s">
        <v>2458</v>
      </c>
      <c r="J6335" s="33" t="e">
        <f>VLOOKUP(C6335,شرکتها!A:B,2,FALSE)</f>
        <v>#N/A</v>
      </c>
      <c r="K6335" s="33" t="s">
        <v>14407</v>
      </c>
      <c r="L6335" s="53" t="s">
        <v>6054</v>
      </c>
      <c r="M6335" s="68" t="s">
        <v>8912</v>
      </c>
      <c r="N6335" s="53" t="s">
        <v>6285</v>
      </c>
      <c r="O6335" s="53">
        <v>55200</v>
      </c>
      <c r="P6335" s="198" t="s">
        <v>14291</v>
      </c>
    </row>
    <row r="6336" spans="1:16" ht="18.75">
      <c r="A6336" s="50" t="s">
        <v>14401</v>
      </c>
      <c r="B6336" s="50" t="s">
        <v>14389</v>
      </c>
      <c r="C6336" s="50" t="s">
        <v>14290</v>
      </c>
      <c r="D6336" s="12" t="s">
        <v>13957</v>
      </c>
      <c r="E6336" s="12" t="s">
        <v>13333</v>
      </c>
      <c r="F6336" s="49">
        <v>145790</v>
      </c>
      <c r="G6336" s="77" t="s">
        <v>6454</v>
      </c>
      <c r="H6336" s="14" t="str">
        <f t="shared" si="242"/>
        <v>true</v>
      </c>
      <c r="I6336" s="14" t="s">
        <v>2458</v>
      </c>
      <c r="J6336" s="33" t="e">
        <f>VLOOKUP(C6336,شرکتها!A:B,2,FALSE)</f>
        <v>#N/A</v>
      </c>
      <c r="K6336" s="33" t="s">
        <v>14407</v>
      </c>
      <c r="L6336" s="53" t="s">
        <v>6054</v>
      </c>
      <c r="M6336" s="68" t="s">
        <v>8912</v>
      </c>
      <c r="N6336" s="53" t="s">
        <v>6285</v>
      </c>
      <c r="O6336" s="53">
        <v>55200</v>
      </c>
      <c r="P6336" s="198" t="s">
        <v>14291</v>
      </c>
    </row>
    <row r="6337" spans="1:16" ht="18.75" hidden="1">
      <c r="A6337" s="50" t="str">
        <f>"45100-818474"</f>
        <v>45100-818474</v>
      </c>
      <c r="B6337" s="50" t="str">
        <f>"97/04/24"</f>
        <v>97/04/24</v>
      </c>
      <c r="C6337" s="50" t="s">
        <v>13790</v>
      </c>
      <c r="D6337" s="12" t="s">
        <v>13759</v>
      </c>
      <c r="E6337" s="12" t="s">
        <v>13333</v>
      </c>
      <c r="F6337" s="49">
        <v>205831</v>
      </c>
      <c r="G6337" s="77" t="str">
        <f>"LLC Black Gem Business"</f>
        <v>LLC Black Gem Business</v>
      </c>
      <c r="H6337" s="14" t="str">
        <f t="shared" si="242"/>
        <v>true</v>
      </c>
      <c r="I6337" s="14" t="s">
        <v>2458</v>
      </c>
      <c r="J6337" s="33" t="s">
        <v>7110</v>
      </c>
      <c r="K6337" s="33" t="s">
        <v>14407</v>
      </c>
      <c r="L6337" s="53" t="str">
        <f>" امارات متحده عربي"</f>
        <v xml:space="preserve"> امارات متحده عربي</v>
      </c>
      <c r="M6337" s="68" t="str">
        <f>"فله"</f>
        <v>فله</v>
      </c>
      <c r="N6337" s="53" t="str">
        <f>"منطقه ويژه اقتصادي بوشهر 1"</f>
        <v>منطقه ويژه اقتصادي بوشهر 1</v>
      </c>
      <c r="O6337" s="53">
        <v>45100</v>
      </c>
      <c r="P6337" s="198" t="str">
        <f>"1397558772001"</f>
        <v>1397558772001</v>
      </c>
    </row>
    <row r="6338" spans="1:16" ht="18.75" hidden="1">
      <c r="A6338" s="50" t="str">
        <f>"45100-818474"</f>
        <v>45100-818474</v>
      </c>
      <c r="B6338" s="50" t="str">
        <f>"97/04/24"</f>
        <v>97/04/24</v>
      </c>
      <c r="C6338" s="50" t="s">
        <v>13874</v>
      </c>
      <c r="D6338" s="12" t="s">
        <v>13770</v>
      </c>
      <c r="E6338" s="12" t="s">
        <v>13333</v>
      </c>
      <c r="F6338" s="49">
        <v>1586914</v>
      </c>
      <c r="G6338" s="77" t="str">
        <f>"LLC Black Gem Business"</f>
        <v>LLC Black Gem Business</v>
      </c>
      <c r="H6338" s="14" t="str">
        <f t="shared" si="242"/>
        <v>true</v>
      </c>
      <c r="I6338" s="14" t="s">
        <v>2458</v>
      </c>
      <c r="J6338" s="33" t="s">
        <v>7110</v>
      </c>
      <c r="K6338" s="33" t="s">
        <v>14407</v>
      </c>
      <c r="L6338" s="53" t="str">
        <f>" امارات متحده عربي"</f>
        <v xml:space="preserve"> امارات متحده عربي</v>
      </c>
      <c r="M6338" s="68" t="str">
        <f>"فله"</f>
        <v>فله</v>
      </c>
      <c r="N6338" s="53" t="str">
        <f>"منطقه ويژه اقتصادي بوشهر 1"</f>
        <v>منطقه ويژه اقتصادي بوشهر 1</v>
      </c>
      <c r="O6338" s="53">
        <v>45100</v>
      </c>
      <c r="P6338" s="198" t="str">
        <f>"1397558772001"</f>
        <v>1397558772001</v>
      </c>
    </row>
    <row r="6339" spans="1:16" ht="18.75" hidden="1">
      <c r="A6339" s="50" t="str">
        <f>"60503-209006"</f>
        <v>60503-209006</v>
      </c>
      <c r="B6339" s="50" t="str">
        <f>"97/04/25"</f>
        <v>97/04/25</v>
      </c>
      <c r="C6339" s="50" t="s">
        <v>14202</v>
      </c>
      <c r="D6339" s="12" t="s">
        <v>13741</v>
      </c>
      <c r="E6339" s="12" t="s">
        <v>13333</v>
      </c>
      <c r="F6339" s="49">
        <v>355970</v>
      </c>
      <c r="G6339" s="77" t="str">
        <f>"T.K.S TRADING"</f>
        <v>T.K.S TRADING</v>
      </c>
      <c r="H6339" s="14" t="str">
        <f t="shared" si="242"/>
        <v>true</v>
      </c>
      <c r="I6339" s="14" t="s">
        <v>2458</v>
      </c>
      <c r="J6339" s="33" t="s">
        <v>7110</v>
      </c>
      <c r="K6339" s="33" t="s">
        <v>14407</v>
      </c>
      <c r="L6339" s="53" t="str">
        <f>" افغانستان"</f>
        <v xml:space="preserve"> افغانستان</v>
      </c>
      <c r="M6339" s="68" t="str">
        <f>"بشكه"</f>
        <v>بشكه</v>
      </c>
      <c r="N6339" s="53" t="str">
        <f>"منطقه ويژه دوغارون"</f>
        <v>منطقه ويژه دوغارون</v>
      </c>
      <c r="O6339" s="53">
        <v>60503</v>
      </c>
      <c r="P6339" s="198" t="str">
        <f>"1397562108001"</f>
        <v>1397562108001</v>
      </c>
    </row>
    <row r="6340" spans="1:16" ht="18.75" hidden="1">
      <c r="A6340" s="50" t="str">
        <f>"60503-211677"</f>
        <v>60503-211677</v>
      </c>
      <c r="B6340" s="50" t="str">
        <f>"97/05/08"</f>
        <v>97/05/08</v>
      </c>
      <c r="C6340" s="50" t="s">
        <v>14402</v>
      </c>
      <c r="D6340" s="12" t="s">
        <v>13827</v>
      </c>
      <c r="E6340" s="12" t="s">
        <v>13333</v>
      </c>
      <c r="F6340" s="49">
        <v>300000</v>
      </c>
      <c r="G6340" s="77" t="str">
        <f>"DAXON PETROLEUM"</f>
        <v>DAXON PETROLEUM</v>
      </c>
      <c r="H6340" s="14" t="str">
        <f t="shared" si="242"/>
        <v>true</v>
      </c>
      <c r="I6340" s="14" t="s">
        <v>2458</v>
      </c>
      <c r="J6340" s="33" t="s">
        <v>7110</v>
      </c>
      <c r="K6340" s="33" t="s">
        <v>14407</v>
      </c>
      <c r="L6340" s="53" t="str">
        <f>" افغانستان"</f>
        <v xml:space="preserve"> افغانستان</v>
      </c>
      <c r="M6340" s="68" t="str">
        <f>"بشكه"</f>
        <v>بشكه</v>
      </c>
      <c r="N6340" s="53" t="str">
        <f>"منطقه ويژه دوغارون"</f>
        <v>منطقه ويژه دوغارون</v>
      </c>
      <c r="O6340" s="53">
        <v>60503</v>
      </c>
      <c r="P6340" s="198" t="str">
        <f>"1397558729001"</f>
        <v>1397558729001</v>
      </c>
    </row>
    <row r="6341" spans="1:16" ht="18.75" hidden="1">
      <c r="A6341" s="50" t="str">
        <f>"60503-209721"</f>
        <v>60503-209721</v>
      </c>
      <c r="B6341" s="50" t="str">
        <f>"97/04/27"</f>
        <v>97/04/27</v>
      </c>
      <c r="C6341" s="50" t="s">
        <v>14403</v>
      </c>
      <c r="D6341" s="12" t="s">
        <v>13971</v>
      </c>
      <c r="E6341" s="12" t="s">
        <v>13333</v>
      </c>
      <c r="F6341" s="49">
        <v>860000</v>
      </c>
      <c r="G6341" s="77" t="str">
        <f>"HERAT GHORBAND CONSTRUCTION COMPANY"</f>
        <v>HERAT GHORBAND CONSTRUCTION COMPANY</v>
      </c>
      <c r="H6341" s="14" t="str">
        <f t="shared" si="242"/>
        <v>true</v>
      </c>
      <c r="I6341" s="14" t="s">
        <v>2458</v>
      </c>
      <c r="J6341" s="33" t="s">
        <v>7110</v>
      </c>
      <c r="K6341" s="33" t="s">
        <v>14407</v>
      </c>
      <c r="L6341" s="53" t="str">
        <f>" افغانستان"</f>
        <v xml:space="preserve"> افغانستان</v>
      </c>
      <c r="M6341" s="68" t="str">
        <f>"بشكه"</f>
        <v>بشكه</v>
      </c>
      <c r="N6341" s="53" t="str">
        <f>"منطقه ويژه دوغارون"</f>
        <v>منطقه ويژه دوغارون</v>
      </c>
      <c r="O6341" s="53">
        <v>60503</v>
      </c>
      <c r="P6341" s="198" t="str">
        <f>"1397558726001"</f>
        <v>1397558726001</v>
      </c>
    </row>
    <row r="6342" spans="1:16" ht="18.75" hidden="1">
      <c r="A6342" s="50" t="str">
        <f>"45100-818483"</f>
        <v>45100-818483</v>
      </c>
      <c r="B6342" s="50" t="str">
        <f>"97/04/24"</f>
        <v>97/04/24</v>
      </c>
      <c r="C6342" s="50" t="s">
        <v>14404</v>
      </c>
      <c r="D6342" s="12" t="s">
        <v>14405</v>
      </c>
      <c r="E6342" s="12" t="s">
        <v>13333</v>
      </c>
      <c r="F6342" s="49">
        <v>466656</v>
      </c>
      <c r="G6342" s="77" t="str">
        <f>"Black Gold Traders FZE"</f>
        <v>Black Gold Traders FZE</v>
      </c>
      <c r="H6342" s="14" t="str">
        <f t="shared" si="242"/>
        <v>true</v>
      </c>
      <c r="I6342" s="14" t="s">
        <v>2458</v>
      </c>
      <c r="J6342" s="33" t="s">
        <v>7110</v>
      </c>
      <c r="K6342" s="33" t="s">
        <v>14407</v>
      </c>
      <c r="L6342" s="53" t="str">
        <f>" امارات متحده عربي"</f>
        <v xml:space="preserve"> امارات متحده عربي</v>
      </c>
      <c r="M6342" s="68" t="str">
        <f>"فله"</f>
        <v>فله</v>
      </c>
      <c r="N6342" s="53" t="str">
        <f>"منطقه ويژه اقتصادي بوشهر 1"</f>
        <v>منطقه ويژه اقتصادي بوشهر 1</v>
      </c>
      <c r="O6342" s="53">
        <v>45100</v>
      </c>
      <c r="P6342" s="198" t="str">
        <f>"1396548707001"</f>
        <v>1396548707001</v>
      </c>
    </row>
    <row r="6343" spans="1:16" ht="18.75" hidden="1">
      <c r="A6343" s="50" t="str">
        <f>"60503-209024"</f>
        <v>60503-209024</v>
      </c>
      <c r="B6343" s="50" t="str">
        <f>"97/04/26"</f>
        <v>97/04/26</v>
      </c>
      <c r="C6343" s="50" t="s">
        <v>14406</v>
      </c>
      <c r="D6343" s="12" t="s">
        <v>13477</v>
      </c>
      <c r="E6343" s="12" t="s">
        <v>13333</v>
      </c>
      <c r="F6343" s="49">
        <v>200000</v>
      </c>
      <c r="G6343" s="77" t="str">
        <f>"JANSONS TRADING FZE"</f>
        <v>JANSONS TRADING FZE</v>
      </c>
      <c r="H6343" s="14" t="str">
        <f t="shared" si="242"/>
        <v>true</v>
      </c>
      <c r="I6343" s="14" t="s">
        <v>2458</v>
      </c>
      <c r="J6343" s="33" t="s">
        <v>7110</v>
      </c>
      <c r="K6343" s="33" t="s">
        <v>14407</v>
      </c>
      <c r="L6343" s="53" t="str">
        <f>" افغانستان"</f>
        <v xml:space="preserve"> افغانستان</v>
      </c>
      <c r="M6343" s="68" t="str">
        <f>"بشكه"</f>
        <v>بشكه</v>
      </c>
      <c r="N6343" s="53" t="str">
        <f>"منطقه ويژه دوغارون"</f>
        <v>منطقه ويژه دوغارون</v>
      </c>
      <c r="O6343" s="53">
        <v>60503</v>
      </c>
      <c r="P6343" s="198" t="str">
        <f>"1397558728001"</f>
        <v>1397558728001</v>
      </c>
    </row>
    <row r="6344" spans="1:16" ht="18.75" hidden="1">
      <c r="A6344" s="50" t="str">
        <f>"50100-10567639"</f>
        <v>50100-10567639</v>
      </c>
      <c r="B6344" s="50" t="str">
        <f>"97/05/24"</f>
        <v>97/05/24</v>
      </c>
      <c r="C6344" s="50" t="s">
        <v>14408</v>
      </c>
      <c r="D6344" s="12" t="s">
        <v>13984</v>
      </c>
      <c r="E6344" s="12" t="s">
        <v>13333</v>
      </c>
      <c r="F6344" s="49">
        <v>249440</v>
      </c>
      <c r="G6344" s="77" t="s">
        <v>6454</v>
      </c>
      <c r="H6344" s="14" t="str">
        <f t="shared" ref="H6344:H6386" si="245">IF(I6344="نامشخص",IF(E6344&gt;C6344,"false","true"),IF(E6344&gt;I6344,"false","true"))</f>
        <v>true</v>
      </c>
      <c r="I6344" s="14" t="s">
        <v>2458</v>
      </c>
      <c r="J6344" s="33" t="s">
        <v>7110</v>
      </c>
      <c r="K6344" s="33" t="s">
        <v>14409</v>
      </c>
      <c r="L6344" s="53" t="str">
        <f>"اندونزي"</f>
        <v>اندونزي</v>
      </c>
      <c r="M6344" s="68" t="s">
        <v>9999</v>
      </c>
      <c r="N6344" s="68" t="s">
        <v>8665</v>
      </c>
      <c r="O6344" s="53">
        <v>50100</v>
      </c>
      <c r="P6344" s="198" t="str">
        <f>"1397558729001"</f>
        <v>1397558729001</v>
      </c>
    </row>
    <row r="6345" spans="1:16" ht="18.75" hidden="1">
      <c r="A6345" s="50" t="str">
        <f>"50100-10567639"</f>
        <v>50100-10567639</v>
      </c>
      <c r="B6345" s="50" t="str">
        <f>"97/05/24"</f>
        <v>97/05/24</v>
      </c>
      <c r="C6345" s="50" t="s">
        <v>14369</v>
      </c>
      <c r="D6345" s="12" t="s">
        <v>13960</v>
      </c>
      <c r="E6345" s="12" t="s">
        <v>13333</v>
      </c>
      <c r="F6345" s="49">
        <v>179115</v>
      </c>
      <c r="G6345" s="77" t="s">
        <v>6454</v>
      </c>
      <c r="H6345" s="14" t="str">
        <f t="shared" si="245"/>
        <v>true</v>
      </c>
      <c r="I6345" s="14" t="s">
        <v>2458</v>
      </c>
      <c r="J6345" s="33" t="s">
        <v>7110</v>
      </c>
      <c r="K6345" s="33" t="s">
        <v>14409</v>
      </c>
      <c r="L6345" s="53" t="str">
        <f>"اندونزي"</f>
        <v>اندونزي</v>
      </c>
      <c r="M6345" s="68" t="s">
        <v>9999</v>
      </c>
      <c r="N6345" s="68" t="s">
        <v>8665</v>
      </c>
      <c r="O6345" s="53">
        <v>50100</v>
      </c>
      <c r="P6345" s="198" t="str">
        <f>"1397558729001"</f>
        <v>1397558729001</v>
      </c>
    </row>
    <row r="6346" spans="1:16" ht="18.75" hidden="1">
      <c r="A6346" s="50" t="str">
        <f>"50100-10585052"</f>
        <v>50100-10585052</v>
      </c>
      <c r="B6346" s="50" t="str">
        <f>"97/05/30"</f>
        <v>97/05/30</v>
      </c>
      <c r="C6346" s="50" t="s">
        <v>14246</v>
      </c>
      <c r="D6346" s="12" t="s">
        <v>13759</v>
      </c>
      <c r="E6346" s="12" t="s">
        <v>13333</v>
      </c>
      <c r="F6346" s="49">
        <v>399420</v>
      </c>
      <c r="G6346" s="77" t="s">
        <v>6298</v>
      </c>
      <c r="H6346" s="14" t="str">
        <f t="shared" si="245"/>
        <v>true</v>
      </c>
      <c r="I6346" s="14" t="s">
        <v>2458</v>
      </c>
      <c r="J6346" s="33" t="s">
        <v>7110</v>
      </c>
      <c r="K6346" s="33" t="s">
        <v>14409</v>
      </c>
      <c r="L6346" s="53" t="str">
        <f>"هند"</f>
        <v>هند</v>
      </c>
      <c r="M6346" s="68" t="s">
        <v>9999</v>
      </c>
      <c r="N6346" s="68" t="s">
        <v>8665</v>
      </c>
      <c r="O6346" s="53">
        <v>50100</v>
      </c>
      <c r="P6346" s="198" t="str">
        <f>"1397558720001"</f>
        <v>1397558720001</v>
      </c>
    </row>
    <row r="6347" spans="1:16" ht="18.75" hidden="1">
      <c r="A6347" s="50" t="str">
        <f>"50100-10563585"</f>
        <v>50100-10563585</v>
      </c>
      <c r="B6347" s="50" t="str">
        <f>"97/05/23"</f>
        <v>97/05/23</v>
      </c>
      <c r="C6347" s="50" t="s">
        <v>14410</v>
      </c>
      <c r="D6347" s="12" t="s">
        <v>14405</v>
      </c>
      <c r="E6347" s="12" t="s">
        <v>13333</v>
      </c>
      <c r="F6347" s="49">
        <v>77880</v>
      </c>
      <c r="G6347" s="77" t="s">
        <v>6298</v>
      </c>
      <c r="H6347" s="14" t="str">
        <f t="shared" si="245"/>
        <v>true</v>
      </c>
      <c r="I6347" s="14" t="s">
        <v>2458</v>
      </c>
      <c r="J6347" s="33" t="s">
        <v>7110</v>
      </c>
      <c r="K6347" s="33" t="s">
        <v>14409</v>
      </c>
      <c r="L6347" s="53" t="str">
        <f>"چين"</f>
        <v>چين</v>
      </c>
      <c r="M6347" s="68" t="s">
        <v>9999</v>
      </c>
      <c r="N6347" s="68" t="s">
        <v>8665</v>
      </c>
      <c r="O6347" s="53">
        <v>50100</v>
      </c>
      <c r="P6347" s="198" t="str">
        <f>"1397561058001"</f>
        <v>1397561058001</v>
      </c>
    </row>
    <row r="6348" spans="1:16" ht="18.75" hidden="1">
      <c r="A6348" s="50" t="str">
        <f>"50100-10584620"</f>
        <v>50100-10584620</v>
      </c>
      <c r="B6348" s="50" t="str">
        <f>"97/05/30"</f>
        <v>97/05/30</v>
      </c>
      <c r="C6348" s="50" t="s">
        <v>14410</v>
      </c>
      <c r="D6348" s="12" t="s">
        <v>14405</v>
      </c>
      <c r="E6348" s="12" t="s">
        <v>13333</v>
      </c>
      <c r="F6348" s="49">
        <v>155760</v>
      </c>
      <c r="G6348" s="77" t="s">
        <v>6298</v>
      </c>
      <c r="H6348" s="14" t="str">
        <f t="shared" si="245"/>
        <v>true</v>
      </c>
      <c r="I6348" s="14" t="s">
        <v>2458</v>
      </c>
      <c r="J6348" s="33" t="s">
        <v>7110</v>
      </c>
      <c r="K6348" s="33" t="s">
        <v>14409</v>
      </c>
      <c r="L6348" s="53" t="str">
        <f>"هند"</f>
        <v>هند</v>
      </c>
      <c r="M6348" s="68" t="s">
        <v>9999</v>
      </c>
      <c r="N6348" s="68" t="s">
        <v>8665</v>
      </c>
      <c r="O6348" s="53">
        <v>50100</v>
      </c>
      <c r="P6348" s="198" t="str">
        <f>"1397561058001"</f>
        <v>1397561058001</v>
      </c>
    </row>
    <row r="6349" spans="1:16" ht="18.75" hidden="1">
      <c r="A6349" s="50" t="str">
        <f>"50100-10585052"</f>
        <v>50100-10585052</v>
      </c>
      <c r="B6349" s="50" t="str">
        <f>"97/05/30"</f>
        <v>97/05/30</v>
      </c>
      <c r="C6349" s="50" t="s">
        <v>14019</v>
      </c>
      <c r="D6349" s="12" t="s">
        <v>13422</v>
      </c>
      <c r="E6349" s="12" t="s">
        <v>13333</v>
      </c>
      <c r="F6349" s="49">
        <v>2520</v>
      </c>
      <c r="G6349" s="77" t="s">
        <v>6298</v>
      </c>
      <c r="H6349" s="14" t="str">
        <f t="shared" si="245"/>
        <v>true</v>
      </c>
      <c r="I6349" s="14" t="s">
        <v>2458</v>
      </c>
      <c r="J6349" s="33" t="s">
        <v>7110</v>
      </c>
      <c r="K6349" s="33" t="s">
        <v>14409</v>
      </c>
      <c r="L6349" s="53" t="str">
        <f>"هند"</f>
        <v>هند</v>
      </c>
      <c r="M6349" s="68" t="s">
        <v>9999</v>
      </c>
      <c r="N6349" s="68" t="s">
        <v>8665</v>
      </c>
      <c r="O6349" s="53">
        <v>50100</v>
      </c>
      <c r="P6349" s="198" t="str">
        <f>"1397558720001"</f>
        <v>1397558720001</v>
      </c>
    </row>
    <row r="6350" spans="1:16" ht="18.75" hidden="1">
      <c r="A6350" s="50" t="str">
        <f>"50100-10585106"</f>
        <v>50100-10585106</v>
      </c>
      <c r="B6350" s="50" t="str">
        <f>"97/05/30"</f>
        <v>97/05/30</v>
      </c>
      <c r="C6350" s="50" t="s">
        <v>14374</v>
      </c>
      <c r="D6350" s="12" t="s">
        <v>14034</v>
      </c>
      <c r="E6350" s="12" t="s">
        <v>13333</v>
      </c>
      <c r="F6350" s="49">
        <v>494725</v>
      </c>
      <c r="G6350" s="77" t="s">
        <v>12120</v>
      </c>
      <c r="H6350" s="14" t="str">
        <f t="shared" si="245"/>
        <v>true</v>
      </c>
      <c r="I6350" s="14" t="s">
        <v>2458</v>
      </c>
      <c r="J6350" s="33" t="e">
        <f>VLOOKUP(C6350,شرکتها!A:B,2,FALSE)</f>
        <v>#N/A</v>
      </c>
      <c r="K6350" s="33" t="s">
        <v>14409</v>
      </c>
      <c r="L6350" s="53" t="str">
        <f>"هند"</f>
        <v>هند</v>
      </c>
      <c r="M6350" s="68" t="s">
        <v>9999</v>
      </c>
      <c r="N6350" s="68" t="s">
        <v>8665</v>
      </c>
      <c r="O6350" s="53">
        <v>50100</v>
      </c>
      <c r="P6350" s="198" t="str">
        <f>"1397560053001"</f>
        <v>1397560053001</v>
      </c>
    </row>
    <row r="6351" spans="1:16" ht="18.75" hidden="1">
      <c r="A6351" s="50" t="str">
        <f>"50100-10567639"</f>
        <v>50100-10567639</v>
      </c>
      <c r="B6351" s="50" t="str">
        <f>"97/05/24"</f>
        <v>97/05/24</v>
      </c>
      <c r="C6351" s="50" t="s">
        <v>14051</v>
      </c>
      <c r="D6351" s="12" t="s">
        <v>13812</v>
      </c>
      <c r="E6351" s="12" t="s">
        <v>13333</v>
      </c>
      <c r="F6351" s="49">
        <v>59165</v>
      </c>
      <c r="G6351" s="77" t="s">
        <v>6454</v>
      </c>
      <c r="H6351" s="14" t="str">
        <f t="shared" si="245"/>
        <v>true</v>
      </c>
      <c r="I6351" s="14" t="s">
        <v>2458</v>
      </c>
      <c r="J6351" s="33" t="s">
        <v>7110</v>
      </c>
      <c r="K6351" s="33" t="s">
        <v>14409</v>
      </c>
      <c r="L6351" s="53" t="str">
        <f>"اندونزي"</f>
        <v>اندونزي</v>
      </c>
      <c r="M6351" s="68" t="s">
        <v>9999</v>
      </c>
      <c r="N6351" s="68" t="s">
        <v>8665</v>
      </c>
      <c r="O6351" s="53">
        <v>50100</v>
      </c>
      <c r="P6351" s="198" t="str">
        <f>"1397558729001"</f>
        <v>1397558729001</v>
      </c>
    </row>
    <row r="6352" spans="1:16" ht="18.75" hidden="1">
      <c r="A6352" s="50" t="str">
        <f>"50100-10582842"</f>
        <v>50100-10582842</v>
      </c>
      <c r="B6352" s="50" t="str">
        <f>"97/05/30"</f>
        <v>97/05/30</v>
      </c>
      <c r="C6352" s="50" t="s">
        <v>14411</v>
      </c>
      <c r="D6352" s="12" t="s">
        <v>14129</v>
      </c>
      <c r="E6352" s="12" t="s">
        <v>13333</v>
      </c>
      <c r="F6352" s="49">
        <v>19075</v>
      </c>
      <c r="G6352" s="77" t="s">
        <v>6300</v>
      </c>
      <c r="H6352" s="14" t="str">
        <f t="shared" si="245"/>
        <v>true</v>
      </c>
      <c r="I6352" s="14" t="s">
        <v>2458</v>
      </c>
      <c r="J6352" s="33" t="s">
        <v>7110</v>
      </c>
      <c r="K6352" s="33" t="s">
        <v>14409</v>
      </c>
      <c r="L6352" s="53" t="str">
        <f>"کنيا"</f>
        <v>کنيا</v>
      </c>
      <c r="M6352" s="68" t="s">
        <v>9999</v>
      </c>
      <c r="N6352" s="68" t="s">
        <v>8665</v>
      </c>
      <c r="O6352" s="53">
        <v>50100</v>
      </c>
      <c r="P6352" s="198" t="str">
        <f>"1396548895001"</f>
        <v>1396548895001</v>
      </c>
    </row>
    <row r="6353" spans="1:16" ht="18.75" hidden="1">
      <c r="A6353" s="50" t="str">
        <f>"50100-10582842"</f>
        <v>50100-10582842</v>
      </c>
      <c r="B6353" s="50" t="str">
        <f>"97/05/30"</f>
        <v>97/05/30</v>
      </c>
      <c r="C6353" s="50" t="s">
        <v>14412</v>
      </c>
      <c r="D6353" s="12" t="s">
        <v>14065</v>
      </c>
      <c r="E6353" s="12" t="s">
        <v>13333</v>
      </c>
      <c r="F6353" s="49">
        <v>1244</v>
      </c>
      <c r="G6353" s="77" t="s">
        <v>6300</v>
      </c>
      <c r="H6353" s="14" t="str">
        <f t="shared" si="245"/>
        <v>true</v>
      </c>
      <c r="I6353" s="14" t="s">
        <v>2458</v>
      </c>
      <c r="J6353" s="33" t="s">
        <v>7110</v>
      </c>
      <c r="K6353" s="33" t="s">
        <v>14409</v>
      </c>
      <c r="L6353" s="53" t="str">
        <f>"کنيا"</f>
        <v>کنيا</v>
      </c>
      <c r="M6353" s="68" t="s">
        <v>9999</v>
      </c>
      <c r="N6353" s="68" t="s">
        <v>8665</v>
      </c>
      <c r="O6353" s="53">
        <v>50100</v>
      </c>
      <c r="P6353" s="198" t="str">
        <f>"1396548895001"</f>
        <v>1396548895001</v>
      </c>
    </row>
    <row r="6354" spans="1:16" ht="18.75" hidden="1">
      <c r="A6354" s="50" t="str">
        <f>"50100-10568525"</f>
        <v>50100-10568525</v>
      </c>
      <c r="B6354" s="50" t="str">
        <f>"97/05/25"</f>
        <v>97/05/25</v>
      </c>
      <c r="C6354" s="50" t="s">
        <v>14361</v>
      </c>
      <c r="D6354" s="12" t="s">
        <v>13957</v>
      </c>
      <c r="E6354" s="12" t="s">
        <v>13333</v>
      </c>
      <c r="F6354" s="49">
        <v>995430</v>
      </c>
      <c r="G6354" s="77" t="s">
        <v>14278</v>
      </c>
      <c r="H6354" s="14" t="str">
        <f t="shared" si="245"/>
        <v>true</v>
      </c>
      <c r="I6354" s="14" t="s">
        <v>2458</v>
      </c>
      <c r="J6354" s="33" t="s">
        <v>7110</v>
      </c>
      <c r="K6354" s="33" t="s">
        <v>14409</v>
      </c>
      <c r="L6354" s="53" t="str">
        <f>" امارات متحده عربي"</f>
        <v xml:space="preserve"> امارات متحده عربي</v>
      </c>
      <c r="M6354" s="68" t="s">
        <v>9999</v>
      </c>
      <c r="N6354" s="68" t="s">
        <v>8665</v>
      </c>
      <c r="O6354" s="53">
        <v>50100</v>
      </c>
      <c r="P6354" s="198" t="str">
        <f>"1397558728001"</f>
        <v>1397558728001</v>
      </c>
    </row>
    <row r="6355" spans="1:16" ht="18.75">
      <c r="A6355" s="50" t="str">
        <f>"50100-10584218"</f>
        <v>50100-10584218</v>
      </c>
      <c r="B6355" s="50" t="str">
        <f>"97/05/30"</f>
        <v>97/05/30</v>
      </c>
      <c r="C6355" s="50" t="s">
        <v>14413</v>
      </c>
      <c r="D6355" s="12" t="s">
        <v>13957</v>
      </c>
      <c r="E6355" s="12" t="s">
        <v>13333</v>
      </c>
      <c r="F6355" s="49">
        <v>493700</v>
      </c>
      <c r="G6355" s="77" t="s">
        <v>6454</v>
      </c>
      <c r="H6355" s="14" t="str">
        <f t="shared" si="245"/>
        <v>true</v>
      </c>
      <c r="I6355" s="14" t="s">
        <v>2458</v>
      </c>
      <c r="J6355" s="33" t="e">
        <f>VLOOKUP(C6355,شرکتها!A:B,2,FALSE)</f>
        <v>#N/A</v>
      </c>
      <c r="K6355" s="33" t="s">
        <v>14409</v>
      </c>
      <c r="L6355" s="53" t="str">
        <f>"هند"</f>
        <v>هند</v>
      </c>
      <c r="M6355" s="68" t="s">
        <v>9999</v>
      </c>
      <c r="N6355" s="68" t="s">
        <v>8665</v>
      </c>
      <c r="O6355" s="53">
        <v>50100</v>
      </c>
      <c r="P6355" s="198" t="str">
        <f>"1397561055001"</f>
        <v>1397561055001</v>
      </c>
    </row>
    <row r="6356" spans="1:16" ht="18.75" hidden="1">
      <c r="A6356" s="50" t="str">
        <f>"50100-10568777"</f>
        <v>50100-10568777</v>
      </c>
      <c r="B6356" s="50" t="str">
        <f>"97/05/25"</f>
        <v>97/05/25</v>
      </c>
      <c r="C6356" s="50" t="s">
        <v>14414</v>
      </c>
      <c r="D6356" s="12" t="s">
        <v>13549</v>
      </c>
      <c r="E6356" s="12" t="s">
        <v>13333</v>
      </c>
      <c r="F6356" s="49">
        <v>277803</v>
      </c>
      <c r="G6356" s="77" t="s">
        <v>6454</v>
      </c>
      <c r="H6356" s="14" t="str">
        <f t="shared" si="245"/>
        <v>true</v>
      </c>
      <c r="I6356" s="14" t="s">
        <v>2458</v>
      </c>
      <c r="J6356" s="33" t="s">
        <v>7110</v>
      </c>
      <c r="K6356" s="33" t="s">
        <v>14409</v>
      </c>
      <c r="L6356" s="53" t="str">
        <f>"اندونزي"</f>
        <v>اندونزي</v>
      </c>
      <c r="M6356" s="68" t="s">
        <v>9999</v>
      </c>
      <c r="N6356" s="68" t="s">
        <v>8665</v>
      </c>
      <c r="O6356" s="53">
        <v>50100</v>
      </c>
      <c r="P6356" s="198" t="str">
        <f>"1396548700001"</f>
        <v>1396548700001</v>
      </c>
    </row>
    <row r="6357" spans="1:16" ht="18.75">
      <c r="A6357" s="50" t="str">
        <f>"50100-10568585"</f>
        <v>50100-10568585</v>
      </c>
      <c r="B6357" s="50" t="str">
        <f>"97/05/25"</f>
        <v>97/05/25</v>
      </c>
      <c r="C6357" s="50" t="s">
        <v>14415</v>
      </c>
      <c r="D6357" s="12" t="s">
        <v>14351</v>
      </c>
      <c r="E6357" s="12" t="s">
        <v>13333</v>
      </c>
      <c r="F6357" s="49">
        <v>999773</v>
      </c>
      <c r="G6357" s="77" t="s">
        <v>6454</v>
      </c>
      <c r="H6357" s="14" t="str">
        <f t="shared" si="245"/>
        <v>true</v>
      </c>
      <c r="I6357" s="14" t="s">
        <v>2458</v>
      </c>
      <c r="J6357" s="33" t="e">
        <f>VLOOKUP(C6357,شرکتها!A:B,2,FALSE)</f>
        <v>#N/A</v>
      </c>
      <c r="K6357" s="33" t="s">
        <v>14409</v>
      </c>
      <c r="L6357" s="53" t="str">
        <f>"کنيا"</f>
        <v>کنيا</v>
      </c>
      <c r="M6357" s="68" t="s">
        <v>9999</v>
      </c>
      <c r="N6357" s="68" t="s">
        <v>8665</v>
      </c>
      <c r="O6357" s="53">
        <v>50100</v>
      </c>
      <c r="P6357" s="198" t="str">
        <f>"1397570122001"</f>
        <v>1397570122001</v>
      </c>
    </row>
    <row r="6358" spans="1:16" ht="18.75">
      <c r="A6358" s="50" t="str">
        <f>"50100-10568585"</f>
        <v>50100-10568585</v>
      </c>
      <c r="B6358" s="50" t="str">
        <f>"97/05/25"</f>
        <v>97/05/25</v>
      </c>
      <c r="C6358" s="50" t="s">
        <v>14416</v>
      </c>
      <c r="D6358" s="12" t="s">
        <v>13812</v>
      </c>
      <c r="E6358" s="12" t="s">
        <v>13333</v>
      </c>
      <c r="F6358" s="49">
        <v>227</v>
      </c>
      <c r="G6358" s="77" t="s">
        <v>6454</v>
      </c>
      <c r="H6358" s="14" t="str">
        <f t="shared" si="245"/>
        <v>true</v>
      </c>
      <c r="I6358" s="14" t="s">
        <v>2458</v>
      </c>
      <c r="J6358" s="33" t="e">
        <f>VLOOKUP(C6358,شرکتها!A:B,2,FALSE)</f>
        <v>#N/A</v>
      </c>
      <c r="K6358" s="33" t="s">
        <v>14409</v>
      </c>
      <c r="L6358" s="53" t="str">
        <f>"کنيا"</f>
        <v>کنيا</v>
      </c>
      <c r="M6358" s="68" t="s">
        <v>9999</v>
      </c>
      <c r="N6358" s="68" t="s">
        <v>8665</v>
      </c>
      <c r="O6358" s="53">
        <v>50100</v>
      </c>
      <c r="P6358" s="198" t="str">
        <f>"1397570122001"</f>
        <v>1397570122001</v>
      </c>
    </row>
    <row r="6359" spans="1:16" ht="18.75" hidden="1">
      <c r="A6359" s="50" t="str">
        <f>"50100-10577988"</f>
        <v>50100-10577988</v>
      </c>
      <c r="B6359" s="50" t="str">
        <f>"97/05/28"</f>
        <v>97/05/28</v>
      </c>
      <c r="C6359" s="50" t="s">
        <v>14411</v>
      </c>
      <c r="D6359" s="12" t="s">
        <v>14129</v>
      </c>
      <c r="E6359" s="12" t="s">
        <v>13333</v>
      </c>
      <c r="F6359" s="49">
        <v>980925</v>
      </c>
      <c r="G6359" s="77" t="s">
        <v>6300</v>
      </c>
      <c r="H6359" s="14" t="str">
        <f t="shared" si="245"/>
        <v>true</v>
      </c>
      <c r="I6359" s="14" t="s">
        <v>2458</v>
      </c>
      <c r="J6359" s="33" t="s">
        <v>7110</v>
      </c>
      <c r="K6359" s="33" t="s">
        <v>14409</v>
      </c>
      <c r="L6359" s="53" t="str">
        <f>"کنيا"</f>
        <v>کنيا</v>
      </c>
      <c r="M6359" s="68" t="s">
        <v>9999</v>
      </c>
      <c r="N6359" s="68" t="s">
        <v>8665</v>
      </c>
      <c r="O6359" s="53">
        <v>50100</v>
      </c>
      <c r="P6359" s="198" t="str">
        <f>"1396548895001"</f>
        <v>1396548895001</v>
      </c>
    </row>
    <row r="6360" spans="1:16" ht="18.75" hidden="1">
      <c r="A6360" s="50" t="str">
        <f>"50100-10584970"</f>
        <v>50100-10584970</v>
      </c>
      <c r="B6360" s="50" t="str">
        <f>"97/05/30"</f>
        <v>97/05/30</v>
      </c>
      <c r="C6360" s="50" t="s">
        <v>14417</v>
      </c>
      <c r="D6360" s="12" t="s">
        <v>13549</v>
      </c>
      <c r="E6360" s="12" t="s">
        <v>13333</v>
      </c>
      <c r="F6360" s="49">
        <v>39600</v>
      </c>
      <c r="G6360" s="77" t="s">
        <v>6298</v>
      </c>
      <c r="H6360" s="14" t="str">
        <f t="shared" si="245"/>
        <v>true</v>
      </c>
      <c r="I6360" s="14" t="s">
        <v>2458</v>
      </c>
      <c r="J6360" s="33" t="s">
        <v>7110</v>
      </c>
      <c r="K6360" s="33" t="s">
        <v>14409</v>
      </c>
      <c r="L6360" s="53" t="str">
        <f>"هند"</f>
        <v>هند</v>
      </c>
      <c r="M6360" s="68" t="s">
        <v>9999</v>
      </c>
      <c r="N6360" s="68" t="s">
        <v>8665</v>
      </c>
      <c r="O6360" s="53">
        <v>50100</v>
      </c>
      <c r="P6360" s="198" t="str">
        <f>"1396548704001"</f>
        <v>1396548704001</v>
      </c>
    </row>
    <row r="6361" spans="1:16" ht="18.75" hidden="1">
      <c r="A6361" s="50" t="str">
        <f>"50100-10582842"</f>
        <v>50100-10582842</v>
      </c>
      <c r="B6361" s="50" t="str">
        <f>"97/05/30"</f>
        <v>97/05/30</v>
      </c>
      <c r="C6361" s="50" t="s">
        <v>14418</v>
      </c>
      <c r="D6361" s="12" t="s">
        <v>13988</v>
      </c>
      <c r="E6361" s="12" t="s">
        <v>13333</v>
      </c>
      <c r="F6361" s="49">
        <v>430000</v>
      </c>
      <c r="G6361" s="77" t="s">
        <v>6300</v>
      </c>
      <c r="H6361" s="14" t="str">
        <f t="shared" si="245"/>
        <v>true</v>
      </c>
      <c r="I6361" s="14" t="s">
        <v>2458</v>
      </c>
      <c r="J6361" s="33" t="s">
        <v>7110</v>
      </c>
      <c r="K6361" s="33" t="s">
        <v>14409</v>
      </c>
      <c r="L6361" s="53" t="str">
        <f>"کنيا"</f>
        <v>کنيا</v>
      </c>
      <c r="M6361" s="68" t="s">
        <v>9999</v>
      </c>
      <c r="N6361" s="68" t="s">
        <v>8665</v>
      </c>
      <c r="O6361" s="53">
        <v>50100</v>
      </c>
      <c r="P6361" s="198" t="str">
        <f>"1396548895001"</f>
        <v>1396548895001</v>
      </c>
    </row>
    <row r="6362" spans="1:16" ht="18.75" hidden="1">
      <c r="A6362" s="50" t="str">
        <f>"50100-10563708"</f>
        <v>50100-10563708</v>
      </c>
      <c r="B6362" s="50" t="str">
        <f>"97/05/23"</f>
        <v>97/05/23</v>
      </c>
      <c r="C6362" s="50" t="s">
        <v>14410</v>
      </c>
      <c r="D6362" s="12" t="s">
        <v>14405</v>
      </c>
      <c r="E6362" s="12" t="s">
        <v>13333</v>
      </c>
      <c r="F6362" s="49">
        <v>257972</v>
      </c>
      <c r="G6362" s="77" t="s">
        <v>6298</v>
      </c>
      <c r="H6362" s="14" t="str">
        <f t="shared" si="245"/>
        <v>true</v>
      </c>
      <c r="I6362" s="14" t="s">
        <v>2458</v>
      </c>
      <c r="J6362" s="33" t="s">
        <v>7110</v>
      </c>
      <c r="K6362" s="33" t="s">
        <v>14409</v>
      </c>
      <c r="L6362" s="53" t="str">
        <f>" امارات متحده عربي"</f>
        <v xml:space="preserve"> امارات متحده عربي</v>
      </c>
      <c r="M6362" s="68" t="s">
        <v>9999</v>
      </c>
      <c r="N6362" s="68" t="s">
        <v>8665</v>
      </c>
      <c r="O6362" s="53">
        <v>50100</v>
      </c>
      <c r="P6362" s="198" t="str">
        <f>"1397561058001"</f>
        <v>1397561058001</v>
      </c>
    </row>
    <row r="6363" spans="1:16" ht="18.75" hidden="1">
      <c r="A6363" s="50" t="str">
        <f>"50100-10568894"</f>
        <v>50100-10568894</v>
      </c>
      <c r="B6363" s="50" t="str">
        <f>"97/05/25"</f>
        <v>97/05/25</v>
      </c>
      <c r="C6363" s="50" t="s">
        <v>14419</v>
      </c>
      <c r="D6363" s="12" t="s">
        <v>13957</v>
      </c>
      <c r="E6363" s="12" t="s">
        <v>13333</v>
      </c>
      <c r="F6363" s="49">
        <v>996000</v>
      </c>
      <c r="G6363" s="77" t="s">
        <v>14278</v>
      </c>
      <c r="H6363" s="14" t="str">
        <f t="shared" si="245"/>
        <v>true</v>
      </c>
      <c r="I6363" s="14" t="s">
        <v>2458</v>
      </c>
      <c r="J6363" s="33" t="s">
        <v>7110</v>
      </c>
      <c r="K6363" s="33" t="s">
        <v>14409</v>
      </c>
      <c r="L6363" s="53" t="str">
        <f>" امارات متحده عربي"</f>
        <v xml:space="preserve"> امارات متحده عربي</v>
      </c>
      <c r="M6363" s="68" t="s">
        <v>9999</v>
      </c>
      <c r="N6363" s="68" t="s">
        <v>8665</v>
      </c>
      <c r="O6363" s="53">
        <v>50100</v>
      </c>
      <c r="P6363" s="198" t="str">
        <f>"1397558728001"</f>
        <v>1397558728001</v>
      </c>
    </row>
    <row r="6364" spans="1:16" ht="18.75" hidden="1">
      <c r="A6364" s="50" t="str">
        <f>"50100-10577881"</f>
        <v>50100-10577881</v>
      </c>
      <c r="B6364" s="50" t="str">
        <f>"97/05/28"</f>
        <v>97/05/28</v>
      </c>
      <c r="C6364" s="50" t="s">
        <v>14419</v>
      </c>
      <c r="D6364" s="12" t="s">
        <v>13957</v>
      </c>
      <c r="E6364" s="12" t="s">
        <v>13333</v>
      </c>
      <c r="F6364" s="49">
        <v>1491125</v>
      </c>
      <c r="G6364" s="77" t="s">
        <v>14278</v>
      </c>
      <c r="H6364" s="14" t="str">
        <f t="shared" si="245"/>
        <v>true</v>
      </c>
      <c r="I6364" s="14" t="s">
        <v>2458</v>
      </c>
      <c r="J6364" s="33" t="s">
        <v>7110</v>
      </c>
      <c r="K6364" s="33" t="s">
        <v>14409</v>
      </c>
      <c r="L6364" s="53" t="str">
        <f>" امارات متحده عربي"</f>
        <v xml:space="preserve"> امارات متحده عربي</v>
      </c>
      <c r="M6364" s="68" t="s">
        <v>9999</v>
      </c>
      <c r="N6364" s="68" t="s">
        <v>8665</v>
      </c>
      <c r="O6364" s="53">
        <v>50100</v>
      </c>
      <c r="P6364" s="198" t="str">
        <f>"1397558728001"</f>
        <v>1397558728001</v>
      </c>
    </row>
    <row r="6365" spans="1:16" ht="18.75" hidden="1">
      <c r="A6365" s="50" t="str">
        <f>"50100-10578056"</f>
        <v>50100-10578056</v>
      </c>
      <c r="B6365" s="50" t="str">
        <f>"97/05/28"</f>
        <v>97/05/28</v>
      </c>
      <c r="C6365" s="50" t="s">
        <v>14374</v>
      </c>
      <c r="D6365" s="12" t="s">
        <v>14034</v>
      </c>
      <c r="E6365" s="12" t="s">
        <v>13333</v>
      </c>
      <c r="F6365" s="49">
        <v>694165</v>
      </c>
      <c r="G6365" s="77" t="s">
        <v>12120</v>
      </c>
      <c r="H6365" s="14" t="str">
        <f t="shared" si="245"/>
        <v>true</v>
      </c>
      <c r="I6365" s="14" t="s">
        <v>2458</v>
      </c>
      <c r="J6365" s="33" t="e">
        <f>VLOOKUP(C6365,شرکتها!A:B,2,FALSE)</f>
        <v>#N/A</v>
      </c>
      <c r="K6365" s="33" t="s">
        <v>14409</v>
      </c>
      <c r="L6365" s="53" t="str">
        <f>"کنيا"</f>
        <v>کنيا</v>
      </c>
      <c r="M6365" s="68" t="s">
        <v>9999</v>
      </c>
      <c r="N6365" s="68" t="s">
        <v>8665</v>
      </c>
      <c r="O6365" s="53">
        <v>50100</v>
      </c>
      <c r="P6365" s="198" t="str">
        <f>"1397560053001"</f>
        <v>1397560053001</v>
      </c>
    </row>
    <row r="6366" spans="1:16" ht="18.75" hidden="1">
      <c r="A6366" s="50" t="str">
        <f>"50100-10552042"</f>
        <v>50100-10552042</v>
      </c>
      <c r="B6366" s="50" t="str">
        <f>"97/05/21"</f>
        <v>97/05/21</v>
      </c>
      <c r="C6366" s="50" t="s">
        <v>14410</v>
      </c>
      <c r="D6366" s="12" t="s">
        <v>14405</v>
      </c>
      <c r="E6366" s="12" t="s">
        <v>13333</v>
      </c>
      <c r="F6366" s="49">
        <v>397300</v>
      </c>
      <c r="G6366" s="77" t="s">
        <v>6298</v>
      </c>
      <c r="H6366" s="14" t="str">
        <f t="shared" si="245"/>
        <v>true</v>
      </c>
      <c r="I6366" s="14" t="s">
        <v>2458</v>
      </c>
      <c r="J6366" s="33" t="s">
        <v>7110</v>
      </c>
      <c r="K6366" s="33" t="s">
        <v>14409</v>
      </c>
      <c r="L6366" s="53" t="str">
        <f>"کنيا"</f>
        <v>کنيا</v>
      </c>
      <c r="M6366" s="68" t="s">
        <v>9999</v>
      </c>
      <c r="N6366" s="68" t="s">
        <v>8665</v>
      </c>
      <c r="O6366" s="53">
        <v>50100</v>
      </c>
      <c r="P6366" s="198">
        <v>1397561058001</v>
      </c>
    </row>
    <row r="6367" spans="1:16" ht="18.75" hidden="1">
      <c r="A6367" s="50" t="str">
        <f>"50100-10563828"</f>
        <v>50100-10563828</v>
      </c>
      <c r="B6367" s="50" t="str">
        <f>"97/05/23"</f>
        <v>97/05/23</v>
      </c>
      <c r="C6367" s="50" t="s">
        <v>14420</v>
      </c>
      <c r="D6367" s="12" t="s">
        <v>13473</v>
      </c>
      <c r="E6367" s="12" t="s">
        <v>13333</v>
      </c>
      <c r="F6367" s="49">
        <v>500000</v>
      </c>
      <c r="G6367" s="77" t="s">
        <v>6454</v>
      </c>
      <c r="H6367" s="14" t="str">
        <f t="shared" si="245"/>
        <v>true</v>
      </c>
      <c r="I6367" s="14" t="s">
        <v>2458</v>
      </c>
      <c r="J6367" s="33" t="s">
        <v>7110</v>
      </c>
      <c r="K6367" s="33" t="s">
        <v>14409</v>
      </c>
      <c r="L6367" s="53" t="str">
        <f>"سريلانکا"</f>
        <v>سريلانکا</v>
      </c>
      <c r="M6367" s="68" t="s">
        <v>9999</v>
      </c>
      <c r="N6367" s="68" t="s">
        <v>8665</v>
      </c>
      <c r="O6367" s="53">
        <v>50100</v>
      </c>
      <c r="P6367" s="198" t="str">
        <f>"1397558729001"</f>
        <v>1397558729001</v>
      </c>
    </row>
    <row r="6368" spans="1:16" ht="18.75" hidden="1">
      <c r="A6368" s="50" t="str">
        <f>"50100-10563828"</f>
        <v>50100-10563828</v>
      </c>
      <c r="B6368" s="50" t="str">
        <f>"97/05/23"</f>
        <v>97/05/23</v>
      </c>
      <c r="C6368" s="50" t="s">
        <v>14369</v>
      </c>
      <c r="D6368" s="12" t="s">
        <v>13960</v>
      </c>
      <c r="E6368" s="12" t="s">
        <v>13333</v>
      </c>
      <c r="F6368" s="49">
        <v>75</v>
      </c>
      <c r="G6368" s="77" t="s">
        <v>6454</v>
      </c>
      <c r="H6368" s="14" t="str">
        <f t="shared" si="245"/>
        <v>true</v>
      </c>
      <c r="I6368" s="14" t="s">
        <v>2458</v>
      </c>
      <c r="J6368" s="33" t="s">
        <v>7110</v>
      </c>
      <c r="K6368" s="33" t="s">
        <v>14409</v>
      </c>
      <c r="L6368" s="53" t="str">
        <f>"سريلانکا"</f>
        <v>سريلانکا</v>
      </c>
      <c r="M6368" s="68" t="s">
        <v>9999</v>
      </c>
      <c r="N6368" s="68" t="s">
        <v>8665</v>
      </c>
      <c r="O6368" s="53">
        <v>50100</v>
      </c>
      <c r="P6368" s="198" t="str">
        <f>"1397558729001"</f>
        <v>1397558729001</v>
      </c>
    </row>
    <row r="6369" spans="1:16" ht="18.75" hidden="1">
      <c r="A6369" s="50" t="str">
        <f>"50100-10582345"</f>
        <v>50100-10582345</v>
      </c>
      <c r="B6369" s="50" t="str">
        <f>"97/05/30"</f>
        <v>97/05/30</v>
      </c>
      <c r="C6369" s="50" t="s">
        <v>14421</v>
      </c>
      <c r="D6369" s="12" t="s">
        <v>14422</v>
      </c>
      <c r="E6369" s="12" t="s">
        <v>13333</v>
      </c>
      <c r="F6369" s="49">
        <v>3789801</v>
      </c>
      <c r="G6369" s="77" t="s">
        <v>6452</v>
      </c>
      <c r="H6369" s="14" t="str">
        <f t="shared" si="245"/>
        <v>true</v>
      </c>
      <c r="I6369" s="14" t="s">
        <v>2458</v>
      </c>
      <c r="J6369" s="33" t="e">
        <f>VLOOKUP(C6369,شرکتها!A:B,2,FALSE)</f>
        <v>#N/A</v>
      </c>
      <c r="K6369" s="33" t="s">
        <v>14409</v>
      </c>
      <c r="L6369" s="53" t="str">
        <f>"قطر"</f>
        <v>قطر</v>
      </c>
      <c r="M6369" s="68" t="s">
        <v>8913</v>
      </c>
      <c r="N6369" s="68" t="s">
        <v>8665</v>
      </c>
      <c r="O6369" s="53">
        <v>50100</v>
      </c>
      <c r="P6369" s="198">
        <v>1397585799001</v>
      </c>
    </row>
    <row r="6370" spans="1:16" ht="18.75" hidden="1">
      <c r="A6370" s="50" t="str">
        <f>"50100-10567687"</f>
        <v>50100-10567687</v>
      </c>
      <c r="B6370" s="50" t="str">
        <f>"97/05/24"</f>
        <v>97/05/24</v>
      </c>
      <c r="C6370" s="50" t="s">
        <v>14374</v>
      </c>
      <c r="D6370" s="12" t="s">
        <v>14034</v>
      </c>
      <c r="E6370" s="12" t="s">
        <v>13333</v>
      </c>
      <c r="F6370" s="49">
        <v>420651</v>
      </c>
      <c r="G6370" s="77" t="s">
        <v>12120</v>
      </c>
      <c r="H6370" s="14" t="str">
        <f t="shared" si="245"/>
        <v>true</v>
      </c>
      <c r="I6370" s="14" t="s">
        <v>2458</v>
      </c>
      <c r="J6370" s="33" t="e">
        <f>VLOOKUP(C6370,شرکتها!A:B,2,FALSE)</f>
        <v>#N/A</v>
      </c>
      <c r="K6370" s="33" t="s">
        <v>14409</v>
      </c>
      <c r="L6370" s="53" t="str">
        <f>"چين"</f>
        <v>چين</v>
      </c>
      <c r="M6370" s="68" t="s">
        <v>9999</v>
      </c>
      <c r="N6370" s="68" t="s">
        <v>8665</v>
      </c>
      <c r="O6370" s="53">
        <v>50100</v>
      </c>
      <c r="P6370" s="198" t="str">
        <f>"1397560053001"</f>
        <v>1397560053001</v>
      </c>
    </row>
    <row r="6371" spans="1:16" ht="18.75" hidden="1">
      <c r="A6371" s="50" t="str">
        <f>"50100-10545909"</f>
        <v>50100-10545909</v>
      </c>
      <c r="B6371" s="50" t="str">
        <f>"97/05/20"</f>
        <v>97/05/20</v>
      </c>
      <c r="C6371" s="50" t="s">
        <v>14029</v>
      </c>
      <c r="D6371" s="12" t="s">
        <v>13549</v>
      </c>
      <c r="E6371" s="12" t="s">
        <v>13333</v>
      </c>
      <c r="F6371" s="49">
        <v>342204</v>
      </c>
      <c r="G6371" s="77" t="s">
        <v>6298</v>
      </c>
      <c r="H6371" s="14" t="str">
        <f t="shared" si="245"/>
        <v>true</v>
      </c>
      <c r="I6371" s="14" t="s">
        <v>2458</v>
      </c>
      <c r="J6371" s="33" t="s">
        <v>7110</v>
      </c>
      <c r="K6371" s="33" t="s">
        <v>14409</v>
      </c>
      <c r="L6371" s="53" t="str">
        <f>"کنيا"</f>
        <v>کنيا</v>
      </c>
      <c r="M6371" s="68" t="s">
        <v>9999</v>
      </c>
      <c r="N6371" s="68" t="s">
        <v>8665</v>
      </c>
      <c r="O6371" s="53">
        <v>50100</v>
      </c>
      <c r="P6371" s="198">
        <v>1396548704001</v>
      </c>
    </row>
    <row r="6372" spans="1:16" ht="18.75" hidden="1">
      <c r="A6372" s="50" t="str">
        <f>"50100-10545909"</f>
        <v>50100-10545909</v>
      </c>
      <c r="B6372" s="50" t="str">
        <f>"97/05/20"</f>
        <v>97/05/20</v>
      </c>
      <c r="C6372" s="50" t="s">
        <v>14417</v>
      </c>
      <c r="D6372" s="12" t="s">
        <v>13549</v>
      </c>
      <c r="E6372" s="12" t="s">
        <v>13333</v>
      </c>
      <c r="F6372" s="49">
        <v>55096</v>
      </c>
      <c r="G6372" s="77" t="s">
        <v>6298</v>
      </c>
      <c r="H6372" s="14" t="str">
        <f t="shared" si="245"/>
        <v>true</v>
      </c>
      <c r="I6372" s="14" t="s">
        <v>2458</v>
      </c>
      <c r="J6372" s="33" t="s">
        <v>7110</v>
      </c>
      <c r="K6372" s="33" t="s">
        <v>14409</v>
      </c>
      <c r="L6372" s="53" t="str">
        <f>"کنيا"</f>
        <v>کنيا</v>
      </c>
      <c r="M6372" s="68" t="s">
        <v>9999</v>
      </c>
      <c r="N6372" s="68" t="s">
        <v>8665</v>
      </c>
      <c r="O6372" s="53">
        <v>50100</v>
      </c>
      <c r="P6372" s="198">
        <v>1396548704001</v>
      </c>
    </row>
    <row r="6373" spans="1:16" ht="18.75" hidden="1">
      <c r="A6373" s="50" t="str">
        <f>"50100-10535591"</f>
        <v>50100-10535591</v>
      </c>
      <c r="B6373" s="50" t="str">
        <f>"97/05/16"</f>
        <v>97/05/16</v>
      </c>
      <c r="C6373" s="50" t="s">
        <v>14363</v>
      </c>
      <c r="D6373" s="12" t="s">
        <v>13967</v>
      </c>
      <c r="E6373" s="12" t="s">
        <v>13333</v>
      </c>
      <c r="F6373" s="49">
        <v>995500</v>
      </c>
      <c r="G6373" s="77" t="s">
        <v>12823</v>
      </c>
      <c r="H6373" s="14" t="str">
        <f t="shared" si="245"/>
        <v>true</v>
      </c>
      <c r="I6373" s="14" t="s">
        <v>2458</v>
      </c>
      <c r="J6373" s="33" t="s">
        <v>7110</v>
      </c>
      <c r="K6373" s="33" t="s">
        <v>14409</v>
      </c>
      <c r="L6373" s="53" t="str">
        <f>"سودان"</f>
        <v>سودان</v>
      </c>
      <c r="M6373" s="68" t="s">
        <v>9999</v>
      </c>
      <c r="N6373" s="68" t="s">
        <v>8665</v>
      </c>
      <c r="O6373" s="53">
        <v>50100</v>
      </c>
      <c r="P6373" s="198" t="str">
        <f>"1397558726001"</f>
        <v>1397558726001</v>
      </c>
    </row>
    <row r="6374" spans="1:16" ht="18.75" hidden="1">
      <c r="A6374" s="50" t="str">
        <f>"50100-10535375"</f>
        <v>50100-10535375</v>
      </c>
      <c r="B6374" s="50" t="str">
        <f>"97/05/16"</f>
        <v>97/05/16</v>
      </c>
      <c r="C6374" s="50" t="s">
        <v>14410</v>
      </c>
      <c r="D6374" s="12" t="s">
        <v>14405</v>
      </c>
      <c r="E6374" s="12" t="s">
        <v>13333</v>
      </c>
      <c r="F6374" s="49">
        <v>189035</v>
      </c>
      <c r="G6374" s="77" t="s">
        <v>6298</v>
      </c>
      <c r="H6374" s="14" t="str">
        <f t="shared" si="245"/>
        <v>true</v>
      </c>
      <c r="I6374" s="14" t="s">
        <v>2458</v>
      </c>
      <c r="J6374" s="33" t="s">
        <v>7110</v>
      </c>
      <c r="K6374" s="33" t="s">
        <v>14409</v>
      </c>
      <c r="L6374" s="53" t="str">
        <f>"سودان"</f>
        <v>سودان</v>
      </c>
      <c r="M6374" s="68" t="s">
        <v>9999</v>
      </c>
      <c r="N6374" s="68" t="s">
        <v>8665</v>
      </c>
      <c r="O6374" s="53">
        <v>50100</v>
      </c>
      <c r="P6374" s="198" t="str">
        <f>"1397561058001"</f>
        <v>1397561058001</v>
      </c>
    </row>
    <row r="6375" spans="1:16" ht="18.75" hidden="1">
      <c r="A6375" s="50" t="str">
        <f>"50100-10535375"</f>
        <v>50100-10535375</v>
      </c>
      <c r="B6375" s="50" t="str">
        <f>"97/05/16"</f>
        <v>97/05/16</v>
      </c>
      <c r="C6375" s="50" t="s">
        <v>14423</v>
      </c>
      <c r="D6375" s="12" t="s">
        <v>13808</v>
      </c>
      <c r="E6375" s="12" t="s">
        <v>13333</v>
      </c>
      <c r="F6375" s="49">
        <v>200000</v>
      </c>
      <c r="G6375" s="77" t="s">
        <v>6298</v>
      </c>
      <c r="H6375" s="14" t="str">
        <f t="shared" si="245"/>
        <v>true</v>
      </c>
      <c r="I6375" s="14" t="s">
        <v>2458</v>
      </c>
      <c r="J6375" s="33" t="s">
        <v>7110</v>
      </c>
      <c r="K6375" s="33" t="s">
        <v>14409</v>
      </c>
      <c r="L6375" s="53" t="str">
        <f>"سودان"</f>
        <v>سودان</v>
      </c>
      <c r="M6375" s="68" t="s">
        <v>9999</v>
      </c>
      <c r="N6375" s="68" t="s">
        <v>8665</v>
      </c>
      <c r="O6375" s="53">
        <v>50100</v>
      </c>
      <c r="P6375" s="198" t="str">
        <f>"1397561058001"</f>
        <v>1397561058001</v>
      </c>
    </row>
    <row r="6376" spans="1:16" ht="18.75" hidden="1">
      <c r="A6376" s="50" t="str">
        <f>"50100-10535375"</f>
        <v>50100-10535375</v>
      </c>
      <c r="B6376" s="50" t="str">
        <f>"97/05/16"</f>
        <v>97/05/16</v>
      </c>
      <c r="C6376" s="50" t="s">
        <v>14372</v>
      </c>
      <c r="D6376" s="12" t="s">
        <v>13776</v>
      </c>
      <c r="E6376" s="12" t="s">
        <v>13333</v>
      </c>
      <c r="F6376" s="49">
        <v>304265</v>
      </c>
      <c r="G6376" s="77" t="s">
        <v>6298</v>
      </c>
      <c r="H6376" s="14" t="str">
        <f t="shared" si="245"/>
        <v>true</v>
      </c>
      <c r="I6376" s="14" t="s">
        <v>2458</v>
      </c>
      <c r="J6376" s="33" t="s">
        <v>7110</v>
      </c>
      <c r="K6376" s="33" t="s">
        <v>14409</v>
      </c>
      <c r="L6376" s="53" t="str">
        <f>"سودان"</f>
        <v>سودان</v>
      </c>
      <c r="M6376" s="68" t="s">
        <v>9999</v>
      </c>
      <c r="N6376" s="68" t="s">
        <v>8665</v>
      </c>
      <c r="O6376" s="53">
        <v>50100</v>
      </c>
      <c r="P6376" s="198" t="str">
        <f>"1397561058001"</f>
        <v>1397561058001</v>
      </c>
    </row>
    <row r="6377" spans="1:16" ht="18.75">
      <c r="A6377" s="50" t="str">
        <f>"50100-10584425"</f>
        <v>50100-10584425</v>
      </c>
      <c r="B6377" s="50" t="str">
        <f>"97/05/30"</f>
        <v>97/05/30</v>
      </c>
      <c r="C6377" s="50" t="s">
        <v>14424</v>
      </c>
      <c r="D6377" s="12" t="s">
        <v>14075</v>
      </c>
      <c r="E6377" s="12" t="s">
        <v>13333</v>
      </c>
      <c r="F6377" s="49">
        <v>249946</v>
      </c>
      <c r="G6377" s="77" t="s">
        <v>6454</v>
      </c>
      <c r="H6377" s="14" t="str">
        <f t="shared" si="245"/>
        <v>true</v>
      </c>
      <c r="I6377" s="14" t="s">
        <v>2458</v>
      </c>
      <c r="J6377" s="33" t="e">
        <f>VLOOKUP(C6377,شرکتها!A:B,2,FALSE)</f>
        <v>#N/A</v>
      </c>
      <c r="K6377" s="33" t="s">
        <v>14409</v>
      </c>
      <c r="L6377" s="53" t="str">
        <f>"مالزي"</f>
        <v>مالزي</v>
      </c>
      <c r="M6377" s="68" t="s">
        <v>9999</v>
      </c>
      <c r="N6377" s="68" t="s">
        <v>8665</v>
      </c>
      <c r="O6377" s="53">
        <v>50100</v>
      </c>
      <c r="P6377" s="198" t="str">
        <f>"1397575282001"</f>
        <v>1397575282001</v>
      </c>
    </row>
    <row r="6378" spans="1:16" ht="18.75" hidden="1">
      <c r="A6378" s="50" t="str">
        <f>"50100-10535375"</f>
        <v>50100-10535375</v>
      </c>
      <c r="B6378" s="50" t="str">
        <f>"97/05/16"</f>
        <v>97/05/16</v>
      </c>
      <c r="C6378" s="50" t="s">
        <v>14425</v>
      </c>
      <c r="D6378" s="12" t="s">
        <v>13835</v>
      </c>
      <c r="E6378" s="12" t="s">
        <v>13333</v>
      </c>
      <c r="F6378" s="49">
        <v>300000</v>
      </c>
      <c r="G6378" s="77" t="s">
        <v>6298</v>
      </c>
      <c r="H6378" s="14" t="str">
        <f t="shared" si="245"/>
        <v>true</v>
      </c>
      <c r="I6378" s="14" t="s">
        <v>2458</v>
      </c>
      <c r="J6378" s="33" t="s">
        <v>7110</v>
      </c>
      <c r="K6378" s="33" t="s">
        <v>14409</v>
      </c>
      <c r="L6378" s="53" t="str">
        <f>"سودان"</f>
        <v>سودان</v>
      </c>
      <c r="M6378" s="68" t="s">
        <v>9999</v>
      </c>
      <c r="N6378" s="68" t="s">
        <v>8665</v>
      </c>
      <c r="O6378" s="53">
        <v>50100</v>
      </c>
      <c r="P6378" s="198" t="str">
        <f>"1397561058001"</f>
        <v>1397561058001</v>
      </c>
    </row>
    <row r="6379" spans="1:16" ht="18.75" hidden="1">
      <c r="A6379" s="50" t="s">
        <v>14426</v>
      </c>
      <c r="B6379" s="50" t="s">
        <v>14377</v>
      </c>
      <c r="C6379" s="50" t="s">
        <v>14312</v>
      </c>
      <c r="D6379" s="12" t="s">
        <v>13815</v>
      </c>
      <c r="E6379" s="12" t="s">
        <v>13333</v>
      </c>
      <c r="F6379" s="49">
        <v>150440</v>
      </c>
      <c r="G6379" s="77" t="s">
        <v>6298</v>
      </c>
      <c r="H6379" s="14" t="str">
        <f t="shared" si="245"/>
        <v>true</v>
      </c>
      <c r="I6379" s="14" t="s">
        <v>2458</v>
      </c>
      <c r="J6379" s="33" t="s">
        <v>7110</v>
      </c>
      <c r="K6379" s="33" t="s">
        <v>14409</v>
      </c>
      <c r="L6379" s="53" t="s">
        <v>6054</v>
      </c>
      <c r="M6379" s="68" t="s">
        <v>9999</v>
      </c>
      <c r="N6379" s="68" t="s">
        <v>6059</v>
      </c>
      <c r="O6379" s="53">
        <v>55200</v>
      </c>
      <c r="P6379" s="198" t="s">
        <v>14040</v>
      </c>
    </row>
    <row r="6380" spans="1:16" ht="18.75" hidden="1">
      <c r="A6380" s="50" t="s">
        <v>14426</v>
      </c>
      <c r="B6380" s="50" t="s">
        <v>14377</v>
      </c>
      <c r="C6380" s="50" t="s">
        <v>14304</v>
      </c>
      <c r="D6380" s="12" t="s">
        <v>13984</v>
      </c>
      <c r="E6380" s="12" t="s">
        <v>13333</v>
      </c>
      <c r="F6380" s="49">
        <v>22830</v>
      </c>
      <c r="G6380" s="77" t="s">
        <v>6298</v>
      </c>
      <c r="H6380" s="14" t="str">
        <f t="shared" si="245"/>
        <v>true</v>
      </c>
      <c r="I6380" s="14" t="s">
        <v>2458</v>
      </c>
      <c r="J6380" s="33" t="s">
        <v>7110</v>
      </c>
      <c r="K6380" s="33" t="s">
        <v>14409</v>
      </c>
      <c r="L6380" s="53" t="s">
        <v>6054</v>
      </c>
      <c r="M6380" s="68" t="s">
        <v>9999</v>
      </c>
      <c r="N6380" s="68" t="s">
        <v>6059</v>
      </c>
      <c r="O6380" s="53">
        <v>55200</v>
      </c>
      <c r="P6380" s="198" t="s">
        <v>14040</v>
      </c>
    </row>
    <row r="6381" spans="1:16" ht="18.75" hidden="1">
      <c r="A6381" s="50" t="s">
        <v>14427</v>
      </c>
      <c r="B6381" s="50" t="s">
        <v>14422</v>
      </c>
      <c r="C6381" s="50" t="s">
        <v>14312</v>
      </c>
      <c r="D6381" s="12" t="s">
        <v>13815</v>
      </c>
      <c r="E6381" s="12" t="s">
        <v>13333</v>
      </c>
      <c r="F6381" s="49">
        <v>73970</v>
      </c>
      <c r="G6381" s="77" t="s">
        <v>6298</v>
      </c>
      <c r="H6381" s="14" t="str">
        <f t="shared" si="245"/>
        <v>true</v>
      </c>
      <c r="I6381" s="14" t="s">
        <v>2458</v>
      </c>
      <c r="J6381" s="33" t="s">
        <v>7110</v>
      </c>
      <c r="K6381" s="33" t="s">
        <v>14409</v>
      </c>
      <c r="L6381" s="53" t="s">
        <v>6054</v>
      </c>
      <c r="M6381" s="68" t="s">
        <v>9999</v>
      </c>
      <c r="N6381" s="68" t="s">
        <v>6059</v>
      </c>
      <c r="O6381" s="53">
        <v>55200</v>
      </c>
      <c r="P6381" s="198" t="s">
        <v>14040</v>
      </c>
    </row>
    <row r="6382" spans="1:16" ht="18.75" hidden="1">
      <c r="A6382" s="50" t="s">
        <v>14428</v>
      </c>
      <c r="B6382" s="50" t="s">
        <v>14387</v>
      </c>
      <c r="C6382" s="50" t="s">
        <v>14026</v>
      </c>
      <c r="D6382" s="12" t="s">
        <v>13957</v>
      </c>
      <c r="E6382" s="12" t="s">
        <v>13333</v>
      </c>
      <c r="F6382" s="49">
        <v>221460</v>
      </c>
      <c r="G6382" s="77" t="s">
        <v>9897</v>
      </c>
      <c r="H6382" s="14" t="str">
        <f t="shared" si="245"/>
        <v>true</v>
      </c>
      <c r="I6382" s="14" t="s">
        <v>2458</v>
      </c>
      <c r="J6382" s="33" t="s">
        <v>7110</v>
      </c>
      <c r="K6382" s="33" t="s">
        <v>14409</v>
      </c>
      <c r="L6382" s="53" t="s">
        <v>6054</v>
      </c>
      <c r="M6382" s="68" t="s">
        <v>9999</v>
      </c>
      <c r="N6382" s="68" t="s">
        <v>6059</v>
      </c>
      <c r="O6382" s="53">
        <v>55200</v>
      </c>
      <c r="P6382" s="198" t="s">
        <v>14027</v>
      </c>
    </row>
    <row r="6383" spans="1:16" ht="18.75">
      <c r="A6383" s="50" t="s">
        <v>14429</v>
      </c>
      <c r="B6383" s="50" t="s">
        <v>14387</v>
      </c>
      <c r="C6383" s="50" t="s">
        <v>14290</v>
      </c>
      <c r="D6383" s="12" t="s">
        <v>13957</v>
      </c>
      <c r="E6383" s="12" t="s">
        <v>13333</v>
      </c>
      <c r="F6383" s="49">
        <v>47740</v>
      </c>
      <c r="G6383" s="77" t="s">
        <v>6454</v>
      </c>
      <c r="H6383" s="14" t="str">
        <f t="shared" si="245"/>
        <v>true</v>
      </c>
      <c r="I6383" s="14" t="s">
        <v>2458</v>
      </c>
      <c r="J6383" s="33" t="e">
        <f>VLOOKUP(C6383,شرکتها!A:B,2,FALSE)</f>
        <v>#N/A</v>
      </c>
      <c r="K6383" s="33" t="s">
        <v>14409</v>
      </c>
      <c r="L6383" s="53" t="s">
        <v>6054</v>
      </c>
      <c r="M6383" s="68" t="s">
        <v>9999</v>
      </c>
      <c r="N6383" s="68" t="s">
        <v>6059</v>
      </c>
      <c r="O6383" s="53">
        <v>55200</v>
      </c>
      <c r="P6383" s="198" t="s">
        <v>14291</v>
      </c>
    </row>
    <row r="6384" spans="1:16" ht="18.75">
      <c r="A6384" s="50" t="s">
        <v>14430</v>
      </c>
      <c r="B6384" s="50" t="s">
        <v>14422</v>
      </c>
      <c r="C6384" s="50" t="s">
        <v>14290</v>
      </c>
      <c r="D6384" s="12" t="s">
        <v>13957</v>
      </c>
      <c r="E6384" s="12" t="s">
        <v>13333</v>
      </c>
      <c r="F6384" s="49">
        <v>72400</v>
      </c>
      <c r="G6384" s="77" t="s">
        <v>6454</v>
      </c>
      <c r="H6384" s="14" t="str">
        <f t="shared" si="245"/>
        <v>true</v>
      </c>
      <c r="I6384" s="14" t="s">
        <v>2458</v>
      </c>
      <c r="J6384" s="33" t="e">
        <f>VLOOKUP(C6384,شرکتها!A:B,2,FALSE)</f>
        <v>#N/A</v>
      </c>
      <c r="K6384" s="33" t="s">
        <v>14409</v>
      </c>
      <c r="L6384" s="53" t="s">
        <v>6054</v>
      </c>
      <c r="M6384" s="68" t="s">
        <v>9999</v>
      </c>
      <c r="N6384" s="68" t="s">
        <v>6059</v>
      </c>
      <c r="O6384" s="53">
        <v>55200</v>
      </c>
      <c r="P6384" s="198" t="s">
        <v>14291</v>
      </c>
    </row>
    <row r="6385" spans="1:16" ht="18.75" hidden="1">
      <c r="A6385" s="50" t="s">
        <v>14431</v>
      </c>
      <c r="B6385" s="50" t="s">
        <v>14387</v>
      </c>
      <c r="C6385" s="50" t="s">
        <v>14110</v>
      </c>
      <c r="D6385" s="12" t="s">
        <v>14111</v>
      </c>
      <c r="E6385" s="12" t="s">
        <v>13333</v>
      </c>
      <c r="F6385" s="49">
        <v>45050</v>
      </c>
      <c r="G6385" s="77" t="s">
        <v>13495</v>
      </c>
      <c r="H6385" s="14" t="str">
        <f t="shared" si="245"/>
        <v>true</v>
      </c>
      <c r="I6385" s="14" t="s">
        <v>2458</v>
      </c>
      <c r="J6385" s="33" t="s">
        <v>7110</v>
      </c>
      <c r="K6385" s="33" t="s">
        <v>14409</v>
      </c>
      <c r="L6385" s="53" t="s">
        <v>6054</v>
      </c>
      <c r="M6385" s="68" t="s">
        <v>9999</v>
      </c>
      <c r="N6385" s="53" t="s">
        <v>6285</v>
      </c>
      <c r="O6385" s="53">
        <v>55200</v>
      </c>
      <c r="P6385" s="198" t="s">
        <v>13625</v>
      </c>
    </row>
    <row r="6386" spans="1:16" ht="18.75">
      <c r="A6386" s="50" t="s">
        <v>14432</v>
      </c>
      <c r="B6386" s="50" t="s">
        <v>14377</v>
      </c>
      <c r="C6386" s="50" t="s">
        <v>14290</v>
      </c>
      <c r="D6386" s="12" t="s">
        <v>13957</v>
      </c>
      <c r="E6386" s="12" t="s">
        <v>13333</v>
      </c>
      <c r="F6386" s="49">
        <v>72970</v>
      </c>
      <c r="G6386" s="77" t="s">
        <v>6454</v>
      </c>
      <c r="H6386" s="14" t="str">
        <f t="shared" si="245"/>
        <v>true</v>
      </c>
      <c r="I6386" s="14" t="s">
        <v>2458</v>
      </c>
      <c r="J6386" s="33" t="e">
        <f>VLOOKUP(C6386,شرکتها!A:B,2,FALSE)</f>
        <v>#N/A</v>
      </c>
      <c r="K6386" s="33" t="s">
        <v>14409</v>
      </c>
      <c r="L6386" s="53" t="s">
        <v>6054</v>
      </c>
      <c r="M6386" s="68" t="s">
        <v>9999</v>
      </c>
      <c r="N6386" s="68" t="s">
        <v>6059</v>
      </c>
      <c r="O6386" s="53">
        <v>55200</v>
      </c>
      <c r="P6386" s="198" t="s">
        <v>14291</v>
      </c>
    </row>
    <row r="6387" spans="1:16" ht="18.75">
      <c r="A6387" s="50" t="str">
        <f>"50100-10587984"</f>
        <v>50100-10587984</v>
      </c>
      <c r="B6387" s="50" t="str">
        <f>"97/06/03"</f>
        <v>97/06/03</v>
      </c>
      <c r="C6387" s="50" t="s">
        <v>14362</v>
      </c>
      <c r="D6387" s="12" t="s">
        <v>13623</v>
      </c>
      <c r="E6387" s="12" t="s">
        <v>13333</v>
      </c>
      <c r="F6387" s="49">
        <v>5000</v>
      </c>
      <c r="G6387" s="77" t="s">
        <v>6454</v>
      </c>
      <c r="H6387" s="14" t="str">
        <f t="shared" ref="H6387:H6436" si="246">IF(I6387="نامشخص",IF(E6387&gt;C6387,"false","true"),IF(E6387&gt;I6387,"false","true"))</f>
        <v>true</v>
      </c>
      <c r="I6387" s="14" t="s">
        <v>2458</v>
      </c>
      <c r="J6387" s="33" t="e">
        <f>VLOOKUP(C6387,شرکتها!A:B,2,FALSE)</f>
        <v>#N/A</v>
      </c>
      <c r="K6387" s="33" t="s">
        <v>14433</v>
      </c>
      <c r="L6387" s="53" t="str">
        <f>"اندونزي"</f>
        <v>اندونزي</v>
      </c>
      <c r="M6387" s="68" t="s">
        <v>9999</v>
      </c>
      <c r="N6387" s="53" t="str">
        <f t="shared" ref="N6387:N6397" si="247">"منطقه ويژه اقتصادي شهيد رجايي"</f>
        <v>منطقه ويژه اقتصادي شهيد رجايي</v>
      </c>
      <c r="O6387" s="53">
        <v>50100</v>
      </c>
      <c r="P6387" s="198" t="s">
        <v>14291</v>
      </c>
    </row>
    <row r="6388" spans="1:16" ht="18.75" hidden="1">
      <c r="A6388" s="50" t="str">
        <f>"50100-10594239"</f>
        <v>50100-10594239</v>
      </c>
      <c r="B6388" s="50" t="str">
        <f>"97/06/04"</f>
        <v>97/06/04</v>
      </c>
      <c r="C6388" s="50" t="s">
        <v>14434</v>
      </c>
      <c r="D6388" s="12" t="s">
        <v>14255</v>
      </c>
      <c r="E6388" s="12" t="s">
        <v>13333</v>
      </c>
      <c r="F6388" s="49">
        <v>976272</v>
      </c>
      <c r="G6388" s="77" t="s">
        <v>6452</v>
      </c>
      <c r="H6388" s="14" t="str">
        <f t="shared" si="246"/>
        <v>true</v>
      </c>
      <c r="I6388" s="14" t="s">
        <v>2458</v>
      </c>
      <c r="J6388" s="33" t="e">
        <f>VLOOKUP(C6388,شرکتها!A:B,2,FALSE)</f>
        <v>#N/A</v>
      </c>
      <c r="K6388" s="33" t="s">
        <v>14433</v>
      </c>
      <c r="L6388" s="53" t="str">
        <f>"بنگلادش"</f>
        <v>بنگلادش</v>
      </c>
      <c r="M6388" s="68" t="s">
        <v>9999</v>
      </c>
      <c r="N6388" s="53" t="str">
        <f t="shared" si="247"/>
        <v>منطقه ويژه اقتصادي شهيد رجايي</v>
      </c>
      <c r="O6388" s="53">
        <v>50100</v>
      </c>
      <c r="P6388" s="198" t="s">
        <v>14435</v>
      </c>
    </row>
    <row r="6389" spans="1:16" ht="18.75" hidden="1">
      <c r="A6389" s="50" t="str">
        <f>"50100-10595629"</f>
        <v>50100-10595629</v>
      </c>
      <c r="B6389" s="50" t="str">
        <f>"97/06/05"</f>
        <v>97/06/05</v>
      </c>
      <c r="C6389" s="50" t="s">
        <v>14436</v>
      </c>
      <c r="D6389" s="12" t="s">
        <v>14255</v>
      </c>
      <c r="E6389" s="12" t="s">
        <v>13333</v>
      </c>
      <c r="F6389" s="49">
        <v>976907</v>
      </c>
      <c r="G6389" s="77" t="s">
        <v>6452</v>
      </c>
      <c r="H6389" s="14" t="str">
        <f t="shared" si="246"/>
        <v>true</v>
      </c>
      <c r="I6389" s="14" t="s">
        <v>2458</v>
      </c>
      <c r="J6389" s="33" t="e">
        <f>VLOOKUP(C6389,شرکتها!A:B,2,FALSE)</f>
        <v>#N/A</v>
      </c>
      <c r="K6389" s="33" t="s">
        <v>14433</v>
      </c>
      <c r="L6389" s="53" t="str">
        <f>"تانزانيا"</f>
        <v>تانزانيا</v>
      </c>
      <c r="M6389" s="68" t="s">
        <v>9999</v>
      </c>
      <c r="N6389" s="53" t="str">
        <f t="shared" si="247"/>
        <v>منطقه ويژه اقتصادي شهيد رجايي</v>
      </c>
      <c r="O6389" s="53">
        <v>50100</v>
      </c>
      <c r="P6389" s="198" t="s">
        <v>14435</v>
      </c>
    </row>
    <row r="6390" spans="1:16" ht="18.75">
      <c r="A6390" s="50" t="str">
        <f>"50100-10587984"</f>
        <v>50100-10587984</v>
      </c>
      <c r="B6390" s="50" t="str">
        <f>"97/06/03"</f>
        <v>97/06/03</v>
      </c>
      <c r="C6390" s="50" t="s">
        <v>14437</v>
      </c>
      <c r="D6390" s="12" t="s">
        <v>13969</v>
      </c>
      <c r="E6390" s="12" t="s">
        <v>13333</v>
      </c>
      <c r="F6390" s="49">
        <v>288580</v>
      </c>
      <c r="G6390" s="77" t="s">
        <v>6454</v>
      </c>
      <c r="H6390" s="14" t="str">
        <f t="shared" si="246"/>
        <v>true</v>
      </c>
      <c r="I6390" s="14" t="s">
        <v>2458</v>
      </c>
      <c r="J6390" s="33" t="e">
        <f>VLOOKUP(C6390,شرکتها!A:B,2,FALSE)</f>
        <v>#N/A</v>
      </c>
      <c r="K6390" s="33" t="s">
        <v>14433</v>
      </c>
      <c r="L6390" s="53" t="str">
        <f>"اندونزي"</f>
        <v>اندونزي</v>
      </c>
      <c r="M6390" s="68" t="s">
        <v>9999</v>
      </c>
      <c r="N6390" s="53" t="str">
        <f t="shared" si="247"/>
        <v>منطقه ويژه اقتصادي شهيد رجايي</v>
      </c>
      <c r="O6390" s="53">
        <v>50100</v>
      </c>
      <c r="P6390" s="198" t="s">
        <v>14291</v>
      </c>
    </row>
    <row r="6391" spans="1:16" ht="18.75" hidden="1">
      <c r="A6391" s="50" t="str">
        <f>"50100-10598162"</f>
        <v>50100-10598162</v>
      </c>
      <c r="B6391" s="50" t="str">
        <f>"97/06/05"</f>
        <v>97/06/05</v>
      </c>
      <c r="C6391" s="50" t="s">
        <v>14438</v>
      </c>
      <c r="D6391" s="12" t="s">
        <v>14439</v>
      </c>
      <c r="E6391" s="12" t="s">
        <v>13333</v>
      </c>
      <c r="F6391" s="49">
        <v>1098213</v>
      </c>
      <c r="G6391" s="77" t="s">
        <v>6452</v>
      </c>
      <c r="H6391" s="14" t="str">
        <f t="shared" si="246"/>
        <v>true</v>
      </c>
      <c r="I6391" s="14" t="s">
        <v>2458</v>
      </c>
      <c r="J6391" s="33" t="e">
        <f>VLOOKUP(C6391,شرکتها!A:B,2,FALSE)</f>
        <v>#N/A</v>
      </c>
      <c r="K6391" s="33" t="s">
        <v>14433</v>
      </c>
      <c r="L6391" s="53" t="str">
        <f>"قطر"</f>
        <v>قطر</v>
      </c>
      <c r="M6391" s="68" t="s">
        <v>8913</v>
      </c>
      <c r="N6391" s="53" t="str">
        <f t="shared" si="247"/>
        <v>منطقه ويژه اقتصادي شهيد رجايي</v>
      </c>
      <c r="O6391" s="53">
        <v>50100</v>
      </c>
      <c r="P6391" s="198" t="s">
        <v>14025</v>
      </c>
    </row>
    <row r="6392" spans="1:16" ht="18.75" hidden="1">
      <c r="A6392" s="50" t="str">
        <f>"50100-10613791"</f>
        <v>50100-10613791</v>
      </c>
      <c r="B6392" s="50" t="str">
        <f>"97/06/10"</f>
        <v>97/06/10</v>
      </c>
      <c r="C6392" s="50" t="s">
        <v>14440</v>
      </c>
      <c r="D6392" s="12" t="s">
        <v>13957</v>
      </c>
      <c r="E6392" s="12" t="s">
        <v>13333</v>
      </c>
      <c r="F6392" s="49">
        <v>891000</v>
      </c>
      <c r="G6392" s="77" t="s">
        <v>12823</v>
      </c>
      <c r="H6392" s="14" t="str">
        <f t="shared" si="246"/>
        <v>true</v>
      </c>
      <c r="I6392" s="14" t="s">
        <v>2458</v>
      </c>
      <c r="J6392" s="33" t="s">
        <v>7110</v>
      </c>
      <c r="K6392" s="33" t="s">
        <v>14433</v>
      </c>
      <c r="L6392" s="53" t="str">
        <f>"کنيا"</f>
        <v>کنيا</v>
      </c>
      <c r="M6392" s="68" t="s">
        <v>9999</v>
      </c>
      <c r="N6392" s="53" t="str">
        <f t="shared" si="247"/>
        <v>منطقه ويژه اقتصادي شهيد رجايي</v>
      </c>
      <c r="O6392" s="53">
        <v>50100</v>
      </c>
      <c r="P6392" s="198" t="s">
        <v>14022</v>
      </c>
    </row>
    <row r="6393" spans="1:16" ht="18.75" hidden="1">
      <c r="A6393" s="50" t="str">
        <f>"50100-10594360"</f>
        <v>50100-10594360</v>
      </c>
      <c r="B6393" s="50" t="str">
        <f>"97/06/04"</f>
        <v>97/06/04</v>
      </c>
      <c r="C6393" s="50" t="s">
        <v>14412</v>
      </c>
      <c r="D6393" s="12" t="s">
        <v>14065</v>
      </c>
      <c r="E6393" s="12" t="s">
        <v>13333</v>
      </c>
      <c r="F6393" s="49">
        <v>490000</v>
      </c>
      <c r="G6393" s="77" t="s">
        <v>6300</v>
      </c>
      <c r="H6393" s="14" t="str">
        <f t="shared" si="246"/>
        <v>true</v>
      </c>
      <c r="I6393" s="14" t="s">
        <v>2458</v>
      </c>
      <c r="J6393" s="33" t="s">
        <v>7110</v>
      </c>
      <c r="K6393" s="33" t="s">
        <v>14433</v>
      </c>
      <c r="L6393" s="53" t="str">
        <f>"کنيا"</f>
        <v>کنيا</v>
      </c>
      <c r="M6393" s="68" t="s">
        <v>9999</v>
      </c>
      <c r="N6393" s="53" t="str">
        <f t="shared" si="247"/>
        <v>منطقه ويژه اقتصادي شهيد رجايي</v>
      </c>
      <c r="O6393" s="53">
        <v>50100</v>
      </c>
      <c r="P6393" s="198" t="s">
        <v>12937</v>
      </c>
    </row>
    <row r="6394" spans="1:16" ht="18.75">
      <c r="A6394" s="50" t="str">
        <f>"50100-10621992"</f>
        <v>50100-10621992</v>
      </c>
      <c r="B6394" s="50" t="str">
        <f>"97/06/12"</f>
        <v>97/06/12</v>
      </c>
      <c r="C6394" s="50" t="s">
        <v>14441</v>
      </c>
      <c r="D6394" s="12" t="s">
        <v>14442</v>
      </c>
      <c r="E6394" s="12" t="s">
        <v>13333</v>
      </c>
      <c r="F6394" s="49">
        <v>480451</v>
      </c>
      <c r="G6394" s="77" t="s">
        <v>6454</v>
      </c>
      <c r="H6394" s="14" t="str">
        <f t="shared" si="246"/>
        <v>true</v>
      </c>
      <c r="I6394" s="14" t="s">
        <v>2458</v>
      </c>
      <c r="J6394" s="33" t="e">
        <f>VLOOKUP(C6394,شرکتها!A:B,2,FALSE)</f>
        <v>#N/A</v>
      </c>
      <c r="K6394" s="33" t="s">
        <v>14433</v>
      </c>
      <c r="L6394" s="53" t="str">
        <f>"بنگلادش"</f>
        <v>بنگلادش</v>
      </c>
      <c r="M6394" s="68" t="s">
        <v>9999</v>
      </c>
      <c r="N6394" s="53" t="str">
        <f t="shared" si="247"/>
        <v>منطقه ويژه اقتصادي شهيد رجايي</v>
      </c>
      <c r="O6394" s="53">
        <v>50100</v>
      </c>
      <c r="P6394" s="198" t="s">
        <v>14291</v>
      </c>
    </row>
    <row r="6395" spans="1:16" ht="18.75" hidden="1">
      <c r="A6395" s="50" t="str">
        <f>"50100-10588920"</f>
        <v>50100-10588920</v>
      </c>
      <c r="B6395" s="50" t="str">
        <f>"97/06/03"</f>
        <v>97/06/03</v>
      </c>
      <c r="C6395" s="50" t="s">
        <v>13604</v>
      </c>
      <c r="D6395" s="12" t="s">
        <v>13672</v>
      </c>
      <c r="E6395" s="12" t="s">
        <v>13333</v>
      </c>
      <c r="F6395" s="49">
        <v>39681</v>
      </c>
      <c r="G6395" s="77" t="s">
        <v>6300</v>
      </c>
      <c r="H6395" s="14" t="str">
        <f t="shared" si="246"/>
        <v>true</v>
      </c>
      <c r="I6395" s="14" t="s">
        <v>2458</v>
      </c>
      <c r="J6395" s="33" t="s">
        <v>7110</v>
      </c>
      <c r="K6395" s="33" t="s">
        <v>14433</v>
      </c>
      <c r="L6395" s="53" t="str">
        <f>"کنيا"</f>
        <v>کنيا</v>
      </c>
      <c r="M6395" s="68" t="s">
        <v>9999</v>
      </c>
      <c r="N6395" s="53" t="str">
        <f t="shared" si="247"/>
        <v>منطقه ويژه اقتصادي شهيد رجايي</v>
      </c>
      <c r="O6395" s="53">
        <v>50100</v>
      </c>
      <c r="P6395" s="198" t="s">
        <v>9785</v>
      </c>
    </row>
    <row r="6396" spans="1:16" ht="18.75">
      <c r="A6396" s="50" t="str">
        <f>"50100-10621992"</f>
        <v>50100-10621992</v>
      </c>
      <c r="B6396" s="50" t="str">
        <f>"97/06/12"</f>
        <v>97/06/12</v>
      </c>
      <c r="C6396" s="50" t="s">
        <v>14443</v>
      </c>
      <c r="D6396" s="12" t="s">
        <v>14392</v>
      </c>
      <c r="E6396" s="12" t="s">
        <v>13333</v>
      </c>
      <c r="F6396" s="49">
        <v>500000</v>
      </c>
      <c r="G6396" s="77" t="s">
        <v>6454</v>
      </c>
      <c r="H6396" s="14" t="str">
        <f t="shared" si="246"/>
        <v>true</v>
      </c>
      <c r="I6396" s="14" t="s">
        <v>2458</v>
      </c>
      <c r="J6396" s="33" t="e">
        <f>VLOOKUP(C6396,شرکتها!A:B,2,FALSE)</f>
        <v>#N/A</v>
      </c>
      <c r="K6396" s="33" t="s">
        <v>14433</v>
      </c>
      <c r="L6396" s="53" t="str">
        <f>"بنگلادش"</f>
        <v>بنگلادش</v>
      </c>
      <c r="M6396" s="68" t="s">
        <v>9999</v>
      </c>
      <c r="N6396" s="53" t="str">
        <f t="shared" si="247"/>
        <v>منطقه ويژه اقتصادي شهيد رجايي</v>
      </c>
      <c r="O6396" s="53">
        <v>50100</v>
      </c>
      <c r="P6396" s="198" t="s">
        <v>14291</v>
      </c>
    </row>
    <row r="6397" spans="1:16" ht="18.75" hidden="1">
      <c r="A6397" s="50" t="str">
        <f>"50100-10621112"</f>
        <v>50100-10621112</v>
      </c>
      <c r="B6397" s="50" t="str">
        <f>"97/06/12"</f>
        <v>97/06/12</v>
      </c>
      <c r="C6397" s="50" t="s">
        <v>14374</v>
      </c>
      <c r="D6397" s="12" t="s">
        <v>14034</v>
      </c>
      <c r="E6397" s="12" t="s">
        <v>13333</v>
      </c>
      <c r="F6397" s="49">
        <v>59367</v>
      </c>
      <c r="G6397" s="77" t="s">
        <v>12120</v>
      </c>
      <c r="H6397" s="14" t="str">
        <f t="shared" si="246"/>
        <v>true</v>
      </c>
      <c r="I6397" s="14" t="s">
        <v>2458</v>
      </c>
      <c r="J6397" s="33" t="e">
        <f>VLOOKUP(C6397,شرکتها!A:B,2,FALSE)</f>
        <v>#N/A</v>
      </c>
      <c r="K6397" s="33" t="s">
        <v>14433</v>
      </c>
      <c r="L6397" s="53" t="str">
        <f>"کنيا"</f>
        <v>کنيا</v>
      </c>
      <c r="M6397" s="68" t="s">
        <v>9999</v>
      </c>
      <c r="N6397" s="53" t="str">
        <f t="shared" si="247"/>
        <v>منطقه ويژه اقتصادي شهيد رجايي</v>
      </c>
      <c r="O6397" s="53">
        <v>50100</v>
      </c>
      <c r="P6397" s="198" t="s">
        <v>14044</v>
      </c>
    </row>
    <row r="6398" spans="1:16" ht="18.75" hidden="1">
      <c r="A6398" s="50" t="s">
        <v>14444</v>
      </c>
      <c r="B6398" s="50" t="s">
        <v>14445</v>
      </c>
      <c r="C6398" s="50" t="s">
        <v>14446</v>
      </c>
      <c r="D6398" s="12" t="s">
        <v>14439</v>
      </c>
      <c r="E6398" s="12" t="s">
        <v>13333</v>
      </c>
      <c r="F6398" s="49">
        <v>1697823</v>
      </c>
      <c r="G6398" s="77" t="s">
        <v>6452</v>
      </c>
      <c r="H6398" s="14" t="str">
        <f t="shared" si="246"/>
        <v>true</v>
      </c>
      <c r="I6398" s="14" t="s">
        <v>2458</v>
      </c>
      <c r="J6398" s="33" t="e">
        <f>VLOOKUP(C6398,شرکتها!A:B,2,FALSE)</f>
        <v>#N/A</v>
      </c>
      <c r="K6398" s="33" t="s">
        <v>14433</v>
      </c>
      <c r="L6398" s="53" t="s">
        <v>8683</v>
      </c>
      <c r="M6398" s="68" t="s">
        <v>8913</v>
      </c>
      <c r="N6398" s="53" t="s">
        <v>12407</v>
      </c>
      <c r="O6398" s="53">
        <v>50100</v>
      </c>
      <c r="P6398" s="198" t="s">
        <v>14447</v>
      </c>
    </row>
    <row r="6399" spans="1:16" ht="18.75" hidden="1">
      <c r="A6399" s="50" t="s">
        <v>14448</v>
      </c>
      <c r="B6399" s="50" t="s">
        <v>14445</v>
      </c>
      <c r="C6399" s="50" t="s">
        <v>14449</v>
      </c>
      <c r="D6399" s="12" t="s">
        <v>14439</v>
      </c>
      <c r="E6399" s="12" t="s">
        <v>13333</v>
      </c>
      <c r="F6399" s="49">
        <v>499333</v>
      </c>
      <c r="G6399" s="77" t="s">
        <v>6452</v>
      </c>
      <c r="H6399" s="14" t="str">
        <f t="shared" si="246"/>
        <v>true</v>
      </c>
      <c r="I6399" s="14" t="s">
        <v>2458</v>
      </c>
      <c r="J6399" s="33" t="e">
        <f>VLOOKUP(C6399,شرکتها!A:B,2,FALSE)</f>
        <v>#N/A</v>
      </c>
      <c r="K6399" s="33" t="s">
        <v>14433</v>
      </c>
      <c r="L6399" s="53" t="s">
        <v>8683</v>
      </c>
      <c r="M6399" s="68" t="s">
        <v>8913</v>
      </c>
      <c r="N6399" s="53" t="s">
        <v>12407</v>
      </c>
      <c r="O6399" s="53">
        <v>50100</v>
      </c>
      <c r="P6399" s="198" t="s">
        <v>14032</v>
      </c>
    </row>
    <row r="6400" spans="1:16" ht="18.75">
      <c r="A6400" s="50" t="str">
        <f>"15100-648797"</f>
        <v>15100-648797</v>
      </c>
      <c r="B6400" s="50" t="str">
        <f>"97/06/06"</f>
        <v>97/06/06</v>
      </c>
      <c r="C6400" s="50" t="s">
        <v>14450</v>
      </c>
      <c r="D6400" s="12" t="s">
        <v>14270</v>
      </c>
      <c r="E6400" s="12" t="s">
        <v>13333</v>
      </c>
      <c r="F6400" s="49">
        <v>100980</v>
      </c>
      <c r="G6400" s="77" t="s">
        <v>6454</v>
      </c>
      <c r="H6400" s="14" t="str">
        <f t="shared" si="246"/>
        <v>true</v>
      </c>
      <c r="I6400" s="14" t="s">
        <v>2458</v>
      </c>
      <c r="J6400" s="33" t="e">
        <f>VLOOKUP(C6400,شرکتها!A:B,2,FALSE)</f>
        <v>#N/A</v>
      </c>
      <c r="K6400" s="33" t="s">
        <v>14433</v>
      </c>
      <c r="L6400" s="53" t="str">
        <f t="shared" ref="L6400:L6433" si="248">"پاکستان"</f>
        <v>پاکستان</v>
      </c>
      <c r="M6400" s="68" t="s">
        <v>9999</v>
      </c>
      <c r="N6400" s="53" t="str">
        <f>"تفتان (ميرجاوه)"</f>
        <v>تفتان (ميرجاوه)</v>
      </c>
      <c r="O6400" s="53">
        <v>55200</v>
      </c>
      <c r="P6400" s="198" t="s">
        <v>14315</v>
      </c>
    </row>
    <row r="6401" spans="1:16" ht="18.75" hidden="1">
      <c r="A6401" s="79" t="str">
        <f>"15100-654763"</f>
        <v>15100-654763</v>
      </c>
      <c r="B6401" s="50" t="str">
        <f>"97/06/17"</f>
        <v>97/06/17</v>
      </c>
      <c r="C6401" s="50" t="s">
        <v>14256</v>
      </c>
      <c r="D6401" s="12" t="s">
        <v>14129</v>
      </c>
      <c r="E6401" s="12" t="s">
        <v>13333</v>
      </c>
      <c r="F6401" s="49">
        <v>71350</v>
      </c>
      <c r="G6401" s="77" t="s">
        <v>6300</v>
      </c>
      <c r="H6401" s="14" t="str">
        <f t="shared" si="246"/>
        <v>true</v>
      </c>
      <c r="I6401" s="14" t="s">
        <v>2458</v>
      </c>
      <c r="J6401" s="33" t="s">
        <v>7110</v>
      </c>
      <c r="K6401" s="33" t="s">
        <v>14433</v>
      </c>
      <c r="L6401" s="53" t="str">
        <f t="shared" si="248"/>
        <v>پاکستان</v>
      </c>
      <c r="M6401" s="68" t="s">
        <v>9999</v>
      </c>
      <c r="N6401" s="53" t="str">
        <f>"پيشين"</f>
        <v>پيشين</v>
      </c>
      <c r="O6401" s="53">
        <v>55301</v>
      </c>
      <c r="P6401" s="198" t="s">
        <v>12938</v>
      </c>
    </row>
    <row r="6402" spans="1:16" ht="18.75" hidden="1">
      <c r="A6402" s="79" t="str">
        <f>"15100-649505"</f>
        <v>15100-649505</v>
      </c>
      <c r="B6402" s="50" t="str">
        <f>"97/06/07"</f>
        <v>97/06/07</v>
      </c>
      <c r="C6402" s="50" t="s">
        <v>14266</v>
      </c>
      <c r="D6402" s="12" t="s">
        <v>13966</v>
      </c>
      <c r="E6402" s="12" t="s">
        <v>13333</v>
      </c>
      <c r="F6402" s="49">
        <v>3630</v>
      </c>
      <c r="G6402" s="77" t="s">
        <v>11829</v>
      </c>
      <c r="H6402" s="14" t="str">
        <f t="shared" si="246"/>
        <v>true</v>
      </c>
      <c r="I6402" s="14" t="s">
        <v>2458</v>
      </c>
      <c r="J6402" s="33" t="s">
        <v>7110</v>
      </c>
      <c r="K6402" s="33" t="s">
        <v>14433</v>
      </c>
      <c r="L6402" s="53" t="str">
        <f t="shared" si="248"/>
        <v>پاکستان</v>
      </c>
      <c r="M6402" s="68" t="s">
        <v>9999</v>
      </c>
      <c r="N6402" s="53" t="str">
        <f>"پيشين"</f>
        <v>پيشين</v>
      </c>
      <c r="O6402" s="53">
        <v>55301</v>
      </c>
      <c r="P6402" s="198" t="s">
        <v>13664</v>
      </c>
    </row>
    <row r="6403" spans="1:16" ht="18.75" hidden="1">
      <c r="A6403" s="79" t="str">
        <f>"15100-650222"</f>
        <v>15100-650222</v>
      </c>
      <c r="B6403" s="50" t="str">
        <f>"97/06/10"</f>
        <v>97/06/10</v>
      </c>
      <c r="C6403" s="50" t="s">
        <v>14110</v>
      </c>
      <c r="D6403" s="12" t="s">
        <v>14111</v>
      </c>
      <c r="E6403" s="12" t="s">
        <v>13333</v>
      </c>
      <c r="F6403" s="49">
        <v>48380</v>
      </c>
      <c r="G6403" s="77" t="s">
        <v>13495</v>
      </c>
      <c r="H6403" s="14" t="str">
        <f t="shared" si="246"/>
        <v>true</v>
      </c>
      <c r="I6403" s="14" t="s">
        <v>2458</v>
      </c>
      <c r="J6403" s="33" t="s">
        <v>7110</v>
      </c>
      <c r="K6403" s="33" t="s">
        <v>14433</v>
      </c>
      <c r="L6403" s="53" t="str">
        <f t="shared" si="248"/>
        <v>پاکستان</v>
      </c>
      <c r="M6403" s="68" t="s">
        <v>8913</v>
      </c>
      <c r="N6403" s="53" t="str">
        <f>"تفتان (ميرجاوه)"</f>
        <v>تفتان (ميرجاوه)</v>
      </c>
      <c r="O6403" s="53">
        <v>55200</v>
      </c>
      <c r="P6403" s="198" t="s">
        <v>13625</v>
      </c>
    </row>
    <row r="6404" spans="1:16" ht="18.75" hidden="1">
      <c r="A6404" s="50" t="str">
        <f>"15100-648120"</f>
        <v>15100-648120</v>
      </c>
      <c r="B6404" s="50" t="str">
        <f>"97/06/05"</f>
        <v>97/06/05</v>
      </c>
      <c r="C6404" s="50" t="s">
        <v>14077</v>
      </c>
      <c r="D6404" s="12" t="s">
        <v>13969</v>
      </c>
      <c r="E6404" s="12" t="s">
        <v>13333</v>
      </c>
      <c r="F6404" s="49">
        <v>283590</v>
      </c>
      <c r="G6404" s="77" t="s">
        <v>13714</v>
      </c>
      <c r="H6404" s="14" t="str">
        <f t="shared" si="246"/>
        <v>true</v>
      </c>
      <c r="I6404" s="14" t="s">
        <v>2458</v>
      </c>
      <c r="J6404" s="33" t="e">
        <f>VLOOKUP(C6404,شرکتها!A:B,2,FALSE)</f>
        <v>#N/A</v>
      </c>
      <c r="K6404" s="33" t="s">
        <v>14433</v>
      </c>
      <c r="L6404" s="53" t="str">
        <f t="shared" si="248"/>
        <v>پاکستان</v>
      </c>
      <c r="M6404" s="68" t="s">
        <v>9999</v>
      </c>
      <c r="N6404" s="53" t="str">
        <f>"پيشين"</f>
        <v>پيشين</v>
      </c>
      <c r="O6404" s="53">
        <v>55301</v>
      </c>
      <c r="P6404" s="198" t="s">
        <v>14078</v>
      </c>
    </row>
    <row r="6405" spans="1:16" ht="18.75" hidden="1">
      <c r="A6405" s="50" t="str">
        <f>"15100-650237"</f>
        <v>15100-650237</v>
      </c>
      <c r="B6405" s="50" t="str">
        <f>"97/06/10"</f>
        <v>97/06/10</v>
      </c>
      <c r="C6405" s="50" t="s">
        <v>14110</v>
      </c>
      <c r="D6405" s="12" t="s">
        <v>14111</v>
      </c>
      <c r="E6405" s="12" t="s">
        <v>13333</v>
      </c>
      <c r="F6405" s="49">
        <v>47760</v>
      </c>
      <c r="G6405" s="77" t="s">
        <v>13495</v>
      </c>
      <c r="H6405" s="14" t="str">
        <f t="shared" si="246"/>
        <v>true</v>
      </c>
      <c r="I6405" s="14" t="s">
        <v>2458</v>
      </c>
      <c r="J6405" s="33" t="s">
        <v>7110</v>
      </c>
      <c r="K6405" s="33" t="s">
        <v>14433</v>
      </c>
      <c r="L6405" s="53" t="str">
        <f t="shared" si="248"/>
        <v>پاکستان</v>
      </c>
      <c r="M6405" s="68" t="s">
        <v>9999</v>
      </c>
      <c r="N6405" s="53" t="str">
        <f>"پيشين"</f>
        <v>پيشين</v>
      </c>
      <c r="O6405" s="53">
        <v>55301</v>
      </c>
      <c r="P6405" s="198" t="s">
        <v>13625</v>
      </c>
    </row>
    <row r="6406" spans="1:16" ht="18.75" hidden="1">
      <c r="A6406" s="79" t="str">
        <f>"15100-649385"</f>
        <v>15100-649385</v>
      </c>
      <c r="B6406" s="50" t="str">
        <f>"97/06/07"</f>
        <v>97/06/07</v>
      </c>
      <c r="C6406" s="50" t="s">
        <v>14026</v>
      </c>
      <c r="D6406" s="12" t="s">
        <v>13957</v>
      </c>
      <c r="E6406" s="12" t="s">
        <v>13333</v>
      </c>
      <c r="F6406" s="49">
        <v>49002</v>
      </c>
      <c r="G6406" s="77" t="s">
        <v>9897</v>
      </c>
      <c r="H6406" s="14" t="str">
        <f t="shared" si="246"/>
        <v>true</v>
      </c>
      <c r="I6406" s="14" t="s">
        <v>2458</v>
      </c>
      <c r="J6406" s="33" t="s">
        <v>7110</v>
      </c>
      <c r="K6406" s="33" t="s">
        <v>14433</v>
      </c>
      <c r="L6406" s="53" t="str">
        <f t="shared" si="248"/>
        <v>پاکستان</v>
      </c>
      <c r="M6406" s="68" t="s">
        <v>8913</v>
      </c>
      <c r="N6406" s="53" t="str">
        <f>"تفتان (ميرجاوه)"</f>
        <v>تفتان (ميرجاوه)</v>
      </c>
      <c r="O6406" s="53">
        <v>55200</v>
      </c>
      <c r="P6406" s="198" t="s">
        <v>14027</v>
      </c>
    </row>
    <row r="6407" spans="1:16" ht="18.75" hidden="1">
      <c r="A6407" s="50" t="str">
        <f>"15100-648833"</f>
        <v>15100-648833</v>
      </c>
      <c r="B6407" s="50" t="str">
        <f>"97/06/06"</f>
        <v>97/06/06</v>
      </c>
      <c r="C6407" s="50" t="s">
        <v>14254</v>
      </c>
      <c r="D6407" s="12" t="s">
        <v>13969</v>
      </c>
      <c r="E6407" s="12" t="s">
        <v>13333</v>
      </c>
      <c r="F6407" s="49">
        <v>141170</v>
      </c>
      <c r="G6407" s="77" t="s">
        <v>11829</v>
      </c>
      <c r="H6407" s="14" t="str">
        <f t="shared" si="246"/>
        <v>true</v>
      </c>
      <c r="I6407" s="14" t="s">
        <v>2458</v>
      </c>
      <c r="J6407" s="33" t="s">
        <v>7110</v>
      </c>
      <c r="K6407" s="33" t="s">
        <v>14433</v>
      </c>
      <c r="L6407" s="53" t="str">
        <f t="shared" si="248"/>
        <v>پاکستان</v>
      </c>
      <c r="M6407" s="68" t="s">
        <v>8913</v>
      </c>
      <c r="N6407" s="53" t="str">
        <f>"پيشين"</f>
        <v>پيشين</v>
      </c>
      <c r="O6407" s="53">
        <v>55301</v>
      </c>
      <c r="P6407" s="198" t="s">
        <v>13664</v>
      </c>
    </row>
    <row r="6408" spans="1:16" ht="18.75" hidden="1">
      <c r="A6408" s="50" t="str">
        <f>"15100-650258"</f>
        <v>15100-650258</v>
      </c>
      <c r="B6408" s="50" t="str">
        <f>"97/06/10"</f>
        <v>97/06/10</v>
      </c>
      <c r="C6408" s="50" t="s">
        <v>14254</v>
      </c>
      <c r="D6408" s="12" t="s">
        <v>13969</v>
      </c>
      <c r="E6408" s="12" t="s">
        <v>13333</v>
      </c>
      <c r="F6408" s="49">
        <v>143760</v>
      </c>
      <c r="G6408" s="77" t="s">
        <v>11829</v>
      </c>
      <c r="H6408" s="14" t="str">
        <f t="shared" si="246"/>
        <v>true</v>
      </c>
      <c r="I6408" s="14" t="s">
        <v>2458</v>
      </c>
      <c r="J6408" s="33" t="s">
        <v>7110</v>
      </c>
      <c r="K6408" s="33" t="s">
        <v>14433</v>
      </c>
      <c r="L6408" s="53" t="str">
        <f t="shared" si="248"/>
        <v>پاکستان</v>
      </c>
      <c r="M6408" s="68" t="s">
        <v>8913</v>
      </c>
      <c r="N6408" s="53" t="str">
        <f>"پيشين"</f>
        <v>پيشين</v>
      </c>
      <c r="O6408" s="53">
        <v>55301</v>
      </c>
      <c r="P6408" s="198" t="s">
        <v>13664</v>
      </c>
    </row>
    <row r="6409" spans="1:16" ht="18.75">
      <c r="A6409" s="50" t="str">
        <f>"15100-649598"</f>
        <v>15100-649598</v>
      </c>
      <c r="B6409" s="50" t="str">
        <f>"97/06/07"</f>
        <v>97/06/07</v>
      </c>
      <c r="C6409" s="50" t="s">
        <v>14450</v>
      </c>
      <c r="D6409" s="12" t="s">
        <v>14270</v>
      </c>
      <c r="E6409" s="12" t="s">
        <v>13333</v>
      </c>
      <c r="F6409" s="49">
        <v>97090</v>
      </c>
      <c r="G6409" s="77" t="s">
        <v>6454</v>
      </c>
      <c r="H6409" s="14" t="str">
        <f t="shared" si="246"/>
        <v>true</v>
      </c>
      <c r="I6409" s="14" t="s">
        <v>2458</v>
      </c>
      <c r="J6409" s="33" t="e">
        <f>VLOOKUP(C6409,شرکتها!A:B,2,FALSE)</f>
        <v>#N/A</v>
      </c>
      <c r="K6409" s="33" t="s">
        <v>14433</v>
      </c>
      <c r="L6409" s="53" t="str">
        <f t="shared" si="248"/>
        <v>پاکستان</v>
      </c>
      <c r="M6409" s="68" t="s">
        <v>9999</v>
      </c>
      <c r="N6409" s="53" t="str">
        <f>"تفتان (ميرجاوه)"</f>
        <v>تفتان (ميرجاوه)</v>
      </c>
      <c r="O6409" s="53">
        <v>55200</v>
      </c>
      <c r="P6409" s="198" t="s">
        <v>14315</v>
      </c>
    </row>
    <row r="6410" spans="1:16" ht="18.75">
      <c r="A6410" s="50" t="str">
        <f>"15100-648135"</f>
        <v>15100-648135</v>
      </c>
      <c r="B6410" s="50" t="str">
        <f>"97/06/05"</f>
        <v>97/06/05</v>
      </c>
      <c r="C6410" s="50" t="s">
        <v>14350</v>
      </c>
      <c r="D6410" s="12" t="s">
        <v>14351</v>
      </c>
      <c r="E6410" s="12" t="s">
        <v>13333</v>
      </c>
      <c r="F6410" s="49">
        <v>45990</v>
      </c>
      <c r="G6410" s="77" t="s">
        <v>6454</v>
      </c>
      <c r="H6410" s="14" t="str">
        <f t="shared" si="246"/>
        <v>true</v>
      </c>
      <c r="I6410" s="14" t="s">
        <v>2458</v>
      </c>
      <c r="J6410" s="33" t="e">
        <f>VLOOKUP(C6410,شرکتها!A:B,2,FALSE)</f>
        <v>#N/A</v>
      </c>
      <c r="K6410" s="33" t="s">
        <v>14433</v>
      </c>
      <c r="L6410" s="53" t="str">
        <f t="shared" si="248"/>
        <v>پاکستان</v>
      </c>
      <c r="M6410" s="68" t="s">
        <v>9999</v>
      </c>
      <c r="N6410" s="53" t="str">
        <f>"پيشين"</f>
        <v>پيشين</v>
      </c>
      <c r="O6410" s="53">
        <v>55301</v>
      </c>
      <c r="P6410" s="198" t="s">
        <v>14315</v>
      </c>
    </row>
    <row r="6411" spans="1:16" ht="18.75">
      <c r="A6411" s="79" t="str">
        <f>"15100-651340"</f>
        <v>15100-651340</v>
      </c>
      <c r="B6411" s="50" t="str">
        <f>"97/06/11"</f>
        <v>97/06/11</v>
      </c>
      <c r="C6411" s="50" t="s">
        <v>14450</v>
      </c>
      <c r="D6411" s="12" t="s">
        <v>14270</v>
      </c>
      <c r="E6411" s="12" t="s">
        <v>13333</v>
      </c>
      <c r="F6411" s="49">
        <v>71380</v>
      </c>
      <c r="G6411" s="77" t="s">
        <v>6454</v>
      </c>
      <c r="H6411" s="14" t="str">
        <f t="shared" si="246"/>
        <v>true</v>
      </c>
      <c r="I6411" s="14" t="s">
        <v>2458</v>
      </c>
      <c r="J6411" s="33" t="e">
        <f>VLOOKUP(C6411,شرکتها!A:B,2,FALSE)</f>
        <v>#N/A</v>
      </c>
      <c r="K6411" s="33" t="s">
        <v>14433</v>
      </c>
      <c r="L6411" s="53" t="str">
        <f t="shared" si="248"/>
        <v>پاکستان</v>
      </c>
      <c r="M6411" s="68" t="s">
        <v>9999</v>
      </c>
      <c r="N6411" s="53" t="str">
        <f>"تفتان (ميرجاوه)"</f>
        <v>تفتان (ميرجاوه)</v>
      </c>
      <c r="O6411" s="53">
        <v>55200</v>
      </c>
      <c r="P6411" s="198" t="s">
        <v>14315</v>
      </c>
    </row>
    <row r="6412" spans="1:16" ht="18.75" hidden="1">
      <c r="A6412" s="79" t="str">
        <f>"15100-653440"</f>
        <v>15100-653440</v>
      </c>
      <c r="B6412" s="50" t="str">
        <f>"97/06/14"</f>
        <v>97/06/14</v>
      </c>
      <c r="C6412" s="50" t="s">
        <v>14159</v>
      </c>
      <c r="D6412" s="12" t="s">
        <v>13851</v>
      </c>
      <c r="E6412" s="12" t="s">
        <v>13333</v>
      </c>
      <c r="F6412" s="49">
        <v>98460</v>
      </c>
      <c r="G6412" s="77" t="s">
        <v>6454</v>
      </c>
      <c r="H6412" s="14" t="str">
        <f t="shared" si="246"/>
        <v>true</v>
      </c>
      <c r="I6412" s="14" t="s">
        <v>2458</v>
      </c>
      <c r="J6412" s="33" t="s">
        <v>7110</v>
      </c>
      <c r="K6412" s="33" t="s">
        <v>14433</v>
      </c>
      <c r="L6412" s="53" t="str">
        <f t="shared" si="248"/>
        <v>پاکستان</v>
      </c>
      <c r="M6412" s="68" t="s">
        <v>9999</v>
      </c>
      <c r="N6412" s="53" t="str">
        <f>"تفتان (ميرجاوه)"</f>
        <v>تفتان (ميرجاوه)</v>
      </c>
      <c r="O6412" s="53">
        <v>55200</v>
      </c>
      <c r="P6412" s="198" t="s">
        <v>14021</v>
      </c>
    </row>
    <row r="6413" spans="1:16" ht="18.75">
      <c r="A6413" s="50" t="str">
        <f>"15100-649562"</f>
        <v>15100-649562</v>
      </c>
      <c r="B6413" s="50" t="str">
        <f>"97/06/07"</f>
        <v>97/06/07</v>
      </c>
      <c r="C6413" s="50" t="s">
        <v>14290</v>
      </c>
      <c r="D6413" s="12" t="s">
        <v>13957</v>
      </c>
      <c r="E6413" s="12" t="s">
        <v>13333</v>
      </c>
      <c r="F6413" s="49">
        <v>94350</v>
      </c>
      <c r="G6413" s="77" t="s">
        <v>6454</v>
      </c>
      <c r="H6413" s="14" t="str">
        <f t="shared" si="246"/>
        <v>true</v>
      </c>
      <c r="I6413" s="14" t="s">
        <v>2458</v>
      </c>
      <c r="J6413" s="33" t="e">
        <f>VLOOKUP(C6413,شرکتها!A:B,2,FALSE)</f>
        <v>#N/A</v>
      </c>
      <c r="K6413" s="33" t="s">
        <v>14433</v>
      </c>
      <c r="L6413" s="53" t="str">
        <f t="shared" si="248"/>
        <v>پاکستان</v>
      </c>
      <c r="M6413" s="68" t="s">
        <v>9999</v>
      </c>
      <c r="N6413" s="53" t="str">
        <f>"تفتان (ميرجاوه)"</f>
        <v>تفتان (ميرجاوه)</v>
      </c>
      <c r="O6413" s="53">
        <v>55200</v>
      </c>
      <c r="P6413" s="198" t="s">
        <v>14291</v>
      </c>
    </row>
    <row r="6414" spans="1:16" ht="18.75" hidden="1">
      <c r="A6414" s="50" t="str">
        <f>"15100-649487"</f>
        <v>15100-649487</v>
      </c>
      <c r="B6414" s="50" t="str">
        <f>"97/06/07"</f>
        <v>97/06/07</v>
      </c>
      <c r="C6414" s="50" t="s">
        <v>14451</v>
      </c>
      <c r="D6414" s="12" t="s">
        <v>14010</v>
      </c>
      <c r="E6414" s="12" t="s">
        <v>13333</v>
      </c>
      <c r="F6414" s="49">
        <v>121650</v>
      </c>
      <c r="G6414" s="77" t="s">
        <v>12823</v>
      </c>
      <c r="H6414" s="14" t="str">
        <f t="shared" si="246"/>
        <v>true</v>
      </c>
      <c r="I6414" s="14" t="s">
        <v>2458</v>
      </c>
      <c r="J6414" s="33" t="s">
        <v>7110</v>
      </c>
      <c r="K6414" s="33" t="s">
        <v>14433</v>
      </c>
      <c r="L6414" s="53" t="str">
        <f t="shared" si="248"/>
        <v>پاکستان</v>
      </c>
      <c r="M6414" s="68" t="s">
        <v>9999</v>
      </c>
      <c r="N6414" s="53" t="str">
        <f>"تفتان (ميرجاوه)"</f>
        <v>تفتان (ميرجاوه)</v>
      </c>
      <c r="O6414" s="53">
        <v>55200</v>
      </c>
      <c r="P6414" s="198" t="s">
        <v>14022</v>
      </c>
    </row>
    <row r="6415" spans="1:16" ht="18.75" hidden="1">
      <c r="A6415" s="79" t="str">
        <f>"15100-649505"</f>
        <v>15100-649505</v>
      </c>
      <c r="B6415" s="50" t="str">
        <f>"97/06/07"</f>
        <v>97/06/07</v>
      </c>
      <c r="C6415" s="50" t="s">
        <v>14258</v>
      </c>
      <c r="D6415" s="12" t="s">
        <v>13966</v>
      </c>
      <c r="E6415" s="12" t="s">
        <v>13333</v>
      </c>
      <c r="F6415" s="49">
        <v>42630</v>
      </c>
      <c r="G6415" s="77" t="s">
        <v>11829</v>
      </c>
      <c r="H6415" s="14" t="str">
        <f t="shared" si="246"/>
        <v>true</v>
      </c>
      <c r="I6415" s="14" t="s">
        <v>2458</v>
      </c>
      <c r="J6415" s="33" t="s">
        <v>7110</v>
      </c>
      <c r="K6415" s="33" t="s">
        <v>14433</v>
      </c>
      <c r="L6415" s="53" t="str">
        <f t="shared" si="248"/>
        <v>پاکستان</v>
      </c>
      <c r="M6415" s="68" t="s">
        <v>9999</v>
      </c>
      <c r="N6415" s="53" t="str">
        <f>"پيشين"</f>
        <v>پيشين</v>
      </c>
      <c r="O6415" s="53">
        <v>55301</v>
      </c>
      <c r="P6415" s="198" t="s">
        <v>13664</v>
      </c>
    </row>
    <row r="6416" spans="1:16" ht="18.75" hidden="1">
      <c r="A6416" s="50" t="str">
        <f>"15100-649364"</f>
        <v>15100-649364</v>
      </c>
      <c r="B6416" s="50" t="str">
        <f>"97/06/07"</f>
        <v>97/06/07</v>
      </c>
      <c r="C6416" s="50" t="s">
        <v>14288</v>
      </c>
      <c r="D6416" s="12" t="s">
        <v>13966</v>
      </c>
      <c r="E6416" s="12" t="s">
        <v>13333</v>
      </c>
      <c r="F6416" s="49">
        <v>36580</v>
      </c>
      <c r="G6416" s="77" t="s">
        <v>14278</v>
      </c>
      <c r="H6416" s="14" t="str">
        <f t="shared" si="246"/>
        <v>true</v>
      </c>
      <c r="I6416" s="14" t="s">
        <v>2458</v>
      </c>
      <c r="J6416" s="33" t="s">
        <v>7110</v>
      </c>
      <c r="K6416" s="33" t="s">
        <v>14433</v>
      </c>
      <c r="L6416" s="53" t="str">
        <f t="shared" si="248"/>
        <v>پاکستان</v>
      </c>
      <c r="M6416" s="68" t="s">
        <v>8913</v>
      </c>
      <c r="N6416" s="53" t="str">
        <f>"پيشين"</f>
        <v>پيشين</v>
      </c>
      <c r="O6416" s="53">
        <v>55301</v>
      </c>
      <c r="P6416" s="198" t="s">
        <v>14050</v>
      </c>
    </row>
    <row r="6417" spans="1:16" ht="18.75">
      <c r="A6417" s="79" t="str">
        <f>"15100-650264"</f>
        <v>15100-650264</v>
      </c>
      <c r="B6417" s="50" t="str">
        <f>"97/06/10"</f>
        <v>97/06/10</v>
      </c>
      <c r="C6417" s="50" t="s">
        <v>14290</v>
      </c>
      <c r="D6417" s="12" t="s">
        <v>13957</v>
      </c>
      <c r="E6417" s="12" t="s">
        <v>13333</v>
      </c>
      <c r="F6417" s="49">
        <v>69520</v>
      </c>
      <c r="G6417" s="77" t="s">
        <v>6454</v>
      </c>
      <c r="H6417" s="14" t="str">
        <f t="shared" si="246"/>
        <v>true</v>
      </c>
      <c r="I6417" s="14" t="s">
        <v>2458</v>
      </c>
      <c r="J6417" s="33" t="e">
        <f>VLOOKUP(C6417,شرکتها!A:B,2,FALSE)</f>
        <v>#N/A</v>
      </c>
      <c r="K6417" s="33" t="s">
        <v>14433</v>
      </c>
      <c r="L6417" s="53" t="str">
        <f t="shared" si="248"/>
        <v>پاکستان</v>
      </c>
      <c r="M6417" s="68" t="s">
        <v>9999</v>
      </c>
      <c r="N6417" s="53" t="str">
        <f>"تفتان (ميرجاوه)"</f>
        <v>تفتان (ميرجاوه)</v>
      </c>
      <c r="O6417" s="53">
        <v>55200</v>
      </c>
      <c r="P6417" s="198" t="s">
        <v>14291</v>
      </c>
    </row>
    <row r="6418" spans="1:16" ht="18.75">
      <c r="A6418" s="50" t="str">
        <f>"15100-648797"</f>
        <v>15100-648797</v>
      </c>
      <c r="B6418" s="50" t="str">
        <f>"97/06/06"</f>
        <v>97/06/06</v>
      </c>
      <c r="C6418" s="50" t="s">
        <v>14350</v>
      </c>
      <c r="D6418" s="12" t="s">
        <v>14351</v>
      </c>
      <c r="E6418" s="12" t="s">
        <v>13333</v>
      </c>
      <c r="F6418" s="49">
        <v>170040</v>
      </c>
      <c r="G6418" s="77" t="s">
        <v>6454</v>
      </c>
      <c r="H6418" s="14" t="str">
        <f t="shared" si="246"/>
        <v>true</v>
      </c>
      <c r="I6418" s="14" t="s">
        <v>2458</v>
      </c>
      <c r="J6418" s="33" t="e">
        <f>VLOOKUP(C6418,شرکتها!A:B,2,FALSE)</f>
        <v>#N/A</v>
      </c>
      <c r="K6418" s="33" t="s">
        <v>14433</v>
      </c>
      <c r="L6418" s="53" t="str">
        <f t="shared" si="248"/>
        <v>پاکستان</v>
      </c>
      <c r="M6418" s="68" t="s">
        <v>9999</v>
      </c>
      <c r="N6418" s="53" t="str">
        <f>"تفتان (ميرجاوه)"</f>
        <v>تفتان (ميرجاوه)</v>
      </c>
      <c r="O6418" s="53">
        <v>55200</v>
      </c>
      <c r="P6418" s="198" t="s">
        <v>14315</v>
      </c>
    </row>
    <row r="6419" spans="1:16" ht="18.75" hidden="1">
      <c r="A6419" s="50" t="str">
        <f>"15100-648845"</f>
        <v>15100-648845</v>
      </c>
      <c r="B6419" s="50" t="str">
        <f>"97/06/06"</f>
        <v>97/06/06</v>
      </c>
      <c r="C6419" s="50" t="s">
        <v>14451</v>
      </c>
      <c r="D6419" s="12" t="s">
        <v>14010</v>
      </c>
      <c r="E6419" s="12" t="s">
        <v>13333</v>
      </c>
      <c r="F6419" s="49">
        <v>71890</v>
      </c>
      <c r="G6419" s="77" t="s">
        <v>12823</v>
      </c>
      <c r="H6419" s="14" t="str">
        <f t="shared" si="246"/>
        <v>true</v>
      </c>
      <c r="I6419" s="14" t="s">
        <v>2458</v>
      </c>
      <c r="J6419" s="33" t="s">
        <v>7110</v>
      </c>
      <c r="K6419" s="33" t="s">
        <v>14433</v>
      </c>
      <c r="L6419" s="53" t="str">
        <f t="shared" si="248"/>
        <v>پاکستان</v>
      </c>
      <c r="M6419" s="68" t="s">
        <v>9999</v>
      </c>
      <c r="N6419" s="53" t="str">
        <f>"تفتان (ميرجاوه)"</f>
        <v>تفتان (ميرجاوه)</v>
      </c>
      <c r="O6419" s="53">
        <v>55200</v>
      </c>
      <c r="P6419" s="198" t="s">
        <v>14022</v>
      </c>
    </row>
    <row r="6420" spans="1:16" ht="18.75">
      <c r="A6420" s="79" t="str">
        <f>"15100-652238"</f>
        <v>15100-652238</v>
      </c>
      <c r="B6420" s="50" t="str">
        <f>"97/06/12"</f>
        <v>97/06/12</v>
      </c>
      <c r="C6420" s="50" t="s">
        <v>14450</v>
      </c>
      <c r="D6420" s="12" t="s">
        <v>14270</v>
      </c>
      <c r="E6420" s="12" t="s">
        <v>13333</v>
      </c>
      <c r="F6420" s="49">
        <v>147850</v>
      </c>
      <c r="G6420" s="77" t="s">
        <v>6454</v>
      </c>
      <c r="H6420" s="14" t="str">
        <f t="shared" si="246"/>
        <v>true</v>
      </c>
      <c r="I6420" s="14" t="s">
        <v>2458</v>
      </c>
      <c r="J6420" s="33" t="e">
        <f>VLOOKUP(C6420,شرکتها!A:B,2,FALSE)</f>
        <v>#N/A</v>
      </c>
      <c r="K6420" s="33" t="s">
        <v>14433</v>
      </c>
      <c r="L6420" s="53" t="str">
        <f t="shared" si="248"/>
        <v>پاکستان</v>
      </c>
      <c r="M6420" s="68" t="s">
        <v>8913</v>
      </c>
      <c r="N6420" s="53" t="str">
        <f>"تفتان (ميرجاوه)"</f>
        <v>تفتان (ميرجاوه)</v>
      </c>
      <c r="O6420" s="53">
        <v>55200</v>
      </c>
      <c r="P6420" s="198" t="s">
        <v>14315</v>
      </c>
    </row>
    <row r="6421" spans="1:16" ht="18.75" hidden="1">
      <c r="A6421" s="50" t="str">
        <f>"15100-648857"</f>
        <v>15100-648857</v>
      </c>
      <c r="B6421" s="50" t="str">
        <f>"97/06/06"</f>
        <v>97/06/06</v>
      </c>
      <c r="C6421" s="50" t="s">
        <v>14254</v>
      </c>
      <c r="D6421" s="12" t="s">
        <v>13969</v>
      </c>
      <c r="E6421" s="12" t="s">
        <v>13333</v>
      </c>
      <c r="F6421" s="49">
        <v>46800</v>
      </c>
      <c r="G6421" s="77" t="s">
        <v>11829</v>
      </c>
      <c r="H6421" s="14" t="str">
        <f t="shared" si="246"/>
        <v>true</v>
      </c>
      <c r="I6421" s="14" t="s">
        <v>2458</v>
      </c>
      <c r="J6421" s="33" t="s">
        <v>7110</v>
      </c>
      <c r="K6421" s="33" t="s">
        <v>14433</v>
      </c>
      <c r="L6421" s="53" t="str">
        <f t="shared" si="248"/>
        <v>پاکستان</v>
      </c>
      <c r="M6421" s="68" t="s">
        <v>8913</v>
      </c>
      <c r="N6421" s="53" t="str">
        <f>"تفتان (ميرجاوه)"</f>
        <v>تفتان (ميرجاوه)</v>
      </c>
      <c r="O6421" s="53">
        <v>55200</v>
      </c>
      <c r="P6421" s="198" t="s">
        <v>13664</v>
      </c>
    </row>
    <row r="6422" spans="1:16" ht="18.75" hidden="1">
      <c r="A6422" s="50" t="str">
        <f>"15100-649364"</f>
        <v>15100-649364</v>
      </c>
      <c r="B6422" s="50" t="str">
        <f>"97/06/07"</f>
        <v>97/06/07</v>
      </c>
      <c r="C6422" s="50" t="s">
        <v>14296</v>
      </c>
      <c r="D6422" s="12" t="s">
        <v>13966</v>
      </c>
      <c r="E6422" s="12" t="s">
        <v>13333</v>
      </c>
      <c r="F6422" s="49">
        <v>32290</v>
      </c>
      <c r="G6422" s="77" t="s">
        <v>14278</v>
      </c>
      <c r="H6422" s="14" t="str">
        <f t="shared" si="246"/>
        <v>true</v>
      </c>
      <c r="I6422" s="14" t="s">
        <v>2458</v>
      </c>
      <c r="J6422" s="33" t="s">
        <v>7110</v>
      </c>
      <c r="K6422" s="33" t="s">
        <v>14433</v>
      </c>
      <c r="L6422" s="53" t="str">
        <f t="shared" si="248"/>
        <v>پاکستان</v>
      </c>
      <c r="M6422" s="68" t="s">
        <v>8913</v>
      </c>
      <c r="N6422" s="53" t="str">
        <f>"پيشين"</f>
        <v>پيشين</v>
      </c>
      <c r="O6422" s="53">
        <v>55301</v>
      </c>
      <c r="P6422" s="198" t="s">
        <v>14050</v>
      </c>
    </row>
    <row r="6423" spans="1:16" ht="18.75">
      <c r="A6423" s="50" t="str">
        <f>"15100-652685"</f>
        <v>15100-652685</v>
      </c>
      <c r="B6423" s="50" t="str">
        <f>"97/06/13"</f>
        <v>97/06/13</v>
      </c>
      <c r="C6423" s="50" t="s">
        <v>14300</v>
      </c>
      <c r="D6423" s="12" t="s">
        <v>13969</v>
      </c>
      <c r="E6423" s="12" t="s">
        <v>13333</v>
      </c>
      <c r="F6423" s="49">
        <v>117830</v>
      </c>
      <c r="G6423" s="77" t="s">
        <v>6454</v>
      </c>
      <c r="H6423" s="14" t="str">
        <f t="shared" si="246"/>
        <v>true</v>
      </c>
      <c r="I6423" s="14" t="s">
        <v>2458</v>
      </c>
      <c r="J6423" s="33" t="e">
        <f>VLOOKUP(C6423,شرکتها!A:B,2,FALSE)</f>
        <v>#N/A</v>
      </c>
      <c r="K6423" s="33" t="s">
        <v>14433</v>
      </c>
      <c r="L6423" s="53" t="str">
        <f t="shared" si="248"/>
        <v>پاکستان</v>
      </c>
      <c r="M6423" s="68" t="s">
        <v>9999</v>
      </c>
      <c r="N6423" s="53" t="str">
        <f>"پيشين"</f>
        <v>پيشين</v>
      </c>
      <c r="O6423" s="53">
        <v>55301</v>
      </c>
      <c r="P6423" s="198" t="s">
        <v>14291</v>
      </c>
    </row>
    <row r="6424" spans="1:16" ht="18.75">
      <c r="A6424" s="79" t="str">
        <f>"15100-654865"</f>
        <v>15100-654865</v>
      </c>
      <c r="B6424" s="50" t="str">
        <f>"97/06/17"</f>
        <v>97/06/17</v>
      </c>
      <c r="C6424" s="50" t="s">
        <v>14265</v>
      </c>
      <c r="D6424" s="12" t="s">
        <v>14233</v>
      </c>
      <c r="E6424" s="12" t="s">
        <v>13333</v>
      </c>
      <c r="F6424" s="49">
        <v>230620</v>
      </c>
      <c r="G6424" s="77" t="s">
        <v>6454</v>
      </c>
      <c r="H6424" s="14" t="str">
        <f t="shared" si="246"/>
        <v>true</v>
      </c>
      <c r="I6424" s="14" t="s">
        <v>2458</v>
      </c>
      <c r="J6424" s="33" t="e">
        <f>VLOOKUP(C6424,شرکتها!A:B,2,FALSE)</f>
        <v>#N/A</v>
      </c>
      <c r="K6424" s="33" t="s">
        <v>14433</v>
      </c>
      <c r="L6424" s="53" t="str">
        <f t="shared" si="248"/>
        <v>پاکستان</v>
      </c>
      <c r="M6424" s="68" t="s">
        <v>8913</v>
      </c>
      <c r="N6424" s="53" t="str">
        <f>"تفتان (ميرجاوه)"</f>
        <v>تفتان (ميرجاوه)</v>
      </c>
      <c r="O6424" s="53">
        <v>55200</v>
      </c>
      <c r="P6424" s="198" t="s">
        <v>14315</v>
      </c>
    </row>
    <row r="6425" spans="1:16" ht="18.75" hidden="1">
      <c r="A6425" s="50" t="str">
        <f>"15100-650258"</f>
        <v>15100-650258</v>
      </c>
      <c r="B6425" s="50" t="str">
        <f>"97/06/10"</f>
        <v>97/06/10</v>
      </c>
      <c r="C6425" s="50" t="s">
        <v>14266</v>
      </c>
      <c r="D6425" s="12" t="s">
        <v>13966</v>
      </c>
      <c r="E6425" s="12" t="s">
        <v>13333</v>
      </c>
      <c r="F6425" s="49">
        <v>8080</v>
      </c>
      <c r="G6425" s="77" t="s">
        <v>11829</v>
      </c>
      <c r="H6425" s="14" t="str">
        <f t="shared" si="246"/>
        <v>true</v>
      </c>
      <c r="I6425" s="14" t="s">
        <v>2458</v>
      </c>
      <c r="J6425" s="33" t="s">
        <v>7110</v>
      </c>
      <c r="K6425" s="33" t="s">
        <v>14433</v>
      </c>
      <c r="L6425" s="53" t="str">
        <f t="shared" si="248"/>
        <v>پاکستان</v>
      </c>
      <c r="M6425" s="68" t="s">
        <v>8913</v>
      </c>
      <c r="N6425" s="53" t="str">
        <f>"پيشين"</f>
        <v>پيشين</v>
      </c>
      <c r="O6425" s="53">
        <v>55301</v>
      </c>
      <c r="P6425" s="198" t="s">
        <v>13664</v>
      </c>
    </row>
    <row r="6426" spans="1:16" ht="18.75">
      <c r="A6426" s="50" t="str">
        <f>"15100-647208"</f>
        <v>15100-647208</v>
      </c>
      <c r="B6426" s="50" t="str">
        <f>"97/06/04"</f>
        <v>97/06/04</v>
      </c>
      <c r="C6426" s="50" t="s">
        <v>14314</v>
      </c>
      <c r="D6426" s="12" t="s">
        <v>14102</v>
      </c>
      <c r="E6426" s="12" t="s">
        <v>13333</v>
      </c>
      <c r="F6426" s="49">
        <v>134550</v>
      </c>
      <c r="G6426" s="77" t="s">
        <v>6454</v>
      </c>
      <c r="H6426" s="14" t="str">
        <f t="shared" si="246"/>
        <v>true</v>
      </c>
      <c r="I6426" s="14" t="s">
        <v>2458</v>
      </c>
      <c r="J6426" s="33" t="e">
        <f>VLOOKUP(C6426,شرکتها!A:B,2,FALSE)</f>
        <v>#N/A</v>
      </c>
      <c r="K6426" s="33" t="s">
        <v>14433</v>
      </c>
      <c r="L6426" s="53" t="str">
        <f t="shared" si="248"/>
        <v>پاکستان</v>
      </c>
      <c r="M6426" s="68" t="s">
        <v>9999</v>
      </c>
      <c r="N6426" s="53" t="str">
        <f>"پيشين"</f>
        <v>پيشين</v>
      </c>
      <c r="O6426" s="53">
        <v>55301</v>
      </c>
      <c r="P6426" s="198" t="s">
        <v>14315</v>
      </c>
    </row>
    <row r="6427" spans="1:16" ht="18.75" hidden="1">
      <c r="A6427" s="50" t="str">
        <f>"15100-648070"</f>
        <v>15100-648070</v>
      </c>
      <c r="B6427" s="50" t="str">
        <f>"97/06/05"</f>
        <v>97/06/05</v>
      </c>
      <c r="C6427" s="50" t="s">
        <v>14254</v>
      </c>
      <c r="D6427" s="12" t="s">
        <v>13969</v>
      </c>
      <c r="E6427" s="12" t="s">
        <v>13333</v>
      </c>
      <c r="F6427" s="49">
        <v>149660</v>
      </c>
      <c r="G6427" s="77" t="s">
        <v>11829</v>
      </c>
      <c r="H6427" s="14" t="str">
        <f t="shared" si="246"/>
        <v>true</v>
      </c>
      <c r="I6427" s="14" t="s">
        <v>2458</v>
      </c>
      <c r="J6427" s="33" t="s">
        <v>7110</v>
      </c>
      <c r="K6427" s="33" t="s">
        <v>14433</v>
      </c>
      <c r="L6427" s="53" t="str">
        <f t="shared" si="248"/>
        <v>پاکستان</v>
      </c>
      <c r="M6427" s="68" t="s">
        <v>8913</v>
      </c>
      <c r="N6427" s="53" t="str">
        <f>"تفتان (ميرجاوه)"</f>
        <v>تفتان (ميرجاوه)</v>
      </c>
      <c r="O6427" s="53">
        <v>55200</v>
      </c>
      <c r="P6427" s="198" t="s">
        <v>13664</v>
      </c>
    </row>
    <row r="6428" spans="1:16" ht="18.75">
      <c r="A6428" s="50" t="str">
        <f>"15100-647250"</f>
        <v>15100-647250</v>
      </c>
      <c r="B6428" s="50" t="str">
        <f>"97/06/04"</f>
        <v>97/06/04</v>
      </c>
      <c r="C6428" s="50" t="s">
        <v>14314</v>
      </c>
      <c r="D6428" s="12" t="s">
        <v>14102</v>
      </c>
      <c r="E6428" s="12" t="s">
        <v>13333</v>
      </c>
      <c r="F6428" s="49">
        <v>134640</v>
      </c>
      <c r="G6428" s="77" t="s">
        <v>6454</v>
      </c>
      <c r="H6428" s="14" t="str">
        <f t="shared" si="246"/>
        <v>true</v>
      </c>
      <c r="I6428" s="14" t="s">
        <v>2458</v>
      </c>
      <c r="J6428" s="33" t="e">
        <f>VLOOKUP(C6428,شرکتها!A:B,2,FALSE)</f>
        <v>#N/A</v>
      </c>
      <c r="K6428" s="33" t="s">
        <v>14433</v>
      </c>
      <c r="L6428" s="53" t="str">
        <f t="shared" si="248"/>
        <v>پاکستان</v>
      </c>
      <c r="M6428" s="68" t="s">
        <v>9999</v>
      </c>
      <c r="N6428" s="53" t="str">
        <f>"تفتان (ميرجاوه)"</f>
        <v>تفتان (ميرجاوه)</v>
      </c>
      <c r="O6428" s="53">
        <v>55200</v>
      </c>
      <c r="P6428" s="198" t="s">
        <v>14315</v>
      </c>
    </row>
    <row r="6429" spans="1:16" ht="18.75">
      <c r="A6429" s="50" t="str">
        <f>"15100-647250"</f>
        <v>15100-647250</v>
      </c>
      <c r="B6429" s="50" t="str">
        <f>"97/06/04"</f>
        <v>97/06/04</v>
      </c>
      <c r="C6429" s="50" t="s">
        <v>14350</v>
      </c>
      <c r="D6429" s="12" t="s">
        <v>14351</v>
      </c>
      <c r="E6429" s="12" t="s">
        <v>13333</v>
      </c>
      <c r="F6429" s="49">
        <v>402510</v>
      </c>
      <c r="G6429" s="77" t="s">
        <v>6454</v>
      </c>
      <c r="H6429" s="14" t="str">
        <f t="shared" si="246"/>
        <v>true</v>
      </c>
      <c r="I6429" s="14" t="s">
        <v>2458</v>
      </c>
      <c r="J6429" s="33" t="e">
        <f>VLOOKUP(C6429,شرکتها!A:B,2,FALSE)</f>
        <v>#N/A</v>
      </c>
      <c r="K6429" s="33" t="s">
        <v>14433</v>
      </c>
      <c r="L6429" s="53" t="str">
        <f t="shared" si="248"/>
        <v>پاکستان</v>
      </c>
      <c r="M6429" s="68" t="s">
        <v>9999</v>
      </c>
      <c r="N6429" s="53" t="str">
        <f>"تفتان (ميرجاوه)"</f>
        <v>تفتان (ميرجاوه)</v>
      </c>
      <c r="O6429" s="53">
        <v>55200</v>
      </c>
      <c r="P6429" s="198" t="s">
        <v>14315</v>
      </c>
    </row>
    <row r="6430" spans="1:16" ht="18.75">
      <c r="A6430" s="50" t="str">
        <f>"15100-648109"</f>
        <v>15100-648109</v>
      </c>
      <c r="B6430" s="50" t="str">
        <f>"97/06/05"</f>
        <v>97/06/05</v>
      </c>
      <c r="C6430" s="50" t="s">
        <v>14350</v>
      </c>
      <c r="D6430" s="12" t="s">
        <v>14351</v>
      </c>
      <c r="E6430" s="12" t="s">
        <v>13333</v>
      </c>
      <c r="F6430" s="49">
        <v>122520</v>
      </c>
      <c r="G6430" s="77" t="s">
        <v>6454</v>
      </c>
      <c r="H6430" s="14" t="str">
        <f t="shared" si="246"/>
        <v>true</v>
      </c>
      <c r="I6430" s="14" t="s">
        <v>2458</v>
      </c>
      <c r="J6430" s="33" t="e">
        <f>VLOOKUP(C6430,شرکتها!A:B,2,FALSE)</f>
        <v>#N/A</v>
      </c>
      <c r="K6430" s="33" t="s">
        <v>14433</v>
      </c>
      <c r="L6430" s="53" t="str">
        <f t="shared" si="248"/>
        <v>پاکستان</v>
      </c>
      <c r="M6430" s="68" t="s">
        <v>9999</v>
      </c>
      <c r="N6430" s="53" t="str">
        <f>"تفتان (ميرجاوه)"</f>
        <v>تفتان (ميرجاوه)</v>
      </c>
      <c r="O6430" s="53">
        <v>55200</v>
      </c>
      <c r="P6430" s="198" t="s">
        <v>14315</v>
      </c>
    </row>
    <row r="6431" spans="1:16" ht="18.75" hidden="1">
      <c r="A6431" s="50" t="str">
        <f>"15100-645980"</f>
        <v>15100-645980</v>
      </c>
      <c r="B6431" s="50" t="str">
        <f>"97/06/01"</f>
        <v>97/06/01</v>
      </c>
      <c r="C6431" s="50" t="s">
        <v>14077</v>
      </c>
      <c r="D6431" s="12" t="s">
        <v>13969</v>
      </c>
      <c r="E6431" s="12" t="s">
        <v>13333</v>
      </c>
      <c r="F6431" s="49">
        <v>74980</v>
      </c>
      <c r="G6431" s="77" t="s">
        <v>13714</v>
      </c>
      <c r="H6431" s="14" t="str">
        <f t="shared" si="246"/>
        <v>true</v>
      </c>
      <c r="I6431" s="14" t="s">
        <v>2458</v>
      </c>
      <c r="J6431" s="33" t="e">
        <f>VLOOKUP(C6431,شرکتها!A:B,2,FALSE)</f>
        <v>#N/A</v>
      </c>
      <c r="K6431" s="33" t="s">
        <v>14433</v>
      </c>
      <c r="L6431" s="53" t="str">
        <f t="shared" si="248"/>
        <v>پاکستان</v>
      </c>
      <c r="M6431" s="68" t="s">
        <v>8913</v>
      </c>
      <c r="N6431" s="53" t="str">
        <f>"پيشين"</f>
        <v>پيشين</v>
      </c>
      <c r="O6431" s="53">
        <v>55301</v>
      </c>
      <c r="P6431" s="198" t="s">
        <v>14078</v>
      </c>
    </row>
    <row r="6432" spans="1:16" ht="18.75">
      <c r="A6432" s="50" t="str">
        <f>"15100-646499"</f>
        <v>15100-646499</v>
      </c>
      <c r="B6432" s="50" t="str">
        <f>"97/06/03"</f>
        <v>97/06/03</v>
      </c>
      <c r="C6432" s="50" t="s">
        <v>14314</v>
      </c>
      <c r="D6432" s="12" t="s">
        <v>14102</v>
      </c>
      <c r="E6432" s="12" t="s">
        <v>13333</v>
      </c>
      <c r="F6432" s="49">
        <v>340910</v>
      </c>
      <c r="G6432" s="77" t="s">
        <v>6454</v>
      </c>
      <c r="H6432" s="14" t="str">
        <f t="shared" si="246"/>
        <v>true</v>
      </c>
      <c r="I6432" s="14" t="s">
        <v>2458</v>
      </c>
      <c r="J6432" s="33" t="e">
        <f>VLOOKUP(C6432,شرکتها!A:B,2,FALSE)</f>
        <v>#N/A</v>
      </c>
      <c r="K6432" s="33" t="s">
        <v>14433</v>
      </c>
      <c r="L6432" s="53" t="str">
        <f t="shared" si="248"/>
        <v>پاکستان</v>
      </c>
      <c r="M6432" s="68" t="s">
        <v>9999</v>
      </c>
      <c r="N6432" s="53" t="str">
        <f>"تفتان (ميرجاوه)"</f>
        <v>تفتان (ميرجاوه)</v>
      </c>
      <c r="O6432" s="53">
        <v>55200</v>
      </c>
      <c r="P6432" s="198" t="s">
        <v>14315</v>
      </c>
    </row>
    <row r="6433" spans="1:16" ht="18.75" hidden="1">
      <c r="A6433" s="50" t="str">
        <f>"15100-645992"</f>
        <v>15100-645992</v>
      </c>
      <c r="B6433" s="50" t="str">
        <f>"97/06/01"</f>
        <v>97/06/01</v>
      </c>
      <c r="C6433" s="50" t="s">
        <v>14110</v>
      </c>
      <c r="D6433" s="12" t="s">
        <v>14111</v>
      </c>
      <c r="E6433" s="12" t="s">
        <v>13333</v>
      </c>
      <c r="F6433" s="49">
        <v>98800</v>
      </c>
      <c r="G6433" s="77" t="s">
        <v>13495</v>
      </c>
      <c r="H6433" s="14" t="str">
        <f t="shared" si="246"/>
        <v>true</v>
      </c>
      <c r="I6433" s="14" t="s">
        <v>2458</v>
      </c>
      <c r="J6433" s="33" t="s">
        <v>7110</v>
      </c>
      <c r="K6433" s="33" t="s">
        <v>14433</v>
      </c>
      <c r="L6433" s="53" t="str">
        <f t="shared" si="248"/>
        <v>پاکستان</v>
      </c>
      <c r="M6433" s="68" t="s">
        <v>9999</v>
      </c>
      <c r="N6433" s="53" t="str">
        <f>"تفتان (ميرجاوه)"</f>
        <v>تفتان (ميرجاوه)</v>
      </c>
      <c r="O6433" s="53">
        <v>55200</v>
      </c>
      <c r="P6433" s="198" t="s">
        <v>13625</v>
      </c>
    </row>
    <row r="6434" spans="1:16" ht="18.75" hidden="1">
      <c r="A6434" s="50" t="str">
        <f>"15100-648899"</f>
        <v>15100-648899</v>
      </c>
      <c r="B6434" s="50" t="str">
        <f>"97/06/06"</f>
        <v>97/06/06</v>
      </c>
      <c r="C6434" s="50" t="s">
        <v>14110</v>
      </c>
      <c r="D6434" s="12" t="s">
        <v>14111</v>
      </c>
      <c r="E6434" s="12" t="s">
        <v>13333</v>
      </c>
      <c r="F6434" s="49">
        <v>144440</v>
      </c>
      <c r="G6434" s="77" t="s">
        <v>13495</v>
      </c>
      <c r="H6434" s="14" t="str">
        <f t="shared" si="246"/>
        <v>true</v>
      </c>
      <c r="I6434" s="14" t="s">
        <v>2458</v>
      </c>
      <c r="J6434" s="33" t="s">
        <v>7110</v>
      </c>
      <c r="K6434" s="33" t="s">
        <v>14433</v>
      </c>
      <c r="L6434" s="53" t="str">
        <f>" افغانستان"</f>
        <v xml:space="preserve"> افغانستان</v>
      </c>
      <c r="M6434" s="68" t="s">
        <v>9999</v>
      </c>
      <c r="N6434" s="53" t="str">
        <f>"ميلک"</f>
        <v>ميلک</v>
      </c>
      <c r="O6434" s="53">
        <v>55105</v>
      </c>
      <c r="P6434" s="198" t="s">
        <v>13625</v>
      </c>
    </row>
    <row r="6435" spans="1:16" ht="18.75" hidden="1">
      <c r="A6435" s="50" t="str">
        <f>"15100-645986"</f>
        <v>15100-645986</v>
      </c>
      <c r="B6435" s="50" t="str">
        <f>"97/06/01"</f>
        <v>97/06/01</v>
      </c>
      <c r="C6435" s="50" t="s">
        <v>14026</v>
      </c>
      <c r="D6435" s="12" t="s">
        <v>13957</v>
      </c>
      <c r="E6435" s="12" t="s">
        <v>13333</v>
      </c>
      <c r="F6435" s="49">
        <v>185190</v>
      </c>
      <c r="G6435" s="77" t="s">
        <v>9897</v>
      </c>
      <c r="H6435" s="14" t="str">
        <f t="shared" si="246"/>
        <v>true</v>
      </c>
      <c r="I6435" s="14" t="s">
        <v>2458</v>
      </c>
      <c r="J6435" s="33" t="s">
        <v>7110</v>
      </c>
      <c r="K6435" s="33" t="s">
        <v>14433</v>
      </c>
      <c r="L6435" s="53" t="str">
        <f>"پاکستان"</f>
        <v>پاکستان</v>
      </c>
      <c r="M6435" s="68" t="s">
        <v>9999</v>
      </c>
      <c r="N6435" s="53" t="str">
        <f>"پيشين"</f>
        <v>پيشين</v>
      </c>
      <c r="O6435" s="53">
        <v>55301</v>
      </c>
      <c r="P6435" s="198" t="s">
        <v>14027</v>
      </c>
    </row>
    <row r="6436" spans="1:16" ht="18.75" hidden="1">
      <c r="A6436" s="50" t="str">
        <f>"15100-646493"</f>
        <v>15100-646493</v>
      </c>
      <c r="B6436" s="50" t="str">
        <f>"97/06/03"</f>
        <v>97/06/03</v>
      </c>
      <c r="C6436" s="50" t="s">
        <v>14110</v>
      </c>
      <c r="D6436" s="12" t="s">
        <v>14111</v>
      </c>
      <c r="E6436" s="12" t="s">
        <v>13333</v>
      </c>
      <c r="F6436" s="49">
        <v>117000</v>
      </c>
      <c r="G6436" s="77" t="s">
        <v>13495</v>
      </c>
      <c r="H6436" s="14" t="str">
        <f t="shared" si="246"/>
        <v>true</v>
      </c>
      <c r="I6436" s="14" t="s">
        <v>2458</v>
      </c>
      <c r="J6436" s="33" t="s">
        <v>7110</v>
      </c>
      <c r="K6436" s="33" t="s">
        <v>14433</v>
      </c>
      <c r="L6436" s="53" t="str">
        <f>"پاکستان"</f>
        <v>پاکستان</v>
      </c>
      <c r="M6436" s="68" t="s">
        <v>9999</v>
      </c>
      <c r="N6436" s="53" t="str">
        <f>"پيشين"</f>
        <v>پيشين</v>
      </c>
      <c r="O6436" s="53">
        <v>55301</v>
      </c>
      <c r="P6436" s="198" t="s">
        <v>13625</v>
      </c>
    </row>
  </sheetData>
  <sheetProtection autoFilter="0"/>
  <autoFilter ref="A1:Q6436">
    <filterColumn colId="6">
      <filters>
        <filter val="DAXON PETROLEUM"/>
      </filters>
    </filterColumn>
    <filterColumn colId="15">
      <filters>
        <filter val="1397561055001"/>
        <filter val="1397570122001"/>
        <filter val="1397575282001"/>
      </filters>
    </filterColumn>
  </autoFilter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1790"/>
  <sheetViews>
    <sheetView rightToLeft="1" zoomScale="85" zoomScaleNormal="85" workbookViewId="0">
      <selection activeCell="E25" sqref="E25"/>
    </sheetView>
  </sheetViews>
  <sheetFormatPr defaultRowHeight="14.25"/>
  <cols>
    <col min="1" max="1" width="16.75" customWidth="1"/>
    <col min="2" max="2" width="19.375" bestFit="1" customWidth="1"/>
    <col min="3" max="3" width="12.375" bestFit="1" customWidth="1"/>
    <col min="6" max="6" width="9.875" bestFit="1" customWidth="1"/>
    <col min="9" max="9" width="14.375" bestFit="1" customWidth="1"/>
    <col min="10" max="10" width="54.25" bestFit="1" customWidth="1"/>
    <col min="11" max="11" width="20.875" bestFit="1" customWidth="1"/>
    <col min="12" max="12" width="20.875" style="1" customWidth="1"/>
    <col min="13" max="13" width="12.25" bestFit="1" customWidth="1"/>
  </cols>
  <sheetData>
    <row r="1" spans="1:14">
      <c r="A1" s="2"/>
      <c r="B1" s="1" t="s">
        <v>2340</v>
      </c>
      <c r="I1" s="110"/>
      <c r="J1" s="110"/>
      <c r="K1" s="111" t="s">
        <v>8760</v>
      </c>
      <c r="L1" s="111"/>
      <c r="M1" s="115" t="s">
        <v>2</v>
      </c>
      <c r="N1" s="115" t="s">
        <v>5603</v>
      </c>
    </row>
    <row r="2" spans="1:14">
      <c r="A2" s="2" t="s">
        <v>1905</v>
      </c>
      <c r="B2" s="1" t="s">
        <v>2340</v>
      </c>
      <c r="I2" s="109"/>
      <c r="J2" s="109"/>
      <c r="K2" s="109"/>
      <c r="L2" s="109" t="str">
        <f>MID(M2,1,2)&amp;"-"&amp;M2</f>
        <v>96-966200349</v>
      </c>
      <c r="M2" s="114">
        <v>966200349</v>
      </c>
      <c r="N2" s="114" t="s">
        <v>8696</v>
      </c>
    </row>
    <row r="3" spans="1:14">
      <c r="A3" s="2" t="s">
        <v>1936</v>
      </c>
      <c r="B3" s="1" t="s">
        <v>2340</v>
      </c>
      <c r="I3" s="109"/>
      <c r="J3" s="109"/>
      <c r="K3" s="109"/>
      <c r="L3" s="109" t="str">
        <f t="shared" ref="L3:L66" si="0">MID(M3,1,2)&amp;"-"&amp;M3</f>
        <v>96-966200230</v>
      </c>
      <c r="M3" s="114">
        <v>966200230</v>
      </c>
      <c r="N3" s="114" t="s">
        <v>7116</v>
      </c>
    </row>
    <row r="4" spans="1:14">
      <c r="A4" s="2" t="s">
        <v>1906</v>
      </c>
      <c r="B4" s="1" t="s">
        <v>2340</v>
      </c>
      <c r="I4" s="109"/>
      <c r="J4" s="109"/>
      <c r="K4" s="109"/>
      <c r="L4" s="109" t="str">
        <f t="shared" si="0"/>
        <v>96-966200331</v>
      </c>
      <c r="M4" s="114">
        <v>966200331</v>
      </c>
      <c r="N4" s="114" t="s">
        <v>8697</v>
      </c>
    </row>
    <row r="5" spans="1:14">
      <c r="A5" s="2" t="s">
        <v>2133</v>
      </c>
      <c r="B5" s="1" t="s">
        <v>2340</v>
      </c>
      <c r="I5" s="109"/>
      <c r="J5" s="109"/>
      <c r="K5" s="109"/>
      <c r="L5" s="109" t="str">
        <f t="shared" si="0"/>
        <v>95-954100030</v>
      </c>
      <c r="M5" s="114">
        <v>954100030</v>
      </c>
      <c r="N5" s="114" t="s">
        <v>5749</v>
      </c>
    </row>
    <row r="6" spans="1:14">
      <c r="A6" s="4" t="s">
        <v>1902</v>
      </c>
      <c r="B6" s="1" t="s">
        <v>2340</v>
      </c>
      <c r="I6" s="109"/>
      <c r="J6" s="109"/>
      <c r="K6" s="109"/>
      <c r="L6" s="109" t="str">
        <f t="shared" si="0"/>
        <v>96-961500578</v>
      </c>
      <c r="M6" s="114">
        <v>961500578</v>
      </c>
      <c r="N6" s="114" t="s">
        <v>7118</v>
      </c>
    </row>
    <row r="7" spans="1:14">
      <c r="A7" s="4" t="s">
        <v>1937</v>
      </c>
      <c r="B7" s="1" t="s">
        <v>2340</v>
      </c>
      <c r="I7" s="109"/>
      <c r="J7" s="109"/>
      <c r="K7" s="109"/>
      <c r="L7" s="109" t="str">
        <f t="shared" si="0"/>
        <v>96-966200231</v>
      </c>
      <c r="M7" s="114">
        <v>966200231</v>
      </c>
      <c r="N7" s="114" t="s">
        <v>7116</v>
      </c>
    </row>
    <row r="8" spans="1:14">
      <c r="A8" s="4" t="s">
        <v>1904</v>
      </c>
      <c r="B8" s="1" t="s">
        <v>2340</v>
      </c>
      <c r="I8" s="109"/>
      <c r="J8" s="109"/>
      <c r="K8" s="109"/>
      <c r="L8" s="109" t="str">
        <f t="shared" si="0"/>
        <v>96-966200321</v>
      </c>
      <c r="M8" s="114">
        <v>966200321</v>
      </c>
      <c r="N8" s="114" t="s">
        <v>8697</v>
      </c>
    </row>
    <row r="9" spans="1:14">
      <c r="A9" s="4" t="s">
        <v>2013</v>
      </c>
      <c r="B9" s="1" t="s">
        <v>2340</v>
      </c>
      <c r="I9" s="109"/>
      <c r="J9" s="109"/>
      <c r="K9" s="109"/>
      <c r="L9" s="109" t="str">
        <f t="shared" si="0"/>
        <v>96-966200352</v>
      </c>
      <c r="M9" s="114">
        <v>966200352</v>
      </c>
      <c r="N9" s="114" t="s">
        <v>8696</v>
      </c>
    </row>
    <row r="10" spans="1:14">
      <c r="A10" s="4" t="s">
        <v>2309</v>
      </c>
      <c r="B10" s="1" t="s">
        <v>2340</v>
      </c>
      <c r="I10" s="109"/>
      <c r="J10" s="109"/>
      <c r="K10" s="109"/>
      <c r="L10" s="109" t="str">
        <f t="shared" si="0"/>
        <v>96-964100062</v>
      </c>
      <c r="M10" s="114">
        <v>964100062</v>
      </c>
      <c r="N10" s="114" t="s">
        <v>7124</v>
      </c>
    </row>
    <row r="11" spans="1:14">
      <c r="A11" s="4" t="s">
        <v>2049</v>
      </c>
      <c r="B11" s="1" t="s">
        <v>2340</v>
      </c>
      <c r="I11" s="109"/>
      <c r="J11" s="109"/>
      <c r="K11" s="109"/>
      <c r="L11" s="109" t="str">
        <f t="shared" si="0"/>
        <v>95-952200032</v>
      </c>
      <c r="M11" s="114">
        <v>952200032</v>
      </c>
      <c r="N11" s="114" t="s">
        <v>7126</v>
      </c>
    </row>
    <row r="12" spans="1:14">
      <c r="A12" s="4" t="s">
        <v>2014</v>
      </c>
      <c r="B12" s="1" t="s">
        <v>2340</v>
      </c>
      <c r="I12" s="109"/>
      <c r="J12" s="109"/>
      <c r="K12" s="109"/>
      <c r="L12" s="109" t="str">
        <f t="shared" si="0"/>
        <v>95-952200035</v>
      </c>
      <c r="M12" s="114">
        <v>952200035</v>
      </c>
      <c r="N12" s="114" t="s">
        <v>7126</v>
      </c>
    </row>
    <row r="13" spans="1:14">
      <c r="A13" s="2" t="s">
        <v>2132</v>
      </c>
      <c r="B13" s="1" t="s">
        <v>2340</v>
      </c>
      <c r="I13" s="109"/>
      <c r="J13" s="109"/>
      <c r="K13" s="109"/>
      <c r="L13" s="109" t="str">
        <f t="shared" si="0"/>
        <v>95-951500159</v>
      </c>
      <c r="M13" s="114">
        <v>951500159</v>
      </c>
      <c r="N13" s="114" t="s">
        <v>5618</v>
      </c>
    </row>
    <row r="14" spans="1:14">
      <c r="A14" s="2" t="s">
        <v>2045</v>
      </c>
      <c r="B14" s="1" t="s">
        <v>2340</v>
      </c>
      <c r="I14" s="109"/>
      <c r="J14" s="109"/>
      <c r="K14" s="109"/>
      <c r="L14" s="109" t="str">
        <f t="shared" si="0"/>
        <v>96-961500579</v>
      </c>
      <c r="M14" s="114">
        <v>961500579</v>
      </c>
      <c r="N14" s="114" t="s">
        <v>8698</v>
      </c>
    </row>
    <row r="15" spans="1:14">
      <c r="A15" s="2" t="s">
        <v>2046</v>
      </c>
      <c r="B15" s="1" t="s">
        <v>2340</v>
      </c>
      <c r="I15" s="109"/>
      <c r="J15" s="109"/>
      <c r="K15" s="109"/>
      <c r="L15" s="109" t="str">
        <f t="shared" si="0"/>
        <v>96-966200299</v>
      </c>
      <c r="M15" s="114">
        <v>966200299</v>
      </c>
      <c r="N15" s="114" t="s">
        <v>7119</v>
      </c>
    </row>
    <row r="16" spans="1:14">
      <c r="A16" s="2" t="s">
        <v>2235</v>
      </c>
      <c r="B16" s="1" t="s">
        <v>2340</v>
      </c>
      <c r="I16" s="109"/>
      <c r="J16" s="109"/>
      <c r="K16" s="109"/>
      <c r="L16" s="109" t="str">
        <f t="shared" si="0"/>
        <v>96-962000034</v>
      </c>
      <c r="M16" s="114">
        <v>962000034</v>
      </c>
      <c r="N16" s="114" t="s">
        <v>7112</v>
      </c>
    </row>
    <row r="17" spans="1:14">
      <c r="A17" s="2" t="s">
        <v>1900</v>
      </c>
      <c r="B17" s="1" t="s">
        <v>2340</v>
      </c>
      <c r="I17" s="109"/>
      <c r="J17" s="109"/>
      <c r="K17" s="109"/>
      <c r="L17" s="109" t="str">
        <f t="shared" si="0"/>
        <v>96-961500581</v>
      </c>
      <c r="M17" s="114">
        <v>961500581</v>
      </c>
      <c r="N17" s="114" t="s">
        <v>7118</v>
      </c>
    </row>
    <row r="18" spans="1:14">
      <c r="A18" s="2" t="s">
        <v>2038</v>
      </c>
      <c r="B18" s="1" t="s">
        <v>2340</v>
      </c>
      <c r="I18" s="109"/>
      <c r="J18" s="109"/>
      <c r="K18" s="109"/>
      <c r="L18" s="109" t="str">
        <f t="shared" si="0"/>
        <v>96-962000130</v>
      </c>
      <c r="M18" s="114">
        <v>962000130</v>
      </c>
      <c r="N18" s="114" t="s">
        <v>7112</v>
      </c>
    </row>
    <row r="19" spans="1:14">
      <c r="A19" s="2" t="s">
        <v>2047</v>
      </c>
      <c r="B19" s="1" t="s">
        <v>2340</v>
      </c>
      <c r="I19" s="109"/>
      <c r="J19" s="109"/>
      <c r="K19" s="109"/>
      <c r="L19" s="109" t="str">
        <f t="shared" si="0"/>
        <v>96-966200324</v>
      </c>
      <c r="M19" s="114">
        <v>966200324</v>
      </c>
      <c r="N19" s="114" t="s">
        <v>8697</v>
      </c>
    </row>
    <row r="20" spans="1:14">
      <c r="A20" s="2" t="s">
        <v>2110</v>
      </c>
      <c r="B20" s="1" t="s">
        <v>2340</v>
      </c>
      <c r="I20" s="109"/>
      <c r="J20" s="109"/>
      <c r="K20" s="109"/>
      <c r="L20" s="109" t="str">
        <f t="shared" si="0"/>
        <v>95-951500475</v>
      </c>
      <c r="M20" s="114">
        <v>951500475</v>
      </c>
      <c r="N20" s="114" t="s">
        <v>5710</v>
      </c>
    </row>
    <row r="21" spans="1:14">
      <c r="A21" s="2" t="s">
        <v>2142</v>
      </c>
      <c r="B21" s="1" t="s">
        <v>2340</v>
      </c>
      <c r="I21" s="109"/>
      <c r="J21" s="109"/>
      <c r="K21" s="109"/>
      <c r="L21" s="109" t="str">
        <f t="shared" si="0"/>
        <v>96-961500580</v>
      </c>
      <c r="M21" s="114">
        <v>961500580</v>
      </c>
      <c r="N21" s="114" t="s">
        <v>7118</v>
      </c>
    </row>
    <row r="22" spans="1:14">
      <c r="A22" s="2" t="s">
        <v>2111</v>
      </c>
      <c r="B22" s="1" t="s">
        <v>2340</v>
      </c>
      <c r="I22" s="109"/>
      <c r="J22" s="109"/>
      <c r="K22" s="109"/>
      <c r="L22" s="109" t="str">
        <f t="shared" si="0"/>
        <v>96-961200080</v>
      </c>
      <c r="M22" s="114">
        <v>961200080</v>
      </c>
      <c r="N22" s="114" t="s">
        <v>8699</v>
      </c>
    </row>
    <row r="23" spans="1:14">
      <c r="A23" s="3" t="s">
        <v>2164</v>
      </c>
      <c r="B23" s="1" t="s">
        <v>2340</v>
      </c>
      <c r="I23" s="109"/>
      <c r="J23" s="109"/>
      <c r="K23" s="109"/>
      <c r="L23" s="109" t="str">
        <f t="shared" si="0"/>
        <v>96-962000141</v>
      </c>
      <c r="M23" s="114">
        <v>962000141</v>
      </c>
      <c r="N23" s="114" t="s">
        <v>7112</v>
      </c>
    </row>
    <row r="24" spans="1:14">
      <c r="A24" s="2" t="s">
        <v>2145</v>
      </c>
      <c r="B24" s="1" t="s">
        <v>2340</v>
      </c>
      <c r="I24" s="109"/>
      <c r="J24" s="109"/>
      <c r="K24" s="109"/>
      <c r="L24" s="109" t="str">
        <f t="shared" si="0"/>
        <v>96-966200310</v>
      </c>
      <c r="M24" s="114">
        <v>966200310</v>
      </c>
      <c r="N24" s="114" t="s">
        <v>8700</v>
      </c>
    </row>
    <row r="25" spans="1:14">
      <c r="A25" s="2" t="s">
        <v>2147</v>
      </c>
      <c r="B25" s="1" t="s">
        <v>2340</v>
      </c>
      <c r="I25" s="109"/>
      <c r="J25" s="109"/>
      <c r="K25" s="109"/>
      <c r="L25" s="109" t="str">
        <f t="shared" si="0"/>
        <v>96-961100083</v>
      </c>
      <c r="M25" s="114">
        <v>961100083</v>
      </c>
      <c r="N25" s="114" t="s">
        <v>8701</v>
      </c>
    </row>
    <row r="26" spans="1:14">
      <c r="A26" s="3" t="s">
        <v>2121</v>
      </c>
      <c r="B26" s="1" t="s">
        <v>2340</v>
      </c>
      <c r="I26" s="109"/>
      <c r="J26" s="109"/>
      <c r="K26" s="109"/>
      <c r="L26" s="109" t="str">
        <f t="shared" si="0"/>
        <v>96-966200261</v>
      </c>
      <c r="M26" s="114">
        <v>966200261</v>
      </c>
      <c r="N26" s="114" t="s">
        <v>7113</v>
      </c>
    </row>
    <row r="27" spans="1:14">
      <c r="A27" s="3" t="s">
        <v>1901</v>
      </c>
      <c r="B27" s="1" t="s">
        <v>2340</v>
      </c>
      <c r="I27" s="109"/>
      <c r="J27" s="109"/>
      <c r="K27" s="109"/>
      <c r="L27" s="109" t="str">
        <f t="shared" si="0"/>
        <v>96-964300020</v>
      </c>
      <c r="M27" s="114">
        <v>964300020</v>
      </c>
      <c r="N27" s="114" t="s">
        <v>8702</v>
      </c>
    </row>
    <row r="28" spans="1:14">
      <c r="A28" s="3" t="s">
        <v>2112</v>
      </c>
      <c r="B28" s="1" t="s">
        <v>2340</v>
      </c>
      <c r="I28" s="109"/>
      <c r="J28" s="109"/>
      <c r="K28" s="109"/>
      <c r="L28" s="109" t="str">
        <f t="shared" si="0"/>
        <v>96-964300021</v>
      </c>
      <c r="M28" s="114">
        <v>964300021</v>
      </c>
      <c r="N28" s="114" t="s">
        <v>8702</v>
      </c>
    </row>
    <row r="29" spans="1:14">
      <c r="A29" s="2" t="s">
        <v>2229</v>
      </c>
      <c r="B29" s="1" t="s">
        <v>2340</v>
      </c>
      <c r="I29" s="109"/>
      <c r="J29" s="109"/>
      <c r="K29" s="109"/>
      <c r="L29" s="109" t="str">
        <f t="shared" si="0"/>
        <v>95-951500301</v>
      </c>
      <c r="M29" s="114">
        <v>951500301</v>
      </c>
      <c r="N29" s="114" t="s">
        <v>5659</v>
      </c>
    </row>
    <row r="30" spans="1:14">
      <c r="A30" s="3" t="s">
        <v>2227</v>
      </c>
      <c r="B30" s="1" t="s">
        <v>2340</v>
      </c>
      <c r="I30" s="109"/>
      <c r="J30" s="109"/>
      <c r="K30" s="109"/>
      <c r="L30" s="109" t="str">
        <f t="shared" si="0"/>
        <v>96-961200072</v>
      </c>
      <c r="M30" s="114">
        <v>961200072</v>
      </c>
      <c r="N30" s="114" t="s">
        <v>8703</v>
      </c>
    </row>
    <row r="31" spans="1:14">
      <c r="A31" s="2" t="s">
        <v>2158</v>
      </c>
      <c r="B31" s="1" t="s">
        <v>2340</v>
      </c>
      <c r="I31" s="109"/>
      <c r="J31" s="109"/>
      <c r="K31" s="109"/>
      <c r="L31" s="109" t="str">
        <f t="shared" si="0"/>
        <v>95-952000350</v>
      </c>
      <c r="M31" s="114">
        <v>952000350</v>
      </c>
      <c r="N31" s="114" t="s">
        <v>7122</v>
      </c>
    </row>
    <row r="32" spans="1:14">
      <c r="A32" s="2" t="s">
        <v>2166</v>
      </c>
      <c r="B32" s="1" t="s">
        <v>2340</v>
      </c>
      <c r="I32" s="109"/>
      <c r="J32" s="109"/>
      <c r="K32" s="109"/>
      <c r="L32" s="109" t="str">
        <f t="shared" si="0"/>
        <v>96-966200350</v>
      </c>
      <c r="M32" s="114">
        <v>966200350</v>
      </c>
      <c r="N32" s="114" t="s">
        <v>8696</v>
      </c>
    </row>
    <row r="33" spans="1:14">
      <c r="A33" s="2" t="s">
        <v>2310</v>
      </c>
      <c r="B33" s="1" t="s">
        <v>2340</v>
      </c>
      <c r="I33" s="109"/>
      <c r="J33" s="109"/>
      <c r="K33" s="109"/>
      <c r="L33" s="109" t="str">
        <f t="shared" si="0"/>
        <v>95-954100020</v>
      </c>
      <c r="M33" s="114">
        <v>954100020</v>
      </c>
      <c r="N33" s="114" t="s">
        <v>5691</v>
      </c>
    </row>
    <row r="34" spans="1:14">
      <c r="A34" s="3" t="s">
        <v>2173</v>
      </c>
      <c r="B34" s="1" t="s">
        <v>2340</v>
      </c>
      <c r="I34" s="109"/>
      <c r="J34" s="109"/>
      <c r="K34" s="109"/>
      <c r="L34" s="109" t="str">
        <f t="shared" si="0"/>
        <v>96-964300022</v>
      </c>
      <c r="M34" s="114">
        <v>964300022</v>
      </c>
      <c r="N34" s="114" t="s">
        <v>8702</v>
      </c>
    </row>
    <row r="35" spans="1:14">
      <c r="A35" s="3" t="s">
        <v>2254</v>
      </c>
      <c r="B35" s="1" t="s">
        <v>2340</v>
      </c>
      <c r="I35" s="109"/>
      <c r="J35" s="109"/>
      <c r="K35" s="109"/>
      <c r="L35" s="109" t="str">
        <f t="shared" si="0"/>
        <v>95-952200034</v>
      </c>
      <c r="M35" s="114">
        <v>952200034</v>
      </c>
      <c r="N35" s="114" t="s">
        <v>7126</v>
      </c>
    </row>
    <row r="36" spans="1:14">
      <c r="A36" s="2" t="s">
        <v>2303</v>
      </c>
      <c r="B36" s="1" t="s">
        <v>2340</v>
      </c>
      <c r="I36" s="109"/>
      <c r="J36" s="109"/>
      <c r="K36" s="109"/>
      <c r="L36" s="109" t="str">
        <f t="shared" si="0"/>
        <v>96-966000007</v>
      </c>
      <c r="M36" s="114">
        <v>966000007</v>
      </c>
      <c r="N36" s="114" t="s">
        <v>7146</v>
      </c>
    </row>
    <row r="37" spans="1:14">
      <c r="A37" s="2" t="s">
        <v>1925</v>
      </c>
      <c r="B37" s="1" t="s">
        <v>2340</v>
      </c>
      <c r="I37" s="109"/>
      <c r="J37" s="109"/>
      <c r="K37" s="109"/>
      <c r="L37" s="109" t="str">
        <f t="shared" si="0"/>
        <v>96-966100019</v>
      </c>
      <c r="M37" s="114">
        <v>966100019</v>
      </c>
      <c r="N37" s="114" t="s">
        <v>7128</v>
      </c>
    </row>
    <row r="38" spans="1:14">
      <c r="A38" s="2" t="s">
        <v>2228</v>
      </c>
      <c r="B38" s="1" t="s">
        <v>2340</v>
      </c>
      <c r="I38" s="109"/>
      <c r="J38" s="109"/>
      <c r="K38" s="109"/>
      <c r="L38" s="109" t="str">
        <f t="shared" si="0"/>
        <v>96-966200341</v>
      </c>
      <c r="M38" s="114">
        <v>966200341</v>
      </c>
      <c r="N38" s="114" t="s">
        <v>8704</v>
      </c>
    </row>
    <row r="39" spans="1:14">
      <c r="A39" s="2" t="s">
        <v>2262</v>
      </c>
      <c r="B39" s="1" t="s">
        <v>2340</v>
      </c>
      <c r="I39" s="109"/>
      <c r="J39" s="109"/>
      <c r="K39" s="109"/>
      <c r="L39" s="109" t="str">
        <f t="shared" si="0"/>
        <v>95-952000080</v>
      </c>
      <c r="M39" s="114">
        <v>952000080</v>
      </c>
      <c r="N39" s="114" t="s">
        <v>7152</v>
      </c>
    </row>
    <row r="40" spans="1:14">
      <c r="A40" s="2" t="s">
        <v>2149</v>
      </c>
      <c r="B40" s="1" t="s">
        <v>2340</v>
      </c>
      <c r="I40" s="109"/>
      <c r="J40" s="109"/>
      <c r="K40" s="109"/>
      <c r="L40" s="109" t="str">
        <f t="shared" si="0"/>
        <v>96-966200296</v>
      </c>
      <c r="M40" s="114">
        <v>966200296</v>
      </c>
      <c r="N40" s="114" t="s">
        <v>7119</v>
      </c>
    </row>
    <row r="41" spans="1:14">
      <c r="A41" s="21" t="s">
        <v>1485</v>
      </c>
      <c r="B41" s="1" t="s">
        <v>2341</v>
      </c>
      <c r="I41" s="109"/>
      <c r="J41" s="109"/>
      <c r="K41" s="109"/>
      <c r="L41" s="109" t="str">
        <f t="shared" si="0"/>
        <v>96-964100065</v>
      </c>
      <c r="M41" s="114">
        <v>964100065</v>
      </c>
      <c r="N41" s="114" t="s">
        <v>7144</v>
      </c>
    </row>
    <row r="42" spans="1:14">
      <c r="A42" s="21" t="s">
        <v>1480</v>
      </c>
      <c r="B42" s="1" t="s">
        <v>2341</v>
      </c>
      <c r="I42" s="109"/>
      <c r="J42" s="109"/>
      <c r="K42" s="109"/>
      <c r="L42" s="109" t="str">
        <f t="shared" si="0"/>
        <v>96-964300024</v>
      </c>
      <c r="M42" s="114">
        <v>964300024</v>
      </c>
      <c r="N42" s="114" t="s">
        <v>8702</v>
      </c>
    </row>
    <row r="43" spans="1:14">
      <c r="A43" s="21" t="s">
        <v>1592</v>
      </c>
      <c r="B43" s="1" t="s">
        <v>2341</v>
      </c>
      <c r="I43" s="109"/>
      <c r="J43" s="109"/>
      <c r="K43" s="109"/>
      <c r="L43" s="109" t="str">
        <f t="shared" si="0"/>
        <v>95-952500005</v>
      </c>
      <c r="M43" s="114">
        <v>952500005</v>
      </c>
      <c r="N43" s="114" t="s">
        <v>5618</v>
      </c>
    </row>
    <row r="44" spans="1:14">
      <c r="A44" s="21" t="s">
        <v>1514</v>
      </c>
      <c r="B44" s="1" t="s">
        <v>2341</v>
      </c>
      <c r="I44" s="109"/>
      <c r="J44" s="109"/>
      <c r="K44" s="109"/>
      <c r="L44" s="109" t="str">
        <f t="shared" si="0"/>
        <v>96-962500130</v>
      </c>
      <c r="M44" s="114">
        <v>962500130</v>
      </c>
      <c r="N44" s="114" t="s">
        <v>8081</v>
      </c>
    </row>
    <row r="45" spans="1:14">
      <c r="A45" s="21" t="s">
        <v>1546</v>
      </c>
      <c r="B45" s="1" t="s">
        <v>2341</v>
      </c>
      <c r="I45" s="109"/>
      <c r="J45" s="109"/>
      <c r="K45" s="109"/>
      <c r="L45" s="109" t="str">
        <f t="shared" si="0"/>
        <v>95-956000015</v>
      </c>
      <c r="M45" s="114">
        <v>956000015</v>
      </c>
      <c r="N45" s="114" t="s">
        <v>7146</v>
      </c>
    </row>
    <row r="46" spans="1:14">
      <c r="A46" s="21" t="s">
        <v>1537</v>
      </c>
      <c r="B46" s="1" t="s">
        <v>2341</v>
      </c>
      <c r="I46" s="109"/>
      <c r="J46" s="109"/>
      <c r="K46" s="109"/>
      <c r="L46" s="109" t="str">
        <f t="shared" si="0"/>
        <v>95-951800103</v>
      </c>
      <c r="M46" s="114">
        <v>951800103</v>
      </c>
      <c r="N46" s="114" t="s">
        <v>7197</v>
      </c>
    </row>
    <row r="47" spans="1:14">
      <c r="A47" s="21" t="s">
        <v>1577</v>
      </c>
      <c r="B47" s="1" t="s">
        <v>2341</v>
      </c>
      <c r="I47" s="109"/>
      <c r="J47" s="109"/>
      <c r="K47" s="109"/>
      <c r="L47" s="109" t="str">
        <f t="shared" si="0"/>
        <v>95-951700316</v>
      </c>
      <c r="M47" s="114">
        <v>951700316</v>
      </c>
      <c r="N47" s="114" t="s">
        <v>7127</v>
      </c>
    </row>
    <row r="48" spans="1:14">
      <c r="A48" s="21" t="s">
        <v>1829</v>
      </c>
      <c r="B48" s="1" t="s">
        <v>2341</v>
      </c>
      <c r="I48" s="109"/>
      <c r="J48" s="109"/>
      <c r="K48" s="109"/>
      <c r="L48" s="109" t="str">
        <f t="shared" si="0"/>
        <v>96-966100017</v>
      </c>
      <c r="M48" s="114">
        <v>966100017</v>
      </c>
      <c r="N48" s="114" t="s">
        <v>7128</v>
      </c>
    </row>
    <row r="49" spans="1:14">
      <c r="A49" s="21" t="s">
        <v>1786</v>
      </c>
      <c r="B49" s="1" t="s">
        <v>2341</v>
      </c>
      <c r="I49" s="109"/>
      <c r="J49" s="109"/>
      <c r="K49" s="109"/>
      <c r="L49" s="109" t="str">
        <f t="shared" si="0"/>
        <v>95-951700254</v>
      </c>
      <c r="M49" s="114">
        <v>951700254</v>
      </c>
      <c r="N49" s="114" t="s">
        <v>7153</v>
      </c>
    </row>
    <row r="50" spans="1:14">
      <c r="A50" s="21" t="s">
        <v>1787</v>
      </c>
      <c r="B50" s="1" t="s">
        <v>2341</v>
      </c>
      <c r="I50" s="109"/>
      <c r="J50" s="109"/>
      <c r="K50" s="109"/>
      <c r="L50" s="109" t="str">
        <f t="shared" si="0"/>
        <v>96-961700134</v>
      </c>
      <c r="M50" s="114">
        <v>961700134</v>
      </c>
      <c r="N50" s="114" t="s">
        <v>7154</v>
      </c>
    </row>
    <row r="51" spans="1:14">
      <c r="A51" s="21" t="s">
        <v>1765</v>
      </c>
      <c r="B51" s="1" t="s">
        <v>2341</v>
      </c>
      <c r="I51" s="109"/>
      <c r="J51" s="109"/>
      <c r="K51" s="109"/>
      <c r="L51" s="109" t="str">
        <f t="shared" si="0"/>
        <v>96-961800069</v>
      </c>
      <c r="M51" s="114">
        <v>961800069</v>
      </c>
      <c r="N51" s="114" t="s">
        <v>8705</v>
      </c>
    </row>
    <row r="52" spans="1:14">
      <c r="A52" s="21" t="s">
        <v>1791</v>
      </c>
      <c r="B52" s="1" t="s">
        <v>2341</v>
      </c>
      <c r="I52" s="109"/>
      <c r="J52" s="109"/>
      <c r="K52" s="109"/>
      <c r="L52" s="109" t="str">
        <f t="shared" si="0"/>
        <v>95-951900223</v>
      </c>
      <c r="M52" s="114">
        <v>951900223</v>
      </c>
      <c r="N52" s="114" t="s">
        <v>7137</v>
      </c>
    </row>
    <row r="53" spans="1:14">
      <c r="A53" s="21" t="s">
        <v>1844</v>
      </c>
      <c r="B53" s="1" t="s">
        <v>2341</v>
      </c>
      <c r="I53" s="109"/>
      <c r="J53" s="109"/>
      <c r="K53" s="109"/>
      <c r="L53" s="109" t="str">
        <f t="shared" si="0"/>
        <v>96-961900105</v>
      </c>
      <c r="M53" s="114">
        <v>961900105</v>
      </c>
      <c r="N53" s="114" t="s">
        <v>7141</v>
      </c>
    </row>
    <row r="54" spans="1:14">
      <c r="A54" s="21" t="s">
        <v>1777</v>
      </c>
      <c r="B54" s="1" t="s">
        <v>2341</v>
      </c>
      <c r="I54" s="109"/>
      <c r="J54" s="109"/>
      <c r="K54" s="109"/>
      <c r="L54" s="109" t="str">
        <f t="shared" si="0"/>
        <v>96-961900113</v>
      </c>
      <c r="M54" s="114">
        <v>961900113</v>
      </c>
      <c r="N54" s="114" t="s">
        <v>7155</v>
      </c>
    </row>
    <row r="55" spans="1:14">
      <c r="A55" s="21" t="s">
        <v>1587</v>
      </c>
      <c r="B55" s="1" t="s">
        <v>2341</v>
      </c>
      <c r="I55" s="109"/>
      <c r="J55" s="109"/>
      <c r="K55" s="109"/>
      <c r="L55" s="109" t="str">
        <f t="shared" si="0"/>
        <v>96-961900117</v>
      </c>
      <c r="M55" s="114">
        <v>961900117</v>
      </c>
      <c r="N55" s="114" t="s">
        <v>7156</v>
      </c>
    </row>
    <row r="56" spans="1:14">
      <c r="A56" s="21" t="s">
        <v>1785</v>
      </c>
      <c r="B56" s="1" t="s">
        <v>2341</v>
      </c>
      <c r="I56" s="109"/>
      <c r="J56" s="109"/>
      <c r="K56" s="109"/>
      <c r="L56" s="109" t="str">
        <f t="shared" si="0"/>
        <v>96-966200339</v>
      </c>
      <c r="M56" s="114">
        <v>966200339</v>
      </c>
      <c r="N56" s="114" t="s">
        <v>8704</v>
      </c>
    </row>
    <row r="57" spans="1:14">
      <c r="A57" s="21" t="s">
        <v>1822</v>
      </c>
      <c r="B57" s="1" t="s">
        <v>2341</v>
      </c>
      <c r="I57" s="109"/>
      <c r="J57" s="109"/>
      <c r="K57" s="109"/>
      <c r="L57" s="109" t="str">
        <f t="shared" si="0"/>
        <v>96-966200318</v>
      </c>
      <c r="M57" s="114">
        <v>966200318</v>
      </c>
      <c r="N57" s="114" t="s">
        <v>8697</v>
      </c>
    </row>
    <row r="58" spans="1:14">
      <c r="A58" s="21" t="s">
        <v>1825</v>
      </c>
      <c r="B58" s="1" t="s">
        <v>2341</v>
      </c>
      <c r="I58" s="109"/>
      <c r="J58" s="109"/>
      <c r="K58" s="109"/>
      <c r="L58" s="109" t="str">
        <f t="shared" si="0"/>
        <v>96-966200300</v>
      </c>
      <c r="M58" s="114">
        <v>966200300</v>
      </c>
      <c r="N58" s="114" t="s">
        <v>7119</v>
      </c>
    </row>
    <row r="59" spans="1:14">
      <c r="A59" s="21" t="s">
        <v>1778</v>
      </c>
      <c r="B59" s="1" t="s">
        <v>2341</v>
      </c>
      <c r="I59" s="109"/>
      <c r="J59" s="109"/>
      <c r="K59" s="109"/>
      <c r="L59" s="109" t="str">
        <f t="shared" si="0"/>
        <v>96-966200351</v>
      </c>
      <c r="M59" s="114">
        <v>966200351</v>
      </c>
      <c r="N59" s="114" t="s">
        <v>8696</v>
      </c>
    </row>
    <row r="60" spans="1:14">
      <c r="A60" s="21" t="s">
        <v>1870</v>
      </c>
      <c r="B60" s="1" t="s">
        <v>2341</v>
      </c>
      <c r="I60" s="109"/>
      <c r="J60" s="109"/>
      <c r="K60" s="109"/>
      <c r="L60" s="109" t="str">
        <f t="shared" si="0"/>
        <v>96-964100063</v>
      </c>
      <c r="M60" s="114">
        <v>964100063</v>
      </c>
      <c r="N60" s="114" t="s">
        <v>8706</v>
      </c>
    </row>
    <row r="61" spans="1:14">
      <c r="A61" s="21" t="s">
        <v>1827</v>
      </c>
      <c r="B61" s="1" t="s">
        <v>2341</v>
      </c>
      <c r="I61" s="109"/>
      <c r="J61" s="109"/>
      <c r="K61" s="109"/>
      <c r="L61" s="109" t="str">
        <f t="shared" si="0"/>
        <v>96-964300025</v>
      </c>
      <c r="M61" s="114">
        <v>964300025</v>
      </c>
      <c r="N61" s="114" t="s">
        <v>8702</v>
      </c>
    </row>
    <row r="62" spans="1:14">
      <c r="A62" s="21" t="s">
        <v>1766</v>
      </c>
      <c r="B62" s="1" t="s">
        <v>2341</v>
      </c>
      <c r="I62" s="109"/>
      <c r="J62" s="109"/>
      <c r="K62" s="109"/>
      <c r="L62" s="109" t="str">
        <f t="shared" si="0"/>
        <v>96-964100021</v>
      </c>
      <c r="M62" s="114">
        <v>964100021</v>
      </c>
      <c r="N62" s="114" t="s">
        <v>5797</v>
      </c>
    </row>
    <row r="63" spans="1:14">
      <c r="A63" s="21" t="s">
        <v>1776</v>
      </c>
      <c r="B63" s="1" t="s">
        <v>2341</v>
      </c>
      <c r="I63" s="109"/>
      <c r="J63" s="109"/>
      <c r="K63" s="109"/>
      <c r="L63" s="109" t="str">
        <f t="shared" si="0"/>
        <v>96-964100057</v>
      </c>
      <c r="M63" s="114">
        <v>964100057</v>
      </c>
      <c r="N63" s="114" t="s">
        <v>7138</v>
      </c>
    </row>
    <row r="64" spans="1:14">
      <c r="A64" s="21" t="s">
        <v>1771</v>
      </c>
      <c r="B64" s="1" t="s">
        <v>2341</v>
      </c>
      <c r="I64" s="109"/>
      <c r="J64" s="109"/>
      <c r="K64" s="109"/>
      <c r="L64" s="109" t="str">
        <f t="shared" si="0"/>
        <v>95-952200036</v>
      </c>
      <c r="M64" s="114">
        <v>952200036</v>
      </c>
      <c r="N64" s="114" t="s">
        <v>7126</v>
      </c>
    </row>
    <row r="65" spans="1:14">
      <c r="A65" s="21" t="s">
        <v>1770</v>
      </c>
      <c r="B65" s="1" t="s">
        <v>2341</v>
      </c>
      <c r="I65" s="109"/>
      <c r="J65" s="109"/>
      <c r="K65" s="109"/>
      <c r="L65" s="109" t="str">
        <f t="shared" si="0"/>
        <v>96-962200077</v>
      </c>
      <c r="M65" s="114">
        <v>962200077</v>
      </c>
      <c r="N65" s="114" t="s">
        <v>7452</v>
      </c>
    </row>
    <row r="66" spans="1:14">
      <c r="A66" s="21" t="s">
        <v>1773</v>
      </c>
      <c r="B66" s="1" t="s">
        <v>2341</v>
      </c>
      <c r="I66" s="109"/>
      <c r="J66" s="109"/>
      <c r="K66" s="109"/>
      <c r="L66" s="109" t="str">
        <f t="shared" si="0"/>
        <v>95-952500029</v>
      </c>
      <c r="M66" s="114">
        <v>952500029</v>
      </c>
      <c r="N66" s="114" t="s">
        <v>5630</v>
      </c>
    </row>
    <row r="67" spans="1:14">
      <c r="A67" s="21" t="s">
        <v>1767</v>
      </c>
      <c r="B67" s="1" t="s">
        <v>2341</v>
      </c>
      <c r="I67" s="109"/>
      <c r="J67" s="109"/>
      <c r="K67" s="109"/>
      <c r="L67" s="109" t="str">
        <f t="shared" ref="L67:L130" si="1">MID(M67,1,2)&amp;"-"&amp;M67</f>
        <v>96-961900172</v>
      </c>
      <c r="M67" s="114">
        <v>961900172</v>
      </c>
      <c r="N67" s="114" t="s">
        <v>8707</v>
      </c>
    </row>
    <row r="68" spans="1:14">
      <c r="A68" s="21" t="s">
        <v>1823</v>
      </c>
      <c r="B68" s="1" t="s">
        <v>2341</v>
      </c>
      <c r="I68" s="109"/>
      <c r="J68" s="109"/>
      <c r="K68" s="109"/>
      <c r="L68" s="109" t="str">
        <f t="shared" si="1"/>
        <v>95-951800077</v>
      </c>
      <c r="M68" s="114">
        <v>951800077</v>
      </c>
      <c r="N68" s="114" t="s">
        <v>7140</v>
      </c>
    </row>
    <row r="69" spans="1:14">
      <c r="A69" s="21" t="s">
        <v>1824</v>
      </c>
      <c r="B69" s="1" t="s">
        <v>2341</v>
      </c>
      <c r="I69" s="109"/>
      <c r="J69" s="109"/>
      <c r="K69" s="109"/>
      <c r="L69" s="109" t="str">
        <f t="shared" si="1"/>
        <v>96-961900177</v>
      </c>
      <c r="M69" s="114">
        <v>961900177</v>
      </c>
      <c r="N69" s="114" t="s">
        <v>8708</v>
      </c>
    </row>
    <row r="70" spans="1:14">
      <c r="A70" s="21" t="s">
        <v>1790</v>
      </c>
      <c r="B70" s="1" t="s">
        <v>2341</v>
      </c>
      <c r="I70" s="109"/>
      <c r="J70" s="109"/>
      <c r="K70" s="109"/>
      <c r="L70" s="109" t="str">
        <f t="shared" si="1"/>
        <v>96-961900108</v>
      </c>
      <c r="M70" s="114">
        <v>961900108</v>
      </c>
      <c r="N70" s="114" t="s">
        <v>7141</v>
      </c>
    </row>
    <row r="71" spans="1:14">
      <c r="A71" s="21" t="s">
        <v>1868</v>
      </c>
      <c r="B71" s="1" t="s">
        <v>2341</v>
      </c>
      <c r="I71" s="109"/>
      <c r="J71" s="109"/>
      <c r="K71" s="109"/>
      <c r="L71" s="109" t="str">
        <f t="shared" si="1"/>
        <v>96-962000194</v>
      </c>
      <c r="M71" s="114">
        <v>962000194</v>
      </c>
      <c r="N71" s="114" t="s">
        <v>7112</v>
      </c>
    </row>
    <row r="72" spans="1:14">
      <c r="A72" s="21" t="s">
        <v>1769</v>
      </c>
      <c r="B72" s="1" t="s">
        <v>2341</v>
      </c>
      <c r="I72" s="109"/>
      <c r="J72" s="109"/>
      <c r="K72" s="109"/>
      <c r="L72" s="109" t="str">
        <f t="shared" si="1"/>
        <v>96-964100064</v>
      </c>
      <c r="M72" s="114">
        <v>964100064</v>
      </c>
      <c r="N72" s="114" t="s">
        <v>8706</v>
      </c>
    </row>
    <row r="73" spans="1:14">
      <c r="A73" s="21" t="s">
        <v>1768</v>
      </c>
      <c r="B73" s="1" t="s">
        <v>2341</v>
      </c>
      <c r="I73" s="109"/>
      <c r="J73" s="109"/>
      <c r="K73" s="109"/>
      <c r="L73" s="109" t="str">
        <f t="shared" si="1"/>
        <v>95-952200016</v>
      </c>
      <c r="M73" s="114">
        <v>952200016</v>
      </c>
      <c r="N73" s="114" t="s">
        <v>7131</v>
      </c>
    </row>
    <row r="74" spans="1:14">
      <c r="A74" s="21" t="s">
        <v>1849</v>
      </c>
      <c r="B74" s="1" t="s">
        <v>2341</v>
      </c>
      <c r="I74" s="109"/>
      <c r="J74" s="109"/>
      <c r="K74" s="109"/>
      <c r="L74" s="109" t="str">
        <f t="shared" si="1"/>
        <v>95-952200033</v>
      </c>
      <c r="M74" s="114">
        <v>952200033</v>
      </c>
      <c r="N74" s="114" t="s">
        <v>7126</v>
      </c>
    </row>
    <row r="75" spans="1:14">
      <c r="A75" s="21" t="s">
        <v>1772</v>
      </c>
      <c r="B75" s="1" t="s">
        <v>2341</v>
      </c>
      <c r="I75" s="109"/>
      <c r="J75" s="109"/>
      <c r="K75" s="109"/>
      <c r="L75" s="109" t="str">
        <f t="shared" si="1"/>
        <v>95-952200074</v>
      </c>
      <c r="M75" s="114">
        <v>952200074</v>
      </c>
      <c r="N75" s="114" t="s">
        <v>7151</v>
      </c>
    </row>
    <row r="76" spans="1:14">
      <c r="A76" s="21" t="s">
        <v>1782</v>
      </c>
      <c r="B76" s="1" t="s">
        <v>2341</v>
      </c>
      <c r="I76" s="109"/>
      <c r="J76" s="109"/>
      <c r="K76" s="109"/>
      <c r="L76" s="109" t="str">
        <f t="shared" si="1"/>
        <v>95-952500020</v>
      </c>
      <c r="M76" s="114">
        <v>952500020</v>
      </c>
      <c r="N76" s="114" t="s">
        <v>5618</v>
      </c>
    </row>
    <row r="77" spans="1:14">
      <c r="A77" s="21" t="s">
        <v>1783</v>
      </c>
      <c r="B77" s="1" t="s">
        <v>2341</v>
      </c>
      <c r="I77" s="109"/>
      <c r="J77" s="109"/>
      <c r="K77" s="109"/>
      <c r="L77" s="109" t="str">
        <f t="shared" si="1"/>
        <v>95-952500015</v>
      </c>
      <c r="M77" s="114">
        <v>952500015</v>
      </c>
      <c r="N77" s="114" t="s">
        <v>5614</v>
      </c>
    </row>
    <row r="78" spans="1:14">
      <c r="A78" s="21" t="s">
        <v>1850</v>
      </c>
      <c r="B78" s="1" t="s">
        <v>2341</v>
      </c>
      <c r="I78" s="109"/>
      <c r="J78" s="109"/>
      <c r="K78" s="109"/>
      <c r="L78" s="109" t="str">
        <f t="shared" si="1"/>
        <v>95-951900230</v>
      </c>
      <c r="M78" s="114">
        <v>951900230</v>
      </c>
      <c r="N78" s="114" t="s">
        <v>7176</v>
      </c>
    </row>
    <row r="79" spans="1:14">
      <c r="A79" s="21" t="s">
        <v>1781</v>
      </c>
      <c r="B79" s="1" t="s">
        <v>2341</v>
      </c>
      <c r="I79" s="109"/>
      <c r="J79" s="109"/>
      <c r="K79" s="109"/>
      <c r="L79" s="109" t="str">
        <f t="shared" si="1"/>
        <v>95-951700212</v>
      </c>
      <c r="M79" s="114">
        <v>951700212</v>
      </c>
      <c r="N79" s="114" t="s">
        <v>7177</v>
      </c>
    </row>
    <row r="80" spans="1:14">
      <c r="A80" s="21" t="s">
        <v>1779</v>
      </c>
      <c r="B80" s="1" t="s">
        <v>2341</v>
      </c>
      <c r="I80" s="109"/>
      <c r="J80" s="109"/>
      <c r="K80" s="109"/>
      <c r="L80" s="109" t="str">
        <f t="shared" si="1"/>
        <v>95-951400118</v>
      </c>
      <c r="M80" s="114">
        <v>951400118</v>
      </c>
      <c r="N80" s="114" t="s">
        <v>7150</v>
      </c>
    </row>
    <row r="81" spans="1:14">
      <c r="A81" s="21" t="s">
        <v>2134</v>
      </c>
      <c r="B81" s="1" t="s">
        <v>2341</v>
      </c>
      <c r="I81" s="109"/>
      <c r="J81" s="109"/>
      <c r="K81" s="109"/>
      <c r="L81" s="109" t="str">
        <f t="shared" si="1"/>
        <v>96-964300023</v>
      </c>
      <c r="M81" s="114">
        <v>964300023</v>
      </c>
      <c r="N81" s="114" t="s">
        <v>8702</v>
      </c>
    </row>
    <row r="82" spans="1:14">
      <c r="A82" s="21" t="s">
        <v>1780</v>
      </c>
      <c r="B82" s="1" t="s">
        <v>2341</v>
      </c>
      <c r="I82" s="109"/>
      <c r="J82" s="109"/>
      <c r="K82" s="109"/>
      <c r="L82" s="109" t="str">
        <f t="shared" si="1"/>
        <v>96-964300026</v>
      </c>
      <c r="M82" s="114">
        <v>964300026</v>
      </c>
      <c r="N82" s="114" t="s">
        <v>8702</v>
      </c>
    </row>
    <row r="83" spans="1:14">
      <c r="A83" s="21" t="s">
        <v>1780</v>
      </c>
      <c r="B83" s="1" t="s">
        <v>2341</v>
      </c>
      <c r="I83" s="109"/>
      <c r="J83" s="109"/>
      <c r="K83" s="109"/>
      <c r="L83" s="109" t="str">
        <f t="shared" si="1"/>
        <v>95-952200007</v>
      </c>
      <c r="M83" s="114">
        <v>952200007</v>
      </c>
      <c r="N83" s="114" t="s">
        <v>7131</v>
      </c>
    </row>
    <row r="84" spans="1:14">
      <c r="A84" s="21" t="s">
        <v>1852</v>
      </c>
      <c r="B84" s="1" t="s">
        <v>2341</v>
      </c>
      <c r="I84" s="109"/>
      <c r="J84" s="109"/>
      <c r="K84" s="109"/>
      <c r="L84" s="109" t="str">
        <f t="shared" si="1"/>
        <v>95-951800109</v>
      </c>
      <c r="M84" s="114">
        <v>951800109</v>
      </c>
      <c r="N84" s="114" t="s">
        <v>7132</v>
      </c>
    </row>
    <row r="85" spans="1:14">
      <c r="A85" s="21" t="s">
        <v>1851</v>
      </c>
      <c r="B85" s="1" t="s">
        <v>2341</v>
      </c>
      <c r="I85" s="109"/>
      <c r="J85" s="109"/>
      <c r="K85" s="109"/>
      <c r="L85" s="109" t="str">
        <f t="shared" si="1"/>
        <v>95-951800113</v>
      </c>
      <c r="M85" s="114">
        <v>951800113</v>
      </c>
      <c r="N85" s="114" t="s">
        <v>7133</v>
      </c>
    </row>
    <row r="86" spans="1:14">
      <c r="A86" s="21" t="s">
        <v>1867</v>
      </c>
      <c r="B86" s="1" t="s">
        <v>2341</v>
      </c>
      <c r="I86" s="109"/>
      <c r="J86" s="109"/>
      <c r="K86" s="109"/>
      <c r="L86" s="109" t="str">
        <f t="shared" si="1"/>
        <v>95-951900232</v>
      </c>
      <c r="M86" s="114">
        <v>951900232</v>
      </c>
      <c r="N86" s="114" t="s">
        <v>7134</v>
      </c>
    </row>
    <row r="87" spans="1:14">
      <c r="A87" s="21" t="s">
        <v>1805</v>
      </c>
      <c r="B87" s="1" t="s">
        <v>2341</v>
      </c>
      <c r="I87" s="109"/>
      <c r="J87" s="109"/>
      <c r="K87" s="109"/>
      <c r="L87" s="109" t="str">
        <f t="shared" si="1"/>
        <v>96-961600015</v>
      </c>
      <c r="M87" s="114">
        <v>961600015</v>
      </c>
      <c r="N87" s="114" t="s">
        <v>7136</v>
      </c>
    </row>
    <row r="88" spans="1:14">
      <c r="A88" s="21" t="s">
        <v>1808</v>
      </c>
      <c r="B88" s="1" t="s">
        <v>2341</v>
      </c>
      <c r="I88" s="109"/>
      <c r="J88" s="109"/>
      <c r="K88" s="109"/>
      <c r="L88" s="109" t="str">
        <f t="shared" si="1"/>
        <v>95-951900212</v>
      </c>
      <c r="M88" s="114">
        <v>951900212</v>
      </c>
      <c r="N88" s="114" t="s">
        <v>7137</v>
      </c>
    </row>
    <row r="89" spans="1:14">
      <c r="A89" s="21" t="s">
        <v>1807</v>
      </c>
      <c r="B89" s="1" t="s">
        <v>2341</v>
      </c>
      <c r="I89" s="109"/>
      <c r="J89" s="109"/>
      <c r="K89" s="109"/>
      <c r="L89" s="109" t="str">
        <f t="shared" si="1"/>
        <v>96-961900114</v>
      </c>
      <c r="M89" s="114">
        <v>961900114</v>
      </c>
      <c r="N89" s="114" t="s">
        <v>7155</v>
      </c>
    </row>
    <row r="90" spans="1:14">
      <c r="A90" s="21" t="s">
        <v>1949</v>
      </c>
      <c r="B90" s="1" t="s">
        <v>2341</v>
      </c>
      <c r="I90" s="109"/>
      <c r="J90" s="109"/>
      <c r="K90" s="109"/>
      <c r="L90" s="109" t="str">
        <f t="shared" si="1"/>
        <v>96-966200301</v>
      </c>
      <c r="M90" s="114">
        <v>966200301</v>
      </c>
      <c r="N90" s="114" t="s">
        <v>7119</v>
      </c>
    </row>
    <row r="91" spans="1:14" ht="18">
      <c r="A91" s="21" t="s">
        <v>1839</v>
      </c>
      <c r="B91" s="1" t="s">
        <v>2341</v>
      </c>
      <c r="C91" s="6"/>
      <c r="I91" s="109"/>
      <c r="J91" s="109"/>
      <c r="K91" s="109"/>
      <c r="L91" s="109" t="str">
        <f t="shared" si="1"/>
        <v>96-966200311</v>
      </c>
      <c r="M91" s="114">
        <v>966200311</v>
      </c>
      <c r="N91" s="114" t="s">
        <v>8700</v>
      </c>
    </row>
    <row r="92" spans="1:14" ht="18">
      <c r="A92" s="21" t="s">
        <v>1837</v>
      </c>
      <c r="B92" s="1" t="s">
        <v>2341</v>
      </c>
      <c r="C92" s="6"/>
      <c r="I92" s="109"/>
      <c r="J92" s="109"/>
      <c r="K92" s="109"/>
      <c r="L92" s="109" t="str">
        <f t="shared" si="1"/>
        <v>96-964100023</v>
      </c>
      <c r="M92" s="114">
        <v>964100023</v>
      </c>
      <c r="N92" s="114" t="s">
        <v>5809</v>
      </c>
    </row>
    <row r="93" spans="1:14" ht="18">
      <c r="A93" s="21" t="s">
        <v>1950</v>
      </c>
      <c r="B93" s="1" t="s">
        <v>2341</v>
      </c>
      <c r="C93" s="6"/>
      <c r="I93" s="109"/>
      <c r="J93" s="109"/>
      <c r="K93" s="109"/>
      <c r="L93" s="109" t="str">
        <f t="shared" si="1"/>
        <v>96-964100061</v>
      </c>
      <c r="M93" s="114">
        <v>964100061</v>
      </c>
      <c r="N93" s="114" t="s">
        <v>7124</v>
      </c>
    </row>
    <row r="94" spans="1:14" ht="18">
      <c r="A94" s="21" t="s">
        <v>1920</v>
      </c>
      <c r="B94" s="1" t="s">
        <v>2341</v>
      </c>
      <c r="C94" s="6"/>
      <c r="I94" s="109"/>
      <c r="J94" s="109"/>
      <c r="K94" s="109"/>
      <c r="L94" s="109" t="str">
        <f t="shared" si="1"/>
        <v>96-962500127</v>
      </c>
      <c r="M94" s="114">
        <v>962500127</v>
      </c>
      <c r="N94" s="114" t="s">
        <v>8080</v>
      </c>
    </row>
    <row r="95" spans="1:14" ht="18">
      <c r="A95" s="21" t="s">
        <v>1945</v>
      </c>
      <c r="B95" s="1" t="s">
        <v>2341</v>
      </c>
      <c r="C95" s="6"/>
      <c r="I95" s="109"/>
      <c r="J95" s="109"/>
      <c r="K95" s="109"/>
      <c r="L95" s="109" t="str">
        <f t="shared" si="1"/>
        <v>96-962200026</v>
      </c>
      <c r="M95" s="114">
        <v>962200026</v>
      </c>
      <c r="N95" s="114" t="s">
        <v>7182</v>
      </c>
    </row>
    <row r="96" spans="1:14" ht="18">
      <c r="A96" s="21" t="s">
        <v>1952</v>
      </c>
      <c r="B96" s="1" t="s">
        <v>2341</v>
      </c>
      <c r="C96" s="6"/>
      <c r="I96" s="109"/>
      <c r="J96" s="109"/>
      <c r="K96" s="109"/>
      <c r="L96" s="109" t="str">
        <f t="shared" si="1"/>
        <v>96-966100018</v>
      </c>
      <c r="M96" s="114">
        <v>966100018</v>
      </c>
      <c r="N96" s="114" t="s">
        <v>7128</v>
      </c>
    </row>
    <row r="97" spans="1:14" ht="18">
      <c r="A97" s="21" t="s">
        <v>1938</v>
      </c>
      <c r="B97" s="1" t="s">
        <v>2341</v>
      </c>
      <c r="C97" s="6"/>
      <c r="I97" s="109"/>
      <c r="J97" s="109"/>
      <c r="K97" s="109"/>
      <c r="L97" s="109" t="str">
        <f t="shared" si="1"/>
        <v>96-961700127</v>
      </c>
      <c r="M97" s="114">
        <v>961700127</v>
      </c>
      <c r="N97" s="114" t="s">
        <v>7163</v>
      </c>
    </row>
    <row r="98" spans="1:14" ht="18">
      <c r="A98" s="21" t="s">
        <v>1974</v>
      </c>
      <c r="B98" s="1" t="s">
        <v>2341</v>
      </c>
      <c r="C98" s="6"/>
      <c r="I98" s="109"/>
      <c r="J98" s="109"/>
      <c r="K98" s="109"/>
      <c r="L98" s="109" t="str">
        <f t="shared" si="1"/>
        <v>95-951900209</v>
      </c>
      <c r="M98" s="114">
        <v>951900209</v>
      </c>
      <c r="N98" s="114" t="s">
        <v>7149</v>
      </c>
    </row>
    <row r="99" spans="1:14" ht="18">
      <c r="A99" s="21" t="s">
        <v>2001</v>
      </c>
      <c r="B99" s="1" t="s">
        <v>2341</v>
      </c>
      <c r="C99" s="6"/>
      <c r="I99" s="109"/>
      <c r="J99" s="109"/>
      <c r="K99" s="109"/>
      <c r="L99" s="109" t="str">
        <f t="shared" si="1"/>
        <v>95-951400117</v>
      </c>
      <c r="M99" s="114">
        <v>951400117</v>
      </c>
      <c r="N99" s="114" t="s">
        <v>7150</v>
      </c>
    </row>
    <row r="100" spans="1:14" ht="18">
      <c r="A100" s="21" t="s">
        <v>1986</v>
      </c>
      <c r="B100" s="1" t="s">
        <v>2341</v>
      </c>
      <c r="C100" s="6"/>
      <c r="I100" s="109"/>
      <c r="J100" s="109"/>
      <c r="K100" s="109"/>
      <c r="L100" s="109" t="str">
        <f t="shared" si="1"/>
        <v>95-951400120</v>
      </c>
      <c r="M100" s="114">
        <v>951400120</v>
      </c>
      <c r="N100" s="114" t="s">
        <v>7150</v>
      </c>
    </row>
    <row r="101" spans="1:14" ht="18">
      <c r="A101" s="21" t="s">
        <v>1931</v>
      </c>
      <c r="B101" s="1" t="s">
        <v>2341</v>
      </c>
      <c r="C101" s="6"/>
      <c r="I101" s="109"/>
      <c r="J101" s="109"/>
      <c r="K101" s="109"/>
      <c r="L101" s="109" t="str">
        <f t="shared" si="1"/>
        <v>95-951400121</v>
      </c>
      <c r="M101" s="114">
        <v>951400121</v>
      </c>
      <c r="N101" s="114" t="s">
        <v>7150</v>
      </c>
    </row>
    <row r="102" spans="1:14" ht="18">
      <c r="A102" s="21" t="s">
        <v>2035</v>
      </c>
      <c r="B102" s="1" t="s">
        <v>2341</v>
      </c>
      <c r="C102" s="6"/>
      <c r="I102" s="109"/>
      <c r="J102" s="109"/>
      <c r="K102" s="109"/>
      <c r="L102" s="109" t="str">
        <f t="shared" si="1"/>
        <v>95-951700223</v>
      </c>
      <c r="M102" s="114">
        <v>951700223</v>
      </c>
      <c r="N102" s="114" t="s">
        <v>7185</v>
      </c>
    </row>
    <row r="103" spans="1:14" ht="18">
      <c r="A103" s="21" t="s">
        <v>1921</v>
      </c>
      <c r="B103" s="1" t="s">
        <v>2341</v>
      </c>
      <c r="C103" s="6"/>
      <c r="I103" s="109"/>
      <c r="J103" s="109"/>
      <c r="K103" s="109"/>
      <c r="L103" s="109" t="str">
        <f t="shared" si="1"/>
        <v>95-951700291</v>
      </c>
      <c r="M103" s="114">
        <v>951700291</v>
      </c>
      <c r="N103" s="114" t="s">
        <v>7185</v>
      </c>
    </row>
    <row r="104" spans="1:14" ht="18">
      <c r="A104" s="21" t="s">
        <v>2107</v>
      </c>
      <c r="B104" s="1" t="s">
        <v>2341</v>
      </c>
      <c r="C104" s="6"/>
      <c r="I104" s="109"/>
      <c r="J104" s="109"/>
      <c r="K104" s="109"/>
      <c r="L104" s="109" t="str">
        <f t="shared" si="1"/>
        <v>95-951900043</v>
      </c>
      <c r="M104" s="114">
        <v>951900043</v>
      </c>
      <c r="N104" s="114" t="s">
        <v>7186</v>
      </c>
    </row>
    <row r="105" spans="1:14" ht="18">
      <c r="A105" s="21" t="s">
        <v>1988</v>
      </c>
      <c r="B105" s="1" t="s">
        <v>2341</v>
      </c>
      <c r="C105" s="6"/>
      <c r="I105" s="109"/>
      <c r="J105" s="109"/>
      <c r="K105" s="109"/>
      <c r="L105" s="109" t="str">
        <f t="shared" si="1"/>
        <v>96-961900119</v>
      </c>
      <c r="M105" s="114">
        <v>961900119</v>
      </c>
      <c r="N105" s="114" t="s">
        <v>7156</v>
      </c>
    </row>
    <row r="106" spans="1:14" ht="18">
      <c r="A106" s="21" t="s">
        <v>2000</v>
      </c>
      <c r="B106" s="1" t="s">
        <v>2341</v>
      </c>
      <c r="C106" s="6"/>
      <c r="I106" s="109"/>
      <c r="J106" s="109"/>
      <c r="K106" s="109"/>
      <c r="L106" s="109" t="str">
        <f t="shared" si="1"/>
        <v>96-961900128</v>
      </c>
      <c r="M106" s="114">
        <v>961900128</v>
      </c>
      <c r="N106" s="114" t="s">
        <v>7158</v>
      </c>
    </row>
    <row r="107" spans="1:14" ht="18">
      <c r="A107" s="21" t="s">
        <v>1998</v>
      </c>
      <c r="B107" s="1" t="s">
        <v>2341</v>
      </c>
      <c r="C107" s="6"/>
      <c r="I107" s="109"/>
      <c r="J107" s="109"/>
      <c r="K107" s="109"/>
      <c r="L107" s="109" t="str">
        <f t="shared" si="1"/>
        <v>95-951700237</v>
      </c>
      <c r="M107" s="114">
        <v>951700237</v>
      </c>
      <c r="N107" s="114" t="s">
        <v>7187</v>
      </c>
    </row>
    <row r="108" spans="1:14" ht="18">
      <c r="A108" s="21" t="s">
        <v>1951</v>
      </c>
      <c r="B108" s="1" t="s">
        <v>2341</v>
      </c>
      <c r="C108" s="6"/>
      <c r="I108" s="109"/>
      <c r="J108" s="109"/>
      <c r="K108" s="109"/>
      <c r="L108" s="109" t="str">
        <f t="shared" si="1"/>
        <v>96-961600016</v>
      </c>
      <c r="M108" s="114">
        <v>961600016</v>
      </c>
      <c r="N108" s="114" t="s">
        <v>8709</v>
      </c>
    </row>
    <row r="109" spans="1:14" ht="18">
      <c r="A109" s="21" t="s">
        <v>971</v>
      </c>
      <c r="B109" s="1" t="s">
        <v>2342</v>
      </c>
      <c r="C109" s="6"/>
      <c r="I109" s="109"/>
      <c r="J109" s="109"/>
      <c r="K109" s="109"/>
      <c r="L109" s="109" t="str">
        <f t="shared" si="1"/>
        <v>95-951400119</v>
      </c>
      <c r="M109" s="114">
        <v>951400119</v>
      </c>
      <c r="N109" s="114" t="s">
        <v>7150</v>
      </c>
    </row>
    <row r="110" spans="1:14" ht="18">
      <c r="A110" s="21" t="s">
        <v>948</v>
      </c>
      <c r="B110" s="1" t="s">
        <v>2342</v>
      </c>
      <c r="C110" s="6"/>
      <c r="I110" s="109"/>
      <c r="J110" s="109"/>
      <c r="K110" s="109"/>
      <c r="L110" s="109" t="str">
        <f t="shared" si="1"/>
        <v>95-951700224</v>
      </c>
      <c r="M110" s="114">
        <v>951700224</v>
      </c>
      <c r="N110" s="114" t="s">
        <v>7153</v>
      </c>
    </row>
    <row r="111" spans="1:14" ht="18">
      <c r="A111" s="21" t="s">
        <v>1222</v>
      </c>
      <c r="B111" s="1" t="s">
        <v>2342</v>
      </c>
      <c r="C111" s="6"/>
      <c r="I111" s="109"/>
      <c r="J111" s="109"/>
      <c r="K111" s="109"/>
      <c r="L111" s="109" t="str">
        <f t="shared" si="1"/>
        <v>95-951700297</v>
      </c>
      <c r="M111" s="114">
        <v>951700297</v>
      </c>
      <c r="N111" s="114" t="s">
        <v>7198</v>
      </c>
    </row>
    <row r="112" spans="1:14" ht="18">
      <c r="A112" s="21" t="s">
        <v>947</v>
      </c>
      <c r="B112" s="1" t="s">
        <v>2342</v>
      </c>
      <c r="C112" s="6"/>
      <c r="I112" s="109"/>
      <c r="J112" s="109"/>
      <c r="K112" s="109"/>
      <c r="L112" s="109" t="str">
        <f t="shared" si="1"/>
        <v>96-961100064</v>
      </c>
      <c r="M112" s="114">
        <v>961100064</v>
      </c>
      <c r="N112" s="114" t="s">
        <v>7200</v>
      </c>
    </row>
    <row r="113" spans="1:14" ht="18">
      <c r="A113" s="21" t="s">
        <v>1035</v>
      </c>
      <c r="B113" s="1" t="s">
        <v>2342</v>
      </c>
      <c r="C113" s="6"/>
      <c r="I113" s="109"/>
      <c r="J113" s="109"/>
      <c r="K113" s="109"/>
      <c r="L113" s="109" t="str">
        <f t="shared" si="1"/>
        <v>95-951900227</v>
      </c>
      <c r="M113" s="114">
        <v>951900227</v>
      </c>
      <c r="N113" s="114" t="s">
        <v>7186</v>
      </c>
    </row>
    <row r="114" spans="1:14" ht="18">
      <c r="A114" s="21" t="s">
        <v>1037</v>
      </c>
      <c r="B114" s="1" t="s">
        <v>2342</v>
      </c>
      <c r="C114" s="6"/>
      <c r="I114" s="109"/>
      <c r="J114" s="109"/>
      <c r="K114" s="109"/>
      <c r="L114" s="109" t="str">
        <f t="shared" si="1"/>
        <v>95-951400122</v>
      </c>
      <c r="M114" s="114">
        <v>951400122</v>
      </c>
      <c r="N114" s="114" t="s">
        <v>7201</v>
      </c>
    </row>
    <row r="115" spans="1:14" ht="18">
      <c r="A115" s="21" t="s">
        <v>1036</v>
      </c>
      <c r="B115" s="1" t="s">
        <v>2342</v>
      </c>
      <c r="C115" s="6"/>
      <c r="I115" s="109"/>
      <c r="J115" s="109"/>
      <c r="K115" s="109"/>
      <c r="L115" s="109" t="str">
        <f t="shared" si="1"/>
        <v>96-961900118</v>
      </c>
      <c r="M115" s="114">
        <v>961900118</v>
      </c>
      <c r="N115" s="114" t="s">
        <v>7156</v>
      </c>
    </row>
    <row r="116" spans="1:14" ht="18">
      <c r="A116" s="21" t="s">
        <v>1054</v>
      </c>
      <c r="B116" s="1" t="s">
        <v>2342</v>
      </c>
      <c r="C116" s="6"/>
      <c r="I116" s="109"/>
      <c r="J116" s="109"/>
      <c r="K116" s="109"/>
      <c r="L116" s="109" t="str">
        <f t="shared" si="1"/>
        <v>95-951700298</v>
      </c>
      <c r="M116" s="114">
        <v>951700298</v>
      </c>
      <c r="N116" s="114" t="s">
        <v>7202</v>
      </c>
    </row>
    <row r="117" spans="1:14" ht="18">
      <c r="A117" s="21" t="s">
        <v>1043</v>
      </c>
      <c r="B117" s="1" t="s">
        <v>2342</v>
      </c>
      <c r="C117" s="6"/>
      <c r="I117" s="109"/>
      <c r="J117" s="109"/>
      <c r="K117" s="109"/>
      <c r="L117" s="109" t="str">
        <f t="shared" si="1"/>
        <v>96-961700106</v>
      </c>
      <c r="M117" s="114">
        <v>961700106</v>
      </c>
      <c r="N117" s="114" t="s">
        <v>7213</v>
      </c>
    </row>
    <row r="118" spans="1:14" ht="18">
      <c r="A118" s="21" t="s">
        <v>1047</v>
      </c>
      <c r="B118" s="1" t="s">
        <v>2342</v>
      </c>
      <c r="C118" s="6"/>
      <c r="I118" s="109"/>
      <c r="J118" s="109"/>
      <c r="K118" s="109"/>
      <c r="L118" s="109" t="str">
        <f t="shared" si="1"/>
        <v>96-961700085</v>
      </c>
      <c r="M118" s="114">
        <v>961700085</v>
      </c>
      <c r="N118" s="114" t="s">
        <v>7214</v>
      </c>
    </row>
    <row r="119" spans="1:14" ht="18">
      <c r="A119" s="21" t="s">
        <v>1053</v>
      </c>
      <c r="B119" s="1" t="s">
        <v>2342</v>
      </c>
      <c r="C119" s="6"/>
      <c r="I119" s="109"/>
      <c r="J119" s="109"/>
      <c r="K119" s="109"/>
      <c r="L119" s="109" t="str">
        <f t="shared" si="1"/>
        <v>96-961900121</v>
      </c>
      <c r="M119" s="114">
        <v>961900121</v>
      </c>
      <c r="N119" s="114" t="s">
        <v>7157</v>
      </c>
    </row>
    <row r="120" spans="1:14" ht="18">
      <c r="A120" s="21" t="s">
        <v>1052</v>
      </c>
      <c r="B120" s="1" t="s">
        <v>2342</v>
      </c>
      <c r="C120" s="6"/>
      <c r="I120" s="109"/>
      <c r="J120" s="109"/>
      <c r="K120" s="109"/>
      <c r="L120" s="109" t="str">
        <f t="shared" si="1"/>
        <v>96-961900125</v>
      </c>
      <c r="M120" s="114">
        <v>961900125</v>
      </c>
      <c r="N120" s="114" t="s">
        <v>7158</v>
      </c>
    </row>
    <row r="121" spans="1:14" ht="18">
      <c r="A121" s="21" t="s">
        <v>1106</v>
      </c>
      <c r="B121" s="1" t="s">
        <v>2342</v>
      </c>
      <c r="C121" s="6"/>
      <c r="I121" s="109"/>
      <c r="J121" s="109"/>
      <c r="K121" s="109"/>
      <c r="L121" s="109" t="str">
        <f t="shared" si="1"/>
        <v>96-961700075</v>
      </c>
      <c r="M121" s="114">
        <v>961700075</v>
      </c>
      <c r="N121" s="114" t="s">
        <v>7159</v>
      </c>
    </row>
    <row r="122" spans="1:14" ht="18">
      <c r="A122" s="21" t="s">
        <v>1057</v>
      </c>
      <c r="B122" s="1" t="s">
        <v>2342</v>
      </c>
      <c r="C122" s="6"/>
      <c r="I122" s="109"/>
      <c r="J122" s="109"/>
      <c r="K122" s="109"/>
      <c r="L122" s="109" t="str">
        <f t="shared" si="1"/>
        <v>95-951900113</v>
      </c>
      <c r="M122" s="114">
        <v>951900113</v>
      </c>
      <c r="N122" s="114" t="s">
        <v>7192</v>
      </c>
    </row>
    <row r="123" spans="1:14" ht="18">
      <c r="A123" s="21" t="s">
        <v>1172</v>
      </c>
      <c r="B123" s="1" t="s">
        <v>2342</v>
      </c>
      <c r="C123" s="6"/>
      <c r="I123" s="109"/>
      <c r="J123" s="109"/>
      <c r="K123" s="109"/>
      <c r="L123" s="109" t="str">
        <f t="shared" si="1"/>
        <v>95-951900168</v>
      </c>
      <c r="M123" s="114">
        <v>951900168</v>
      </c>
      <c r="N123" s="114" t="s">
        <v>7192</v>
      </c>
    </row>
    <row r="124" spans="1:14" ht="18">
      <c r="A124" s="21" t="s">
        <v>1156</v>
      </c>
      <c r="B124" s="1" t="s">
        <v>2342</v>
      </c>
      <c r="C124" s="6"/>
      <c r="I124" s="109"/>
      <c r="J124" s="109"/>
      <c r="K124" s="109"/>
      <c r="L124" s="109" t="str">
        <f t="shared" si="1"/>
        <v>96-966200344</v>
      </c>
      <c r="M124" s="114">
        <v>966200344</v>
      </c>
      <c r="N124" s="114" t="s">
        <v>8710</v>
      </c>
    </row>
    <row r="125" spans="1:14" ht="18">
      <c r="A125" s="21" t="s">
        <v>1105</v>
      </c>
      <c r="B125" s="1" t="s">
        <v>2342</v>
      </c>
      <c r="C125" s="6"/>
      <c r="I125" s="109"/>
      <c r="J125" s="109"/>
      <c r="K125" s="109"/>
      <c r="L125" s="109" t="str">
        <f t="shared" si="1"/>
        <v>95-951800081</v>
      </c>
      <c r="M125" s="114">
        <v>951800081</v>
      </c>
      <c r="N125" s="114" t="s">
        <v>7194</v>
      </c>
    </row>
    <row r="126" spans="1:14" ht="18">
      <c r="A126" s="21" t="s">
        <v>1473</v>
      </c>
      <c r="B126" s="1" t="s">
        <v>2342</v>
      </c>
      <c r="C126" s="6"/>
      <c r="I126" s="109"/>
      <c r="J126" s="109"/>
      <c r="K126" s="109"/>
      <c r="L126" s="109" t="str">
        <f t="shared" si="1"/>
        <v>96-961700141</v>
      </c>
      <c r="M126" s="114">
        <v>961700141</v>
      </c>
      <c r="N126" s="114" t="s">
        <v>8711</v>
      </c>
    </row>
    <row r="127" spans="1:14" ht="18">
      <c r="A127" s="21" t="s">
        <v>1177</v>
      </c>
      <c r="B127" s="1" t="s">
        <v>2342</v>
      </c>
      <c r="C127" s="6"/>
      <c r="I127" s="109"/>
      <c r="J127" s="109"/>
      <c r="K127" s="109"/>
      <c r="L127" s="109" t="str">
        <f t="shared" si="1"/>
        <v>96-966200314</v>
      </c>
      <c r="M127" s="114">
        <v>966200314</v>
      </c>
      <c r="N127" s="114" t="s">
        <v>8712</v>
      </c>
    </row>
    <row r="128" spans="1:14" ht="18">
      <c r="A128" s="21" t="s">
        <v>1396</v>
      </c>
      <c r="B128" s="1" t="s">
        <v>2342</v>
      </c>
      <c r="C128" s="6"/>
      <c r="I128" s="109"/>
      <c r="J128" s="109"/>
      <c r="K128" s="109"/>
      <c r="L128" s="109" t="str">
        <f t="shared" si="1"/>
        <v>96-966200319</v>
      </c>
      <c r="M128" s="114">
        <v>966200319</v>
      </c>
      <c r="N128" s="114" t="s">
        <v>8713</v>
      </c>
    </row>
    <row r="129" spans="1:14" ht="18">
      <c r="A129" s="21" t="s">
        <v>1314</v>
      </c>
      <c r="B129" s="1" t="s">
        <v>2342</v>
      </c>
      <c r="C129" s="6"/>
      <c r="I129" s="109"/>
      <c r="J129" s="109"/>
      <c r="K129" s="109"/>
      <c r="L129" s="109" t="str">
        <f t="shared" si="1"/>
        <v>95-956000012</v>
      </c>
      <c r="M129" s="114">
        <v>956000012</v>
      </c>
      <c r="N129" s="114" t="s">
        <v>7146</v>
      </c>
    </row>
    <row r="130" spans="1:14" ht="18">
      <c r="A130" s="21" t="s">
        <v>1346</v>
      </c>
      <c r="B130" s="1" t="s">
        <v>2342</v>
      </c>
      <c r="C130" s="6"/>
      <c r="I130" s="109"/>
      <c r="J130" s="109"/>
      <c r="K130" s="109"/>
      <c r="L130" s="109" t="str">
        <f t="shared" si="1"/>
        <v>95-952500036</v>
      </c>
      <c r="M130" s="114">
        <v>952500036</v>
      </c>
      <c r="N130" s="114" t="s">
        <v>5658</v>
      </c>
    </row>
    <row r="131" spans="1:14" ht="18">
      <c r="A131" s="21" t="s">
        <v>1417</v>
      </c>
      <c r="B131" s="1" t="s">
        <v>2342</v>
      </c>
      <c r="C131" s="6"/>
      <c r="I131" s="109"/>
      <c r="J131" s="109"/>
      <c r="K131" s="109"/>
      <c r="L131" s="109" t="str">
        <f t="shared" ref="L131:L194" si="2">MID(M131,1,2)&amp;"-"&amp;M131</f>
        <v>96-961700077</v>
      </c>
      <c r="M131" s="114">
        <v>961700077</v>
      </c>
      <c r="N131" s="114" t="s">
        <v>7159</v>
      </c>
    </row>
    <row r="132" spans="1:14" ht="18">
      <c r="A132" s="21" t="s">
        <v>1393</v>
      </c>
      <c r="B132" s="1" t="s">
        <v>2342</v>
      </c>
      <c r="C132" s="6"/>
      <c r="I132" s="109"/>
      <c r="J132" s="109"/>
      <c r="K132" s="109"/>
      <c r="L132" s="109" t="str">
        <f t="shared" si="2"/>
        <v>95-951400110</v>
      </c>
      <c r="M132" s="114">
        <v>951400110</v>
      </c>
      <c r="N132" s="114" t="s">
        <v>7164</v>
      </c>
    </row>
    <row r="133" spans="1:14" ht="18">
      <c r="A133" s="22" t="s">
        <v>82</v>
      </c>
      <c r="B133" s="1" t="s">
        <v>2362</v>
      </c>
      <c r="C133" s="6"/>
      <c r="I133" s="109"/>
      <c r="J133" s="109"/>
      <c r="K133" s="109"/>
      <c r="L133" s="109" t="str">
        <f t="shared" si="2"/>
        <v>95-951400075</v>
      </c>
      <c r="M133" s="114">
        <v>951400075</v>
      </c>
      <c r="N133" s="114" t="s">
        <v>7165</v>
      </c>
    </row>
    <row r="134" spans="1:14" ht="18">
      <c r="A134" s="22" t="s">
        <v>220</v>
      </c>
      <c r="B134" s="1" t="s">
        <v>2362</v>
      </c>
      <c r="C134" s="6"/>
      <c r="I134" s="109"/>
      <c r="J134" s="109"/>
      <c r="K134" s="109"/>
      <c r="L134" s="109" t="str">
        <f t="shared" si="2"/>
        <v>96-966200317</v>
      </c>
      <c r="M134" s="114">
        <v>966200317</v>
      </c>
      <c r="N134" s="114" t="s">
        <v>8712</v>
      </c>
    </row>
    <row r="135" spans="1:14" ht="18">
      <c r="A135" s="22" t="s">
        <v>221</v>
      </c>
      <c r="B135" s="1" t="s">
        <v>2362</v>
      </c>
      <c r="C135" s="6"/>
      <c r="I135" s="109"/>
      <c r="J135" s="109"/>
      <c r="K135" s="109"/>
      <c r="L135" s="109" t="str">
        <f t="shared" si="2"/>
        <v>96-966200316</v>
      </c>
      <c r="M135" s="114">
        <v>966200316</v>
      </c>
      <c r="N135" s="114" t="s">
        <v>8712</v>
      </c>
    </row>
    <row r="136" spans="1:14" ht="18">
      <c r="A136" s="22" t="s">
        <v>85</v>
      </c>
      <c r="B136" s="1" t="s">
        <v>2362</v>
      </c>
      <c r="C136" s="6"/>
      <c r="I136" s="109"/>
      <c r="J136" s="109"/>
      <c r="K136" s="109"/>
      <c r="L136" s="109" t="str">
        <f t="shared" si="2"/>
        <v>95-951900167</v>
      </c>
      <c r="M136" s="114">
        <v>951900167</v>
      </c>
      <c r="N136" s="114" t="s">
        <v>7168</v>
      </c>
    </row>
    <row r="137" spans="1:14" ht="18">
      <c r="A137" s="22" t="s">
        <v>94</v>
      </c>
      <c r="B137" s="1" t="s">
        <v>2362</v>
      </c>
      <c r="C137" s="6"/>
      <c r="I137" s="109"/>
      <c r="J137" s="109"/>
      <c r="K137" s="109"/>
      <c r="L137" s="109" t="str">
        <f t="shared" si="2"/>
        <v>96-966200327</v>
      </c>
      <c r="M137" s="114">
        <v>966200327</v>
      </c>
      <c r="N137" s="114" t="s">
        <v>8713</v>
      </c>
    </row>
    <row r="138" spans="1:14" ht="18">
      <c r="A138" s="22" t="s">
        <v>96</v>
      </c>
      <c r="B138" s="1" t="s">
        <v>2362</v>
      </c>
      <c r="C138" s="6"/>
      <c r="I138" s="109"/>
      <c r="J138" s="109"/>
      <c r="K138" s="109"/>
      <c r="L138" s="109" t="str">
        <f t="shared" si="2"/>
        <v>96-961800027</v>
      </c>
      <c r="M138" s="114">
        <v>961800027</v>
      </c>
      <c r="N138" s="114" t="s">
        <v>7169</v>
      </c>
    </row>
    <row r="139" spans="1:14" ht="18">
      <c r="A139" s="22" t="s">
        <v>358</v>
      </c>
      <c r="B139" s="1" t="s">
        <v>2362</v>
      </c>
      <c r="C139" s="6"/>
      <c r="I139" s="109"/>
      <c r="J139" s="109"/>
      <c r="K139" s="109"/>
      <c r="L139" s="109" t="str">
        <f t="shared" si="2"/>
        <v>96-961700131</v>
      </c>
      <c r="M139" s="114">
        <v>961700131</v>
      </c>
      <c r="N139" s="114" t="s">
        <v>7163</v>
      </c>
    </row>
    <row r="140" spans="1:14" ht="18">
      <c r="A140" s="22" t="s">
        <v>88</v>
      </c>
      <c r="B140" s="1" t="s">
        <v>2362</v>
      </c>
      <c r="C140" s="6"/>
      <c r="I140" s="109"/>
      <c r="J140" s="109"/>
      <c r="K140" s="109"/>
      <c r="L140" s="109" t="str">
        <f t="shared" si="2"/>
        <v>95-951700156</v>
      </c>
      <c r="M140" s="114">
        <v>951700156</v>
      </c>
      <c r="N140" s="114" t="s">
        <v>7179</v>
      </c>
    </row>
    <row r="141" spans="1:14" ht="18">
      <c r="A141" s="22" t="s">
        <v>91</v>
      </c>
      <c r="B141" s="1" t="s">
        <v>2362</v>
      </c>
      <c r="C141" s="6"/>
      <c r="I141" s="109"/>
      <c r="J141" s="109"/>
      <c r="K141" s="109"/>
      <c r="L141" s="109" t="str">
        <f t="shared" si="2"/>
        <v>95-951700235</v>
      </c>
      <c r="M141" s="114">
        <v>951700235</v>
      </c>
      <c r="N141" s="114" t="s">
        <v>7180</v>
      </c>
    </row>
    <row r="142" spans="1:14" ht="18">
      <c r="A142" s="22" t="s">
        <v>16</v>
      </c>
      <c r="B142" s="1" t="s">
        <v>2362</v>
      </c>
      <c r="C142" s="6"/>
      <c r="I142" s="109"/>
      <c r="J142" s="109"/>
      <c r="K142" s="109"/>
      <c r="L142" s="109" t="str">
        <f t="shared" si="2"/>
        <v>96-961900107</v>
      </c>
      <c r="M142" s="114">
        <v>961900107</v>
      </c>
      <c r="N142" s="114" t="s">
        <v>7141</v>
      </c>
    </row>
    <row r="143" spans="1:14" ht="18">
      <c r="A143" s="22" t="s">
        <v>694</v>
      </c>
      <c r="B143" s="1" t="s">
        <v>2362</v>
      </c>
      <c r="C143" s="6"/>
      <c r="I143" s="109"/>
      <c r="J143" s="109"/>
      <c r="K143" s="109"/>
      <c r="L143" s="109" t="str">
        <f t="shared" si="2"/>
        <v>96-961900110</v>
      </c>
      <c r="M143" s="114">
        <v>961900110</v>
      </c>
      <c r="N143" s="114" t="s">
        <v>7141</v>
      </c>
    </row>
    <row r="144" spans="1:14" ht="18">
      <c r="A144" s="22" t="s">
        <v>354</v>
      </c>
      <c r="B144" s="1" t="s">
        <v>2362</v>
      </c>
      <c r="C144" s="6"/>
      <c r="I144" s="109"/>
      <c r="J144" s="109"/>
      <c r="K144" s="109"/>
      <c r="L144" s="109" t="str">
        <f t="shared" si="2"/>
        <v>96-961900116</v>
      </c>
      <c r="M144" s="114">
        <v>961900116</v>
      </c>
      <c r="N144" s="114" t="s">
        <v>7156</v>
      </c>
    </row>
    <row r="145" spans="1:14" ht="18">
      <c r="A145" s="22" t="s">
        <v>101</v>
      </c>
      <c r="B145" s="1" t="s">
        <v>2362</v>
      </c>
      <c r="C145" s="6"/>
      <c r="I145" s="109"/>
      <c r="J145" s="109"/>
      <c r="K145" s="109"/>
      <c r="L145" s="109" t="str">
        <f t="shared" si="2"/>
        <v>95-951900238</v>
      </c>
      <c r="M145" s="114">
        <v>951900238</v>
      </c>
      <c r="N145" s="114" t="s">
        <v>7201</v>
      </c>
    </row>
    <row r="146" spans="1:14" ht="18">
      <c r="A146" s="22" t="s">
        <v>29</v>
      </c>
      <c r="B146" s="1" t="s">
        <v>2362</v>
      </c>
      <c r="C146" s="6"/>
      <c r="I146" s="109"/>
      <c r="J146" s="109"/>
      <c r="K146" s="109"/>
      <c r="L146" s="109" t="str">
        <f t="shared" si="2"/>
        <v>95-951400109</v>
      </c>
      <c r="M146" s="114">
        <v>951400109</v>
      </c>
      <c r="N146" s="114" t="s">
        <v>7164</v>
      </c>
    </row>
    <row r="147" spans="1:14" ht="18">
      <c r="A147" s="22" t="s">
        <v>346</v>
      </c>
      <c r="B147" s="1" t="s">
        <v>2362</v>
      </c>
      <c r="C147" s="6"/>
      <c r="I147" s="109"/>
      <c r="J147" s="109"/>
      <c r="K147" s="109"/>
      <c r="L147" s="109" t="str">
        <f t="shared" si="2"/>
        <v>96-961700133</v>
      </c>
      <c r="M147" s="114">
        <v>961700133</v>
      </c>
      <c r="N147" s="114" t="s">
        <v>7154</v>
      </c>
    </row>
    <row r="148" spans="1:14" ht="18">
      <c r="A148" s="22" t="s">
        <v>379</v>
      </c>
      <c r="B148" s="1" t="s">
        <v>2362</v>
      </c>
      <c r="C148" s="6"/>
      <c r="I148" s="109"/>
      <c r="J148" s="109"/>
      <c r="K148" s="109"/>
      <c r="L148" s="109" t="str">
        <f t="shared" si="2"/>
        <v>95-951600044</v>
      </c>
      <c r="M148" s="114">
        <v>951600044</v>
      </c>
      <c r="N148" s="114" t="s">
        <v>7184</v>
      </c>
    </row>
    <row r="149" spans="1:14" ht="18">
      <c r="A149" s="22" t="s">
        <v>107</v>
      </c>
      <c r="B149" s="1" t="s">
        <v>2362</v>
      </c>
      <c r="C149" s="6"/>
      <c r="I149" s="109"/>
      <c r="J149" s="109"/>
      <c r="K149" s="109"/>
      <c r="L149" s="109" t="str">
        <f t="shared" si="2"/>
        <v>96-961900178</v>
      </c>
      <c r="M149" s="114">
        <v>961900178</v>
      </c>
      <c r="N149" s="114" t="s">
        <v>8714</v>
      </c>
    </row>
    <row r="150" spans="1:14" ht="18">
      <c r="A150" s="22" t="s">
        <v>225</v>
      </c>
      <c r="B150" s="1" t="s">
        <v>2362</v>
      </c>
      <c r="C150" s="6"/>
      <c r="I150" s="109"/>
      <c r="J150" s="109"/>
      <c r="K150" s="109"/>
      <c r="L150" s="109" t="str">
        <f t="shared" si="2"/>
        <v>96-961800067</v>
      </c>
      <c r="M150" s="114">
        <v>961800067</v>
      </c>
      <c r="N150" s="114" t="s">
        <v>8715</v>
      </c>
    </row>
    <row r="151" spans="1:14" ht="18">
      <c r="A151" s="22" t="s">
        <v>111</v>
      </c>
      <c r="B151" s="1" t="s">
        <v>2362</v>
      </c>
      <c r="C151" s="6"/>
      <c r="I151" s="109"/>
      <c r="J151" s="109"/>
      <c r="K151" s="109"/>
      <c r="L151" s="109" t="str">
        <f t="shared" si="2"/>
        <v>96-961900104</v>
      </c>
      <c r="M151" s="114">
        <v>961900104</v>
      </c>
      <c r="N151" s="114" t="s">
        <v>7141</v>
      </c>
    </row>
    <row r="152" spans="1:14" ht="18">
      <c r="A152" s="22" t="s">
        <v>591</v>
      </c>
      <c r="B152" s="1" t="s">
        <v>2362</v>
      </c>
      <c r="C152" s="6"/>
      <c r="I152" s="109"/>
      <c r="J152" s="109"/>
      <c r="K152" s="109"/>
      <c r="L152" s="109" t="str">
        <f t="shared" si="2"/>
        <v>96-961900106</v>
      </c>
      <c r="M152" s="114">
        <v>961900106</v>
      </c>
      <c r="N152" s="114" t="s">
        <v>7141</v>
      </c>
    </row>
    <row r="153" spans="1:14" ht="18">
      <c r="A153" s="22" t="s">
        <v>18</v>
      </c>
      <c r="B153" s="1" t="s">
        <v>2362</v>
      </c>
      <c r="C153" s="6"/>
      <c r="I153" s="109"/>
      <c r="J153" s="109"/>
      <c r="K153" s="109"/>
      <c r="L153" s="109" t="str">
        <f t="shared" si="2"/>
        <v>96-961900109</v>
      </c>
      <c r="M153" s="114">
        <v>961900109</v>
      </c>
      <c r="N153" s="114" t="s">
        <v>7141</v>
      </c>
    </row>
    <row r="154" spans="1:14" ht="18">
      <c r="A154" s="22" t="s">
        <v>86</v>
      </c>
      <c r="B154" s="1" t="s">
        <v>2362</v>
      </c>
      <c r="C154" s="6"/>
      <c r="I154" s="109"/>
      <c r="J154" s="109"/>
      <c r="K154" s="109"/>
      <c r="L154" s="109" t="str">
        <f t="shared" si="2"/>
        <v>96-961900127</v>
      </c>
      <c r="M154" s="114">
        <v>961900127</v>
      </c>
      <c r="N154" s="114" t="s">
        <v>7158</v>
      </c>
    </row>
    <row r="155" spans="1:14" ht="18">
      <c r="A155" s="22" t="s">
        <v>226</v>
      </c>
      <c r="B155" s="1" t="s">
        <v>2362</v>
      </c>
      <c r="C155" s="6"/>
      <c r="I155" s="109"/>
      <c r="J155" s="109"/>
      <c r="K155" s="109"/>
      <c r="L155" s="109" t="str">
        <f t="shared" si="2"/>
        <v>95-956000013</v>
      </c>
      <c r="M155" s="114">
        <v>956000013</v>
      </c>
      <c r="N155" s="114" t="s">
        <v>7146</v>
      </c>
    </row>
    <row r="156" spans="1:14" ht="18">
      <c r="A156" s="22" t="s">
        <v>259</v>
      </c>
      <c r="B156" s="1" t="s">
        <v>2362</v>
      </c>
      <c r="C156" s="6"/>
      <c r="I156" s="109"/>
      <c r="J156" s="109"/>
      <c r="K156" s="109"/>
      <c r="L156" s="109" t="str">
        <f t="shared" si="2"/>
        <v>95-952200030</v>
      </c>
      <c r="M156" s="114">
        <v>952200030</v>
      </c>
      <c r="N156" s="114" t="s">
        <v>7126</v>
      </c>
    </row>
    <row r="157" spans="1:14" ht="18">
      <c r="A157" s="22" t="s">
        <v>106</v>
      </c>
      <c r="B157" s="1" t="s">
        <v>2362</v>
      </c>
      <c r="C157" s="6"/>
      <c r="I157" s="109"/>
      <c r="J157" s="109"/>
      <c r="K157" s="109"/>
      <c r="L157" s="109" t="str">
        <f t="shared" si="2"/>
        <v>95-951400083</v>
      </c>
      <c r="M157" s="114">
        <v>951400083</v>
      </c>
      <c r="N157" s="114" t="s">
        <v>7221</v>
      </c>
    </row>
    <row r="158" spans="1:14" ht="18">
      <c r="A158" s="22" t="s">
        <v>363</v>
      </c>
      <c r="B158" s="1" t="s">
        <v>2362</v>
      </c>
      <c r="C158" s="6"/>
      <c r="I158" s="109"/>
      <c r="J158" s="109"/>
      <c r="K158" s="109"/>
      <c r="L158" s="109" t="str">
        <f t="shared" si="2"/>
        <v>95-951700157</v>
      </c>
      <c r="M158" s="114">
        <v>951700157</v>
      </c>
      <c r="N158" s="114" t="s">
        <v>7219</v>
      </c>
    </row>
    <row r="159" spans="1:14" ht="18">
      <c r="A159" s="22" t="s">
        <v>108</v>
      </c>
      <c r="B159" s="1" t="s">
        <v>2362</v>
      </c>
      <c r="C159" s="6"/>
      <c r="I159" s="109"/>
      <c r="J159" s="109"/>
      <c r="K159" s="109"/>
      <c r="L159" s="109" t="str">
        <f t="shared" si="2"/>
        <v>95-951800110</v>
      </c>
      <c r="M159" s="114">
        <v>951800110</v>
      </c>
      <c r="N159" s="114" t="s">
        <v>7142</v>
      </c>
    </row>
    <row r="160" spans="1:14" ht="18">
      <c r="A160" s="22" t="s">
        <v>267</v>
      </c>
      <c r="B160" s="1" t="s">
        <v>2362</v>
      </c>
      <c r="C160" s="6"/>
      <c r="I160" s="109"/>
      <c r="J160" s="109"/>
      <c r="K160" s="109"/>
      <c r="L160" s="109" t="str">
        <f t="shared" si="2"/>
        <v>96-961700142</v>
      </c>
      <c r="M160" s="114">
        <v>961700142</v>
      </c>
      <c r="N160" s="114" t="s">
        <v>8711</v>
      </c>
    </row>
    <row r="161" spans="1:14" ht="18">
      <c r="A161" s="22" t="s">
        <v>366</v>
      </c>
      <c r="B161" s="1" t="s">
        <v>2362</v>
      </c>
      <c r="C161" s="6"/>
      <c r="I161" s="109"/>
      <c r="J161" s="109"/>
      <c r="K161" s="109"/>
      <c r="L161" s="109" t="str">
        <f t="shared" si="2"/>
        <v>96-966200289</v>
      </c>
      <c r="M161" s="114">
        <v>966200289</v>
      </c>
      <c r="N161" s="114" t="s">
        <v>7210</v>
      </c>
    </row>
    <row r="162" spans="1:14" ht="18">
      <c r="A162" s="22" t="s">
        <v>258</v>
      </c>
      <c r="B162" s="1" t="s">
        <v>2362</v>
      </c>
      <c r="C162" s="6"/>
      <c r="I162" s="109"/>
      <c r="J162" s="109"/>
      <c r="K162" s="109"/>
      <c r="L162" s="109" t="str">
        <f t="shared" si="2"/>
        <v>95-951200023</v>
      </c>
      <c r="M162" s="114">
        <v>951200023</v>
      </c>
      <c r="N162" s="114" t="s">
        <v>7172</v>
      </c>
    </row>
    <row r="163" spans="1:14" ht="18">
      <c r="A163" s="22" t="s">
        <v>365</v>
      </c>
      <c r="B163" s="1" t="s">
        <v>2362</v>
      </c>
      <c r="C163" s="6"/>
      <c r="I163" s="109"/>
      <c r="J163" s="109"/>
      <c r="K163" s="109"/>
      <c r="L163" s="109" t="str">
        <f t="shared" si="2"/>
        <v>96-962200048</v>
      </c>
      <c r="M163" s="114">
        <v>962200048</v>
      </c>
      <c r="N163" s="114" t="s">
        <v>7173</v>
      </c>
    </row>
    <row r="164" spans="1:14" ht="18">
      <c r="A164" s="22" t="s">
        <v>32</v>
      </c>
      <c r="B164" s="1" t="s">
        <v>2362</v>
      </c>
      <c r="C164" s="6"/>
      <c r="I164" s="109"/>
      <c r="J164" s="109"/>
      <c r="K164" s="109"/>
      <c r="L164" s="109" t="str">
        <f t="shared" si="2"/>
        <v>95-952200019</v>
      </c>
      <c r="M164" s="114">
        <v>952200019</v>
      </c>
      <c r="N164" s="114" t="s">
        <v>7174</v>
      </c>
    </row>
    <row r="165" spans="1:14" ht="18">
      <c r="A165" s="22" t="s">
        <v>266</v>
      </c>
      <c r="B165" s="1" t="s">
        <v>2362</v>
      </c>
      <c r="C165" s="6"/>
      <c r="I165" s="109"/>
      <c r="J165" s="109"/>
      <c r="K165" s="109"/>
      <c r="L165" s="109" t="str">
        <f t="shared" si="2"/>
        <v>95-951400097</v>
      </c>
      <c r="M165" s="114">
        <v>951400097</v>
      </c>
      <c r="N165" s="114" t="s">
        <v>7188</v>
      </c>
    </row>
    <row r="166" spans="1:14" ht="18">
      <c r="A166" s="22" t="s">
        <v>369</v>
      </c>
      <c r="B166" s="1" t="s">
        <v>2362</v>
      </c>
      <c r="C166" s="6"/>
      <c r="I166" s="109"/>
      <c r="J166" s="109"/>
      <c r="K166" s="109"/>
      <c r="L166" s="109" t="str">
        <f t="shared" si="2"/>
        <v>95-951400111</v>
      </c>
      <c r="M166" s="114">
        <v>951400111</v>
      </c>
      <c r="N166" s="114" t="s">
        <v>7164</v>
      </c>
    </row>
    <row r="167" spans="1:14" ht="18">
      <c r="A167" s="22" t="s">
        <v>104</v>
      </c>
      <c r="B167" s="1" t="s">
        <v>2362</v>
      </c>
      <c r="C167" s="6"/>
      <c r="I167" s="109"/>
      <c r="J167" s="109"/>
      <c r="K167" s="109"/>
      <c r="L167" s="109" t="str">
        <f t="shared" si="2"/>
        <v>96-961700110</v>
      </c>
      <c r="M167" s="114">
        <v>961700110</v>
      </c>
      <c r="N167" s="114" t="s">
        <v>7189</v>
      </c>
    </row>
    <row r="168" spans="1:14" ht="18">
      <c r="A168" s="22" t="s">
        <v>272</v>
      </c>
      <c r="B168" s="1" t="s">
        <v>2362</v>
      </c>
      <c r="C168" s="6"/>
      <c r="I168" s="109"/>
      <c r="J168" s="109"/>
      <c r="K168" s="109"/>
      <c r="L168" s="109" t="str">
        <f t="shared" si="2"/>
        <v>95-951800102</v>
      </c>
      <c r="M168" s="114">
        <v>951800102</v>
      </c>
      <c r="N168" s="114" t="s">
        <v>7190</v>
      </c>
    </row>
    <row r="169" spans="1:14" ht="18">
      <c r="A169" s="22" t="s">
        <v>34</v>
      </c>
      <c r="B169" s="1" t="s">
        <v>2362</v>
      </c>
      <c r="C169" s="6"/>
      <c r="I169" s="109"/>
      <c r="J169" s="109"/>
      <c r="K169" s="109"/>
      <c r="L169" s="109" t="str">
        <f t="shared" si="2"/>
        <v>96-966200315</v>
      </c>
      <c r="M169" s="114">
        <v>966200315</v>
      </c>
      <c r="N169" s="114" t="s">
        <v>8712</v>
      </c>
    </row>
    <row r="170" spans="1:14" ht="18">
      <c r="A170" s="22" t="s">
        <v>265</v>
      </c>
      <c r="B170" s="1" t="s">
        <v>2362</v>
      </c>
      <c r="C170" s="6"/>
      <c r="I170" s="109"/>
      <c r="J170" s="109"/>
      <c r="K170" s="109"/>
      <c r="L170" s="109" t="str">
        <f t="shared" si="2"/>
        <v>96-961900047</v>
      </c>
      <c r="M170" s="114">
        <v>961900047</v>
      </c>
      <c r="N170" s="114" t="s">
        <v>7203</v>
      </c>
    </row>
    <row r="171" spans="1:14" ht="18">
      <c r="A171" s="22" t="s">
        <v>271</v>
      </c>
      <c r="B171" s="1" t="s">
        <v>2362</v>
      </c>
      <c r="C171" s="6"/>
      <c r="I171" s="109"/>
      <c r="J171" s="109"/>
      <c r="K171" s="109"/>
      <c r="L171" s="109" t="str">
        <f t="shared" si="2"/>
        <v>96-962500004</v>
      </c>
      <c r="M171" s="114">
        <v>962500004</v>
      </c>
      <c r="N171" s="114" t="s">
        <v>5729</v>
      </c>
    </row>
    <row r="172" spans="1:14" ht="18">
      <c r="A172" s="22" t="s">
        <v>110</v>
      </c>
      <c r="B172" s="1" t="s">
        <v>2362</v>
      </c>
      <c r="C172" s="6"/>
      <c r="I172" s="109"/>
      <c r="J172" s="109"/>
      <c r="K172" s="109"/>
      <c r="L172" s="109" t="str">
        <f t="shared" si="2"/>
        <v>96-966200347</v>
      </c>
      <c r="M172" s="114">
        <v>966200347</v>
      </c>
      <c r="N172" s="114" t="s">
        <v>8716</v>
      </c>
    </row>
    <row r="173" spans="1:14" ht="18">
      <c r="A173" s="22" t="s">
        <v>371</v>
      </c>
      <c r="B173" s="1" t="s">
        <v>2362</v>
      </c>
      <c r="C173" s="6"/>
      <c r="I173" s="109"/>
      <c r="J173" s="109"/>
      <c r="K173" s="109"/>
      <c r="L173" s="109" t="str">
        <f t="shared" si="2"/>
        <v>95-951400108</v>
      </c>
      <c r="M173" s="114">
        <v>951400108</v>
      </c>
      <c r="N173" s="114" t="s">
        <v>7164</v>
      </c>
    </row>
    <row r="174" spans="1:14" ht="18">
      <c r="A174" s="22" t="s">
        <v>262</v>
      </c>
      <c r="B174" s="1" t="s">
        <v>2362</v>
      </c>
      <c r="C174" s="6"/>
      <c r="I174" s="109"/>
      <c r="J174" s="109"/>
      <c r="K174" s="109"/>
      <c r="L174" s="109" t="str">
        <f t="shared" si="2"/>
        <v>95-951400112</v>
      </c>
      <c r="M174" s="114">
        <v>951400112</v>
      </c>
      <c r="N174" s="114" t="s">
        <v>7164</v>
      </c>
    </row>
    <row r="175" spans="1:14" ht="18">
      <c r="A175" s="22" t="s">
        <v>42</v>
      </c>
      <c r="B175" s="1" t="s">
        <v>2362</v>
      </c>
      <c r="C175" s="6"/>
      <c r="I175" s="109"/>
      <c r="J175" s="109"/>
      <c r="K175" s="109"/>
      <c r="L175" s="109" t="str">
        <f t="shared" si="2"/>
        <v>96-961700140</v>
      </c>
      <c r="M175" s="114">
        <v>961700140</v>
      </c>
      <c r="N175" s="114" t="s">
        <v>8708</v>
      </c>
    </row>
    <row r="176" spans="1:14" ht="18">
      <c r="A176" s="22" t="s">
        <v>115</v>
      </c>
      <c r="B176" s="1" t="s">
        <v>2362</v>
      </c>
      <c r="C176" s="6"/>
      <c r="I176" s="109"/>
      <c r="J176" s="109"/>
      <c r="K176" s="109"/>
      <c r="L176" s="109" t="str">
        <f t="shared" si="2"/>
        <v>95-951900096</v>
      </c>
      <c r="M176" s="114">
        <v>951900096</v>
      </c>
      <c r="N176" s="114" t="s">
        <v>7168</v>
      </c>
    </row>
    <row r="177" spans="1:14" ht="18">
      <c r="A177" s="22" t="s">
        <v>54</v>
      </c>
      <c r="B177" s="1" t="s">
        <v>2362</v>
      </c>
      <c r="C177" s="6"/>
      <c r="I177" s="109"/>
      <c r="J177" s="109"/>
      <c r="K177" s="109"/>
      <c r="L177" s="109" t="str">
        <f t="shared" si="2"/>
        <v>96-961800026</v>
      </c>
      <c r="M177" s="114">
        <v>961800026</v>
      </c>
      <c r="N177" s="114" t="s">
        <v>7217</v>
      </c>
    </row>
    <row r="178" spans="1:14" ht="18">
      <c r="A178" s="22" t="s">
        <v>40</v>
      </c>
      <c r="B178" s="1" t="s">
        <v>2362</v>
      </c>
      <c r="C178" s="6"/>
      <c r="I178" s="109"/>
      <c r="J178" s="109"/>
      <c r="K178" s="109"/>
      <c r="L178" s="109" t="str">
        <f t="shared" si="2"/>
        <v>96-966200333</v>
      </c>
      <c r="M178" s="114">
        <v>966200333</v>
      </c>
      <c r="N178" s="114" t="s">
        <v>8713</v>
      </c>
    </row>
    <row r="179" spans="1:14" ht="18">
      <c r="A179" s="22" t="s">
        <v>39</v>
      </c>
      <c r="B179" s="1" t="s">
        <v>2362</v>
      </c>
      <c r="C179" s="6"/>
      <c r="I179" s="109"/>
      <c r="J179" s="109"/>
      <c r="K179" s="109"/>
      <c r="L179" s="109" t="str">
        <f t="shared" si="2"/>
        <v>95-951200097</v>
      </c>
      <c r="M179" s="114">
        <v>951200097</v>
      </c>
      <c r="N179" s="114" t="s">
        <v>7218</v>
      </c>
    </row>
    <row r="180" spans="1:14" ht="18">
      <c r="A180" s="22" t="s">
        <v>109</v>
      </c>
      <c r="B180" s="1" t="s">
        <v>2362</v>
      </c>
      <c r="C180" s="6"/>
      <c r="I180" s="109"/>
      <c r="J180" s="109"/>
      <c r="K180" s="109"/>
      <c r="L180" s="109" t="str">
        <f t="shared" si="2"/>
        <v>96-962500134</v>
      </c>
      <c r="M180" s="114">
        <v>962500134</v>
      </c>
      <c r="N180" s="114" t="s">
        <v>8717</v>
      </c>
    </row>
    <row r="181" spans="1:14" ht="18">
      <c r="A181" s="22" t="s">
        <v>376</v>
      </c>
      <c r="B181" s="1" t="s">
        <v>2362</v>
      </c>
      <c r="C181" s="6"/>
      <c r="I181" s="109"/>
      <c r="J181" s="109"/>
      <c r="K181" s="109"/>
      <c r="L181" s="109" t="str">
        <f t="shared" si="2"/>
        <v>95-951700266</v>
      </c>
      <c r="M181" s="114">
        <v>951700266</v>
      </c>
      <c r="N181" s="114" t="s">
        <v>7219</v>
      </c>
    </row>
    <row r="182" spans="1:14" ht="18">
      <c r="A182" s="22" t="s">
        <v>375</v>
      </c>
      <c r="B182" s="1" t="s">
        <v>2362</v>
      </c>
      <c r="C182" s="6"/>
      <c r="I182" s="109"/>
      <c r="J182" s="109"/>
      <c r="K182" s="109"/>
      <c r="L182" s="109" t="str">
        <f t="shared" si="2"/>
        <v>95-951400084</v>
      </c>
      <c r="M182" s="114">
        <v>951400084</v>
      </c>
      <c r="N182" s="114" t="s">
        <v>7196</v>
      </c>
    </row>
    <row r="183" spans="1:14" ht="18">
      <c r="A183" s="22" t="s">
        <v>197</v>
      </c>
      <c r="B183" s="1" t="s">
        <v>2362</v>
      </c>
      <c r="C183" s="6"/>
      <c r="I183" s="109"/>
      <c r="J183" s="109"/>
      <c r="K183" s="109"/>
      <c r="L183" s="109" t="str">
        <f t="shared" si="2"/>
        <v>96-966200249</v>
      </c>
      <c r="M183" s="114">
        <v>966200249</v>
      </c>
      <c r="N183" s="114" t="s">
        <v>7225</v>
      </c>
    </row>
    <row r="184" spans="1:14" ht="18">
      <c r="A184" s="22" t="s">
        <v>381</v>
      </c>
      <c r="B184" s="1" t="s">
        <v>2362</v>
      </c>
      <c r="C184" s="6"/>
      <c r="I184" s="109"/>
      <c r="J184" s="109"/>
      <c r="K184" s="109"/>
      <c r="L184" s="109" t="str">
        <f t="shared" si="2"/>
        <v>96-966200343</v>
      </c>
      <c r="M184" s="114">
        <v>966200343</v>
      </c>
      <c r="N184" s="114" t="s">
        <v>8718</v>
      </c>
    </row>
    <row r="185" spans="1:14" ht="18">
      <c r="A185" s="22" t="s">
        <v>282</v>
      </c>
      <c r="B185" s="1" t="s">
        <v>2362</v>
      </c>
      <c r="C185" s="6"/>
      <c r="I185" s="109"/>
      <c r="J185" s="109"/>
      <c r="K185" s="109"/>
      <c r="L185" s="109" t="str">
        <f t="shared" si="2"/>
        <v>96-962500132</v>
      </c>
      <c r="M185" s="114">
        <v>962500132</v>
      </c>
      <c r="N185" s="114" t="s">
        <v>8717</v>
      </c>
    </row>
    <row r="186" spans="1:14" ht="18">
      <c r="A186" s="22" t="s">
        <v>373</v>
      </c>
      <c r="B186" s="1" t="s">
        <v>2362</v>
      </c>
      <c r="C186" s="6"/>
      <c r="I186" s="109"/>
      <c r="J186" s="109"/>
      <c r="K186" s="109"/>
      <c r="L186" s="109" t="str">
        <f t="shared" si="2"/>
        <v>95-951700304</v>
      </c>
      <c r="M186" s="114">
        <v>951700304</v>
      </c>
      <c r="N186" s="114" t="s">
        <v>7161</v>
      </c>
    </row>
    <row r="187" spans="1:14" ht="18">
      <c r="A187" s="22" t="s">
        <v>196</v>
      </c>
      <c r="B187" s="1" t="s">
        <v>2362</v>
      </c>
      <c r="C187" s="6"/>
      <c r="I187" s="109"/>
      <c r="J187" s="109"/>
      <c r="K187" s="109"/>
      <c r="L187" s="109" t="str">
        <f t="shared" si="2"/>
        <v>95-951400126</v>
      </c>
      <c r="M187" s="114">
        <v>951400126</v>
      </c>
      <c r="N187" s="114" t="s">
        <v>7162</v>
      </c>
    </row>
    <row r="188" spans="1:14" ht="18">
      <c r="A188" s="22" t="s">
        <v>291</v>
      </c>
      <c r="B188" s="1" t="s">
        <v>2362</v>
      </c>
      <c r="C188" s="6"/>
      <c r="I188" s="109"/>
      <c r="J188" s="109"/>
      <c r="K188" s="109"/>
      <c r="L188" s="109" t="str">
        <f t="shared" si="2"/>
        <v>96-961700128</v>
      </c>
      <c r="M188" s="114">
        <v>961700128</v>
      </c>
      <c r="N188" s="114" t="s">
        <v>7163</v>
      </c>
    </row>
    <row r="189" spans="1:14" ht="18">
      <c r="A189" s="22" t="s">
        <v>302</v>
      </c>
      <c r="B189" s="1" t="s">
        <v>2362</v>
      </c>
      <c r="C189" s="6"/>
      <c r="I189" s="109"/>
      <c r="J189" s="109"/>
      <c r="K189" s="109"/>
      <c r="L189" s="109" t="str">
        <f t="shared" si="2"/>
        <v>96-961700130</v>
      </c>
      <c r="M189" s="114">
        <v>961700130</v>
      </c>
      <c r="N189" s="114" t="s">
        <v>7163</v>
      </c>
    </row>
    <row r="190" spans="1:14" ht="18">
      <c r="A190" s="22" t="s">
        <v>53</v>
      </c>
      <c r="B190" s="1" t="s">
        <v>2362</v>
      </c>
      <c r="C190" s="6"/>
      <c r="I190" s="109"/>
      <c r="J190" s="109"/>
      <c r="K190" s="109"/>
      <c r="L190" s="109" t="str">
        <f t="shared" si="2"/>
        <v>95-951400073</v>
      </c>
      <c r="M190" s="114">
        <v>951400073</v>
      </c>
      <c r="N190" s="114" t="s">
        <v>7185</v>
      </c>
    </row>
    <row r="191" spans="1:14" ht="18">
      <c r="A191" s="22" t="s">
        <v>180</v>
      </c>
      <c r="B191" s="1" t="s">
        <v>2362</v>
      </c>
      <c r="C191" s="6"/>
      <c r="I191" s="109"/>
      <c r="J191" s="109"/>
      <c r="K191" s="109"/>
      <c r="L191" s="109" t="str">
        <f t="shared" si="2"/>
        <v>96-966200306</v>
      </c>
      <c r="M191" s="114">
        <v>966200306</v>
      </c>
      <c r="N191" s="114" t="s">
        <v>8719</v>
      </c>
    </row>
    <row r="192" spans="1:14" ht="18">
      <c r="A192" s="22" t="s">
        <v>164</v>
      </c>
      <c r="B192" s="1" t="s">
        <v>2362</v>
      </c>
      <c r="C192" s="6"/>
      <c r="I192" s="109"/>
      <c r="J192" s="109"/>
      <c r="K192" s="109"/>
      <c r="L192" s="109" t="str">
        <f t="shared" si="2"/>
        <v>96-966200332</v>
      </c>
      <c r="M192" s="114">
        <v>966200332</v>
      </c>
      <c r="N192" s="114" t="s">
        <v>8720</v>
      </c>
    </row>
    <row r="193" spans="1:14" ht="18">
      <c r="A193" s="22" t="s">
        <v>380</v>
      </c>
      <c r="B193" s="1" t="s">
        <v>2362</v>
      </c>
      <c r="C193" s="6"/>
      <c r="I193" s="109"/>
      <c r="J193" s="109"/>
      <c r="K193" s="109"/>
      <c r="L193" s="109" t="str">
        <f t="shared" si="2"/>
        <v>96-966000015</v>
      </c>
      <c r="M193" s="114">
        <v>966000015</v>
      </c>
      <c r="N193" s="114" t="s">
        <v>7220</v>
      </c>
    </row>
    <row r="194" spans="1:14" ht="18">
      <c r="A194" s="22" t="s">
        <v>287</v>
      </c>
      <c r="B194" s="1" t="s">
        <v>2362</v>
      </c>
      <c r="C194" s="6"/>
      <c r="I194" s="109"/>
      <c r="J194" s="109"/>
      <c r="K194" s="109"/>
      <c r="L194" s="109" t="str">
        <f t="shared" si="2"/>
        <v>95-951700088</v>
      </c>
      <c r="M194" s="114">
        <v>951700088</v>
      </c>
      <c r="N194" s="114" t="s">
        <v>7222</v>
      </c>
    </row>
    <row r="195" spans="1:14" ht="18">
      <c r="A195" s="22" t="s">
        <v>47</v>
      </c>
      <c r="B195" s="1" t="s">
        <v>2362</v>
      </c>
      <c r="C195" s="6"/>
      <c r="I195" s="109"/>
      <c r="J195" s="109"/>
      <c r="K195" s="109"/>
      <c r="L195" s="109" t="str">
        <f t="shared" ref="L195:L258" si="3">MID(M195,1,2)&amp;"-"&amp;M195</f>
        <v>96-966200342</v>
      </c>
      <c r="M195" s="114">
        <v>966200342</v>
      </c>
      <c r="N195" s="114" t="s">
        <v>8718</v>
      </c>
    </row>
    <row r="196" spans="1:14" ht="18">
      <c r="A196" s="22" t="s">
        <v>165</v>
      </c>
      <c r="B196" s="1" t="s">
        <v>2362</v>
      </c>
      <c r="C196" s="6"/>
      <c r="I196" s="109"/>
      <c r="J196" s="109"/>
      <c r="K196" s="109"/>
      <c r="L196" s="109" t="str">
        <f t="shared" si="3"/>
        <v>96-966200320</v>
      </c>
      <c r="M196" s="114">
        <v>966200320</v>
      </c>
      <c r="N196" s="114" t="s">
        <v>8720</v>
      </c>
    </row>
    <row r="197" spans="1:14" ht="18">
      <c r="A197" s="22" t="s">
        <v>19</v>
      </c>
      <c r="B197" s="1" t="s">
        <v>2362</v>
      </c>
      <c r="C197" s="7"/>
      <c r="I197" s="109"/>
      <c r="J197" s="109"/>
      <c r="K197" s="109"/>
      <c r="L197" s="109" t="str">
        <f t="shared" si="3"/>
        <v>96-966200345</v>
      </c>
      <c r="M197" s="114">
        <v>966200345</v>
      </c>
      <c r="N197" s="114" t="s">
        <v>8718</v>
      </c>
    </row>
    <row r="198" spans="1:14" ht="18">
      <c r="A198" s="22" t="s">
        <v>286</v>
      </c>
      <c r="B198" s="1" t="s">
        <v>2362</v>
      </c>
      <c r="C198" s="7"/>
      <c r="I198" s="109"/>
      <c r="J198" s="109"/>
      <c r="K198" s="109"/>
      <c r="L198" s="109" t="str">
        <f t="shared" si="3"/>
        <v>96-961700132</v>
      </c>
      <c r="M198" s="114">
        <v>961700132</v>
      </c>
      <c r="N198" s="114" t="s">
        <v>7154</v>
      </c>
    </row>
    <row r="199" spans="1:14" ht="18">
      <c r="A199" s="22" t="s">
        <v>55</v>
      </c>
      <c r="B199" s="1" t="s">
        <v>2362</v>
      </c>
      <c r="C199" s="7"/>
      <c r="I199" s="109"/>
      <c r="J199" s="109"/>
      <c r="K199" s="109"/>
      <c r="L199" s="109" t="str">
        <f t="shared" si="3"/>
        <v>96-961600014</v>
      </c>
      <c r="M199" s="114">
        <v>961600014</v>
      </c>
      <c r="N199" s="114" t="s">
        <v>7136</v>
      </c>
    </row>
    <row r="200" spans="1:14" ht="18">
      <c r="A200" s="22" t="s">
        <v>160</v>
      </c>
      <c r="B200" s="1" t="s">
        <v>2362</v>
      </c>
      <c r="C200" s="7"/>
      <c r="I200" s="109"/>
      <c r="J200" s="109"/>
      <c r="K200" s="109"/>
      <c r="L200" s="109" t="str">
        <f t="shared" si="3"/>
        <v>95-951700203</v>
      </c>
      <c r="M200" s="114">
        <v>951700203</v>
      </c>
      <c r="N200" s="114" t="s">
        <v>7204</v>
      </c>
    </row>
    <row r="201" spans="1:14" ht="18">
      <c r="A201" s="22" t="s">
        <v>315</v>
      </c>
      <c r="B201" s="1" t="s">
        <v>2362</v>
      </c>
      <c r="C201" s="7"/>
      <c r="I201" s="109"/>
      <c r="J201" s="109"/>
      <c r="K201" s="109"/>
      <c r="L201" s="109" t="str">
        <f t="shared" si="3"/>
        <v>95-951900176</v>
      </c>
      <c r="M201" s="114">
        <v>951900176</v>
      </c>
      <c r="N201" s="114" t="s">
        <v>7205</v>
      </c>
    </row>
    <row r="202" spans="1:14" ht="18">
      <c r="A202" s="22" t="s">
        <v>383</v>
      </c>
      <c r="B202" s="1" t="s">
        <v>2362</v>
      </c>
      <c r="C202" s="7"/>
      <c r="I202" s="109"/>
      <c r="J202" s="109"/>
      <c r="K202" s="109"/>
      <c r="L202" s="109" t="str">
        <f t="shared" si="3"/>
        <v>95-951400050</v>
      </c>
      <c r="M202" s="114">
        <v>951400050</v>
      </c>
      <c r="N202" s="114" t="s">
        <v>7206</v>
      </c>
    </row>
    <row r="203" spans="1:14" ht="18">
      <c r="A203" s="22" t="s">
        <v>170</v>
      </c>
      <c r="B203" s="1" t="s">
        <v>2362</v>
      </c>
      <c r="C203" s="7"/>
      <c r="I203" s="109"/>
      <c r="J203" s="109"/>
      <c r="K203" s="109"/>
      <c r="L203" s="109" t="str">
        <f t="shared" si="3"/>
        <v>96-961900115</v>
      </c>
      <c r="M203" s="114">
        <v>961900115</v>
      </c>
      <c r="N203" s="114" t="s">
        <v>7156</v>
      </c>
    </row>
    <row r="204" spans="1:14" ht="18">
      <c r="A204" s="22" t="s">
        <v>168</v>
      </c>
      <c r="B204" s="1" t="s">
        <v>2362</v>
      </c>
      <c r="C204" s="7"/>
      <c r="I204" s="109"/>
      <c r="J204" s="109"/>
      <c r="K204" s="109"/>
      <c r="L204" s="109" t="str">
        <f t="shared" si="3"/>
        <v>96-961900126</v>
      </c>
      <c r="M204" s="114">
        <v>961900126</v>
      </c>
      <c r="N204" s="114" t="s">
        <v>7158</v>
      </c>
    </row>
    <row r="205" spans="1:14" ht="18">
      <c r="A205" s="22" t="s">
        <v>310</v>
      </c>
      <c r="B205" s="1" t="s">
        <v>2362</v>
      </c>
      <c r="C205" s="7"/>
      <c r="I205" s="109"/>
      <c r="J205" s="109"/>
      <c r="K205" s="109"/>
      <c r="L205" s="109" t="str">
        <f t="shared" si="3"/>
        <v>95-951800071</v>
      </c>
      <c r="M205" s="114">
        <v>951800071</v>
      </c>
      <c r="N205" s="114" t="s">
        <v>7142</v>
      </c>
    </row>
    <row r="206" spans="1:14" ht="18">
      <c r="A206" s="22" t="s">
        <v>316</v>
      </c>
      <c r="B206" s="1" t="s">
        <v>2362</v>
      </c>
      <c r="C206" s="7"/>
      <c r="I206" s="109"/>
      <c r="J206" s="109"/>
      <c r="K206" s="109"/>
      <c r="L206" s="109" t="str">
        <f t="shared" si="3"/>
        <v>95-951600052</v>
      </c>
      <c r="M206" s="114">
        <v>951600052</v>
      </c>
      <c r="N206" s="114" t="s">
        <v>7207</v>
      </c>
    </row>
    <row r="207" spans="1:14" ht="18">
      <c r="A207" s="22" t="s">
        <v>382</v>
      </c>
      <c r="B207" s="1" t="s">
        <v>2362</v>
      </c>
      <c r="C207" s="7"/>
      <c r="I207" s="109"/>
      <c r="J207" s="109"/>
      <c r="K207" s="109"/>
      <c r="L207" s="109" t="str">
        <f t="shared" si="3"/>
        <v>96-966200267</v>
      </c>
      <c r="M207" s="114">
        <v>966200267</v>
      </c>
      <c r="N207" s="114" t="s">
        <v>7208</v>
      </c>
    </row>
    <row r="208" spans="1:14" ht="18">
      <c r="A208" s="22" t="s">
        <v>309</v>
      </c>
      <c r="B208" s="1" t="s">
        <v>2362</v>
      </c>
      <c r="C208" s="7"/>
      <c r="I208" s="109"/>
      <c r="J208" s="109"/>
      <c r="K208" s="109"/>
      <c r="L208" s="109" t="str">
        <f t="shared" si="3"/>
        <v>96-961900046</v>
      </c>
      <c r="M208" s="114">
        <v>961900046</v>
      </c>
      <c r="N208" s="114" t="s">
        <v>7203</v>
      </c>
    </row>
    <row r="209" spans="1:14" ht="18">
      <c r="A209" s="22" t="s">
        <v>181</v>
      </c>
      <c r="B209" s="1" t="s">
        <v>2362</v>
      </c>
      <c r="C209" s="7"/>
      <c r="I209" s="109"/>
      <c r="J209" s="109"/>
      <c r="K209" s="109"/>
      <c r="L209" s="109" t="str">
        <f t="shared" si="3"/>
        <v>95-952200044</v>
      </c>
      <c r="M209" s="114">
        <v>952200044</v>
      </c>
      <c r="N209" s="114" t="s">
        <v>7174</v>
      </c>
    </row>
    <row r="210" spans="1:14" ht="18">
      <c r="A210" s="22" t="s">
        <v>169</v>
      </c>
      <c r="B210" s="1" t="s">
        <v>2362</v>
      </c>
      <c r="C210" s="7"/>
      <c r="I210" s="109"/>
      <c r="J210" s="109"/>
      <c r="K210" s="109"/>
      <c r="L210" s="109" t="str">
        <f t="shared" si="3"/>
        <v>95-951400086</v>
      </c>
      <c r="M210" s="114">
        <v>951400086</v>
      </c>
      <c r="N210" s="114" t="s">
        <v>7196</v>
      </c>
    </row>
    <row r="211" spans="1:14" ht="18">
      <c r="A211" s="22" t="s">
        <v>332</v>
      </c>
      <c r="B211" s="1" t="s">
        <v>2362</v>
      </c>
      <c r="C211" s="7"/>
      <c r="I211" s="109"/>
      <c r="J211" s="109"/>
      <c r="K211" s="109"/>
      <c r="L211" s="109" t="str">
        <f t="shared" si="3"/>
        <v>96-966200330</v>
      </c>
      <c r="M211" s="114">
        <v>966200330</v>
      </c>
      <c r="N211" s="114" t="s">
        <v>8720</v>
      </c>
    </row>
    <row r="212" spans="1:14" ht="18">
      <c r="A212" s="22" t="s">
        <v>167</v>
      </c>
      <c r="B212" s="1" t="s">
        <v>2362</v>
      </c>
      <c r="C212" s="7"/>
      <c r="I212" s="109"/>
      <c r="J212" s="109"/>
      <c r="K212" s="109"/>
      <c r="L212" s="109" t="str">
        <f t="shared" si="3"/>
        <v>96-962200039</v>
      </c>
      <c r="M212" s="114">
        <v>962200039</v>
      </c>
      <c r="N212" s="114" t="s">
        <v>7173</v>
      </c>
    </row>
    <row r="213" spans="1:14">
      <c r="A213" s="22" t="s">
        <v>515</v>
      </c>
      <c r="B213" s="1" t="s">
        <v>2362</v>
      </c>
      <c r="I213" s="109"/>
      <c r="J213" s="109"/>
      <c r="K213" s="109"/>
      <c r="L213" s="109" t="str">
        <f t="shared" si="3"/>
        <v>95-951400085</v>
      </c>
      <c r="M213" s="114">
        <v>951400085</v>
      </c>
      <c r="N213" s="114" t="s">
        <v>7196</v>
      </c>
    </row>
    <row r="214" spans="1:14">
      <c r="A214" s="22" t="s">
        <v>327</v>
      </c>
      <c r="B214" s="1" t="s">
        <v>2362</v>
      </c>
      <c r="I214" s="109"/>
      <c r="J214" s="109"/>
      <c r="K214" s="109"/>
      <c r="L214" s="109" t="str">
        <f t="shared" si="3"/>
        <v>96-966200197</v>
      </c>
      <c r="M214" s="114">
        <v>966200197</v>
      </c>
      <c r="N214" s="114" t="s">
        <v>7224</v>
      </c>
    </row>
    <row r="215" spans="1:14">
      <c r="A215" s="22" t="s">
        <v>389</v>
      </c>
      <c r="B215" s="1" t="s">
        <v>2362</v>
      </c>
      <c r="I215" s="109"/>
      <c r="J215" s="109"/>
      <c r="K215" s="109"/>
      <c r="L215" s="109" t="str">
        <f t="shared" si="3"/>
        <v>96-966200328</v>
      </c>
      <c r="M215" s="114">
        <v>966200328</v>
      </c>
      <c r="N215" s="114" t="s">
        <v>8720</v>
      </c>
    </row>
    <row r="216" spans="1:14">
      <c r="A216" s="22" t="s">
        <v>328</v>
      </c>
      <c r="B216" s="1" t="s">
        <v>2362</v>
      </c>
      <c r="I216" s="109"/>
      <c r="J216" s="109"/>
      <c r="K216" s="109"/>
      <c r="L216" s="109" t="str">
        <f t="shared" si="3"/>
        <v>95-951500557</v>
      </c>
      <c r="M216" s="114">
        <v>951500557</v>
      </c>
      <c r="N216" s="114" t="s">
        <v>5742</v>
      </c>
    </row>
    <row r="217" spans="1:14">
      <c r="A217" s="22" t="s">
        <v>326</v>
      </c>
      <c r="B217" s="1" t="s">
        <v>2362</v>
      </c>
      <c r="I217" s="109"/>
      <c r="J217" s="109"/>
      <c r="K217" s="109"/>
      <c r="L217" s="109" t="str">
        <f t="shared" si="3"/>
        <v>95-951200004</v>
      </c>
      <c r="M217" s="114">
        <v>951200004</v>
      </c>
      <c r="N217" s="114" t="s">
        <v>7227</v>
      </c>
    </row>
    <row r="218" spans="1:14">
      <c r="A218" s="22" t="s">
        <v>166</v>
      </c>
      <c r="B218" s="1" t="s">
        <v>2362</v>
      </c>
      <c r="I218" s="109"/>
      <c r="J218" s="109"/>
      <c r="K218" s="109"/>
      <c r="L218" s="109" t="str">
        <f t="shared" si="3"/>
        <v>95-951200006</v>
      </c>
      <c r="M218" s="114">
        <v>951200006</v>
      </c>
      <c r="N218" s="114" t="s">
        <v>7131</v>
      </c>
    </row>
    <row r="219" spans="1:14">
      <c r="A219" s="22" t="s">
        <v>64</v>
      </c>
      <c r="B219" s="1" t="s">
        <v>2362</v>
      </c>
      <c r="I219" s="109"/>
      <c r="J219" s="109"/>
      <c r="K219" s="109"/>
      <c r="L219" s="109" t="str">
        <f t="shared" si="3"/>
        <v>95-951200013</v>
      </c>
      <c r="M219" s="114">
        <v>951200013</v>
      </c>
      <c r="N219" s="114" t="s">
        <v>7172</v>
      </c>
    </row>
    <row r="220" spans="1:14">
      <c r="A220" s="22" t="s">
        <v>387</v>
      </c>
      <c r="B220" s="1" t="s">
        <v>2362</v>
      </c>
      <c r="I220" s="109"/>
      <c r="J220" s="109"/>
      <c r="K220" s="109"/>
      <c r="L220" s="109" t="str">
        <f t="shared" si="3"/>
        <v>95-951200017</v>
      </c>
      <c r="M220" s="114">
        <v>951200017</v>
      </c>
      <c r="N220" s="114" t="s">
        <v>7172</v>
      </c>
    </row>
    <row r="221" spans="1:14">
      <c r="A221" s="22" t="s">
        <v>697</v>
      </c>
      <c r="B221" s="1" t="s">
        <v>2362</v>
      </c>
      <c r="I221" s="109"/>
      <c r="J221" s="109"/>
      <c r="K221" s="109"/>
      <c r="L221" s="109" t="str">
        <f t="shared" si="3"/>
        <v>95-951200021</v>
      </c>
      <c r="M221" s="114">
        <v>951200021</v>
      </c>
      <c r="N221" s="114" t="s">
        <v>7172</v>
      </c>
    </row>
    <row r="222" spans="1:14">
      <c r="A222" s="22" t="s">
        <v>595</v>
      </c>
      <c r="B222" s="1" t="s">
        <v>2362</v>
      </c>
      <c r="I222" s="109"/>
      <c r="J222" s="109"/>
      <c r="K222" s="109"/>
      <c r="L222" s="109" t="str">
        <f t="shared" si="3"/>
        <v>95-951200038</v>
      </c>
      <c r="M222" s="114">
        <v>951200038</v>
      </c>
      <c r="N222" s="114" t="s">
        <v>7174</v>
      </c>
    </row>
    <row r="223" spans="1:14">
      <c r="A223" s="22" t="s">
        <v>517</v>
      </c>
      <c r="B223" s="1" t="s">
        <v>2362</v>
      </c>
      <c r="I223" s="109"/>
      <c r="J223" s="109"/>
      <c r="K223" s="109"/>
      <c r="L223" s="109" t="str">
        <f t="shared" si="3"/>
        <v>95-951200092</v>
      </c>
      <c r="M223" s="114">
        <v>951200092</v>
      </c>
      <c r="N223" s="114" t="s">
        <v>7151</v>
      </c>
    </row>
    <row r="224" spans="1:14">
      <c r="A224" s="22" t="s">
        <v>534</v>
      </c>
      <c r="B224" s="1" t="s">
        <v>2362</v>
      </c>
      <c r="I224" s="109"/>
      <c r="J224" s="109"/>
      <c r="K224" s="109"/>
      <c r="L224" s="109" t="str">
        <f t="shared" si="3"/>
        <v>95-951200099</v>
      </c>
      <c r="M224" s="114">
        <v>951200099</v>
      </c>
      <c r="N224" s="114" t="s">
        <v>7239</v>
      </c>
    </row>
    <row r="225" spans="1:14">
      <c r="A225" s="22" t="s">
        <v>574</v>
      </c>
      <c r="B225" s="1" t="s">
        <v>2362</v>
      </c>
      <c r="I225" s="109"/>
      <c r="J225" s="109"/>
      <c r="K225" s="109"/>
      <c r="L225" s="109" t="str">
        <f t="shared" si="3"/>
        <v>96-961200002</v>
      </c>
      <c r="M225" s="114">
        <v>961200002</v>
      </c>
      <c r="N225" s="114" t="s">
        <v>7239</v>
      </c>
    </row>
    <row r="226" spans="1:14">
      <c r="A226" s="22" t="s">
        <v>538</v>
      </c>
      <c r="B226" s="1" t="s">
        <v>2362</v>
      </c>
      <c r="I226" s="109"/>
      <c r="J226" s="109"/>
      <c r="K226" s="109"/>
      <c r="L226" s="109" t="str">
        <f t="shared" si="3"/>
        <v>96-961200005</v>
      </c>
      <c r="M226" s="114">
        <v>961200005</v>
      </c>
      <c r="N226" s="114" t="s">
        <v>7226</v>
      </c>
    </row>
    <row r="227" spans="1:14">
      <c r="A227" s="22" t="s">
        <v>601</v>
      </c>
      <c r="B227" s="1" t="s">
        <v>2362</v>
      </c>
      <c r="I227" s="109"/>
      <c r="J227" s="109"/>
      <c r="K227" s="109"/>
      <c r="L227" s="109" t="str">
        <f t="shared" si="3"/>
        <v>96-961200014</v>
      </c>
      <c r="M227" s="114">
        <v>961200014</v>
      </c>
      <c r="N227" s="114" t="s">
        <v>7230</v>
      </c>
    </row>
    <row r="228" spans="1:14">
      <c r="A228" s="22" t="s">
        <v>518</v>
      </c>
      <c r="B228" s="1" t="s">
        <v>2362</v>
      </c>
      <c r="I228" s="109"/>
      <c r="J228" s="109"/>
      <c r="K228" s="109"/>
      <c r="L228" s="109" t="str">
        <f t="shared" si="3"/>
        <v>96-961200033</v>
      </c>
      <c r="M228" s="114">
        <v>961200033</v>
      </c>
      <c r="N228" s="114" t="s">
        <v>7173</v>
      </c>
    </row>
    <row r="229" spans="1:14">
      <c r="A229" s="22" t="s">
        <v>575</v>
      </c>
      <c r="B229" s="1" t="s">
        <v>2362</v>
      </c>
      <c r="I229" s="109"/>
      <c r="J229" s="109"/>
      <c r="K229" s="109"/>
      <c r="L229" s="109" t="str">
        <f t="shared" si="3"/>
        <v>96-961200056</v>
      </c>
      <c r="M229" s="114">
        <v>961200056</v>
      </c>
      <c r="N229" s="114" t="s">
        <v>7244</v>
      </c>
    </row>
    <row r="230" spans="1:14">
      <c r="A230" s="22" t="s">
        <v>89</v>
      </c>
      <c r="B230" s="1" t="s">
        <v>2362</v>
      </c>
      <c r="I230" s="109"/>
      <c r="J230" s="109"/>
      <c r="K230" s="109"/>
      <c r="L230" s="109" t="str">
        <f t="shared" si="3"/>
        <v>96-961200074</v>
      </c>
      <c r="M230" s="114">
        <v>961200074</v>
      </c>
      <c r="N230" s="114" t="s">
        <v>8721</v>
      </c>
    </row>
    <row r="231" spans="1:14">
      <c r="A231" s="22" t="s">
        <v>89</v>
      </c>
      <c r="B231" s="1" t="s">
        <v>2362</v>
      </c>
      <c r="I231" s="109"/>
      <c r="J231" s="109"/>
      <c r="K231" s="109"/>
      <c r="L231" s="109" t="str">
        <f t="shared" si="3"/>
        <v>95-951200011</v>
      </c>
      <c r="M231" s="114">
        <v>951200011</v>
      </c>
      <c r="N231" s="114" t="s">
        <v>7172</v>
      </c>
    </row>
    <row r="232" spans="1:14">
      <c r="A232" s="22" t="s">
        <v>703</v>
      </c>
      <c r="B232" s="1" t="s">
        <v>2362</v>
      </c>
      <c r="I232" s="109"/>
      <c r="J232" s="109"/>
      <c r="K232" s="109"/>
      <c r="L232" s="109" t="str">
        <f t="shared" si="3"/>
        <v>95-951200014</v>
      </c>
      <c r="M232" s="114">
        <v>951200014</v>
      </c>
      <c r="N232" s="114" t="s">
        <v>7172</v>
      </c>
    </row>
    <row r="233" spans="1:14">
      <c r="A233" s="22" t="s">
        <v>577</v>
      </c>
      <c r="B233" s="1" t="s">
        <v>2362</v>
      </c>
      <c r="I233" s="109"/>
      <c r="J233" s="109"/>
      <c r="K233" s="109"/>
      <c r="L233" s="109" t="str">
        <f t="shared" si="3"/>
        <v>95-951200008</v>
      </c>
      <c r="M233" s="114">
        <v>951200008</v>
      </c>
      <c r="N233" s="114" t="s">
        <v>7172</v>
      </c>
    </row>
    <row r="234" spans="1:14">
      <c r="A234" s="22" t="s">
        <v>528</v>
      </c>
      <c r="B234" s="1" t="s">
        <v>2362</v>
      </c>
      <c r="I234" s="109"/>
      <c r="J234" s="109"/>
      <c r="K234" s="109"/>
      <c r="L234" s="109" t="str">
        <f t="shared" si="3"/>
        <v>95-951200057</v>
      </c>
      <c r="M234" s="114">
        <v>951200057</v>
      </c>
      <c r="N234" s="114" t="s">
        <v>7226</v>
      </c>
    </row>
    <row r="235" spans="1:14">
      <c r="A235" s="22" t="s">
        <v>572</v>
      </c>
      <c r="B235" s="1" t="s">
        <v>2362</v>
      </c>
      <c r="I235" s="109"/>
      <c r="J235" s="109"/>
      <c r="K235" s="109"/>
      <c r="L235" s="109" t="str">
        <f t="shared" si="3"/>
        <v>95-951200076</v>
      </c>
      <c r="M235" s="114">
        <v>951200076</v>
      </c>
      <c r="N235" s="114" t="s">
        <v>7172</v>
      </c>
    </row>
    <row r="236" spans="1:14">
      <c r="A236" s="22" t="s">
        <v>522</v>
      </c>
      <c r="B236" s="1" t="s">
        <v>2362</v>
      </c>
      <c r="I236" s="109"/>
      <c r="J236" s="109"/>
      <c r="K236" s="109"/>
      <c r="L236" s="109" t="str">
        <f t="shared" si="3"/>
        <v>96-961200030</v>
      </c>
      <c r="M236" s="114">
        <v>961200030</v>
      </c>
      <c r="N236" s="114" t="s">
        <v>7173</v>
      </c>
    </row>
    <row r="237" spans="1:14">
      <c r="A237" s="22" t="s">
        <v>578</v>
      </c>
      <c r="B237" s="1" t="s">
        <v>2362</v>
      </c>
      <c r="I237" s="109"/>
      <c r="J237" s="109"/>
      <c r="K237" s="109"/>
      <c r="L237" s="109" t="str">
        <f t="shared" si="3"/>
        <v>96-961200044</v>
      </c>
      <c r="M237" s="114">
        <v>961200044</v>
      </c>
      <c r="N237" s="114" t="s">
        <v>7125</v>
      </c>
    </row>
    <row r="238" spans="1:14">
      <c r="A238" s="22" t="s">
        <v>581</v>
      </c>
      <c r="B238" s="1" t="s">
        <v>2362</v>
      </c>
      <c r="I238" s="109"/>
      <c r="J238" s="109"/>
      <c r="K238" s="109"/>
      <c r="L238" s="109" t="str">
        <f t="shared" si="3"/>
        <v>95-951200001</v>
      </c>
      <c r="M238" s="114">
        <v>951200001</v>
      </c>
      <c r="N238" s="114" t="s">
        <v>7232</v>
      </c>
    </row>
    <row r="239" spans="1:14">
      <c r="A239" s="22" t="s">
        <v>671</v>
      </c>
      <c r="B239" s="1" t="s">
        <v>2362</v>
      </c>
      <c r="I239" s="109"/>
      <c r="J239" s="109"/>
      <c r="K239" s="109"/>
      <c r="L239" s="109" t="str">
        <f t="shared" si="3"/>
        <v>95-951200016</v>
      </c>
      <c r="M239" s="114">
        <v>951200016</v>
      </c>
      <c r="N239" s="114" t="s">
        <v>7172</v>
      </c>
    </row>
    <row r="240" spans="1:14">
      <c r="A240" s="22" t="s">
        <v>729</v>
      </c>
      <c r="B240" s="1" t="s">
        <v>2362</v>
      </c>
      <c r="I240" s="109"/>
      <c r="J240" s="109"/>
      <c r="K240" s="109"/>
      <c r="L240" s="109" t="str">
        <f t="shared" si="3"/>
        <v>95-951200022</v>
      </c>
      <c r="M240" s="114">
        <v>951200022</v>
      </c>
      <c r="N240" s="114" t="s">
        <v>7172</v>
      </c>
    </row>
    <row r="241" spans="1:14">
      <c r="A241" s="22" t="s">
        <v>826</v>
      </c>
      <c r="B241" s="1" t="s">
        <v>2362</v>
      </c>
      <c r="I241" s="109"/>
      <c r="J241" s="109"/>
      <c r="K241" s="109"/>
      <c r="L241" s="109" t="str">
        <f t="shared" si="3"/>
        <v>96-961200009</v>
      </c>
      <c r="M241" s="114">
        <v>961200009</v>
      </c>
      <c r="N241" s="114" t="s">
        <v>7229</v>
      </c>
    </row>
    <row r="242" spans="1:14">
      <c r="A242" s="22" t="s">
        <v>730</v>
      </c>
      <c r="B242" s="1" t="s">
        <v>2362</v>
      </c>
      <c r="I242" s="109"/>
      <c r="J242" s="109"/>
      <c r="K242" s="109"/>
      <c r="L242" s="109" t="str">
        <f t="shared" si="3"/>
        <v>96-961200019</v>
      </c>
      <c r="M242" s="114">
        <v>961200019</v>
      </c>
      <c r="N242" s="114" t="s">
        <v>7228</v>
      </c>
    </row>
    <row r="243" spans="1:14">
      <c r="A243" s="22" t="s">
        <v>1302</v>
      </c>
      <c r="B243" s="1" t="s">
        <v>2362</v>
      </c>
      <c r="I243" s="109"/>
      <c r="J243" s="109"/>
      <c r="K243" s="109"/>
      <c r="L243" s="109" t="str">
        <f t="shared" si="3"/>
        <v>95-951200003</v>
      </c>
      <c r="M243" s="114">
        <v>951200003</v>
      </c>
      <c r="N243" s="114" t="s">
        <v>7131</v>
      </c>
    </row>
    <row r="244" spans="1:14">
      <c r="A244" s="22" t="s">
        <v>877</v>
      </c>
      <c r="B244" s="1" t="s">
        <v>2362</v>
      </c>
      <c r="I244" s="109"/>
      <c r="J244" s="109"/>
      <c r="K244" s="109"/>
      <c r="L244" s="109" t="str">
        <f t="shared" si="3"/>
        <v>95-951200005</v>
      </c>
      <c r="M244" s="114">
        <v>951200005</v>
      </c>
      <c r="N244" s="114" t="s">
        <v>7131</v>
      </c>
    </row>
    <row r="245" spans="1:14">
      <c r="A245" s="22" t="s">
        <v>876</v>
      </c>
      <c r="B245" s="1" t="s">
        <v>2362</v>
      </c>
      <c r="I245" s="109"/>
      <c r="J245" s="109"/>
      <c r="K245" s="109"/>
      <c r="L245" s="109" t="str">
        <f t="shared" si="3"/>
        <v>95-951200030</v>
      </c>
      <c r="M245" s="114">
        <v>951200030</v>
      </c>
      <c r="N245" s="114" t="s">
        <v>7172</v>
      </c>
    </row>
    <row r="246" spans="1:14">
      <c r="A246" s="22" t="s">
        <v>935</v>
      </c>
      <c r="B246" s="1" t="s">
        <v>2362</v>
      </c>
      <c r="I246" s="109"/>
      <c r="J246" s="109"/>
      <c r="K246" s="109"/>
      <c r="L246" s="109" t="str">
        <f t="shared" si="3"/>
        <v>95-951200064</v>
      </c>
      <c r="M246" s="114">
        <v>951200064</v>
      </c>
      <c r="N246" s="114" t="s">
        <v>7235</v>
      </c>
    </row>
    <row r="247" spans="1:14">
      <c r="A247" s="22" t="s">
        <v>901</v>
      </c>
      <c r="B247" s="1" t="s">
        <v>2362</v>
      </c>
      <c r="I247" s="109"/>
      <c r="J247" s="109"/>
      <c r="K247" s="109"/>
      <c r="L247" s="109" t="str">
        <f t="shared" si="3"/>
        <v>95-951200098</v>
      </c>
      <c r="M247" s="114">
        <v>951200098</v>
      </c>
      <c r="N247" s="114" t="s">
        <v>7236</v>
      </c>
    </row>
    <row r="248" spans="1:14">
      <c r="A248" s="22" t="s">
        <v>900</v>
      </c>
      <c r="B248" s="1" t="s">
        <v>2362</v>
      </c>
      <c r="I248" s="109"/>
      <c r="J248" s="109"/>
      <c r="K248" s="109"/>
      <c r="L248" s="109" t="str">
        <f t="shared" si="3"/>
        <v>96-961200010</v>
      </c>
      <c r="M248" s="114">
        <v>961200010</v>
      </c>
      <c r="N248" s="114" t="s">
        <v>7229</v>
      </c>
    </row>
    <row r="249" spans="1:14">
      <c r="A249" s="22" t="s">
        <v>902</v>
      </c>
      <c r="B249" s="1" t="s">
        <v>2362</v>
      </c>
      <c r="I249" s="109"/>
      <c r="J249" s="109"/>
      <c r="K249" s="109"/>
      <c r="L249" s="109" t="str">
        <f t="shared" si="3"/>
        <v>96-961200018</v>
      </c>
      <c r="M249" s="114">
        <v>961200018</v>
      </c>
      <c r="N249" s="114" t="s">
        <v>7228</v>
      </c>
    </row>
    <row r="250" spans="1:14">
      <c r="A250" s="22" t="s">
        <v>883</v>
      </c>
      <c r="B250" s="1" t="s">
        <v>2362</v>
      </c>
      <c r="I250" s="109"/>
      <c r="J250" s="109"/>
      <c r="K250" s="109"/>
      <c r="L250" s="109" t="str">
        <f t="shared" si="3"/>
        <v>96-961200020</v>
      </c>
      <c r="M250" s="114">
        <v>961200020</v>
      </c>
      <c r="N250" s="114" t="s">
        <v>7228</v>
      </c>
    </row>
    <row r="251" spans="1:14">
      <c r="A251" s="22" t="s">
        <v>920</v>
      </c>
      <c r="B251" s="1" t="s">
        <v>2362</v>
      </c>
      <c r="I251" s="109"/>
      <c r="J251" s="109"/>
      <c r="K251" s="109"/>
      <c r="L251" s="109" t="str">
        <f t="shared" si="3"/>
        <v>96-961200022</v>
      </c>
      <c r="M251" s="114">
        <v>961200022</v>
      </c>
      <c r="N251" s="114" t="s">
        <v>7228</v>
      </c>
    </row>
    <row r="252" spans="1:14">
      <c r="A252" s="22" t="s">
        <v>913</v>
      </c>
      <c r="B252" s="1" t="s">
        <v>2362</v>
      </c>
      <c r="I252" s="109"/>
      <c r="J252" s="109"/>
      <c r="K252" s="109"/>
      <c r="L252" s="109" t="str">
        <f t="shared" si="3"/>
        <v>96-961200045</v>
      </c>
      <c r="M252" s="114">
        <v>961200045</v>
      </c>
      <c r="N252" s="114" t="s">
        <v>7125</v>
      </c>
    </row>
    <row r="253" spans="1:14">
      <c r="A253" s="22" t="s">
        <v>969</v>
      </c>
      <c r="B253" s="1" t="s">
        <v>2362</v>
      </c>
      <c r="I253" s="109"/>
      <c r="J253" s="109"/>
      <c r="K253" s="109"/>
      <c r="L253" s="109" t="str">
        <f t="shared" si="3"/>
        <v>95-951200010</v>
      </c>
      <c r="M253" s="114">
        <v>951200010</v>
      </c>
      <c r="N253" s="114" t="s">
        <v>7172</v>
      </c>
    </row>
    <row r="254" spans="1:14">
      <c r="A254" s="22" t="s">
        <v>1008</v>
      </c>
      <c r="B254" s="1" t="s">
        <v>2362</v>
      </c>
      <c r="I254" s="109"/>
      <c r="J254" s="109"/>
      <c r="K254" s="109"/>
      <c r="L254" s="109" t="str">
        <f t="shared" si="3"/>
        <v>95-951200012</v>
      </c>
      <c r="M254" s="114">
        <v>951200012</v>
      </c>
      <c r="N254" s="114" t="s">
        <v>7172</v>
      </c>
    </row>
    <row r="255" spans="1:14">
      <c r="A255" s="22" t="s">
        <v>970</v>
      </c>
      <c r="B255" s="1" t="s">
        <v>2362</v>
      </c>
      <c r="I255" s="109"/>
      <c r="J255" s="109"/>
      <c r="K255" s="109"/>
      <c r="L255" s="109" t="str">
        <f t="shared" si="3"/>
        <v>95-951200025</v>
      </c>
      <c r="M255" s="114">
        <v>951200025</v>
      </c>
      <c r="N255" s="114" t="s">
        <v>7172</v>
      </c>
    </row>
    <row r="256" spans="1:14">
      <c r="A256" s="22" t="s">
        <v>1161</v>
      </c>
      <c r="B256" s="1" t="s">
        <v>2362</v>
      </c>
      <c r="I256" s="109"/>
      <c r="J256" s="109"/>
      <c r="K256" s="109"/>
      <c r="L256" s="109" t="str">
        <f t="shared" si="3"/>
        <v>95-951200058</v>
      </c>
      <c r="M256" s="114">
        <v>951200058</v>
      </c>
      <c r="N256" s="114" t="s">
        <v>7226</v>
      </c>
    </row>
    <row r="257" spans="1:14">
      <c r="A257" s="22" t="s">
        <v>1160</v>
      </c>
      <c r="B257" s="1" t="s">
        <v>2362</v>
      </c>
      <c r="I257" s="109"/>
      <c r="J257" s="109"/>
      <c r="K257" s="109"/>
      <c r="L257" s="109" t="str">
        <f t="shared" si="3"/>
        <v>96-961200008</v>
      </c>
      <c r="M257" s="114">
        <v>961200008</v>
      </c>
      <c r="N257" s="114" t="s">
        <v>7229</v>
      </c>
    </row>
    <row r="258" spans="1:14">
      <c r="A258" s="22" t="s">
        <v>1130</v>
      </c>
      <c r="B258" s="1" t="s">
        <v>2362</v>
      </c>
      <c r="I258" s="109"/>
      <c r="J258" s="109"/>
      <c r="K258" s="109"/>
      <c r="L258" s="109" t="str">
        <f t="shared" si="3"/>
        <v>96-961200012</v>
      </c>
      <c r="M258" s="114">
        <v>961200012</v>
      </c>
      <c r="N258" s="114" t="s">
        <v>7230</v>
      </c>
    </row>
    <row r="259" spans="1:14">
      <c r="A259" s="22" t="s">
        <v>1303</v>
      </c>
      <c r="B259" s="1" t="s">
        <v>2362</v>
      </c>
      <c r="I259" s="109"/>
      <c r="J259" s="109"/>
      <c r="K259" s="109"/>
      <c r="L259" s="109" t="str">
        <f t="shared" ref="L259:L322" si="4">MID(M259,1,2)&amp;"-"&amp;M259</f>
        <v>96-961200028</v>
      </c>
      <c r="M259" s="114">
        <v>961200028</v>
      </c>
      <c r="N259" s="114" t="s">
        <v>7173</v>
      </c>
    </row>
    <row r="260" spans="1:14">
      <c r="A260" s="22" t="s">
        <v>1128</v>
      </c>
      <c r="B260" s="1" t="s">
        <v>2362</v>
      </c>
      <c r="I260" s="109"/>
      <c r="J260" s="109"/>
      <c r="K260" s="109"/>
      <c r="L260" s="109" t="str">
        <f t="shared" si="4"/>
        <v>95-951200041</v>
      </c>
      <c r="M260" s="114">
        <v>951200041</v>
      </c>
      <c r="N260" s="114" t="s">
        <v>7174</v>
      </c>
    </row>
    <row r="261" spans="1:14">
      <c r="A261" s="22" t="s">
        <v>1104</v>
      </c>
      <c r="B261" s="1" t="s">
        <v>2362</v>
      </c>
      <c r="I261" s="109"/>
      <c r="J261" s="109"/>
      <c r="K261" s="109"/>
      <c r="L261" s="109" t="str">
        <f t="shared" si="4"/>
        <v>95-951200067</v>
      </c>
      <c r="M261" s="114">
        <v>951200067</v>
      </c>
      <c r="N261" s="114" t="s">
        <v>7243</v>
      </c>
    </row>
    <row r="262" spans="1:14">
      <c r="A262" s="22" t="s">
        <v>1108</v>
      </c>
      <c r="B262" s="1" t="s">
        <v>2362</v>
      </c>
      <c r="I262" s="109"/>
      <c r="J262" s="109"/>
      <c r="K262" s="109"/>
      <c r="L262" s="109" t="str">
        <f t="shared" si="4"/>
        <v>96-961200003</v>
      </c>
      <c r="M262" s="114">
        <v>961200003</v>
      </c>
      <c r="N262" s="114" t="s">
        <v>7239</v>
      </c>
    </row>
    <row r="263" spans="1:14">
      <c r="A263" s="22" t="s">
        <v>2360</v>
      </c>
      <c r="B263" s="1" t="s">
        <v>2362</v>
      </c>
      <c r="I263" s="109"/>
      <c r="J263" s="109"/>
      <c r="K263" s="109"/>
      <c r="L263" s="109" t="str">
        <f t="shared" si="4"/>
        <v>96-961200011</v>
      </c>
      <c r="M263" s="114">
        <v>961200011</v>
      </c>
      <c r="N263" s="114" t="s">
        <v>7230</v>
      </c>
    </row>
    <row r="264" spans="1:14">
      <c r="A264" s="22" t="s">
        <v>1304</v>
      </c>
      <c r="B264" s="1" t="s">
        <v>2362</v>
      </c>
      <c r="I264" s="109"/>
      <c r="J264" s="109"/>
      <c r="K264" s="109"/>
      <c r="L264" s="109" t="str">
        <f t="shared" si="4"/>
        <v>96-961200015</v>
      </c>
      <c r="M264" s="114">
        <v>961200015</v>
      </c>
      <c r="N264" s="114" t="s">
        <v>7230</v>
      </c>
    </row>
    <row r="265" spans="1:14">
      <c r="A265" s="22" t="s">
        <v>1305</v>
      </c>
      <c r="B265" s="1" t="s">
        <v>2362</v>
      </c>
      <c r="I265" s="109"/>
      <c r="J265" s="109"/>
      <c r="K265" s="109"/>
      <c r="L265" s="109" t="str">
        <f t="shared" si="4"/>
        <v>96-961200016</v>
      </c>
      <c r="M265" s="114">
        <v>961200016</v>
      </c>
      <c r="N265" s="114" t="s">
        <v>7230</v>
      </c>
    </row>
    <row r="266" spans="1:14">
      <c r="A266" s="22" t="s">
        <v>1306</v>
      </c>
      <c r="B266" s="1" t="s">
        <v>2362</v>
      </c>
      <c r="I266" s="109"/>
      <c r="J266" s="109"/>
      <c r="K266" s="109"/>
      <c r="L266" s="109" t="str">
        <f t="shared" si="4"/>
        <v>96-961200017</v>
      </c>
      <c r="M266" s="114">
        <v>961200017</v>
      </c>
      <c r="N266" s="114" t="s">
        <v>7228</v>
      </c>
    </row>
    <row r="267" spans="1:14">
      <c r="A267" s="22" t="s">
        <v>1307</v>
      </c>
      <c r="B267" s="1" t="s">
        <v>2362</v>
      </c>
      <c r="I267" s="109"/>
      <c r="J267" s="109"/>
      <c r="K267" s="109"/>
      <c r="L267" s="109" t="str">
        <f t="shared" si="4"/>
        <v>96-961200023</v>
      </c>
      <c r="M267" s="114">
        <v>961200023</v>
      </c>
      <c r="N267" s="114" t="s">
        <v>7228</v>
      </c>
    </row>
    <row r="268" spans="1:14">
      <c r="A268" s="22" t="s">
        <v>1308</v>
      </c>
      <c r="B268" s="1" t="s">
        <v>2362</v>
      </c>
      <c r="I268" s="109"/>
      <c r="J268" s="109"/>
      <c r="K268" s="109"/>
      <c r="L268" s="109" t="str">
        <f t="shared" si="4"/>
        <v>96-961200029</v>
      </c>
      <c r="M268" s="114">
        <v>961200029</v>
      </c>
      <c r="N268" s="114" t="s">
        <v>7173</v>
      </c>
    </row>
    <row r="269" spans="1:14">
      <c r="A269" s="22" t="s">
        <v>1309</v>
      </c>
      <c r="B269" s="1" t="s">
        <v>2362</v>
      </c>
      <c r="I269" s="109"/>
      <c r="J269" s="109"/>
      <c r="K269" s="109"/>
      <c r="L269" s="109" t="str">
        <f t="shared" si="4"/>
        <v>96-961200043</v>
      </c>
      <c r="M269" s="114">
        <v>961200043</v>
      </c>
      <c r="N269" s="114" t="s">
        <v>7125</v>
      </c>
    </row>
    <row r="270" spans="1:14">
      <c r="A270" s="22" t="s">
        <v>1310</v>
      </c>
      <c r="B270" s="1" t="s">
        <v>2362</v>
      </c>
      <c r="I270" s="109"/>
      <c r="J270" s="109"/>
      <c r="K270" s="109"/>
      <c r="L270" s="109" t="str">
        <f t="shared" si="4"/>
        <v>95-951200002</v>
      </c>
      <c r="M270" s="114">
        <v>951200002</v>
      </c>
      <c r="N270" s="114" t="s">
        <v>7227</v>
      </c>
    </row>
    <row r="271" spans="1:14">
      <c r="A271" s="22" t="s">
        <v>1311</v>
      </c>
      <c r="B271" s="1" t="s">
        <v>2362</v>
      </c>
      <c r="I271" s="109"/>
      <c r="J271" s="109"/>
      <c r="K271" s="109"/>
      <c r="L271" s="109" t="str">
        <f t="shared" si="4"/>
        <v>95-951200018</v>
      </c>
      <c r="M271" s="114">
        <v>951200018</v>
      </c>
      <c r="N271" s="114" t="s">
        <v>7172</v>
      </c>
    </row>
    <row r="272" spans="1:14">
      <c r="A272" s="22" t="s">
        <v>1483</v>
      </c>
      <c r="B272" s="1" t="s">
        <v>2362</v>
      </c>
      <c r="I272" s="109"/>
      <c r="J272" s="109"/>
      <c r="K272" s="109"/>
      <c r="L272" s="109" t="str">
        <f t="shared" si="4"/>
        <v>95-951200024</v>
      </c>
      <c r="M272" s="114">
        <v>951200024</v>
      </c>
      <c r="N272" s="114" t="s">
        <v>7172</v>
      </c>
    </row>
    <row r="273" spans="1:14">
      <c r="A273" s="22" t="s">
        <v>1488</v>
      </c>
      <c r="B273" s="1" t="s">
        <v>2362</v>
      </c>
      <c r="I273" s="109"/>
      <c r="J273" s="109"/>
      <c r="K273" s="109"/>
      <c r="L273" s="109" t="str">
        <f t="shared" si="4"/>
        <v>95-951200040</v>
      </c>
      <c r="M273" s="114">
        <v>951200040</v>
      </c>
      <c r="N273" s="114" t="s">
        <v>7174</v>
      </c>
    </row>
    <row r="274" spans="1:14">
      <c r="A274" s="22" t="s">
        <v>1567</v>
      </c>
      <c r="B274" s="1" t="s">
        <v>2362</v>
      </c>
      <c r="I274" s="109"/>
      <c r="J274" s="109"/>
      <c r="K274" s="109"/>
      <c r="L274" s="109" t="str">
        <f t="shared" si="4"/>
        <v>96-961200021</v>
      </c>
      <c r="M274" s="114">
        <v>961200021</v>
      </c>
      <c r="N274" s="114" t="s">
        <v>7228</v>
      </c>
    </row>
    <row r="275" spans="1:14">
      <c r="A275" s="22" t="s">
        <v>1568</v>
      </c>
      <c r="B275" s="1" t="s">
        <v>2362</v>
      </c>
      <c r="I275" s="109"/>
      <c r="J275" s="109"/>
      <c r="K275" s="109"/>
      <c r="L275" s="109" t="str">
        <f t="shared" si="4"/>
        <v>96-961200026</v>
      </c>
      <c r="M275" s="114">
        <v>961200026</v>
      </c>
      <c r="N275" s="114" t="s">
        <v>7228</v>
      </c>
    </row>
    <row r="276" spans="1:14">
      <c r="A276" s="22" t="s">
        <v>1597</v>
      </c>
      <c r="B276" s="1" t="s">
        <v>2362</v>
      </c>
      <c r="I276" s="109"/>
      <c r="J276" s="109"/>
      <c r="K276" s="109"/>
      <c r="L276" s="109" t="str">
        <f t="shared" si="4"/>
        <v>96-961200032</v>
      </c>
      <c r="M276" s="114">
        <v>961200032</v>
      </c>
      <c r="N276" s="114" t="s">
        <v>7173</v>
      </c>
    </row>
    <row r="277" spans="1:14">
      <c r="A277" s="22" t="s">
        <v>2361</v>
      </c>
      <c r="B277" s="1" t="s">
        <v>2362</v>
      </c>
      <c r="I277" s="109"/>
      <c r="J277" s="109"/>
      <c r="K277" s="109"/>
      <c r="L277" s="109" t="str">
        <f t="shared" si="4"/>
        <v>96-961200073</v>
      </c>
      <c r="M277" s="114">
        <v>961200073</v>
      </c>
      <c r="N277" s="114" t="s">
        <v>8721</v>
      </c>
    </row>
    <row r="278" spans="1:14">
      <c r="A278" s="22" t="s">
        <v>1788</v>
      </c>
      <c r="B278" s="1" t="s">
        <v>2362</v>
      </c>
      <c r="I278" s="109"/>
      <c r="J278" s="109"/>
      <c r="K278" s="109"/>
      <c r="L278" s="109" t="str">
        <f t="shared" si="4"/>
        <v>96-961200076</v>
      </c>
      <c r="M278" s="114">
        <v>961200076</v>
      </c>
      <c r="N278" s="114" t="s">
        <v>8721</v>
      </c>
    </row>
    <row r="279" spans="1:14">
      <c r="A279" s="22" t="s">
        <v>1756</v>
      </c>
      <c r="B279" s="1" t="s">
        <v>2362</v>
      </c>
      <c r="I279" s="109"/>
      <c r="J279" s="109"/>
      <c r="K279" s="109"/>
      <c r="L279" s="109" t="str">
        <f t="shared" si="4"/>
        <v>95-951500105</v>
      </c>
      <c r="M279" s="114">
        <v>951500105</v>
      </c>
      <c r="N279" s="114" t="s">
        <v>5617</v>
      </c>
    </row>
    <row r="280" spans="1:14" ht="18">
      <c r="A280" s="8" t="s">
        <v>589</v>
      </c>
      <c r="B280" s="1" t="s">
        <v>2368</v>
      </c>
      <c r="I280" s="109"/>
      <c r="J280" s="109"/>
      <c r="K280" s="109"/>
      <c r="L280" s="109" t="str">
        <f t="shared" si="4"/>
        <v>95-951500127</v>
      </c>
      <c r="M280" s="114">
        <v>951500127</v>
      </c>
      <c r="N280" s="114" t="s">
        <v>5617</v>
      </c>
    </row>
    <row r="281" spans="1:14" ht="18">
      <c r="A281" s="8" t="s">
        <v>880</v>
      </c>
      <c r="B281" s="1" t="s">
        <v>2368</v>
      </c>
      <c r="I281" s="109"/>
      <c r="J281" s="109"/>
      <c r="K281" s="109"/>
      <c r="L281" s="109" t="str">
        <f t="shared" si="4"/>
        <v>95-951500383</v>
      </c>
      <c r="M281" s="114">
        <v>951500383</v>
      </c>
      <c r="N281" s="114" t="s">
        <v>5661</v>
      </c>
    </row>
    <row r="282" spans="1:14" ht="18">
      <c r="A282" s="8" t="s">
        <v>801</v>
      </c>
      <c r="B282" s="1" t="s">
        <v>2368</v>
      </c>
      <c r="I282" s="109"/>
      <c r="J282" s="109"/>
      <c r="K282" s="109"/>
      <c r="L282" s="109" t="str">
        <f t="shared" si="4"/>
        <v>95-951500539</v>
      </c>
      <c r="M282" s="114">
        <v>951500539</v>
      </c>
      <c r="N282" s="114" t="s">
        <v>5716</v>
      </c>
    </row>
    <row r="283" spans="1:14" ht="18">
      <c r="A283" s="8" t="s">
        <v>2363</v>
      </c>
      <c r="B283" s="1" t="s">
        <v>2368</v>
      </c>
      <c r="I283" s="109"/>
      <c r="J283" s="109"/>
      <c r="K283" s="109"/>
      <c r="L283" s="109" t="str">
        <f t="shared" si="4"/>
        <v>95-951500605</v>
      </c>
      <c r="M283" s="114">
        <v>951500605</v>
      </c>
      <c r="N283" s="114" t="s">
        <v>5766</v>
      </c>
    </row>
    <row r="284" spans="1:14" ht="18">
      <c r="A284" s="8" t="s">
        <v>817</v>
      </c>
      <c r="B284" s="1" t="s">
        <v>2368</v>
      </c>
      <c r="I284" s="109"/>
      <c r="J284" s="109"/>
      <c r="K284" s="109"/>
      <c r="L284" s="109" t="str">
        <f t="shared" si="4"/>
        <v>95-951500606</v>
      </c>
      <c r="M284" s="114">
        <v>951500606</v>
      </c>
      <c r="N284" s="114" t="s">
        <v>5766</v>
      </c>
    </row>
    <row r="285" spans="1:14" ht="18">
      <c r="A285" s="8" t="s">
        <v>2364</v>
      </c>
      <c r="B285" s="1" t="s">
        <v>2368</v>
      </c>
      <c r="I285" s="109"/>
      <c r="J285" s="109"/>
      <c r="K285" s="109"/>
      <c r="L285" s="109" t="str">
        <f t="shared" si="4"/>
        <v>95-951500601</v>
      </c>
      <c r="M285" s="114">
        <v>951500601</v>
      </c>
      <c r="N285" s="114" t="s">
        <v>5753</v>
      </c>
    </row>
    <row r="286" spans="1:14" ht="18">
      <c r="A286" s="8" t="s">
        <v>1452</v>
      </c>
      <c r="B286" s="1" t="s">
        <v>2368</v>
      </c>
      <c r="I286" s="109"/>
      <c r="J286" s="109"/>
      <c r="K286" s="109"/>
      <c r="L286" s="109" t="str">
        <f t="shared" si="4"/>
        <v>95-951500515</v>
      </c>
      <c r="M286" s="114">
        <v>951500515</v>
      </c>
      <c r="N286" s="114" t="s">
        <v>5722</v>
      </c>
    </row>
    <row r="287" spans="1:14" ht="18">
      <c r="A287" s="8" t="s">
        <v>1264</v>
      </c>
      <c r="B287" s="1" t="s">
        <v>2368</v>
      </c>
      <c r="I287" s="109"/>
      <c r="J287" s="109"/>
      <c r="K287" s="109"/>
      <c r="L287" s="109" t="str">
        <f t="shared" si="4"/>
        <v>95-951500560</v>
      </c>
      <c r="M287" s="114">
        <v>951500560</v>
      </c>
      <c r="N287" s="114" t="s">
        <v>5743</v>
      </c>
    </row>
    <row r="288" spans="1:14" ht="18">
      <c r="A288" s="8" t="s">
        <v>1262</v>
      </c>
      <c r="B288" s="1" t="s">
        <v>2368</v>
      </c>
      <c r="I288" s="109"/>
      <c r="J288" s="109"/>
      <c r="K288" s="109"/>
      <c r="L288" s="109" t="str">
        <f t="shared" si="4"/>
        <v>95-951500393</v>
      </c>
      <c r="M288" s="114">
        <v>951500393</v>
      </c>
      <c r="N288" s="114" t="s">
        <v>5649</v>
      </c>
    </row>
    <row r="289" spans="1:14" ht="18">
      <c r="A289" s="8" t="s">
        <v>1229</v>
      </c>
      <c r="B289" s="1" t="s">
        <v>2368</v>
      </c>
      <c r="I289" s="109"/>
      <c r="J289" s="109"/>
      <c r="K289" s="109"/>
      <c r="L289" s="109" t="str">
        <f t="shared" si="4"/>
        <v>95-951500107</v>
      </c>
      <c r="M289" s="114">
        <v>951500107</v>
      </c>
      <c r="N289" s="114" t="s">
        <v>5613</v>
      </c>
    </row>
    <row r="290" spans="1:14" ht="18">
      <c r="A290" s="8" t="s">
        <v>1453</v>
      </c>
      <c r="B290" s="1" t="s">
        <v>2368</v>
      </c>
      <c r="I290" s="109"/>
      <c r="J290" s="109"/>
      <c r="K290" s="109"/>
      <c r="L290" s="109" t="str">
        <f t="shared" si="4"/>
        <v>95-951500204</v>
      </c>
      <c r="M290" s="114">
        <v>951500204</v>
      </c>
      <c r="N290" s="114" t="s">
        <v>5618</v>
      </c>
    </row>
    <row r="291" spans="1:14" ht="18">
      <c r="A291" s="8" t="s">
        <v>1454</v>
      </c>
      <c r="B291" s="1" t="s">
        <v>2368</v>
      </c>
      <c r="I291" s="109"/>
      <c r="J291" s="109"/>
      <c r="K291" s="109"/>
      <c r="L291" s="109" t="str">
        <f t="shared" si="4"/>
        <v>95-951500061</v>
      </c>
      <c r="M291" s="114">
        <v>951500061</v>
      </c>
      <c r="N291" s="114" t="s">
        <v>5617</v>
      </c>
    </row>
    <row r="292" spans="1:14" ht="18">
      <c r="A292" s="8" t="s">
        <v>1802</v>
      </c>
      <c r="B292" s="1" t="s">
        <v>2368</v>
      </c>
      <c r="I292" s="109"/>
      <c r="J292" s="109"/>
      <c r="K292" s="109"/>
      <c r="L292" s="109" t="str">
        <f t="shared" si="4"/>
        <v>95-951500528</v>
      </c>
      <c r="M292" s="114">
        <v>951500528</v>
      </c>
      <c r="N292" s="114" t="s">
        <v>5701</v>
      </c>
    </row>
    <row r="293" spans="1:14" ht="18">
      <c r="A293" s="8" t="s">
        <v>1274</v>
      </c>
      <c r="B293" s="1" t="s">
        <v>2368</v>
      </c>
      <c r="I293" s="109"/>
      <c r="J293" s="109"/>
      <c r="K293" s="109"/>
      <c r="L293" s="109" t="str">
        <f t="shared" si="4"/>
        <v>96-961500011</v>
      </c>
      <c r="M293" s="114">
        <v>961500011</v>
      </c>
      <c r="N293" s="114" t="s">
        <v>5753</v>
      </c>
    </row>
    <row r="294" spans="1:14" ht="18">
      <c r="A294" s="8" t="s">
        <v>669</v>
      </c>
      <c r="B294" s="1" t="s">
        <v>2368</v>
      </c>
      <c r="I294" s="109"/>
      <c r="J294" s="109"/>
      <c r="K294" s="109"/>
      <c r="L294" s="109" t="str">
        <f t="shared" si="4"/>
        <v>95-951500608</v>
      </c>
      <c r="M294" s="114">
        <v>951500608</v>
      </c>
      <c r="N294" s="114" t="s">
        <v>5766</v>
      </c>
    </row>
    <row r="295" spans="1:14" ht="18">
      <c r="A295" s="8" t="s">
        <v>641</v>
      </c>
      <c r="B295" s="1" t="s">
        <v>2368</v>
      </c>
      <c r="I295" s="109"/>
      <c r="J295" s="109"/>
      <c r="K295" s="109"/>
      <c r="L295" s="109" t="str">
        <f t="shared" si="4"/>
        <v>95-951500166</v>
      </c>
      <c r="M295" s="114">
        <v>951500166</v>
      </c>
      <c r="N295" s="114" t="s">
        <v>5621</v>
      </c>
    </row>
    <row r="296" spans="1:14" ht="18">
      <c r="A296" s="8" t="s">
        <v>617</v>
      </c>
      <c r="B296" s="1" t="s">
        <v>2368</v>
      </c>
      <c r="I296" s="109"/>
      <c r="J296" s="109"/>
      <c r="K296" s="109"/>
      <c r="L296" s="109" t="str">
        <f t="shared" si="4"/>
        <v>95-951500015</v>
      </c>
      <c r="M296" s="114">
        <v>951500015</v>
      </c>
      <c r="N296" s="114" t="s">
        <v>5605</v>
      </c>
    </row>
    <row r="297" spans="1:14" ht="18">
      <c r="A297" s="8" t="s">
        <v>619</v>
      </c>
      <c r="B297" s="1" t="s">
        <v>2368</v>
      </c>
      <c r="I297" s="109"/>
      <c r="J297" s="109"/>
      <c r="K297" s="109"/>
      <c r="L297" s="109" t="str">
        <f t="shared" si="4"/>
        <v>95-951500017</v>
      </c>
      <c r="M297" s="114">
        <v>951500017</v>
      </c>
      <c r="N297" s="114" t="s">
        <v>5605</v>
      </c>
    </row>
    <row r="298" spans="1:14" ht="18">
      <c r="A298" s="8" t="s">
        <v>644</v>
      </c>
      <c r="B298" s="1" t="s">
        <v>2368</v>
      </c>
      <c r="I298" s="109"/>
      <c r="J298" s="109"/>
      <c r="K298" s="109"/>
      <c r="L298" s="109" t="str">
        <f t="shared" si="4"/>
        <v>95-951500098</v>
      </c>
      <c r="M298" s="114">
        <v>951500098</v>
      </c>
      <c r="N298" s="114" t="s">
        <v>5612</v>
      </c>
    </row>
    <row r="299" spans="1:14" ht="18">
      <c r="A299" s="8" t="s">
        <v>579</v>
      </c>
      <c r="B299" s="1" t="s">
        <v>2368</v>
      </c>
      <c r="I299" s="109"/>
      <c r="J299" s="109"/>
      <c r="K299" s="109"/>
      <c r="L299" s="109" t="str">
        <f t="shared" si="4"/>
        <v>95-951500099</v>
      </c>
      <c r="M299" s="114">
        <v>951500099</v>
      </c>
      <c r="N299" s="114" t="s">
        <v>5612</v>
      </c>
    </row>
    <row r="300" spans="1:14" ht="18">
      <c r="A300" s="8" t="s">
        <v>645</v>
      </c>
      <c r="B300" s="1" t="s">
        <v>2368</v>
      </c>
      <c r="I300" s="109"/>
      <c r="J300" s="109"/>
      <c r="K300" s="109"/>
      <c r="L300" s="109" t="str">
        <f t="shared" si="4"/>
        <v>95-951500136</v>
      </c>
      <c r="M300" s="114">
        <v>951500136</v>
      </c>
      <c r="N300" s="114" t="s">
        <v>5612</v>
      </c>
    </row>
    <row r="301" spans="1:14" ht="18">
      <c r="A301" s="8" t="s">
        <v>647</v>
      </c>
      <c r="B301" s="1" t="s">
        <v>2368</v>
      </c>
      <c r="I301" s="109"/>
      <c r="J301" s="109"/>
      <c r="K301" s="109"/>
      <c r="L301" s="109" t="str">
        <f t="shared" si="4"/>
        <v>95-951500149</v>
      </c>
      <c r="M301" s="114">
        <v>951500149</v>
      </c>
      <c r="N301" s="114" t="s">
        <v>5619</v>
      </c>
    </row>
    <row r="302" spans="1:14" ht="18">
      <c r="A302" s="8" t="s">
        <v>679</v>
      </c>
      <c r="B302" s="1" t="s">
        <v>2368</v>
      </c>
      <c r="I302" s="109"/>
      <c r="J302" s="109"/>
      <c r="K302" s="109"/>
      <c r="L302" s="109" t="str">
        <f t="shared" si="4"/>
        <v>95-951500180</v>
      </c>
      <c r="M302" s="114">
        <v>951500180</v>
      </c>
      <c r="N302" s="114" t="s">
        <v>5619</v>
      </c>
    </row>
    <row r="303" spans="1:14" ht="18">
      <c r="A303" s="8" t="s">
        <v>642</v>
      </c>
      <c r="B303" s="1" t="s">
        <v>2368</v>
      </c>
      <c r="I303" s="109"/>
      <c r="J303" s="109"/>
      <c r="K303" s="109"/>
      <c r="L303" s="109" t="str">
        <f t="shared" si="4"/>
        <v>95-951500197</v>
      </c>
      <c r="M303" s="114">
        <v>951500197</v>
      </c>
      <c r="N303" s="114" t="s">
        <v>5619</v>
      </c>
    </row>
    <row r="304" spans="1:14" ht="18">
      <c r="A304" s="8" t="s">
        <v>588</v>
      </c>
      <c r="B304" s="1" t="s">
        <v>2368</v>
      </c>
      <c r="I304" s="109"/>
      <c r="J304" s="109"/>
      <c r="K304" s="109"/>
      <c r="L304" s="109" t="str">
        <f t="shared" si="4"/>
        <v>95-951500223</v>
      </c>
      <c r="M304" s="114">
        <v>951500223</v>
      </c>
      <c r="N304" s="114" t="s">
        <v>5630</v>
      </c>
    </row>
    <row r="305" spans="1:14" ht="18">
      <c r="A305" s="8" t="s">
        <v>680</v>
      </c>
      <c r="B305" s="1" t="s">
        <v>2368</v>
      </c>
      <c r="I305" s="109"/>
      <c r="J305" s="109"/>
      <c r="K305" s="109"/>
      <c r="L305" s="109" t="str">
        <f t="shared" si="4"/>
        <v>95-951500247</v>
      </c>
      <c r="M305" s="114">
        <v>951500247</v>
      </c>
      <c r="N305" s="114" t="s">
        <v>5635</v>
      </c>
    </row>
    <row r="306" spans="1:14" ht="18">
      <c r="A306" s="8" t="s">
        <v>635</v>
      </c>
      <c r="B306" s="1" t="s">
        <v>2368</v>
      </c>
      <c r="I306" s="109"/>
      <c r="J306" s="109"/>
      <c r="K306" s="109"/>
      <c r="L306" s="109" t="str">
        <f t="shared" si="4"/>
        <v>95-951500254</v>
      </c>
      <c r="M306" s="114">
        <v>951500254</v>
      </c>
      <c r="N306" s="114" t="s">
        <v>5635</v>
      </c>
    </row>
    <row r="307" spans="1:14" ht="18">
      <c r="A307" s="8" t="s">
        <v>684</v>
      </c>
      <c r="B307" s="1" t="s">
        <v>2368</v>
      </c>
      <c r="I307" s="109"/>
      <c r="J307" s="109"/>
      <c r="K307" s="109"/>
      <c r="L307" s="109" t="str">
        <f t="shared" si="4"/>
        <v>95-951500265</v>
      </c>
      <c r="M307" s="114">
        <v>951500265</v>
      </c>
      <c r="N307" s="114" t="s">
        <v>5645</v>
      </c>
    </row>
    <row r="308" spans="1:14" ht="18">
      <c r="A308" s="8" t="s">
        <v>692</v>
      </c>
      <c r="B308" s="1" t="s">
        <v>2368</v>
      </c>
      <c r="I308" s="109"/>
      <c r="J308" s="109"/>
      <c r="K308" s="109"/>
      <c r="L308" s="109" t="str">
        <f t="shared" si="4"/>
        <v>95-951500273</v>
      </c>
      <c r="M308" s="114">
        <v>951500273</v>
      </c>
      <c r="N308" s="114" t="s">
        <v>5645</v>
      </c>
    </row>
    <row r="309" spans="1:14" ht="18">
      <c r="A309" s="8" t="s">
        <v>657</v>
      </c>
      <c r="B309" s="1" t="s">
        <v>2368</v>
      </c>
      <c r="I309" s="109"/>
      <c r="J309" s="109"/>
      <c r="K309" s="109"/>
      <c r="L309" s="109" t="str">
        <f t="shared" si="4"/>
        <v>95-951500283</v>
      </c>
      <c r="M309" s="114">
        <v>951500283</v>
      </c>
      <c r="N309" s="114" t="s">
        <v>5654</v>
      </c>
    </row>
    <row r="310" spans="1:14" ht="18">
      <c r="A310" s="8" t="s">
        <v>590</v>
      </c>
      <c r="B310" s="1" t="s">
        <v>2368</v>
      </c>
      <c r="I310" s="109"/>
      <c r="J310" s="109"/>
      <c r="K310" s="109"/>
      <c r="L310" s="109" t="str">
        <f t="shared" si="4"/>
        <v>95-951500284</v>
      </c>
      <c r="M310" s="114">
        <v>951500284</v>
      </c>
      <c r="N310" s="114" t="s">
        <v>5654</v>
      </c>
    </row>
    <row r="311" spans="1:14" ht="18">
      <c r="A311" s="8" t="s">
        <v>687</v>
      </c>
      <c r="B311" s="1" t="s">
        <v>2368</v>
      </c>
      <c r="I311" s="109"/>
      <c r="J311" s="109"/>
      <c r="K311" s="109"/>
      <c r="L311" s="109" t="str">
        <f t="shared" si="4"/>
        <v>95-951500306</v>
      </c>
      <c r="M311" s="114">
        <v>951500306</v>
      </c>
      <c r="N311" s="114" t="s">
        <v>5659</v>
      </c>
    </row>
    <row r="312" spans="1:14" ht="18">
      <c r="A312" s="8" t="s">
        <v>531</v>
      </c>
      <c r="B312" s="1" t="s">
        <v>2368</v>
      </c>
      <c r="I312" s="109"/>
      <c r="J312" s="109"/>
      <c r="K312" s="109"/>
      <c r="L312" s="109" t="str">
        <f t="shared" si="4"/>
        <v>95-951500325</v>
      </c>
      <c r="M312" s="114">
        <v>951500325</v>
      </c>
      <c r="N312" s="114" t="s">
        <v>5659</v>
      </c>
    </row>
    <row r="313" spans="1:14" ht="18">
      <c r="A313" s="8" t="s">
        <v>585</v>
      </c>
      <c r="B313" s="1" t="s">
        <v>2368</v>
      </c>
      <c r="I313" s="109"/>
      <c r="J313" s="109"/>
      <c r="K313" s="109"/>
      <c r="L313" s="109" t="str">
        <f t="shared" si="4"/>
        <v>95-951500333</v>
      </c>
      <c r="M313" s="114">
        <v>951500333</v>
      </c>
      <c r="N313" s="114" t="s">
        <v>5659</v>
      </c>
    </row>
    <row r="314" spans="1:14" ht="18">
      <c r="A314" s="8" t="s">
        <v>587</v>
      </c>
      <c r="B314" s="1" t="s">
        <v>2368</v>
      </c>
      <c r="I314" s="109"/>
      <c r="J314" s="109"/>
      <c r="K314" s="109"/>
      <c r="L314" s="109" t="str">
        <f t="shared" si="4"/>
        <v>95-951500035</v>
      </c>
      <c r="M314" s="114">
        <v>951500035</v>
      </c>
      <c r="N314" s="114" t="s">
        <v>5613</v>
      </c>
    </row>
    <row r="315" spans="1:14" ht="18">
      <c r="A315" s="8" t="s">
        <v>689</v>
      </c>
      <c r="B315" s="1" t="s">
        <v>2368</v>
      </c>
      <c r="I315" s="109"/>
      <c r="J315" s="109"/>
      <c r="K315" s="109"/>
      <c r="L315" s="109" t="str">
        <f t="shared" si="4"/>
        <v>95-951500201</v>
      </c>
      <c r="M315" s="114">
        <v>951500201</v>
      </c>
      <c r="N315" s="114" t="s">
        <v>5618</v>
      </c>
    </row>
    <row r="316" spans="1:14" ht="18">
      <c r="A316" s="8" t="s">
        <v>850</v>
      </c>
      <c r="B316" s="1" t="s">
        <v>2368</v>
      </c>
      <c r="I316" s="109"/>
      <c r="J316" s="109"/>
      <c r="K316" s="109"/>
      <c r="L316" s="109" t="str">
        <f t="shared" si="4"/>
        <v>95-951500029</v>
      </c>
      <c r="M316" s="114">
        <v>951500029</v>
      </c>
      <c r="N316" s="114" t="s">
        <v>5612</v>
      </c>
    </row>
    <row r="317" spans="1:14" ht="18">
      <c r="A317" s="8" t="s">
        <v>1351</v>
      </c>
      <c r="B317" s="1" t="s">
        <v>2368</v>
      </c>
      <c r="I317" s="109"/>
      <c r="J317" s="109"/>
      <c r="K317" s="109"/>
      <c r="L317" s="109" t="str">
        <f t="shared" si="4"/>
        <v>95-951500048</v>
      </c>
      <c r="M317" s="114">
        <v>951500048</v>
      </c>
      <c r="N317" s="114" t="s">
        <v>5612</v>
      </c>
    </row>
    <row r="318" spans="1:14" ht="18">
      <c r="A318" s="8" t="s">
        <v>688</v>
      </c>
      <c r="B318" s="1" t="s">
        <v>2368</v>
      </c>
      <c r="I318" s="109"/>
      <c r="J318" s="109"/>
      <c r="K318" s="109"/>
      <c r="L318" s="109" t="str">
        <f t="shared" si="4"/>
        <v>95-951500052</v>
      </c>
      <c r="M318" s="114">
        <v>951500052</v>
      </c>
      <c r="N318" s="114" t="s">
        <v>5612</v>
      </c>
    </row>
    <row r="319" spans="1:14" ht="18">
      <c r="A319" s="8" t="s">
        <v>659</v>
      </c>
      <c r="B319" s="1" t="s">
        <v>2368</v>
      </c>
      <c r="I319" s="109"/>
      <c r="J319" s="109"/>
      <c r="K319" s="109"/>
      <c r="L319" s="109" t="str">
        <f t="shared" si="4"/>
        <v>95-951500063</v>
      </c>
      <c r="M319" s="114">
        <v>951500063</v>
      </c>
      <c r="N319" s="114" t="s">
        <v>5612</v>
      </c>
    </row>
    <row r="320" spans="1:14" ht="18">
      <c r="A320" s="8" t="s">
        <v>754</v>
      </c>
      <c r="B320" s="1" t="s">
        <v>2368</v>
      </c>
      <c r="I320" s="109"/>
      <c r="J320" s="109"/>
      <c r="K320" s="109"/>
      <c r="L320" s="109" t="str">
        <f t="shared" si="4"/>
        <v>95-951500139</v>
      </c>
      <c r="M320" s="114">
        <v>951500139</v>
      </c>
      <c r="N320" s="114" t="s">
        <v>5619</v>
      </c>
    </row>
    <row r="321" spans="1:14" ht="18">
      <c r="A321" s="8" t="s">
        <v>658</v>
      </c>
      <c r="B321" s="1" t="s">
        <v>2368</v>
      </c>
      <c r="I321" s="109"/>
      <c r="J321" s="109"/>
      <c r="K321" s="109"/>
      <c r="L321" s="109" t="str">
        <f t="shared" si="4"/>
        <v>95-951500146</v>
      </c>
      <c r="M321" s="114">
        <v>951500146</v>
      </c>
      <c r="N321" s="114" t="s">
        <v>5619</v>
      </c>
    </row>
    <row r="322" spans="1:14" ht="18">
      <c r="A322" s="8" t="s">
        <v>747</v>
      </c>
      <c r="B322" s="1" t="s">
        <v>2368</v>
      </c>
      <c r="I322" s="109"/>
      <c r="J322" s="109"/>
      <c r="K322" s="109"/>
      <c r="L322" s="109" t="str">
        <f t="shared" si="4"/>
        <v>95-951500205</v>
      </c>
      <c r="M322" s="114">
        <v>951500205</v>
      </c>
      <c r="N322" s="114" t="s">
        <v>5627</v>
      </c>
    </row>
    <row r="323" spans="1:14" ht="18">
      <c r="A323" s="8" t="s">
        <v>650</v>
      </c>
      <c r="B323" s="1" t="s">
        <v>2368</v>
      </c>
      <c r="I323" s="109"/>
      <c r="J323" s="109"/>
      <c r="K323" s="109"/>
      <c r="L323" s="109" t="str">
        <f t="shared" ref="L323:L386" si="5">MID(M323,1,2)&amp;"-"&amp;M323</f>
        <v>95-951500213</v>
      </c>
      <c r="M323" s="114">
        <v>951500213</v>
      </c>
      <c r="N323" s="114" t="s">
        <v>5630</v>
      </c>
    </row>
    <row r="324" spans="1:14" ht="18">
      <c r="A324" s="8" t="s">
        <v>670</v>
      </c>
      <c r="B324" s="1" t="s">
        <v>2368</v>
      </c>
      <c r="C324" s="6"/>
      <c r="I324" s="109"/>
      <c r="J324" s="109"/>
      <c r="K324" s="109"/>
      <c r="L324" s="109" t="str">
        <f t="shared" si="5"/>
        <v>95-951500277</v>
      </c>
      <c r="M324" s="114">
        <v>951500277</v>
      </c>
      <c r="N324" s="114" t="s">
        <v>5654</v>
      </c>
    </row>
    <row r="325" spans="1:14" ht="18">
      <c r="A325" s="8" t="s">
        <v>693</v>
      </c>
      <c r="B325" s="1" t="s">
        <v>2368</v>
      </c>
      <c r="C325" s="6"/>
      <c r="I325" s="109"/>
      <c r="J325" s="109"/>
      <c r="K325" s="109"/>
      <c r="L325" s="109" t="str">
        <f t="shared" si="5"/>
        <v>95-951500321</v>
      </c>
      <c r="M325" s="114">
        <v>951500321</v>
      </c>
      <c r="N325" s="114" t="s">
        <v>5659</v>
      </c>
    </row>
    <row r="326" spans="1:14" ht="18">
      <c r="A326" s="8" t="s">
        <v>667</v>
      </c>
      <c r="B326" s="1" t="s">
        <v>2368</v>
      </c>
      <c r="I326" s="109"/>
      <c r="J326" s="109"/>
      <c r="K326" s="109"/>
      <c r="L326" s="109" t="str">
        <f t="shared" si="5"/>
        <v>95-951500106</v>
      </c>
      <c r="M326" s="114">
        <v>951500106</v>
      </c>
      <c r="N326" s="114" t="s">
        <v>5617</v>
      </c>
    </row>
    <row r="327" spans="1:14" ht="18">
      <c r="A327" s="8" t="s">
        <v>691</v>
      </c>
      <c r="B327" s="1" t="s">
        <v>2368</v>
      </c>
      <c r="I327" s="109"/>
      <c r="J327" s="109"/>
      <c r="K327" s="109"/>
      <c r="L327" s="109" t="str">
        <f t="shared" si="5"/>
        <v>95-951500350</v>
      </c>
      <c r="M327" s="114">
        <v>951500350</v>
      </c>
      <c r="N327" s="114" t="s">
        <v>5659</v>
      </c>
    </row>
    <row r="328" spans="1:14" ht="18">
      <c r="A328" s="8" t="s">
        <v>664</v>
      </c>
      <c r="B328" s="1" t="s">
        <v>2368</v>
      </c>
      <c r="I328" s="109"/>
      <c r="J328" s="109"/>
      <c r="K328" s="109"/>
      <c r="L328" s="109" t="str">
        <f t="shared" si="5"/>
        <v>95-951500354</v>
      </c>
      <c r="M328" s="114">
        <v>951500354</v>
      </c>
      <c r="N328" s="114" t="s">
        <v>5658</v>
      </c>
    </row>
    <row r="329" spans="1:14" ht="18">
      <c r="A329" s="8" t="s">
        <v>750</v>
      </c>
      <c r="B329" s="1" t="s">
        <v>2368</v>
      </c>
      <c r="I329" s="109"/>
      <c r="J329" s="109"/>
      <c r="K329" s="109"/>
      <c r="L329" s="109" t="str">
        <f t="shared" si="5"/>
        <v>95-951500362</v>
      </c>
      <c r="M329" s="114">
        <v>951500362</v>
      </c>
      <c r="N329" s="114" t="s">
        <v>5659</v>
      </c>
    </row>
    <row r="330" spans="1:14" ht="18">
      <c r="A330" s="8" t="s">
        <v>675</v>
      </c>
      <c r="B330" s="1" t="s">
        <v>2368</v>
      </c>
      <c r="I330" s="109"/>
      <c r="J330" s="109"/>
      <c r="K330" s="109"/>
      <c r="L330" s="109" t="str">
        <f t="shared" si="5"/>
        <v>95-951500380</v>
      </c>
      <c r="M330" s="114">
        <v>951500380</v>
      </c>
      <c r="N330" s="114" t="s">
        <v>5680</v>
      </c>
    </row>
    <row r="331" spans="1:14" ht="18">
      <c r="A331" s="8" t="s">
        <v>753</v>
      </c>
      <c r="B331" s="1" t="s">
        <v>2368</v>
      </c>
      <c r="I331" s="109"/>
      <c r="J331" s="109"/>
      <c r="K331" s="109"/>
      <c r="L331" s="109" t="str">
        <f t="shared" si="5"/>
        <v>95-951500381</v>
      </c>
      <c r="M331" s="114">
        <v>951500381</v>
      </c>
      <c r="N331" s="114" t="s">
        <v>5680</v>
      </c>
    </row>
    <row r="332" spans="1:14" ht="18">
      <c r="A332" s="8" t="s">
        <v>755</v>
      </c>
      <c r="B332" s="1" t="s">
        <v>2368</v>
      </c>
      <c r="I332" s="109"/>
      <c r="J332" s="109"/>
      <c r="K332" s="109"/>
      <c r="L332" s="109" t="str">
        <f t="shared" si="5"/>
        <v>95-951500406</v>
      </c>
      <c r="M332" s="114">
        <v>951500406</v>
      </c>
      <c r="N332" s="114" t="s">
        <v>5680</v>
      </c>
    </row>
    <row r="333" spans="1:14" ht="18">
      <c r="A333" s="8" t="s">
        <v>749</v>
      </c>
      <c r="B333" s="1" t="s">
        <v>2368</v>
      </c>
      <c r="I333" s="109"/>
      <c r="J333" s="109"/>
      <c r="K333" s="109"/>
      <c r="L333" s="109" t="str">
        <f t="shared" si="5"/>
        <v>95-951500451</v>
      </c>
      <c r="M333" s="114">
        <v>951500451</v>
      </c>
      <c r="N333" s="114" t="s">
        <v>5694</v>
      </c>
    </row>
    <row r="334" spans="1:14" ht="18">
      <c r="A334" s="8" t="s">
        <v>761</v>
      </c>
      <c r="B334" s="1" t="s">
        <v>2368</v>
      </c>
      <c r="I334" s="109"/>
      <c r="J334" s="109"/>
      <c r="K334" s="109"/>
      <c r="L334" s="109" t="str">
        <f t="shared" si="5"/>
        <v>95-951500486</v>
      </c>
      <c r="M334" s="114">
        <v>951500486</v>
      </c>
      <c r="N334" s="114" t="s">
        <v>5708</v>
      </c>
    </row>
    <row r="335" spans="1:14" ht="18">
      <c r="A335" s="8" t="s">
        <v>763</v>
      </c>
      <c r="B335" s="1" t="s">
        <v>2368</v>
      </c>
      <c r="I335" s="109"/>
      <c r="J335" s="109"/>
      <c r="K335" s="109"/>
      <c r="L335" s="109" t="str">
        <f t="shared" si="5"/>
        <v>95-951500496</v>
      </c>
      <c r="M335" s="114">
        <v>951500496</v>
      </c>
      <c r="N335" s="114" t="s">
        <v>5708</v>
      </c>
    </row>
    <row r="336" spans="1:14" ht="18">
      <c r="A336" s="8" t="s">
        <v>764</v>
      </c>
      <c r="B336" s="1" t="s">
        <v>2368</v>
      </c>
      <c r="I336" s="109"/>
      <c r="J336" s="109"/>
      <c r="K336" s="109"/>
      <c r="L336" s="109" t="str">
        <f t="shared" si="5"/>
        <v>95-951500577</v>
      </c>
      <c r="M336" s="114">
        <v>951500577</v>
      </c>
      <c r="N336" s="114" t="s">
        <v>5733</v>
      </c>
    </row>
    <row r="337" spans="1:14" ht="18">
      <c r="A337" s="8" t="s">
        <v>762</v>
      </c>
      <c r="B337" s="1" t="s">
        <v>2368</v>
      </c>
      <c r="I337" s="109"/>
      <c r="J337" s="109"/>
      <c r="K337" s="109"/>
      <c r="L337" s="109" t="str">
        <f t="shared" si="5"/>
        <v>95-951500595</v>
      </c>
      <c r="M337" s="114">
        <v>951500595</v>
      </c>
      <c r="N337" s="114" t="s">
        <v>5762</v>
      </c>
    </row>
    <row r="338" spans="1:14" ht="18">
      <c r="A338" s="8" t="s">
        <v>878</v>
      </c>
      <c r="B338" s="1" t="s">
        <v>2368</v>
      </c>
      <c r="I338" s="109"/>
      <c r="J338" s="109"/>
      <c r="K338" s="109"/>
      <c r="L338" s="109" t="str">
        <f t="shared" si="5"/>
        <v>95-951500597</v>
      </c>
      <c r="M338" s="114">
        <v>951500597</v>
      </c>
      <c r="N338" s="114" t="s">
        <v>5752</v>
      </c>
    </row>
    <row r="339" spans="1:14" ht="18">
      <c r="A339" s="8" t="s">
        <v>748</v>
      </c>
      <c r="B339" s="1" t="s">
        <v>2368</v>
      </c>
      <c r="I339" s="109"/>
      <c r="J339" s="109"/>
      <c r="K339" s="109"/>
      <c r="L339" s="109" t="str">
        <f t="shared" si="5"/>
        <v>96-961500003</v>
      </c>
      <c r="M339" s="114">
        <v>961500003</v>
      </c>
      <c r="N339" s="114" t="s">
        <v>5752</v>
      </c>
    </row>
    <row r="340" spans="1:14" ht="18">
      <c r="A340" s="8" t="s">
        <v>760</v>
      </c>
      <c r="B340" s="1" t="s">
        <v>2368</v>
      </c>
      <c r="I340" s="109"/>
      <c r="J340" s="109"/>
      <c r="K340" s="109"/>
      <c r="L340" s="109" t="str">
        <f t="shared" si="5"/>
        <v>96-961500020</v>
      </c>
      <c r="M340" s="114">
        <v>961500020</v>
      </c>
      <c r="N340" s="114" t="s">
        <v>5758</v>
      </c>
    </row>
    <row r="341" spans="1:14" ht="18">
      <c r="A341" s="8" t="s">
        <v>756</v>
      </c>
      <c r="B341" s="1" t="s">
        <v>2368</v>
      </c>
      <c r="I341" s="109"/>
      <c r="J341" s="109"/>
      <c r="K341" s="109"/>
      <c r="L341" s="109" t="str">
        <f t="shared" si="5"/>
        <v>96-961500054</v>
      </c>
      <c r="M341" s="114">
        <v>961500054</v>
      </c>
      <c r="N341" s="114" t="s">
        <v>5758</v>
      </c>
    </row>
    <row r="342" spans="1:14" ht="18">
      <c r="A342" s="8" t="s">
        <v>757</v>
      </c>
      <c r="B342" s="1" t="s">
        <v>2368</v>
      </c>
      <c r="I342" s="109"/>
      <c r="J342" s="109"/>
      <c r="K342" s="109"/>
      <c r="L342" s="109" t="str">
        <f t="shared" si="5"/>
        <v>96-961500068</v>
      </c>
      <c r="M342" s="114">
        <v>961500068</v>
      </c>
      <c r="N342" s="114" t="s">
        <v>5758</v>
      </c>
    </row>
    <row r="343" spans="1:14" ht="18">
      <c r="A343" s="8" t="s">
        <v>769</v>
      </c>
      <c r="B343" s="1" t="s">
        <v>2368</v>
      </c>
      <c r="I343" s="109"/>
      <c r="J343" s="109"/>
      <c r="K343" s="109"/>
      <c r="L343" s="109" t="str">
        <f t="shared" si="5"/>
        <v>96-961500107</v>
      </c>
      <c r="M343" s="114">
        <v>961500107</v>
      </c>
      <c r="N343" s="114" t="s">
        <v>5762</v>
      </c>
    </row>
    <row r="344" spans="1:14" ht="18">
      <c r="A344" s="8" t="s">
        <v>765</v>
      </c>
      <c r="B344" s="1" t="s">
        <v>2368</v>
      </c>
      <c r="I344" s="109"/>
      <c r="J344" s="109"/>
      <c r="K344" s="109"/>
      <c r="L344" s="109" t="str">
        <f t="shared" si="5"/>
        <v>95-951500305</v>
      </c>
      <c r="M344" s="114">
        <v>951500305</v>
      </c>
      <c r="N344" s="114" t="s">
        <v>5661</v>
      </c>
    </row>
    <row r="345" spans="1:14" ht="18">
      <c r="A345" s="8" t="s">
        <v>1392</v>
      </c>
      <c r="B345" s="1" t="s">
        <v>2368</v>
      </c>
      <c r="I345" s="109"/>
      <c r="J345" s="109"/>
      <c r="K345" s="109"/>
      <c r="L345" s="109" t="str">
        <f t="shared" si="5"/>
        <v>95-951500315</v>
      </c>
      <c r="M345" s="114">
        <v>951500315</v>
      </c>
      <c r="N345" s="114" t="s">
        <v>5661</v>
      </c>
    </row>
    <row r="346" spans="1:14" ht="18">
      <c r="A346" s="8" t="s">
        <v>1196</v>
      </c>
      <c r="B346" s="1" t="s">
        <v>2368</v>
      </c>
      <c r="I346" s="109"/>
      <c r="J346" s="109"/>
      <c r="K346" s="109"/>
      <c r="L346" s="109" t="str">
        <f t="shared" si="5"/>
        <v>95-951500317</v>
      </c>
      <c r="M346" s="114">
        <v>951500317</v>
      </c>
      <c r="N346" s="114" t="s">
        <v>5661</v>
      </c>
    </row>
    <row r="347" spans="1:14" ht="18">
      <c r="A347" s="8" t="s">
        <v>869</v>
      </c>
      <c r="B347" s="1" t="s">
        <v>2368</v>
      </c>
      <c r="I347" s="109"/>
      <c r="J347" s="109"/>
      <c r="K347" s="109"/>
      <c r="L347" s="109" t="str">
        <f t="shared" si="5"/>
        <v>95-951500318</v>
      </c>
      <c r="M347" s="114">
        <v>951500318</v>
      </c>
      <c r="N347" s="114" t="s">
        <v>5661</v>
      </c>
    </row>
    <row r="348" spans="1:14" ht="18">
      <c r="A348" s="8" t="s">
        <v>830</v>
      </c>
      <c r="B348" s="1" t="s">
        <v>2368</v>
      </c>
      <c r="I348" s="109"/>
      <c r="J348" s="109"/>
      <c r="K348" s="109"/>
      <c r="L348" s="109" t="str">
        <f t="shared" si="5"/>
        <v>96-961500005</v>
      </c>
      <c r="M348" s="114">
        <v>961500005</v>
      </c>
      <c r="N348" s="114" t="s">
        <v>5753</v>
      </c>
    </row>
    <row r="349" spans="1:14" ht="18">
      <c r="A349" s="8" t="s">
        <v>1197</v>
      </c>
      <c r="B349" s="1" t="s">
        <v>2368</v>
      </c>
      <c r="I349" s="109"/>
      <c r="J349" s="109"/>
      <c r="K349" s="109"/>
      <c r="L349" s="109" t="str">
        <f t="shared" si="5"/>
        <v>95-951500322</v>
      </c>
      <c r="M349" s="114">
        <v>951500322</v>
      </c>
      <c r="N349" s="114" t="s">
        <v>5659</v>
      </c>
    </row>
    <row r="350" spans="1:14" ht="18">
      <c r="A350" s="8" t="s">
        <v>864</v>
      </c>
      <c r="B350" s="1" t="s">
        <v>2368</v>
      </c>
      <c r="I350" s="109"/>
      <c r="J350" s="109"/>
      <c r="K350" s="109"/>
      <c r="L350" s="109" t="str">
        <f t="shared" si="5"/>
        <v>95-951500323</v>
      </c>
      <c r="M350" s="114">
        <v>951500323</v>
      </c>
      <c r="N350" s="114" t="s">
        <v>5659</v>
      </c>
    </row>
    <row r="351" spans="1:14" ht="18">
      <c r="A351" s="8" t="s">
        <v>926</v>
      </c>
      <c r="B351" s="1" t="s">
        <v>2368</v>
      </c>
      <c r="I351" s="109"/>
      <c r="J351" s="109"/>
      <c r="K351" s="109"/>
      <c r="L351" s="109" t="str">
        <f t="shared" si="5"/>
        <v>95-951500329</v>
      </c>
      <c r="M351" s="114">
        <v>951500329</v>
      </c>
      <c r="N351" s="114" t="s">
        <v>5659</v>
      </c>
    </row>
    <row r="352" spans="1:14" ht="18">
      <c r="A352" s="8" t="s">
        <v>768</v>
      </c>
      <c r="B352" s="1" t="s">
        <v>2368</v>
      </c>
      <c r="I352" s="109"/>
      <c r="J352" s="109"/>
      <c r="K352" s="109"/>
      <c r="L352" s="109" t="str">
        <f t="shared" si="5"/>
        <v>95-951500368</v>
      </c>
      <c r="M352" s="114">
        <v>951500368</v>
      </c>
      <c r="N352" s="114" t="s">
        <v>5659</v>
      </c>
    </row>
    <row r="353" spans="1:14" ht="18">
      <c r="A353" s="8" t="s">
        <v>774</v>
      </c>
      <c r="B353" s="1" t="s">
        <v>2368</v>
      </c>
      <c r="I353" s="109"/>
      <c r="J353" s="109"/>
      <c r="K353" s="109"/>
      <c r="L353" s="109" t="str">
        <f t="shared" si="5"/>
        <v>95-951500370</v>
      </c>
      <c r="M353" s="114">
        <v>951500370</v>
      </c>
      <c r="N353" s="114" t="s">
        <v>5659</v>
      </c>
    </row>
    <row r="354" spans="1:14" ht="18">
      <c r="A354" s="8" t="s">
        <v>863</v>
      </c>
      <c r="B354" s="1" t="s">
        <v>2368</v>
      </c>
      <c r="I354" s="109"/>
      <c r="J354" s="109"/>
      <c r="K354" s="109"/>
      <c r="L354" s="109" t="str">
        <f t="shared" si="5"/>
        <v>95-951500392</v>
      </c>
      <c r="M354" s="114">
        <v>951500392</v>
      </c>
      <c r="N354" s="114" t="s">
        <v>5680</v>
      </c>
    </row>
    <row r="355" spans="1:14" ht="18">
      <c r="A355" s="8" t="s">
        <v>875</v>
      </c>
      <c r="B355" s="1" t="s">
        <v>2368</v>
      </c>
      <c r="I355" s="109"/>
      <c r="J355" s="109"/>
      <c r="K355" s="109"/>
      <c r="L355" s="109" t="str">
        <f t="shared" si="5"/>
        <v>95-951500400</v>
      </c>
      <c r="M355" s="114">
        <v>951500400</v>
      </c>
      <c r="N355" s="114" t="s">
        <v>5680</v>
      </c>
    </row>
    <row r="356" spans="1:14" ht="18">
      <c r="A356" s="8" t="s">
        <v>1448</v>
      </c>
      <c r="B356" s="1" t="s">
        <v>2368</v>
      </c>
      <c r="I356" s="109"/>
      <c r="J356" s="109"/>
      <c r="K356" s="109"/>
      <c r="L356" s="109" t="str">
        <f t="shared" si="5"/>
        <v>95-951500450</v>
      </c>
      <c r="M356" s="114">
        <v>951500450</v>
      </c>
      <c r="N356" s="114" t="s">
        <v>5694</v>
      </c>
    </row>
    <row r="357" spans="1:14" ht="18">
      <c r="A357" s="8" t="s">
        <v>533</v>
      </c>
      <c r="B357" s="1" t="s">
        <v>2368</v>
      </c>
      <c r="I357" s="109"/>
      <c r="J357" s="109"/>
      <c r="K357" s="109"/>
      <c r="L357" s="109" t="str">
        <f t="shared" si="5"/>
        <v>95-951500476</v>
      </c>
      <c r="M357" s="114">
        <v>951500476</v>
      </c>
      <c r="N357" s="114" t="s">
        <v>5708</v>
      </c>
    </row>
    <row r="358" spans="1:14" ht="18">
      <c r="A358" s="8" t="s">
        <v>829</v>
      </c>
      <c r="B358" s="1" t="s">
        <v>2368</v>
      </c>
      <c r="I358" s="109"/>
      <c r="J358" s="109"/>
      <c r="K358" s="109"/>
      <c r="L358" s="109" t="str">
        <f t="shared" si="5"/>
        <v>95-951500485</v>
      </c>
      <c r="M358" s="114">
        <v>951500485</v>
      </c>
      <c r="N358" s="114" t="s">
        <v>5708</v>
      </c>
    </row>
    <row r="359" spans="1:14" ht="18">
      <c r="A359" s="8" t="s">
        <v>868</v>
      </c>
      <c r="B359" s="1" t="s">
        <v>2368</v>
      </c>
      <c r="I359" s="109"/>
      <c r="J359" s="109"/>
      <c r="K359" s="109"/>
      <c r="L359" s="109" t="str">
        <f t="shared" si="5"/>
        <v>95-951500565</v>
      </c>
      <c r="M359" s="114">
        <v>951500565</v>
      </c>
      <c r="N359" s="114" t="s">
        <v>5726</v>
      </c>
    </row>
    <row r="360" spans="1:14" ht="18">
      <c r="A360" s="8" t="s">
        <v>713</v>
      </c>
      <c r="B360" s="1" t="s">
        <v>2368</v>
      </c>
      <c r="I360" s="109"/>
      <c r="J360" s="109"/>
      <c r="K360" s="109"/>
      <c r="L360" s="109" t="str">
        <f t="shared" si="5"/>
        <v>95-951500582</v>
      </c>
      <c r="M360" s="114">
        <v>951500582</v>
      </c>
      <c r="N360" s="114" t="s">
        <v>5733</v>
      </c>
    </row>
    <row r="361" spans="1:14" ht="18">
      <c r="A361" s="8" t="s">
        <v>674</v>
      </c>
      <c r="B361" s="1" t="s">
        <v>2368</v>
      </c>
      <c r="I361" s="109"/>
      <c r="J361" s="109"/>
      <c r="K361" s="109"/>
      <c r="L361" s="109" t="str">
        <f t="shared" si="5"/>
        <v>95-951500589</v>
      </c>
      <c r="M361" s="114">
        <v>951500589</v>
      </c>
      <c r="N361" s="114" t="s">
        <v>5752</v>
      </c>
    </row>
    <row r="362" spans="1:14" ht="18">
      <c r="A362" s="8" t="s">
        <v>709</v>
      </c>
      <c r="B362" s="1" t="s">
        <v>2368</v>
      </c>
      <c r="I362" s="109"/>
      <c r="J362" s="109"/>
      <c r="K362" s="109"/>
      <c r="L362" s="109" t="str">
        <f t="shared" si="5"/>
        <v>95-951500598</v>
      </c>
      <c r="M362" s="114">
        <v>951500598</v>
      </c>
      <c r="N362" s="114" t="s">
        <v>5752</v>
      </c>
    </row>
    <row r="363" spans="1:14" ht="18">
      <c r="A363" s="8" t="s">
        <v>738</v>
      </c>
      <c r="B363" s="1" t="s">
        <v>2368</v>
      </c>
      <c r="I363" s="109"/>
      <c r="J363" s="109"/>
      <c r="K363" s="109"/>
      <c r="L363" s="109" t="str">
        <f t="shared" si="5"/>
        <v>96-961500010</v>
      </c>
      <c r="M363" s="114">
        <v>961500010</v>
      </c>
      <c r="N363" s="114" t="s">
        <v>5752</v>
      </c>
    </row>
    <row r="364" spans="1:14" ht="18">
      <c r="A364" s="8" t="s">
        <v>728</v>
      </c>
      <c r="B364" s="1" t="s">
        <v>2368</v>
      </c>
      <c r="I364" s="109"/>
      <c r="J364" s="109"/>
      <c r="K364" s="109"/>
      <c r="L364" s="109" t="str">
        <f t="shared" si="5"/>
        <v>96-961500013</v>
      </c>
      <c r="M364" s="114">
        <v>961500013</v>
      </c>
      <c r="N364" s="114" t="s">
        <v>5752</v>
      </c>
    </row>
    <row r="365" spans="1:14" ht="18">
      <c r="A365" s="8" t="s">
        <v>708</v>
      </c>
      <c r="B365" s="1" t="s">
        <v>2368</v>
      </c>
      <c r="I365" s="109"/>
      <c r="J365" s="109"/>
      <c r="K365" s="109"/>
      <c r="L365" s="109" t="str">
        <f t="shared" si="5"/>
        <v>96-961500038</v>
      </c>
      <c r="M365" s="114">
        <v>961500038</v>
      </c>
      <c r="N365" s="114" t="s">
        <v>5758</v>
      </c>
    </row>
    <row r="366" spans="1:14" ht="18">
      <c r="A366" s="8" t="s">
        <v>714</v>
      </c>
      <c r="B366" s="1" t="s">
        <v>2368</v>
      </c>
      <c r="I366" s="109"/>
      <c r="J366" s="109"/>
      <c r="K366" s="109"/>
      <c r="L366" s="109" t="str">
        <f t="shared" si="5"/>
        <v>96-961500118</v>
      </c>
      <c r="M366" s="114">
        <v>961500118</v>
      </c>
      <c r="N366" s="114" t="s">
        <v>5762</v>
      </c>
    </row>
    <row r="367" spans="1:14" ht="18">
      <c r="A367" s="8" t="s">
        <v>725</v>
      </c>
      <c r="B367" s="1" t="s">
        <v>2368</v>
      </c>
      <c r="I367" s="109"/>
      <c r="J367" s="109"/>
      <c r="K367" s="109"/>
      <c r="L367" s="109" t="str">
        <f t="shared" si="5"/>
        <v>96-961500172</v>
      </c>
      <c r="M367" s="114">
        <v>961500172</v>
      </c>
      <c r="N367" s="114" t="s">
        <v>5810</v>
      </c>
    </row>
    <row r="368" spans="1:14" ht="18">
      <c r="A368" s="8" t="s">
        <v>828</v>
      </c>
      <c r="B368" s="1" t="s">
        <v>2368</v>
      </c>
      <c r="I368" s="109"/>
      <c r="J368" s="109"/>
      <c r="K368" s="109"/>
      <c r="L368" s="109" t="str">
        <f t="shared" si="5"/>
        <v>96-961500178</v>
      </c>
      <c r="M368" s="114">
        <v>961500178</v>
      </c>
      <c r="N368" s="114" t="s">
        <v>5810</v>
      </c>
    </row>
    <row r="369" spans="1:14" ht="18">
      <c r="A369" s="8" t="s">
        <v>731</v>
      </c>
      <c r="B369" s="1" t="s">
        <v>2368</v>
      </c>
      <c r="I369" s="109"/>
      <c r="J369" s="109"/>
      <c r="K369" s="109"/>
      <c r="L369" s="109" t="str">
        <f t="shared" si="5"/>
        <v>96-961500188</v>
      </c>
      <c r="M369" s="114">
        <v>961500188</v>
      </c>
      <c r="N369" s="114" t="s">
        <v>5813</v>
      </c>
    </row>
    <row r="370" spans="1:14" ht="18">
      <c r="A370" s="8" t="s">
        <v>720</v>
      </c>
      <c r="B370" s="1" t="s">
        <v>2368</v>
      </c>
      <c r="I370" s="109"/>
      <c r="J370" s="109"/>
      <c r="K370" s="109"/>
      <c r="L370" s="109" t="str">
        <f t="shared" si="5"/>
        <v>96-961500192</v>
      </c>
      <c r="M370" s="114">
        <v>961500192</v>
      </c>
      <c r="N370" s="114" t="s">
        <v>5813</v>
      </c>
    </row>
    <row r="371" spans="1:14" ht="18">
      <c r="A371" s="8" t="s">
        <v>711</v>
      </c>
      <c r="B371" s="1" t="s">
        <v>2368</v>
      </c>
      <c r="I371" s="109"/>
      <c r="J371" s="109"/>
      <c r="K371" s="109"/>
      <c r="L371" s="109" t="str">
        <f t="shared" si="5"/>
        <v>96-961500194</v>
      </c>
      <c r="M371" s="114">
        <v>961500194</v>
      </c>
      <c r="N371" s="114" t="s">
        <v>5813</v>
      </c>
    </row>
    <row r="372" spans="1:14" ht="18">
      <c r="A372" s="8" t="s">
        <v>835</v>
      </c>
      <c r="B372" s="1" t="s">
        <v>2368</v>
      </c>
      <c r="I372" s="109"/>
      <c r="J372" s="109"/>
      <c r="K372" s="109"/>
      <c r="L372" s="109" t="str">
        <f t="shared" si="5"/>
        <v>96-961500195</v>
      </c>
      <c r="M372" s="114">
        <v>961500195</v>
      </c>
      <c r="N372" s="114" t="s">
        <v>5813</v>
      </c>
    </row>
    <row r="373" spans="1:14" ht="18">
      <c r="A373" s="23" t="s">
        <v>781</v>
      </c>
      <c r="B373" s="1" t="s">
        <v>2368</v>
      </c>
      <c r="I373" s="109"/>
      <c r="J373" s="109"/>
      <c r="K373" s="109"/>
      <c r="L373" s="109" t="str">
        <f t="shared" si="5"/>
        <v>96-961500203</v>
      </c>
      <c r="M373" s="114">
        <v>961500203</v>
      </c>
      <c r="N373" s="114" t="s">
        <v>5815</v>
      </c>
    </row>
    <row r="374" spans="1:14" ht="18">
      <c r="A374" s="8" t="s">
        <v>1199</v>
      </c>
      <c r="B374" s="1" t="s">
        <v>2368</v>
      </c>
      <c r="I374" s="109"/>
      <c r="J374" s="109"/>
      <c r="K374" s="109"/>
      <c r="L374" s="109" t="str">
        <f t="shared" si="5"/>
        <v>96-961500212</v>
      </c>
      <c r="M374" s="114">
        <v>961500212</v>
      </c>
      <c r="N374" s="114" t="s">
        <v>5813</v>
      </c>
    </row>
    <row r="375" spans="1:14" ht="18">
      <c r="A375" s="8" t="s">
        <v>712</v>
      </c>
      <c r="B375" s="1" t="s">
        <v>2368</v>
      </c>
      <c r="I375" s="109"/>
      <c r="J375" s="109"/>
      <c r="K375" s="109"/>
      <c r="L375" s="109" t="str">
        <f t="shared" si="5"/>
        <v>96-961500236</v>
      </c>
      <c r="M375" s="114">
        <v>961500236</v>
      </c>
      <c r="N375" s="114" t="s">
        <v>5813</v>
      </c>
    </row>
    <row r="376" spans="1:14" ht="18">
      <c r="A376" s="8" t="s">
        <v>727</v>
      </c>
      <c r="B376" s="1" t="s">
        <v>2368</v>
      </c>
      <c r="I376" s="109"/>
      <c r="J376" s="109"/>
      <c r="K376" s="109"/>
      <c r="L376" s="109" t="str">
        <f t="shared" si="5"/>
        <v>96-961500240</v>
      </c>
      <c r="M376" s="114">
        <v>961500240</v>
      </c>
      <c r="N376" s="114" t="s">
        <v>5813</v>
      </c>
    </row>
    <row r="377" spans="1:14" ht="18">
      <c r="A377" s="8" t="s">
        <v>721</v>
      </c>
      <c r="B377" s="1" t="s">
        <v>2368</v>
      </c>
      <c r="I377" s="109"/>
      <c r="J377" s="109"/>
      <c r="K377" s="109"/>
      <c r="L377" s="109" t="str">
        <f t="shared" si="5"/>
        <v>96-961500244</v>
      </c>
      <c r="M377" s="114">
        <v>961500244</v>
      </c>
      <c r="N377" s="114" t="s">
        <v>5814</v>
      </c>
    </row>
    <row r="378" spans="1:14" ht="18">
      <c r="A378" s="8" t="s">
        <v>1435</v>
      </c>
      <c r="B378" s="1" t="s">
        <v>2368</v>
      </c>
      <c r="I378" s="109"/>
      <c r="J378" s="109"/>
      <c r="K378" s="109"/>
      <c r="L378" s="109" t="str">
        <f t="shared" si="5"/>
        <v>96-961500252</v>
      </c>
      <c r="M378" s="114">
        <v>961500252</v>
      </c>
      <c r="N378" s="114" t="s">
        <v>5814</v>
      </c>
    </row>
    <row r="379" spans="1:14" ht="18">
      <c r="A379" s="8" t="s">
        <v>742</v>
      </c>
      <c r="B379" s="1" t="s">
        <v>2368</v>
      </c>
      <c r="I379" s="109"/>
      <c r="J379" s="109"/>
      <c r="K379" s="109"/>
      <c r="L379" s="109" t="str">
        <f t="shared" si="5"/>
        <v>96-961500281</v>
      </c>
      <c r="M379" s="114">
        <v>961500281</v>
      </c>
      <c r="N379" s="114" t="s">
        <v>5826</v>
      </c>
    </row>
    <row r="380" spans="1:14" ht="18">
      <c r="A380" s="8" t="s">
        <v>734</v>
      </c>
      <c r="B380" s="1" t="s">
        <v>2368</v>
      </c>
      <c r="I380" s="109"/>
      <c r="J380" s="109"/>
      <c r="K380" s="109"/>
      <c r="L380" s="109" t="str">
        <f t="shared" si="5"/>
        <v>96-961500302</v>
      </c>
      <c r="M380" s="114">
        <v>961500302</v>
      </c>
      <c r="N380" s="114" t="s">
        <v>5826</v>
      </c>
    </row>
    <row r="381" spans="1:14" ht="18">
      <c r="A381" s="8" t="s">
        <v>726</v>
      </c>
      <c r="B381" s="1" t="s">
        <v>2368</v>
      </c>
      <c r="I381" s="109"/>
      <c r="J381" s="109"/>
      <c r="K381" s="109"/>
      <c r="L381" s="109" t="str">
        <f t="shared" si="5"/>
        <v>96-961500340</v>
      </c>
      <c r="M381" s="114">
        <v>961500340</v>
      </c>
      <c r="N381" s="114" t="s">
        <v>5831</v>
      </c>
    </row>
    <row r="382" spans="1:14" ht="18">
      <c r="A382" s="8" t="s">
        <v>739</v>
      </c>
      <c r="B382" s="1" t="s">
        <v>2368</v>
      </c>
      <c r="I382" s="109"/>
      <c r="J382" s="109"/>
      <c r="K382" s="109"/>
      <c r="L382" s="109" t="str">
        <f t="shared" si="5"/>
        <v>96-961500341</v>
      </c>
      <c r="M382" s="114">
        <v>961500341</v>
      </c>
      <c r="N382" s="114" t="s">
        <v>5831</v>
      </c>
    </row>
    <row r="383" spans="1:14" ht="18">
      <c r="A383" s="8" t="s">
        <v>740</v>
      </c>
      <c r="B383" s="1" t="s">
        <v>2368</v>
      </c>
      <c r="I383" s="109"/>
      <c r="J383" s="109"/>
      <c r="K383" s="109"/>
      <c r="L383" s="109" t="str">
        <f t="shared" si="5"/>
        <v>95-951500445</v>
      </c>
      <c r="M383" s="114">
        <v>951500445</v>
      </c>
      <c r="N383" s="114" t="s">
        <v>5701</v>
      </c>
    </row>
    <row r="384" spans="1:14" ht="18">
      <c r="A384" s="8" t="s">
        <v>786</v>
      </c>
      <c r="B384" s="1" t="s">
        <v>2368</v>
      </c>
      <c r="I384" s="109"/>
      <c r="J384" s="109"/>
      <c r="K384" s="109"/>
      <c r="L384" s="109" t="str">
        <f t="shared" si="5"/>
        <v>95-951500446</v>
      </c>
      <c r="M384" s="114">
        <v>951500446</v>
      </c>
      <c r="N384" s="114" t="s">
        <v>5701</v>
      </c>
    </row>
    <row r="385" spans="1:14" ht="18">
      <c r="A385" s="8" t="s">
        <v>745</v>
      </c>
      <c r="B385" s="1" t="s">
        <v>2368</v>
      </c>
      <c r="I385" s="109"/>
      <c r="J385" s="109"/>
      <c r="K385" s="109"/>
      <c r="L385" s="109" t="str">
        <f t="shared" si="5"/>
        <v>95-951500506</v>
      </c>
      <c r="M385" s="114">
        <v>951500506</v>
      </c>
      <c r="N385" s="114" t="s">
        <v>5701</v>
      </c>
    </row>
    <row r="386" spans="1:14" ht="18">
      <c r="A386" s="8" t="s">
        <v>1439</v>
      </c>
      <c r="B386" s="1" t="s">
        <v>2368</v>
      </c>
      <c r="I386" s="109"/>
      <c r="J386" s="109"/>
      <c r="K386" s="109"/>
      <c r="L386" s="109" t="str">
        <f t="shared" si="5"/>
        <v>96-961500271</v>
      </c>
      <c r="M386" s="114">
        <v>961500271</v>
      </c>
      <c r="N386" s="114" t="s">
        <v>5781</v>
      </c>
    </row>
    <row r="387" spans="1:14" ht="18">
      <c r="A387" s="8" t="s">
        <v>741</v>
      </c>
      <c r="B387" s="1" t="s">
        <v>2368</v>
      </c>
      <c r="I387" s="109"/>
      <c r="J387" s="109"/>
      <c r="K387" s="109"/>
      <c r="L387" s="109" t="str">
        <f t="shared" ref="L387:L450" si="6">MID(M387,1,2)&amp;"-"&amp;M387</f>
        <v>96-961500072</v>
      </c>
      <c r="M387" s="114">
        <v>961500072</v>
      </c>
      <c r="N387" s="114" t="s">
        <v>5753</v>
      </c>
    </row>
    <row r="388" spans="1:14" ht="18">
      <c r="A388" s="8" t="s">
        <v>746</v>
      </c>
      <c r="B388" s="1" t="s">
        <v>2368</v>
      </c>
      <c r="I388" s="109"/>
      <c r="J388" s="109"/>
      <c r="K388" s="109"/>
      <c r="L388" s="109" t="str">
        <f t="shared" si="6"/>
        <v>96-961500041</v>
      </c>
      <c r="M388" s="114">
        <v>961500041</v>
      </c>
      <c r="N388" s="114" t="s">
        <v>5758</v>
      </c>
    </row>
    <row r="389" spans="1:14" ht="18">
      <c r="A389" s="8" t="s">
        <v>784</v>
      </c>
      <c r="B389" s="1" t="s">
        <v>2368</v>
      </c>
      <c r="I389" s="109"/>
      <c r="J389" s="109"/>
      <c r="K389" s="109"/>
      <c r="L389" s="109" t="str">
        <f t="shared" si="6"/>
        <v>96-961500119</v>
      </c>
      <c r="M389" s="114">
        <v>961500119</v>
      </c>
      <c r="N389" s="114" t="s">
        <v>5799</v>
      </c>
    </row>
    <row r="390" spans="1:14" ht="18">
      <c r="A390" s="8" t="s">
        <v>1431</v>
      </c>
      <c r="B390" s="1" t="s">
        <v>2368</v>
      </c>
      <c r="I390" s="109"/>
      <c r="J390" s="109"/>
      <c r="K390" s="109"/>
      <c r="L390" s="109" t="str">
        <f t="shared" si="6"/>
        <v>96-961500127</v>
      </c>
      <c r="M390" s="114">
        <v>961500127</v>
      </c>
      <c r="N390" s="114" t="s">
        <v>5799</v>
      </c>
    </row>
    <row r="391" spans="1:14" ht="18">
      <c r="A391" s="8" t="s">
        <v>1440</v>
      </c>
      <c r="B391" s="1" t="s">
        <v>2368</v>
      </c>
      <c r="I391" s="109"/>
      <c r="J391" s="109"/>
      <c r="K391" s="109"/>
      <c r="L391" s="109" t="str">
        <f t="shared" si="6"/>
        <v>96-961500129</v>
      </c>
      <c r="M391" s="114">
        <v>961500129</v>
      </c>
      <c r="N391" s="114" t="s">
        <v>5799</v>
      </c>
    </row>
    <row r="392" spans="1:14" ht="18">
      <c r="A392" s="8" t="s">
        <v>821</v>
      </c>
      <c r="B392" s="1" t="s">
        <v>2368</v>
      </c>
      <c r="I392" s="109"/>
      <c r="J392" s="109"/>
      <c r="K392" s="109"/>
      <c r="L392" s="109" t="str">
        <f t="shared" si="6"/>
        <v>96-961500150</v>
      </c>
      <c r="M392" s="114">
        <v>961500150</v>
      </c>
      <c r="N392" s="114" t="s">
        <v>5799</v>
      </c>
    </row>
    <row r="393" spans="1:14" ht="18">
      <c r="A393" s="8" t="s">
        <v>852</v>
      </c>
      <c r="B393" s="1" t="s">
        <v>2368</v>
      </c>
      <c r="I393" s="109"/>
      <c r="J393" s="109"/>
      <c r="K393" s="109"/>
      <c r="L393" s="109" t="str">
        <f t="shared" si="6"/>
        <v>96-961500166</v>
      </c>
      <c r="M393" s="114">
        <v>961500166</v>
      </c>
      <c r="N393" s="114" t="s">
        <v>5810</v>
      </c>
    </row>
    <row r="394" spans="1:14" ht="18">
      <c r="A394" s="8" t="s">
        <v>1441</v>
      </c>
      <c r="B394" s="1" t="s">
        <v>2368</v>
      </c>
      <c r="I394" s="109"/>
      <c r="J394" s="109"/>
      <c r="K394" s="109"/>
      <c r="L394" s="109" t="str">
        <f t="shared" si="6"/>
        <v>96-961500169</v>
      </c>
      <c r="M394" s="114">
        <v>961500169</v>
      </c>
      <c r="N394" s="114" t="s">
        <v>5810</v>
      </c>
    </row>
    <row r="395" spans="1:14" ht="18">
      <c r="A395" s="8" t="s">
        <v>782</v>
      </c>
      <c r="B395" s="1" t="s">
        <v>2368</v>
      </c>
      <c r="I395" s="109"/>
      <c r="J395" s="109"/>
      <c r="K395" s="109"/>
      <c r="L395" s="109" t="str">
        <f t="shared" si="6"/>
        <v>96-961500209</v>
      </c>
      <c r="M395" s="114">
        <v>961500209</v>
      </c>
      <c r="N395" s="114" t="s">
        <v>5813</v>
      </c>
    </row>
    <row r="396" spans="1:14" ht="18">
      <c r="A396" s="8" t="s">
        <v>783</v>
      </c>
      <c r="B396" s="1" t="s">
        <v>2368</v>
      </c>
      <c r="I396" s="109"/>
      <c r="J396" s="109"/>
      <c r="K396" s="109"/>
      <c r="L396" s="109" t="str">
        <f t="shared" si="6"/>
        <v>96-961500210</v>
      </c>
      <c r="M396" s="114">
        <v>961500210</v>
      </c>
      <c r="N396" s="114" t="s">
        <v>5813</v>
      </c>
    </row>
    <row r="397" spans="1:14" ht="18">
      <c r="A397" s="8" t="s">
        <v>797</v>
      </c>
      <c r="B397" s="1" t="s">
        <v>2368</v>
      </c>
      <c r="I397" s="109"/>
      <c r="J397" s="109"/>
      <c r="K397" s="109"/>
      <c r="L397" s="109" t="str">
        <f t="shared" si="6"/>
        <v>96-961500218</v>
      </c>
      <c r="M397" s="114">
        <v>961500218</v>
      </c>
      <c r="N397" s="114" t="s">
        <v>5813</v>
      </c>
    </row>
    <row r="398" spans="1:14" ht="18">
      <c r="A398" s="8" t="s">
        <v>856</v>
      </c>
      <c r="B398" s="1" t="s">
        <v>2368</v>
      </c>
      <c r="I398" s="109"/>
      <c r="J398" s="109"/>
      <c r="K398" s="109"/>
      <c r="L398" s="109" t="str">
        <f t="shared" si="6"/>
        <v>96-961500226</v>
      </c>
      <c r="M398" s="114">
        <v>961500226</v>
      </c>
      <c r="N398" s="114" t="s">
        <v>5813</v>
      </c>
    </row>
    <row r="399" spans="1:14" ht="18">
      <c r="A399" s="8" t="s">
        <v>807</v>
      </c>
      <c r="B399" s="1" t="s">
        <v>2368</v>
      </c>
      <c r="I399" s="109"/>
      <c r="J399" s="109"/>
      <c r="K399" s="109"/>
      <c r="L399" s="109" t="str">
        <f t="shared" si="6"/>
        <v>96-961500328</v>
      </c>
      <c r="M399" s="114">
        <v>961500328</v>
      </c>
      <c r="N399" s="114" t="s">
        <v>5831</v>
      </c>
    </row>
    <row r="400" spans="1:14" ht="18">
      <c r="A400" s="8" t="s">
        <v>833</v>
      </c>
      <c r="B400" s="1" t="s">
        <v>2368</v>
      </c>
      <c r="I400" s="109"/>
      <c r="J400" s="109"/>
      <c r="K400" s="109"/>
      <c r="L400" s="109" t="str">
        <f t="shared" si="6"/>
        <v>96-961500350</v>
      </c>
      <c r="M400" s="114">
        <v>961500350</v>
      </c>
      <c r="N400" s="114" t="s">
        <v>5831</v>
      </c>
    </row>
    <row r="401" spans="1:14" ht="18">
      <c r="A401" s="8" t="s">
        <v>808</v>
      </c>
      <c r="B401" s="1" t="s">
        <v>2368</v>
      </c>
      <c r="I401" s="109"/>
      <c r="J401" s="109"/>
      <c r="K401" s="109"/>
      <c r="L401" s="109" t="str">
        <f t="shared" si="6"/>
        <v>96-961500351</v>
      </c>
      <c r="M401" s="114">
        <v>961500351</v>
      </c>
      <c r="N401" s="114" t="s">
        <v>5831</v>
      </c>
    </row>
    <row r="402" spans="1:14" ht="18">
      <c r="A402" s="8" t="s">
        <v>846</v>
      </c>
      <c r="B402" s="1" t="s">
        <v>2368</v>
      </c>
      <c r="I402" s="109"/>
      <c r="J402" s="109"/>
      <c r="K402" s="109"/>
      <c r="L402" s="109" t="str">
        <f t="shared" si="6"/>
        <v>96-961500365</v>
      </c>
      <c r="M402" s="114">
        <v>961500365</v>
      </c>
      <c r="N402" s="114" t="s">
        <v>7231</v>
      </c>
    </row>
    <row r="403" spans="1:14" ht="18">
      <c r="A403" s="8" t="s">
        <v>1433</v>
      </c>
      <c r="B403" s="1" t="s">
        <v>2368</v>
      </c>
      <c r="I403" s="109"/>
      <c r="J403" s="109"/>
      <c r="K403" s="109"/>
      <c r="L403" s="109" t="str">
        <f t="shared" si="6"/>
        <v>96-961500367</v>
      </c>
      <c r="M403" s="114">
        <v>961500367</v>
      </c>
      <c r="N403" s="114" t="s">
        <v>7231</v>
      </c>
    </row>
    <row r="404" spans="1:14" ht="18">
      <c r="A404" s="8" t="s">
        <v>1152</v>
      </c>
      <c r="B404" s="1" t="s">
        <v>2368</v>
      </c>
      <c r="I404" s="109"/>
      <c r="J404" s="109"/>
      <c r="K404" s="109"/>
      <c r="L404" s="109" t="str">
        <f t="shared" si="6"/>
        <v>96-961500369</v>
      </c>
      <c r="M404" s="114">
        <v>961500369</v>
      </c>
      <c r="N404" s="114" t="s">
        <v>7231</v>
      </c>
    </row>
    <row r="405" spans="1:14" ht="18">
      <c r="A405" s="8" t="s">
        <v>800</v>
      </c>
      <c r="B405" s="1" t="s">
        <v>2368</v>
      </c>
      <c r="I405" s="109"/>
      <c r="J405" s="109"/>
      <c r="K405" s="109"/>
      <c r="L405" s="109" t="str">
        <f t="shared" si="6"/>
        <v>96-961500377</v>
      </c>
      <c r="M405" s="114">
        <v>961500377</v>
      </c>
      <c r="N405" s="114" t="s">
        <v>7231</v>
      </c>
    </row>
    <row r="406" spans="1:14" ht="18">
      <c r="A406" s="8" t="s">
        <v>802</v>
      </c>
      <c r="B406" s="1" t="s">
        <v>2368</v>
      </c>
      <c r="I406" s="109"/>
      <c r="J406" s="109"/>
      <c r="K406" s="109"/>
      <c r="L406" s="109" t="str">
        <f t="shared" si="6"/>
        <v>96-961500382</v>
      </c>
      <c r="M406" s="114">
        <v>961500382</v>
      </c>
      <c r="N406" s="114" t="s">
        <v>7231</v>
      </c>
    </row>
    <row r="407" spans="1:14" ht="18">
      <c r="A407" s="8" t="s">
        <v>889</v>
      </c>
      <c r="B407" s="1" t="s">
        <v>2368</v>
      </c>
      <c r="I407" s="109"/>
      <c r="J407" s="109"/>
      <c r="K407" s="109"/>
      <c r="L407" s="109" t="str">
        <f t="shared" si="6"/>
        <v>96-961500389</v>
      </c>
      <c r="M407" s="114">
        <v>961500389</v>
      </c>
      <c r="N407" s="114" t="s">
        <v>7231</v>
      </c>
    </row>
    <row r="408" spans="1:14" ht="18">
      <c r="A408" s="8" t="s">
        <v>925</v>
      </c>
      <c r="B408" s="1" t="s">
        <v>2368</v>
      </c>
      <c r="I408" s="109"/>
      <c r="J408" s="109"/>
      <c r="K408" s="109"/>
      <c r="L408" s="109" t="str">
        <f t="shared" si="6"/>
        <v>96-961500416</v>
      </c>
      <c r="M408" s="114">
        <v>961500416</v>
      </c>
      <c r="N408" s="114" t="s">
        <v>7231</v>
      </c>
    </row>
    <row r="409" spans="1:14" ht="18">
      <c r="A409" s="8" t="s">
        <v>942</v>
      </c>
      <c r="B409" s="1" t="s">
        <v>2368</v>
      </c>
      <c r="I409" s="109"/>
      <c r="J409" s="109"/>
      <c r="K409" s="109"/>
      <c r="L409" s="109" t="str">
        <f t="shared" si="6"/>
        <v>96-961500456</v>
      </c>
      <c r="M409" s="114">
        <v>961500456</v>
      </c>
      <c r="N409" s="114" t="s">
        <v>7175</v>
      </c>
    </row>
    <row r="410" spans="1:14" ht="18">
      <c r="A410" s="8" t="s">
        <v>839</v>
      </c>
      <c r="B410" s="1" t="s">
        <v>2368</v>
      </c>
      <c r="I410" s="109"/>
      <c r="J410" s="109"/>
      <c r="K410" s="109"/>
      <c r="L410" s="109" t="str">
        <f t="shared" si="6"/>
        <v>96-961500529</v>
      </c>
      <c r="M410" s="114">
        <v>961500529</v>
      </c>
      <c r="N410" s="114" t="s">
        <v>7175</v>
      </c>
    </row>
    <row r="411" spans="1:14" ht="18">
      <c r="A411" s="8" t="s">
        <v>2365</v>
      </c>
      <c r="B411" s="1" t="s">
        <v>2368</v>
      </c>
      <c r="I411" s="109"/>
      <c r="J411" s="109"/>
      <c r="K411" s="109"/>
      <c r="L411" s="109" t="str">
        <f t="shared" si="6"/>
        <v>96-961500545</v>
      </c>
      <c r="M411" s="114">
        <v>961500545</v>
      </c>
      <c r="N411" s="114" t="s">
        <v>7175</v>
      </c>
    </row>
    <row r="412" spans="1:14" ht="18">
      <c r="A412" s="8" t="s">
        <v>2366</v>
      </c>
      <c r="B412" s="1" t="s">
        <v>2368</v>
      </c>
      <c r="I412" s="109"/>
      <c r="J412" s="109"/>
      <c r="K412" s="109"/>
      <c r="L412" s="109" t="str">
        <f t="shared" si="6"/>
        <v>96-961500562</v>
      </c>
      <c r="M412" s="114">
        <v>961500562</v>
      </c>
      <c r="N412" s="114" t="s">
        <v>8698</v>
      </c>
    </row>
    <row r="413" spans="1:14" ht="18">
      <c r="A413" s="8" t="s">
        <v>1201</v>
      </c>
      <c r="B413" s="1" t="s">
        <v>2368</v>
      </c>
      <c r="I413" s="109"/>
      <c r="J413" s="109"/>
      <c r="K413" s="109"/>
      <c r="L413" s="109" t="str">
        <f t="shared" si="6"/>
        <v>95-951500022</v>
      </c>
      <c r="M413" s="114">
        <v>951500022</v>
      </c>
      <c r="N413" s="114" t="s">
        <v>5612</v>
      </c>
    </row>
    <row r="414" spans="1:14" ht="18">
      <c r="A414" s="8" t="s">
        <v>934</v>
      </c>
      <c r="B414" s="1" t="s">
        <v>2368</v>
      </c>
      <c r="I414" s="109"/>
      <c r="J414" s="109"/>
      <c r="K414" s="109"/>
      <c r="L414" s="109" t="str">
        <f t="shared" si="6"/>
        <v>95-951500054</v>
      </c>
      <c r="M414" s="114">
        <v>951500054</v>
      </c>
      <c r="N414" s="114" t="s">
        <v>5612</v>
      </c>
    </row>
    <row r="415" spans="1:14" ht="18">
      <c r="A415" s="8" t="s">
        <v>834</v>
      </c>
      <c r="B415" s="1" t="s">
        <v>2368</v>
      </c>
      <c r="I415" s="109"/>
      <c r="J415" s="109"/>
      <c r="K415" s="109"/>
      <c r="L415" s="109" t="str">
        <f t="shared" si="6"/>
        <v>95-951500130</v>
      </c>
      <c r="M415" s="114">
        <v>951500130</v>
      </c>
      <c r="N415" s="114" t="s">
        <v>5612</v>
      </c>
    </row>
    <row r="416" spans="1:14" ht="18">
      <c r="A416" s="8" t="s">
        <v>854</v>
      </c>
      <c r="B416" s="1" t="s">
        <v>2368</v>
      </c>
      <c r="I416" s="109"/>
      <c r="J416" s="109"/>
      <c r="K416" s="109"/>
      <c r="L416" s="109" t="str">
        <f t="shared" si="6"/>
        <v>95-951500134</v>
      </c>
      <c r="M416" s="114">
        <v>951500134</v>
      </c>
      <c r="N416" s="114" t="s">
        <v>5612</v>
      </c>
    </row>
    <row r="417" spans="1:14" ht="18">
      <c r="A417" s="8" t="s">
        <v>927</v>
      </c>
      <c r="B417" s="1" t="s">
        <v>2368</v>
      </c>
      <c r="I417" s="109"/>
      <c r="J417" s="109"/>
      <c r="K417" s="109"/>
      <c r="L417" s="109" t="str">
        <f t="shared" si="6"/>
        <v>95-951500193</v>
      </c>
      <c r="M417" s="114">
        <v>951500193</v>
      </c>
      <c r="N417" s="114" t="s">
        <v>5619</v>
      </c>
    </row>
    <row r="418" spans="1:14" ht="18">
      <c r="A418" s="8" t="s">
        <v>933</v>
      </c>
      <c r="B418" s="1" t="s">
        <v>2368</v>
      </c>
      <c r="I418" s="109"/>
      <c r="J418" s="109"/>
      <c r="K418" s="109"/>
      <c r="L418" s="109" t="str">
        <f t="shared" si="6"/>
        <v>95-951500194</v>
      </c>
      <c r="M418" s="114">
        <v>951500194</v>
      </c>
      <c r="N418" s="114" t="s">
        <v>5619</v>
      </c>
    </row>
    <row r="419" spans="1:14" ht="18">
      <c r="A419" s="8" t="s">
        <v>816</v>
      </c>
      <c r="B419" s="1" t="s">
        <v>2368</v>
      </c>
      <c r="I419" s="109"/>
      <c r="J419" s="109"/>
      <c r="K419" s="109"/>
      <c r="L419" s="109" t="str">
        <f t="shared" si="6"/>
        <v>95-951500237</v>
      </c>
      <c r="M419" s="114">
        <v>951500237</v>
      </c>
      <c r="N419" s="114" t="s">
        <v>5640</v>
      </c>
    </row>
    <row r="420" spans="1:14" ht="18">
      <c r="A420" s="8" t="s">
        <v>867</v>
      </c>
      <c r="B420" s="1" t="s">
        <v>2368</v>
      </c>
      <c r="I420" s="109"/>
      <c r="J420" s="109"/>
      <c r="K420" s="109"/>
      <c r="L420" s="109" t="str">
        <f t="shared" si="6"/>
        <v>95-951500278</v>
      </c>
      <c r="M420" s="114">
        <v>951500278</v>
      </c>
      <c r="N420" s="114" t="s">
        <v>5654</v>
      </c>
    </row>
    <row r="421" spans="1:14" ht="18">
      <c r="A421" s="8" t="s">
        <v>838</v>
      </c>
      <c r="B421" s="1" t="s">
        <v>2368</v>
      </c>
      <c r="I421" s="109"/>
      <c r="J421" s="109"/>
      <c r="K421" s="109"/>
      <c r="L421" s="109" t="str">
        <f t="shared" si="6"/>
        <v>95-951500282</v>
      </c>
      <c r="M421" s="114">
        <v>951500282</v>
      </c>
      <c r="N421" s="114" t="s">
        <v>5654</v>
      </c>
    </row>
    <row r="422" spans="1:14" ht="18">
      <c r="A422" s="8" t="s">
        <v>2367</v>
      </c>
      <c r="B422" s="1" t="s">
        <v>2368</v>
      </c>
      <c r="I422" s="109"/>
      <c r="J422" s="109"/>
      <c r="K422" s="109"/>
      <c r="L422" s="109" t="str">
        <f t="shared" si="6"/>
        <v>95-951500289</v>
      </c>
      <c r="M422" s="114">
        <v>951500289</v>
      </c>
      <c r="N422" s="114" t="s">
        <v>5658</v>
      </c>
    </row>
    <row r="423" spans="1:14" ht="18">
      <c r="A423" s="8" t="s">
        <v>930</v>
      </c>
      <c r="B423" s="1" t="s">
        <v>2368</v>
      </c>
      <c r="I423" s="109"/>
      <c r="J423" s="109"/>
      <c r="K423" s="109"/>
      <c r="L423" s="109" t="str">
        <f t="shared" si="6"/>
        <v>95-951500295</v>
      </c>
      <c r="M423" s="114">
        <v>951500295</v>
      </c>
      <c r="N423" s="114" t="s">
        <v>5659</v>
      </c>
    </row>
    <row r="424" spans="1:14" ht="18">
      <c r="A424" s="8" t="s">
        <v>932</v>
      </c>
      <c r="B424" s="1" t="s">
        <v>2368</v>
      </c>
      <c r="I424" s="109"/>
      <c r="J424" s="109"/>
      <c r="K424" s="109"/>
      <c r="L424" s="109" t="str">
        <f t="shared" si="6"/>
        <v>95-951500334</v>
      </c>
      <c r="M424" s="114">
        <v>951500334</v>
      </c>
      <c r="N424" s="114" t="s">
        <v>5659</v>
      </c>
    </row>
    <row r="425" spans="1:14" ht="18">
      <c r="A425" s="8" t="s">
        <v>1203</v>
      </c>
      <c r="B425" s="1" t="s">
        <v>2368</v>
      </c>
      <c r="I425" s="109"/>
      <c r="J425" s="109"/>
      <c r="K425" s="109"/>
      <c r="L425" s="109" t="str">
        <f t="shared" si="6"/>
        <v>95-951500153</v>
      </c>
      <c r="M425" s="114">
        <v>951500153</v>
      </c>
      <c r="N425" s="114" t="s">
        <v>5621</v>
      </c>
    </row>
    <row r="426" spans="1:14" ht="18">
      <c r="A426" s="8" t="s">
        <v>928</v>
      </c>
      <c r="B426" s="1" t="s">
        <v>2368</v>
      </c>
      <c r="I426" s="109"/>
      <c r="J426" s="109"/>
      <c r="K426" s="109"/>
      <c r="L426" s="109" t="str">
        <f t="shared" si="6"/>
        <v>96-961500381</v>
      </c>
      <c r="M426" s="114">
        <v>961500381</v>
      </c>
      <c r="N426" s="114" t="s">
        <v>7231</v>
      </c>
    </row>
    <row r="427" spans="1:14" ht="18">
      <c r="A427" s="8" t="s">
        <v>1438</v>
      </c>
      <c r="B427" s="1" t="s">
        <v>2368</v>
      </c>
      <c r="I427" s="109"/>
      <c r="J427" s="109"/>
      <c r="K427" s="109"/>
      <c r="L427" s="109" t="str">
        <f t="shared" si="6"/>
        <v>96-961500383</v>
      </c>
      <c r="M427" s="114">
        <v>961500383</v>
      </c>
      <c r="N427" s="114" t="s">
        <v>7231</v>
      </c>
    </row>
    <row r="428" spans="1:14" ht="18">
      <c r="A428" s="8" t="s">
        <v>1436</v>
      </c>
      <c r="B428" s="1" t="s">
        <v>2368</v>
      </c>
      <c r="I428" s="109"/>
      <c r="J428" s="109"/>
      <c r="K428" s="109"/>
      <c r="L428" s="109" t="str">
        <f t="shared" si="6"/>
        <v>96-961500386</v>
      </c>
      <c r="M428" s="114">
        <v>961500386</v>
      </c>
      <c r="N428" s="114" t="s">
        <v>7231</v>
      </c>
    </row>
    <row r="429" spans="1:14" ht="18">
      <c r="A429" s="8" t="s">
        <v>931</v>
      </c>
      <c r="B429" s="1" t="s">
        <v>2368</v>
      </c>
      <c r="I429" s="109"/>
      <c r="J429" s="109"/>
      <c r="K429" s="109"/>
      <c r="L429" s="109" t="str">
        <f t="shared" si="6"/>
        <v>96-961500392</v>
      </c>
      <c r="M429" s="114">
        <v>961500392</v>
      </c>
      <c r="N429" s="114" t="s">
        <v>7231</v>
      </c>
    </row>
    <row r="430" spans="1:14" ht="18">
      <c r="A430" s="8" t="s">
        <v>924</v>
      </c>
      <c r="B430" s="1" t="s">
        <v>2368</v>
      </c>
      <c r="I430" s="109"/>
      <c r="J430" s="109"/>
      <c r="K430" s="109"/>
      <c r="L430" s="109" t="str">
        <f t="shared" si="6"/>
        <v>96-961500398</v>
      </c>
      <c r="M430" s="114">
        <v>961500398</v>
      </c>
      <c r="N430" s="114" t="s">
        <v>7231</v>
      </c>
    </row>
    <row r="431" spans="1:14" ht="18">
      <c r="A431" s="8" t="s">
        <v>1437</v>
      </c>
      <c r="B431" s="1" t="s">
        <v>2368</v>
      </c>
      <c r="I431" s="109"/>
      <c r="J431" s="109"/>
      <c r="K431" s="109"/>
      <c r="L431" s="109" t="str">
        <f t="shared" si="6"/>
        <v>96-961500410</v>
      </c>
      <c r="M431" s="114">
        <v>961500410</v>
      </c>
      <c r="N431" s="114" t="s">
        <v>7231</v>
      </c>
    </row>
    <row r="432" spans="1:14" ht="18">
      <c r="A432" s="8" t="s">
        <v>943</v>
      </c>
      <c r="B432" s="1" t="s">
        <v>2368</v>
      </c>
      <c r="I432" s="109"/>
      <c r="J432" s="109"/>
      <c r="K432" s="109"/>
      <c r="L432" s="109" t="str">
        <f t="shared" si="6"/>
        <v>96-961500417</v>
      </c>
      <c r="M432" s="114">
        <v>961500417</v>
      </c>
      <c r="N432" s="114" t="s">
        <v>7231</v>
      </c>
    </row>
    <row r="433" spans="1:14" ht="18">
      <c r="A433" s="8" t="s">
        <v>1434</v>
      </c>
      <c r="B433" s="1" t="s">
        <v>2368</v>
      </c>
      <c r="I433" s="109"/>
      <c r="J433" s="109"/>
      <c r="K433" s="109"/>
      <c r="L433" s="109" t="str">
        <f t="shared" si="6"/>
        <v>96-961500443</v>
      </c>
      <c r="M433" s="114">
        <v>961500443</v>
      </c>
      <c r="N433" s="114" t="s">
        <v>7175</v>
      </c>
    </row>
    <row r="434" spans="1:14" ht="18">
      <c r="A434" s="8" t="s">
        <v>844</v>
      </c>
      <c r="B434" s="1" t="s">
        <v>2368</v>
      </c>
      <c r="I434" s="109"/>
      <c r="J434" s="109"/>
      <c r="K434" s="109"/>
      <c r="L434" s="109" t="str">
        <f t="shared" si="6"/>
        <v>96-961500457</v>
      </c>
      <c r="M434" s="114">
        <v>961500457</v>
      </c>
      <c r="N434" s="114" t="s">
        <v>7175</v>
      </c>
    </row>
    <row r="435" spans="1:14" ht="18">
      <c r="A435" s="8" t="s">
        <v>886</v>
      </c>
      <c r="B435" s="1" t="s">
        <v>2368</v>
      </c>
      <c r="I435" s="109"/>
      <c r="J435" s="109"/>
      <c r="K435" s="109"/>
      <c r="L435" s="109" t="str">
        <f t="shared" si="6"/>
        <v>96-961500486</v>
      </c>
      <c r="M435" s="114">
        <v>961500486</v>
      </c>
      <c r="N435" s="114" t="s">
        <v>7111</v>
      </c>
    </row>
    <row r="436" spans="1:14" ht="18">
      <c r="A436" s="8" t="s">
        <v>890</v>
      </c>
      <c r="B436" s="1" t="s">
        <v>2368</v>
      </c>
      <c r="I436" s="109"/>
      <c r="J436" s="109"/>
      <c r="K436" s="109"/>
      <c r="L436" s="109" t="str">
        <f t="shared" si="6"/>
        <v>96-961500497</v>
      </c>
      <c r="M436" s="114">
        <v>961500497</v>
      </c>
      <c r="N436" s="114" t="s">
        <v>7111</v>
      </c>
    </row>
    <row r="437" spans="1:14" ht="18">
      <c r="A437" s="8" t="s">
        <v>911</v>
      </c>
      <c r="B437" s="1" t="s">
        <v>2368</v>
      </c>
      <c r="I437" s="109"/>
      <c r="J437" s="109"/>
      <c r="K437" s="109"/>
      <c r="L437" s="109" t="str">
        <f t="shared" si="6"/>
        <v>96-961500509</v>
      </c>
      <c r="M437" s="114">
        <v>961500509</v>
      </c>
      <c r="N437" s="114" t="s">
        <v>7111</v>
      </c>
    </row>
    <row r="438" spans="1:14" ht="18">
      <c r="A438" s="8" t="s">
        <v>907</v>
      </c>
      <c r="B438" s="1" t="s">
        <v>2368</v>
      </c>
      <c r="I438" s="109"/>
      <c r="J438" s="109"/>
      <c r="K438" s="109"/>
      <c r="L438" s="109" t="str">
        <f t="shared" si="6"/>
        <v>96-961500516</v>
      </c>
      <c r="M438" s="114">
        <v>961500516</v>
      </c>
      <c r="N438" s="114" t="s">
        <v>7111</v>
      </c>
    </row>
    <row r="439" spans="1:14" ht="18">
      <c r="A439" s="8" t="s">
        <v>910</v>
      </c>
      <c r="B439" s="1" t="s">
        <v>2368</v>
      </c>
      <c r="I439" s="109"/>
      <c r="J439" s="109"/>
      <c r="K439" s="109"/>
      <c r="L439" s="109" t="str">
        <f t="shared" si="6"/>
        <v>96-961500521</v>
      </c>
      <c r="M439" s="114">
        <v>961500521</v>
      </c>
      <c r="N439" s="114" t="s">
        <v>7111</v>
      </c>
    </row>
    <row r="440" spans="1:14" ht="18">
      <c r="A440" s="8" t="s">
        <v>1019</v>
      </c>
      <c r="B440" s="1" t="s">
        <v>2368</v>
      </c>
      <c r="I440" s="109"/>
      <c r="J440" s="109"/>
      <c r="K440" s="109"/>
      <c r="L440" s="109" t="str">
        <f t="shared" si="6"/>
        <v>96-961500537</v>
      </c>
      <c r="M440" s="114">
        <v>961500537</v>
      </c>
      <c r="N440" s="114" t="s">
        <v>7273</v>
      </c>
    </row>
    <row r="441" spans="1:14" ht="18">
      <c r="A441" s="8" t="s">
        <v>966</v>
      </c>
      <c r="B441" s="1" t="s">
        <v>2368</v>
      </c>
      <c r="I441" s="109"/>
      <c r="J441" s="109"/>
      <c r="K441" s="109"/>
      <c r="L441" s="109" t="str">
        <f t="shared" si="6"/>
        <v>96-961500568</v>
      </c>
      <c r="M441" s="114">
        <v>961500568</v>
      </c>
      <c r="N441" s="114" t="s">
        <v>8698</v>
      </c>
    </row>
    <row r="442" spans="1:14" ht="18">
      <c r="A442" s="8" t="s">
        <v>906</v>
      </c>
      <c r="B442" s="1" t="s">
        <v>2368</v>
      </c>
      <c r="I442" s="109"/>
      <c r="J442" s="109"/>
      <c r="K442" s="109"/>
      <c r="L442" s="109" t="str">
        <f t="shared" si="6"/>
        <v>95-951500014</v>
      </c>
      <c r="M442" s="114">
        <v>951500014</v>
      </c>
      <c r="N442" s="114" t="s">
        <v>5605</v>
      </c>
    </row>
    <row r="443" spans="1:14" ht="18">
      <c r="A443" s="8" t="s">
        <v>842</v>
      </c>
      <c r="B443" s="1" t="s">
        <v>2368</v>
      </c>
      <c r="I443" s="109"/>
      <c r="J443" s="109"/>
      <c r="K443" s="109"/>
      <c r="L443" s="109" t="str">
        <f t="shared" si="6"/>
        <v>95-951500033</v>
      </c>
      <c r="M443" s="114">
        <v>951500033</v>
      </c>
      <c r="N443" s="114" t="s">
        <v>5605</v>
      </c>
    </row>
    <row r="444" spans="1:14" ht="18">
      <c r="A444" s="8" t="s">
        <v>991</v>
      </c>
      <c r="B444" s="1" t="s">
        <v>2368</v>
      </c>
      <c r="I444" s="109"/>
      <c r="J444" s="109"/>
      <c r="K444" s="109"/>
      <c r="L444" s="109" t="str">
        <f t="shared" si="6"/>
        <v>95-951500040</v>
      </c>
      <c r="M444" s="114">
        <v>951500040</v>
      </c>
      <c r="N444" s="114" t="s">
        <v>5613</v>
      </c>
    </row>
    <row r="445" spans="1:14" ht="18">
      <c r="A445" s="8" t="s">
        <v>1238</v>
      </c>
      <c r="B445" s="1" t="s">
        <v>2368</v>
      </c>
      <c r="I445" s="109"/>
      <c r="J445" s="109"/>
      <c r="K445" s="109"/>
      <c r="L445" s="109" t="str">
        <f t="shared" si="6"/>
        <v>95-951500109</v>
      </c>
      <c r="M445" s="114">
        <v>951500109</v>
      </c>
      <c r="N445" s="114" t="s">
        <v>5613</v>
      </c>
    </row>
    <row r="446" spans="1:14" ht="18">
      <c r="A446" s="8" t="s">
        <v>916</v>
      </c>
      <c r="B446" s="1" t="s">
        <v>2368</v>
      </c>
      <c r="I446" s="109"/>
      <c r="J446" s="109"/>
      <c r="K446" s="109"/>
      <c r="L446" s="109" t="str">
        <f t="shared" si="6"/>
        <v>95-951500259</v>
      </c>
      <c r="M446" s="114">
        <v>951500259</v>
      </c>
      <c r="N446" s="114" t="s">
        <v>5649</v>
      </c>
    </row>
    <row r="447" spans="1:14" ht="18">
      <c r="A447" s="8" t="s">
        <v>915</v>
      </c>
      <c r="B447" s="1" t="s">
        <v>2368</v>
      </c>
      <c r="I447" s="109"/>
      <c r="J447" s="109"/>
      <c r="K447" s="109"/>
      <c r="L447" s="109" t="str">
        <f t="shared" si="6"/>
        <v>95-951500377</v>
      </c>
      <c r="M447" s="114">
        <v>951500377</v>
      </c>
      <c r="N447" s="114" t="s">
        <v>5643</v>
      </c>
    </row>
    <row r="448" spans="1:14" ht="18">
      <c r="A448" s="8" t="s">
        <v>1067</v>
      </c>
      <c r="B448" s="1" t="s">
        <v>2368</v>
      </c>
      <c r="I448" s="109"/>
      <c r="J448" s="109"/>
      <c r="K448" s="109"/>
      <c r="L448" s="109" t="str">
        <f t="shared" si="6"/>
        <v>95-951500556</v>
      </c>
      <c r="M448" s="114">
        <v>951500556</v>
      </c>
      <c r="N448" s="114" t="s">
        <v>5740</v>
      </c>
    </row>
    <row r="449" spans="1:14" ht="18">
      <c r="A449" s="8" t="s">
        <v>912</v>
      </c>
      <c r="B449" s="1" t="s">
        <v>2368</v>
      </c>
      <c r="I449" s="109"/>
      <c r="J449" s="109"/>
      <c r="K449" s="109"/>
      <c r="L449" s="109" t="str">
        <f t="shared" si="6"/>
        <v>95-951500290</v>
      </c>
      <c r="M449" s="114">
        <v>951500290</v>
      </c>
      <c r="N449" s="114" t="s">
        <v>5641</v>
      </c>
    </row>
    <row r="450" spans="1:14" ht="18">
      <c r="A450" s="8" t="s">
        <v>1068</v>
      </c>
      <c r="B450" s="1" t="s">
        <v>2368</v>
      </c>
      <c r="I450" s="109"/>
      <c r="J450" s="109"/>
      <c r="K450" s="109"/>
      <c r="L450" s="109" t="str">
        <f t="shared" si="6"/>
        <v>95-951500316</v>
      </c>
      <c r="M450" s="114">
        <v>951500316</v>
      </c>
      <c r="N450" s="114" t="s">
        <v>5661</v>
      </c>
    </row>
    <row r="451" spans="1:14" ht="18">
      <c r="A451" s="8" t="s">
        <v>1020</v>
      </c>
      <c r="B451" s="1" t="s">
        <v>2368</v>
      </c>
      <c r="I451" s="109"/>
      <c r="J451" s="109"/>
      <c r="K451" s="109"/>
      <c r="L451" s="109" t="str">
        <f t="shared" ref="L451:L514" si="7">MID(M451,1,2)&amp;"-"&amp;M451</f>
        <v>95-951500505</v>
      </c>
      <c r="M451" s="114">
        <v>951500505</v>
      </c>
      <c r="N451" s="114" t="s">
        <v>5701</v>
      </c>
    </row>
    <row r="452" spans="1:14" ht="18">
      <c r="A452" s="8" t="s">
        <v>843</v>
      </c>
      <c r="B452" s="1" t="s">
        <v>2368</v>
      </c>
      <c r="I452" s="109"/>
      <c r="J452" s="109"/>
      <c r="K452" s="109"/>
      <c r="L452" s="109" t="str">
        <f t="shared" si="7"/>
        <v>95-951500068</v>
      </c>
      <c r="M452" s="114">
        <v>951500068</v>
      </c>
      <c r="N452" s="114" t="s">
        <v>5608</v>
      </c>
    </row>
    <row r="453" spans="1:14" ht="18">
      <c r="A453" s="8" t="s">
        <v>1218</v>
      </c>
      <c r="B453" s="1" t="s">
        <v>2368</v>
      </c>
      <c r="I453" s="109"/>
      <c r="J453" s="109"/>
      <c r="K453" s="109"/>
      <c r="L453" s="109" t="str">
        <f t="shared" si="7"/>
        <v>95-951500081</v>
      </c>
      <c r="M453" s="114">
        <v>951500081</v>
      </c>
      <c r="N453" s="114" t="s">
        <v>5608</v>
      </c>
    </row>
    <row r="454" spans="1:14" ht="18">
      <c r="A454" s="8" t="s">
        <v>1239</v>
      </c>
      <c r="B454" s="1" t="s">
        <v>2368</v>
      </c>
      <c r="I454" s="109"/>
      <c r="J454" s="109"/>
      <c r="K454" s="109"/>
      <c r="L454" s="109" t="str">
        <f t="shared" si="7"/>
        <v>95-951500093</v>
      </c>
      <c r="M454" s="114">
        <v>951500093</v>
      </c>
      <c r="N454" s="114" t="s">
        <v>5608</v>
      </c>
    </row>
    <row r="455" spans="1:14" ht="18">
      <c r="A455" s="8" t="s">
        <v>1050</v>
      </c>
      <c r="B455" s="1" t="s">
        <v>2368</v>
      </c>
      <c r="I455" s="109"/>
      <c r="J455" s="109"/>
      <c r="K455" s="109"/>
      <c r="L455" s="109" t="str">
        <f t="shared" si="7"/>
        <v>95-951500172</v>
      </c>
      <c r="M455" s="114">
        <v>951500172</v>
      </c>
      <c r="N455" s="114" t="s">
        <v>5622</v>
      </c>
    </row>
    <row r="456" spans="1:14" ht="18">
      <c r="A456" s="8" t="s">
        <v>1216</v>
      </c>
      <c r="B456" s="1" t="s">
        <v>2368</v>
      </c>
      <c r="I456" s="109"/>
      <c r="J456" s="109"/>
      <c r="K456" s="109"/>
      <c r="L456" s="109" t="str">
        <f t="shared" si="7"/>
        <v>95-951500123</v>
      </c>
      <c r="M456" s="114">
        <v>951500123</v>
      </c>
      <c r="N456" s="114" t="s">
        <v>5613</v>
      </c>
    </row>
    <row r="457" spans="1:14" ht="18">
      <c r="A457" s="8" t="s">
        <v>1608</v>
      </c>
      <c r="B457" s="1" t="s">
        <v>2368</v>
      </c>
      <c r="I457" s="109"/>
      <c r="J457" s="109"/>
      <c r="K457" s="109"/>
      <c r="L457" s="109" t="str">
        <f t="shared" si="7"/>
        <v>95-951500141</v>
      </c>
      <c r="M457" s="114">
        <v>951500141</v>
      </c>
      <c r="N457" s="114" t="s">
        <v>5618</v>
      </c>
    </row>
    <row r="458" spans="1:14" ht="18">
      <c r="A458" s="8" t="s">
        <v>904</v>
      </c>
      <c r="B458" s="1" t="s">
        <v>2368</v>
      </c>
      <c r="I458" s="109"/>
      <c r="J458" s="109"/>
      <c r="K458" s="109"/>
      <c r="L458" s="109" t="str">
        <f t="shared" si="7"/>
        <v>95-951500164</v>
      </c>
      <c r="M458" s="114">
        <v>951500164</v>
      </c>
      <c r="N458" s="114" t="s">
        <v>5618</v>
      </c>
    </row>
    <row r="459" spans="1:14" ht="18">
      <c r="A459" s="8" t="s">
        <v>905</v>
      </c>
      <c r="B459" s="1" t="s">
        <v>2368</v>
      </c>
      <c r="I459" s="109"/>
      <c r="J459" s="109"/>
      <c r="K459" s="109"/>
      <c r="L459" s="109" t="str">
        <f t="shared" si="7"/>
        <v>95-951500554</v>
      </c>
      <c r="M459" s="114">
        <v>951500554</v>
      </c>
      <c r="N459" s="114" t="s">
        <v>5740</v>
      </c>
    </row>
    <row r="460" spans="1:14" ht="18">
      <c r="A460" s="8" t="s">
        <v>963</v>
      </c>
      <c r="B460" s="1" t="s">
        <v>2368</v>
      </c>
      <c r="I460" s="109"/>
      <c r="J460" s="109"/>
      <c r="K460" s="109"/>
      <c r="L460" s="109" t="str">
        <f t="shared" si="7"/>
        <v>95-951500336</v>
      </c>
      <c r="M460" s="114">
        <v>951500336</v>
      </c>
      <c r="N460" s="114" t="s">
        <v>5659</v>
      </c>
    </row>
    <row r="461" spans="1:14" ht="18">
      <c r="A461" s="8" t="s">
        <v>1030</v>
      </c>
      <c r="B461" s="1" t="s">
        <v>2368</v>
      </c>
      <c r="I461" s="109"/>
      <c r="J461" s="109"/>
      <c r="K461" s="109"/>
      <c r="L461" s="109" t="str">
        <f t="shared" si="7"/>
        <v>95-951500337</v>
      </c>
      <c r="M461" s="114">
        <v>951500337</v>
      </c>
      <c r="N461" s="114" t="s">
        <v>5659</v>
      </c>
    </row>
    <row r="462" spans="1:14" ht="18">
      <c r="A462" s="8" t="s">
        <v>1885</v>
      </c>
      <c r="B462" s="1" t="s">
        <v>2368</v>
      </c>
      <c r="I462" s="109"/>
      <c r="J462" s="109"/>
      <c r="K462" s="109"/>
      <c r="L462" s="109" t="str">
        <f t="shared" si="7"/>
        <v>95-951500385</v>
      </c>
      <c r="M462" s="114">
        <v>951500385</v>
      </c>
      <c r="N462" s="114" t="s">
        <v>5680</v>
      </c>
    </row>
    <row r="463" spans="1:14" ht="18">
      <c r="A463" s="8" t="s">
        <v>1254</v>
      </c>
      <c r="B463" s="1" t="s">
        <v>2368</v>
      </c>
      <c r="I463" s="109"/>
      <c r="J463" s="109"/>
      <c r="K463" s="109"/>
      <c r="L463" s="109" t="str">
        <f t="shared" si="7"/>
        <v>95-951500401</v>
      </c>
      <c r="M463" s="114">
        <v>951500401</v>
      </c>
      <c r="N463" s="114" t="s">
        <v>5680</v>
      </c>
    </row>
    <row r="464" spans="1:14" ht="18">
      <c r="A464" s="8" t="s">
        <v>1151</v>
      </c>
      <c r="B464" s="1" t="s">
        <v>2368</v>
      </c>
      <c r="I464" s="109"/>
      <c r="J464" s="109"/>
      <c r="K464" s="109"/>
      <c r="L464" s="109" t="str">
        <f t="shared" si="7"/>
        <v>95-951500404</v>
      </c>
      <c r="M464" s="114">
        <v>951500404</v>
      </c>
      <c r="N464" s="114" t="s">
        <v>5680</v>
      </c>
    </row>
    <row r="465" spans="1:14" ht="18">
      <c r="A465" s="8" t="s">
        <v>1010</v>
      </c>
      <c r="B465" s="1" t="s">
        <v>2368</v>
      </c>
      <c r="I465" s="109"/>
      <c r="J465" s="109"/>
      <c r="K465" s="109"/>
      <c r="L465" s="109" t="str">
        <f t="shared" si="7"/>
        <v>95-951500409</v>
      </c>
      <c r="M465" s="114">
        <v>951500409</v>
      </c>
      <c r="N465" s="114" t="s">
        <v>5680</v>
      </c>
    </row>
    <row r="466" spans="1:14" ht="18">
      <c r="A466" s="8" t="s">
        <v>1085</v>
      </c>
      <c r="B466" s="1" t="s">
        <v>2368</v>
      </c>
      <c r="I466" s="109"/>
      <c r="J466" s="109"/>
      <c r="K466" s="109"/>
      <c r="L466" s="109" t="str">
        <f t="shared" si="7"/>
        <v>95-951500419</v>
      </c>
      <c r="M466" s="114">
        <v>951500419</v>
      </c>
      <c r="N466" s="114" t="s">
        <v>5680</v>
      </c>
    </row>
    <row r="467" spans="1:14" ht="18">
      <c r="A467" s="8" t="s">
        <v>1002</v>
      </c>
      <c r="B467" s="1" t="s">
        <v>2368</v>
      </c>
      <c r="I467" s="109"/>
      <c r="J467" s="109"/>
      <c r="K467" s="109"/>
      <c r="L467" s="109" t="str">
        <f t="shared" si="7"/>
        <v>95-951500431</v>
      </c>
      <c r="M467" s="114">
        <v>951500431</v>
      </c>
      <c r="N467" s="114" t="s">
        <v>5694</v>
      </c>
    </row>
    <row r="468" spans="1:14" ht="18">
      <c r="A468" s="8" t="s">
        <v>1232</v>
      </c>
      <c r="B468" s="1" t="s">
        <v>2368</v>
      </c>
      <c r="I468" s="109"/>
      <c r="J468" s="109"/>
      <c r="K468" s="109"/>
      <c r="L468" s="109" t="str">
        <f t="shared" si="7"/>
        <v>95-951500514</v>
      </c>
      <c r="M468" s="114">
        <v>951500514</v>
      </c>
      <c r="N468" s="114" t="s">
        <v>5708</v>
      </c>
    </row>
    <row r="469" spans="1:14" ht="18">
      <c r="A469" s="8" t="s">
        <v>1235</v>
      </c>
      <c r="B469" s="1" t="s">
        <v>2368</v>
      </c>
      <c r="I469" s="109"/>
      <c r="J469" s="109"/>
      <c r="K469" s="109"/>
      <c r="L469" s="109" t="str">
        <f t="shared" si="7"/>
        <v>95-951500523</v>
      </c>
      <c r="M469" s="114">
        <v>951500523</v>
      </c>
      <c r="N469" s="114" t="s">
        <v>5708</v>
      </c>
    </row>
    <row r="470" spans="1:14" ht="18">
      <c r="A470" s="8" t="s">
        <v>1013</v>
      </c>
      <c r="B470" s="1" t="s">
        <v>2368</v>
      </c>
      <c r="I470" s="109"/>
      <c r="J470" s="109"/>
      <c r="K470" s="109"/>
      <c r="L470" s="109" t="str">
        <f t="shared" si="7"/>
        <v>95-951500572</v>
      </c>
      <c r="M470" s="114">
        <v>951500572</v>
      </c>
      <c r="N470" s="114" t="s">
        <v>5733</v>
      </c>
    </row>
    <row r="471" spans="1:14" ht="18">
      <c r="A471" s="8" t="s">
        <v>952</v>
      </c>
      <c r="B471" s="1" t="s">
        <v>2368</v>
      </c>
      <c r="I471" s="109"/>
      <c r="J471" s="109"/>
      <c r="K471" s="109"/>
      <c r="L471" s="109" t="str">
        <f t="shared" si="7"/>
        <v>95-951500591</v>
      </c>
      <c r="M471" s="114">
        <v>951500591</v>
      </c>
      <c r="N471" s="114" t="s">
        <v>5752</v>
      </c>
    </row>
    <row r="472" spans="1:14" ht="18">
      <c r="A472" s="8" t="s">
        <v>1289</v>
      </c>
      <c r="B472" s="1" t="s">
        <v>2368</v>
      </c>
      <c r="I472" s="109"/>
      <c r="J472" s="109"/>
      <c r="K472" s="109"/>
      <c r="L472" s="109" t="str">
        <f t="shared" si="7"/>
        <v>96-961500006</v>
      </c>
      <c r="M472" s="114">
        <v>961500006</v>
      </c>
      <c r="N472" s="114" t="s">
        <v>5752</v>
      </c>
    </row>
    <row r="473" spans="1:14" ht="18">
      <c r="A473" s="8" t="s">
        <v>956</v>
      </c>
      <c r="B473" s="1" t="s">
        <v>2368</v>
      </c>
      <c r="I473" s="109"/>
      <c r="J473" s="109"/>
      <c r="K473" s="109"/>
      <c r="L473" s="109" t="str">
        <f t="shared" si="7"/>
        <v>96-961500051</v>
      </c>
      <c r="M473" s="114">
        <v>961500051</v>
      </c>
      <c r="N473" s="114" t="s">
        <v>5758</v>
      </c>
    </row>
    <row r="474" spans="1:14" ht="18">
      <c r="A474" s="8" t="s">
        <v>1011</v>
      </c>
      <c r="B474" s="1" t="s">
        <v>2368</v>
      </c>
      <c r="I474" s="109"/>
      <c r="J474" s="109"/>
      <c r="K474" s="109"/>
      <c r="L474" s="109" t="str">
        <f t="shared" si="7"/>
        <v>96-961500057</v>
      </c>
      <c r="M474" s="114">
        <v>961500057</v>
      </c>
      <c r="N474" s="114" t="s">
        <v>5758</v>
      </c>
    </row>
    <row r="475" spans="1:14" ht="18">
      <c r="A475" s="8" t="s">
        <v>964</v>
      </c>
      <c r="B475" s="1" t="s">
        <v>2368</v>
      </c>
      <c r="I475" s="109"/>
      <c r="J475" s="109"/>
      <c r="K475" s="109"/>
      <c r="L475" s="109" t="str">
        <f t="shared" si="7"/>
        <v>96-961500069</v>
      </c>
      <c r="M475" s="114">
        <v>961500069</v>
      </c>
      <c r="N475" s="114" t="s">
        <v>5758</v>
      </c>
    </row>
    <row r="476" spans="1:14" ht="18">
      <c r="A476" s="8" t="s">
        <v>895</v>
      </c>
      <c r="B476" s="1" t="s">
        <v>2368</v>
      </c>
      <c r="I476" s="109"/>
      <c r="J476" s="109"/>
      <c r="K476" s="109"/>
      <c r="L476" s="109" t="str">
        <f t="shared" si="7"/>
        <v>95-951500060</v>
      </c>
      <c r="M476" s="114">
        <v>951500060</v>
      </c>
      <c r="N476" s="114" t="s">
        <v>5613</v>
      </c>
    </row>
    <row r="477" spans="1:14" ht="18">
      <c r="A477" s="8" t="s">
        <v>998</v>
      </c>
      <c r="B477" s="1" t="s">
        <v>2368</v>
      </c>
      <c r="I477" s="109"/>
      <c r="J477" s="109"/>
      <c r="K477" s="109"/>
      <c r="L477" s="109" t="str">
        <f t="shared" si="7"/>
        <v>95-951500100</v>
      </c>
      <c r="M477" s="114">
        <v>951500100</v>
      </c>
      <c r="N477" s="114" t="s">
        <v>5613</v>
      </c>
    </row>
    <row r="478" spans="1:14" ht="18">
      <c r="A478" s="8" t="s">
        <v>1886</v>
      </c>
      <c r="B478" s="1" t="s">
        <v>2368</v>
      </c>
      <c r="I478" s="109"/>
      <c r="J478" s="109"/>
      <c r="K478" s="109"/>
      <c r="L478" s="109" t="str">
        <f t="shared" si="7"/>
        <v>95-951500128</v>
      </c>
      <c r="M478" s="114">
        <v>951500128</v>
      </c>
      <c r="N478" s="114" t="s">
        <v>5618</v>
      </c>
    </row>
    <row r="479" spans="1:14" ht="18">
      <c r="A479" s="8" t="s">
        <v>953</v>
      </c>
      <c r="B479" s="1" t="s">
        <v>2368</v>
      </c>
      <c r="I479" s="109"/>
      <c r="J479" s="109"/>
      <c r="K479" s="109"/>
      <c r="L479" s="109" t="str">
        <f t="shared" si="7"/>
        <v>95-951500171</v>
      </c>
      <c r="M479" s="114">
        <v>951500171</v>
      </c>
      <c r="N479" s="114" t="s">
        <v>5618</v>
      </c>
    </row>
    <row r="480" spans="1:14" ht="18">
      <c r="A480" s="8" t="s">
        <v>1153</v>
      </c>
      <c r="B480" s="1" t="s">
        <v>2368</v>
      </c>
      <c r="I480" s="109"/>
      <c r="J480" s="109"/>
      <c r="K480" s="109"/>
      <c r="L480" s="109" t="str">
        <f t="shared" si="7"/>
        <v>95-951500474</v>
      </c>
      <c r="M480" s="114">
        <v>951500474</v>
      </c>
      <c r="N480" s="114" t="s">
        <v>5710</v>
      </c>
    </row>
    <row r="481" spans="1:14" ht="18">
      <c r="A481" s="8" t="s">
        <v>1069</v>
      </c>
      <c r="B481" s="1" t="s">
        <v>2368</v>
      </c>
      <c r="I481" s="109"/>
      <c r="J481" s="109"/>
      <c r="K481" s="109"/>
      <c r="L481" s="109" t="str">
        <f t="shared" si="7"/>
        <v>95-951500032</v>
      </c>
      <c r="M481" s="114">
        <v>951500032</v>
      </c>
      <c r="N481" s="114" t="s">
        <v>5612</v>
      </c>
    </row>
    <row r="482" spans="1:14" ht="18">
      <c r="A482" s="8" t="s">
        <v>1009</v>
      </c>
      <c r="B482" s="1" t="s">
        <v>2368</v>
      </c>
      <c r="I482" s="109"/>
      <c r="J482" s="109"/>
      <c r="K482" s="109"/>
      <c r="L482" s="109" t="str">
        <f t="shared" si="7"/>
        <v>95-951500175</v>
      </c>
      <c r="M482" s="114">
        <v>951500175</v>
      </c>
      <c r="N482" s="114" t="s">
        <v>5622</v>
      </c>
    </row>
    <row r="483" spans="1:14" ht="18">
      <c r="A483" s="8" t="s">
        <v>1003</v>
      </c>
      <c r="B483" s="1" t="s">
        <v>2368</v>
      </c>
      <c r="I483" s="109"/>
      <c r="J483" s="109"/>
      <c r="K483" s="109"/>
      <c r="L483" s="109" t="str">
        <f t="shared" si="7"/>
        <v>95-951500182</v>
      </c>
      <c r="M483" s="114">
        <v>951500182</v>
      </c>
      <c r="N483" s="114" t="s">
        <v>5622</v>
      </c>
    </row>
    <row r="484" spans="1:14" ht="18">
      <c r="A484" s="8" t="s">
        <v>1215</v>
      </c>
      <c r="B484" s="1" t="s">
        <v>2368</v>
      </c>
      <c r="I484" s="109"/>
      <c r="J484" s="109"/>
      <c r="K484" s="109"/>
      <c r="L484" s="109" t="str">
        <f t="shared" si="7"/>
        <v>96-961500362</v>
      </c>
      <c r="M484" s="114">
        <v>961500362</v>
      </c>
      <c r="N484" s="114" t="s">
        <v>7233</v>
      </c>
    </row>
    <row r="485" spans="1:14" ht="18">
      <c r="A485" s="8" t="s">
        <v>1004</v>
      </c>
      <c r="B485" s="1" t="s">
        <v>2368</v>
      </c>
      <c r="I485" s="109"/>
      <c r="J485" s="109"/>
      <c r="K485" s="109"/>
      <c r="L485" s="109" t="str">
        <f t="shared" si="7"/>
        <v>96-961500438</v>
      </c>
      <c r="M485" s="114">
        <v>961500438</v>
      </c>
      <c r="N485" s="114" t="s">
        <v>7233</v>
      </c>
    </row>
    <row r="486" spans="1:14" ht="18">
      <c r="A486" s="8" t="s">
        <v>1447</v>
      </c>
      <c r="B486" s="1" t="s">
        <v>2368</v>
      </c>
      <c r="I486" s="109"/>
      <c r="J486" s="109"/>
      <c r="K486" s="109"/>
      <c r="L486" s="109" t="str">
        <f t="shared" si="7"/>
        <v>96-961500546</v>
      </c>
      <c r="M486" s="114">
        <v>961500546</v>
      </c>
      <c r="N486" s="114" t="s">
        <v>8497</v>
      </c>
    </row>
    <row r="487" spans="1:14" ht="18">
      <c r="A487" s="8" t="s">
        <v>1446</v>
      </c>
      <c r="B487" s="1" t="s">
        <v>2368</v>
      </c>
      <c r="I487" s="109"/>
      <c r="J487" s="109"/>
      <c r="K487" s="109"/>
      <c r="L487" s="109" t="str">
        <f t="shared" si="7"/>
        <v>95-951500142</v>
      </c>
      <c r="M487" s="114">
        <v>951500142</v>
      </c>
      <c r="N487" s="114" t="s">
        <v>5614</v>
      </c>
    </row>
    <row r="488" spans="1:14" ht="18">
      <c r="A488" s="8" t="s">
        <v>1801</v>
      </c>
      <c r="B488" s="1" t="s">
        <v>2368</v>
      </c>
      <c r="I488" s="109"/>
      <c r="J488" s="109"/>
      <c r="K488" s="109"/>
      <c r="L488" s="109" t="str">
        <f t="shared" si="7"/>
        <v>95-951500170</v>
      </c>
      <c r="M488" s="114">
        <v>951500170</v>
      </c>
      <c r="N488" s="114" t="s">
        <v>5614</v>
      </c>
    </row>
    <row r="489" spans="1:14" ht="18">
      <c r="A489" s="8" t="s">
        <v>1060</v>
      </c>
      <c r="B489" s="1" t="s">
        <v>2368</v>
      </c>
      <c r="I489" s="109"/>
      <c r="J489" s="109"/>
      <c r="K489" s="109"/>
      <c r="L489" s="109" t="str">
        <f t="shared" si="7"/>
        <v>95-951500353</v>
      </c>
      <c r="M489" s="114">
        <v>951500353</v>
      </c>
      <c r="N489" s="114" t="s">
        <v>5670</v>
      </c>
    </row>
    <row r="490" spans="1:14" ht="18">
      <c r="A490" s="8" t="s">
        <v>1144</v>
      </c>
      <c r="B490" s="1" t="s">
        <v>2368</v>
      </c>
      <c r="I490" s="109"/>
      <c r="J490" s="109"/>
      <c r="K490" s="109"/>
      <c r="L490" s="109" t="str">
        <f t="shared" si="7"/>
        <v>96-961500022</v>
      </c>
      <c r="M490" s="114">
        <v>961500022</v>
      </c>
      <c r="N490" s="114" t="s">
        <v>5772</v>
      </c>
    </row>
    <row r="491" spans="1:14" ht="18">
      <c r="A491" s="8" t="s">
        <v>1887</v>
      </c>
      <c r="B491" s="1" t="s">
        <v>2368</v>
      </c>
      <c r="I491" s="109"/>
      <c r="J491" s="109"/>
      <c r="K491" s="109"/>
      <c r="L491" s="109" t="str">
        <f t="shared" si="7"/>
        <v>96-961500047</v>
      </c>
      <c r="M491" s="114">
        <v>961500047</v>
      </c>
      <c r="N491" s="114" t="s">
        <v>5772</v>
      </c>
    </row>
    <row r="492" spans="1:14" ht="18">
      <c r="A492" s="8" t="s">
        <v>951</v>
      </c>
      <c r="B492" s="1" t="s">
        <v>2368</v>
      </c>
      <c r="I492" s="109"/>
      <c r="J492" s="109"/>
      <c r="K492" s="109"/>
      <c r="L492" s="109" t="str">
        <f t="shared" si="7"/>
        <v>96-961500265</v>
      </c>
      <c r="M492" s="114">
        <v>961500265</v>
      </c>
      <c r="N492" s="114" t="s">
        <v>5821</v>
      </c>
    </row>
    <row r="493" spans="1:14" ht="18">
      <c r="A493" s="8" t="s">
        <v>1251</v>
      </c>
      <c r="B493" s="1" t="s">
        <v>2368</v>
      </c>
      <c r="I493" s="109"/>
      <c r="J493" s="109"/>
      <c r="K493" s="109"/>
      <c r="L493" s="109" t="str">
        <f t="shared" si="7"/>
        <v>96-961500299</v>
      </c>
      <c r="M493" s="114">
        <v>961500299</v>
      </c>
      <c r="N493" s="114" t="s">
        <v>5822</v>
      </c>
    </row>
    <row r="494" spans="1:14" ht="18">
      <c r="A494" s="8" t="s">
        <v>950</v>
      </c>
      <c r="B494" s="1" t="s">
        <v>2368</v>
      </c>
      <c r="I494" s="109"/>
      <c r="J494" s="109"/>
      <c r="K494" s="109"/>
      <c r="L494" s="109" t="str">
        <f t="shared" si="7"/>
        <v>96-961500468</v>
      </c>
      <c r="M494" s="114">
        <v>961500468</v>
      </c>
      <c r="N494" s="114" t="s">
        <v>7255</v>
      </c>
    </row>
    <row r="495" spans="1:14" ht="18">
      <c r="A495" s="8" t="s">
        <v>945</v>
      </c>
      <c r="B495" s="1" t="s">
        <v>2368</v>
      </c>
      <c r="I495" s="109"/>
      <c r="J495" s="109"/>
      <c r="K495" s="109"/>
      <c r="L495" s="109" t="str">
        <f t="shared" si="7"/>
        <v>96-961500491</v>
      </c>
      <c r="M495" s="114">
        <v>961500491</v>
      </c>
      <c r="N495" s="114" t="s">
        <v>7234</v>
      </c>
    </row>
    <row r="496" spans="1:14" ht="18">
      <c r="A496" s="8" t="s">
        <v>1032</v>
      </c>
      <c r="B496" s="1" t="s">
        <v>2368</v>
      </c>
      <c r="I496" s="109"/>
      <c r="J496" s="109"/>
      <c r="K496" s="109"/>
      <c r="L496" s="109" t="str">
        <f t="shared" si="7"/>
        <v>96-961500501</v>
      </c>
      <c r="M496" s="114">
        <v>961500501</v>
      </c>
      <c r="N496" s="114" t="s">
        <v>7121</v>
      </c>
    </row>
    <row r="497" spans="1:14" ht="18">
      <c r="A497" s="8" t="s">
        <v>962</v>
      </c>
      <c r="B497" s="1" t="s">
        <v>2368</v>
      </c>
      <c r="I497" s="109"/>
      <c r="J497" s="109"/>
      <c r="K497" s="109"/>
      <c r="L497" s="109" t="str">
        <f t="shared" si="7"/>
        <v>95-951500296</v>
      </c>
      <c r="M497" s="114">
        <v>951500296</v>
      </c>
      <c r="N497" s="114" t="s">
        <v>5660</v>
      </c>
    </row>
    <row r="498" spans="1:14" ht="18">
      <c r="A498" s="8" t="s">
        <v>1209</v>
      </c>
      <c r="B498" s="1" t="s">
        <v>2368</v>
      </c>
      <c r="I498" s="109"/>
      <c r="J498" s="109"/>
      <c r="K498" s="109"/>
      <c r="L498" s="109" t="str">
        <f t="shared" si="7"/>
        <v>95-951500398</v>
      </c>
      <c r="M498" s="114">
        <v>951500398</v>
      </c>
      <c r="N498" s="114" t="s">
        <v>5686</v>
      </c>
    </row>
    <row r="499" spans="1:14" ht="18">
      <c r="A499" s="8" t="s">
        <v>1888</v>
      </c>
      <c r="B499" s="1" t="s">
        <v>2368</v>
      </c>
      <c r="I499" s="109"/>
      <c r="J499" s="109"/>
      <c r="K499" s="109"/>
      <c r="L499" s="109" t="str">
        <f t="shared" si="7"/>
        <v>96-961500097</v>
      </c>
      <c r="M499" s="114">
        <v>961500097</v>
      </c>
      <c r="N499" s="114" t="s">
        <v>5762</v>
      </c>
    </row>
    <row r="500" spans="1:14" ht="18">
      <c r="A500" s="8" t="s">
        <v>1231</v>
      </c>
      <c r="B500" s="1" t="s">
        <v>2368</v>
      </c>
      <c r="I500" s="109"/>
      <c r="J500" s="109"/>
      <c r="K500" s="109"/>
      <c r="L500" s="109" t="str">
        <f t="shared" si="7"/>
        <v>96-961500098</v>
      </c>
      <c r="M500" s="114">
        <v>961500098</v>
      </c>
      <c r="N500" s="114" t="s">
        <v>5762</v>
      </c>
    </row>
    <row r="501" spans="1:14" ht="18">
      <c r="A501" s="8" t="s">
        <v>1288</v>
      </c>
      <c r="B501" s="1" t="s">
        <v>2368</v>
      </c>
      <c r="I501" s="109"/>
      <c r="J501" s="109"/>
      <c r="K501" s="109"/>
      <c r="L501" s="109" t="str">
        <f t="shared" si="7"/>
        <v>96-961500121</v>
      </c>
      <c r="M501" s="114">
        <v>961500121</v>
      </c>
      <c r="N501" s="114" t="s">
        <v>5799</v>
      </c>
    </row>
    <row r="502" spans="1:14" ht="18">
      <c r="A502" s="8" t="s">
        <v>1101</v>
      </c>
      <c r="B502" s="1" t="s">
        <v>2368</v>
      </c>
      <c r="I502" s="109"/>
      <c r="J502" s="109"/>
      <c r="K502" s="109"/>
      <c r="L502" s="109" t="str">
        <f t="shared" si="7"/>
        <v>96-961500122</v>
      </c>
      <c r="M502" s="114">
        <v>961500122</v>
      </c>
      <c r="N502" s="114" t="s">
        <v>5799</v>
      </c>
    </row>
    <row r="503" spans="1:14" ht="18">
      <c r="A503" s="8" t="s">
        <v>1056</v>
      </c>
      <c r="B503" s="1" t="s">
        <v>2368</v>
      </c>
      <c r="I503" s="109"/>
      <c r="J503" s="109"/>
      <c r="K503" s="109"/>
      <c r="L503" s="109" t="str">
        <f t="shared" si="7"/>
        <v>96-961500135</v>
      </c>
      <c r="M503" s="114">
        <v>961500135</v>
      </c>
      <c r="N503" s="114" t="s">
        <v>5799</v>
      </c>
    </row>
    <row r="504" spans="1:14" ht="18">
      <c r="A504" s="8" t="s">
        <v>1131</v>
      </c>
      <c r="B504" s="1" t="s">
        <v>2368</v>
      </c>
      <c r="I504" s="109"/>
      <c r="J504" s="109"/>
      <c r="K504" s="109"/>
      <c r="L504" s="109" t="str">
        <f t="shared" si="7"/>
        <v>96-961500139</v>
      </c>
      <c r="M504" s="114">
        <v>961500139</v>
      </c>
      <c r="N504" s="114" t="s">
        <v>5799</v>
      </c>
    </row>
    <row r="505" spans="1:14" ht="18">
      <c r="A505" s="8" t="s">
        <v>1889</v>
      </c>
      <c r="B505" s="1" t="s">
        <v>2368</v>
      </c>
      <c r="I505" s="109"/>
      <c r="J505" s="109"/>
      <c r="K505" s="109"/>
      <c r="L505" s="109" t="str">
        <f t="shared" si="7"/>
        <v>96-961500152</v>
      </c>
      <c r="M505" s="114">
        <v>961500152</v>
      </c>
      <c r="N505" s="114" t="s">
        <v>5799</v>
      </c>
    </row>
    <row r="506" spans="1:14" ht="18">
      <c r="A506" s="8" t="s">
        <v>1890</v>
      </c>
      <c r="B506" s="1" t="s">
        <v>2368</v>
      </c>
      <c r="I506" s="109"/>
      <c r="J506" s="109"/>
      <c r="K506" s="109"/>
      <c r="L506" s="109" t="str">
        <f t="shared" si="7"/>
        <v>96-961500158</v>
      </c>
      <c r="M506" s="114">
        <v>961500158</v>
      </c>
      <c r="N506" s="114" t="s">
        <v>5810</v>
      </c>
    </row>
    <row r="507" spans="1:14" ht="18">
      <c r="A507" s="8" t="s">
        <v>1891</v>
      </c>
      <c r="B507" s="1" t="s">
        <v>2368</v>
      </c>
      <c r="I507" s="109"/>
      <c r="J507" s="109"/>
      <c r="K507" s="109"/>
      <c r="L507" s="109" t="str">
        <f t="shared" si="7"/>
        <v>96-961500175</v>
      </c>
      <c r="M507" s="114">
        <v>961500175</v>
      </c>
      <c r="N507" s="114" t="s">
        <v>5810</v>
      </c>
    </row>
    <row r="508" spans="1:14" ht="18">
      <c r="A508" s="8" t="s">
        <v>1892</v>
      </c>
      <c r="B508" s="1" t="s">
        <v>2368</v>
      </c>
      <c r="I508" s="109"/>
      <c r="J508" s="109"/>
      <c r="K508" s="109"/>
      <c r="L508" s="109" t="str">
        <f t="shared" si="7"/>
        <v>96-961500184</v>
      </c>
      <c r="M508" s="114">
        <v>961500184</v>
      </c>
      <c r="N508" s="114" t="s">
        <v>5813</v>
      </c>
    </row>
    <row r="509" spans="1:14" ht="18">
      <c r="A509" s="8" t="s">
        <v>1893</v>
      </c>
      <c r="B509" s="1" t="s">
        <v>2368</v>
      </c>
      <c r="I509" s="109"/>
      <c r="J509" s="109"/>
      <c r="K509" s="109"/>
      <c r="L509" s="109" t="str">
        <f t="shared" si="7"/>
        <v>96-961500186</v>
      </c>
      <c r="M509" s="114">
        <v>961500186</v>
      </c>
      <c r="N509" s="114" t="s">
        <v>5813</v>
      </c>
    </row>
    <row r="510" spans="1:14" ht="18">
      <c r="A510" s="8" t="s">
        <v>1894</v>
      </c>
      <c r="B510" s="1" t="s">
        <v>2368</v>
      </c>
      <c r="I510" s="109"/>
      <c r="J510" s="109"/>
      <c r="K510" s="109"/>
      <c r="L510" s="109" t="str">
        <f t="shared" si="7"/>
        <v>96-961500225</v>
      </c>
      <c r="M510" s="114">
        <v>961500225</v>
      </c>
      <c r="N510" s="114" t="s">
        <v>5813</v>
      </c>
    </row>
    <row r="511" spans="1:14" ht="18">
      <c r="A511" s="8" t="s">
        <v>1895</v>
      </c>
      <c r="B511" s="1" t="s">
        <v>2368</v>
      </c>
      <c r="I511" s="109"/>
      <c r="J511" s="109"/>
      <c r="K511" s="109"/>
      <c r="L511" s="109" t="str">
        <f t="shared" si="7"/>
        <v>96-961500232</v>
      </c>
      <c r="M511" s="114">
        <v>961500232</v>
      </c>
      <c r="N511" s="114" t="s">
        <v>5813</v>
      </c>
    </row>
    <row r="512" spans="1:14" ht="18">
      <c r="A512" s="8" t="s">
        <v>1896</v>
      </c>
      <c r="B512" s="1" t="s">
        <v>2368</v>
      </c>
      <c r="I512" s="109"/>
      <c r="J512" s="109"/>
      <c r="K512" s="109"/>
      <c r="L512" s="109" t="str">
        <f t="shared" si="7"/>
        <v>96-961500233</v>
      </c>
      <c r="M512" s="114">
        <v>961500233</v>
      </c>
      <c r="N512" s="114" t="s">
        <v>5813</v>
      </c>
    </row>
    <row r="513" spans="1:14" ht="18">
      <c r="A513" s="8" t="s">
        <v>1127</v>
      </c>
      <c r="B513" s="1" t="s">
        <v>2368</v>
      </c>
      <c r="I513" s="109"/>
      <c r="J513" s="109"/>
      <c r="K513" s="109"/>
      <c r="L513" s="109" t="str">
        <f t="shared" si="7"/>
        <v>96-961500262</v>
      </c>
      <c r="M513" s="114">
        <v>961500262</v>
      </c>
      <c r="N513" s="114" t="s">
        <v>5826</v>
      </c>
    </row>
    <row r="514" spans="1:14" ht="18">
      <c r="A514" s="8" t="s">
        <v>1325</v>
      </c>
      <c r="B514" s="1" t="s">
        <v>2368</v>
      </c>
      <c r="I514" s="109"/>
      <c r="J514" s="109"/>
      <c r="K514" s="109"/>
      <c r="L514" s="109" t="str">
        <f t="shared" si="7"/>
        <v>96-961500292</v>
      </c>
      <c r="M514" s="114">
        <v>961500292</v>
      </c>
      <c r="N514" s="114" t="s">
        <v>5826</v>
      </c>
    </row>
    <row r="515" spans="1:14" ht="18">
      <c r="A515" s="8" t="s">
        <v>1180</v>
      </c>
      <c r="B515" s="1" t="s">
        <v>2368</v>
      </c>
      <c r="I515" s="109"/>
      <c r="J515" s="109"/>
      <c r="K515" s="109"/>
      <c r="L515" s="109" t="str">
        <f t="shared" ref="L515:L578" si="8">MID(M515,1,2)&amp;"-"&amp;M515</f>
        <v>96-961500309</v>
      </c>
      <c r="M515" s="114">
        <v>961500309</v>
      </c>
      <c r="N515" s="114" t="s">
        <v>5831</v>
      </c>
    </row>
    <row r="516" spans="1:14" ht="18">
      <c r="A516" s="8" t="s">
        <v>1223</v>
      </c>
      <c r="B516" s="1" t="s">
        <v>2368</v>
      </c>
      <c r="I516" s="109"/>
      <c r="J516" s="109"/>
      <c r="K516" s="109"/>
      <c r="L516" s="109" t="str">
        <f t="shared" si="8"/>
        <v>95-951500053</v>
      </c>
      <c r="M516" s="114">
        <v>951500053</v>
      </c>
      <c r="N516" s="114" t="s">
        <v>5612</v>
      </c>
    </row>
    <row r="517" spans="1:14" ht="18">
      <c r="A517" s="8" t="s">
        <v>1263</v>
      </c>
      <c r="B517" s="1" t="s">
        <v>2368</v>
      </c>
      <c r="I517" s="109"/>
      <c r="J517" s="109"/>
      <c r="K517" s="109"/>
      <c r="L517" s="109" t="str">
        <f t="shared" si="8"/>
        <v>95-951500129</v>
      </c>
      <c r="M517" s="114">
        <v>951500129</v>
      </c>
      <c r="N517" s="114" t="s">
        <v>5612</v>
      </c>
    </row>
    <row r="518" spans="1:14" ht="18">
      <c r="A518" s="8" t="s">
        <v>1082</v>
      </c>
      <c r="B518" s="1" t="s">
        <v>2368</v>
      </c>
      <c r="I518" s="109"/>
      <c r="J518" s="109"/>
      <c r="K518" s="109"/>
      <c r="L518" s="109" t="str">
        <f t="shared" si="8"/>
        <v>95-951500145</v>
      </c>
      <c r="M518" s="114">
        <v>951500145</v>
      </c>
      <c r="N518" s="114" t="s">
        <v>5619</v>
      </c>
    </row>
    <row r="519" spans="1:14" ht="18">
      <c r="A519" s="8" t="s">
        <v>1298</v>
      </c>
      <c r="B519" s="1" t="s">
        <v>2368</v>
      </c>
      <c r="I519" s="109"/>
      <c r="J519" s="109"/>
      <c r="K519" s="109"/>
      <c r="L519" s="109" t="str">
        <f t="shared" si="8"/>
        <v>95-951500147</v>
      </c>
      <c r="M519" s="114">
        <v>951500147</v>
      </c>
      <c r="N519" s="114" t="s">
        <v>5619</v>
      </c>
    </row>
    <row r="520" spans="1:14" ht="18">
      <c r="A520" s="8" t="s">
        <v>1397</v>
      </c>
      <c r="B520" s="1" t="s">
        <v>2368</v>
      </c>
      <c r="I520" s="109"/>
      <c r="J520" s="109"/>
      <c r="K520" s="109"/>
      <c r="L520" s="109" t="str">
        <f t="shared" si="8"/>
        <v>95-951500214</v>
      </c>
      <c r="M520" s="114">
        <v>951500214</v>
      </c>
      <c r="N520" s="114" t="s">
        <v>5630</v>
      </c>
    </row>
    <row r="521" spans="1:14" ht="18">
      <c r="A521" s="8" t="s">
        <v>1291</v>
      </c>
      <c r="B521" s="1" t="s">
        <v>2368</v>
      </c>
      <c r="I521" s="109"/>
      <c r="J521" s="109"/>
      <c r="K521" s="109"/>
      <c r="L521" s="109" t="str">
        <f t="shared" si="8"/>
        <v>95-951500220</v>
      </c>
      <c r="M521" s="114">
        <v>951500220</v>
      </c>
      <c r="N521" s="114" t="s">
        <v>5635</v>
      </c>
    </row>
    <row r="522" spans="1:14" ht="18">
      <c r="A522" s="8" t="s">
        <v>1281</v>
      </c>
      <c r="B522" s="1" t="s">
        <v>2368</v>
      </c>
      <c r="I522" s="109"/>
      <c r="J522" s="109"/>
      <c r="K522" s="109"/>
      <c r="L522" s="109" t="str">
        <f t="shared" si="8"/>
        <v>95-951500245</v>
      </c>
      <c r="M522" s="114">
        <v>951500245</v>
      </c>
      <c r="N522" s="114" t="s">
        <v>5635</v>
      </c>
    </row>
    <row r="523" spans="1:14" ht="18">
      <c r="A523" s="8" t="s">
        <v>1282</v>
      </c>
      <c r="B523" s="1" t="s">
        <v>2368</v>
      </c>
      <c r="I523" s="109"/>
      <c r="J523" s="109"/>
      <c r="K523" s="109"/>
      <c r="L523" s="109" t="str">
        <f t="shared" si="8"/>
        <v>95-951500253</v>
      </c>
      <c r="M523" s="114">
        <v>951500253</v>
      </c>
      <c r="N523" s="114" t="s">
        <v>5635</v>
      </c>
    </row>
    <row r="524" spans="1:14" ht="18">
      <c r="A524" s="8" t="s">
        <v>1323</v>
      </c>
      <c r="B524" s="1" t="s">
        <v>2368</v>
      </c>
      <c r="I524" s="109"/>
      <c r="J524" s="109"/>
      <c r="K524" s="109"/>
      <c r="L524" s="109" t="str">
        <f t="shared" si="8"/>
        <v>95-951500293</v>
      </c>
      <c r="M524" s="114">
        <v>951500293</v>
      </c>
      <c r="N524" s="114" t="s">
        <v>5659</v>
      </c>
    </row>
    <row r="525" spans="1:14" ht="18">
      <c r="A525" s="8" t="s">
        <v>1293</v>
      </c>
      <c r="B525" s="1" t="s">
        <v>2368</v>
      </c>
      <c r="I525" s="109"/>
      <c r="J525" s="109"/>
      <c r="K525" s="109"/>
      <c r="L525" s="109" t="str">
        <f t="shared" si="8"/>
        <v>95-951500298</v>
      </c>
      <c r="M525" s="114">
        <v>951500298</v>
      </c>
      <c r="N525" s="114" t="s">
        <v>5659</v>
      </c>
    </row>
    <row r="526" spans="1:14" ht="18">
      <c r="A526" s="8" t="s">
        <v>1292</v>
      </c>
      <c r="B526" s="1" t="s">
        <v>2368</v>
      </c>
      <c r="I526" s="109"/>
      <c r="J526" s="109"/>
      <c r="K526" s="109"/>
      <c r="L526" s="109" t="str">
        <f t="shared" si="8"/>
        <v>95-951500319</v>
      </c>
      <c r="M526" s="114">
        <v>951500319</v>
      </c>
      <c r="N526" s="114" t="s">
        <v>5659</v>
      </c>
    </row>
    <row r="527" spans="1:14" ht="18">
      <c r="A527" s="8" t="s">
        <v>1267</v>
      </c>
      <c r="B527" s="1" t="s">
        <v>2368</v>
      </c>
      <c r="I527" s="109"/>
      <c r="J527" s="109"/>
      <c r="K527" s="109"/>
      <c r="L527" s="109" t="str">
        <f t="shared" si="8"/>
        <v>95-951500331</v>
      </c>
      <c r="M527" s="114">
        <v>951500331</v>
      </c>
      <c r="N527" s="114" t="s">
        <v>5659</v>
      </c>
    </row>
    <row r="528" spans="1:14" ht="18">
      <c r="A528" s="8" t="s">
        <v>1092</v>
      </c>
      <c r="B528" s="1" t="s">
        <v>2368</v>
      </c>
      <c r="I528" s="109"/>
      <c r="J528" s="109"/>
      <c r="K528" s="109"/>
      <c r="L528" s="109" t="str">
        <f t="shared" si="8"/>
        <v>95-951500341</v>
      </c>
      <c r="M528" s="114">
        <v>951500341</v>
      </c>
      <c r="N528" s="114" t="s">
        <v>5659</v>
      </c>
    </row>
    <row r="529" spans="1:14" ht="18">
      <c r="A529" s="8" t="s">
        <v>1259</v>
      </c>
      <c r="B529" s="1" t="s">
        <v>2368</v>
      </c>
      <c r="I529" s="109"/>
      <c r="J529" s="109"/>
      <c r="K529" s="109"/>
      <c r="L529" s="109" t="str">
        <f t="shared" si="8"/>
        <v>95-951500367</v>
      </c>
      <c r="M529" s="114">
        <v>951500367</v>
      </c>
      <c r="N529" s="114" t="s">
        <v>5659</v>
      </c>
    </row>
    <row r="530" spans="1:14" ht="18">
      <c r="A530" s="8" t="s">
        <v>1897</v>
      </c>
      <c r="B530" s="1" t="s">
        <v>2368</v>
      </c>
      <c r="I530" s="109"/>
      <c r="J530" s="109"/>
      <c r="K530" s="109"/>
      <c r="L530" s="109" t="str">
        <f t="shared" si="8"/>
        <v>95-951500372</v>
      </c>
      <c r="M530" s="114">
        <v>951500372</v>
      </c>
      <c r="N530" s="114" t="s">
        <v>5675</v>
      </c>
    </row>
    <row r="531" spans="1:14" ht="18">
      <c r="A531" s="8" t="s">
        <v>1093</v>
      </c>
      <c r="B531" s="1" t="s">
        <v>2368</v>
      </c>
      <c r="I531" s="109"/>
      <c r="J531" s="109"/>
      <c r="K531" s="109"/>
      <c r="L531" s="109" t="str">
        <f t="shared" si="8"/>
        <v>95-951500382</v>
      </c>
      <c r="M531" s="114">
        <v>951500382</v>
      </c>
      <c r="N531" s="114" t="s">
        <v>5680</v>
      </c>
    </row>
    <row r="532" spans="1:14" ht="18">
      <c r="A532" s="8" t="s">
        <v>1898</v>
      </c>
      <c r="B532" s="1" t="s">
        <v>2368</v>
      </c>
      <c r="I532" s="109"/>
      <c r="J532" s="109"/>
      <c r="K532" s="109"/>
      <c r="L532" s="109" t="str">
        <f t="shared" si="8"/>
        <v>96-961500313</v>
      </c>
      <c r="M532" s="114">
        <v>961500313</v>
      </c>
      <c r="N532" s="114" t="s">
        <v>5831</v>
      </c>
    </row>
    <row r="533" spans="1:14" ht="18">
      <c r="A533" s="8" t="s">
        <v>1265</v>
      </c>
      <c r="B533" s="1" t="s">
        <v>2368</v>
      </c>
      <c r="I533" s="109"/>
      <c r="J533" s="109"/>
      <c r="K533" s="109"/>
      <c r="L533" s="109" t="str">
        <f t="shared" si="8"/>
        <v>96-961500335</v>
      </c>
      <c r="M533" s="114">
        <v>961500335</v>
      </c>
      <c r="N533" s="114" t="s">
        <v>7231</v>
      </c>
    </row>
    <row r="534" spans="1:14" ht="18">
      <c r="A534" s="8" t="s">
        <v>1284</v>
      </c>
      <c r="B534" s="1" t="s">
        <v>2368</v>
      </c>
      <c r="I534" s="109"/>
      <c r="J534" s="109"/>
      <c r="K534" s="109"/>
      <c r="L534" s="109" t="str">
        <f t="shared" si="8"/>
        <v>96-961500339</v>
      </c>
      <c r="M534" s="114">
        <v>961500339</v>
      </c>
      <c r="N534" s="114" t="s">
        <v>5831</v>
      </c>
    </row>
    <row r="535" spans="1:14" ht="18">
      <c r="A535" s="8" t="s">
        <v>1290</v>
      </c>
      <c r="B535" s="1" t="s">
        <v>2368</v>
      </c>
      <c r="I535" s="109"/>
      <c r="J535" s="109"/>
      <c r="K535" s="109"/>
      <c r="L535" s="109" t="str">
        <f t="shared" si="8"/>
        <v>96-961500374</v>
      </c>
      <c r="M535" s="114">
        <v>961500374</v>
      </c>
      <c r="N535" s="114" t="s">
        <v>7175</v>
      </c>
    </row>
    <row r="536" spans="1:14" ht="18">
      <c r="A536" s="8" t="s">
        <v>1383</v>
      </c>
      <c r="B536" s="1" t="s">
        <v>2368</v>
      </c>
      <c r="I536" s="109"/>
      <c r="J536" s="109"/>
      <c r="K536" s="109"/>
      <c r="L536" s="109" t="str">
        <f t="shared" si="8"/>
        <v>96-961500394</v>
      </c>
      <c r="M536" s="114">
        <v>961500394</v>
      </c>
      <c r="N536" s="114" t="s">
        <v>7231</v>
      </c>
    </row>
    <row r="537" spans="1:14" ht="18">
      <c r="A537" s="8" t="s">
        <v>1294</v>
      </c>
      <c r="B537" s="1" t="s">
        <v>2368</v>
      </c>
      <c r="I537" s="109"/>
      <c r="J537" s="109"/>
      <c r="K537" s="109"/>
      <c r="L537" s="109" t="str">
        <f t="shared" si="8"/>
        <v>96-961500397</v>
      </c>
      <c r="M537" s="114">
        <v>961500397</v>
      </c>
      <c r="N537" s="114" t="s">
        <v>7231</v>
      </c>
    </row>
    <row r="538" spans="1:14" ht="18">
      <c r="A538" s="8" t="s">
        <v>1129</v>
      </c>
      <c r="B538" s="1" t="s">
        <v>2368</v>
      </c>
      <c r="I538" s="109"/>
      <c r="J538" s="109"/>
      <c r="K538" s="109"/>
      <c r="L538" s="109" t="str">
        <f t="shared" si="8"/>
        <v>96-961500409</v>
      </c>
      <c r="M538" s="114">
        <v>961500409</v>
      </c>
      <c r="N538" s="114" t="s">
        <v>7231</v>
      </c>
    </row>
    <row r="539" spans="1:14" ht="18">
      <c r="A539" s="8" t="s">
        <v>1278</v>
      </c>
      <c r="B539" s="1" t="s">
        <v>2368</v>
      </c>
      <c r="I539" s="109"/>
      <c r="J539" s="109"/>
      <c r="K539" s="109"/>
      <c r="L539" s="109" t="str">
        <f t="shared" si="8"/>
        <v>96-961500432</v>
      </c>
      <c r="M539" s="114">
        <v>961500432</v>
      </c>
      <c r="N539" s="114" t="s">
        <v>7231</v>
      </c>
    </row>
    <row r="540" spans="1:14" ht="18">
      <c r="A540" s="8" t="s">
        <v>1319</v>
      </c>
      <c r="B540" s="1" t="s">
        <v>2368</v>
      </c>
      <c r="I540" s="109"/>
      <c r="J540" s="109"/>
      <c r="K540" s="109"/>
      <c r="L540" s="109" t="str">
        <f t="shared" si="8"/>
        <v>96-961500467</v>
      </c>
      <c r="M540" s="114">
        <v>961500467</v>
      </c>
      <c r="N540" s="114" t="s">
        <v>7175</v>
      </c>
    </row>
    <row r="541" spans="1:14" ht="18">
      <c r="A541" s="8" t="s">
        <v>1110</v>
      </c>
      <c r="B541" s="1" t="s">
        <v>2368</v>
      </c>
      <c r="I541" s="109"/>
      <c r="J541" s="109"/>
      <c r="K541" s="109"/>
      <c r="L541" s="109" t="str">
        <f t="shared" si="8"/>
        <v>96-961500470</v>
      </c>
      <c r="M541" s="114">
        <v>961500470</v>
      </c>
      <c r="N541" s="114" t="s">
        <v>7175</v>
      </c>
    </row>
    <row r="542" spans="1:14" ht="18">
      <c r="A542" s="8" t="s">
        <v>1277</v>
      </c>
      <c r="B542" s="1" t="s">
        <v>2368</v>
      </c>
      <c r="I542" s="109"/>
      <c r="J542" s="109"/>
      <c r="K542" s="109"/>
      <c r="L542" s="109" t="str">
        <f t="shared" si="8"/>
        <v>96-961500504</v>
      </c>
      <c r="M542" s="114">
        <v>961500504</v>
      </c>
      <c r="N542" s="114" t="s">
        <v>7111</v>
      </c>
    </row>
    <row r="543" spans="1:14" ht="18">
      <c r="A543" s="8" t="s">
        <v>1578</v>
      </c>
      <c r="B543" s="1" t="s">
        <v>2368</v>
      </c>
      <c r="I543" s="109"/>
      <c r="J543" s="109"/>
      <c r="K543" s="109"/>
      <c r="L543" s="109" t="str">
        <f t="shared" si="8"/>
        <v>96-961500531</v>
      </c>
      <c r="M543" s="114">
        <v>961500531</v>
      </c>
      <c r="N543" s="114" t="s">
        <v>7175</v>
      </c>
    </row>
    <row r="544" spans="1:14">
      <c r="A544" s="24" t="s">
        <v>1400</v>
      </c>
      <c r="B544" s="1" t="s">
        <v>2369</v>
      </c>
      <c r="I544" s="109"/>
      <c r="J544" s="109"/>
      <c r="K544" s="109"/>
      <c r="L544" s="109" t="str">
        <f t="shared" si="8"/>
        <v>96-961500540</v>
      </c>
      <c r="M544" s="114">
        <v>961500540</v>
      </c>
      <c r="N544" s="114" t="s">
        <v>7273</v>
      </c>
    </row>
    <row r="545" spans="1:14">
      <c r="A545" s="24" t="s">
        <v>1355</v>
      </c>
      <c r="B545" s="1" t="s">
        <v>2369</v>
      </c>
      <c r="I545" s="109"/>
      <c r="J545" s="109"/>
      <c r="K545" s="109"/>
      <c r="L545" s="109" t="str">
        <f t="shared" si="8"/>
        <v>96-961500567</v>
      </c>
      <c r="M545" s="114">
        <v>961500567</v>
      </c>
      <c r="N545" s="114" t="s">
        <v>8698</v>
      </c>
    </row>
    <row r="546" spans="1:14">
      <c r="A546" s="24" t="s">
        <v>1353</v>
      </c>
      <c r="B546" s="1" t="s">
        <v>2369</v>
      </c>
      <c r="I546" s="109"/>
      <c r="J546" s="109"/>
      <c r="K546" s="109"/>
      <c r="L546" s="109" t="str">
        <f t="shared" si="8"/>
        <v>95-951500041</v>
      </c>
      <c r="M546" s="114">
        <v>951500041</v>
      </c>
      <c r="N546" s="114" t="s">
        <v>5608</v>
      </c>
    </row>
    <row r="547" spans="1:14">
      <c r="A547" s="24" t="s">
        <v>1457</v>
      </c>
      <c r="B547" s="1" t="s">
        <v>2369</v>
      </c>
      <c r="I547" s="109"/>
      <c r="J547" s="109"/>
      <c r="K547" s="109"/>
      <c r="L547" s="109" t="str">
        <f t="shared" si="8"/>
        <v>95-951500055</v>
      </c>
      <c r="M547" s="114">
        <v>951500055</v>
      </c>
      <c r="N547" s="114" t="s">
        <v>5608</v>
      </c>
    </row>
    <row r="548" spans="1:14">
      <c r="A548" s="24" t="s">
        <v>1365</v>
      </c>
      <c r="B548" s="1" t="s">
        <v>2369</v>
      </c>
      <c r="I548" s="109"/>
      <c r="J548" s="109"/>
      <c r="K548" s="109"/>
      <c r="L548" s="109" t="str">
        <f t="shared" si="8"/>
        <v>95-951500070</v>
      </c>
      <c r="M548" s="114">
        <v>951500070</v>
      </c>
      <c r="N548" s="114" t="s">
        <v>5608</v>
      </c>
    </row>
    <row r="549" spans="1:14">
      <c r="A549" s="24" t="s">
        <v>1356</v>
      </c>
      <c r="B549" s="1" t="s">
        <v>2369</v>
      </c>
      <c r="I549" s="109"/>
      <c r="J549" s="109"/>
      <c r="K549" s="109"/>
      <c r="L549" s="109" t="str">
        <f t="shared" si="8"/>
        <v>95-951500075</v>
      </c>
      <c r="M549" s="114">
        <v>951500075</v>
      </c>
      <c r="N549" s="114" t="s">
        <v>5608</v>
      </c>
    </row>
    <row r="550" spans="1:14">
      <c r="A550" s="24" t="s">
        <v>1366</v>
      </c>
      <c r="B550" s="1" t="s">
        <v>2369</v>
      </c>
      <c r="I550" s="109"/>
      <c r="J550" s="109"/>
      <c r="K550" s="109"/>
      <c r="L550" s="109" t="str">
        <f t="shared" si="8"/>
        <v>95-951500078</v>
      </c>
      <c r="M550" s="114">
        <v>951500078</v>
      </c>
      <c r="N550" s="114" t="s">
        <v>5608</v>
      </c>
    </row>
    <row r="551" spans="1:14">
      <c r="A551" s="24" t="s">
        <v>1354</v>
      </c>
      <c r="B551" s="1" t="s">
        <v>2369</v>
      </c>
      <c r="I551" s="109"/>
      <c r="J551" s="109"/>
      <c r="K551" s="109"/>
      <c r="L551" s="109" t="str">
        <f t="shared" si="8"/>
        <v>95-951500116</v>
      </c>
      <c r="M551" s="114">
        <v>951500116</v>
      </c>
      <c r="N551" s="114" t="s">
        <v>5608</v>
      </c>
    </row>
    <row r="552" spans="1:14">
      <c r="A552" s="24" t="s">
        <v>1505</v>
      </c>
      <c r="B552" s="1" t="s">
        <v>2369</v>
      </c>
      <c r="I552" s="109"/>
      <c r="J552" s="109"/>
      <c r="K552" s="109"/>
      <c r="L552" s="109" t="str">
        <f t="shared" si="8"/>
        <v>95-951500092</v>
      </c>
      <c r="M552" s="114">
        <v>951500092</v>
      </c>
      <c r="N552" s="114" t="s">
        <v>5608</v>
      </c>
    </row>
    <row r="553" spans="1:14">
      <c r="A553" s="24" t="s">
        <v>1899</v>
      </c>
      <c r="B553" s="1" t="s">
        <v>2369</v>
      </c>
      <c r="I553" s="109"/>
      <c r="J553" s="109"/>
      <c r="K553" s="109"/>
      <c r="L553" s="109" t="str">
        <f t="shared" si="8"/>
        <v>95-951500179</v>
      </c>
      <c r="M553" s="114">
        <v>951500179</v>
      </c>
      <c r="N553" s="114" t="s">
        <v>5622</v>
      </c>
    </row>
    <row r="554" spans="1:14">
      <c r="A554" s="24" t="s">
        <v>1379</v>
      </c>
      <c r="B554" s="1" t="s">
        <v>2369</v>
      </c>
      <c r="I554" s="109"/>
      <c r="J554" s="109"/>
      <c r="K554" s="109"/>
      <c r="L554" s="109" t="str">
        <f t="shared" si="8"/>
        <v>95-951500192</v>
      </c>
      <c r="M554" s="114">
        <v>951500192</v>
      </c>
      <c r="N554" s="114" t="s">
        <v>5622</v>
      </c>
    </row>
    <row r="555" spans="1:14">
      <c r="A555" s="24" t="s">
        <v>1524</v>
      </c>
      <c r="B555" s="1" t="s">
        <v>2369</v>
      </c>
      <c r="I555" s="109"/>
      <c r="J555" s="109"/>
      <c r="K555" s="109"/>
      <c r="L555" s="109" t="str">
        <f t="shared" si="8"/>
        <v>95-951500459</v>
      </c>
      <c r="M555" s="114">
        <v>951500459</v>
      </c>
      <c r="N555" s="114" t="s">
        <v>5690</v>
      </c>
    </row>
    <row r="556" spans="1:14">
      <c r="A556" s="24" t="s">
        <v>1413</v>
      </c>
      <c r="B556" s="1" t="s">
        <v>2369</v>
      </c>
      <c r="I556" s="109"/>
      <c r="J556" s="109"/>
      <c r="K556" s="109"/>
      <c r="L556" s="109" t="str">
        <f t="shared" si="8"/>
        <v>95-951500531</v>
      </c>
      <c r="M556" s="114">
        <v>951500531</v>
      </c>
      <c r="N556" s="114" t="s">
        <v>5690</v>
      </c>
    </row>
    <row r="557" spans="1:14">
      <c r="A557" s="24" t="s">
        <v>1370</v>
      </c>
      <c r="B557" s="1" t="s">
        <v>2369</v>
      </c>
      <c r="I557" s="109"/>
      <c r="J557" s="109"/>
      <c r="K557" s="109"/>
      <c r="L557" s="109" t="str">
        <f t="shared" si="8"/>
        <v>95-951500399</v>
      </c>
      <c r="M557" s="114">
        <v>951500399</v>
      </c>
      <c r="N557" s="114" t="s">
        <v>5680</v>
      </c>
    </row>
    <row r="558" spans="1:14">
      <c r="A558" s="24" t="s">
        <v>1499</v>
      </c>
      <c r="B558" s="1" t="s">
        <v>2369</v>
      </c>
      <c r="I558" s="109"/>
      <c r="J558" s="109"/>
      <c r="K558" s="109"/>
      <c r="L558" s="109" t="str">
        <f t="shared" si="8"/>
        <v>95-951500417</v>
      </c>
      <c r="M558" s="114">
        <v>951500417</v>
      </c>
      <c r="N558" s="114" t="s">
        <v>5680</v>
      </c>
    </row>
    <row r="559" spans="1:14">
      <c r="A559" s="24" t="s">
        <v>1547</v>
      </c>
      <c r="B559" s="1" t="s">
        <v>2369</v>
      </c>
      <c r="I559" s="109"/>
      <c r="J559" s="109"/>
      <c r="K559" s="109"/>
      <c r="L559" s="109" t="str">
        <f t="shared" si="8"/>
        <v>95-951500425</v>
      </c>
      <c r="M559" s="114">
        <v>951500425</v>
      </c>
      <c r="N559" s="114" t="s">
        <v>5694</v>
      </c>
    </row>
    <row r="560" spans="1:14">
      <c r="A560" s="24" t="s">
        <v>1489</v>
      </c>
      <c r="B560" s="1" t="s">
        <v>2369</v>
      </c>
      <c r="I560" s="109"/>
      <c r="J560" s="109"/>
      <c r="K560" s="109"/>
      <c r="L560" s="109" t="str">
        <f t="shared" si="8"/>
        <v>95-951500428</v>
      </c>
      <c r="M560" s="114">
        <v>951500428</v>
      </c>
      <c r="N560" s="114" t="s">
        <v>5694</v>
      </c>
    </row>
    <row r="561" spans="1:14">
      <c r="A561" s="24" t="s">
        <v>1498</v>
      </c>
      <c r="B561" s="1" t="s">
        <v>2369</v>
      </c>
      <c r="I561" s="109"/>
      <c r="J561" s="109"/>
      <c r="K561" s="109"/>
      <c r="L561" s="109" t="str">
        <f t="shared" si="8"/>
        <v>95-951500477</v>
      </c>
      <c r="M561" s="114">
        <v>951500477</v>
      </c>
      <c r="N561" s="114" t="s">
        <v>5708</v>
      </c>
    </row>
    <row r="562" spans="1:14">
      <c r="A562" s="24" t="s">
        <v>1591</v>
      </c>
      <c r="B562" s="1" t="s">
        <v>2369</v>
      </c>
      <c r="I562" s="109"/>
      <c r="J562" s="109"/>
      <c r="K562" s="109"/>
      <c r="L562" s="109" t="str">
        <f t="shared" si="8"/>
        <v>95-951500484</v>
      </c>
      <c r="M562" s="114">
        <v>951500484</v>
      </c>
      <c r="N562" s="114" t="s">
        <v>5708</v>
      </c>
    </row>
    <row r="563" spans="1:14">
      <c r="A563" s="24" t="s">
        <v>1761</v>
      </c>
      <c r="B563" s="1" t="s">
        <v>2369</v>
      </c>
      <c r="I563" s="109"/>
      <c r="J563" s="109"/>
      <c r="K563" s="109"/>
      <c r="L563" s="109" t="str">
        <f t="shared" si="8"/>
        <v>95-951500491</v>
      </c>
      <c r="M563" s="114">
        <v>951500491</v>
      </c>
      <c r="N563" s="114" t="s">
        <v>5708</v>
      </c>
    </row>
    <row r="564" spans="1:14">
      <c r="A564" s="24" t="s">
        <v>1595</v>
      </c>
      <c r="B564" s="1" t="s">
        <v>2369</v>
      </c>
      <c r="I564" s="109"/>
      <c r="J564" s="109"/>
      <c r="K564" s="109"/>
      <c r="L564" s="109" t="str">
        <f t="shared" si="8"/>
        <v>95-951500492</v>
      </c>
      <c r="M564" s="114">
        <v>951500492</v>
      </c>
      <c r="N564" s="114" t="s">
        <v>5708</v>
      </c>
    </row>
    <row r="565" spans="1:14">
      <c r="A565" s="24" t="s">
        <v>1501</v>
      </c>
      <c r="B565" s="1" t="s">
        <v>2369</v>
      </c>
      <c r="I565" s="109"/>
      <c r="J565" s="109"/>
      <c r="K565" s="109"/>
      <c r="L565" s="109" t="str">
        <f t="shared" si="8"/>
        <v>95-951500522</v>
      </c>
      <c r="M565" s="114">
        <v>951500522</v>
      </c>
      <c r="N565" s="114" t="s">
        <v>5708</v>
      </c>
    </row>
    <row r="566" spans="1:14">
      <c r="A566" s="24" t="s">
        <v>2177</v>
      </c>
      <c r="B566" s="1" t="s">
        <v>2369</v>
      </c>
      <c r="I566" s="109"/>
      <c r="J566" s="109"/>
      <c r="K566" s="109"/>
      <c r="L566" s="109" t="str">
        <f t="shared" si="8"/>
        <v>95-951500544</v>
      </c>
      <c r="M566" s="114">
        <v>951500544</v>
      </c>
      <c r="N566" s="114" t="s">
        <v>5726</v>
      </c>
    </row>
    <row r="567" spans="1:14">
      <c r="A567" s="24" t="s">
        <v>1583</v>
      </c>
      <c r="B567" s="1" t="s">
        <v>2369</v>
      </c>
      <c r="I567" s="109"/>
      <c r="J567" s="109"/>
      <c r="K567" s="109"/>
      <c r="L567" s="109" t="str">
        <f t="shared" si="8"/>
        <v>95-951500552</v>
      </c>
      <c r="M567" s="114">
        <v>951500552</v>
      </c>
      <c r="N567" s="114" t="s">
        <v>5726</v>
      </c>
    </row>
    <row r="568" spans="1:14">
      <c r="A568" s="24" t="s">
        <v>1762</v>
      </c>
      <c r="B568" s="1" t="s">
        <v>2369</v>
      </c>
      <c r="I568" s="109"/>
      <c r="J568" s="109"/>
      <c r="K568" s="109"/>
      <c r="L568" s="109" t="str">
        <f t="shared" si="8"/>
        <v>95-951500583</v>
      </c>
      <c r="M568" s="114">
        <v>951500583</v>
      </c>
      <c r="N568" s="114" t="s">
        <v>5752</v>
      </c>
    </row>
    <row r="569" spans="1:14">
      <c r="A569" s="24" t="s">
        <v>1503</v>
      </c>
      <c r="B569" s="1" t="s">
        <v>2369</v>
      </c>
      <c r="I569" s="109"/>
      <c r="J569" s="109"/>
      <c r="K569" s="109"/>
      <c r="L569" s="109" t="str">
        <f t="shared" si="8"/>
        <v>95-951500599</v>
      </c>
      <c r="M569" s="114">
        <v>951500599</v>
      </c>
      <c r="N569" s="114" t="s">
        <v>5752</v>
      </c>
    </row>
    <row r="570" spans="1:14">
      <c r="A570" s="24" t="s">
        <v>1789</v>
      </c>
      <c r="B570" s="1" t="s">
        <v>2369</v>
      </c>
      <c r="I570" s="109"/>
      <c r="J570" s="109"/>
      <c r="K570" s="109"/>
      <c r="L570" s="109" t="str">
        <f t="shared" si="8"/>
        <v>95-951500607</v>
      </c>
      <c r="M570" s="114">
        <v>951500607</v>
      </c>
      <c r="N570" s="114" t="s">
        <v>5752</v>
      </c>
    </row>
    <row r="571" spans="1:14">
      <c r="A571" s="24" t="s">
        <v>1759</v>
      </c>
      <c r="B571" s="1" t="s">
        <v>2369</v>
      </c>
      <c r="I571" s="109"/>
      <c r="J571" s="109"/>
      <c r="K571" s="109"/>
      <c r="L571" s="109" t="str">
        <f t="shared" si="8"/>
        <v>95-951500609</v>
      </c>
      <c r="M571" s="114">
        <v>951500609</v>
      </c>
      <c r="N571" s="114" t="s">
        <v>5752</v>
      </c>
    </row>
    <row r="572" spans="1:14">
      <c r="A572" s="24" t="s">
        <v>1594</v>
      </c>
      <c r="B572" s="1" t="s">
        <v>2369</v>
      </c>
      <c r="I572" s="109"/>
      <c r="J572" s="109"/>
      <c r="K572" s="109"/>
      <c r="L572" s="109" t="str">
        <f t="shared" si="8"/>
        <v>96-961500018</v>
      </c>
      <c r="M572" s="114">
        <v>961500018</v>
      </c>
      <c r="N572" s="114" t="s">
        <v>5758</v>
      </c>
    </row>
    <row r="573" spans="1:14">
      <c r="A573" s="24" t="s">
        <v>1573</v>
      </c>
      <c r="B573" s="1" t="s">
        <v>2369</v>
      </c>
      <c r="I573" s="109"/>
      <c r="J573" s="109"/>
      <c r="K573" s="109"/>
      <c r="L573" s="109" t="str">
        <f t="shared" si="8"/>
        <v>95-951500415</v>
      </c>
      <c r="M573" s="114">
        <v>951500415</v>
      </c>
      <c r="N573" s="114" t="s">
        <v>5686</v>
      </c>
    </row>
    <row r="574" spans="1:14">
      <c r="A574" s="24" t="s">
        <v>1763</v>
      </c>
      <c r="B574" s="1" t="s">
        <v>2369</v>
      </c>
      <c r="I574" s="109"/>
      <c r="J574" s="109"/>
      <c r="K574" s="109"/>
      <c r="L574" s="109" t="str">
        <f t="shared" si="8"/>
        <v>95-951500482</v>
      </c>
      <c r="M574" s="114">
        <v>951500482</v>
      </c>
      <c r="N574" s="114" t="s">
        <v>5712</v>
      </c>
    </row>
    <row r="575" spans="1:14">
      <c r="A575" s="24" t="s">
        <v>1944</v>
      </c>
      <c r="B575" s="1" t="s">
        <v>2369</v>
      </c>
      <c r="I575" s="109"/>
      <c r="J575" s="109"/>
      <c r="K575" s="109"/>
      <c r="L575" s="109" t="str">
        <f t="shared" si="8"/>
        <v>96-961500023</v>
      </c>
      <c r="M575" s="114">
        <v>961500023</v>
      </c>
      <c r="N575" s="114" t="s">
        <v>5751</v>
      </c>
    </row>
    <row r="576" spans="1:14">
      <c r="A576" s="24" t="s">
        <v>1943</v>
      </c>
      <c r="B576" s="1" t="s">
        <v>2369</v>
      </c>
      <c r="I576" s="109"/>
      <c r="J576" s="109"/>
      <c r="K576" s="109"/>
      <c r="L576" s="109" t="str">
        <f t="shared" si="8"/>
        <v>96-961500205</v>
      </c>
      <c r="M576" s="114">
        <v>961500205</v>
      </c>
      <c r="N576" s="114" t="s">
        <v>5818</v>
      </c>
    </row>
    <row r="577" spans="1:14">
      <c r="A577" s="24" t="s">
        <v>1760</v>
      </c>
      <c r="B577" s="1" t="s">
        <v>2369</v>
      </c>
      <c r="I577" s="109"/>
      <c r="J577" s="109"/>
      <c r="K577" s="109"/>
      <c r="L577" s="109" t="str">
        <f t="shared" si="8"/>
        <v>96-961500273</v>
      </c>
      <c r="M577" s="114">
        <v>961500273</v>
      </c>
      <c r="N577" s="114" t="s">
        <v>5820</v>
      </c>
    </row>
    <row r="578" spans="1:14">
      <c r="A578" s="24" t="s">
        <v>1828</v>
      </c>
      <c r="B578" s="1" t="s">
        <v>2369</v>
      </c>
      <c r="I578" s="109"/>
      <c r="J578" s="109"/>
      <c r="K578" s="109"/>
      <c r="L578" s="109" t="str">
        <f t="shared" si="8"/>
        <v>96-961500317</v>
      </c>
      <c r="M578" s="114">
        <v>961500317</v>
      </c>
      <c r="N578" s="114" t="s">
        <v>5818</v>
      </c>
    </row>
    <row r="579" spans="1:14">
      <c r="A579" s="24" t="s">
        <v>1842</v>
      </c>
      <c r="B579" s="1" t="s">
        <v>2369</v>
      </c>
      <c r="I579" s="109"/>
      <c r="J579" s="109"/>
      <c r="K579" s="109"/>
      <c r="L579" s="109" t="str">
        <f t="shared" ref="L579:L642" si="9">MID(M579,1,2)&amp;"-"&amp;M579</f>
        <v>96-961500420</v>
      </c>
      <c r="M579" s="114">
        <v>961500420</v>
      </c>
      <c r="N579" s="114" t="s">
        <v>7237</v>
      </c>
    </row>
    <row r="580" spans="1:14">
      <c r="A580" s="24" t="s">
        <v>1755</v>
      </c>
      <c r="B580" s="1" t="s">
        <v>2369</v>
      </c>
      <c r="I580" s="109"/>
      <c r="J580" s="109"/>
      <c r="K580" s="109"/>
      <c r="L580" s="109" t="str">
        <f t="shared" si="9"/>
        <v>96-961500441</v>
      </c>
      <c r="M580" s="114">
        <v>961500441</v>
      </c>
      <c r="N580" s="114" t="s">
        <v>7237</v>
      </c>
    </row>
    <row r="581" spans="1:14">
      <c r="A581" s="24" t="s">
        <v>1840</v>
      </c>
      <c r="B581" s="1" t="s">
        <v>2369</v>
      </c>
      <c r="I581" s="109"/>
      <c r="J581" s="109"/>
      <c r="K581" s="109"/>
      <c r="L581" s="109" t="str">
        <f t="shared" si="9"/>
        <v>96-961500465</v>
      </c>
      <c r="M581" s="114">
        <v>961500465</v>
      </c>
      <c r="N581" s="114" t="s">
        <v>5836</v>
      </c>
    </row>
    <row r="582" spans="1:14">
      <c r="A582" s="24" t="s">
        <v>1866</v>
      </c>
      <c r="B582" s="1" t="s">
        <v>2369</v>
      </c>
      <c r="I582" s="109"/>
      <c r="J582" s="109"/>
      <c r="K582" s="109"/>
      <c r="L582" s="109" t="str">
        <f t="shared" si="9"/>
        <v>96-961500564</v>
      </c>
      <c r="M582" s="114">
        <v>961500564</v>
      </c>
      <c r="N582" s="114" t="s">
        <v>8722</v>
      </c>
    </row>
    <row r="583" spans="1:14">
      <c r="A583" s="24" t="s">
        <v>1820</v>
      </c>
      <c r="B583" s="1" t="s">
        <v>2369</v>
      </c>
      <c r="I583" s="109"/>
      <c r="J583" s="109"/>
      <c r="K583" s="109"/>
      <c r="L583" s="109" t="str">
        <f t="shared" si="9"/>
        <v>95-951500258</v>
      </c>
      <c r="M583" s="114">
        <v>951500258</v>
      </c>
      <c r="N583" s="114" t="s">
        <v>5648</v>
      </c>
    </row>
    <row r="584" spans="1:14">
      <c r="A584" s="24" t="s">
        <v>1841</v>
      </c>
      <c r="B584" s="1" t="s">
        <v>2369</v>
      </c>
      <c r="I584" s="109"/>
      <c r="J584" s="109"/>
      <c r="K584" s="109"/>
      <c r="L584" s="109" t="str">
        <f t="shared" si="9"/>
        <v>95-951500326</v>
      </c>
      <c r="M584" s="114">
        <v>951500326</v>
      </c>
      <c r="N584" s="114" t="s">
        <v>5666</v>
      </c>
    </row>
    <row r="585" spans="1:14">
      <c r="A585" s="24" t="s">
        <v>1854</v>
      </c>
      <c r="B585" s="1" t="s">
        <v>2369</v>
      </c>
      <c r="I585" s="109"/>
      <c r="J585" s="109"/>
      <c r="K585" s="109"/>
      <c r="L585" s="109" t="str">
        <f t="shared" si="9"/>
        <v>95-951500357</v>
      </c>
      <c r="M585" s="114">
        <v>951500357</v>
      </c>
      <c r="N585" s="114" t="s">
        <v>5673</v>
      </c>
    </row>
    <row r="586" spans="1:14">
      <c r="A586" s="24" t="s">
        <v>1861</v>
      </c>
      <c r="B586" s="1" t="s">
        <v>2369</v>
      </c>
      <c r="I586" s="109"/>
      <c r="J586" s="109"/>
      <c r="K586" s="109"/>
      <c r="L586" s="109" t="str">
        <f t="shared" si="9"/>
        <v>95-951500596</v>
      </c>
      <c r="M586" s="114">
        <v>951500596</v>
      </c>
      <c r="N586" s="114" t="s">
        <v>5759</v>
      </c>
    </row>
    <row r="587" spans="1:14">
      <c r="A587" s="24" t="s">
        <v>1862</v>
      </c>
      <c r="B587" s="1" t="s">
        <v>2369</v>
      </c>
      <c r="I587" s="109"/>
      <c r="J587" s="109"/>
      <c r="K587" s="109"/>
      <c r="L587" s="109" t="str">
        <f t="shared" si="9"/>
        <v>96-961500007</v>
      </c>
      <c r="M587" s="114">
        <v>961500007</v>
      </c>
      <c r="N587" s="114" t="s">
        <v>5767</v>
      </c>
    </row>
    <row r="588" spans="1:14">
      <c r="A588" s="24" t="s">
        <v>1859</v>
      </c>
      <c r="B588" s="1" t="s">
        <v>2369</v>
      </c>
      <c r="I588" s="109"/>
      <c r="J588" s="109"/>
      <c r="K588" s="109"/>
      <c r="L588" s="109" t="str">
        <f t="shared" si="9"/>
        <v>96-961500113</v>
      </c>
      <c r="M588" s="114">
        <v>961500113</v>
      </c>
      <c r="N588" s="114" t="s">
        <v>5805</v>
      </c>
    </row>
    <row r="589" spans="1:14">
      <c r="A589" s="24" t="s">
        <v>1869</v>
      </c>
      <c r="B589" s="1" t="s">
        <v>2369</v>
      </c>
      <c r="I589" s="109"/>
      <c r="J589" s="109"/>
      <c r="K589" s="109"/>
      <c r="L589" s="109" t="str">
        <f t="shared" si="9"/>
        <v>96-961500261</v>
      </c>
      <c r="M589" s="114">
        <v>961500261</v>
      </c>
      <c r="N589" s="114" t="s">
        <v>5829</v>
      </c>
    </row>
    <row r="590" spans="1:14">
      <c r="A590" s="24" t="s">
        <v>1848</v>
      </c>
      <c r="B590" s="1" t="s">
        <v>2369</v>
      </c>
      <c r="I590" s="109"/>
      <c r="J590" s="109"/>
      <c r="K590" s="109"/>
      <c r="L590" s="109" t="str">
        <f t="shared" si="9"/>
        <v>95-951500030</v>
      </c>
      <c r="M590" s="114">
        <v>951500030</v>
      </c>
      <c r="N590" s="114" t="s">
        <v>5612</v>
      </c>
    </row>
    <row r="591" spans="1:14">
      <c r="A591" s="24" t="s">
        <v>1954</v>
      </c>
      <c r="B591" s="1" t="s">
        <v>2369</v>
      </c>
      <c r="I591" s="109"/>
      <c r="J591" s="109"/>
      <c r="K591" s="109"/>
      <c r="L591" s="109" t="str">
        <f t="shared" si="9"/>
        <v>95-951500046</v>
      </c>
      <c r="M591" s="114">
        <v>951500046</v>
      </c>
      <c r="N591" s="114" t="s">
        <v>5612</v>
      </c>
    </row>
    <row r="592" spans="1:14">
      <c r="A592" s="24" t="s">
        <v>1947</v>
      </c>
      <c r="B592" s="1" t="s">
        <v>2369</v>
      </c>
      <c r="I592" s="109"/>
      <c r="J592" s="109"/>
      <c r="K592" s="109"/>
      <c r="L592" s="109" t="str">
        <f t="shared" si="9"/>
        <v>95-951500120</v>
      </c>
      <c r="M592" s="114">
        <v>951500120</v>
      </c>
      <c r="N592" s="114" t="s">
        <v>5612</v>
      </c>
    </row>
    <row r="593" spans="1:14">
      <c r="A593" s="24" t="s">
        <v>1973</v>
      </c>
      <c r="B593" s="1" t="s">
        <v>2369</v>
      </c>
      <c r="I593" s="109"/>
      <c r="J593" s="109"/>
      <c r="K593" s="109"/>
      <c r="L593" s="109" t="str">
        <f t="shared" si="9"/>
        <v>95-951500140</v>
      </c>
      <c r="M593" s="114">
        <v>951500140</v>
      </c>
      <c r="N593" s="114" t="s">
        <v>5619</v>
      </c>
    </row>
    <row r="594" spans="1:14">
      <c r="A594" s="24" t="s">
        <v>2090</v>
      </c>
      <c r="B594" s="1" t="s">
        <v>2369</v>
      </c>
      <c r="I594" s="109"/>
      <c r="J594" s="109"/>
      <c r="K594" s="109"/>
      <c r="L594" s="109" t="str">
        <f t="shared" si="9"/>
        <v>95-951500160</v>
      </c>
      <c r="M594" s="114">
        <v>951500160</v>
      </c>
      <c r="N594" s="114" t="s">
        <v>5619</v>
      </c>
    </row>
    <row r="595" spans="1:14">
      <c r="A595" s="24" t="s">
        <v>2091</v>
      </c>
      <c r="B595" s="1" t="s">
        <v>2369</v>
      </c>
      <c r="I595" s="109"/>
      <c r="J595" s="109"/>
      <c r="K595" s="109"/>
      <c r="L595" s="109" t="str">
        <f t="shared" si="9"/>
        <v>95-951500163</v>
      </c>
      <c r="M595" s="114">
        <v>951500163</v>
      </c>
      <c r="N595" s="114" t="s">
        <v>5619</v>
      </c>
    </row>
    <row r="596" spans="1:14">
      <c r="A596" s="24" t="s">
        <v>2093</v>
      </c>
      <c r="B596" s="1" t="s">
        <v>2369</v>
      </c>
      <c r="I596" s="109"/>
      <c r="J596" s="109"/>
      <c r="K596" s="109"/>
      <c r="L596" s="109" t="str">
        <f t="shared" si="9"/>
        <v>95-951500177</v>
      </c>
      <c r="M596" s="114">
        <v>951500177</v>
      </c>
      <c r="N596" s="114" t="s">
        <v>5619</v>
      </c>
    </row>
    <row r="597" spans="1:14">
      <c r="A597" s="24" t="s">
        <v>2092</v>
      </c>
      <c r="B597" s="1" t="s">
        <v>2369</v>
      </c>
      <c r="I597" s="109"/>
      <c r="J597" s="109"/>
      <c r="K597" s="109"/>
      <c r="L597" s="109" t="str">
        <f t="shared" si="9"/>
        <v>95-951500211</v>
      </c>
      <c r="M597" s="114">
        <v>951500211</v>
      </c>
      <c r="N597" s="114" t="s">
        <v>5630</v>
      </c>
    </row>
    <row r="598" spans="1:14">
      <c r="A598" s="24" t="s">
        <v>1980</v>
      </c>
      <c r="B598" s="1" t="s">
        <v>2369</v>
      </c>
      <c r="I598" s="109"/>
      <c r="J598" s="109"/>
      <c r="K598" s="109"/>
      <c r="L598" s="109" t="str">
        <f t="shared" si="9"/>
        <v>95-951500036</v>
      </c>
      <c r="M598" s="114">
        <v>951500036</v>
      </c>
      <c r="N598" s="114" t="s">
        <v>5613</v>
      </c>
    </row>
    <row r="599" spans="1:14">
      <c r="A599" s="24" t="s">
        <v>1983</v>
      </c>
      <c r="B599" s="1" t="s">
        <v>2369</v>
      </c>
      <c r="I599" s="109"/>
      <c r="J599" s="109"/>
      <c r="K599" s="109"/>
      <c r="L599" s="109" t="str">
        <f t="shared" si="9"/>
        <v>95-951500085</v>
      </c>
      <c r="M599" s="114">
        <v>951500085</v>
      </c>
      <c r="N599" s="114" t="s">
        <v>5613</v>
      </c>
    </row>
    <row r="600" spans="1:14">
      <c r="A600" s="24" t="s">
        <v>1979</v>
      </c>
      <c r="B600" s="1" t="s">
        <v>2369</v>
      </c>
      <c r="I600" s="109"/>
      <c r="J600" s="109"/>
      <c r="K600" s="109"/>
      <c r="L600" s="109" t="str">
        <f t="shared" si="9"/>
        <v>95-951500110</v>
      </c>
      <c r="M600" s="114">
        <v>951500110</v>
      </c>
      <c r="N600" s="114" t="s">
        <v>5613</v>
      </c>
    </row>
    <row r="601" spans="1:14">
      <c r="A601" s="24" t="s">
        <v>2056</v>
      </c>
      <c r="B601" s="1" t="s">
        <v>2369</v>
      </c>
      <c r="I601" s="109"/>
      <c r="J601" s="109"/>
      <c r="K601" s="109"/>
      <c r="L601" s="109" t="str">
        <f t="shared" si="9"/>
        <v>95-951500124</v>
      </c>
      <c r="M601" s="114">
        <v>951500124</v>
      </c>
      <c r="N601" s="114" t="s">
        <v>5618</v>
      </c>
    </row>
    <row r="602" spans="1:14">
      <c r="A602" s="24" t="s">
        <v>2054</v>
      </c>
      <c r="B602" s="1" t="s">
        <v>2369</v>
      </c>
      <c r="I602" s="109"/>
      <c r="J602" s="109"/>
      <c r="K602" s="109"/>
      <c r="L602" s="109" t="str">
        <f t="shared" si="9"/>
        <v>95-951500148</v>
      </c>
      <c r="M602" s="114">
        <v>951500148</v>
      </c>
      <c r="N602" s="114" t="s">
        <v>5618</v>
      </c>
    </row>
    <row r="603" spans="1:14">
      <c r="A603" s="24" t="s">
        <v>1994</v>
      </c>
      <c r="B603" s="1" t="s">
        <v>2369</v>
      </c>
      <c r="I603" s="109"/>
      <c r="J603" s="109"/>
      <c r="K603" s="109"/>
      <c r="L603" s="109" t="str">
        <f t="shared" si="9"/>
        <v>95-951500155</v>
      </c>
      <c r="M603" s="114">
        <v>951500155</v>
      </c>
      <c r="N603" s="114" t="s">
        <v>5618</v>
      </c>
    </row>
    <row r="604" spans="1:14">
      <c r="A604" s="24" t="s">
        <v>1995</v>
      </c>
      <c r="B604" s="1" t="s">
        <v>2369</v>
      </c>
      <c r="I604" s="109"/>
      <c r="J604" s="109"/>
      <c r="K604" s="109"/>
      <c r="L604" s="109" t="str">
        <f t="shared" si="9"/>
        <v>95-951500314</v>
      </c>
      <c r="M604" s="114">
        <v>951500314</v>
      </c>
      <c r="N604" s="114" t="s">
        <v>5665</v>
      </c>
    </row>
    <row r="605" spans="1:14">
      <c r="A605" s="24" t="s">
        <v>1997</v>
      </c>
      <c r="B605" s="1" t="s">
        <v>2369</v>
      </c>
      <c r="I605" s="109"/>
      <c r="J605" s="109"/>
      <c r="K605" s="109"/>
      <c r="L605" s="109" t="str">
        <f t="shared" si="9"/>
        <v>96-961500021</v>
      </c>
      <c r="M605" s="114">
        <v>961500021</v>
      </c>
      <c r="N605" s="114" t="s">
        <v>5758</v>
      </c>
    </row>
    <row r="606" spans="1:14">
      <c r="A606" s="24" t="s">
        <v>2055</v>
      </c>
      <c r="B606" s="1" t="s">
        <v>2369</v>
      </c>
      <c r="I606" s="109"/>
      <c r="J606" s="109"/>
      <c r="K606" s="109"/>
      <c r="L606" s="109" t="str">
        <f t="shared" si="9"/>
        <v>96-961500032</v>
      </c>
      <c r="M606" s="114">
        <v>961500032</v>
      </c>
      <c r="N606" s="114" t="s">
        <v>5758</v>
      </c>
    </row>
    <row r="607" spans="1:14">
      <c r="A607" s="24" t="s">
        <v>1992</v>
      </c>
      <c r="B607" s="1" t="s">
        <v>2369</v>
      </c>
      <c r="I607" s="109"/>
      <c r="J607" s="109"/>
      <c r="K607" s="109"/>
      <c r="L607" s="109" t="str">
        <f t="shared" si="9"/>
        <v>96-961500058</v>
      </c>
      <c r="M607" s="114">
        <v>961500058</v>
      </c>
      <c r="N607" s="114" t="s">
        <v>5758</v>
      </c>
    </row>
    <row r="608" spans="1:14">
      <c r="A608" s="24" t="s">
        <v>2048</v>
      </c>
      <c r="B608" s="1" t="s">
        <v>2369</v>
      </c>
      <c r="I608" s="109"/>
      <c r="J608" s="109"/>
      <c r="K608" s="109"/>
      <c r="L608" s="109" t="str">
        <f t="shared" si="9"/>
        <v>96-961500077</v>
      </c>
      <c r="M608" s="114">
        <v>961500077</v>
      </c>
      <c r="N608" s="114" t="s">
        <v>5762</v>
      </c>
    </row>
    <row r="609" spans="1:14">
      <c r="A609" s="24" t="s">
        <v>1996</v>
      </c>
      <c r="B609" s="1" t="s">
        <v>2369</v>
      </c>
      <c r="I609" s="109"/>
      <c r="J609" s="109"/>
      <c r="K609" s="109"/>
      <c r="L609" s="109" t="str">
        <f t="shared" si="9"/>
        <v>96-961500133</v>
      </c>
      <c r="M609" s="114">
        <v>961500133</v>
      </c>
      <c r="N609" s="114" t="s">
        <v>5799</v>
      </c>
    </row>
    <row r="610" spans="1:14">
      <c r="A610" s="24" t="s">
        <v>1999</v>
      </c>
      <c r="B610" s="1" t="s">
        <v>2369</v>
      </c>
      <c r="I610" s="109"/>
      <c r="J610" s="109"/>
      <c r="K610" s="109"/>
      <c r="L610" s="109" t="str">
        <f t="shared" si="9"/>
        <v>96-961500170</v>
      </c>
      <c r="M610" s="114">
        <v>961500170</v>
      </c>
      <c r="N610" s="114" t="s">
        <v>5810</v>
      </c>
    </row>
    <row r="611" spans="1:14">
      <c r="A611" s="24" t="s">
        <v>2042</v>
      </c>
      <c r="B611" s="1" t="s">
        <v>2369</v>
      </c>
      <c r="I611" s="109"/>
      <c r="J611" s="109"/>
      <c r="K611" s="109"/>
      <c r="L611" s="109" t="str">
        <f t="shared" si="9"/>
        <v>96-961500176</v>
      </c>
      <c r="M611" s="114">
        <v>961500176</v>
      </c>
      <c r="N611" s="114" t="s">
        <v>5810</v>
      </c>
    </row>
    <row r="612" spans="1:14">
      <c r="A612" s="24" t="s">
        <v>2029</v>
      </c>
      <c r="B612" s="1" t="s">
        <v>2369</v>
      </c>
      <c r="I612" s="109"/>
      <c r="J612" s="109"/>
      <c r="K612" s="109"/>
      <c r="L612" s="109" t="str">
        <f t="shared" si="9"/>
        <v>96-961500187</v>
      </c>
      <c r="M612" s="114">
        <v>961500187</v>
      </c>
      <c r="N612" s="114" t="s">
        <v>5813</v>
      </c>
    </row>
    <row r="613" spans="1:14">
      <c r="A613" s="24" t="s">
        <v>2040</v>
      </c>
      <c r="B613" s="1" t="s">
        <v>2369</v>
      </c>
      <c r="I613" s="109"/>
      <c r="J613" s="109"/>
      <c r="K613" s="109"/>
      <c r="L613" s="109" t="str">
        <f t="shared" si="9"/>
        <v>96-961500223</v>
      </c>
      <c r="M613" s="114">
        <v>961500223</v>
      </c>
      <c r="N613" s="114" t="s">
        <v>5813</v>
      </c>
    </row>
    <row r="614" spans="1:14">
      <c r="A614" s="24" t="s">
        <v>2037</v>
      </c>
      <c r="B614" s="1" t="s">
        <v>2369</v>
      </c>
      <c r="I614" s="109"/>
      <c r="J614" s="109"/>
      <c r="K614" s="109"/>
      <c r="L614" s="109" t="str">
        <f t="shared" si="9"/>
        <v>96-961500224</v>
      </c>
      <c r="M614" s="114">
        <v>961500224</v>
      </c>
      <c r="N614" s="114" t="s">
        <v>5813</v>
      </c>
    </row>
    <row r="615" spans="1:14">
      <c r="A615" s="24" t="s">
        <v>2154</v>
      </c>
      <c r="B615" s="1" t="s">
        <v>2369</v>
      </c>
      <c r="I615" s="109"/>
      <c r="J615" s="109"/>
      <c r="K615" s="109"/>
      <c r="L615" s="109" t="str">
        <f t="shared" si="9"/>
        <v>96-961500229</v>
      </c>
      <c r="M615" s="114">
        <v>961500229</v>
      </c>
      <c r="N615" s="114" t="s">
        <v>5813</v>
      </c>
    </row>
    <row r="616" spans="1:14">
      <c r="A616" s="24" t="s">
        <v>2015</v>
      </c>
      <c r="B616" s="1" t="s">
        <v>2369</v>
      </c>
      <c r="I616" s="109"/>
      <c r="J616" s="109"/>
      <c r="K616" s="109"/>
      <c r="L616" s="109" t="str">
        <f t="shared" si="9"/>
        <v>96-961500238</v>
      </c>
      <c r="M616" s="114">
        <v>961500238</v>
      </c>
      <c r="N616" s="114" t="s">
        <v>5813</v>
      </c>
    </row>
    <row r="617" spans="1:14">
      <c r="A617" s="24" t="s">
        <v>2082</v>
      </c>
      <c r="B617" s="1" t="s">
        <v>2369</v>
      </c>
      <c r="I617" s="109"/>
      <c r="J617" s="109"/>
      <c r="K617" s="109"/>
      <c r="L617" s="109" t="str">
        <f t="shared" si="9"/>
        <v>96-961500275</v>
      </c>
      <c r="M617" s="114">
        <v>961500275</v>
      </c>
      <c r="N617" s="114" t="s">
        <v>5826</v>
      </c>
    </row>
    <row r="618" spans="1:14">
      <c r="A618" s="24" t="s">
        <v>2025</v>
      </c>
      <c r="B618" s="1" t="s">
        <v>2369</v>
      </c>
      <c r="I618" s="109"/>
      <c r="J618" s="109"/>
      <c r="K618" s="109"/>
      <c r="L618" s="109" t="str">
        <f t="shared" si="9"/>
        <v>96-961500293</v>
      </c>
      <c r="M618" s="114">
        <v>961500293</v>
      </c>
      <c r="N618" s="114" t="s">
        <v>5826</v>
      </c>
    </row>
    <row r="619" spans="1:14">
      <c r="A619" s="24" t="s">
        <v>2039</v>
      </c>
      <c r="B619" s="1" t="s">
        <v>2369</v>
      </c>
      <c r="I619" s="109"/>
      <c r="J619" s="109"/>
      <c r="K619" s="109"/>
      <c r="L619" s="109" t="str">
        <f t="shared" si="9"/>
        <v>96-961500294</v>
      </c>
      <c r="M619" s="114">
        <v>961500294</v>
      </c>
      <c r="N619" s="114" t="s">
        <v>5826</v>
      </c>
    </row>
    <row r="620" spans="1:14">
      <c r="A620" s="24" t="s">
        <v>2021</v>
      </c>
      <c r="B620" s="1" t="s">
        <v>2369</v>
      </c>
      <c r="I620" s="109"/>
      <c r="J620" s="109"/>
      <c r="K620" s="109"/>
      <c r="L620" s="109" t="str">
        <f t="shared" si="9"/>
        <v>96-961500303</v>
      </c>
      <c r="M620" s="114">
        <v>961500303</v>
      </c>
      <c r="N620" s="114" t="s">
        <v>5826</v>
      </c>
    </row>
    <row r="621" spans="1:14">
      <c r="A621" s="24" t="s">
        <v>2123</v>
      </c>
      <c r="B621" s="1" t="s">
        <v>2369</v>
      </c>
      <c r="I621" s="109"/>
      <c r="J621" s="109"/>
      <c r="K621" s="109"/>
      <c r="L621" s="109" t="str">
        <f t="shared" si="9"/>
        <v>96-961500323</v>
      </c>
      <c r="M621" s="114">
        <v>961500323</v>
      </c>
      <c r="N621" s="114" t="s">
        <v>5831</v>
      </c>
    </row>
    <row r="622" spans="1:14">
      <c r="A622" s="24" t="s">
        <v>2024</v>
      </c>
      <c r="B622" s="1" t="s">
        <v>2369</v>
      </c>
      <c r="I622" s="109"/>
      <c r="J622" s="109"/>
      <c r="K622" s="109"/>
      <c r="L622" s="109" t="str">
        <f t="shared" si="9"/>
        <v>96-961500333</v>
      </c>
      <c r="M622" s="114">
        <v>961500333</v>
      </c>
      <c r="N622" s="114" t="s">
        <v>7233</v>
      </c>
    </row>
    <row r="623" spans="1:14">
      <c r="A623" s="24" t="s">
        <v>2165</v>
      </c>
      <c r="B623" s="1" t="s">
        <v>2369</v>
      </c>
      <c r="I623" s="109"/>
      <c r="J623" s="109"/>
      <c r="K623" s="109"/>
      <c r="L623" s="109" t="str">
        <f t="shared" si="9"/>
        <v>96-961500393</v>
      </c>
      <c r="M623" s="114">
        <v>961500393</v>
      </c>
      <c r="N623" s="114" t="s">
        <v>7233</v>
      </c>
    </row>
    <row r="624" spans="1:14">
      <c r="A624" s="24" t="s">
        <v>2160</v>
      </c>
      <c r="B624" s="1" t="s">
        <v>2369</v>
      </c>
      <c r="I624" s="109"/>
      <c r="J624" s="109"/>
      <c r="K624" s="109"/>
      <c r="L624" s="109" t="str">
        <f t="shared" si="9"/>
        <v>96-961500538</v>
      </c>
      <c r="M624" s="114">
        <v>961500538</v>
      </c>
      <c r="N624" s="114" t="s">
        <v>8497</v>
      </c>
    </row>
    <row r="625" spans="1:14">
      <c r="A625" s="24" t="s">
        <v>2178</v>
      </c>
      <c r="B625" s="1" t="s">
        <v>2369</v>
      </c>
      <c r="I625" s="109"/>
      <c r="J625" s="109"/>
      <c r="K625" s="109"/>
      <c r="L625" s="109" t="str">
        <f t="shared" si="9"/>
        <v>96-961500571</v>
      </c>
      <c r="M625" s="114">
        <v>961500571</v>
      </c>
      <c r="N625" s="114" t="s">
        <v>8497</v>
      </c>
    </row>
    <row r="626" spans="1:14">
      <c r="A626" s="24" t="s">
        <v>2180</v>
      </c>
      <c r="B626" s="1" t="s">
        <v>2369</v>
      </c>
      <c r="I626" s="109"/>
      <c r="J626" s="109"/>
      <c r="K626" s="109"/>
      <c r="L626" s="109" t="str">
        <f t="shared" si="9"/>
        <v>95-951500005</v>
      </c>
      <c r="M626" s="114">
        <v>951500005</v>
      </c>
      <c r="N626" s="114" t="s">
        <v>5610</v>
      </c>
    </row>
    <row r="627" spans="1:14">
      <c r="A627" s="24" t="s">
        <v>2081</v>
      </c>
      <c r="B627" s="1" t="s">
        <v>2369</v>
      </c>
      <c r="I627" s="109"/>
      <c r="J627" s="109"/>
      <c r="K627" s="109"/>
      <c r="L627" s="109" t="str">
        <f t="shared" si="9"/>
        <v>95-951500038</v>
      </c>
      <c r="M627" s="114">
        <v>951500038</v>
      </c>
      <c r="N627" s="114" t="s">
        <v>5614</v>
      </c>
    </row>
    <row r="628" spans="1:14">
      <c r="A628" s="24" t="s">
        <v>2076</v>
      </c>
      <c r="B628" s="1" t="s">
        <v>2369</v>
      </c>
      <c r="I628" s="109"/>
      <c r="J628" s="109"/>
      <c r="K628" s="109"/>
      <c r="L628" s="109" t="str">
        <f t="shared" si="9"/>
        <v>95-951500152</v>
      </c>
      <c r="M628" s="114">
        <v>951500152</v>
      </c>
      <c r="N628" s="114" t="s">
        <v>5614</v>
      </c>
    </row>
    <row r="629" spans="1:14">
      <c r="A629" s="24" t="s">
        <v>2077</v>
      </c>
      <c r="B629" s="1" t="s">
        <v>2369</v>
      </c>
      <c r="I629" s="109"/>
      <c r="J629" s="109"/>
      <c r="K629" s="109"/>
      <c r="L629" s="109" t="str">
        <f t="shared" si="9"/>
        <v>95-951500198</v>
      </c>
      <c r="M629" s="114">
        <v>951500198</v>
      </c>
      <c r="N629" s="114" t="s">
        <v>5614</v>
      </c>
    </row>
    <row r="630" spans="1:14">
      <c r="A630" s="24" t="s">
        <v>2079</v>
      </c>
      <c r="B630" s="1" t="s">
        <v>2369</v>
      </c>
      <c r="I630" s="109"/>
      <c r="J630" s="109"/>
      <c r="K630" s="109"/>
      <c r="L630" s="109" t="str">
        <f t="shared" si="9"/>
        <v>95-951500407</v>
      </c>
      <c r="M630" s="114">
        <v>951500407</v>
      </c>
      <c r="N630" s="114" t="s">
        <v>5688</v>
      </c>
    </row>
    <row r="631" spans="1:14">
      <c r="A631" s="24" t="s">
        <v>2168</v>
      </c>
      <c r="B631" s="1" t="s">
        <v>2369</v>
      </c>
      <c r="I631" s="109"/>
      <c r="J631" s="109"/>
      <c r="K631" s="109"/>
      <c r="L631" s="109" t="str">
        <f t="shared" si="9"/>
        <v>95-951500458</v>
      </c>
      <c r="M631" s="114">
        <v>951500458</v>
      </c>
      <c r="N631" s="114" t="s">
        <v>5688</v>
      </c>
    </row>
    <row r="632" spans="1:14">
      <c r="A632" s="24" t="s">
        <v>2161</v>
      </c>
      <c r="B632" s="1" t="s">
        <v>2369</v>
      </c>
      <c r="I632" s="109"/>
      <c r="J632" s="109"/>
      <c r="K632" s="109"/>
      <c r="L632" s="109" t="str">
        <f t="shared" si="9"/>
        <v>95-951500493</v>
      </c>
      <c r="M632" s="114">
        <v>951500493</v>
      </c>
      <c r="N632" s="114" t="s">
        <v>5717</v>
      </c>
    </row>
    <row r="633" spans="1:14">
      <c r="A633" s="24" t="s">
        <v>2186</v>
      </c>
      <c r="B633" s="1" t="s">
        <v>2369</v>
      </c>
      <c r="I633" s="109"/>
      <c r="J633" s="109"/>
      <c r="K633" s="109"/>
      <c r="L633" s="109" t="str">
        <f t="shared" si="9"/>
        <v>96-961500200</v>
      </c>
      <c r="M633" s="114">
        <v>961500200</v>
      </c>
      <c r="N633" s="114" t="s">
        <v>5816</v>
      </c>
    </row>
    <row r="634" spans="1:14">
      <c r="A634" s="24" t="s">
        <v>2169</v>
      </c>
      <c r="B634" s="1" t="s">
        <v>2369</v>
      </c>
      <c r="I634" s="109"/>
      <c r="J634" s="109"/>
      <c r="K634" s="109"/>
      <c r="L634" s="109" t="str">
        <f t="shared" si="9"/>
        <v>96-961500221</v>
      </c>
      <c r="M634" s="114">
        <v>961500221</v>
      </c>
      <c r="N634" s="114" t="s">
        <v>5821</v>
      </c>
    </row>
    <row r="635" spans="1:14">
      <c r="A635" s="24" t="s">
        <v>2189</v>
      </c>
      <c r="B635" s="1" t="s">
        <v>2369</v>
      </c>
      <c r="I635" s="109"/>
      <c r="J635" s="109"/>
      <c r="K635" s="109"/>
      <c r="L635" s="109" t="str">
        <f t="shared" si="9"/>
        <v>96-961500278</v>
      </c>
      <c r="M635" s="114">
        <v>961500278</v>
      </c>
      <c r="N635" s="114" t="s">
        <v>5821</v>
      </c>
    </row>
    <row r="636" spans="1:14">
      <c r="A636" s="24" t="s">
        <v>2167</v>
      </c>
      <c r="B636" s="1" t="s">
        <v>2369</v>
      </c>
      <c r="I636" s="109"/>
      <c r="J636" s="109"/>
      <c r="K636" s="109"/>
      <c r="L636" s="109" t="str">
        <f t="shared" si="9"/>
        <v>96-961500459</v>
      </c>
      <c r="M636" s="114">
        <v>961500459</v>
      </c>
      <c r="N636" s="114" t="s">
        <v>7234</v>
      </c>
    </row>
    <row r="637" spans="1:14">
      <c r="A637" s="24" t="s">
        <v>2185</v>
      </c>
      <c r="B637" s="1" t="s">
        <v>2369</v>
      </c>
      <c r="I637" s="109"/>
      <c r="J637" s="109"/>
      <c r="K637" s="109"/>
      <c r="L637" s="109" t="str">
        <f t="shared" si="9"/>
        <v>95-951500218</v>
      </c>
      <c r="M637" s="114">
        <v>951500218</v>
      </c>
      <c r="N637" s="114" t="s">
        <v>5632</v>
      </c>
    </row>
    <row r="638" spans="1:14">
      <c r="A638" s="25" t="s">
        <v>2172</v>
      </c>
      <c r="B638" s="1" t="s">
        <v>2369</v>
      </c>
      <c r="I638" s="109"/>
      <c r="J638" s="109"/>
      <c r="K638" s="109"/>
      <c r="L638" s="109" t="str">
        <f t="shared" si="9"/>
        <v>95-951500256</v>
      </c>
      <c r="M638" s="114">
        <v>951500256</v>
      </c>
      <c r="N638" s="114" t="s">
        <v>5646</v>
      </c>
    </row>
    <row r="639" spans="1:14">
      <c r="A639" s="24" t="s">
        <v>2191</v>
      </c>
      <c r="B639" s="1" t="s">
        <v>2369</v>
      </c>
      <c r="I639" s="109"/>
      <c r="J639" s="109"/>
      <c r="K639" s="109"/>
      <c r="L639" s="109" t="str">
        <f t="shared" si="9"/>
        <v>96-961500291</v>
      </c>
      <c r="M639" s="114">
        <v>961500291</v>
      </c>
      <c r="N639" s="114" t="s">
        <v>5838</v>
      </c>
    </row>
    <row r="640" spans="1:14">
      <c r="A640" s="24" t="s">
        <v>2184</v>
      </c>
      <c r="B640" s="1" t="s">
        <v>2369</v>
      </c>
      <c r="I640" s="109"/>
      <c r="J640" s="109"/>
      <c r="K640" s="109"/>
      <c r="L640" s="109" t="str">
        <f t="shared" si="9"/>
        <v>96-961500318</v>
      </c>
      <c r="M640" s="114">
        <v>961500318</v>
      </c>
      <c r="N640" s="114" t="s">
        <v>5851</v>
      </c>
    </row>
    <row r="641" spans="1:14">
      <c r="A641" s="24" t="s">
        <v>2192</v>
      </c>
      <c r="B641" s="1" t="s">
        <v>2369</v>
      </c>
      <c r="I641" s="109"/>
      <c r="J641" s="109"/>
      <c r="K641" s="109"/>
      <c r="L641" s="109" t="str">
        <f t="shared" si="9"/>
        <v>96-961500418</v>
      </c>
      <c r="M641" s="114">
        <v>961500418</v>
      </c>
      <c r="N641" s="114" t="s">
        <v>7262</v>
      </c>
    </row>
    <row r="642" spans="1:14">
      <c r="A642" s="24" t="s">
        <v>2179</v>
      </c>
      <c r="B642" s="1" t="s">
        <v>2369</v>
      </c>
      <c r="I642" s="109"/>
      <c r="J642" s="109"/>
      <c r="K642" s="109"/>
      <c r="L642" s="109" t="str">
        <f t="shared" si="9"/>
        <v>95-951500266</v>
      </c>
      <c r="M642" s="114">
        <v>951500266</v>
      </c>
      <c r="N642" s="114" t="s">
        <v>5653</v>
      </c>
    </row>
    <row r="643" spans="1:14">
      <c r="A643" s="24" t="s">
        <v>2183</v>
      </c>
      <c r="B643" s="1" t="s">
        <v>2369</v>
      </c>
      <c r="I643" s="109"/>
      <c r="J643" s="109"/>
      <c r="K643" s="109"/>
      <c r="L643" s="109" t="str">
        <f t="shared" ref="L643:L706" si="10">MID(M643,1,2)&amp;"-"&amp;M643</f>
        <v>96-961500043</v>
      </c>
      <c r="M643" s="114">
        <v>961500043</v>
      </c>
      <c r="N643" s="114" t="s">
        <v>5785</v>
      </c>
    </row>
    <row r="644" spans="1:14">
      <c r="A644" s="24" t="s">
        <v>2182</v>
      </c>
      <c r="B644" s="1" t="s">
        <v>2369</v>
      </c>
      <c r="I644" s="109"/>
      <c r="J644" s="109"/>
      <c r="K644" s="109"/>
      <c r="L644" s="109" t="str">
        <f t="shared" si="10"/>
        <v>95-951500391</v>
      </c>
      <c r="M644" s="114">
        <v>951500391</v>
      </c>
      <c r="N644" s="114" t="s">
        <v>5684</v>
      </c>
    </row>
    <row r="645" spans="1:14">
      <c r="A645" s="26" t="s">
        <v>2188</v>
      </c>
      <c r="B645" s="1" t="s">
        <v>2369</v>
      </c>
      <c r="I645" s="109"/>
      <c r="J645" s="109"/>
      <c r="K645" s="109"/>
      <c r="L645" s="109" t="str">
        <f t="shared" si="10"/>
        <v>96-961500062</v>
      </c>
      <c r="M645" s="114">
        <v>961500062</v>
      </c>
      <c r="N645" s="114" t="s">
        <v>5787</v>
      </c>
    </row>
    <row r="646" spans="1:14">
      <c r="A646" s="24" t="s">
        <v>2181</v>
      </c>
      <c r="B646" s="1" t="s">
        <v>2369</v>
      </c>
      <c r="I646" s="109"/>
      <c r="J646" s="109"/>
      <c r="K646" s="109"/>
      <c r="L646" s="109" t="str">
        <f t="shared" si="10"/>
        <v>95-951500454</v>
      </c>
      <c r="M646" s="114">
        <v>951500454</v>
      </c>
      <c r="N646" s="114" t="s">
        <v>5700</v>
      </c>
    </row>
    <row r="647" spans="1:14">
      <c r="A647" s="24" t="s">
        <v>2190</v>
      </c>
      <c r="B647" s="1" t="s">
        <v>2369</v>
      </c>
      <c r="I647" s="109"/>
      <c r="J647" s="109"/>
      <c r="K647" s="109"/>
      <c r="L647" s="109" t="str">
        <f t="shared" si="10"/>
        <v>96-961500033</v>
      </c>
      <c r="M647" s="114">
        <v>961500033</v>
      </c>
      <c r="N647" s="114" t="s">
        <v>5776</v>
      </c>
    </row>
    <row r="648" spans="1:14">
      <c r="A648" s="24" t="s">
        <v>2187</v>
      </c>
      <c r="B648" s="1" t="s">
        <v>2369</v>
      </c>
      <c r="I648" s="109"/>
      <c r="J648" s="109"/>
      <c r="K648" s="109"/>
      <c r="L648" s="109" t="str">
        <f t="shared" si="10"/>
        <v>96-961500046</v>
      </c>
      <c r="M648" s="114">
        <v>961500046</v>
      </c>
      <c r="N648" s="114" t="s">
        <v>5776</v>
      </c>
    </row>
    <row r="649" spans="1:14">
      <c r="A649" s="24" t="s">
        <v>2274</v>
      </c>
      <c r="B649" s="1" t="s">
        <v>2369</v>
      </c>
      <c r="I649" s="109"/>
      <c r="J649" s="109"/>
      <c r="K649" s="109"/>
      <c r="L649" s="109" t="str">
        <f t="shared" si="10"/>
        <v>96-961500435</v>
      </c>
      <c r="M649" s="114">
        <v>961500435</v>
      </c>
      <c r="N649" s="114" t="s">
        <v>5780</v>
      </c>
    </row>
    <row r="650" spans="1:14">
      <c r="A650" s="24" t="s">
        <v>2316</v>
      </c>
      <c r="B650" s="1" t="s">
        <v>2369</v>
      </c>
      <c r="I650" s="109"/>
      <c r="J650" s="109"/>
      <c r="K650" s="109"/>
      <c r="L650" s="109" t="str">
        <f t="shared" si="10"/>
        <v>96-961500548</v>
      </c>
      <c r="M650" s="114">
        <v>961500548</v>
      </c>
      <c r="N650" s="114" t="s">
        <v>5854</v>
      </c>
    </row>
    <row r="651" spans="1:14">
      <c r="A651" s="24" t="s">
        <v>2278</v>
      </c>
      <c r="B651" s="1" t="s">
        <v>2369</v>
      </c>
      <c r="I651" s="109"/>
      <c r="J651" s="109"/>
      <c r="K651" s="109"/>
      <c r="L651" s="109" t="str">
        <f t="shared" si="10"/>
        <v>95-951500027</v>
      </c>
      <c r="M651" s="114">
        <v>951500027</v>
      </c>
      <c r="N651" s="114" t="s">
        <v>5612</v>
      </c>
    </row>
    <row r="652" spans="1:14">
      <c r="A652" s="24" t="s">
        <v>2314</v>
      </c>
      <c r="B652" s="1" t="s">
        <v>2369</v>
      </c>
      <c r="I652" s="109"/>
      <c r="J652" s="109"/>
      <c r="K652" s="109"/>
      <c r="L652" s="109" t="str">
        <f t="shared" si="10"/>
        <v>95-951500050</v>
      </c>
      <c r="M652" s="114">
        <v>951500050</v>
      </c>
      <c r="N652" s="114" t="s">
        <v>5612</v>
      </c>
    </row>
    <row r="653" spans="1:14">
      <c r="A653" s="24" t="s">
        <v>2296</v>
      </c>
      <c r="B653" s="1" t="s">
        <v>2369</v>
      </c>
      <c r="I653" s="109"/>
      <c r="J653" s="109"/>
      <c r="K653" s="109"/>
      <c r="L653" s="109" t="str">
        <f t="shared" si="10"/>
        <v>95-951500051</v>
      </c>
      <c r="M653" s="114">
        <v>951500051</v>
      </c>
      <c r="N653" s="114" t="s">
        <v>5612</v>
      </c>
    </row>
    <row r="654" spans="1:14">
      <c r="A654" s="24" t="s">
        <v>2317</v>
      </c>
      <c r="B654" s="1" t="s">
        <v>2369</v>
      </c>
      <c r="I654" s="109"/>
      <c r="J654" s="109"/>
      <c r="K654" s="109"/>
      <c r="L654" s="109" t="str">
        <f t="shared" si="10"/>
        <v>95-951500206</v>
      </c>
      <c r="M654" s="114">
        <v>951500206</v>
      </c>
      <c r="N654" s="114" t="s">
        <v>5627</v>
      </c>
    </row>
    <row r="655" spans="1:14">
      <c r="A655" s="24" t="s">
        <v>2307</v>
      </c>
      <c r="B655" s="1" t="s">
        <v>2369</v>
      </c>
      <c r="I655" s="109"/>
      <c r="J655" s="109"/>
      <c r="K655" s="109"/>
      <c r="L655" s="109" t="str">
        <f t="shared" si="10"/>
        <v>95-951500216</v>
      </c>
      <c r="M655" s="114">
        <v>951500216</v>
      </c>
      <c r="N655" s="114" t="s">
        <v>5630</v>
      </c>
    </row>
    <row r="656" spans="1:14">
      <c r="A656" s="24" t="s">
        <v>2293</v>
      </c>
      <c r="B656" s="1" t="s">
        <v>2369</v>
      </c>
      <c r="I656" s="109"/>
      <c r="J656" s="109"/>
      <c r="K656" s="109"/>
      <c r="L656" s="109" t="str">
        <f t="shared" si="10"/>
        <v>95-951500224</v>
      </c>
      <c r="M656" s="114">
        <v>951500224</v>
      </c>
      <c r="N656" s="114" t="s">
        <v>5630</v>
      </c>
    </row>
    <row r="657" spans="1:14">
      <c r="A657" s="24" t="s">
        <v>2287</v>
      </c>
      <c r="B657" s="1" t="s">
        <v>2369</v>
      </c>
      <c r="I657" s="109"/>
      <c r="J657" s="109"/>
      <c r="K657" s="109"/>
      <c r="L657" s="109" t="str">
        <f t="shared" si="10"/>
        <v>95-951500225</v>
      </c>
      <c r="M657" s="114">
        <v>951500225</v>
      </c>
      <c r="N657" s="114" t="s">
        <v>5630</v>
      </c>
    </row>
    <row r="658" spans="1:14">
      <c r="A658" s="24" t="s">
        <v>2290</v>
      </c>
      <c r="B658" s="1" t="s">
        <v>2369</v>
      </c>
      <c r="I658" s="109"/>
      <c r="J658" s="109"/>
      <c r="K658" s="109"/>
      <c r="L658" s="109" t="str">
        <f t="shared" si="10"/>
        <v>95-951500233</v>
      </c>
      <c r="M658" s="114">
        <v>951500233</v>
      </c>
      <c r="N658" s="114" t="s">
        <v>5630</v>
      </c>
    </row>
    <row r="659" spans="1:14">
      <c r="A659" s="27" t="s">
        <v>1544</v>
      </c>
      <c r="B659" s="1" t="s">
        <v>2394</v>
      </c>
      <c r="I659" s="109"/>
      <c r="J659" s="109"/>
      <c r="K659" s="109"/>
      <c r="L659" s="109" t="str">
        <f t="shared" si="10"/>
        <v>95-951500236</v>
      </c>
      <c r="M659" s="114">
        <v>951500236</v>
      </c>
      <c r="N659" s="114" t="s">
        <v>5630</v>
      </c>
    </row>
    <row r="660" spans="1:14">
      <c r="A660" s="27" t="s">
        <v>2209</v>
      </c>
      <c r="B660" s="1" t="s">
        <v>2394</v>
      </c>
      <c r="I660" s="109"/>
      <c r="J660" s="109"/>
      <c r="K660" s="109"/>
      <c r="L660" s="109" t="str">
        <f t="shared" si="10"/>
        <v>95-951500242</v>
      </c>
      <c r="M660" s="114">
        <v>951500242</v>
      </c>
      <c r="N660" s="114" t="s">
        <v>5635</v>
      </c>
    </row>
    <row r="661" spans="1:14">
      <c r="A661" s="27" t="s">
        <v>2208</v>
      </c>
      <c r="B661" s="1" t="s">
        <v>2394</v>
      </c>
      <c r="I661" s="109"/>
      <c r="J661" s="109"/>
      <c r="K661" s="109"/>
      <c r="L661" s="109" t="str">
        <f t="shared" si="10"/>
        <v>95-951500272</v>
      </c>
      <c r="M661" s="114">
        <v>951500272</v>
      </c>
      <c r="N661" s="114" t="s">
        <v>5645</v>
      </c>
    </row>
    <row r="662" spans="1:14">
      <c r="A662" s="27" t="s">
        <v>1881</v>
      </c>
      <c r="B662" s="1" t="s">
        <v>2394</v>
      </c>
      <c r="I662" s="109"/>
      <c r="J662" s="109"/>
      <c r="K662" s="109"/>
      <c r="L662" s="109" t="str">
        <f t="shared" si="10"/>
        <v>95-951500279</v>
      </c>
      <c r="M662" s="114">
        <v>951500279</v>
      </c>
      <c r="N662" s="114" t="s">
        <v>5654</v>
      </c>
    </row>
    <row r="663" spans="1:14">
      <c r="A663" s="27" t="s">
        <v>1784</v>
      </c>
      <c r="B663" s="1" t="s">
        <v>2394</v>
      </c>
      <c r="I663" s="109"/>
      <c r="J663" s="109"/>
      <c r="K663" s="109"/>
      <c r="L663" s="109" t="str">
        <f t="shared" si="10"/>
        <v>95-951500338</v>
      </c>
      <c r="M663" s="114">
        <v>951500338</v>
      </c>
      <c r="N663" s="114" t="s">
        <v>5659</v>
      </c>
    </row>
    <row r="664" spans="1:14">
      <c r="A664" s="27" t="s">
        <v>1588</v>
      </c>
      <c r="B664" s="1" t="s">
        <v>2394</v>
      </c>
      <c r="I664" s="109"/>
      <c r="J664" s="109"/>
      <c r="K664" s="109"/>
      <c r="L664" s="109" t="str">
        <f t="shared" si="10"/>
        <v>95-951500215</v>
      </c>
      <c r="M664" s="114">
        <v>951500215</v>
      </c>
      <c r="N664" s="114" t="s">
        <v>5630</v>
      </c>
    </row>
    <row r="665" spans="1:14">
      <c r="A665" s="27" t="s">
        <v>1826</v>
      </c>
      <c r="B665" s="1" t="s">
        <v>2394</v>
      </c>
      <c r="I665" s="109"/>
      <c r="J665" s="109"/>
      <c r="K665" s="109"/>
      <c r="L665" s="109" t="str">
        <f t="shared" si="10"/>
        <v>95-951500219</v>
      </c>
      <c r="M665" s="114">
        <v>951500219</v>
      </c>
      <c r="N665" s="114" t="s">
        <v>5635</v>
      </c>
    </row>
    <row r="666" spans="1:14">
      <c r="A666" s="27" t="s">
        <v>1880</v>
      </c>
      <c r="B666" s="1" t="s">
        <v>2394</v>
      </c>
      <c r="I666" s="109"/>
      <c r="J666" s="109"/>
      <c r="K666" s="109"/>
      <c r="L666" s="109" t="str">
        <f t="shared" si="10"/>
        <v>95-951500227</v>
      </c>
      <c r="M666" s="114">
        <v>951500227</v>
      </c>
      <c r="N666" s="114" t="s">
        <v>5640</v>
      </c>
    </row>
    <row r="667" spans="1:14">
      <c r="A667" s="27" t="s">
        <v>2212</v>
      </c>
      <c r="B667" s="1" t="s">
        <v>2394</v>
      </c>
      <c r="I667" s="109"/>
      <c r="J667" s="109"/>
      <c r="K667" s="109"/>
      <c r="L667" s="109" t="str">
        <f t="shared" si="10"/>
        <v>95-951500243</v>
      </c>
      <c r="M667" s="114">
        <v>951500243</v>
      </c>
      <c r="N667" s="114" t="s">
        <v>5635</v>
      </c>
    </row>
    <row r="668" spans="1:14">
      <c r="A668" s="27" t="s">
        <v>2205</v>
      </c>
      <c r="B668" s="1" t="s">
        <v>2394</v>
      </c>
      <c r="I668" s="109"/>
      <c r="J668" s="109"/>
      <c r="K668" s="109"/>
      <c r="L668" s="109" t="str">
        <f t="shared" si="10"/>
        <v>95-951500274</v>
      </c>
      <c r="M668" s="114">
        <v>951500274</v>
      </c>
      <c r="N668" s="114" t="s">
        <v>5645</v>
      </c>
    </row>
    <row r="669" spans="1:14">
      <c r="A669" s="27" t="s">
        <v>2211</v>
      </c>
      <c r="B669" s="1" t="s">
        <v>2394</v>
      </c>
      <c r="I669" s="109"/>
      <c r="J669" s="109"/>
      <c r="K669" s="109"/>
      <c r="L669" s="109" t="str">
        <f t="shared" si="10"/>
        <v>95-951500276</v>
      </c>
      <c r="M669" s="114">
        <v>951500276</v>
      </c>
      <c r="N669" s="114" t="s">
        <v>5654</v>
      </c>
    </row>
    <row r="670" spans="1:14">
      <c r="A670" s="27" t="s">
        <v>2210</v>
      </c>
      <c r="B670" s="1" t="s">
        <v>2394</v>
      </c>
      <c r="I670" s="109"/>
      <c r="J670" s="109"/>
      <c r="K670" s="109"/>
      <c r="L670" s="109" t="str">
        <f t="shared" si="10"/>
        <v>95-951500285</v>
      </c>
      <c r="M670" s="114">
        <v>951500285</v>
      </c>
      <c r="N670" s="114" t="s">
        <v>5654</v>
      </c>
    </row>
    <row r="671" spans="1:14">
      <c r="A671" s="27" t="s">
        <v>2255</v>
      </c>
      <c r="B671" s="1" t="s">
        <v>2394</v>
      </c>
      <c r="I671" s="109"/>
      <c r="J671" s="109"/>
      <c r="K671" s="109"/>
      <c r="L671" s="109" t="str">
        <f t="shared" si="10"/>
        <v>95-951500307</v>
      </c>
      <c r="M671" s="114">
        <v>951500307</v>
      </c>
      <c r="N671" s="114" t="s">
        <v>5659</v>
      </c>
    </row>
    <row r="672" spans="1:14">
      <c r="A672" s="27" t="s">
        <v>2213</v>
      </c>
      <c r="B672" s="1" t="s">
        <v>2394</v>
      </c>
      <c r="I672" s="109"/>
      <c r="J672" s="109"/>
      <c r="K672" s="109"/>
      <c r="L672" s="109" t="str">
        <f t="shared" si="10"/>
        <v>95-951500328</v>
      </c>
      <c r="M672" s="114">
        <v>951500328</v>
      </c>
      <c r="N672" s="114" t="s">
        <v>5659</v>
      </c>
    </row>
    <row r="673" spans="1:14">
      <c r="A673" s="27" t="s">
        <v>2193</v>
      </c>
      <c r="B673" s="1" t="s">
        <v>2394</v>
      </c>
      <c r="I673" s="109"/>
      <c r="J673" s="109"/>
      <c r="K673" s="109"/>
      <c r="L673" s="109" t="str">
        <f t="shared" si="10"/>
        <v>95-951500355</v>
      </c>
      <c r="M673" s="114">
        <v>951500355</v>
      </c>
      <c r="N673" s="114" t="s">
        <v>5658</v>
      </c>
    </row>
    <row r="674" spans="1:14">
      <c r="A674" s="27" t="s">
        <v>2199</v>
      </c>
      <c r="B674" s="1" t="s">
        <v>2394</v>
      </c>
      <c r="I674" s="109"/>
      <c r="J674" s="109"/>
      <c r="K674" s="109"/>
      <c r="L674" s="109" t="str">
        <f t="shared" si="10"/>
        <v>95-951500369</v>
      </c>
      <c r="M674" s="114">
        <v>951500369</v>
      </c>
      <c r="N674" s="114" t="s">
        <v>5659</v>
      </c>
    </row>
    <row r="675" spans="1:14">
      <c r="A675" s="27" t="s">
        <v>2197</v>
      </c>
      <c r="B675" s="1" t="s">
        <v>2394</v>
      </c>
      <c r="I675" s="109"/>
      <c r="J675" s="109"/>
      <c r="K675" s="109"/>
      <c r="L675" s="109" t="str">
        <f t="shared" si="10"/>
        <v>95-951500373</v>
      </c>
      <c r="M675" s="114">
        <v>951500373</v>
      </c>
      <c r="N675" s="114" t="s">
        <v>5654</v>
      </c>
    </row>
    <row r="676" spans="1:14">
      <c r="A676" s="27" t="s">
        <v>2200</v>
      </c>
      <c r="B676" s="1" t="s">
        <v>2394</v>
      </c>
      <c r="I676" s="109"/>
      <c r="J676" s="109"/>
      <c r="K676" s="109"/>
      <c r="L676" s="109" t="str">
        <f t="shared" si="10"/>
        <v>95-951500411</v>
      </c>
      <c r="M676" s="114">
        <v>951500411</v>
      </c>
      <c r="N676" s="114" t="s">
        <v>5689</v>
      </c>
    </row>
    <row r="677" spans="1:14">
      <c r="A677" s="27" t="s">
        <v>2202</v>
      </c>
      <c r="B677" s="1" t="s">
        <v>2394</v>
      </c>
      <c r="I677" s="109"/>
      <c r="J677" s="109"/>
      <c r="K677" s="109"/>
      <c r="L677" s="109" t="str">
        <f t="shared" si="10"/>
        <v>95-951500426</v>
      </c>
      <c r="M677" s="114">
        <v>951500426</v>
      </c>
      <c r="N677" s="114" t="s">
        <v>5694</v>
      </c>
    </row>
    <row r="678" spans="1:14">
      <c r="A678" s="27" t="s">
        <v>2201</v>
      </c>
      <c r="B678" s="1" t="s">
        <v>2394</v>
      </c>
      <c r="I678" s="109"/>
      <c r="J678" s="109"/>
      <c r="K678" s="109"/>
      <c r="L678" s="109" t="str">
        <f t="shared" si="10"/>
        <v>95-951500427</v>
      </c>
      <c r="M678" s="114">
        <v>951500427</v>
      </c>
      <c r="N678" s="114" t="s">
        <v>5694</v>
      </c>
    </row>
    <row r="679" spans="1:14">
      <c r="A679" s="27" t="s">
        <v>2194</v>
      </c>
      <c r="B679" s="1" t="s">
        <v>2394</v>
      </c>
      <c r="I679" s="109"/>
      <c r="J679" s="109"/>
      <c r="K679" s="109"/>
      <c r="L679" s="109" t="str">
        <f t="shared" si="10"/>
        <v>95-951500430</v>
      </c>
      <c r="M679" s="114">
        <v>951500430</v>
      </c>
      <c r="N679" s="114" t="s">
        <v>5694</v>
      </c>
    </row>
    <row r="680" spans="1:14">
      <c r="A680" s="27" t="s">
        <v>1962</v>
      </c>
      <c r="B680" s="1" t="s">
        <v>2394</v>
      </c>
      <c r="I680" s="109"/>
      <c r="J680" s="109"/>
      <c r="K680" s="109"/>
      <c r="L680" s="109" t="str">
        <f t="shared" si="10"/>
        <v>96-961500373</v>
      </c>
      <c r="M680" s="114">
        <v>961500373</v>
      </c>
      <c r="N680" s="114" t="s">
        <v>7231</v>
      </c>
    </row>
    <row r="681" spans="1:14">
      <c r="A681" s="27" t="s">
        <v>1976</v>
      </c>
      <c r="B681" s="1" t="s">
        <v>2394</v>
      </c>
      <c r="I681" s="109"/>
      <c r="J681" s="109"/>
      <c r="K681" s="109"/>
      <c r="L681" s="109" t="str">
        <f t="shared" si="10"/>
        <v>96-961500395</v>
      </c>
      <c r="M681" s="114">
        <v>961500395</v>
      </c>
      <c r="N681" s="114" t="s">
        <v>7231</v>
      </c>
    </row>
    <row r="682" spans="1:14">
      <c r="A682" s="27" t="s">
        <v>1972</v>
      </c>
      <c r="B682" s="1" t="s">
        <v>2394</v>
      </c>
      <c r="I682" s="109"/>
      <c r="J682" s="109"/>
      <c r="K682" s="109"/>
      <c r="L682" s="109" t="str">
        <f t="shared" si="10"/>
        <v>96-961500414</v>
      </c>
      <c r="M682" s="114">
        <v>961500414</v>
      </c>
      <c r="N682" s="114" t="s">
        <v>7231</v>
      </c>
    </row>
    <row r="683" spans="1:14">
      <c r="A683" s="27" t="s">
        <v>1953</v>
      </c>
      <c r="B683" s="1" t="s">
        <v>2394</v>
      </c>
      <c r="I683" s="109"/>
      <c r="J683" s="109"/>
      <c r="K683" s="109"/>
      <c r="L683" s="109" t="str">
        <f t="shared" si="10"/>
        <v>96-961500431</v>
      </c>
      <c r="M683" s="114">
        <v>961500431</v>
      </c>
      <c r="N683" s="114" t="s">
        <v>7231</v>
      </c>
    </row>
    <row r="684" spans="1:14">
      <c r="A684" s="27" t="s">
        <v>1956</v>
      </c>
      <c r="B684" s="1" t="s">
        <v>2394</v>
      </c>
      <c r="I684" s="109"/>
      <c r="J684" s="109"/>
      <c r="K684" s="109"/>
      <c r="L684" s="109" t="str">
        <f t="shared" si="10"/>
        <v>96-961500471</v>
      </c>
      <c r="M684" s="114">
        <v>961500471</v>
      </c>
      <c r="N684" s="114" t="s">
        <v>7175</v>
      </c>
    </row>
    <row r="685" spans="1:14">
      <c r="A685" s="27" t="s">
        <v>1965</v>
      </c>
      <c r="B685" s="1" t="s">
        <v>2394</v>
      </c>
      <c r="I685" s="109"/>
      <c r="J685" s="109"/>
      <c r="K685" s="109"/>
      <c r="L685" s="109" t="str">
        <f t="shared" si="10"/>
        <v>96-961500477</v>
      </c>
      <c r="M685" s="114">
        <v>961500477</v>
      </c>
      <c r="N685" s="114" t="s">
        <v>7175</v>
      </c>
    </row>
    <row r="686" spans="1:14">
      <c r="A686" s="27" t="s">
        <v>1977</v>
      </c>
      <c r="B686" s="1" t="s">
        <v>2394</v>
      </c>
      <c r="I686" s="109"/>
      <c r="J686" s="109"/>
      <c r="K686" s="109"/>
      <c r="L686" s="109" t="str">
        <f t="shared" si="10"/>
        <v>96-961500478</v>
      </c>
      <c r="M686" s="114">
        <v>961500478</v>
      </c>
      <c r="N686" s="114" t="s">
        <v>7175</v>
      </c>
    </row>
    <row r="687" spans="1:14">
      <c r="A687" s="27" t="s">
        <v>2004</v>
      </c>
      <c r="B687" s="1" t="s">
        <v>2394</v>
      </c>
      <c r="I687" s="109"/>
      <c r="J687" s="109"/>
      <c r="K687" s="109"/>
      <c r="L687" s="109" t="str">
        <f t="shared" si="10"/>
        <v>96-961500480</v>
      </c>
      <c r="M687" s="114">
        <v>961500480</v>
      </c>
      <c r="N687" s="114" t="s">
        <v>7175</v>
      </c>
    </row>
    <row r="688" spans="1:14">
      <c r="A688" s="27" t="s">
        <v>1984</v>
      </c>
      <c r="B688" s="1" t="s">
        <v>2394</v>
      </c>
      <c r="I688" s="109"/>
      <c r="J688" s="109"/>
      <c r="K688" s="109"/>
      <c r="L688" s="109" t="str">
        <f t="shared" si="10"/>
        <v>96-961500490</v>
      </c>
      <c r="M688" s="114">
        <v>961500490</v>
      </c>
      <c r="N688" s="114" t="s">
        <v>7273</v>
      </c>
    </row>
    <row r="689" spans="1:14">
      <c r="A689" s="27" t="s">
        <v>2002</v>
      </c>
      <c r="B689" s="1" t="s">
        <v>2394</v>
      </c>
      <c r="I689" s="109"/>
      <c r="J689" s="109"/>
      <c r="K689" s="109"/>
      <c r="L689" s="109" t="str">
        <f t="shared" si="10"/>
        <v>96-961500496</v>
      </c>
      <c r="M689" s="114">
        <v>961500496</v>
      </c>
      <c r="N689" s="114" t="s">
        <v>7175</v>
      </c>
    </row>
    <row r="690" spans="1:14">
      <c r="A690" s="27" t="s">
        <v>2195</v>
      </c>
      <c r="B690" s="1" t="s">
        <v>2394</v>
      </c>
      <c r="I690" s="109"/>
      <c r="J690" s="109"/>
      <c r="K690" s="109"/>
      <c r="L690" s="109" t="str">
        <f t="shared" si="10"/>
        <v>96-961500498</v>
      </c>
      <c r="M690" s="114">
        <v>961500498</v>
      </c>
      <c r="N690" s="114" t="s">
        <v>7111</v>
      </c>
    </row>
    <row r="691" spans="1:14">
      <c r="A691" s="27" t="s">
        <v>2198</v>
      </c>
      <c r="B691" s="1" t="s">
        <v>2394</v>
      </c>
      <c r="I691" s="109"/>
      <c r="J691" s="109"/>
      <c r="K691" s="109"/>
      <c r="L691" s="109" t="str">
        <f t="shared" si="10"/>
        <v>96-961500502</v>
      </c>
      <c r="M691" s="114">
        <v>961500502</v>
      </c>
      <c r="N691" s="114" t="s">
        <v>7111</v>
      </c>
    </row>
    <row r="692" spans="1:14">
      <c r="A692" s="27" t="s">
        <v>2196</v>
      </c>
      <c r="B692" s="1" t="s">
        <v>2394</v>
      </c>
      <c r="I692" s="109"/>
      <c r="J692" s="109"/>
      <c r="K692" s="109"/>
      <c r="L692" s="109" t="str">
        <f t="shared" si="10"/>
        <v>96-961500512</v>
      </c>
      <c r="M692" s="114">
        <v>961500512</v>
      </c>
      <c r="N692" s="114" t="s">
        <v>7111</v>
      </c>
    </row>
    <row r="693" spans="1:14">
      <c r="A693" s="27" t="s">
        <v>1601</v>
      </c>
      <c r="B693" s="1" t="s">
        <v>2394</v>
      </c>
      <c r="I693" s="109"/>
      <c r="J693" s="109"/>
      <c r="K693" s="109"/>
      <c r="L693" s="109" t="str">
        <f t="shared" si="10"/>
        <v>96-961500547</v>
      </c>
      <c r="M693" s="114">
        <v>961500547</v>
      </c>
      <c r="N693" s="114" t="s">
        <v>7175</v>
      </c>
    </row>
    <row r="694" spans="1:14">
      <c r="A694" s="27" t="s">
        <v>1602</v>
      </c>
      <c r="B694" s="1" t="s">
        <v>2394</v>
      </c>
      <c r="I694" s="109"/>
      <c r="J694" s="109"/>
      <c r="K694" s="109"/>
      <c r="L694" s="109" t="str">
        <f t="shared" si="10"/>
        <v>96-961500553</v>
      </c>
      <c r="M694" s="114">
        <v>961500553</v>
      </c>
      <c r="N694" s="114" t="s">
        <v>7273</v>
      </c>
    </row>
    <row r="695" spans="1:14">
      <c r="A695" s="27" t="s">
        <v>1797</v>
      </c>
      <c r="B695" s="1" t="s">
        <v>2394</v>
      </c>
      <c r="I695" s="109"/>
      <c r="J695" s="109"/>
      <c r="K695" s="109"/>
      <c r="L695" s="109" t="str">
        <f t="shared" si="10"/>
        <v>96-961500558</v>
      </c>
      <c r="M695" s="114">
        <v>961500558</v>
      </c>
      <c r="N695" s="114" t="s">
        <v>7273</v>
      </c>
    </row>
    <row r="696" spans="1:14">
      <c r="A696" s="27" t="s">
        <v>1795</v>
      </c>
      <c r="B696" s="1" t="s">
        <v>2394</v>
      </c>
      <c r="I696" s="109"/>
      <c r="J696" s="109"/>
      <c r="K696" s="109"/>
      <c r="L696" s="109" t="str">
        <f t="shared" si="10"/>
        <v>96-961500577</v>
      </c>
      <c r="M696" s="114">
        <v>961500577</v>
      </c>
      <c r="N696" s="114" t="s">
        <v>8698</v>
      </c>
    </row>
    <row r="697" spans="1:14">
      <c r="A697" s="27" t="s">
        <v>1876</v>
      </c>
      <c r="B697" s="1" t="s">
        <v>2394</v>
      </c>
      <c r="I697" s="109"/>
      <c r="J697" s="109"/>
      <c r="K697" s="109"/>
      <c r="L697" s="109" t="str">
        <f t="shared" si="10"/>
        <v>95-956200002</v>
      </c>
      <c r="M697" s="114">
        <v>956200002</v>
      </c>
      <c r="N697" s="114" t="s">
        <v>7267</v>
      </c>
    </row>
    <row r="698" spans="1:14">
      <c r="A698" s="27" t="s">
        <v>1875</v>
      </c>
      <c r="B698" s="1" t="s">
        <v>2394</v>
      </c>
      <c r="I698" s="109"/>
      <c r="J698" s="109"/>
      <c r="K698" s="109"/>
      <c r="L698" s="109" t="str">
        <f t="shared" si="10"/>
        <v>95-956200161</v>
      </c>
      <c r="M698" s="114">
        <v>956200161</v>
      </c>
      <c r="N698" s="114" t="s">
        <v>7268</v>
      </c>
    </row>
    <row r="699" spans="1:14">
      <c r="A699" s="27" t="s">
        <v>2393</v>
      </c>
      <c r="B699" s="1" t="s">
        <v>2394</v>
      </c>
      <c r="I699" s="109"/>
      <c r="J699" s="109"/>
      <c r="K699" s="109"/>
      <c r="L699" s="109" t="str">
        <f t="shared" si="10"/>
        <v>95-951500262</v>
      </c>
      <c r="M699" s="114">
        <v>951500262</v>
      </c>
      <c r="N699" s="114" t="s">
        <v>5651</v>
      </c>
    </row>
    <row r="700" spans="1:14">
      <c r="A700" s="27" t="s">
        <v>1877</v>
      </c>
      <c r="B700" s="1" t="s">
        <v>2394</v>
      </c>
      <c r="I700" s="109"/>
      <c r="J700" s="109"/>
      <c r="K700" s="109"/>
      <c r="L700" s="109" t="str">
        <f t="shared" si="10"/>
        <v>95-951500542</v>
      </c>
      <c r="M700" s="114">
        <v>951500542</v>
      </c>
      <c r="N700" s="114" t="s">
        <v>5712</v>
      </c>
    </row>
    <row r="701" spans="1:14">
      <c r="A701" s="27" t="s">
        <v>1817</v>
      </c>
      <c r="B701" s="1" t="s">
        <v>2394</v>
      </c>
      <c r="I701" s="109"/>
      <c r="J701" s="109"/>
      <c r="K701" s="109"/>
      <c r="L701" s="109" t="str">
        <f t="shared" si="10"/>
        <v>95-951500543</v>
      </c>
      <c r="M701" s="114">
        <v>951500543</v>
      </c>
      <c r="N701" s="114" t="s">
        <v>5712</v>
      </c>
    </row>
    <row r="702" spans="1:14">
      <c r="A702" s="27" t="s">
        <v>1872</v>
      </c>
      <c r="B702" s="1" t="s">
        <v>2394</v>
      </c>
      <c r="I702" s="109"/>
      <c r="J702" s="109"/>
      <c r="K702" s="109"/>
      <c r="L702" s="109" t="str">
        <f t="shared" si="10"/>
        <v>96-961500070</v>
      </c>
      <c r="M702" s="114">
        <v>961500070</v>
      </c>
      <c r="N702" s="114" t="s">
        <v>5789</v>
      </c>
    </row>
    <row r="703" spans="1:14">
      <c r="A703" s="27" t="s">
        <v>1991</v>
      </c>
      <c r="B703" s="1" t="s">
        <v>2394</v>
      </c>
      <c r="I703" s="109"/>
      <c r="J703" s="109"/>
      <c r="K703" s="109"/>
      <c r="L703" s="109" t="str">
        <f t="shared" si="10"/>
        <v>96-961500109</v>
      </c>
      <c r="M703" s="114">
        <v>961500109</v>
      </c>
      <c r="N703" s="114" t="s">
        <v>5801</v>
      </c>
    </row>
    <row r="704" spans="1:14">
      <c r="A704" s="27" t="s">
        <v>2003</v>
      </c>
      <c r="B704" s="1" t="s">
        <v>2394</v>
      </c>
      <c r="I704" s="109"/>
      <c r="J704" s="109"/>
      <c r="K704" s="109"/>
      <c r="L704" s="109" t="str">
        <f t="shared" si="10"/>
        <v>96-961500132</v>
      </c>
      <c r="M704" s="114">
        <v>961500132</v>
      </c>
      <c r="N704" s="114" t="s">
        <v>5803</v>
      </c>
    </row>
    <row r="705" spans="1:14">
      <c r="A705" s="27" t="s">
        <v>2115</v>
      </c>
      <c r="B705" s="1" t="s">
        <v>2394</v>
      </c>
      <c r="I705" s="109"/>
      <c r="J705" s="109"/>
      <c r="K705" s="109"/>
      <c r="L705" s="109" t="str">
        <f t="shared" si="10"/>
        <v>96-961500138</v>
      </c>
      <c r="M705" s="114">
        <v>961500138</v>
      </c>
      <c r="N705" s="114" t="s">
        <v>5803</v>
      </c>
    </row>
    <row r="706" spans="1:14">
      <c r="A706" s="27" t="s">
        <v>2027</v>
      </c>
      <c r="B706" s="1" t="s">
        <v>2394</v>
      </c>
      <c r="I706" s="109"/>
      <c r="J706" s="109"/>
      <c r="K706" s="109"/>
      <c r="L706" s="109" t="str">
        <f t="shared" si="10"/>
        <v>96-961500151</v>
      </c>
      <c r="M706" s="114">
        <v>961500151</v>
      </c>
      <c r="N706" s="114" t="s">
        <v>5789</v>
      </c>
    </row>
    <row r="707" spans="1:14">
      <c r="A707" s="27" t="s">
        <v>2034</v>
      </c>
      <c r="B707" s="1" t="s">
        <v>2394</v>
      </c>
      <c r="I707" s="109"/>
      <c r="J707" s="109"/>
      <c r="K707" s="109"/>
      <c r="L707" s="109" t="str">
        <f t="shared" ref="L707:L770" si="11">MID(M707,1,2)&amp;"-"&amp;M707</f>
        <v>96-961500241</v>
      </c>
      <c r="M707" s="114">
        <v>961500241</v>
      </c>
      <c r="N707" s="114" t="s">
        <v>5819</v>
      </c>
    </row>
    <row r="708" spans="1:14">
      <c r="A708" s="27" t="s">
        <v>2028</v>
      </c>
      <c r="B708" s="1" t="s">
        <v>2394</v>
      </c>
      <c r="I708" s="109"/>
      <c r="J708" s="109"/>
      <c r="K708" s="109"/>
      <c r="L708" s="109" t="str">
        <f t="shared" si="11"/>
        <v>96-961500336</v>
      </c>
      <c r="M708" s="114">
        <v>961500336</v>
      </c>
      <c r="N708" s="114" t="s">
        <v>5818</v>
      </c>
    </row>
    <row r="709" spans="1:14">
      <c r="A709" s="27" t="s">
        <v>2041</v>
      </c>
      <c r="B709" s="1" t="s">
        <v>2394</v>
      </c>
      <c r="I709" s="109"/>
      <c r="J709" s="109"/>
      <c r="K709" s="109"/>
      <c r="L709" s="109" t="str">
        <f t="shared" si="11"/>
        <v>96-961500379</v>
      </c>
      <c r="M709" s="114">
        <v>961500379</v>
      </c>
      <c r="N709" s="114" t="s">
        <v>5836</v>
      </c>
    </row>
    <row r="710" spans="1:14">
      <c r="A710" s="27" t="s">
        <v>2159</v>
      </c>
      <c r="B710" s="1" t="s">
        <v>2394</v>
      </c>
      <c r="I710" s="109"/>
      <c r="J710" s="109"/>
      <c r="K710" s="109"/>
      <c r="L710" s="109" t="str">
        <f t="shared" si="11"/>
        <v>96-961500405</v>
      </c>
      <c r="M710" s="114">
        <v>961500405</v>
      </c>
      <c r="N710" s="114" t="s">
        <v>5836</v>
      </c>
    </row>
    <row r="711" spans="1:14">
      <c r="A711" s="27" t="s">
        <v>2155</v>
      </c>
      <c r="B711" s="1" t="s">
        <v>2394</v>
      </c>
      <c r="I711" s="109"/>
      <c r="J711" s="109"/>
      <c r="K711" s="109"/>
      <c r="L711" s="109" t="str">
        <f t="shared" si="11"/>
        <v>96-961500429</v>
      </c>
      <c r="M711" s="114">
        <v>961500429</v>
      </c>
      <c r="N711" s="114" t="s">
        <v>7237</v>
      </c>
    </row>
    <row r="712" spans="1:14">
      <c r="A712" s="27" t="s">
        <v>2131</v>
      </c>
      <c r="B712" s="1" t="s">
        <v>2394</v>
      </c>
      <c r="I712" s="109"/>
      <c r="J712" s="109"/>
      <c r="K712" s="109"/>
      <c r="L712" s="109" t="str">
        <f t="shared" si="11"/>
        <v>96-961500449</v>
      </c>
      <c r="M712" s="114">
        <v>961500449</v>
      </c>
      <c r="N712" s="114" t="s">
        <v>5836</v>
      </c>
    </row>
    <row r="713" spans="1:14">
      <c r="A713" s="27" t="s">
        <v>2119</v>
      </c>
      <c r="B713" s="1" t="s">
        <v>2394</v>
      </c>
      <c r="I713" s="109"/>
      <c r="J713" s="109"/>
      <c r="K713" s="109"/>
      <c r="L713" s="109" t="str">
        <f t="shared" si="11"/>
        <v>96-961500452</v>
      </c>
      <c r="M713" s="114">
        <v>961500452</v>
      </c>
      <c r="N713" s="114" t="s">
        <v>5836</v>
      </c>
    </row>
    <row r="714" spans="1:14">
      <c r="A714" s="27" t="s">
        <v>2130</v>
      </c>
      <c r="B714" s="1" t="s">
        <v>2394</v>
      </c>
      <c r="I714" s="109"/>
      <c r="J714" s="109"/>
      <c r="K714" s="109"/>
      <c r="L714" s="109" t="str">
        <f t="shared" si="11"/>
        <v>96-961500462</v>
      </c>
      <c r="M714" s="114">
        <v>961500462</v>
      </c>
      <c r="N714" s="114" t="s">
        <v>5836</v>
      </c>
    </row>
    <row r="715" spans="1:14">
      <c r="A715" s="27" t="s">
        <v>2249</v>
      </c>
      <c r="B715" s="1" t="s">
        <v>2394</v>
      </c>
      <c r="I715" s="109"/>
      <c r="J715" s="109"/>
      <c r="K715" s="109"/>
      <c r="L715" s="109" t="str">
        <f t="shared" si="11"/>
        <v>96-961500517</v>
      </c>
      <c r="M715" s="114">
        <v>961500517</v>
      </c>
      <c r="N715" s="114" t="s">
        <v>5842</v>
      </c>
    </row>
    <row r="716" spans="1:14">
      <c r="A716" s="27" t="s">
        <v>2251</v>
      </c>
      <c r="B716" s="1" t="s">
        <v>2394</v>
      </c>
      <c r="I716" s="109"/>
      <c r="J716" s="109"/>
      <c r="K716" s="109"/>
      <c r="L716" s="109" t="str">
        <f t="shared" si="11"/>
        <v>95-951500008</v>
      </c>
      <c r="M716" s="114">
        <v>951500008</v>
      </c>
      <c r="N716" s="114" t="s">
        <v>5608</v>
      </c>
    </row>
    <row r="717" spans="1:14">
      <c r="A717" s="27" t="s">
        <v>2250</v>
      </c>
      <c r="B717" s="1" t="s">
        <v>2394</v>
      </c>
      <c r="I717" s="109"/>
      <c r="J717" s="109"/>
      <c r="K717" s="109"/>
      <c r="L717" s="109" t="str">
        <f t="shared" si="11"/>
        <v>95-951500019</v>
      </c>
      <c r="M717" s="114">
        <v>951500019</v>
      </c>
      <c r="N717" s="114" t="s">
        <v>5608</v>
      </c>
    </row>
    <row r="718" spans="1:14">
      <c r="A718" s="27" t="s">
        <v>2128</v>
      </c>
      <c r="B718" s="1" t="s">
        <v>2394</v>
      </c>
      <c r="I718" s="109"/>
      <c r="J718" s="109"/>
      <c r="K718" s="109"/>
      <c r="L718" s="109" t="str">
        <f t="shared" si="11"/>
        <v>95-951500042</v>
      </c>
      <c r="M718" s="114">
        <v>951500042</v>
      </c>
      <c r="N718" s="114" t="s">
        <v>5608</v>
      </c>
    </row>
    <row r="719" spans="1:14">
      <c r="A719" s="27" t="s">
        <v>2171</v>
      </c>
      <c r="B719" s="1" t="s">
        <v>2394</v>
      </c>
      <c r="I719" s="109"/>
      <c r="J719" s="109"/>
      <c r="K719" s="109"/>
      <c r="L719" s="109" t="str">
        <f t="shared" si="11"/>
        <v>95-951500076</v>
      </c>
      <c r="M719" s="114">
        <v>951500076</v>
      </c>
      <c r="N719" s="114" t="s">
        <v>5608</v>
      </c>
    </row>
    <row r="720" spans="1:14">
      <c r="A720" s="27" t="s">
        <v>2252</v>
      </c>
      <c r="B720" s="1" t="s">
        <v>2394</v>
      </c>
      <c r="I720" s="109"/>
      <c r="J720" s="109"/>
      <c r="K720" s="109"/>
      <c r="L720" s="109" t="str">
        <f t="shared" si="11"/>
        <v>95-951500174</v>
      </c>
      <c r="M720" s="114">
        <v>951500174</v>
      </c>
      <c r="N720" s="114" t="s">
        <v>5622</v>
      </c>
    </row>
    <row r="721" spans="1:14">
      <c r="A721" s="27" t="s">
        <v>2253</v>
      </c>
      <c r="B721" s="1" t="s">
        <v>2394</v>
      </c>
      <c r="I721" s="109"/>
      <c r="J721" s="109"/>
      <c r="K721" s="109"/>
      <c r="L721" s="109" t="str">
        <f t="shared" si="11"/>
        <v>95-951500189</v>
      </c>
      <c r="M721" s="114">
        <v>951500189</v>
      </c>
      <c r="N721" s="114" t="s">
        <v>5622</v>
      </c>
    </row>
    <row r="722" spans="1:14">
      <c r="A722" s="27" t="s">
        <v>2313</v>
      </c>
      <c r="B722" s="1" t="s">
        <v>2394</v>
      </c>
      <c r="I722" s="109"/>
      <c r="J722" s="109"/>
      <c r="K722" s="109"/>
      <c r="L722" s="109" t="str">
        <f t="shared" si="11"/>
        <v>95-951500538</v>
      </c>
      <c r="M722" s="114">
        <v>951500538</v>
      </c>
      <c r="N722" s="114" t="s">
        <v>5690</v>
      </c>
    </row>
    <row r="723" spans="1:14">
      <c r="A723" s="27" t="s">
        <v>2286</v>
      </c>
      <c r="B723" s="1" t="s">
        <v>2394</v>
      </c>
      <c r="I723" s="109"/>
      <c r="J723" s="109"/>
      <c r="K723" s="109"/>
      <c r="L723" s="109" t="str">
        <f t="shared" si="11"/>
        <v>96-961500357</v>
      </c>
      <c r="M723" s="114">
        <v>961500357</v>
      </c>
      <c r="N723" s="114" t="s">
        <v>7233</v>
      </c>
    </row>
    <row r="724" spans="1:14">
      <c r="A724" s="27" t="s">
        <v>2080</v>
      </c>
      <c r="B724" s="1" t="s">
        <v>2394</v>
      </c>
      <c r="I724" s="109"/>
      <c r="J724" s="109"/>
      <c r="K724" s="109"/>
      <c r="L724" s="109" t="str">
        <f t="shared" si="11"/>
        <v>96-961500363</v>
      </c>
      <c r="M724" s="114">
        <v>961500363</v>
      </c>
      <c r="N724" s="114" t="s">
        <v>7233</v>
      </c>
    </row>
    <row r="725" spans="1:14">
      <c r="A725" s="27" t="s">
        <v>2129</v>
      </c>
      <c r="B725" s="1" t="s">
        <v>2394</v>
      </c>
      <c r="I725" s="109"/>
      <c r="J725" s="109"/>
      <c r="K725" s="109"/>
      <c r="L725" s="109" t="str">
        <f t="shared" si="11"/>
        <v>96-961500380</v>
      </c>
      <c r="M725" s="114">
        <v>961500380</v>
      </c>
      <c r="N725" s="114" t="s">
        <v>7233</v>
      </c>
    </row>
    <row r="726" spans="1:14">
      <c r="A726" s="27" t="s">
        <v>2245</v>
      </c>
      <c r="B726" s="1" t="s">
        <v>2394</v>
      </c>
      <c r="I726" s="109"/>
      <c r="J726" s="109"/>
      <c r="K726" s="109"/>
      <c r="L726" s="109" t="str">
        <f t="shared" si="11"/>
        <v>96-961500557</v>
      </c>
      <c r="M726" s="114">
        <v>961500557</v>
      </c>
      <c r="N726" s="114" t="s">
        <v>8497</v>
      </c>
    </row>
    <row r="727" spans="1:14">
      <c r="A727" s="27" t="s">
        <v>2258</v>
      </c>
      <c r="B727" s="1" t="s">
        <v>2394</v>
      </c>
      <c r="I727" s="109"/>
      <c r="J727" s="109"/>
      <c r="K727" s="109"/>
      <c r="L727" s="109" t="str">
        <f t="shared" si="11"/>
        <v>95-951500150</v>
      </c>
      <c r="M727" s="114">
        <v>951500150</v>
      </c>
      <c r="N727" s="114" t="s">
        <v>5614</v>
      </c>
    </row>
    <row r="728" spans="1:14">
      <c r="A728" s="27" t="s">
        <v>2354</v>
      </c>
      <c r="B728" s="1" t="s">
        <v>2394</v>
      </c>
      <c r="I728" s="109"/>
      <c r="J728" s="109"/>
      <c r="K728" s="109"/>
      <c r="L728" s="109" t="str">
        <f t="shared" si="11"/>
        <v>95-951500165</v>
      </c>
      <c r="M728" s="114">
        <v>951500165</v>
      </c>
      <c r="N728" s="114" t="s">
        <v>5614</v>
      </c>
    </row>
    <row r="729" spans="1:14">
      <c r="A729" s="28" t="s">
        <v>457</v>
      </c>
      <c r="B729" s="1" t="s">
        <v>2418</v>
      </c>
      <c r="I729" s="109"/>
      <c r="J729" s="109"/>
      <c r="K729" s="109"/>
      <c r="L729" s="109" t="str">
        <f t="shared" si="11"/>
        <v>95-951500403</v>
      </c>
      <c r="M729" s="114">
        <v>951500403</v>
      </c>
      <c r="N729" s="114" t="s">
        <v>5680</v>
      </c>
    </row>
    <row r="730" spans="1:14">
      <c r="A730" s="28" t="s">
        <v>435</v>
      </c>
      <c r="B730" s="1" t="s">
        <v>2418</v>
      </c>
      <c r="I730" s="109"/>
      <c r="J730" s="109"/>
      <c r="K730" s="109"/>
      <c r="L730" s="109" t="str">
        <f t="shared" si="11"/>
        <v>95-951500408</v>
      </c>
      <c r="M730" s="114">
        <v>951500408</v>
      </c>
      <c r="N730" s="114" t="s">
        <v>5680</v>
      </c>
    </row>
    <row r="731" spans="1:14">
      <c r="A731" s="28" t="s">
        <v>439</v>
      </c>
      <c r="B731" s="1" t="s">
        <v>2418</v>
      </c>
      <c r="I731" s="109"/>
      <c r="J731" s="109"/>
      <c r="K731" s="109"/>
      <c r="L731" s="109" t="str">
        <f t="shared" si="11"/>
        <v>95-951500414</v>
      </c>
      <c r="M731" s="114">
        <v>951500414</v>
      </c>
      <c r="N731" s="114" t="s">
        <v>5689</v>
      </c>
    </row>
    <row r="732" spans="1:14">
      <c r="A732" s="28" t="s">
        <v>437</v>
      </c>
      <c r="B732" s="1" t="s">
        <v>2418</v>
      </c>
      <c r="I732" s="109"/>
      <c r="J732" s="109"/>
      <c r="K732" s="109"/>
      <c r="L732" s="109" t="str">
        <f t="shared" si="11"/>
        <v>95-951500418</v>
      </c>
      <c r="M732" s="114">
        <v>951500418</v>
      </c>
      <c r="N732" s="114" t="s">
        <v>5680</v>
      </c>
    </row>
    <row r="733" spans="1:14">
      <c r="A733" s="28" t="s">
        <v>440</v>
      </c>
      <c r="B733" s="1" t="s">
        <v>2418</v>
      </c>
      <c r="I733" s="109"/>
      <c r="J733" s="109"/>
      <c r="K733" s="109"/>
      <c r="L733" s="109" t="str">
        <f t="shared" si="11"/>
        <v>95-951500429</v>
      </c>
      <c r="M733" s="114">
        <v>951500429</v>
      </c>
      <c r="N733" s="114" t="s">
        <v>5694</v>
      </c>
    </row>
    <row r="734" spans="1:14">
      <c r="A734" s="28" t="s">
        <v>395</v>
      </c>
      <c r="B734" s="1" t="s">
        <v>2418</v>
      </c>
      <c r="I734" s="109"/>
      <c r="J734" s="109"/>
      <c r="K734" s="109"/>
      <c r="L734" s="109" t="str">
        <f t="shared" si="11"/>
        <v>95-951500468</v>
      </c>
      <c r="M734" s="114">
        <v>951500468</v>
      </c>
      <c r="N734" s="114" t="s">
        <v>5694</v>
      </c>
    </row>
    <row r="735" spans="1:14">
      <c r="A735" s="28" t="s">
        <v>506</v>
      </c>
      <c r="B735" s="1" t="s">
        <v>2418</v>
      </c>
      <c r="I735" s="109"/>
      <c r="J735" s="109"/>
      <c r="K735" s="109"/>
      <c r="L735" s="109" t="str">
        <f t="shared" si="11"/>
        <v>95-951500480</v>
      </c>
      <c r="M735" s="114">
        <v>951500480</v>
      </c>
      <c r="N735" s="114" t="s">
        <v>5708</v>
      </c>
    </row>
    <row r="736" spans="1:14">
      <c r="A736" s="28" t="s">
        <v>394</v>
      </c>
      <c r="B736" s="1" t="s">
        <v>2418</v>
      </c>
      <c r="I736" s="109"/>
      <c r="J736" s="109"/>
      <c r="K736" s="109"/>
      <c r="L736" s="109" t="str">
        <f t="shared" si="11"/>
        <v>95-951500535</v>
      </c>
      <c r="M736" s="114">
        <v>951500535</v>
      </c>
      <c r="N736" s="114" t="s">
        <v>5726</v>
      </c>
    </row>
    <row r="737" spans="1:14">
      <c r="A737" s="28" t="s">
        <v>2395</v>
      </c>
      <c r="B737" s="1" t="s">
        <v>2418</v>
      </c>
      <c r="I737" s="109"/>
      <c r="J737" s="109"/>
      <c r="K737" s="109"/>
      <c r="L737" s="109" t="str">
        <f t="shared" si="11"/>
        <v>96-961500067</v>
      </c>
      <c r="M737" s="114">
        <v>961500067</v>
      </c>
      <c r="N737" s="114" t="s">
        <v>5758</v>
      </c>
    </row>
    <row r="738" spans="1:14">
      <c r="A738" s="28" t="s">
        <v>438</v>
      </c>
      <c r="B738" s="1" t="s">
        <v>2418</v>
      </c>
      <c r="I738" s="109"/>
      <c r="J738" s="109"/>
      <c r="K738" s="109"/>
      <c r="L738" s="109" t="str">
        <f t="shared" si="11"/>
        <v>96-961500075</v>
      </c>
      <c r="M738" s="114">
        <v>961500075</v>
      </c>
      <c r="N738" s="114" t="s">
        <v>5762</v>
      </c>
    </row>
    <row r="739" spans="1:14">
      <c r="A739" s="28" t="s">
        <v>436</v>
      </c>
      <c r="B739" s="1" t="s">
        <v>2418</v>
      </c>
      <c r="I739" s="109"/>
      <c r="J739" s="109"/>
      <c r="K739" s="109"/>
      <c r="L739" s="109" t="str">
        <f t="shared" si="11"/>
        <v>96-961500076</v>
      </c>
      <c r="M739" s="114">
        <v>961500076</v>
      </c>
      <c r="N739" s="114" t="s">
        <v>5762</v>
      </c>
    </row>
    <row r="740" spans="1:14">
      <c r="A740" s="28" t="s">
        <v>504</v>
      </c>
      <c r="B740" s="1" t="s">
        <v>2418</v>
      </c>
      <c r="I740" s="109"/>
      <c r="J740" s="109"/>
      <c r="K740" s="109"/>
      <c r="L740" s="109" t="str">
        <f t="shared" si="11"/>
        <v>96-961500078</v>
      </c>
      <c r="M740" s="114">
        <v>961500078</v>
      </c>
      <c r="N740" s="114" t="s">
        <v>5762</v>
      </c>
    </row>
    <row r="741" spans="1:14">
      <c r="A741" s="28" t="s">
        <v>503</v>
      </c>
      <c r="B741" s="1" t="s">
        <v>2418</v>
      </c>
      <c r="I741" s="109"/>
      <c r="J741" s="109"/>
      <c r="K741" s="109"/>
      <c r="L741" s="109" t="str">
        <f t="shared" si="11"/>
        <v>96-961500089</v>
      </c>
      <c r="M741" s="114">
        <v>961500089</v>
      </c>
      <c r="N741" s="114" t="s">
        <v>5762</v>
      </c>
    </row>
    <row r="742" spans="1:14">
      <c r="A742" s="28" t="s">
        <v>507</v>
      </c>
      <c r="B742" s="1" t="s">
        <v>2418</v>
      </c>
      <c r="I742" s="109"/>
      <c r="J742" s="109"/>
      <c r="K742" s="109"/>
      <c r="L742" s="109" t="str">
        <f t="shared" si="11"/>
        <v>96-961500123</v>
      </c>
      <c r="M742" s="114">
        <v>961500123</v>
      </c>
      <c r="N742" s="114" t="s">
        <v>5799</v>
      </c>
    </row>
    <row r="743" spans="1:14">
      <c r="A743" s="28" t="s">
        <v>446</v>
      </c>
      <c r="B743" s="1" t="s">
        <v>2418</v>
      </c>
      <c r="I743" s="109"/>
      <c r="J743" s="109"/>
      <c r="K743" s="109"/>
      <c r="L743" s="109" t="str">
        <f t="shared" si="11"/>
        <v>96-961500131</v>
      </c>
      <c r="M743" s="114">
        <v>961500131</v>
      </c>
      <c r="N743" s="114" t="s">
        <v>5799</v>
      </c>
    </row>
    <row r="744" spans="1:14">
      <c r="A744" s="28" t="s">
        <v>406</v>
      </c>
      <c r="B744" s="1" t="s">
        <v>2418</v>
      </c>
      <c r="I744" s="109"/>
      <c r="J744" s="109"/>
      <c r="K744" s="109"/>
      <c r="L744" s="109" t="str">
        <f t="shared" si="11"/>
        <v>96-961500136</v>
      </c>
      <c r="M744" s="114">
        <v>961500136</v>
      </c>
      <c r="N744" s="114" t="s">
        <v>5799</v>
      </c>
    </row>
    <row r="745" spans="1:14">
      <c r="A745" s="28" t="s">
        <v>444</v>
      </c>
      <c r="B745" s="1" t="s">
        <v>2418</v>
      </c>
      <c r="I745" s="109"/>
      <c r="J745" s="109"/>
      <c r="K745" s="109"/>
      <c r="L745" s="109" t="str">
        <f t="shared" si="11"/>
        <v>95-956200405</v>
      </c>
      <c r="M745" s="114">
        <v>956200405</v>
      </c>
      <c r="N745" s="114" t="s">
        <v>7269</v>
      </c>
    </row>
    <row r="746" spans="1:14">
      <c r="A746" s="28" t="s">
        <v>445</v>
      </c>
      <c r="B746" s="1" t="s">
        <v>2418</v>
      </c>
      <c r="I746" s="109"/>
      <c r="J746" s="109"/>
      <c r="K746" s="109"/>
      <c r="L746" s="109" t="str">
        <f t="shared" si="11"/>
        <v>96-966200099</v>
      </c>
      <c r="M746" s="114">
        <v>966200099</v>
      </c>
      <c r="N746" s="114" t="s">
        <v>7270</v>
      </c>
    </row>
    <row r="747" spans="1:14">
      <c r="A747" s="28" t="s">
        <v>508</v>
      </c>
      <c r="B747" s="1" t="s">
        <v>2418</v>
      </c>
      <c r="I747" s="109"/>
      <c r="J747" s="109"/>
      <c r="K747" s="109"/>
      <c r="L747" s="109" t="str">
        <f t="shared" si="11"/>
        <v>96-961500520</v>
      </c>
      <c r="M747" s="114">
        <v>961500520</v>
      </c>
      <c r="N747" s="114" t="s">
        <v>5842</v>
      </c>
    </row>
    <row r="748" spans="1:14">
      <c r="A748" s="28" t="s">
        <v>509</v>
      </c>
      <c r="B748" s="1" t="s">
        <v>2418</v>
      </c>
      <c r="I748" s="109"/>
      <c r="J748" s="109"/>
      <c r="K748" s="109"/>
      <c r="L748" s="109" t="str">
        <f t="shared" si="11"/>
        <v>96-961500523</v>
      </c>
      <c r="M748" s="114">
        <v>961500523</v>
      </c>
      <c r="N748" s="114" t="s">
        <v>5842</v>
      </c>
    </row>
    <row r="749" spans="1:14">
      <c r="A749" s="28" t="s">
        <v>459</v>
      </c>
      <c r="B749" s="1" t="s">
        <v>2418</v>
      </c>
      <c r="I749" s="109"/>
      <c r="J749" s="109"/>
      <c r="K749" s="109"/>
      <c r="L749" s="109" t="str">
        <f t="shared" si="11"/>
        <v>95-951500396</v>
      </c>
      <c r="M749" s="114">
        <v>951500396</v>
      </c>
      <c r="N749" s="114" t="s">
        <v>5685</v>
      </c>
    </row>
    <row r="750" spans="1:14">
      <c r="A750" s="28" t="s">
        <v>402</v>
      </c>
      <c r="B750" s="1" t="s">
        <v>2418</v>
      </c>
      <c r="I750" s="109"/>
      <c r="J750" s="109"/>
      <c r="K750" s="109"/>
      <c r="L750" s="109" t="str">
        <f t="shared" si="11"/>
        <v>95-951500420</v>
      </c>
      <c r="M750" s="114">
        <v>951500420</v>
      </c>
      <c r="N750" s="114" t="s">
        <v>5692</v>
      </c>
    </row>
    <row r="751" spans="1:14">
      <c r="A751" s="28" t="s">
        <v>404</v>
      </c>
      <c r="B751" s="1" t="s">
        <v>2418</v>
      </c>
      <c r="I751" s="109"/>
      <c r="J751" s="109"/>
      <c r="K751" s="109"/>
      <c r="L751" s="109" t="str">
        <f t="shared" si="11"/>
        <v>95-951500432</v>
      </c>
      <c r="M751" s="114">
        <v>951500432</v>
      </c>
      <c r="N751" s="114" t="s">
        <v>5695</v>
      </c>
    </row>
    <row r="752" spans="1:14">
      <c r="A752" s="28" t="s">
        <v>403</v>
      </c>
      <c r="B752" s="1" t="s">
        <v>2418</v>
      </c>
      <c r="I752" s="109"/>
      <c r="J752" s="109"/>
      <c r="K752" s="109"/>
      <c r="L752" s="109" t="str">
        <f t="shared" si="11"/>
        <v>95-951500455</v>
      </c>
      <c r="M752" s="114">
        <v>951500455</v>
      </c>
      <c r="N752" s="114" t="s">
        <v>5705</v>
      </c>
    </row>
    <row r="753" spans="1:14">
      <c r="A753" s="28" t="s">
        <v>447</v>
      </c>
      <c r="B753" s="1" t="s">
        <v>2418</v>
      </c>
      <c r="I753" s="109"/>
      <c r="J753" s="109"/>
      <c r="K753" s="109"/>
      <c r="L753" s="109" t="str">
        <f t="shared" si="11"/>
        <v>95-951500513</v>
      </c>
      <c r="M753" s="114">
        <v>951500513</v>
      </c>
      <c r="N753" s="114" t="s">
        <v>5721</v>
      </c>
    </row>
    <row r="754" spans="1:14">
      <c r="A754" s="28" t="s">
        <v>451</v>
      </c>
      <c r="B754" s="1" t="s">
        <v>2418</v>
      </c>
      <c r="I754" s="109"/>
      <c r="J754" s="109"/>
      <c r="K754" s="109"/>
      <c r="L754" s="109" t="str">
        <f t="shared" si="11"/>
        <v>96-961500310</v>
      </c>
      <c r="M754" s="114">
        <v>961500310</v>
      </c>
      <c r="N754" s="114" t="s">
        <v>5838</v>
      </c>
    </row>
    <row r="755" spans="1:14">
      <c r="A755" s="28" t="s">
        <v>448</v>
      </c>
      <c r="B755" s="1" t="s">
        <v>2418</v>
      </c>
      <c r="I755" s="109"/>
      <c r="J755" s="109"/>
      <c r="K755" s="109"/>
      <c r="L755" s="109" t="str">
        <f t="shared" si="11"/>
        <v>96-961500460</v>
      </c>
      <c r="M755" s="114">
        <v>961500460</v>
      </c>
      <c r="N755" s="114" t="s">
        <v>7241</v>
      </c>
    </row>
    <row r="756" spans="1:14">
      <c r="A756" s="28" t="s">
        <v>452</v>
      </c>
      <c r="B756" s="1" t="s">
        <v>2418</v>
      </c>
      <c r="I756" s="109"/>
      <c r="J756" s="109"/>
      <c r="K756" s="109"/>
      <c r="L756" s="109" t="str">
        <f t="shared" si="11"/>
        <v>96-961500510</v>
      </c>
      <c r="M756" s="114">
        <v>961500510</v>
      </c>
      <c r="N756" s="114" t="s">
        <v>7276</v>
      </c>
    </row>
    <row r="757" spans="1:14">
      <c r="A757" s="28" t="s">
        <v>456</v>
      </c>
      <c r="B757" s="1" t="s">
        <v>2418</v>
      </c>
      <c r="I757" s="109"/>
      <c r="J757" s="109"/>
      <c r="K757" s="109"/>
      <c r="L757" s="109" t="str">
        <f t="shared" si="11"/>
        <v>96-961500549</v>
      </c>
      <c r="M757" s="114">
        <v>961500549</v>
      </c>
      <c r="N757" s="114" t="s">
        <v>8723</v>
      </c>
    </row>
    <row r="758" spans="1:14">
      <c r="A758" s="28" t="s">
        <v>450</v>
      </c>
      <c r="B758" s="1" t="s">
        <v>2418</v>
      </c>
      <c r="I758" s="109"/>
      <c r="J758" s="109"/>
      <c r="K758" s="109"/>
      <c r="L758" s="109" t="str">
        <f t="shared" si="11"/>
        <v>95-951500269</v>
      </c>
      <c r="M758" s="114">
        <v>951500269</v>
      </c>
      <c r="N758" s="114" t="s">
        <v>5653</v>
      </c>
    </row>
    <row r="759" spans="1:14">
      <c r="A759" s="28" t="s">
        <v>454</v>
      </c>
      <c r="B759" s="1" t="s">
        <v>2418</v>
      </c>
      <c r="I759" s="109"/>
      <c r="J759" s="109"/>
      <c r="K759" s="109"/>
      <c r="L759" s="109" t="str">
        <f t="shared" si="11"/>
        <v>96-961500039</v>
      </c>
      <c r="M759" s="114">
        <v>961500039</v>
      </c>
      <c r="N759" s="114" t="s">
        <v>5769</v>
      </c>
    </row>
    <row r="760" spans="1:14">
      <c r="A760" s="28" t="s">
        <v>449</v>
      </c>
      <c r="B760" s="1" t="s">
        <v>2418</v>
      </c>
      <c r="I760" s="109"/>
      <c r="J760" s="109"/>
      <c r="K760" s="109"/>
      <c r="L760" s="109" t="str">
        <f t="shared" si="11"/>
        <v>95-951500286</v>
      </c>
      <c r="M760" s="114">
        <v>951500286</v>
      </c>
      <c r="N760" s="114" t="s">
        <v>5656</v>
      </c>
    </row>
    <row r="761" spans="1:14">
      <c r="A761" s="28" t="s">
        <v>455</v>
      </c>
      <c r="B761" s="1" t="s">
        <v>2418</v>
      </c>
      <c r="I761" s="109"/>
      <c r="J761" s="109"/>
      <c r="K761" s="109"/>
      <c r="L761" s="109" t="str">
        <f t="shared" si="11"/>
        <v>95-951500502</v>
      </c>
      <c r="M761" s="114">
        <v>951500502</v>
      </c>
      <c r="N761" s="114" t="s">
        <v>5718</v>
      </c>
    </row>
    <row r="762" spans="1:14">
      <c r="A762" s="28" t="s">
        <v>460</v>
      </c>
      <c r="B762" s="1" t="s">
        <v>2418</v>
      </c>
      <c r="I762" s="109"/>
      <c r="J762" s="109"/>
      <c r="K762" s="109"/>
      <c r="L762" s="109" t="str">
        <f t="shared" si="11"/>
        <v>95-951500540</v>
      </c>
      <c r="M762" s="114">
        <v>951500540</v>
      </c>
      <c r="N762" s="114" t="s">
        <v>5727</v>
      </c>
    </row>
    <row r="763" spans="1:14">
      <c r="A763" s="28" t="s">
        <v>511</v>
      </c>
      <c r="B763" s="1" t="s">
        <v>2418</v>
      </c>
      <c r="I763" s="109"/>
      <c r="J763" s="109"/>
      <c r="K763" s="109"/>
      <c r="L763" s="109" t="str">
        <f t="shared" si="11"/>
        <v>95-951500023</v>
      </c>
      <c r="M763" s="114">
        <v>951500023</v>
      </c>
      <c r="N763" s="114" t="s">
        <v>5612</v>
      </c>
    </row>
    <row r="764" spans="1:14">
      <c r="A764" s="28" t="s">
        <v>411</v>
      </c>
      <c r="B764" s="1" t="s">
        <v>2418</v>
      </c>
      <c r="I764" s="109"/>
      <c r="J764" s="109"/>
      <c r="K764" s="109"/>
      <c r="L764" s="109" t="str">
        <f t="shared" si="11"/>
        <v>95-951500026</v>
      </c>
      <c r="M764" s="114">
        <v>951500026</v>
      </c>
      <c r="N764" s="114" t="s">
        <v>5612</v>
      </c>
    </row>
    <row r="765" spans="1:14">
      <c r="A765" s="28" t="s">
        <v>463</v>
      </c>
      <c r="B765" s="1" t="s">
        <v>2418</v>
      </c>
      <c r="I765" s="109"/>
      <c r="J765" s="109"/>
      <c r="K765" s="109"/>
      <c r="L765" s="109" t="str">
        <f t="shared" si="11"/>
        <v>95-951500031</v>
      </c>
      <c r="M765" s="114">
        <v>951500031</v>
      </c>
      <c r="N765" s="114" t="s">
        <v>5612</v>
      </c>
    </row>
    <row r="766" spans="1:14">
      <c r="A766" s="28" t="s">
        <v>470</v>
      </c>
      <c r="B766" s="1" t="s">
        <v>2418</v>
      </c>
      <c r="I766" s="109"/>
      <c r="J766" s="109"/>
      <c r="K766" s="109"/>
      <c r="L766" s="109" t="str">
        <f t="shared" si="11"/>
        <v>95-951500049</v>
      </c>
      <c r="M766" s="114">
        <v>951500049</v>
      </c>
      <c r="N766" s="114" t="s">
        <v>5612</v>
      </c>
    </row>
    <row r="767" spans="1:14">
      <c r="A767" s="28" t="s">
        <v>512</v>
      </c>
      <c r="B767" s="1" t="s">
        <v>2418</v>
      </c>
      <c r="I767" s="109"/>
      <c r="J767" s="109"/>
      <c r="K767" s="109"/>
      <c r="L767" s="109" t="str">
        <f t="shared" si="11"/>
        <v>95-951500423</v>
      </c>
      <c r="M767" s="114">
        <v>951500423</v>
      </c>
      <c r="N767" s="114" t="s">
        <v>5688</v>
      </c>
    </row>
    <row r="768" spans="1:14">
      <c r="A768" s="28" t="s">
        <v>407</v>
      </c>
      <c r="B768" s="1" t="s">
        <v>2418</v>
      </c>
      <c r="I768" s="109"/>
      <c r="J768" s="109"/>
      <c r="K768" s="109"/>
      <c r="L768" s="109" t="str">
        <f t="shared" si="11"/>
        <v>95-951500517</v>
      </c>
      <c r="M768" s="114">
        <v>951500517</v>
      </c>
      <c r="N768" s="114" t="s">
        <v>5723</v>
      </c>
    </row>
    <row r="769" spans="1:14">
      <c r="A769" s="28" t="s">
        <v>465</v>
      </c>
      <c r="B769" s="1" t="s">
        <v>2418</v>
      </c>
      <c r="I769" s="109"/>
      <c r="J769" s="109"/>
      <c r="K769" s="109"/>
      <c r="L769" s="109" t="str">
        <f t="shared" si="11"/>
        <v>95-951500534</v>
      </c>
      <c r="M769" s="114">
        <v>951500534</v>
      </c>
      <c r="N769" s="114" t="s">
        <v>5717</v>
      </c>
    </row>
    <row r="770" spans="1:14">
      <c r="A770" s="28" t="s">
        <v>471</v>
      </c>
      <c r="B770" s="1" t="s">
        <v>2418</v>
      </c>
      <c r="I770" s="109"/>
      <c r="J770" s="109"/>
      <c r="K770" s="109"/>
      <c r="L770" s="109" t="str">
        <f t="shared" si="11"/>
        <v>96-961500027</v>
      </c>
      <c r="M770" s="114">
        <v>961500027</v>
      </c>
      <c r="N770" s="114" t="s">
        <v>5772</v>
      </c>
    </row>
    <row r="771" spans="1:14">
      <c r="A771" s="28" t="s">
        <v>408</v>
      </c>
      <c r="B771" s="1" t="s">
        <v>2418</v>
      </c>
      <c r="I771" s="109"/>
      <c r="J771" s="109"/>
      <c r="K771" s="109"/>
      <c r="L771" s="109" t="str">
        <f t="shared" ref="L771:L834" si="12">MID(M771,1,2)&amp;"-"&amp;M771</f>
        <v>96-961500035</v>
      </c>
      <c r="M771" s="114">
        <v>961500035</v>
      </c>
      <c r="N771" s="114" t="s">
        <v>5772</v>
      </c>
    </row>
    <row r="772" spans="1:14">
      <c r="A772" s="28" t="s">
        <v>396</v>
      </c>
      <c r="B772" s="1" t="s">
        <v>2418</v>
      </c>
      <c r="I772" s="109"/>
      <c r="J772" s="109"/>
      <c r="K772" s="109"/>
      <c r="L772" s="109" t="str">
        <f t="shared" si="12"/>
        <v>96-961500080</v>
      </c>
      <c r="M772" s="114">
        <v>961500080</v>
      </c>
      <c r="N772" s="114" t="s">
        <v>5793</v>
      </c>
    </row>
    <row r="773" spans="1:14">
      <c r="A773" s="28" t="s">
        <v>513</v>
      </c>
      <c r="B773" s="1" t="s">
        <v>2418</v>
      </c>
      <c r="I773" s="109"/>
      <c r="J773" s="109"/>
      <c r="K773" s="109"/>
      <c r="L773" s="109" t="str">
        <f t="shared" si="12"/>
        <v>96-961500193</v>
      </c>
      <c r="M773" s="114">
        <v>961500193</v>
      </c>
      <c r="N773" s="114" t="s">
        <v>5816</v>
      </c>
    </row>
    <row r="774" spans="1:14">
      <c r="A774" s="28" t="s">
        <v>467</v>
      </c>
      <c r="B774" s="1" t="s">
        <v>2418</v>
      </c>
      <c r="I774" s="109"/>
      <c r="J774" s="109"/>
      <c r="K774" s="109"/>
      <c r="L774" s="109" t="str">
        <f t="shared" si="12"/>
        <v>96-961500290</v>
      </c>
      <c r="M774" s="114">
        <v>961500290</v>
      </c>
      <c r="N774" s="114" t="s">
        <v>5822</v>
      </c>
    </row>
    <row r="775" spans="1:14">
      <c r="A775" s="28" t="s">
        <v>2396</v>
      </c>
      <c r="B775" s="1" t="s">
        <v>2418</v>
      </c>
      <c r="I775" s="109"/>
      <c r="J775" s="109"/>
      <c r="K775" s="109"/>
      <c r="L775" s="109" t="str">
        <f t="shared" si="12"/>
        <v>96-961500494</v>
      </c>
      <c r="M775" s="114">
        <v>961500494</v>
      </c>
      <c r="N775" s="114" t="s">
        <v>7234</v>
      </c>
    </row>
    <row r="776" spans="1:14">
      <c r="A776" s="28" t="s">
        <v>472</v>
      </c>
      <c r="B776" s="1" t="s">
        <v>2418</v>
      </c>
      <c r="I776" s="109"/>
      <c r="J776" s="109"/>
      <c r="K776" s="109"/>
      <c r="L776" s="109" t="str">
        <f t="shared" si="12"/>
        <v>96-961500500</v>
      </c>
      <c r="M776" s="114">
        <v>961500500</v>
      </c>
      <c r="N776" s="114" t="s">
        <v>7121</v>
      </c>
    </row>
    <row r="777" spans="1:14">
      <c r="A777" s="28" t="s">
        <v>484</v>
      </c>
      <c r="B777" s="1" t="s">
        <v>2418</v>
      </c>
      <c r="I777" s="109"/>
      <c r="J777" s="109"/>
      <c r="K777" s="109"/>
      <c r="L777" s="109" t="str">
        <f t="shared" si="12"/>
        <v>96-961500505</v>
      </c>
      <c r="M777" s="114">
        <v>961500505</v>
      </c>
      <c r="N777" s="114" t="s">
        <v>7114</v>
      </c>
    </row>
    <row r="778" spans="1:14">
      <c r="A778" s="28" t="s">
        <v>483</v>
      </c>
      <c r="B778" s="1" t="s">
        <v>2418</v>
      </c>
      <c r="I778" s="109"/>
      <c r="J778" s="109"/>
      <c r="K778" s="109"/>
      <c r="L778" s="109" t="str">
        <f t="shared" si="12"/>
        <v>95-951500275</v>
      </c>
      <c r="M778" s="114">
        <v>951500275</v>
      </c>
      <c r="N778" s="114" t="s">
        <v>5651</v>
      </c>
    </row>
    <row r="779" spans="1:14">
      <c r="A779" s="28" t="s">
        <v>474</v>
      </c>
      <c r="B779" s="1" t="s">
        <v>2418</v>
      </c>
      <c r="I779" s="109"/>
      <c r="J779" s="109"/>
      <c r="K779" s="109"/>
      <c r="L779" s="109" t="str">
        <f t="shared" si="12"/>
        <v>95-951500324</v>
      </c>
      <c r="M779" s="114">
        <v>951500324</v>
      </c>
      <c r="N779" s="114" t="s">
        <v>5662</v>
      </c>
    </row>
    <row r="780" spans="1:14">
      <c r="A780" s="28" t="s">
        <v>414</v>
      </c>
      <c r="B780" s="1" t="s">
        <v>2418</v>
      </c>
      <c r="I780" s="109"/>
      <c r="J780" s="109"/>
      <c r="K780" s="109"/>
      <c r="L780" s="109" t="str">
        <f t="shared" si="12"/>
        <v>95-951500346</v>
      </c>
      <c r="M780" s="114">
        <v>951500346</v>
      </c>
      <c r="N780" s="114" t="s">
        <v>5668</v>
      </c>
    </row>
    <row r="781" spans="1:14">
      <c r="A781" s="28" t="s">
        <v>416</v>
      </c>
      <c r="B781" s="1" t="s">
        <v>2418</v>
      </c>
      <c r="I781" s="109"/>
      <c r="J781" s="109"/>
      <c r="K781" s="109"/>
      <c r="L781" s="109" t="str">
        <f t="shared" si="12"/>
        <v>95-951500374</v>
      </c>
      <c r="M781" s="114">
        <v>951500374</v>
      </c>
      <c r="N781" s="114" t="s">
        <v>5662</v>
      </c>
    </row>
    <row r="782" spans="1:14">
      <c r="A782" s="28" t="s">
        <v>2397</v>
      </c>
      <c r="B782" s="1" t="s">
        <v>2418</v>
      </c>
      <c r="I782" s="109"/>
      <c r="J782" s="109"/>
      <c r="K782" s="109"/>
      <c r="L782" s="109" t="str">
        <f t="shared" si="12"/>
        <v>95-951500388</v>
      </c>
      <c r="M782" s="114">
        <v>951500388</v>
      </c>
      <c r="N782" s="114" t="s">
        <v>5668</v>
      </c>
    </row>
    <row r="783" spans="1:14">
      <c r="A783" s="28" t="s">
        <v>2398</v>
      </c>
      <c r="B783" s="1" t="s">
        <v>2418</v>
      </c>
      <c r="I783" s="109"/>
      <c r="J783" s="109"/>
      <c r="K783" s="109"/>
      <c r="L783" s="109" t="str">
        <f t="shared" si="12"/>
        <v>95-951500588</v>
      </c>
      <c r="M783" s="114">
        <v>951500588</v>
      </c>
      <c r="N783" s="114" t="s">
        <v>5748</v>
      </c>
    </row>
    <row r="784" spans="1:14">
      <c r="A784" s="28" t="s">
        <v>2399</v>
      </c>
      <c r="B784" s="1" t="s">
        <v>2418</v>
      </c>
      <c r="I784" s="109"/>
      <c r="J784" s="109"/>
      <c r="K784" s="109"/>
      <c r="L784" s="109" t="str">
        <f t="shared" si="12"/>
        <v>96-961500146</v>
      </c>
      <c r="M784" s="114">
        <v>961500146</v>
      </c>
      <c r="N784" s="114" t="s">
        <v>5799</v>
      </c>
    </row>
    <row r="785" spans="1:14">
      <c r="A785" s="28" t="s">
        <v>2400</v>
      </c>
      <c r="B785" s="1" t="s">
        <v>2418</v>
      </c>
      <c r="I785" s="109"/>
      <c r="J785" s="109"/>
      <c r="K785" s="109"/>
      <c r="L785" s="109" t="str">
        <f t="shared" si="12"/>
        <v>96-961500147</v>
      </c>
      <c r="M785" s="114">
        <v>961500147</v>
      </c>
      <c r="N785" s="114" t="s">
        <v>5799</v>
      </c>
    </row>
    <row r="786" spans="1:14">
      <c r="A786" s="28" t="s">
        <v>413</v>
      </c>
      <c r="B786" s="1" t="s">
        <v>2418</v>
      </c>
      <c r="I786" s="109"/>
      <c r="J786" s="109"/>
      <c r="K786" s="109"/>
      <c r="L786" s="109" t="str">
        <f t="shared" si="12"/>
        <v>96-961500153</v>
      </c>
      <c r="M786" s="114">
        <v>961500153</v>
      </c>
      <c r="N786" s="114" t="s">
        <v>5799</v>
      </c>
    </row>
    <row r="787" spans="1:14">
      <c r="A787" s="28" t="s">
        <v>473</v>
      </c>
      <c r="B787" s="1" t="s">
        <v>2418</v>
      </c>
      <c r="I787" s="109"/>
      <c r="J787" s="109"/>
      <c r="K787" s="109"/>
      <c r="L787" s="109" t="str">
        <f t="shared" si="12"/>
        <v>96-961500157</v>
      </c>
      <c r="M787" s="114">
        <v>961500157</v>
      </c>
      <c r="N787" s="114" t="s">
        <v>5810</v>
      </c>
    </row>
    <row r="788" spans="1:14">
      <c r="A788" s="28" t="s">
        <v>486</v>
      </c>
      <c r="B788" s="1" t="s">
        <v>2418</v>
      </c>
      <c r="I788" s="109"/>
      <c r="J788" s="109"/>
      <c r="K788" s="109"/>
      <c r="L788" s="109" t="str">
        <f t="shared" si="12"/>
        <v>96-961500161</v>
      </c>
      <c r="M788" s="114">
        <v>961500161</v>
      </c>
      <c r="N788" s="114" t="s">
        <v>5810</v>
      </c>
    </row>
    <row r="789" spans="1:14">
      <c r="A789" s="28" t="s">
        <v>2401</v>
      </c>
      <c r="B789" s="1" t="s">
        <v>2418</v>
      </c>
      <c r="I789" s="109"/>
      <c r="J789" s="109"/>
      <c r="K789" s="109"/>
      <c r="L789" s="109" t="str">
        <f t="shared" si="12"/>
        <v>96-961500190</v>
      </c>
      <c r="M789" s="114">
        <v>961500190</v>
      </c>
      <c r="N789" s="114" t="s">
        <v>5813</v>
      </c>
    </row>
    <row r="790" spans="1:14">
      <c r="A790" s="28" t="s">
        <v>485</v>
      </c>
      <c r="B790" s="1" t="s">
        <v>2418</v>
      </c>
      <c r="I790" s="109"/>
      <c r="J790" s="109"/>
      <c r="K790" s="109"/>
      <c r="L790" s="109" t="str">
        <f t="shared" si="12"/>
        <v>96-961500199</v>
      </c>
      <c r="M790" s="114">
        <v>961500199</v>
      </c>
      <c r="N790" s="114" t="s">
        <v>5815</v>
      </c>
    </row>
    <row r="791" spans="1:14">
      <c r="A791" s="28" t="s">
        <v>2402</v>
      </c>
      <c r="B791" s="1" t="s">
        <v>2418</v>
      </c>
      <c r="I791" s="109"/>
      <c r="J791" s="109"/>
      <c r="K791" s="109"/>
      <c r="L791" s="109" t="str">
        <f t="shared" si="12"/>
        <v>96-961500202</v>
      </c>
      <c r="M791" s="114">
        <v>961500202</v>
      </c>
      <c r="N791" s="114" t="s">
        <v>5815</v>
      </c>
    </row>
    <row r="792" spans="1:14">
      <c r="A792" s="28" t="s">
        <v>2403</v>
      </c>
      <c r="B792" s="1" t="s">
        <v>2418</v>
      </c>
      <c r="I792" s="109"/>
      <c r="J792" s="109"/>
      <c r="K792" s="109"/>
      <c r="L792" s="109" t="str">
        <f t="shared" si="12"/>
        <v>96-961500214</v>
      </c>
      <c r="M792" s="114">
        <v>961500214</v>
      </c>
      <c r="N792" s="114" t="s">
        <v>5813</v>
      </c>
    </row>
    <row r="793" spans="1:14">
      <c r="A793" s="28" t="s">
        <v>2404</v>
      </c>
      <c r="B793" s="1" t="s">
        <v>2418</v>
      </c>
      <c r="I793" s="109"/>
      <c r="J793" s="109"/>
      <c r="K793" s="109"/>
      <c r="L793" s="109" t="str">
        <f t="shared" si="12"/>
        <v>96-961500216</v>
      </c>
      <c r="M793" s="114">
        <v>961500216</v>
      </c>
      <c r="N793" s="114" t="s">
        <v>5813</v>
      </c>
    </row>
    <row r="794" spans="1:14">
      <c r="A794" s="28" t="s">
        <v>2405</v>
      </c>
      <c r="B794" s="1" t="s">
        <v>2418</v>
      </c>
      <c r="I794" s="109"/>
      <c r="J794" s="109"/>
      <c r="K794" s="109"/>
      <c r="L794" s="109" t="str">
        <f t="shared" si="12"/>
        <v>96-961500246</v>
      </c>
      <c r="M794" s="114">
        <v>961500246</v>
      </c>
      <c r="N794" s="114" t="s">
        <v>5814</v>
      </c>
    </row>
    <row r="795" spans="1:14">
      <c r="A795" s="28" t="s">
        <v>415</v>
      </c>
      <c r="B795" s="1" t="s">
        <v>2418</v>
      </c>
      <c r="I795" s="109"/>
      <c r="J795" s="109"/>
      <c r="K795" s="109"/>
      <c r="L795" s="109" t="str">
        <f t="shared" si="12"/>
        <v>96-961500253</v>
      </c>
      <c r="M795" s="114">
        <v>961500253</v>
      </c>
      <c r="N795" s="114" t="s">
        <v>5814</v>
      </c>
    </row>
    <row r="796" spans="1:14">
      <c r="A796" s="28" t="s">
        <v>488</v>
      </c>
      <c r="B796" s="1" t="s">
        <v>2418</v>
      </c>
      <c r="I796" s="109"/>
      <c r="J796" s="109"/>
      <c r="K796" s="109"/>
      <c r="L796" s="109" t="str">
        <f t="shared" si="12"/>
        <v>96-961500280</v>
      </c>
      <c r="M796" s="114">
        <v>961500280</v>
      </c>
      <c r="N796" s="114" t="s">
        <v>5826</v>
      </c>
    </row>
    <row r="797" spans="1:14">
      <c r="A797" s="28" t="s">
        <v>420</v>
      </c>
      <c r="B797" s="1" t="s">
        <v>2418</v>
      </c>
      <c r="I797" s="109"/>
      <c r="J797" s="109"/>
      <c r="K797" s="109"/>
      <c r="L797" s="109" t="str">
        <f t="shared" si="12"/>
        <v>96-961500284</v>
      </c>
      <c r="M797" s="114">
        <v>961500284</v>
      </c>
      <c r="N797" s="114" t="s">
        <v>5826</v>
      </c>
    </row>
    <row r="798" spans="1:14">
      <c r="A798" s="28" t="s">
        <v>499</v>
      </c>
      <c r="B798" s="1" t="s">
        <v>2418</v>
      </c>
      <c r="I798" s="109"/>
      <c r="J798" s="109"/>
      <c r="K798" s="109"/>
      <c r="L798" s="109" t="str">
        <f t="shared" si="12"/>
        <v>96-961500289</v>
      </c>
      <c r="M798" s="114">
        <v>961500289</v>
      </c>
      <c r="N798" s="114" t="s">
        <v>5826</v>
      </c>
    </row>
    <row r="799" spans="1:14">
      <c r="A799" s="28" t="s">
        <v>494</v>
      </c>
      <c r="B799" s="1" t="s">
        <v>2418</v>
      </c>
      <c r="I799" s="109"/>
      <c r="J799" s="109"/>
      <c r="K799" s="109"/>
      <c r="L799" s="109" t="str">
        <f t="shared" si="12"/>
        <v>96-961500307</v>
      </c>
      <c r="M799" s="114">
        <v>961500307</v>
      </c>
      <c r="N799" s="114" t="s">
        <v>5826</v>
      </c>
    </row>
    <row r="800" spans="1:14">
      <c r="A800" s="28" t="s">
        <v>2406</v>
      </c>
      <c r="B800" s="1" t="s">
        <v>2418</v>
      </c>
      <c r="I800" s="109"/>
      <c r="J800" s="109"/>
      <c r="K800" s="109"/>
      <c r="L800" s="109" t="str">
        <f t="shared" si="12"/>
        <v>96-961500312</v>
      </c>
      <c r="M800" s="114">
        <v>961500312</v>
      </c>
      <c r="N800" s="114" t="s">
        <v>5826</v>
      </c>
    </row>
    <row r="801" spans="1:14">
      <c r="A801" s="28" t="s">
        <v>487</v>
      </c>
      <c r="B801" s="1" t="s">
        <v>2418</v>
      </c>
      <c r="I801" s="109"/>
      <c r="J801" s="109"/>
      <c r="K801" s="109"/>
      <c r="L801" s="109" t="str">
        <f t="shared" si="12"/>
        <v>95-951500436</v>
      </c>
      <c r="M801" s="114">
        <v>951500436</v>
      </c>
      <c r="N801" s="114" t="s">
        <v>5694</v>
      </c>
    </row>
    <row r="802" spans="1:14">
      <c r="A802" s="28" t="s">
        <v>417</v>
      </c>
      <c r="B802" s="1" t="s">
        <v>2418</v>
      </c>
      <c r="I802" s="109"/>
      <c r="J802" s="109"/>
      <c r="K802" s="109"/>
      <c r="L802" s="109" t="str">
        <f t="shared" si="12"/>
        <v>95-951500467</v>
      </c>
      <c r="M802" s="114">
        <v>951500467</v>
      </c>
      <c r="N802" s="114" t="s">
        <v>5694</v>
      </c>
    </row>
    <row r="803" spans="1:14">
      <c r="A803" s="28" t="s">
        <v>2407</v>
      </c>
      <c r="B803" s="1" t="s">
        <v>2418</v>
      </c>
      <c r="I803" s="109"/>
      <c r="J803" s="109"/>
      <c r="K803" s="109"/>
      <c r="L803" s="109" t="str">
        <f t="shared" si="12"/>
        <v>95-951500578</v>
      </c>
      <c r="M803" s="114">
        <v>951500578</v>
      </c>
      <c r="N803" s="114" t="s">
        <v>5733</v>
      </c>
    </row>
    <row r="804" spans="1:14">
      <c r="A804" s="28" t="s">
        <v>514</v>
      </c>
      <c r="B804" s="1" t="s">
        <v>2418</v>
      </c>
      <c r="I804" s="109"/>
      <c r="J804" s="109"/>
      <c r="K804" s="109"/>
      <c r="L804" s="109" t="str">
        <f t="shared" si="12"/>
        <v>96-961500014</v>
      </c>
      <c r="M804" s="114">
        <v>961500014</v>
      </c>
      <c r="N804" s="114" t="s">
        <v>5752</v>
      </c>
    </row>
    <row r="805" spans="1:14">
      <c r="A805" s="28" t="s">
        <v>2408</v>
      </c>
      <c r="B805" s="1" t="s">
        <v>2418</v>
      </c>
      <c r="I805" s="109"/>
      <c r="J805" s="109"/>
      <c r="K805" s="109"/>
      <c r="L805" s="109" t="str">
        <f t="shared" si="12"/>
        <v>96-961500019</v>
      </c>
      <c r="M805" s="114">
        <v>961500019</v>
      </c>
      <c r="N805" s="114" t="s">
        <v>5758</v>
      </c>
    </row>
    <row r="806" spans="1:14">
      <c r="A806" s="28" t="s">
        <v>2409</v>
      </c>
      <c r="B806" s="1" t="s">
        <v>2418</v>
      </c>
      <c r="I806" s="109"/>
      <c r="J806" s="109"/>
      <c r="K806" s="109"/>
      <c r="L806" s="109" t="str">
        <f t="shared" si="12"/>
        <v>96-961500053</v>
      </c>
      <c r="M806" s="114">
        <v>961500053</v>
      </c>
      <c r="N806" s="114" t="s">
        <v>5758</v>
      </c>
    </row>
    <row r="807" spans="1:14">
      <c r="A807" s="28" t="s">
        <v>489</v>
      </c>
      <c r="B807" s="1" t="s">
        <v>2418</v>
      </c>
      <c r="I807" s="109"/>
      <c r="J807" s="109"/>
      <c r="K807" s="109"/>
      <c r="L807" s="109" t="str">
        <f t="shared" si="12"/>
        <v>96-961500055</v>
      </c>
      <c r="M807" s="114">
        <v>961500055</v>
      </c>
      <c r="N807" s="114" t="s">
        <v>5758</v>
      </c>
    </row>
    <row r="808" spans="1:14">
      <c r="A808" s="28" t="s">
        <v>2410</v>
      </c>
      <c r="B808" s="1" t="s">
        <v>2418</v>
      </c>
      <c r="I808" s="109"/>
      <c r="J808" s="109"/>
      <c r="K808" s="109"/>
      <c r="L808" s="109" t="str">
        <f t="shared" si="12"/>
        <v>96-961500101</v>
      </c>
      <c r="M808" s="114">
        <v>961500101</v>
      </c>
      <c r="N808" s="114" t="s">
        <v>5799</v>
      </c>
    </row>
    <row r="809" spans="1:14">
      <c r="A809" s="28" t="s">
        <v>2411</v>
      </c>
      <c r="B809" s="1" t="s">
        <v>2418</v>
      </c>
      <c r="I809" s="109"/>
      <c r="J809" s="109"/>
      <c r="K809" s="109"/>
      <c r="L809" s="109" t="str">
        <f t="shared" si="12"/>
        <v>96-961500115</v>
      </c>
      <c r="M809" s="114">
        <v>961500115</v>
      </c>
      <c r="N809" s="114" t="s">
        <v>5762</v>
      </c>
    </row>
    <row r="810" spans="1:14">
      <c r="A810" s="28" t="s">
        <v>2412</v>
      </c>
      <c r="B810" s="1" t="s">
        <v>2418</v>
      </c>
      <c r="I810" s="109"/>
      <c r="J810" s="109"/>
      <c r="K810" s="109"/>
      <c r="L810" s="109" t="str">
        <f t="shared" si="12"/>
        <v>96-961500117</v>
      </c>
      <c r="M810" s="114">
        <v>961500117</v>
      </c>
      <c r="N810" s="114" t="s">
        <v>5762</v>
      </c>
    </row>
    <row r="811" spans="1:14">
      <c r="A811" s="28" t="s">
        <v>2413</v>
      </c>
      <c r="B811" s="1" t="s">
        <v>2418</v>
      </c>
      <c r="I811" s="109"/>
      <c r="J811" s="109"/>
      <c r="K811" s="109"/>
      <c r="L811" s="109" t="str">
        <f t="shared" si="12"/>
        <v>96-961500124</v>
      </c>
      <c r="M811" s="114">
        <v>961500124</v>
      </c>
      <c r="N811" s="114" t="s">
        <v>5799</v>
      </c>
    </row>
    <row r="812" spans="1:14">
      <c r="A812" s="28" t="s">
        <v>76</v>
      </c>
      <c r="B812" s="1" t="s">
        <v>2418</v>
      </c>
      <c r="I812" s="109"/>
      <c r="J812" s="109"/>
      <c r="K812" s="109"/>
      <c r="L812" s="109" t="str">
        <f t="shared" si="12"/>
        <v>96-961500148</v>
      </c>
      <c r="M812" s="114">
        <v>961500148</v>
      </c>
      <c r="N812" s="114" t="s">
        <v>5799</v>
      </c>
    </row>
    <row r="813" spans="1:14">
      <c r="A813" s="28" t="s">
        <v>70</v>
      </c>
      <c r="B813" s="1" t="s">
        <v>2418</v>
      </c>
      <c r="I813" s="109"/>
      <c r="J813" s="109"/>
      <c r="K813" s="109"/>
      <c r="L813" s="109" t="str">
        <f t="shared" si="12"/>
        <v>96-961500154</v>
      </c>
      <c r="M813" s="114">
        <v>961500154</v>
      </c>
      <c r="N813" s="114" t="s">
        <v>5810</v>
      </c>
    </row>
    <row r="814" spans="1:14">
      <c r="A814" s="28" t="s">
        <v>75</v>
      </c>
      <c r="B814" s="1" t="s">
        <v>2418</v>
      </c>
      <c r="I814" s="109"/>
      <c r="J814" s="109"/>
      <c r="K814" s="109"/>
      <c r="L814" s="109" t="str">
        <f t="shared" si="12"/>
        <v>96-961500155</v>
      </c>
      <c r="M814" s="114">
        <v>961500155</v>
      </c>
      <c r="N814" s="114" t="s">
        <v>5810</v>
      </c>
    </row>
    <row r="815" spans="1:14">
      <c r="A815" s="28" t="s">
        <v>209</v>
      </c>
      <c r="B815" s="1" t="s">
        <v>2418</v>
      </c>
      <c r="I815" s="109"/>
      <c r="J815" s="109"/>
      <c r="K815" s="109"/>
      <c r="L815" s="109" t="str">
        <f t="shared" si="12"/>
        <v>96-961500164</v>
      </c>
      <c r="M815" s="114">
        <v>961500164</v>
      </c>
      <c r="N815" s="114" t="s">
        <v>5810</v>
      </c>
    </row>
    <row r="816" spans="1:14">
      <c r="A816" s="28" t="s">
        <v>208</v>
      </c>
      <c r="B816" s="1" t="s">
        <v>2418</v>
      </c>
      <c r="I816" s="109"/>
      <c r="J816" s="109"/>
      <c r="K816" s="109"/>
      <c r="L816" s="109" t="str">
        <f t="shared" si="12"/>
        <v>96-961500180</v>
      </c>
      <c r="M816" s="114">
        <v>961500180</v>
      </c>
      <c r="N816" s="114" t="s">
        <v>5814</v>
      </c>
    </row>
    <row r="817" spans="1:14">
      <c r="A817" s="28" t="s">
        <v>210</v>
      </c>
      <c r="B817" s="1" t="s">
        <v>2418</v>
      </c>
      <c r="I817" s="109"/>
      <c r="J817" s="109"/>
      <c r="K817" s="109"/>
      <c r="L817" s="109" t="str">
        <f t="shared" si="12"/>
        <v>96-961500185</v>
      </c>
      <c r="M817" s="114">
        <v>961500185</v>
      </c>
      <c r="N817" s="114" t="s">
        <v>5813</v>
      </c>
    </row>
    <row r="818" spans="1:14">
      <c r="A818" s="28" t="s">
        <v>212</v>
      </c>
      <c r="B818" s="1" t="s">
        <v>2418</v>
      </c>
      <c r="I818" s="109"/>
      <c r="J818" s="109"/>
      <c r="K818" s="109"/>
      <c r="L818" s="109" t="str">
        <f t="shared" si="12"/>
        <v>96-961500319</v>
      </c>
      <c r="M818" s="114">
        <v>961500319</v>
      </c>
      <c r="N818" s="114" t="s">
        <v>5831</v>
      </c>
    </row>
    <row r="819" spans="1:14">
      <c r="A819" s="28" t="s">
        <v>123</v>
      </c>
      <c r="B819" s="1" t="s">
        <v>2418</v>
      </c>
      <c r="I819" s="109"/>
      <c r="J819" s="109"/>
      <c r="K819" s="109"/>
      <c r="L819" s="109" t="str">
        <f t="shared" si="12"/>
        <v>96-961500330</v>
      </c>
      <c r="M819" s="114">
        <v>961500330</v>
      </c>
      <c r="N819" s="114" t="s">
        <v>5831</v>
      </c>
    </row>
    <row r="820" spans="1:14">
      <c r="A820" s="28" t="s">
        <v>207</v>
      </c>
      <c r="B820" s="1" t="s">
        <v>2418</v>
      </c>
      <c r="I820" s="109"/>
      <c r="J820" s="109"/>
      <c r="K820" s="109"/>
      <c r="L820" s="109" t="str">
        <f t="shared" si="12"/>
        <v>96-961500366</v>
      </c>
      <c r="M820" s="114">
        <v>961500366</v>
      </c>
      <c r="N820" s="114" t="s">
        <v>7231</v>
      </c>
    </row>
    <row r="821" spans="1:14">
      <c r="A821" s="28" t="s">
        <v>211</v>
      </c>
      <c r="B821" s="1" t="s">
        <v>2418</v>
      </c>
      <c r="I821" s="109"/>
      <c r="J821" s="109"/>
      <c r="K821" s="109"/>
      <c r="L821" s="109" t="str">
        <f t="shared" si="12"/>
        <v>96-961500400</v>
      </c>
      <c r="M821" s="114">
        <v>961500400</v>
      </c>
      <c r="N821" s="114" t="s">
        <v>7231</v>
      </c>
    </row>
    <row r="822" spans="1:14">
      <c r="A822" s="28" t="s">
        <v>217</v>
      </c>
      <c r="B822" s="1" t="s">
        <v>2418</v>
      </c>
      <c r="I822" s="109"/>
      <c r="J822" s="109"/>
      <c r="K822" s="109"/>
      <c r="L822" s="109" t="str">
        <f t="shared" si="12"/>
        <v>96-961500415</v>
      </c>
      <c r="M822" s="114">
        <v>961500415</v>
      </c>
      <c r="N822" s="114" t="s">
        <v>7231</v>
      </c>
    </row>
    <row r="823" spans="1:14">
      <c r="A823" s="28" t="s">
        <v>74</v>
      </c>
      <c r="B823" s="1" t="s">
        <v>2418</v>
      </c>
      <c r="I823" s="109"/>
      <c r="J823" s="109"/>
      <c r="K823" s="109"/>
      <c r="L823" s="109" t="str">
        <f t="shared" si="12"/>
        <v>96-961500450</v>
      </c>
      <c r="M823" s="114">
        <v>961500450</v>
      </c>
      <c r="N823" s="114" t="s">
        <v>7175</v>
      </c>
    </row>
    <row r="824" spans="1:14">
      <c r="A824" s="28" t="s">
        <v>250</v>
      </c>
      <c r="B824" s="1" t="s">
        <v>2418</v>
      </c>
      <c r="I824" s="109"/>
      <c r="J824" s="109"/>
      <c r="K824" s="109"/>
      <c r="L824" s="109" t="str">
        <f t="shared" si="12"/>
        <v>96-961500453</v>
      </c>
      <c r="M824" s="114">
        <v>961500453</v>
      </c>
      <c r="N824" s="114" t="s">
        <v>7175</v>
      </c>
    </row>
    <row r="825" spans="1:14">
      <c r="A825" s="28" t="s">
        <v>122</v>
      </c>
      <c r="B825" s="1" t="s">
        <v>2418</v>
      </c>
      <c r="I825" s="109"/>
      <c r="J825" s="109"/>
      <c r="K825" s="109"/>
      <c r="L825" s="109" t="str">
        <f t="shared" si="12"/>
        <v>96-961500473</v>
      </c>
      <c r="M825" s="114">
        <v>961500473</v>
      </c>
      <c r="N825" s="114" t="s">
        <v>7175</v>
      </c>
    </row>
    <row r="826" spans="1:14">
      <c r="A826" s="28" t="s">
        <v>84</v>
      </c>
      <c r="B826" s="1" t="s">
        <v>2418</v>
      </c>
      <c r="I826" s="109"/>
      <c r="J826" s="109"/>
      <c r="K826" s="109"/>
      <c r="L826" s="109" t="str">
        <f t="shared" si="12"/>
        <v>96-961500474</v>
      </c>
      <c r="M826" s="114">
        <v>961500474</v>
      </c>
      <c r="N826" s="114" t="s">
        <v>7175</v>
      </c>
    </row>
    <row r="827" spans="1:14">
      <c r="A827" s="28" t="s">
        <v>2414</v>
      </c>
      <c r="B827" s="1" t="s">
        <v>2418</v>
      </c>
      <c r="I827" s="109"/>
      <c r="J827" s="109"/>
      <c r="K827" s="109"/>
      <c r="L827" s="109" t="str">
        <f t="shared" si="12"/>
        <v>96-961500475</v>
      </c>
      <c r="M827" s="114">
        <v>961500475</v>
      </c>
      <c r="N827" s="114" t="s">
        <v>7175</v>
      </c>
    </row>
    <row r="828" spans="1:14">
      <c r="A828" s="28" t="s">
        <v>2415</v>
      </c>
      <c r="B828" s="1" t="s">
        <v>2418</v>
      </c>
      <c r="I828" s="109"/>
      <c r="J828" s="109"/>
      <c r="K828" s="109"/>
      <c r="L828" s="109" t="str">
        <f t="shared" si="12"/>
        <v>96-961500489</v>
      </c>
      <c r="M828" s="114">
        <v>961500489</v>
      </c>
      <c r="N828" s="114" t="s">
        <v>7111</v>
      </c>
    </row>
    <row r="829" spans="1:14">
      <c r="A829" s="28" t="s">
        <v>2416</v>
      </c>
      <c r="B829" s="1" t="s">
        <v>2418</v>
      </c>
      <c r="I829" s="109"/>
      <c r="J829" s="109"/>
      <c r="K829" s="109"/>
      <c r="L829" s="109" t="str">
        <f t="shared" si="12"/>
        <v>96-961500503</v>
      </c>
      <c r="M829" s="114">
        <v>961500503</v>
      </c>
      <c r="N829" s="114" t="s">
        <v>7111</v>
      </c>
    </row>
    <row r="830" spans="1:14">
      <c r="A830" s="28" t="s">
        <v>2417</v>
      </c>
      <c r="B830" s="1" t="s">
        <v>2418</v>
      </c>
      <c r="I830" s="109"/>
      <c r="J830" s="109"/>
      <c r="K830" s="109"/>
      <c r="L830" s="109" t="str">
        <f t="shared" si="12"/>
        <v>96-961500507</v>
      </c>
      <c r="M830" s="114">
        <v>961500507</v>
      </c>
      <c r="N830" s="114" t="s">
        <v>7111</v>
      </c>
    </row>
    <row r="831" spans="1:14" ht="18">
      <c r="A831" s="29" t="s">
        <v>2419</v>
      </c>
      <c r="B831" s="1" t="s">
        <v>2438</v>
      </c>
      <c r="I831" s="109"/>
      <c r="J831" s="109"/>
      <c r="K831" s="109"/>
      <c r="L831" s="109" t="str">
        <f t="shared" si="12"/>
        <v>96-961500576</v>
      </c>
      <c r="M831" s="114">
        <v>961500576</v>
      </c>
      <c r="N831" s="114" t="s">
        <v>8698</v>
      </c>
    </row>
    <row r="832" spans="1:14" ht="18">
      <c r="A832" s="29" t="s">
        <v>2420</v>
      </c>
      <c r="B832" s="1" t="s">
        <v>2438</v>
      </c>
      <c r="I832" s="109"/>
      <c r="J832" s="109"/>
      <c r="K832" s="109"/>
      <c r="L832" s="109" t="str">
        <f t="shared" si="12"/>
        <v>95-951500541</v>
      </c>
      <c r="M832" s="114">
        <v>951500541</v>
      </c>
      <c r="N832" s="114" t="s">
        <v>5727</v>
      </c>
    </row>
    <row r="833" spans="1:14" ht="18">
      <c r="A833" s="29" t="s">
        <v>2421</v>
      </c>
      <c r="B833" s="1" t="s">
        <v>2438</v>
      </c>
      <c r="I833" s="109"/>
      <c r="J833" s="109"/>
      <c r="K833" s="109"/>
      <c r="L833" s="109" t="str">
        <f t="shared" si="12"/>
        <v>96-961500042</v>
      </c>
      <c r="M833" s="114">
        <v>961500042</v>
      </c>
      <c r="N833" s="114" t="s">
        <v>5784</v>
      </c>
    </row>
    <row r="834" spans="1:14" ht="18">
      <c r="A834" s="29" t="s">
        <v>2422</v>
      </c>
      <c r="B834" s="1" t="s">
        <v>2438</v>
      </c>
      <c r="I834" s="109"/>
      <c r="J834" s="109"/>
      <c r="K834" s="109"/>
      <c r="L834" s="109" t="str">
        <f t="shared" si="12"/>
        <v>95-951500452</v>
      </c>
      <c r="M834" s="114">
        <v>951500452</v>
      </c>
      <c r="N834" s="114" t="s">
        <v>5700</v>
      </c>
    </row>
    <row r="835" spans="1:14" ht="18">
      <c r="A835" s="29" t="s">
        <v>2423</v>
      </c>
      <c r="B835" s="1" t="s">
        <v>2438</v>
      </c>
      <c r="I835" s="109"/>
      <c r="J835" s="109"/>
      <c r="K835" s="109"/>
      <c r="L835" s="109" t="str">
        <f t="shared" ref="L835:L898" si="13">MID(M835,1,2)&amp;"-"&amp;M835</f>
        <v>96-961200065</v>
      </c>
      <c r="M835" s="114">
        <v>961200065</v>
      </c>
      <c r="N835" s="114" t="s">
        <v>7242</v>
      </c>
    </row>
    <row r="836" spans="1:14" ht="18">
      <c r="A836" s="29" t="s">
        <v>2424</v>
      </c>
      <c r="B836" s="1" t="s">
        <v>2438</v>
      </c>
      <c r="I836" s="109"/>
      <c r="J836" s="109"/>
      <c r="K836" s="109"/>
      <c r="L836" s="109" t="str">
        <f t="shared" si="13"/>
        <v>96-961500028</v>
      </c>
      <c r="M836" s="114">
        <v>961500028</v>
      </c>
      <c r="N836" s="114" t="s">
        <v>5774</v>
      </c>
    </row>
    <row r="837" spans="1:14" ht="18">
      <c r="A837" s="29" t="s">
        <v>2425</v>
      </c>
      <c r="B837" s="1" t="s">
        <v>2438</v>
      </c>
      <c r="I837" s="109"/>
      <c r="J837" s="109"/>
      <c r="K837" s="109"/>
      <c r="L837" s="109" t="str">
        <f t="shared" si="13"/>
        <v>96-961500560</v>
      </c>
      <c r="M837" s="114">
        <v>961500560</v>
      </c>
      <c r="N837" s="114" t="s">
        <v>5854</v>
      </c>
    </row>
    <row r="838" spans="1:14" ht="18">
      <c r="A838" s="29" t="s">
        <v>2426</v>
      </c>
      <c r="B838" s="1" t="s">
        <v>2438</v>
      </c>
      <c r="I838" s="109"/>
      <c r="J838" s="109"/>
      <c r="K838" s="109"/>
      <c r="L838" s="109" t="str">
        <f t="shared" si="13"/>
        <v>95-951500104</v>
      </c>
      <c r="M838" s="114">
        <v>951500104</v>
      </c>
      <c r="N838" s="114" t="s">
        <v>5612</v>
      </c>
    </row>
    <row r="839" spans="1:14" ht="18">
      <c r="A839" s="29" t="s">
        <v>2427</v>
      </c>
      <c r="B839" s="1" t="s">
        <v>2438</v>
      </c>
      <c r="I839" s="109"/>
      <c r="J839" s="109"/>
      <c r="K839" s="109"/>
      <c r="L839" s="109" t="str">
        <f t="shared" si="13"/>
        <v>95-951500113</v>
      </c>
      <c r="M839" s="114">
        <v>951500113</v>
      </c>
      <c r="N839" s="114" t="s">
        <v>5612</v>
      </c>
    </row>
    <row r="840" spans="1:14" ht="18">
      <c r="A840" s="29" t="s">
        <v>2428</v>
      </c>
      <c r="B840" s="1" t="s">
        <v>2438</v>
      </c>
      <c r="I840" s="109"/>
      <c r="J840" s="109"/>
      <c r="K840" s="109"/>
      <c r="L840" s="109" t="str">
        <f t="shared" si="13"/>
        <v>95-951500125</v>
      </c>
      <c r="M840" s="114">
        <v>951500125</v>
      </c>
      <c r="N840" s="114" t="s">
        <v>5612</v>
      </c>
    </row>
    <row r="841" spans="1:14" ht="18">
      <c r="A841" s="29" t="s">
        <v>2429</v>
      </c>
      <c r="B841" s="1" t="s">
        <v>2438</v>
      </c>
      <c r="I841" s="109"/>
      <c r="J841" s="109"/>
      <c r="K841" s="109"/>
      <c r="L841" s="109" t="str">
        <f t="shared" si="13"/>
        <v>95-951500126</v>
      </c>
      <c r="M841" s="114">
        <v>951500126</v>
      </c>
      <c r="N841" s="114" t="s">
        <v>5612</v>
      </c>
    </row>
    <row r="842" spans="1:14" ht="18">
      <c r="A842" s="29" t="s">
        <v>501</v>
      </c>
      <c r="B842" s="1" t="s">
        <v>2438</v>
      </c>
      <c r="I842" s="109"/>
      <c r="J842" s="109"/>
      <c r="K842" s="109"/>
      <c r="L842" s="109" t="str">
        <f t="shared" si="13"/>
        <v>95-951500161</v>
      </c>
      <c r="M842" s="114">
        <v>951500161</v>
      </c>
      <c r="N842" s="114" t="s">
        <v>5619</v>
      </c>
    </row>
    <row r="843" spans="1:14" ht="18">
      <c r="A843" s="29" t="s">
        <v>502</v>
      </c>
      <c r="B843" s="1" t="s">
        <v>2438</v>
      </c>
      <c r="I843" s="109"/>
      <c r="J843" s="109"/>
      <c r="K843" s="109"/>
      <c r="L843" s="109" t="str">
        <f t="shared" si="13"/>
        <v>95-951500162</v>
      </c>
      <c r="M843" s="114">
        <v>951500162</v>
      </c>
      <c r="N843" s="114" t="s">
        <v>5619</v>
      </c>
    </row>
    <row r="844" spans="1:14" ht="18">
      <c r="A844" s="29" t="s">
        <v>433</v>
      </c>
      <c r="B844" s="1" t="s">
        <v>2438</v>
      </c>
      <c r="I844" s="109"/>
      <c r="J844" s="109"/>
      <c r="K844" s="109"/>
      <c r="L844" s="109" t="str">
        <f t="shared" si="13"/>
        <v>95-951500188</v>
      </c>
      <c r="M844" s="114">
        <v>951500188</v>
      </c>
      <c r="N844" s="114" t="s">
        <v>5619</v>
      </c>
    </row>
    <row r="845" spans="1:14" ht="18">
      <c r="A845" s="29" t="s">
        <v>2430</v>
      </c>
      <c r="B845" s="1" t="s">
        <v>2438</v>
      </c>
      <c r="I845" s="109"/>
      <c r="J845" s="109"/>
      <c r="K845" s="109"/>
      <c r="L845" s="109" t="str">
        <f t="shared" si="13"/>
        <v>95-951500196</v>
      </c>
      <c r="M845" s="114">
        <v>951500196</v>
      </c>
      <c r="N845" s="114" t="s">
        <v>5619</v>
      </c>
    </row>
    <row r="846" spans="1:14" ht="18">
      <c r="A846" s="29" t="s">
        <v>401</v>
      </c>
      <c r="B846" s="1" t="s">
        <v>2438</v>
      </c>
      <c r="I846" s="109"/>
      <c r="J846" s="109"/>
      <c r="K846" s="109"/>
      <c r="L846" s="109" t="str">
        <f t="shared" si="13"/>
        <v>95-951500217</v>
      </c>
      <c r="M846" s="114">
        <v>951500217</v>
      </c>
      <c r="N846" s="114" t="s">
        <v>5630</v>
      </c>
    </row>
    <row r="847" spans="1:14" ht="18">
      <c r="A847" s="29" t="s">
        <v>505</v>
      </c>
      <c r="B847" s="1" t="s">
        <v>2438</v>
      </c>
      <c r="I847" s="109"/>
      <c r="J847" s="109"/>
      <c r="K847" s="109"/>
      <c r="L847" s="109" t="str">
        <f t="shared" si="13"/>
        <v>95-951500222</v>
      </c>
      <c r="M847" s="114">
        <v>951500222</v>
      </c>
      <c r="N847" s="114" t="s">
        <v>5630</v>
      </c>
    </row>
    <row r="848" spans="1:14" ht="18">
      <c r="A848" s="29" t="s">
        <v>510</v>
      </c>
      <c r="B848" s="1" t="s">
        <v>2438</v>
      </c>
      <c r="I848" s="109"/>
      <c r="J848" s="109"/>
      <c r="K848" s="109"/>
      <c r="L848" s="109" t="str">
        <f t="shared" si="13"/>
        <v>95-951500226</v>
      </c>
      <c r="M848" s="114">
        <v>951500226</v>
      </c>
      <c r="N848" s="114" t="s">
        <v>5635</v>
      </c>
    </row>
    <row r="849" spans="1:14" ht="18">
      <c r="A849" s="29" t="s">
        <v>442</v>
      </c>
      <c r="B849" s="1" t="s">
        <v>2438</v>
      </c>
      <c r="I849" s="109"/>
      <c r="J849" s="109"/>
      <c r="K849" s="109"/>
      <c r="L849" s="109" t="str">
        <f t="shared" si="13"/>
        <v>95-951500239</v>
      </c>
      <c r="M849" s="114">
        <v>951500239</v>
      </c>
      <c r="N849" s="114" t="s">
        <v>5635</v>
      </c>
    </row>
    <row r="850" spans="1:14" ht="18">
      <c r="A850" s="29" t="s">
        <v>443</v>
      </c>
      <c r="B850" s="1" t="s">
        <v>2438</v>
      </c>
      <c r="I850" s="109"/>
      <c r="J850" s="109"/>
      <c r="K850" s="109"/>
      <c r="L850" s="109" t="str">
        <f t="shared" si="13"/>
        <v>95-951500244</v>
      </c>
      <c r="M850" s="114">
        <v>951500244</v>
      </c>
      <c r="N850" s="114" t="s">
        <v>5635</v>
      </c>
    </row>
    <row r="851" spans="1:14" ht="18">
      <c r="A851" s="29" t="s">
        <v>458</v>
      </c>
      <c r="B851" s="1" t="s">
        <v>2438</v>
      </c>
      <c r="I851" s="109"/>
      <c r="J851" s="109"/>
      <c r="K851" s="109"/>
      <c r="L851" s="109" t="str">
        <f t="shared" si="13"/>
        <v>95-951500246</v>
      </c>
      <c r="M851" s="114">
        <v>951500246</v>
      </c>
      <c r="N851" s="114" t="s">
        <v>5645</v>
      </c>
    </row>
    <row r="852" spans="1:14" ht="18">
      <c r="A852" s="29" t="s">
        <v>2431</v>
      </c>
      <c r="B852" s="1" t="s">
        <v>2438</v>
      </c>
      <c r="I852" s="109"/>
      <c r="J852" s="109"/>
      <c r="K852" s="109"/>
      <c r="L852" s="109" t="str">
        <f t="shared" si="13"/>
        <v>95-951500252</v>
      </c>
      <c r="M852" s="114">
        <v>951500252</v>
      </c>
      <c r="N852" s="114" t="s">
        <v>5635</v>
      </c>
    </row>
    <row r="853" spans="1:14" ht="18">
      <c r="A853" s="29" t="s">
        <v>2432</v>
      </c>
      <c r="B853" s="1" t="s">
        <v>2438</v>
      </c>
      <c r="I853" s="109"/>
      <c r="J853" s="109"/>
      <c r="K853" s="109"/>
      <c r="L853" s="109" t="str">
        <f t="shared" si="13"/>
        <v>95-951500288</v>
      </c>
      <c r="M853" s="114">
        <v>951500288</v>
      </c>
      <c r="N853" s="114" t="s">
        <v>5658</v>
      </c>
    </row>
    <row r="854" spans="1:14" ht="18">
      <c r="A854" s="29" t="s">
        <v>2433</v>
      </c>
      <c r="B854" s="1" t="s">
        <v>2438</v>
      </c>
      <c r="I854" s="109"/>
      <c r="J854" s="109"/>
      <c r="K854" s="109"/>
      <c r="L854" s="109" t="str">
        <f t="shared" si="13"/>
        <v>96-961500048</v>
      </c>
      <c r="M854" s="114">
        <v>961500048</v>
      </c>
      <c r="N854" s="114" t="s">
        <v>5777</v>
      </c>
    </row>
    <row r="855" spans="1:14" ht="18">
      <c r="A855" s="29" t="s">
        <v>2434</v>
      </c>
      <c r="B855" s="1" t="s">
        <v>2438</v>
      </c>
      <c r="I855" s="109"/>
      <c r="J855" s="109"/>
      <c r="K855" s="109"/>
      <c r="L855" s="109" t="str">
        <f t="shared" si="13"/>
        <v>96-961500103</v>
      </c>
      <c r="M855" s="114">
        <v>961500103</v>
      </c>
      <c r="N855" s="114" t="s">
        <v>5801</v>
      </c>
    </row>
    <row r="856" spans="1:14" ht="18">
      <c r="A856" s="29" t="s">
        <v>2435</v>
      </c>
      <c r="B856" s="1" t="s">
        <v>2438</v>
      </c>
      <c r="I856" s="109"/>
      <c r="J856" s="109"/>
      <c r="K856" s="109"/>
      <c r="L856" s="109" t="str">
        <f t="shared" si="13"/>
        <v>96-961500111</v>
      </c>
      <c r="M856" s="114">
        <v>961500111</v>
      </c>
      <c r="N856" s="114" t="s">
        <v>5803</v>
      </c>
    </row>
    <row r="857" spans="1:14" ht="18">
      <c r="A857" s="29" t="s">
        <v>2436</v>
      </c>
      <c r="B857" s="1" t="s">
        <v>2438</v>
      </c>
      <c r="I857" s="109"/>
      <c r="J857" s="109"/>
      <c r="K857" s="109"/>
      <c r="L857" s="109" t="str">
        <f t="shared" si="13"/>
        <v>96-961500206</v>
      </c>
      <c r="M857" s="114">
        <v>961500206</v>
      </c>
      <c r="N857" s="114" t="s">
        <v>5819</v>
      </c>
    </row>
    <row r="858" spans="1:14" ht="18">
      <c r="A858" s="29" t="s">
        <v>2437</v>
      </c>
      <c r="B858" s="1" t="s">
        <v>2438</v>
      </c>
      <c r="I858" s="109"/>
      <c r="J858" s="109"/>
      <c r="K858" s="109"/>
      <c r="L858" s="109" t="str">
        <f t="shared" si="13"/>
        <v>96-961500368</v>
      </c>
      <c r="M858" s="114">
        <v>961500368</v>
      </c>
      <c r="N858" s="114" t="s">
        <v>5836</v>
      </c>
    </row>
    <row r="859" spans="1:14">
      <c r="A859" s="30" t="s">
        <v>397</v>
      </c>
      <c r="B859" s="1" t="s">
        <v>2449</v>
      </c>
      <c r="I859" s="109"/>
      <c r="J859" s="109"/>
      <c r="K859" s="109"/>
      <c r="L859" s="109" t="str">
        <f t="shared" si="13"/>
        <v>96-961500385</v>
      </c>
      <c r="M859" s="114">
        <v>961500385</v>
      </c>
      <c r="N859" s="114" t="s">
        <v>5836</v>
      </c>
    </row>
    <row r="860" spans="1:14">
      <c r="A860" s="30" t="s">
        <v>398</v>
      </c>
      <c r="B860" s="1" t="s">
        <v>2449</v>
      </c>
      <c r="I860" s="109"/>
      <c r="J860" s="109"/>
      <c r="K860" s="109"/>
      <c r="L860" s="109" t="str">
        <f t="shared" si="13"/>
        <v>96-961500390</v>
      </c>
      <c r="M860" s="114">
        <v>961500390</v>
      </c>
      <c r="N860" s="114" t="s">
        <v>5836</v>
      </c>
    </row>
    <row r="861" spans="1:14">
      <c r="A861" s="30" t="s">
        <v>391</v>
      </c>
      <c r="B861" s="1" t="s">
        <v>2449</v>
      </c>
      <c r="I861" s="109"/>
      <c r="J861" s="109"/>
      <c r="K861" s="109"/>
      <c r="L861" s="109" t="str">
        <f t="shared" si="13"/>
        <v>96-961500461</v>
      </c>
      <c r="M861" s="114">
        <v>961500461</v>
      </c>
      <c r="N861" s="114" t="s">
        <v>5836</v>
      </c>
    </row>
    <row r="862" spans="1:14">
      <c r="A862" s="30" t="s">
        <v>393</v>
      </c>
      <c r="B862" s="1" t="s">
        <v>2449</v>
      </c>
      <c r="I862" s="109"/>
      <c r="J862" s="109"/>
      <c r="K862" s="109"/>
      <c r="L862" s="109" t="str">
        <f t="shared" si="13"/>
        <v>96-961500518</v>
      </c>
      <c r="M862" s="114">
        <v>961500518</v>
      </c>
      <c r="N862" s="114" t="s">
        <v>5842</v>
      </c>
    </row>
    <row r="863" spans="1:14">
      <c r="A863" s="30" t="s">
        <v>392</v>
      </c>
      <c r="B863" s="1" t="s">
        <v>2449</v>
      </c>
      <c r="I863" s="109"/>
      <c r="J863" s="109"/>
      <c r="K863" s="109"/>
      <c r="L863" s="109" t="str">
        <f t="shared" si="13"/>
        <v>96-961500532</v>
      </c>
      <c r="M863" s="114">
        <v>961500532</v>
      </c>
      <c r="N863" s="114" t="s">
        <v>8722</v>
      </c>
    </row>
    <row r="864" spans="1:14">
      <c r="A864" s="30" t="s">
        <v>399</v>
      </c>
      <c r="B864" s="1" t="s">
        <v>2449</v>
      </c>
      <c r="I864" s="109"/>
      <c r="J864" s="109"/>
      <c r="K864" s="109"/>
      <c r="L864" s="109" t="str">
        <f t="shared" si="13"/>
        <v>95-951500489</v>
      </c>
      <c r="M864" s="114">
        <v>951500489</v>
      </c>
      <c r="N864" s="114" t="s">
        <v>5714</v>
      </c>
    </row>
    <row r="865" spans="1:14" ht="18">
      <c r="A865" s="31" t="s">
        <v>2446</v>
      </c>
      <c r="B865" s="1" t="s">
        <v>2451</v>
      </c>
      <c r="I865" s="109"/>
      <c r="J865" s="109"/>
      <c r="K865" s="109"/>
      <c r="L865" s="109" t="str">
        <f t="shared" si="13"/>
        <v>95-951500570</v>
      </c>
      <c r="M865" s="114">
        <v>951500570</v>
      </c>
      <c r="N865" s="114" t="s">
        <v>5728</v>
      </c>
    </row>
    <row r="866" spans="1:14" ht="18">
      <c r="A866" s="31" t="s">
        <v>2448</v>
      </c>
      <c r="B866" s="1" t="s">
        <v>2451</v>
      </c>
      <c r="I866" s="109"/>
      <c r="J866" s="109"/>
      <c r="K866" s="109"/>
      <c r="L866" s="109" t="str">
        <f t="shared" si="13"/>
        <v>96-961500087</v>
      </c>
      <c r="M866" s="114">
        <v>961500087</v>
      </c>
      <c r="N866" s="114" t="s">
        <v>5795</v>
      </c>
    </row>
    <row r="867" spans="1:14" ht="18">
      <c r="A867" s="31" t="s">
        <v>2390</v>
      </c>
      <c r="B867" s="1" t="s">
        <v>2451</v>
      </c>
      <c r="I867" s="109"/>
      <c r="J867" s="109"/>
      <c r="K867" s="109"/>
      <c r="L867" s="109" t="str">
        <f t="shared" si="13"/>
        <v>96-961500126</v>
      </c>
      <c r="M867" s="114">
        <v>961500126</v>
      </c>
      <c r="N867" s="114" t="s">
        <v>5806</v>
      </c>
    </row>
    <row r="868" spans="1:14" ht="18">
      <c r="A868" s="31" t="s">
        <v>2447</v>
      </c>
      <c r="B868" s="1" t="s">
        <v>2451</v>
      </c>
      <c r="I868" s="109"/>
      <c r="J868" s="109"/>
      <c r="K868" s="109"/>
      <c r="L868" s="109" t="str">
        <f t="shared" si="13"/>
        <v>96-961500249</v>
      </c>
      <c r="M868" s="114">
        <v>961500249</v>
      </c>
      <c r="N868" s="114" t="s">
        <v>5825</v>
      </c>
    </row>
    <row r="869" spans="1:14" ht="18">
      <c r="A869" s="31" t="s">
        <v>2389</v>
      </c>
      <c r="B869" s="1" t="s">
        <v>2451</v>
      </c>
      <c r="I869" s="109"/>
      <c r="J869" s="109"/>
      <c r="K869" s="109"/>
      <c r="L869" s="109" t="str">
        <f t="shared" si="13"/>
        <v>96-961500274</v>
      </c>
      <c r="M869" s="114">
        <v>961500274</v>
      </c>
      <c r="N869" s="114" t="s">
        <v>5833</v>
      </c>
    </row>
    <row r="870" spans="1:14" ht="18">
      <c r="A870" s="31" t="s">
        <v>2444</v>
      </c>
      <c r="B870" s="1" t="s">
        <v>2451</v>
      </c>
      <c r="I870" s="109"/>
      <c r="J870" s="109"/>
      <c r="K870" s="109"/>
      <c r="L870" s="109" t="str">
        <f t="shared" si="13"/>
        <v>96-961500282</v>
      </c>
      <c r="M870" s="114">
        <v>961500282</v>
      </c>
      <c r="N870" s="114" t="s">
        <v>5838</v>
      </c>
    </row>
    <row r="871" spans="1:14" ht="18">
      <c r="A871" s="31" t="s">
        <v>2443</v>
      </c>
      <c r="B871" s="1" t="s">
        <v>2451</v>
      </c>
      <c r="I871" s="109"/>
      <c r="J871" s="109"/>
      <c r="K871" s="109"/>
      <c r="L871" s="109" t="str">
        <f t="shared" si="13"/>
        <v>96-961500189</v>
      </c>
      <c r="M871" s="114">
        <v>961500189</v>
      </c>
      <c r="N871" s="114" t="s">
        <v>5813</v>
      </c>
    </row>
    <row r="872" spans="1:14" ht="18">
      <c r="A872" s="31" t="s">
        <v>2442</v>
      </c>
      <c r="B872" s="1" t="s">
        <v>2451</v>
      </c>
      <c r="I872" s="109"/>
      <c r="J872" s="109"/>
      <c r="K872" s="109"/>
      <c r="L872" s="109" t="str">
        <f t="shared" si="13"/>
        <v>96-961500197</v>
      </c>
      <c r="M872" s="114">
        <v>961500197</v>
      </c>
      <c r="N872" s="114" t="s">
        <v>5815</v>
      </c>
    </row>
    <row r="873" spans="1:14" ht="18">
      <c r="A873" s="31" t="s">
        <v>2445</v>
      </c>
      <c r="B873" s="1" t="s">
        <v>2451</v>
      </c>
      <c r="I873" s="109"/>
      <c r="J873" s="109"/>
      <c r="K873" s="109"/>
      <c r="L873" s="109" t="str">
        <f t="shared" si="13"/>
        <v>96-961500201</v>
      </c>
      <c r="M873" s="114">
        <v>961500201</v>
      </c>
      <c r="N873" s="114" t="s">
        <v>5815</v>
      </c>
    </row>
    <row r="874" spans="1:14" ht="18">
      <c r="A874" s="31" t="s">
        <v>2387</v>
      </c>
      <c r="B874" s="1" t="s">
        <v>2451</v>
      </c>
      <c r="I874" s="109"/>
      <c r="J874" s="109"/>
      <c r="K874" s="109"/>
      <c r="L874" s="109" t="str">
        <f t="shared" si="13"/>
        <v>96-961500204</v>
      </c>
      <c r="M874" s="114">
        <v>961500204</v>
      </c>
      <c r="N874" s="114" t="s">
        <v>5813</v>
      </c>
    </row>
    <row r="875" spans="1:14" ht="18">
      <c r="A875" s="31" t="s">
        <v>2440</v>
      </c>
      <c r="B875" s="1" t="s">
        <v>2451</v>
      </c>
      <c r="I875" s="109"/>
      <c r="J875" s="109"/>
      <c r="K875" s="109"/>
      <c r="L875" s="109" t="str">
        <f t="shared" si="13"/>
        <v>96-961500215</v>
      </c>
      <c r="M875" s="114">
        <v>961500215</v>
      </c>
      <c r="N875" s="114" t="s">
        <v>5813</v>
      </c>
    </row>
    <row r="876" spans="1:14" ht="18">
      <c r="A876" s="31" t="s">
        <v>2441</v>
      </c>
      <c r="B876" s="1" t="s">
        <v>2451</v>
      </c>
      <c r="I876" s="109"/>
      <c r="J876" s="109"/>
      <c r="K876" s="109"/>
      <c r="L876" s="109" t="str">
        <f t="shared" si="13"/>
        <v>96-961500237</v>
      </c>
      <c r="M876" s="114">
        <v>961500237</v>
      </c>
      <c r="N876" s="114" t="s">
        <v>5813</v>
      </c>
    </row>
    <row r="877" spans="1:14" ht="18">
      <c r="A877" s="31" t="s">
        <v>2439</v>
      </c>
      <c r="B877" s="1" t="s">
        <v>2451</v>
      </c>
      <c r="I877" s="109"/>
      <c r="J877" s="109"/>
      <c r="K877" s="109"/>
      <c r="L877" s="109" t="str">
        <f t="shared" si="13"/>
        <v>96-961500243</v>
      </c>
      <c r="M877" s="114">
        <v>961500243</v>
      </c>
      <c r="N877" s="114" t="s">
        <v>5814</v>
      </c>
    </row>
    <row r="878" spans="1:14" ht="18">
      <c r="A878" s="31" t="s">
        <v>2450</v>
      </c>
      <c r="B878" s="1" t="s">
        <v>2451</v>
      </c>
      <c r="I878" s="109"/>
      <c r="J878" s="109"/>
      <c r="K878" s="109"/>
      <c r="L878" s="109" t="str">
        <f t="shared" si="13"/>
        <v>96-961500247</v>
      </c>
      <c r="M878" s="114">
        <v>961500247</v>
      </c>
      <c r="N878" s="114" t="s">
        <v>5814</v>
      </c>
    </row>
    <row r="879" spans="1:14" ht="18">
      <c r="A879" s="29" t="s">
        <v>418</v>
      </c>
      <c r="B879" s="1" t="s">
        <v>2456</v>
      </c>
      <c r="I879" s="109"/>
      <c r="J879" s="109"/>
      <c r="K879" s="109"/>
      <c r="L879" s="109" t="str">
        <f t="shared" si="13"/>
        <v>96-961500254</v>
      </c>
      <c r="M879" s="114">
        <v>961500254</v>
      </c>
      <c r="N879" s="114" t="s">
        <v>5814</v>
      </c>
    </row>
    <row r="880" spans="1:14" ht="18">
      <c r="A880" s="29" t="s">
        <v>2452</v>
      </c>
      <c r="B880" s="1" t="s">
        <v>2456</v>
      </c>
      <c r="I880" s="109"/>
      <c r="J880" s="109"/>
      <c r="K880" s="109"/>
      <c r="L880" s="109" t="str">
        <f t="shared" si="13"/>
        <v>96-961500285</v>
      </c>
      <c r="M880" s="114">
        <v>961500285</v>
      </c>
      <c r="N880" s="114" t="s">
        <v>5826</v>
      </c>
    </row>
    <row r="881" spans="1:14" ht="18">
      <c r="A881" s="29" t="s">
        <v>490</v>
      </c>
      <c r="B881" s="1" t="s">
        <v>2456</v>
      </c>
      <c r="I881" s="109"/>
      <c r="J881" s="109"/>
      <c r="K881" s="109"/>
      <c r="L881" s="109" t="str">
        <f t="shared" si="13"/>
        <v>96-961500295</v>
      </c>
      <c r="M881" s="114">
        <v>961500295</v>
      </c>
      <c r="N881" s="114" t="s">
        <v>5826</v>
      </c>
    </row>
    <row r="882" spans="1:14" ht="18">
      <c r="A882" s="29" t="s">
        <v>493</v>
      </c>
      <c r="B882" s="1" t="s">
        <v>2456</v>
      </c>
      <c r="I882" s="109"/>
      <c r="J882" s="109"/>
      <c r="K882" s="109"/>
      <c r="L882" s="109" t="str">
        <f t="shared" si="13"/>
        <v>96-961500297</v>
      </c>
      <c r="M882" s="114">
        <v>961500297</v>
      </c>
      <c r="N882" s="114" t="s">
        <v>5826</v>
      </c>
    </row>
    <row r="883" spans="1:14" ht="18">
      <c r="A883" s="29" t="s">
        <v>491</v>
      </c>
      <c r="B883" s="1" t="s">
        <v>2456</v>
      </c>
      <c r="I883" s="109"/>
      <c r="J883" s="109"/>
      <c r="K883" s="109"/>
      <c r="L883" s="109" t="str">
        <f t="shared" si="13"/>
        <v>96-961500298</v>
      </c>
      <c r="M883" s="114">
        <v>961500298</v>
      </c>
      <c r="N883" s="114" t="s">
        <v>5826</v>
      </c>
    </row>
    <row r="884" spans="1:14" ht="18">
      <c r="A884" s="29" t="s">
        <v>491</v>
      </c>
      <c r="B884" s="1" t="s">
        <v>2456</v>
      </c>
      <c r="I884" s="109"/>
      <c r="J884" s="109"/>
      <c r="K884" s="109"/>
      <c r="L884" s="109" t="str">
        <f t="shared" si="13"/>
        <v>96-961500327</v>
      </c>
      <c r="M884" s="114">
        <v>961500327</v>
      </c>
      <c r="N884" s="114" t="s">
        <v>5831</v>
      </c>
    </row>
    <row r="885" spans="1:14" ht="18">
      <c r="A885" s="29" t="s">
        <v>492</v>
      </c>
      <c r="B885" s="1" t="s">
        <v>2456</v>
      </c>
      <c r="I885" s="109"/>
      <c r="J885" s="109"/>
      <c r="K885" s="109"/>
      <c r="L885" s="109" t="str">
        <f t="shared" si="13"/>
        <v>96-961500329</v>
      </c>
      <c r="M885" s="114">
        <v>961500329</v>
      </c>
      <c r="N885" s="114" t="s">
        <v>5831</v>
      </c>
    </row>
    <row r="886" spans="1:14" ht="18">
      <c r="A886" s="29" t="s">
        <v>498</v>
      </c>
      <c r="B886" s="1" t="s">
        <v>2456</v>
      </c>
      <c r="I886" s="109"/>
      <c r="J886" s="109"/>
      <c r="K886" s="109"/>
      <c r="L886" s="109" t="str">
        <f t="shared" si="13"/>
        <v>96-961500346</v>
      </c>
      <c r="M886" s="114">
        <v>961500346</v>
      </c>
      <c r="N886" s="114" t="s">
        <v>5831</v>
      </c>
    </row>
    <row r="887" spans="1:14" ht="18">
      <c r="A887" s="29" t="s">
        <v>496</v>
      </c>
      <c r="B887" s="1" t="s">
        <v>2456</v>
      </c>
      <c r="I887" s="109"/>
      <c r="J887" s="109"/>
      <c r="K887" s="109"/>
      <c r="L887" s="109" t="str">
        <f t="shared" si="13"/>
        <v>96-961500423</v>
      </c>
      <c r="M887" s="114">
        <v>961500423</v>
      </c>
      <c r="N887" s="114" t="s">
        <v>7231</v>
      </c>
    </row>
    <row r="888" spans="1:14" ht="18">
      <c r="A888" s="29" t="s">
        <v>497</v>
      </c>
      <c r="B888" s="1" t="s">
        <v>2456</v>
      </c>
      <c r="I888" s="109"/>
      <c r="J888" s="109"/>
      <c r="K888" s="109"/>
      <c r="L888" s="109" t="str">
        <f t="shared" si="13"/>
        <v>95-951500025</v>
      </c>
      <c r="M888" s="114">
        <v>951500025</v>
      </c>
      <c r="N888" s="114" t="s">
        <v>5608</v>
      </c>
    </row>
    <row r="889" spans="1:14" ht="18">
      <c r="A889" s="29" t="s">
        <v>71</v>
      </c>
      <c r="B889" s="1" t="s">
        <v>2456</v>
      </c>
      <c r="I889" s="109"/>
      <c r="J889" s="109"/>
      <c r="K889" s="109"/>
      <c r="L889" s="109" t="str">
        <f t="shared" si="13"/>
        <v>95-951500043</v>
      </c>
      <c r="M889" s="114">
        <v>951500043</v>
      </c>
      <c r="N889" s="114" t="s">
        <v>5608</v>
      </c>
    </row>
    <row r="890" spans="1:14" ht="18">
      <c r="A890" s="29" t="s">
        <v>22</v>
      </c>
      <c r="B890" s="1" t="s">
        <v>2456</v>
      </c>
      <c r="I890" s="109"/>
      <c r="J890" s="109"/>
      <c r="K890" s="109"/>
      <c r="L890" s="109" t="str">
        <f t="shared" si="13"/>
        <v>96-961500445</v>
      </c>
      <c r="M890" s="114">
        <v>961500445</v>
      </c>
      <c r="N890" s="114" t="s">
        <v>7231</v>
      </c>
    </row>
    <row r="891" spans="1:14" ht="18">
      <c r="A891" s="29" t="s">
        <v>72</v>
      </c>
      <c r="B891" s="1" t="s">
        <v>2456</v>
      </c>
      <c r="I891" s="109"/>
      <c r="J891" s="109"/>
      <c r="K891" s="109"/>
      <c r="L891" s="109" t="str">
        <f t="shared" si="13"/>
        <v>96-961500472</v>
      </c>
      <c r="M891" s="114">
        <v>961500472</v>
      </c>
      <c r="N891" s="114" t="s">
        <v>7111</v>
      </c>
    </row>
    <row r="892" spans="1:14" ht="18">
      <c r="A892" s="29" t="s">
        <v>216</v>
      </c>
      <c r="B892" s="1" t="s">
        <v>2456</v>
      </c>
      <c r="I892" s="109"/>
      <c r="J892" s="109"/>
      <c r="K892" s="109"/>
      <c r="L892" s="109" t="str">
        <f t="shared" si="13"/>
        <v>96-961500479</v>
      </c>
      <c r="M892" s="114">
        <v>961500479</v>
      </c>
      <c r="N892" s="114" t="s">
        <v>7175</v>
      </c>
    </row>
    <row r="893" spans="1:14" ht="18">
      <c r="A893" s="29" t="s">
        <v>79</v>
      </c>
      <c r="B893" s="1" t="s">
        <v>2456</v>
      </c>
      <c r="I893" s="109"/>
      <c r="J893" s="109"/>
      <c r="K893" s="109"/>
      <c r="L893" s="109" t="str">
        <f t="shared" si="13"/>
        <v>96-961500534</v>
      </c>
      <c r="M893" s="114">
        <v>961500534</v>
      </c>
      <c r="N893" s="114" t="s">
        <v>7175</v>
      </c>
    </row>
    <row r="894" spans="1:14" ht="18">
      <c r="A894" s="29" t="s">
        <v>31</v>
      </c>
      <c r="B894" s="1" t="s">
        <v>2456</v>
      </c>
      <c r="I894" s="109"/>
      <c r="J894" s="109"/>
      <c r="K894" s="109"/>
      <c r="L894" s="109" t="str">
        <f t="shared" si="13"/>
        <v>96-961500536</v>
      </c>
      <c r="M894" s="114">
        <v>961500536</v>
      </c>
      <c r="N894" s="114" t="s">
        <v>7273</v>
      </c>
    </row>
    <row r="895" spans="1:14" ht="18">
      <c r="A895" s="29" t="s">
        <v>279</v>
      </c>
      <c r="B895" s="1" t="s">
        <v>2456</v>
      </c>
      <c r="I895" s="109"/>
      <c r="J895" s="109"/>
      <c r="K895" s="109"/>
      <c r="L895" s="109" t="str">
        <f t="shared" si="13"/>
        <v>96-961500569</v>
      </c>
      <c r="M895" s="114">
        <v>961500569</v>
      </c>
      <c r="N895" s="114" t="s">
        <v>7273</v>
      </c>
    </row>
    <row r="896" spans="1:14" ht="18">
      <c r="A896" s="29" t="s">
        <v>321</v>
      </c>
      <c r="B896" s="1" t="s">
        <v>2456</v>
      </c>
      <c r="I896" s="109"/>
      <c r="J896" s="109"/>
      <c r="K896" s="109"/>
      <c r="L896" s="109" t="str">
        <f t="shared" si="13"/>
        <v>96-961500444</v>
      </c>
      <c r="M896" s="114">
        <v>961500444</v>
      </c>
      <c r="N896" s="114" t="s">
        <v>7241</v>
      </c>
    </row>
    <row r="897" spans="1:14" ht="18">
      <c r="A897" s="29" t="s">
        <v>176</v>
      </c>
      <c r="B897" s="1" t="s">
        <v>2456</v>
      </c>
      <c r="I897" s="109"/>
      <c r="J897" s="109"/>
      <c r="K897" s="109"/>
      <c r="L897" s="109" t="str">
        <f t="shared" si="13"/>
        <v>95-951200054</v>
      </c>
      <c r="M897" s="114">
        <v>951200054</v>
      </c>
      <c r="N897" s="114" t="s">
        <v>7251</v>
      </c>
    </row>
    <row r="898" spans="1:14" ht="18">
      <c r="A898" s="29" t="s">
        <v>56</v>
      </c>
      <c r="B898" s="1" t="s">
        <v>2456</v>
      </c>
      <c r="I898" s="109"/>
      <c r="J898" s="109"/>
      <c r="K898" s="109"/>
      <c r="L898" s="109" t="str">
        <f t="shared" si="13"/>
        <v>95-951500267</v>
      </c>
      <c r="M898" s="114">
        <v>951500267</v>
      </c>
      <c r="N898" s="114" t="s">
        <v>5653</v>
      </c>
    </row>
    <row r="899" spans="1:14" ht="18">
      <c r="A899" s="29" t="s">
        <v>320</v>
      </c>
      <c r="B899" s="1" t="s">
        <v>2456</v>
      </c>
      <c r="I899" s="109"/>
      <c r="J899" s="109"/>
      <c r="K899" s="109"/>
      <c r="L899" s="109" t="str">
        <f t="shared" ref="L899:L962" si="14">MID(M899,1,2)&amp;"-"&amp;M899</f>
        <v>95-951500571</v>
      </c>
      <c r="M899" s="114">
        <v>951500571</v>
      </c>
      <c r="N899" s="114" t="s">
        <v>5724</v>
      </c>
    </row>
    <row r="900" spans="1:14" ht="18">
      <c r="A900" s="29" t="s">
        <v>324</v>
      </c>
      <c r="B900" s="1" t="s">
        <v>2456</v>
      </c>
      <c r="I900" s="109"/>
      <c r="J900" s="109"/>
      <c r="K900" s="109"/>
      <c r="L900" s="109" t="str">
        <f t="shared" si="14"/>
        <v>95-951500490</v>
      </c>
      <c r="M900" s="114">
        <v>951500490</v>
      </c>
      <c r="N900" s="114" t="s">
        <v>5715</v>
      </c>
    </row>
    <row r="901" spans="1:14" ht="18">
      <c r="A901" s="29" t="s">
        <v>59</v>
      </c>
      <c r="B901" s="1" t="s">
        <v>2456</v>
      </c>
      <c r="I901" s="109"/>
      <c r="J901" s="109"/>
      <c r="K901" s="109"/>
      <c r="L901" s="109" t="str">
        <f t="shared" si="14"/>
        <v>96-961200058</v>
      </c>
      <c r="M901" s="114">
        <v>961200058</v>
      </c>
      <c r="N901" s="114" t="s">
        <v>7242</v>
      </c>
    </row>
    <row r="902" spans="1:14" ht="18">
      <c r="A902" s="29" t="s">
        <v>334</v>
      </c>
      <c r="B902" s="1" t="s">
        <v>2456</v>
      </c>
      <c r="I902" s="109"/>
      <c r="J902" s="109"/>
      <c r="K902" s="109"/>
      <c r="L902" s="109" t="str">
        <f t="shared" si="14"/>
        <v>95-951500551</v>
      </c>
      <c r="M902" s="114">
        <v>951500551</v>
      </c>
      <c r="N902" s="114" t="s">
        <v>5739</v>
      </c>
    </row>
    <row r="903" spans="1:14" ht="18">
      <c r="A903" s="29" t="s">
        <v>312</v>
      </c>
      <c r="B903" s="1" t="s">
        <v>2456</v>
      </c>
      <c r="I903" s="109"/>
      <c r="J903" s="109"/>
      <c r="K903" s="109"/>
      <c r="L903" s="109" t="str">
        <f t="shared" si="14"/>
        <v>96-961500434</v>
      </c>
      <c r="M903" s="114">
        <v>961500434</v>
      </c>
      <c r="N903" s="114" t="s">
        <v>5841</v>
      </c>
    </row>
    <row r="904" spans="1:14" ht="18">
      <c r="A904" s="29" t="s">
        <v>189</v>
      </c>
      <c r="B904" s="1" t="s">
        <v>2456</v>
      </c>
      <c r="I904" s="109"/>
      <c r="J904" s="109"/>
      <c r="K904" s="109"/>
      <c r="L904" s="109" t="str">
        <f t="shared" si="14"/>
        <v>96-961500561</v>
      </c>
      <c r="M904" s="114">
        <v>961500561</v>
      </c>
      <c r="N904" s="114" t="s">
        <v>5854</v>
      </c>
    </row>
    <row r="905" spans="1:14" ht="18">
      <c r="A905" s="29" t="s">
        <v>559</v>
      </c>
      <c r="B905" s="1" t="s">
        <v>2456</v>
      </c>
      <c r="I905" s="109"/>
      <c r="J905" s="109"/>
      <c r="K905" s="109"/>
      <c r="L905" s="109" t="str">
        <f t="shared" si="14"/>
        <v>95-951500291</v>
      </c>
      <c r="M905" s="114">
        <v>951500291</v>
      </c>
      <c r="N905" s="114" t="s">
        <v>5659</v>
      </c>
    </row>
    <row r="906" spans="1:14" ht="18">
      <c r="A906" s="29" t="s">
        <v>385</v>
      </c>
      <c r="B906" s="1" t="s">
        <v>2456</v>
      </c>
      <c r="I906" s="109"/>
      <c r="J906" s="109"/>
      <c r="K906" s="109"/>
      <c r="L906" s="109" t="str">
        <f t="shared" si="14"/>
        <v>95-951500297</v>
      </c>
      <c r="M906" s="114">
        <v>951500297</v>
      </c>
      <c r="N906" s="114" t="s">
        <v>5659</v>
      </c>
    </row>
    <row r="907" spans="1:14" ht="18">
      <c r="A907" s="29" t="s">
        <v>173</v>
      </c>
      <c r="B907" s="1" t="s">
        <v>2456</v>
      </c>
      <c r="I907" s="109"/>
      <c r="J907" s="109"/>
      <c r="K907" s="109"/>
      <c r="L907" s="109" t="str">
        <f t="shared" si="14"/>
        <v>95-951500332</v>
      </c>
      <c r="M907" s="114">
        <v>951500332</v>
      </c>
      <c r="N907" s="114" t="s">
        <v>5659</v>
      </c>
    </row>
    <row r="908" spans="1:14" ht="18">
      <c r="A908" s="29" t="s">
        <v>978</v>
      </c>
      <c r="B908" s="1" t="s">
        <v>2456</v>
      </c>
      <c r="I908" s="109"/>
      <c r="J908" s="109"/>
      <c r="K908" s="109"/>
      <c r="L908" s="109" t="str">
        <f t="shared" si="14"/>
        <v>95-951500340</v>
      </c>
      <c r="M908" s="114">
        <v>951500340</v>
      </c>
      <c r="N908" s="114" t="s">
        <v>5659</v>
      </c>
    </row>
    <row r="909" spans="1:14" ht="18">
      <c r="A909" s="29" t="s">
        <v>193</v>
      </c>
      <c r="B909" s="1" t="s">
        <v>2456</v>
      </c>
      <c r="I909" s="109"/>
      <c r="J909" s="109"/>
      <c r="K909" s="109"/>
      <c r="L909" s="109" t="str">
        <f t="shared" si="14"/>
        <v>95-951500342</v>
      </c>
      <c r="M909" s="114">
        <v>951500342</v>
      </c>
      <c r="N909" s="114" t="s">
        <v>5659</v>
      </c>
    </row>
    <row r="910" spans="1:14" ht="18">
      <c r="A910" s="29" t="s">
        <v>331</v>
      </c>
      <c r="B910" s="1" t="s">
        <v>2456</v>
      </c>
      <c r="I910" s="109"/>
      <c r="J910" s="109"/>
      <c r="K910" s="109"/>
      <c r="L910" s="109" t="str">
        <f t="shared" si="14"/>
        <v>95-951500349</v>
      </c>
      <c r="M910" s="114">
        <v>951500349</v>
      </c>
      <c r="N910" s="114" t="s">
        <v>5659</v>
      </c>
    </row>
    <row r="911" spans="1:14" ht="18">
      <c r="A911" s="29" t="s">
        <v>330</v>
      </c>
      <c r="B911" s="1" t="s">
        <v>2456</v>
      </c>
      <c r="I911" s="109"/>
      <c r="J911" s="109"/>
      <c r="K911" s="109"/>
      <c r="L911" s="109" t="str">
        <f t="shared" si="14"/>
        <v>95-951500359</v>
      </c>
      <c r="M911" s="114">
        <v>951500359</v>
      </c>
      <c r="N911" s="114" t="s">
        <v>5675</v>
      </c>
    </row>
    <row r="912" spans="1:14" ht="18">
      <c r="A912" s="29" t="s">
        <v>544</v>
      </c>
      <c r="B912" s="1" t="s">
        <v>2456</v>
      </c>
      <c r="I912" s="109"/>
      <c r="J912" s="109"/>
      <c r="K912" s="109"/>
      <c r="L912" s="109" t="str">
        <f t="shared" si="14"/>
        <v>95-951500366</v>
      </c>
      <c r="M912" s="114">
        <v>951500366</v>
      </c>
      <c r="N912" s="114" t="s">
        <v>5659</v>
      </c>
    </row>
    <row r="913" spans="1:14" ht="18">
      <c r="A913" s="29" t="s">
        <v>982</v>
      </c>
      <c r="B913" s="1" t="s">
        <v>2456</v>
      </c>
      <c r="I913" s="109"/>
      <c r="J913" s="109"/>
      <c r="K913" s="109"/>
      <c r="L913" s="109" t="str">
        <f t="shared" si="14"/>
        <v>95-951500371</v>
      </c>
      <c r="M913" s="114">
        <v>951500371</v>
      </c>
      <c r="N913" s="114" t="s">
        <v>5659</v>
      </c>
    </row>
    <row r="914" spans="1:14" ht="18">
      <c r="A914" s="29" t="s">
        <v>548</v>
      </c>
      <c r="B914" s="1" t="s">
        <v>2456</v>
      </c>
      <c r="I914" s="109"/>
      <c r="J914" s="109"/>
      <c r="K914" s="109"/>
      <c r="L914" s="109" t="str">
        <f t="shared" si="14"/>
        <v>95-951500375</v>
      </c>
      <c r="M914" s="114">
        <v>951500375</v>
      </c>
      <c r="N914" s="114" t="s">
        <v>5675</v>
      </c>
    </row>
    <row r="915" spans="1:14" ht="18">
      <c r="A915" s="29" t="s">
        <v>983</v>
      </c>
      <c r="B915" s="1" t="s">
        <v>2456</v>
      </c>
      <c r="I915" s="109"/>
      <c r="J915" s="109"/>
      <c r="K915" s="109"/>
      <c r="L915" s="109" t="str">
        <f t="shared" si="14"/>
        <v>95-951500402</v>
      </c>
      <c r="M915" s="114">
        <v>951500402</v>
      </c>
      <c r="N915" s="114" t="s">
        <v>5680</v>
      </c>
    </row>
    <row r="916" spans="1:14" ht="18">
      <c r="A916" s="29" t="s">
        <v>704</v>
      </c>
      <c r="B916" s="1" t="s">
        <v>2456</v>
      </c>
      <c r="I916" s="109"/>
      <c r="J916" s="109"/>
      <c r="K916" s="109"/>
      <c r="L916" s="109" t="str">
        <f t="shared" si="14"/>
        <v>95-951500413</v>
      </c>
      <c r="M916" s="114">
        <v>951500413</v>
      </c>
      <c r="N916" s="114" t="s">
        <v>5689</v>
      </c>
    </row>
    <row r="917" spans="1:14" ht="18">
      <c r="A917" s="29" t="s">
        <v>390</v>
      </c>
      <c r="B917" s="1" t="s">
        <v>2456</v>
      </c>
      <c r="I917" s="109"/>
      <c r="J917" s="109"/>
      <c r="K917" s="109"/>
      <c r="L917" s="109" t="str">
        <f t="shared" si="14"/>
        <v>95-951500449</v>
      </c>
      <c r="M917" s="114">
        <v>951500449</v>
      </c>
      <c r="N917" s="114" t="s">
        <v>5694</v>
      </c>
    </row>
    <row r="918" spans="1:14" ht="18">
      <c r="A918" s="29" t="s">
        <v>194</v>
      </c>
      <c r="B918" s="1" t="s">
        <v>2456</v>
      </c>
      <c r="I918" s="109"/>
      <c r="J918" s="109"/>
      <c r="K918" s="109"/>
      <c r="L918" s="109" t="str">
        <f t="shared" si="14"/>
        <v>95-951500495</v>
      </c>
      <c r="M918" s="114">
        <v>951500495</v>
      </c>
      <c r="N918" s="114" t="s">
        <v>5708</v>
      </c>
    </row>
    <row r="919" spans="1:14" ht="18">
      <c r="A919" s="29" t="s">
        <v>609</v>
      </c>
      <c r="B919" s="1" t="s">
        <v>2456</v>
      </c>
      <c r="I919" s="109"/>
      <c r="J919" s="109"/>
      <c r="K919" s="109"/>
      <c r="L919" s="109" t="str">
        <f t="shared" si="14"/>
        <v>95-951500507</v>
      </c>
      <c r="M919" s="114">
        <v>951500507</v>
      </c>
      <c r="N919" s="114" t="s">
        <v>5708</v>
      </c>
    </row>
    <row r="920" spans="1:14" ht="18">
      <c r="A920" s="29" t="s">
        <v>541</v>
      </c>
      <c r="B920" s="1" t="s">
        <v>2456</v>
      </c>
      <c r="I920" s="109"/>
      <c r="J920" s="109"/>
      <c r="K920" s="109"/>
      <c r="L920" s="109" t="str">
        <f t="shared" si="14"/>
        <v>95-951500553</v>
      </c>
      <c r="M920" s="114">
        <v>951500553</v>
      </c>
      <c r="N920" s="114" t="s">
        <v>5726</v>
      </c>
    </row>
    <row r="921" spans="1:14" ht="18">
      <c r="A921" s="29" t="s">
        <v>626</v>
      </c>
      <c r="B921" s="1" t="s">
        <v>2456</v>
      </c>
      <c r="I921" s="109"/>
      <c r="J921" s="109"/>
      <c r="K921" s="109"/>
      <c r="L921" s="109" t="str">
        <f t="shared" si="14"/>
        <v>95-951500072</v>
      </c>
      <c r="M921" s="114">
        <v>951500072</v>
      </c>
      <c r="N921" s="114" t="s">
        <v>5608</v>
      </c>
    </row>
    <row r="922" spans="1:14" ht="18">
      <c r="A922" s="29" t="s">
        <v>540</v>
      </c>
      <c r="B922" s="1" t="s">
        <v>2456</v>
      </c>
      <c r="I922" s="109"/>
      <c r="J922" s="109"/>
      <c r="K922" s="109"/>
      <c r="L922" s="109" t="str">
        <f t="shared" si="14"/>
        <v>95-951500077</v>
      </c>
      <c r="M922" s="114">
        <v>951500077</v>
      </c>
      <c r="N922" s="114" t="s">
        <v>5608</v>
      </c>
    </row>
    <row r="923" spans="1:14" ht="18">
      <c r="A923" s="29" t="s">
        <v>602</v>
      </c>
      <c r="B923" s="1" t="s">
        <v>2456</v>
      </c>
      <c r="I923" s="109"/>
      <c r="J923" s="109"/>
      <c r="K923" s="109"/>
      <c r="L923" s="109" t="str">
        <f t="shared" si="14"/>
        <v>95-951500080</v>
      </c>
      <c r="M923" s="114">
        <v>951500080</v>
      </c>
      <c r="N923" s="114" t="s">
        <v>5608</v>
      </c>
    </row>
    <row r="924" spans="1:14" ht="18">
      <c r="A924" s="29" t="s">
        <v>532</v>
      </c>
      <c r="B924" s="1" t="s">
        <v>2456</v>
      </c>
      <c r="I924" s="109"/>
      <c r="J924" s="109"/>
      <c r="K924" s="109"/>
      <c r="L924" s="109" t="str">
        <f t="shared" si="14"/>
        <v>95-951500082</v>
      </c>
      <c r="M924" s="114">
        <v>951500082</v>
      </c>
      <c r="N924" s="114" t="s">
        <v>5608</v>
      </c>
    </row>
    <row r="925" spans="1:14" ht="18">
      <c r="A925" s="29" t="s">
        <v>702</v>
      </c>
      <c r="B925" s="1" t="s">
        <v>2456</v>
      </c>
      <c r="I925" s="109"/>
      <c r="J925" s="109"/>
      <c r="K925" s="109"/>
      <c r="L925" s="109" t="str">
        <f t="shared" si="14"/>
        <v>95-951500118</v>
      </c>
      <c r="M925" s="114">
        <v>951500118</v>
      </c>
      <c r="N925" s="114" t="s">
        <v>5608</v>
      </c>
    </row>
    <row r="926" spans="1:14" ht="18">
      <c r="A926" s="29" t="s">
        <v>521</v>
      </c>
      <c r="B926" s="1" t="s">
        <v>2456</v>
      </c>
      <c r="I926" s="109"/>
      <c r="J926" s="109"/>
      <c r="K926" s="109"/>
      <c r="L926" s="109" t="str">
        <f t="shared" si="14"/>
        <v>95-951500173</v>
      </c>
      <c r="M926" s="114">
        <v>951500173</v>
      </c>
      <c r="N926" s="114" t="s">
        <v>5622</v>
      </c>
    </row>
    <row r="927" spans="1:14" ht="18">
      <c r="A927" s="29" t="s">
        <v>623</v>
      </c>
      <c r="B927" s="1" t="s">
        <v>2456</v>
      </c>
      <c r="I927" s="109"/>
      <c r="J927" s="109"/>
      <c r="K927" s="109"/>
      <c r="L927" s="109" t="str">
        <f t="shared" si="14"/>
        <v>95-951500184</v>
      </c>
      <c r="M927" s="114">
        <v>951500184</v>
      </c>
      <c r="N927" s="114" t="s">
        <v>5622</v>
      </c>
    </row>
    <row r="928" spans="1:14" ht="18">
      <c r="A928" s="29" t="s">
        <v>622</v>
      </c>
      <c r="B928" s="1" t="s">
        <v>2456</v>
      </c>
      <c r="I928" s="109"/>
      <c r="J928" s="109"/>
      <c r="K928" s="109"/>
      <c r="L928" s="109" t="str">
        <f t="shared" si="14"/>
        <v>95-951500416</v>
      </c>
      <c r="M928" s="114">
        <v>951500416</v>
      </c>
      <c r="N928" s="114" t="s">
        <v>5690</v>
      </c>
    </row>
    <row r="929" spans="1:14" ht="18">
      <c r="A929" s="29" t="s">
        <v>661</v>
      </c>
      <c r="B929" s="1" t="s">
        <v>2456</v>
      </c>
      <c r="I929" s="109"/>
      <c r="J929" s="109"/>
      <c r="K929" s="109"/>
      <c r="L929" s="109" t="str">
        <f t="shared" si="14"/>
        <v>95-951500488</v>
      </c>
      <c r="M929" s="114">
        <v>951500488</v>
      </c>
      <c r="N929" s="114" t="s">
        <v>5690</v>
      </c>
    </row>
    <row r="930" spans="1:14" ht="18">
      <c r="A930" s="29" t="s">
        <v>637</v>
      </c>
      <c r="B930" s="1" t="s">
        <v>2456</v>
      </c>
      <c r="I930" s="109"/>
      <c r="J930" s="109"/>
      <c r="K930" s="109"/>
      <c r="L930" s="109" t="str">
        <f t="shared" si="14"/>
        <v>96-961500364</v>
      </c>
      <c r="M930" s="114">
        <v>961500364</v>
      </c>
      <c r="N930" s="114" t="s">
        <v>7233</v>
      </c>
    </row>
    <row r="931" spans="1:14" ht="18">
      <c r="A931" s="29" t="s">
        <v>631</v>
      </c>
      <c r="B931" s="1" t="s">
        <v>2456</v>
      </c>
      <c r="I931" s="109"/>
      <c r="J931" s="109"/>
      <c r="K931" s="109"/>
      <c r="L931" s="109" t="str">
        <f t="shared" si="14"/>
        <v>96-961500371</v>
      </c>
      <c r="M931" s="114">
        <v>961500371</v>
      </c>
      <c r="N931" s="114" t="s">
        <v>7233</v>
      </c>
    </row>
    <row r="932" spans="1:14" ht="18">
      <c r="A932" s="29" t="s">
        <v>616</v>
      </c>
      <c r="B932" s="1" t="s">
        <v>2456</v>
      </c>
      <c r="I932" s="109"/>
      <c r="J932" s="109"/>
      <c r="K932" s="109"/>
      <c r="L932" s="109" t="str">
        <f t="shared" si="14"/>
        <v>96-961500412</v>
      </c>
      <c r="M932" s="114">
        <v>961500412</v>
      </c>
      <c r="N932" s="114" t="s">
        <v>7233</v>
      </c>
    </row>
    <row r="933" spans="1:14" ht="18">
      <c r="A933" s="29" t="s">
        <v>654</v>
      </c>
      <c r="B933" s="1" t="s">
        <v>2456</v>
      </c>
      <c r="I933" s="109"/>
      <c r="J933" s="109"/>
      <c r="K933" s="109"/>
      <c r="L933" s="109" t="str">
        <f t="shared" si="14"/>
        <v>96-961500439</v>
      </c>
      <c r="M933" s="114">
        <v>961500439</v>
      </c>
      <c r="N933" s="114" t="s">
        <v>7233</v>
      </c>
    </row>
    <row r="934" spans="1:14" ht="18">
      <c r="A934" s="29" t="s">
        <v>649</v>
      </c>
      <c r="B934" s="1" t="s">
        <v>2456</v>
      </c>
      <c r="I934" s="109"/>
      <c r="J934" s="109"/>
      <c r="K934" s="109"/>
      <c r="L934" s="109" t="str">
        <f t="shared" si="14"/>
        <v>96-961500525</v>
      </c>
      <c r="M934" s="114">
        <v>961500525</v>
      </c>
      <c r="N934" s="114" t="s">
        <v>8497</v>
      </c>
    </row>
    <row r="935" spans="1:14" ht="18">
      <c r="A935" s="29" t="s">
        <v>582</v>
      </c>
      <c r="B935" s="1" t="s">
        <v>2456</v>
      </c>
      <c r="I935" s="109"/>
      <c r="J935" s="109"/>
      <c r="K935" s="109"/>
      <c r="L935" s="109" t="str">
        <f t="shared" si="14"/>
        <v>96-961500533</v>
      </c>
      <c r="M935" s="114">
        <v>961500533</v>
      </c>
      <c r="N935" s="114" t="s">
        <v>8497</v>
      </c>
    </row>
    <row r="936" spans="1:14" ht="18">
      <c r="A936" s="29" t="s">
        <v>566</v>
      </c>
      <c r="B936" s="1" t="s">
        <v>2456</v>
      </c>
      <c r="I936" s="109"/>
      <c r="J936" s="109"/>
      <c r="K936" s="109"/>
      <c r="L936" s="109" t="str">
        <f t="shared" si="14"/>
        <v>96-961500539</v>
      </c>
      <c r="M936" s="114">
        <v>961500539</v>
      </c>
      <c r="N936" s="114" t="s">
        <v>8497</v>
      </c>
    </row>
    <row r="937" spans="1:14" ht="18">
      <c r="A937" s="29" t="s">
        <v>849</v>
      </c>
      <c r="B937" s="1" t="s">
        <v>2456</v>
      </c>
      <c r="I937" s="109"/>
      <c r="J937" s="109"/>
      <c r="K937" s="109"/>
      <c r="L937" s="109" t="str">
        <f t="shared" si="14"/>
        <v>95-956200159</v>
      </c>
      <c r="M937" s="114">
        <v>956200159</v>
      </c>
      <c r="N937" s="114" t="s">
        <v>7268</v>
      </c>
    </row>
    <row r="938" spans="1:14" ht="18">
      <c r="A938" s="29" t="s">
        <v>1192</v>
      </c>
      <c r="B938" s="1" t="s">
        <v>2456</v>
      </c>
      <c r="I938" s="109"/>
      <c r="J938" s="109"/>
      <c r="K938" s="109"/>
      <c r="L938" s="109" t="str">
        <f t="shared" si="14"/>
        <v>95-951500562</v>
      </c>
      <c r="M938" s="114">
        <v>951500562</v>
      </c>
      <c r="N938" s="114" t="s">
        <v>5726</v>
      </c>
    </row>
    <row r="939" spans="1:14" ht="18">
      <c r="A939" s="29" t="s">
        <v>586</v>
      </c>
      <c r="B939" s="1" t="s">
        <v>2456</v>
      </c>
      <c r="I939" s="109"/>
      <c r="J939" s="109"/>
      <c r="K939" s="109"/>
      <c r="L939" s="109" t="str">
        <f t="shared" si="14"/>
        <v>95-951500600</v>
      </c>
      <c r="M939" s="114">
        <v>951500600</v>
      </c>
      <c r="N939" s="114" t="s">
        <v>5752</v>
      </c>
    </row>
    <row r="940" spans="1:14" ht="18">
      <c r="A940" s="29" t="s">
        <v>614</v>
      </c>
      <c r="B940" s="1" t="s">
        <v>2456</v>
      </c>
      <c r="I940" s="109"/>
      <c r="J940" s="109"/>
      <c r="K940" s="109"/>
      <c r="L940" s="109" t="str">
        <f t="shared" si="14"/>
        <v>96-961500009</v>
      </c>
      <c r="M940" s="114">
        <v>961500009</v>
      </c>
      <c r="N940" s="114" t="s">
        <v>5752</v>
      </c>
    </row>
    <row r="941" spans="1:14" ht="18">
      <c r="A941" s="29" t="s">
        <v>706</v>
      </c>
      <c r="B941" s="1" t="s">
        <v>2456</v>
      </c>
      <c r="I941" s="109"/>
      <c r="J941" s="109"/>
      <c r="K941" s="109"/>
      <c r="L941" s="109" t="str">
        <f t="shared" si="14"/>
        <v>96-961500025</v>
      </c>
      <c r="M941" s="114">
        <v>961500025</v>
      </c>
      <c r="N941" s="114" t="s">
        <v>5758</v>
      </c>
    </row>
    <row r="942" spans="1:14" ht="18">
      <c r="A942" s="29" t="s">
        <v>580</v>
      </c>
      <c r="B942" s="1" t="s">
        <v>2456</v>
      </c>
      <c r="I942" s="109"/>
      <c r="J942" s="109"/>
      <c r="K942" s="109"/>
      <c r="L942" s="109" t="str">
        <f t="shared" si="14"/>
        <v>96-961500052</v>
      </c>
      <c r="M942" s="114">
        <v>961500052</v>
      </c>
      <c r="N942" s="114" t="s">
        <v>5758</v>
      </c>
    </row>
    <row r="943" spans="1:14" ht="18">
      <c r="A943" s="29" t="s">
        <v>639</v>
      </c>
      <c r="B943" s="1" t="s">
        <v>2456</v>
      </c>
      <c r="I943" s="109"/>
      <c r="J943" s="109"/>
      <c r="K943" s="109"/>
      <c r="L943" s="109" t="str">
        <f t="shared" si="14"/>
        <v>96-961500056</v>
      </c>
      <c r="M943" s="114">
        <v>961500056</v>
      </c>
      <c r="N943" s="114" t="s">
        <v>5758</v>
      </c>
    </row>
    <row r="944" spans="1:14" ht="18">
      <c r="A944" s="29" t="s">
        <v>632</v>
      </c>
      <c r="B944" s="1" t="s">
        <v>2456</v>
      </c>
      <c r="I944" s="109"/>
      <c r="J944" s="109"/>
      <c r="K944" s="109"/>
      <c r="L944" s="109" t="str">
        <f t="shared" si="14"/>
        <v>96-961500108</v>
      </c>
      <c r="M944" s="114">
        <v>961500108</v>
      </c>
      <c r="N944" s="114" t="s">
        <v>5762</v>
      </c>
    </row>
    <row r="945" spans="1:14" ht="18">
      <c r="A945" s="29" t="s">
        <v>847</v>
      </c>
      <c r="B945" s="1" t="s">
        <v>2456</v>
      </c>
      <c r="I945" s="109"/>
      <c r="J945" s="109"/>
      <c r="K945" s="109"/>
      <c r="L945" s="109" t="str">
        <f t="shared" si="14"/>
        <v>96-961500114</v>
      </c>
      <c r="M945" s="114">
        <v>961500114</v>
      </c>
      <c r="N945" s="114" t="s">
        <v>5762</v>
      </c>
    </row>
    <row r="946" spans="1:14" ht="18">
      <c r="A946" s="29" t="s">
        <v>643</v>
      </c>
      <c r="B946" s="1" t="s">
        <v>2456</v>
      </c>
      <c r="I946" s="109"/>
      <c r="J946" s="109"/>
      <c r="K946" s="109"/>
      <c r="L946" s="109" t="str">
        <f t="shared" si="14"/>
        <v>96-961500163</v>
      </c>
      <c r="M946" s="114">
        <v>961500163</v>
      </c>
      <c r="N946" s="114" t="s">
        <v>5810</v>
      </c>
    </row>
    <row r="947" spans="1:14" ht="18">
      <c r="A947" s="29" t="s">
        <v>682</v>
      </c>
      <c r="B947" s="1" t="s">
        <v>2456</v>
      </c>
      <c r="I947" s="109"/>
      <c r="J947" s="109"/>
      <c r="K947" s="109"/>
      <c r="L947" s="109" t="str">
        <f t="shared" si="14"/>
        <v>96-961500165</v>
      </c>
      <c r="M947" s="114">
        <v>961500165</v>
      </c>
      <c r="N947" s="114" t="s">
        <v>5810</v>
      </c>
    </row>
    <row r="948" spans="1:14" ht="18">
      <c r="A948" s="29" t="s">
        <v>653</v>
      </c>
      <c r="B948" s="1" t="s">
        <v>2456</v>
      </c>
      <c r="I948" s="109"/>
      <c r="J948" s="109"/>
      <c r="K948" s="109"/>
      <c r="L948" s="109" t="str">
        <f t="shared" si="14"/>
        <v>96-961500179</v>
      </c>
      <c r="M948" s="114">
        <v>961500179</v>
      </c>
      <c r="N948" s="114" t="s">
        <v>5813</v>
      </c>
    </row>
    <row r="949" spans="1:14" ht="18">
      <c r="A949" s="29" t="s">
        <v>638</v>
      </c>
      <c r="B949" s="1" t="s">
        <v>2456</v>
      </c>
      <c r="I949" s="109"/>
      <c r="J949" s="109"/>
      <c r="K949" s="109"/>
      <c r="L949" s="109" t="str">
        <f t="shared" si="14"/>
        <v>96-961500181</v>
      </c>
      <c r="M949" s="114">
        <v>961500181</v>
      </c>
      <c r="N949" s="114" t="s">
        <v>5815</v>
      </c>
    </row>
    <row r="950" spans="1:14" ht="18">
      <c r="A950" s="29" t="s">
        <v>655</v>
      </c>
      <c r="B950" s="1" t="s">
        <v>2456</v>
      </c>
      <c r="I950" s="109"/>
      <c r="J950" s="109"/>
      <c r="K950" s="109"/>
      <c r="L950" s="109" t="str">
        <f t="shared" si="14"/>
        <v>96-961500213</v>
      </c>
      <c r="M950" s="114">
        <v>961500213</v>
      </c>
      <c r="N950" s="114" t="s">
        <v>5813</v>
      </c>
    </row>
    <row r="951" spans="1:14" ht="18">
      <c r="A951" s="29" t="s">
        <v>2216</v>
      </c>
      <c r="B951" s="1" t="s">
        <v>2456</v>
      </c>
      <c r="I951" s="109"/>
      <c r="J951" s="109"/>
      <c r="K951" s="109"/>
      <c r="L951" s="109" t="str">
        <f t="shared" si="14"/>
        <v>96-961500222</v>
      </c>
      <c r="M951" s="114">
        <v>961500222</v>
      </c>
      <c r="N951" s="114" t="s">
        <v>5813</v>
      </c>
    </row>
    <row r="952" spans="1:14" ht="18">
      <c r="A952" s="29" t="s">
        <v>1442</v>
      </c>
      <c r="B952" s="1" t="s">
        <v>2456</v>
      </c>
      <c r="I952" s="109"/>
      <c r="J952" s="109"/>
      <c r="K952" s="109"/>
      <c r="L952" s="109" t="str">
        <f t="shared" si="14"/>
        <v>96-961500245</v>
      </c>
      <c r="M952" s="114">
        <v>961500245</v>
      </c>
      <c r="N952" s="114" t="s">
        <v>5814</v>
      </c>
    </row>
    <row r="953" spans="1:14" ht="18">
      <c r="A953" s="29" t="s">
        <v>751</v>
      </c>
      <c r="B953" s="1" t="s">
        <v>2456</v>
      </c>
      <c r="I953" s="109"/>
      <c r="J953" s="109"/>
      <c r="K953" s="109"/>
      <c r="L953" s="109" t="str">
        <f t="shared" si="14"/>
        <v>96-961500251</v>
      </c>
      <c r="M953" s="114">
        <v>961500251</v>
      </c>
      <c r="N953" s="114" t="s">
        <v>5814</v>
      </c>
    </row>
    <row r="954" spans="1:14" ht="18">
      <c r="A954" s="29" t="s">
        <v>673</v>
      </c>
      <c r="B954" s="1" t="s">
        <v>2456</v>
      </c>
      <c r="I954" s="109"/>
      <c r="J954" s="109"/>
      <c r="K954" s="109"/>
      <c r="L954" s="109" t="str">
        <f t="shared" si="14"/>
        <v>96-961500257</v>
      </c>
      <c r="M954" s="114">
        <v>961500257</v>
      </c>
      <c r="N954" s="114" t="s">
        <v>5826</v>
      </c>
    </row>
    <row r="955" spans="1:14" ht="18">
      <c r="A955" s="29" t="s">
        <v>1195</v>
      </c>
      <c r="B955" s="1" t="s">
        <v>2456</v>
      </c>
      <c r="I955" s="109"/>
      <c r="J955" s="109"/>
      <c r="K955" s="109"/>
      <c r="L955" s="109" t="str">
        <f t="shared" si="14"/>
        <v>95-951500024</v>
      </c>
      <c r="M955" s="114">
        <v>951500024</v>
      </c>
      <c r="N955" s="114" t="s">
        <v>5608</v>
      </c>
    </row>
    <row r="956" spans="1:14" ht="18">
      <c r="A956" s="29" t="s">
        <v>662</v>
      </c>
      <c r="B956" s="1" t="s">
        <v>2456</v>
      </c>
      <c r="I956" s="109"/>
      <c r="J956" s="109"/>
      <c r="K956" s="109"/>
      <c r="L956" s="109" t="str">
        <f t="shared" si="14"/>
        <v>95-951500044</v>
      </c>
      <c r="M956" s="114">
        <v>951500044</v>
      </c>
      <c r="N956" s="114" t="s">
        <v>5608</v>
      </c>
    </row>
    <row r="957" spans="1:14" ht="18">
      <c r="A957" s="29" t="s">
        <v>656</v>
      </c>
      <c r="B957" s="1" t="s">
        <v>2456</v>
      </c>
      <c r="I957" s="109"/>
      <c r="J957" s="109"/>
      <c r="K957" s="109"/>
      <c r="L957" s="109" t="str">
        <f t="shared" si="14"/>
        <v>95-951500056</v>
      </c>
      <c r="M957" s="114">
        <v>951500056</v>
      </c>
      <c r="N957" s="114" t="s">
        <v>5608</v>
      </c>
    </row>
    <row r="958" spans="1:14" ht="18">
      <c r="A958" s="29" t="s">
        <v>663</v>
      </c>
      <c r="B958" s="1" t="s">
        <v>2456</v>
      </c>
      <c r="I958" s="109"/>
      <c r="J958" s="109"/>
      <c r="K958" s="109"/>
      <c r="L958" s="109" t="str">
        <f t="shared" si="14"/>
        <v>95-951500071</v>
      </c>
      <c r="M958" s="114">
        <v>951500071</v>
      </c>
      <c r="N958" s="114" t="s">
        <v>5608</v>
      </c>
    </row>
    <row r="959" spans="1:14" ht="18">
      <c r="A959" s="29" t="s">
        <v>848</v>
      </c>
      <c r="B959" s="1" t="s">
        <v>2456</v>
      </c>
      <c r="I959" s="109"/>
      <c r="J959" s="109"/>
      <c r="K959" s="109"/>
      <c r="L959" s="109" t="str">
        <f t="shared" si="14"/>
        <v>95-951500074</v>
      </c>
      <c r="M959" s="114">
        <v>951500074</v>
      </c>
      <c r="N959" s="114" t="s">
        <v>5608</v>
      </c>
    </row>
    <row r="960" spans="1:14" ht="18">
      <c r="A960" s="29" t="s">
        <v>652</v>
      </c>
      <c r="B960" s="1" t="s">
        <v>2456</v>
      </c>
      <c r="I960" s="109"/>
      <c r="J960" s="109"/>
      <c r="K960" s="109"/>
      <c r="L960" s="109" t="str">
        <f t="shared" si="14"/>
        <v>95-951500079</v>
      </c>
      <c r="M960" s="114">
        <v>951500079</v>
      </c>
      <c r="N960" s="114" t="s">
        <v>5608</v>
      </c>
    </row>
    <row r="961" spans="1:14" ht="18">
      <c r="A961" s="29" t="s">
        <v>874</v>
      </c>
      <c r="B961" s="1" t="s">
        <v>2456</v>
      </c>
      <c r="I961" s="109"/>
      <c r="J961" s="109"/>
      <c r="K961" s="109"/>
      <c r="L961" s="109" t="str">
        <f t="shared" si="14"/>
        <v>95-951500178</v>
      </c>
      <c r="M961" s="114">
        <v>951500178</v>
      </c>
      <c r="N961" s="114" t="s">
        <v>5622</v>
      </c>
    </row>
    <row r="962" spans="1:14" ht="18">
      <c r="A962" s="29" t="s">
        <v>651</v>
      </c>
      <c r="B962" s="1" t="s">
        <v>2456</v>
      </c>
      <c r="I962" s="109"/>
      <c r="J962" s="109"/>
      <c r="K962" s="109"/>
      <c r="L962" s="109" t="str">
        <f t="shared" si="14"/>
        <v>95-951500191</v>
      </c>
      <c r="M962" s="114">
        <v>951500191</v>
      </c>
      <c r="N962" s="114" t="s">
        <v>5622</v>
      </c>
    </row>
    <row r="963" spans="1:14" ht="18">
      <c r="A963" s="29" t="s">
        <v>668</v>
      </c>
      <c r="B963" s="1" t="s">
        <v>2456</v>
      </c>
      <c r="I963" s="109"/>
      <c r="J963" s="109"/>
      <c r="K963" s="109"/>
      <c r="L963" s="109" t="str">
        <f t="shared" ref="L963:L1026" si="15">MID(M963,1,2)&amp;"-"&amp;M963</f>
        <v>95-951500497</v>
      </c>
      <c r="M963" s="114">
        <v>951500497</v>
      </c>
      <c r="N963" s="114" t="s">
        <v>5690</v>
      </c>
    </row>
    <row r="964" spans="1:14" ht="18">
      <c r="A964" s="29" t="s">
        <v>2217</v>
      </c>
      <c r="B964" s="1" t="s">
        <v>2456</v>
      </c>
      <c r="I964" s="109"/>
      <c r="J964" s="109"/>
      <c r="K964" s="109"/>
      <c r="L964" s="109" t="str">
        <f t="shared" si="15"/>
        <v>96-961500550</v>
      </c>
      <c r="M964" s="114">
        <v>961500550</v>
      </c>
      <c r="N964" s="114" t="s">
        <v>8497</v>
      </c>
    </row>
    <row r="965" spans="1:14" ht="18">
      <c r="A965" s="29" t="s">
        <v>666</v>
      </c>
      <c r="B965" s="1" t="s">
        <v>2456</v>
      </c>
      <c r="I965" s="109"/>
      <c r="J965" s="109"/>
      <c r="K965" s="109"/>
      <c r="L965" s="109" t="str">
        <f t="shared" si="15"/>
        <v>96-961500573</v>
      </c>
      <c r="M965" s="114">
        <v>961500573</v>
      </c>
      <c r="N965" s="114" t="s">
        <v>8497</v>
      </c>
    </row>
    <row r="966" spans="1:14" ht="18">
      <c r="A966" s="29" t="s">
        <v>665</v>
      </c>
      <c r="B966" s="1" t="s">
        <v>2456</v>
      </c>
      <c r="I966" s="109"/>
      <c r="J966" s="109"/>
      <c r="K966" s="109"/>
      <c r="L966" s="109" t="str">
        <f t="shared" si="15"/>
        <v>95-951500012</v>
      </c>
      <c r="M966" s="114">
        <v>951500012</v>
      </c>
      <c r="N966" s="114" t="s">
        <v>5610</v>
      </c>
    </row>
    <row r="967" spans="1:14" ht="18">
      <c r="A967" s="29" t="s">
        <v>672</v>
      </c>
      <c r="B967" s="1" t="s">
        <v>2456</v>
      </c>
      <c r="I967" s="109"/>
      <c r="J967" s="109"/>
      <c r="K967" s="109"/>
      <c r="L967" s="109" t="str">
        <f t="shared" si="15"/>
        <v>95-951500103</v>
      </c>
      <c r="M967" s="114">
        <v>951500103</v>
      </c>
      <c r="N967" s="114" t="s">
        <v>5614</v>
      </c>
    </row>
    <row r="968" spans="1:14" ht="18">
      <c r="A968" s="29" t="s">
        <v>758</v>
      </c>
      <c r="B968" s="1" t="s">
        <v>2456</v>
      </c>
      <c r="I968" s="109"/>
      <c r="J968" s="109"/>
      <c r="K968" s="109"/>
      <c r="L968" s="109" t="str">
        <f t="shared" si="15"/>
        <v>95-951500143</v>
      </c>
      <c r="M968" s="114">
        <v>951500143</v>
      </c>
      <c r="N968" s="114" t="s">
        <v>5614</v>
      </c>
    </row>
    <row r="969" spans="1:14" ht="18">
      <c r="A969" s="29" t="s">
        <v>690</v>
      </c>
      <c r="B969" s="1" t="s">
        <v>2456</v>
      </c>
      <c r="I969" s="109"/>
      <c r="J969" s="109"/>
      <c r="K969" s="109"/>
      <c r="L969" s="109" t="str">
        <f t="shared" si="15"/>
        <v>95-951500199</v>
      </c>
      <c r="M969" s="114">
        <v>951500199</v>
      </c>
      <c r="N969" s="114" t="s">
        <v>5614</v>
      </c>
    </row>
    <row r="970" spans="1:14" ht="18">
      <c r="A970" s="29" t="s">
        <v>717</v>
      </c>
      <c r="B970" s="1" t="s">
        <v>2456</v>
      </c>
      <c r="I970" s="109"/>
      <c r="J970" s="109"/>
      <c r="K970" s="109"/>
      <c r="L970" s="109" t="str">
        <f t="shared" si="15"/>
        <v>95-951500494</v>
      </c>
      <c r="M970" s="114">
        <v>951500494</v>
      </c>
      <c r="N970" s="114" t="s">
        <v>5711</v>
      </c>
    </row>
    <row r="971" spans="1:14" ht="18">
      <c r="A971" s="29" t="s">
        <v>871</v>
      </c>
      <c r="B971" s="1" t="s">
        <v>2456</v>
      </c>
      <c r="I971" s="109"/>
      <c r="J971" s="109"/>
      <c r="K971" s="109"/>
      <c r="L971" s="109" t="str">
        <f t="shared" si="15"/>
        <v>96-961500012</v>
      </c>
      <c r="M971" s="114">
        <v>961500012</v>
      </c>
      <c r="N971" s="114" t="s">
        <v>5768</v>
      </c>
    </row>
    <row r="972" spans="1:14" ht="18">
      <c r="A972" s="29" t="s">
        <v>870</v>
      </c>
      <c r="B972" s="1" t="s">
        <v>2456</v>
      </c>
      <c r="I972" s="109"/>
      <c r="J972" s="109"/>
      <c r="K972" s="109"/>
      <c r="L972" s="109" t="str">
        <f t="shared" si="15"/>
        <v>96-961500120</v>
      </c>
      <c r="M972" s="114">
        <v>961500120</v>
      </c>
      <c r="N972" s="114" t="s">
        <v>5793</v>
      </c>
    </row>
    <row r="973" spans="1:14" ht="18">
      <c r="A973" s="29" t="s">
        <v>752</v>
      </c>
      <c r="B973" s="1" t="s">
        <v>2456</v>
      </c>
      <c r="I973" s="109"/>
      <c r="J973" s="109"/>
      <c r="K973" s="109"/>
      <c r="L973" s="109" t="str">
        <f t="shared" si="15"/>
        <v>96-961500141</v>
      </c>
      <c r="M973" s="114">
        <v>961500141</v>
      </c>
      <c r="N973" s="114" t="s">
        <v>5793</v>
      </c>
    </row>
    <row r="974" spans="1:14" ht="18">
      <c r="A974" s="29" t="s">
        <v>2230</v>
      </c>
      <c r="B974" s="1" t="s">
        <v>2456</v>
      </c>
      <c r="I974" s="109"/>
      <c r="J974" s="109"/>
      <c r="K974" s="109"/>
      <c r="L974" s="109" t="str">
        <f t="shared" si="15"/>
        <v>96-961500208</v>
      </c>
      <c r="M974" s="114">
        <v>961500208</v>
      </c>
      <c r="N974" s="114" t="s">
        <v>5816</v>
      </c>
    </row>
    <row r="975" spans="1:14" ht="18">
      <c r="A975" s="29" t="s">
        <v>759</v>
      </c>
      <c r="B975" s="1" t="s">
        <v>2456</v>
      </c>
      <c r="I975" s="109"/>
      <c r="J975" s="109"/>
      <c r="K975" s="109"/>
      <c r="L975" s="109" t="str">
        <f t="shared" si="15"/>
        <v>96-961500248</v>
      </c>
      <c r="M975" s="114">
        <v>961500248</v>
      </c>
      <c r="N975" s="114" t="s">
        <v>5821</v>
      </c>
    </row>
    <row r="976" spans="1:14" ht="18">
      <c r="A976" s="29" t="s">
        <v>872</v>
      </c>
      <c r="B976" s="1" t="s">
        <v>2456</v>
      </c>
      <c r="I976" s="109"/>
      <c r="J976" s="109"/>
      <c r="K976" s="109"/>
      <c r="L976" s="109" t="str">
        <f t="shared" si="15"/>
        <v>96-961500352</v>
      </c>
      <c r="M976" s="114">
        <v>961500352</v>
      </c>
      <c r="N976" s="114" t="s">
        <v>5852</v>
      </c>
    </row>
    <row r="977" spans="1:14" ht="18">
      <c r="A977" s="29" t="s">
        <v>766</v>
      </c>
      <c r="B977" s="1" t="s">
        <v>2456</v>
      </c>
      <c r="I977" s="109"/>
      <c r="J977" s="109"/>
      <c r="K977" s="109"/>
      <c r="L977" s="109" t="str">
        <f t="shared" si="15"/>
        <v>96-961500455</v>
      </c>
      <c r="M977" s="114">
        <v>961500455</v>
      </c>
      <c r="N977" s="114" t="s">
        <v>7255</v>
      </c>
    </row>
    <row r="978" spans="1:14" ht="18">
      <c r="A978" s="29" t="s">
        <v>744</v>
      </c>
      <c r="B978" s="1" t="s">
        <v>2456</v>
      </c>
      <c r="I978" s="109"/>
      <c r="J978" s="109"/>
      <c r="K978" s="109"/>
      <c r="L978" s="109" t="str">
        <f t="shared" si="15"/>
        <v>96-961500464</v>
      </c>
      <c r="M978" s="114">
        <v>961500464</v>
      </c>
      <c r="N978" s="114" t="s">
        <v>7255</v>
      </c>
    </row>
    <row r="979" spans="1:14" ht="18">
      <c r="A979" s="29" t="s">
        <v>767</v>
      </c>
      <c r="B979" s="1" t="s">
        <v>2456</v>
      </c>
      <c r="I979" s="109"/>
      <c r="J979" s="109"/>
      <c r="K979" s="109"/>
      <c r="L979" s="109" t="str">
        <f t="shared" si="15"/>
        <v>96-961500495</v>
      </c>
      <c r="M979" s="114">
        <v>961500495</v>
      </c>
      <c r="N979" s="114" t="s">
        <v>7234</v>
      </c>
    </row>
    <row r="980" spans="1:14" ht="18">
      <c r="A980" s="29" t="s">
        <v>773</v>
      </c>
      <c r="B980" s="1" t="s">
        <v>2456</v>
      </c>
      <c r="I980" s="109"/>
      <c r="J980" s="109"/>
      <c r="K980" s="109"/>
      <c r="L980" s="109" t="str">
        <f t="shared" si="15"/>
        <v>95-951500281</v>
      </c>
      <c r="M980" s="114">
        <v>951500281</v>
      </c>
      <c r="N980" s="114" t="s">
        <v>5651</v>
      </c>
    </row>
    <row r="981" spans="1:14" ht="18">
      <c r="A981" s="29" t="s">
        <v>735</v>
      </c>
      <c r="B981" s="1" t="s">
        <v>2456</v>
      </c>
      <c r="I981" s="109"/>
      <c r="J981" s="109"/>
      <c r="K981" s="109"/>
      <c r="L981" s="109" t="str">
        <f t="shared" si="15"/>
        <v>95-951500498</v>
      </c>
      <c r="M981" s="114">
        <v>951500498</v>
      </c>
      <c r="N981" s="114" t="s">
        <v>5690</v>
      </c>
    </row>
    <row r="982" spans="1:14" ht="18">
      <c r="A982" s="29" t="s">
        <v>716</v>
      </c>
      <c r="B982" s="1" t="s">
        <v>2456</v>
      </c>
      <c r="I982" s="109"/>
      <c r="J982" s="109"/>
      <c r="K982" s="109"/>
      <c r="L982" s="109" t="str">
        <f t="shared" si="15"/>
        <v>95-951500529</v>
      </c>
      <c r="M982" s="114">
        <v>951500529</v>
      </c>
      <c r="N982" s="114" t="s">
        <v>5690</v>
      </c>
    </row>
    <row r="983" spans="1:14" ht="18">
      <c r="A983" s="29" t="s">
        <v>715</v>
      </c>
      <c r="B983" s="1" t="s">
        <v>2456</v>
      </c>
      <c r="I983" s="109"/>
      <c r="J983" s="109"/>
      <c r="K983" s="109"/>
      <c r="L983" s="109" t="str">
        <f t="shared" si="15"/>
        <v>96-961500436</v>
      </c>
      <c r="M983" s="114">
        <v>961500436</v>
      </c>
      <c r="N983" s="114" t="s">
        <v>7233</v>
      </c>
    </row>
    <row r="984" spans="1:14" ht="18">
      <c r="A984" s="29" t="s">
        <v>1445</v>
      </c>
      <c r="B984" s="1" t="s">
        <v>2456</v>
      </c>
      <c r="I984" s="109"/>
      <c r="J984" s="109"/>
      <c r="K984" s="109"/>
      <c r="L984" s="109" t="str">
        <f t="shared" si="15"/>
        <v>95-951500133</v>
      </c>
      <c r="M984" s="114">
        <v>951500133</v>
      </c>
      <c r="N984" s="114" t="s">
        <v>5614</v>
      </c>
    </row>
    <row r="985" spans="1:14" ht="18">
      <c r="A985" s="29" t="s">
        <v>771</v>
      </c>
      <c r="B985" s="1" t="s">
        <v>2456</v>
      </c>
      <c r="I985" s="109"/>
      <c r="J985" s="109"/>
      <c r="K985" s="109"/>
      <c r="L985" s="109" t="str">
        <f t="shared" si="15"/>
        <v>95-951500137</v>
      </c>
      <c r="M985" s="114">
        <v>951500137</v>
      </c>
      <c r="N985" s="114" t="s">
        <v>5614</v>
      </c>
    </row>
    <row r="986" spans="1:14" ht="18">
      <c r="A986" s="29" t="s">
        <v>772</v>
      </c>
      <c r="B986" s="1" t="s">
        <v>2456</v>
      </c>
      <c r="I986" s="109"/>
      <c r="J986" s="109"/>
      <c r="K986" s="109"/>
      <c r="L986" s="109" t="str">
        <f t="shared" si="15"/>
        <v>95-951500200</v>
      </c>
      <c r="M986" s="114">
        <v>951500200</v>
      </c>
      <c r="N986" s="114" t="s">
        <v>5614</v>
      </c>
    </row>
    <row r="987" spans="1:14" ht="18">
      <c r="A987" s="29" t="s">
        <v>770</v>
      </c>
      <c r="B987" s="1" t="s">
        <v>2456</v>
      </c>
      <c r="I987" s="109"/>
      <c r="J987" s="109"/>
      <c r="K987" s="109"/>
      <c r="L987" s="109" t="str">
        <f t="shared" si="15"/>
        <v>95-951500352</v>
      </c>
      <c r="M987" s="114">
        <v>951500352</v>
      </c>
      <c r="N987" s="114" t="s">
        <v>5670</v>
      </c>
    </row>
    <row r="988" spans="1:14" ht="18">
      <c r="A988" s="29" t="s">
        <v>707</v>
      </c>
      <c r="B988" s="1" t="s">
        <v>2456</v>
      </c>
      <c r="I988" s="109"/>
      <c r="J988" s="109"/>
      <c r="K988" s="109"/>
      <c r="L988" s="109" t="str">
        <f t="shared" si="15"/>
        <v>95-951500358</v>
      </c>
      <c r="M988" s="114">
        <v>951500358</v>
      </c>
      <c r="N988" s="114" t="s">
        <v>5674</v>
      </c>
    </row>
    <row r="989" spans="1:14" ht="18">
      <c r="A989" s="29" t="s">
        <v>710</v>
      </c>
      <c r="B989" s="1" t="s">
        <v>2456</v>
      </c>
      <c r="I989" s="109"/>
      <c r="J989" s="109"/>
      <c r="K989" s="109"/>
      <c r="L989" s="109" t="str">
        <f t="shared" si="15"/>
        <v>95-951500422</v>
      </c>
      <c r="M989" s="114">
        <v>951500422</v>
      </c>
      <c r="N989" s="114" t="s">
        <v>5688</v>
      </c>
    </row>
    <row r="990" spans="1:14" ht="18">
      <c r="A990" s="29" t="s">
        <v>851</v>
      </c>
      <c r="B990" s="1" t="s">
        <v>2456</v>
      </c>
      <c r="I990" s="109"/>
      <c r="J990" s="109"/>
      <c r="K990" s="109"/>
      <c r="L990" s="109" t="str">
        <f t="shared" si="15"/>
        <v>95-951500481</v>
      </c>
      <c r="M990" s="114">
        <v>951500481</v>
      </c>
      <c r="N990" s="114" t="s">
        <v>5711</v>
      </c>
    </row>
    <row r="991" spans="1:14" ht="18">
      <c r="A991" s="29" t="s">
        <v>718</v>
      </c>
      <c r="B991" s="1" t="s">
        <v>2456</v>
      </c>
      <c r="I991" s="109"/>
      <c r="J991" s="109"/>
      <c r="K991" s="109"/>
      <c r="L991" s="109" t="str">
        <f t="shared" si="15"/>
        <v>96-961500034</v>
      </c>
      <c r="M991" s="114">
        <v>961500034</v>
      </c>
      <c r="N991" s="114" t="s">
        <v>5772</v>
      </c>
    </row>
    <row r="992" spans="1:14" ht="18">
      <c r="A992" s="29" t="s">
        <v>719</v>
      </c>
      <c r="B992" s="1" t="s">
        <v>2456</v>
      </c>
      <c r="I992" s="109"/>
      <c r="J992" s="109"/>
      <c r="K992" s="109"/>
      <c r="L992" s="109" t="str">
        <f t="shared" si="15"/>
        <v>96-961500100</v>
      </c>
      <c r="M992" s="114">
        <v>961500100</v>
      </c>
      <c r="N992" s="114" t="s">
        <v>5793</v>
      </c>
    </row>
    <row r="993" spans="1:14" ht="18">
      <c r="A993" s="29" t="s">
        <v>736</v>
      </c>
      <c r="B993" s="1" t="s">
        <v>2456</v>
      </c>
      <c r="I993" s="109"/>
      <c r="J993" s="109"/>
      <c r="K993" s="109"/>
      <c r="L993" s="109" t="str">
        <f t="shared" si="15"/>
        <v>96-961500228</v>
      </c>
      <c r="M993" s="114">
        <v>961500228</v>
      </c>
      <c r="N993" s="114" t="s">
        <v>5822</v>
      </c>
    </row>
    <row r="994" spans="1:14" ht="18">
      <c r="A994" s="29" t="s">
        <v>733</v>
      </c>
      <c r="B994" s="1" t="s">
        <v>2456</v>
      </c>
      <c r="I994" s="109"/>
      <c r="J994" s="109"/>
      <c r="K994" s="109"/>
      <c r="L994" s="109" t="str">
        <f t="shared" si="15"/>
        <v>96-961500481</v>
      </c>
      <c r="M994" s="114">
        <v>961500481</v>
      </c>
      <c r="N994" s="114" t="s">
        <v>7121</v>
      </c>
    </row>
    <row r="995" spans="1:14" ht="18">
      <c r="A995" s="29" t="s">
        <v>724</v>
      </c>
      <c r="B995" s="1" t="s">
        <v>2456</v>
      </c>
      <c r="I995" s="109"/>
      <c r="J995" s="109"/>
      <c r="K995" s="109"/>
      <c r="L995" s="109" t="str">
        <f t="shared" si="15"/>
        <v>96-961500515</v>
      </c>
      <c r="M995" s="114">
        <v>961500515</v>
      </c>
      <c r="N995" s="114" t="s">
        <v>7121</v>
      </c>
    </row>
    <row r="996" spans="1:14" ht="18">
      <c r="A996" s="29" t="s">
        <v>722</v>
      </c>
      <c r="B996" s="1" t="s">
        <v>2456</v>
      </c>
      <c r="I996" s="109"/>
      <c r="J996" s="109"/>
      <c r="K996" s="109"/>
      <c r="L996" s="109" t="str">
        <f t="shared" si="15"/>
        <v>96-961500554</v>
      </c>
      <c r="M996" s="114">
        <v>961500554</v>
      </c>
      <c r="N996" s="114" t="s">
        <v>8724</v>
      </c>
    </row>
    <row r="997" spans="1:14" ht="18">
      <c r="A997" s="29" t="s">
        <v>814</v>
      </c>
      <c r="B997" s="1" t="s">
        <v>2456</v>
      </c>
      <c r="I997" s="109"/>
      <c r="J997" s="109"/>
      <c r="K997" s="109"/>
      <c r="L997" s="109" t="str">
        <f t="shared" si="15"/>
        <v>96-961500259</v>
      </c>
      <c r="M997" s="114">
        <v>961500259</v>
      </c>
      <c r="N997" s="114" t="s">
        <v>5814</v>
      </c>
    </row>
    <row r="998" spans="1:14" ht="18">
      <c r="A998" s="29" t="s">
        <v>790</v>
      </c>
      <c r="B998" s="1" t="s">
        <v>2456</v>
      </c>
      <c r="I998" s="109"/>
      <c r="J998" s="109"/>
      <c r="K998" s="109"/>
      <c r="L998" s="109" t="str">
        <f t="shared" si="15"/>
        <v>96-961500260</v>
      </c>
      <c r="M998" s="114">
        <v>961500260</v>
      </c>
      <c r="N998" s="114" t="s">
        <v>5826</v>
      </c>
    </row>
    <row r="999" spans="1:14" ht="18">
      <c r="A999" s="29" t="s">
        <v>789</v>
      </c>
      <c r="B999" s="1" t="s">
        <v>2456</v>
      </c>
      <c r="I999" s="109"/>
      <c r="J999" s="109"/>
      <c r="K999" s="109"/>
      <c r="L999" s="109" t="str">
        <f t="shared" si="15"/>
        <v>96-961500305</v>
      </c>
      <c r="M999" s="114">
        <v>961500305</v>
      </c>
      <c r="N999" s="114" t="s">
        <v>5826</v>
      </c>
    </row>
    <row r="1000" spans="1:14" ht="18">
      <c r="A1000" s="29" t="s">
        <v>723</v>
      </c>
      <c r="B1000" s="1" t="s">
        <v>2456</v>
      </c>
      <c r="I1000" s="109"/>
      <c r="J1000" s="109"/>
      <c r="K1000" s="109"/>
      <c r="L1000" s="109" t="str">
        <f t="shared" si="15"/>
        <v>96-961500324</v>
      </c>
      <c r="M1000" s="114">
        <v>961500324</v>
      </c>
      <c r="N1000" s="114" t="s">
        <v>5831</v>
      </c>
    </row>
    <row r="1001" spans="1:14" ht="18">
      <c r="A1001" s="29" t="s">
        <v>796</v>
      </c>
      <c r="B1001" s="1" t="s">
        <v>2456</v>
      </c>
      <c r="I1001" s="109"/>
      <c r="J1001" s="109"/>
      <c r="K1001" s="109"/>
      <c r="L1001" s="109" t="str">
        <f t="shared" si="15"/>
        <v>96-961500349</v>
      </c>
      <c r="M1001" s="114">
        <v>961500349</v>
      </c>
      <c r="N1001" s="114" t="s">
        <v>5831</v>
      </c>
    </row>
    <row r="1002" spans="1:14" ht="18">
      <c r="A1002" s="29" t="s">
        <v>780</v>
      </c>
      <c r="B1002" s="1" t="s">
        <v>2456</v>
      </c>
      <c r="I1002" s="109"/>
      <c r="J1002" s="109"/>
      <c r="K1002" s="109"/>
      <c r="L1002" s="109" t="str">
        <f t="shared" si="15"/>
        <v>96-961500378</v>
      </c>
      <c r="M1002" s="114">
        <v>961500378</v>
      </c>
      <c r="N1002" s="114" t="s">
        <v>7231</v>
      </c>
    </row>
    <row r="1003" spans="1:14" ht="18">
      <c r="A1003" s="29" t="s">
        <v>794</v>
      </c>
      <c r="B1003" s="1" t="s">
        <v>2456</v>
      </c>
      <c r="I1003" s="109"/>
      <c r="J1003" s="109"/>
      <c r="K1003" s="109"/>
      <c r="L1003" s="109" t="str">
        <f t="shared" si="15"/>
        <v>96-961500388</v>
      </c>
      <c r="M1003" s="114">
        <v>961500388</v>
      </c>
      <c r="N1003" s="114" t="s">
        <v>7231</v>
      </c>
    </row>
    <row r="1004" spans="1:14" ht="18">
      <c r="A1004" s="29" t="s">
        <v>795</v>
      </c>
      <c r="B1004" s="1" t="s">
        <v>2456</v>
      </c>
      <c r="I1004" s="109"/>
      <c r="J1004" s="109"/>
      <c r="K1004" s="109"/>
      <c r="L1004" s="109" t="str">
        <f t="shared" si="15"/>
        <v>96-961500396</v>
      </c>
      <c r="M1004" s="114">
        <v>961500396</v>
      </c>
      <c r="N1004" s="114" t="s">
        <v>7231</v>
      </c>
    </row>
    <row r="1005" spans="1:14" ht="18">
      <c r="A1005" s="29" t="s">
        <v>779</v>
      </c>
      <c r="B1005" s="1" t="s">
        <v>2456</v>
      </c>
      <c r="I1005" s="109"/>
      <c r="J1005" s="109"/>
      <c r="K1005" s="109"/>
      <c r="L1005" s="109" t="str">
        <f t="shared" si="15"/>
        <v>96-961500458</v>
      </c>
      <c r="M1005" s="114">
        <v>961500458</v>
      </c>
      <c r="N1005" s="114" t="s">
        <v>7175</v>
      </c>
    </row>
    <row r="1006" spans="1:14" ht="18">
      <c r="A1006" s="29" t="s">
        <v>799</v>
      </c>
      <c r="B1006" s="1" t="s">
        <v>2456</v>
      </c>
      <c r="I1006" s="109"/>
      <c r="J1006" s="109"/>
      <c r="K1006" s="109"/>
      <c r="L1006" s="109" t="str">
        <f t="shared" si="15"/>
        <v>96-961500463</v>
      </c>
      <c r="M1006" s="114">
        <v>961500463</v>
      </c>
      <c r="N1006" s="114" t="s">
        <v>7175</v>
      </c>
    </row>
    <row r="1007" spans="1:14" ht="18">
      <c r="A1007" s="29" t="s">
        <v>986</v>
      </c>
      <c r="B1007" s="1" t="s">
        <v>2456</v>
      </c>
      <c r="I1007" s="109"/>
      <c r="J1007" s="109"/>
      <c r="K1007" s="109"/>
      <c r="L1007" s="109" t="str">
        <f t="shared" si="15"/>
        <v>96-961500488</v>
      </c>
      <c r="M1007" s="114">
        <v>961500488</v>
      </c>
      <c r="N1007" s="114" t="s">
        <v>7111</v>
      </c>
    </row>
    <row r="1008" spans="1:14" ht="18">
      <c r="A1008" s="29" t="s">
        <v>812</v>
      </c>
      <c r="B1008" s="1" t="s">
        <v>2456</v>
      </c>
      <c r="I1008" s="109"/>
      <c r="J1008" s="109"/>
      <c r="K1008" s="109"/>
      <c r="L1008" s="109" t="str">
        <f t="shared" si="15"/>
        <v>96-961500530</v>
      </c>
      <c r="M1008" s="114">
        <v>961500530</v>
      </c>
      <c r="N1008" s="114" t="s">
        <v>7175</v>
      </c>
    </row>
    <row r="1009" spans="1:14" ht="18">
      <c r="A1009" s="29" t="s">
        <v>810</v>
      </c>
      <c r="B1009" s="1" t="s">
        <v>2456</v>
      </c>
      <c r="I1009" s="109"/>
      <c r="J1009" s="109"/>
      <c r="K1009" s="109"/>
      <c r="L1009" s="109" t="str">
        <f t="shared" si="15"/>
        <v>96-961500535</v>
      </c>
      <c r="M1009" s="114">
        <v>961500535</v>
      </c>
      <c r="N1009" s="114" t="s">
        <v>7175</v>
      </c>
    </row>
    <row r="1010" spans="1:14" ht="18">
      <c r="A1010" s="29" t="s">
        <v>820</v>
      </c>
      <c r="B1010" s="1" t="s">
        <v>2456</v>
      </c>
      <c r="I1010" s="109"/>
      <c r="J1010" s="109"/>
      <c r="K1010" s="109"/>
      <c r="L1010" s="109" t="str">
        <f t="shared" si="15"/>
        <v>96-961500575</v>
      </c>
      <c r="M1010" s="114">
        <v>961500575</v>
      </c>
      <c r="N1010" s="114" t="s">
        <v>8698</v>
      </c>
    </row>
    <row r="1011" spans="1:14" ht="18">
      <c r="A1011" s="29" t="s">
        <v>813</v>
      </c>
      <c r="B1011" s="1" t="s">
        <v>2456</v>
      </c>
      <c r="I1011" s="109"/>
      <c r="J1011" s="109"/>
      <c r="K1011" s="109"/>
      <c r="L1011" s="109" t="str">
        <f t="shared" si="15"/>
        <v>95-952000119</v>
      </c>
      <c r="M1011" s="114">
        <v>952000119</v>
      </c>
      <c r="N1011" s="114" t="s">
        <v>7274</v>
      </c>
    </row>
    <row r="1012" spans="1:14" ht="18">
      <c r="A1012" s="29" t="s">
        <v>1202</v>
      </c>
      <c r="B1012" s="1" t="s">
        <v>2456</v>
      </c>
      <c r="I1012" s="109"/>
      <c r="J1012" s="109"/>
      <c r="K1012" s="109"/>
      <c r="L1012" s="109" t="str">
        <f t="shared" si="15"/>
        <v>95-951500361</v>
      </c>
      <c r="M1012" s="114">
        <v>951500361</v>
      </c>
      <c r="N1012" s="114" t="s">
        <v>5660</v>
      </c>
    </row>
    <row r="1013" spans="1:14" ht="18">
      <c r="A1013" s="29" t="s">
        <v>936</v>
      </c>
      <c r="B1013" s="1" t="s">
        <v>2456</v>
      </c>
      <c r="I1013" s="109"/>
      <c r="J1013" s="109"/>
      <c r="K1013" s="109"/>
      <c r="L1013" s="109" t="str">
        <f t="shared" si="15"/>
        <v>95-951500363</v>
      </c>
      <c r="M1013" s="114">
        <v>951500363</v>
      </c>
      <c r="N1013" s="114" t="s">
        <v>5668</v>
      </c>
    </row>
    <row r="1014" spans="1:14" ht="18">
      <c r="A1014" s="29" t="s">
        <v>825</v>
      </c>
      <c r="B1014" s="1" t="s">
        <v>2456</v>
      </c>
      <c r="I1014" s="109"/>
      <c r="J1014" s="109"/>
      <c r="K1014" s="109"/>
      <c r="L1014" s="109" t="str">
        <f t="shared" si="15"/>
        <v>95-951500389</v>
      </c>
      <c r="M1014" s="114">
        <v>951500389</v>
      </c>
      <c r="N1014" s="114" t="s">
        <v>5668</v>
      </c>
    </row>
    <row r="1015" spans="1:14" ht="18">
      <c r="A1015" s="29" t="s">
        <v>811</v>
      </c>
      <c r="B1015" s="1" t="s">
        <v>2456</v>
      </c>
      <c r="I1015" s="109"/>
      <c r="J1015" s="109"/>
      <c r="K1015" s="109"/>
      <c r="L1015" s="109" t="str">
        <f t="shared" si="15"/>
        <v>95-951500473</v>
      </c>
      <c r="M1015" s="114">
        <v>951500473</v>
      </c>
      <c r="N1015" s="114" t="s">
        <v>5698</v>
      </c>
    </row>
    <row r="1016" spans="1:14" ht="18">
      <c r="A1016" s="29" t="s">
        <v>941</v>
      </c>
      <c r="B1016" s="1" t="s">
        <v>2456</v>
      </c>
      <c r="I1016" s="109"/>
      <c r="J1016" s="109"/>
      <c r="K1016" s="109"/>
      <c r="L1016" s="109" t="str">
        <f t="shared" si="15"/>
        <v>95-951500586</v>
      </c>
      <c r="M1016" s="114">
        <v>951500586</v>
      </c>
      <c r="N1016" s="114" t="s">
        <v>5748</v>
      </c>
    </row>
    <row r="1017" spans="1:14" ht="18">
      <c r="A1017" s="29" t="s">
        <v>929</v>
      </c>
      <c r="B1017" s="1" t="s">
        <v>2456</v>
      </c>
      <c r="I1017" s="109"/>
      <c r="J1017" s="109"/>
      <c r="K1017" s="109"/>
      <c r="L1017" s="109" t="str">
        <f t="shared" si="15"/>
        <v>96-961500008</v>
      </c>
      <c r="M1017" s="114">
        <v>961500008</v>
      </c>
      <c r="N1017" s="114" t="s">
        <v>5751</v>
      </c>
    </row>
    <row r="1018" spans="1:14" ht="18">
      <c r="A1018" s="29" t="s">
        <v>922</v>
      </c>
      <c r="B1018" s="1" t="s">
        <v>2456</v>
      </c>
      <c r="I1018" s="109"/>
      <c r="J1018" s="109"/>
      <c r="K1018" s="109"/>
      <c r="L1018" s="109" t="str">
        <f t="shared" si="15"/>
        <v>96-961500110</v>
      </c>
      <c r="M1018" s="114">
        <v>961500110</v>
      </c>
      <c r="N1018" s="114" t="s">
        <v>5801</v>
      </c>
    </row>
    <row r="1019" spans="1:14" ht="18">
      <c r="A1019" s="29" t="s">
        <v>897</v>
      </c>
      <c r="B1019" s="1" t="s">
        <v>2456</v>
      </c>
      <c r="I1019" s="109"/>
      <c r="J1019" s="109"/>
      <c r="K1019" s="109"/>
      <c r="L1019" s="109" t="str">
        <f t="shared" si="15"/>
        <v>96-961500168</v>
      </c>
      <c r="M1019" s="114">
        <v>961500168</v>
      </c>
      <c r="N1019" s="114" t="s">
        <v>5789</v>
      </c>
    </row>
    <row r="1020" spans="1:14" ht="18">
      <c r="A1020" s="29" t="s">
        <v>2453</v>
      </c>
      <c r="B1020" s="1" t="s">
        <v>2456</v>
      </c>
      <c r="I1020" s="109"/>
      <c r="J1020" s="109"/>
      <c r="K1020" s="109"/>
      <c r="L1020" s="109" t="str">
        <f t="shared" si="15"/>
        <v>96-961500177</v>
      </c>
      <c r="M1020" s="114">
        <v>961500177</v>
      </c>
      <c r="N1020" s="114" t="s">
        <v>5807</v>
      </c>
    </row>
    <row r="1021" spans="1:14" ht="18">
      <c r="A1021" s="29" t="s">
        <v>940</v>
      </c>
      <c r="B1021" s="1" t="s">
        <v>2456</v>
      </c>
      <c r="I1021" s="109"/>
      <c r="J1021" s="109"/>
      <c r="K1021" s="109"/>
      <c r="L1021" s="109" t="str">
        <f t="shared" si="15"/>
        <v>96-961500266</v>
      </c>
      <c r="M1021" s="114">
        <v>961500266</v>
      </c>
      <c r="N1021" s="114" t="s">
        <v>5807</v>
      </c>
    </row>
    <row r="1022" spans="1:14" ht="18">
      <c r="A1022" s="29" t="s">
        <v>822</v>
      </c>
      <c r="B1022" s="1" t="s">
        <v>2456</v>
      </c>
      <c r="I1022" s="109"/>
      <c r="J1022" s="109"/>
      <c r="K1022" s="109"/>
      <c r="L1022" s="109" t="str">
        <f t="shared" si="15"/>
        <v>96-961500268</v>
      </c>
      <c r="M1022" s="114">
        <v>961500268</v>
      </c>
      <c r="N1022" s="114" t="s">
        <v>5807</v>
      </c>
    </row>
    <row r="1023" spans="1:14" ht="18">
      <c r="A1023" s="29" t="s">
        <v>836</v>
      </c>
      <c r="B1023" s="1" t="s">
        <v>2456</v>
      </c>
      <c r="I1023" s="109"/>
      <c r="J1023" s="109"/>
      <c r="K1023" s="109"/>
      <c r="L1023" s="109" t="str">
        <f t="shared" si="15"/>
        <v>96-961500286</v>
      </c>
      <c r="M1023" s="114">
        <v>961500286</v>
      </c>
      <c r="N1023" s="114" t="s">
        <v>5820</v>
      </c>
    </row>
    <row r="1024" spans="1:14" ht="18">
      <c r="A1024" s="29" t="s">
        <v>819</v>
      </c>
      <c r="B1024" s="1" t="s">
        <v>2456</v>
      </c>
      <c r="I1024" s="109"/>
      <c r="J1024" s="109"/>
      <c r="K1024" s="109"/>
      <c r="L1024" s="109" t="str">
        <f t="shared" si="15"/>
        <v>96-961500331</v>
      </c>
      <c r="M1024" s="114">
        <v>961500331</v>
      </c>
      <c r="N1024" s="114" t="s">
        <v>5818</v>
      </c>
    </row>
    <row r="1025" spans="1:14" ht="18">
      <c r="A1025" s="29" t="s">
        <v>806</v>
      </c>
      <c r="B1025" s="1" t="s">
        <v>2456</v>
      </c>
      <c r="I1025" s="109"/>
      <c r="J1025" s="109"/>
      <c r="K1025" s="109"/>
      <c r="L1025" s="109" t="str">
        <f t="shared" si="15"/>
        <v>96-961500343</v>
      </c>
      <c r="M1025" s="114">
        <v>961500343</v>
      </c>
      <c r="N1025" s="114" t="s">
        <v>5818</v>
      </c>
    </row>
    <row r="1026" spans="1:14" ht="18">
      <c r="A1026" s="29" t="s">
        <v>804</v>
      </c>
      <c r="B1026" s="1" t="s">
        <v>2456</v>
      </c>
      <c r="I1026" s="109"/>
      <c r="J1026" s="109"/>
      <c r="K1026" s="109"/>
      <c r="L1026" s="109" t="str">
        <f t="shared" si="15"/>
        <v>96-961500376</v>
      </c>
      <c r="M1026" s="114">
        <v>961500376</v>
      </c>
      <c r="N1026" s="114" t="s">
        <v>5836</v>
      </c>
    </row>
    <row r="1027" spans="1:14" ht="18">
      <c r="A1027" s="29" t="s">
        <v>1432</v>
      </c>
      <c r="B1027" s="1" t="s">
        <v>2456</v>
      </c>
      <c r="I1027" s="109"/>
      <c r="J1027" s="109"/>
      <c r="K1027" s="109"/>
      <c r="L1027" s="109" t="str">
        <f t="shared" ref="L1027:L1090" si="16">MID(M1027,1,2)&amp;"-"&amp;M1027</f>
        <v>96-961500384</v>
      </c>
      <c r="M1027" s="114">
        <v>961500384</v>
      </c>
      <c r="N1027" s="114" t="s">
        <v>5836</v>
      </c>
    </row>
    <row r="1028" spans="1:14" ht="18">
      <c r="A1028" s="29" t="s">
        <v>809</v>
      </c>
      <c r="B1028" s="1" t="s">
        <v>2456</v>
      </c>
      <c r="I1028" s="109"/>
      <c r="J1028" s="109"/>
      <c r="K1028" s="109"/>
      <c r="L1028" s="109" t="str">
        <f t="shared" si="16"/>
        <v>96-961500403</v>
      </c>
      <c r="M1028" s="114">
        <v>961500403</v>
      </c>
      <c r="N1028" s="114" t="s">
        <v>5836</v>
      </c>
    </row>
    <row r="1029" spans="1:14" ht="18">
      <c r="A1029" s="29" t="s">
        <v>987</v>
      </c>
      <c r="B1029" s="1" t="s">
        <v>2456</v>
      </c>
      <c r="I1029" s="109"/>
      <c r="J1029" s="109"/>
      <c r="K1029" s="109"/>
      <c r="L1029" s="109" t="str">
        <f t="shared" si="16"/>
        <v>96-961500555</v>
      </c>
      <c r="M1029" s="114">
        <v>961500555</v>
      </c>
      <c r="N1029" s="114" t="s">
        <v>8725</v>
      </c>
    </row>
    <row r="1030" spans="1:14" ht="18">
      <c r="A1030" s="29" t="s">
        <v>803</v>
      </c>
      <c r="B1030" s="1" t="s">
        <v>2456</v>
      </c>
      <c r="I1030" s="109"/>
      <c r="J1030" s="109"/>
      <c r="K1030" s="109"/>
      <c r="L1030" s="109" t="str">
        <f t="shared" si="16"/>
        <v>96-961500556</v>
      </c>
      <c r="M1030" s="114">
        <v>961500556</v>
      </c>
      <c r="N1030" s="114" t="s">
        <v>8726</v>
      </c>
    </row>
    <row r="1031" spans="1:14" ht="18">
      <c r="A1031" s="29" t="s">
        <v>837</v>
      </c>
      <c r="B1031" s="1" t="s">
        <v>2456</v>
      </c>
      <c r="I1031" s="109"/>
      <c r="J1031" s="109"/>
      <c r="K1031" s="109"/>
      <c r="L1031" s="109" t="str">
        <f t="shared" si="16"/>
        <v>96-961500574</v>
      </c>
      <c r="M1031" s="114">
        <v>961500574</v>
      </c>
      <c r="N1031" s="114" t="s">
        <v>7118</v>
      </c>
    </row>
    <row r="1032" spans="1:14" ht="18">
      <c r="A1032" s="29" t="s">
        <v>984</v>
      </c>
      <c r="B1032" s="1" t="s">
        <v>2456</v>
      </c>
      <c r="I1032" s="109"/>
      <c r="J1032" s="109"/>
      <c r="K1032" s="109"/>
      <c r="L1032" s="109" t="str">
        <f t="shared" si="16"/>
        <v>95-951500390</v>
      </c>
      <c r="M1032" s="114">
        <v>951500390</v>
      </c>
      <c r="N1032" s="114" t="s">
        <v>5668</v>
      </c>
    </row>
    <row r="1033" spans="1:14" ht="18">
      <c r="A1033" s="29" t="s">
        <v>887</v>
      </c>
      <c r="B1033" s="1" t="s">
        <v>2456</v>
      </c>
      <c r="I1033" s="109"/>
      <c r="J1033" s="109"/>
      <c r="K1033" s="109"/>
      <c r="L1033" s="109" t="str">
        <f t="shared" si="16"/>
        <v>95-951500397</v>
      </c>
      <c r="M1033" s="114">
        <v>951500397</v>
      </c>
      <c r="N1033" s="114" t="s">
        <v>5686</v>
      </c>
    </row>
    <row r="1034" spans="1:14" ht="18">
      <c r="A1034" s="29" t="s">
        <v>990</v>
      </c>
      <c r="B1034" s="1" t="s">
        <v>2456</v>
      </c>
      <c r="I1034" s="109"/>
      <c r="J1034" s="109"/>
      <c r="K1034" s="109"/>
      <c r="L1034" s="109" t="str">
        <f t="shared" si="16"/>
        <v>95-951500433</v>
      </c>
      <c r="M1034" s="114">
        <v>951500433</v>
      </c>
      <c r="N1034" s="114" t="s">
        <v>5698</v>
      </c>
    </row>
    <row r="1035" spans="1:14" ht="18">
      <c r="A1035" s="29" t="s">
        <v>988</v>
      </c>
      <c r="B1035" s="1" t="s">
        <v>2456</v>
      </c>
      <c r="I1035" s="109"/>
      <c r="J1035" s="109"/>
      <c r="K1035" s="109"/>
      <c r="L1035" s="109" t="str">
        <f t="shared" si="16"/>
        <v>95-951500457</v>
      </c>
      <c r="M1035" s="114">
        <v>951500457</v>
      </c>
      <c r="N1035" s="114" t="s">
        <v>5698</v>
      </c>
    </row>
    <row r="1036" spans="1:14" ht="18">
      <c r="A1036" s="29" t="s">
        <v>858</v>
      </c>
      <c r="B1036" s="1" t="s">
        <v>2456</v>
      </c>
      <c r="I1036" s="109"/>
      <c r="J1036" s="109"/>
      <c r="K1036" s="109"/>
      <c r="L1036" s="109" t="str">
        <f t="shared" si="16"/>
        <v>95-951500545</v>
      </c>
      <c r="M1036" s="114">
        <v>951500545</v>
      </c>
      <c r="N1036" s="114" t="s">
        <v>5712</v>
      </c>
    </row>
    <row r="1037" spans="1:14" ht="18">
      <c r="A1037" s="29" t="s">
        <v>1073</v>
      </c>
      <c r="B1037" s="1" t="s">
        <v>2456</v>
      </c>
      <c r="I1037" s="109"/>
      <c r="J1037" s="109"/>
      <c r="K1037" s="109"/>
      <c r="L1037" s="109" t="str">
        <f t="shared" si="16"/>
        <v>95-951500563</v>
      </c>
      <c r="M1037" s="114">
        <v>951500563</v>
      </c>
      <c r="N1037" s="114" t="s">
        <v>5746</v>
      </c>
    </row>
    <row r="1038" spans="1:14" ht="18">
      <c r="A1038" s="29" t="s">
        <v>1204</v>
      </c>
      <c r="B1038" s="1" t="s">
        <v>2456</v>
      </c>
      <c r="I1038" s="109"/>
      <c r="J1038" s="109"/>
      <c r="K1038" s="109"/>
      <c r="L1038" s="109" t="str">
        <f t="shared" si="16"/>
        <v>95-951500594</v>
      </c>
      <c r="M1038" s="114">
        <v>951500594</v>
      </c>
      <c r="N1038" s="114" t="s">
        <v>5748</v>
      </c>
    </row>
    <row r="1039" spans="1:14" ht="18">
      <c r="A1039" s="29" t="s">
        <v>899</v>
      </c>
      <c r="B1039" s="1" t="s">
        <v>2456</v>
      </c>
      <c r="I1039" s="109"/>
      <c r="J1039" s="109"/>
      <c r="K1039" s="109"/>
      <c r="L1039" s="109" t="str">
        <f t="shared" si="16"/>
        <v>96-961500001</v>
      </c>
      <c r="M1039" s="114">
        <v>961500001</v>
      </c>
      <c r="N1039" s="114" t="s">
        <v>5748</v>
      </c>
    </row>
    <row r="1040" spans="1:14" ht="18">
      <c r="A1040" s="29" t="s">
        <v>921</v>
      </c>
      <c r="B1040" s="1" t="s">
        <v>2456</v>
      </c>
      <c r="I1040" s="109"/>
      <c r="J1040" s="109"/>
      <c r="K1040" s="109"/>
      <c r="L1040" s="109" t="str">
        <f t="shared" si="16"/>
        <v>96-961500017</v>
      </c>
      <c r="M1040" s="114">
        <v>961500017</v>
      </c>
      <c r="N1040" s="114" t="s">
        <v>5751</v>
      </c>
    </row>
    <row r="1041" spans="1:14" ht="18">
      <c r="A1041" s="29" t="s">
        <v>1213</v>
      </c>
      <c r="B1041" s="1" t="s">
        <v>2456</v>
      </c>
      <c r="I1041" s="109"/>
      <c r="J1041" s="109"/>
      <c r="K1041" s="109"/>
      <c r="L1041" s="109" t="str">
        <f t="shared" si="16"/>
        <v>96-961500134</v>
      </c>
      <c r="M1041" s="114">
        <v>961500134</v>
      </c>
      <c r="N1041" s="114" t="s">
        <v>5803</v>
      </c>
    </row>
    <row r="1042" spans="1:14" ht="18">
      <c r="A1042" s="29" t="s">
        <v>949</v>
      </c>
      <c r="B1042" s="1" t="s">
        <v>2456</v>
      </c>
      <c r="I1042" s="109"/>
      <c r="J1042" s="109"/>
      <c r="K1042" s="109"/>
      <c r="L1042" s="109" t="str">
        <f t="shared" si="16"/>
        <v>96-961500145</v>
      </c>
      <c r="M1042" s="114">
        <v>961500145</v>
      </c>
      <c r="N1042" s="114" t="s">
        <v>5807</v>
      </c>
    </row>
    <row r="1043" spans="1:14" ht="18">
      <c r="A1043" s="29" t="s">
        <v>1606</v>
      </c>
      <c r="B1043" s="1" t="s">
        <v>2456</v>
      </c>
      <c r="I1043" s="109"/>
      <c r="J1043" s="109"/>
      <c r="K1043" s="109"/>
      <c r="L1043" s="109" t="str">
        <f t="shared" si="16"/>
        <v>96-961500191</v>
      </c>
      <c r="M1043" s="114">
        <v>961500191</v>
      </c>
      <c r="N1043" s="114" t="s">
        <v>5807</v>
      </c>
    </row>
    <row r="1044" spans="1:14" ht="18">
      <c r="A1044" s="29" t="s">
        <v>898</v>
      </c>
      <c r="B1044" s="1" t="s">
        <v>2456</v>
      </c>
      <c r="I1044" s="109"/>
      <c r="J1044" s="109"/>
      <c r="K1044" s="109"/>
      <c r="L1044" s="109" t="str">
        <f t="shared" si="16"/>
        <v>96-961500207</v>
      </c>
      <c r="M1044" s="114">
        <v>961500207</v>
      </c>
      <c r="N1044" s="114" t="s">
        <v>5820</v>
      </c>
    </row>
    <row r="1045" spans="1:14" ht="18">
      <c r="A1045" s="29" t="s">
        <v>862</v>
      </c>
      <c r="B1045" s="1" t="s">
        <v>2456</v>
      </c>
      <c r="I1045" s="109"/>
      <c r="J1045" s="109"/>
      <c r="K1045" s="109"/>
      <c r="L1045" s="109" t="str">
        <f t="shared" si="16"/>
        <v>96-961500242</v>
      </c>
      <c r="M1045" s="114">
        <v>961500242</v>
      </c>
      <c r="N1045" s="114" t="s">
        <v>5819</v>
      </c>
    </row>
    <row r="1046" spans="1:14" ht="18">
      <c r="A1046" s="29" t="s">
        <v>914</v>
      </c>
      <c r="B1046" s="1" t="s">
        <v>2456</v>
      </c>
      <c r="I1046" s="109"/>
      <c r="J1046" s="109"/>
      <c r="K1046" s="109"/>
      <c r="L1046" s="109" t="str">
        <f t="shared" si="16"/>
        <v>95-951500020</v>
      </c>
      <c r="M1046" s="114">
        <v>951500020</v>
      </c>
      <c r="N1046" s="114" t="s">
        <v>5608</v>
      </c>
    </row>
    <row r="1047" spans="1:14" ht="18">
      <c r="A1047" s="29" t="s">
        <v>989</v>
      </c>
      <c r="B1047" s="1" t="s">
        <v>2456</v>
      </c>
      <c r="I1047" s="109"/>
      <c r="J1047" s="109"/>
      <c r="K1047" s="109"/>
      <c r="L1047" s="109" t="str">
        <f t="shared" si="16"/>
        <v>95-951500045</v>
      </c>
      <c r="M1047" s="114">
        <v>951500045</v>
      </c>
      <c r="N1047" s="114" t="s">
        <v>5608</v>
      </c>
    </row>
    <row r="1048" spans="1:14" ht="18">
      <c r="A1048" s="29" t="s">
        <v>888</v>
      </c>
      <c r="B1048" s="1" t="s">
        <v>2456</v>
      </c>
      <c r="I1048" s="109"/>
      <c r="J1048" s="109"/>
      <c r="K1048" s="109"/>
      <c r="L1048" s="109" t="str">
        <f t="shared" si="16"/>
        <v>95-951500062</v>
      </c>
      <c r="M1048" s="114">
        <v>951500062</v>
      </c>
      <c r="N1048" s="114" t="s">
        <v>5608</v>
      </c>
    </row>
    <row r="1049" spans="1:14" ht="18">
      <c r="A1049" s="29" t="s">
        <v>923</v>
      </c>
      <c r="B1049" s="1" t="s">
        <v>2456</v>
      </c>
      <c r="I1049" s="109"/>
      <c r="J1049" s="109"/>
      <c r="K1049" s="109"/>
      <c r="L1049" s="109" t="str">
        <f t="shared" si="16"/>
        <v>95-951500069</v>
      </c>
      <c r="M1049" s="114">
        <v>951500069</v>
      </c>
      <c r="N1049" s="114" t="s">
        <v>5608</v>
      </c>
    </row>
    <row r="1050" spans="1:14" ht="18">
      <c r="A1050" s="29" t="s">
        <v>909</v>
      </c>
      <c r="B1050" s="1" t="s">
        <v>2456</v>
      </c>
      <c r="I1050" s="109"/>
      <c r="J1050" s="109"/>
      <c r="K1050" s="109"/>
      <c r="L1050" s="109" t="str">
        <f t="shared" si="16"/>
        <v>95-951500183</v>
      </c>
      <c r="M1050" s="114">
        <v>951500183</v>
      </c>
      <c r="N1050" s="114" t="s">
        <v>5622</v>
      </c>
    </row>
    <row r="1051" spans="1:14" ht="18">
      <c r="A1051" s="29" t="s">
        <v>845</v>
      </c>
      <c r="B1051" s="1" t="s">
        <v>2456</v>
      </c>
      <c r="I1051" s="109"/>
      <c r="J1051" s="109"/>
      <c r="K1051" s="109"/>
      <c r="L1051" s="109" t="str">
        <f t="shared" si="16"/>
        <v>95-951500487</v>
      </c>
      <c r="M1051" s="114">
        <v>951500487</v>
      </c>
      <c r="N1051" s="114" t="s">
        <v>5690</v>
      </c>
    </row>
    <row r="1052" spans="1:14" ht="18">
      <c r="A1052" s="29" t="s">
        <v>1012</v>
      </c>
      <c r="B1052" s="1" t="s">
        <v>2456</v>
      </c>
      <c r="I1052" s="109"/>
      <c r="J1052" s="109"/>
      <c r="K1052" s="109"/>
      <c r="L1052" s="109" t="str">
        <f t="shared" si="16"/>
        <v>96-961500345</v>
      </c>
      <c r="M1052" s="114">
        <v>961500345</v>
      </c>
      <c r="N1052" s="114" t="s">
        <v>7233</v>
      </c>
    </row>
    <row r="1053" spans="1:14" ht="18">
      <c r="A1053" s="29" t="s">
        <v>896</v>
      </c>
      <c r="B1053" s="1" t="s">
        <v>2456</v>
      </c>
      <c r="I1053" s="109"/>
      <c r="J1053" s="109"/>
      <c r="K1053" s="109"/>
      <c r="L1053" s="109" t="str">
        <f t="shared" si="16"/>
        <v>96-961500355</v>
      </c>
      <c r="M1053" s="114">
        <v>961500355</v>
      </c>
      <c r="N1053" s="114" t="s">
        <v>7233</v>
      </c>
    </row>
    <row r="1054" spans="1:14" ht="18">
      <c r="A1054" s="29" t="s">
        <v>1102</v>
      </c>
      <c r="B1054" s="1" t="s">
        <v>2456</v>
      </c>
      <c r="I1054" s="109"/>
      <c r="J1054" s="109"/>
      <c r="K1054" s="109"/>
      <c r="L1054" s="109" t="str">
        <f t="shared" si="16"/>
        <v>96-961500425</v>
      </c>
      <c r="M1054" s="114">
        <v>961500425</v>
      </c>
      <c r="N1054" s="114" t="s">
        <v>7233</v>
      </c>
    </row>
    <row r="1055" spans="1:14" ht="18">
      <c r="A1055" s="29" t="s">
        <v>1214</v>
      </c>
      <c r="B1055" s="1" t="s">
        <v>2456</v>
      </c>
      <c r="I1055" s="109"/>
      <c r="J1055" s="109"/>
      <c r="K1055" s="109"/>
      <c r="L1055" s="109" t="str">
        <f t="shared" si="16"/>
        <v>96-961500437</v>
      </c>
      <c r="M1055" s="114">
        <v>961500437</v>
      </c>
      <c r="N1055" s="114" t="s">
        <v>7233</v>
      </c>
    </row>
    <row r="1056" spans="1:14" ht="18">
      <c r="A1056" s="29" t="s">
        <v>1220</v>
      </c>
      <c r="B1056" s="1" t="s">
        <v>2456</v>
      </c>
      <c r="I1056" s="109"/>
      <c r="J1056" s="109"/>
      <c r="K1056" s="109"/>
      <c r="L1056" s="109" t="str">
        <f t="shared" si="16"/>
        <v>96-961500440</v>
      </c>
      <c r="M1056" s="114">
        <v>961500440</v>
      </c>
      <c r="N1056" s="114" t="s">
        <v>7233</v>
      </c>
    </row>
    <row r="1057" spans="1:14" ht="18">
      <c r="A1057" s="29" t="s">
        <v>1234</v>
      </c>
      <c r="B1057" s="1" t="s">
        <v>2456</v>
      </c>
      <c r="I1057" s="109"/>
      <c r="J1057" s="109"/>
      <c r="K1057" s="109"/>
      <c r="L1057" s="109" t="str">
        <f t="shared" si="16"/>
        <v>95-951500009</v>
      </c>
      <c r="M1057" s="114">
        <v>951500009</v>
      </c>
      <c r="N1057" s="114" t="s">
        <v>5610</v>
      </c>
    </row>
    <row r="1058" spans="1:14" ht="18">
      <c r="A1058" s="29" t="s">
        <v>1230</v>
      </c>
      <c r="B1058" s="1" t="s">
        <v>2456</v>
      </c>
      <c r="I1058" s="109"/>
      <c r="J1058" s="109"/>
      <c r="K1058" s="109"/>
      <c r="L1058" s="109" t="str">
        <f t="shared" si="16"/>
        <v>95-951500011</v>
      </c>
      <c r="M1058" s="114">
        <v>951500011</v>
      </c>
      <c r="N1058" s="114" t="s">
        <v>5610</v>
      </c>
    </row>
    <row r="1059" spans="1:14" ht="18">
      <c r="A1059" s="29" t="s">
        <v>885</v>
      </c>
      <c r="B1059" s="1" t="s">
        <v>2456</v>
      </c>
      <c r="I1059" s="109"/>
      <c r="J1059" s="109"/>
      <c r="K1059" s="109"/>
      <c r="L1059" s="109" t="str">
        <f t="shared" si="16"/>
        <v>95-951500151</v>
      </c>
      <c r="M1059" s="114">
        <v>951500151</v>
      </c>
      <c r="N1059" s="114" t="s">
        <v>5614</v>
      </c>
    </row>
    <row r="1060" spans="1:14" ht="18">
      <c r="A1060" s="29" t="s">
        <v>1026</v>
      </c>
      <c r="B1060" s="1" t="s">
        <v>2456</v>
      </c>
      <c r="I1060" s="109"/>
      <c r="J1060" s="109"/>
      <c r="K1060" s="109"/>
      <c r="L1060" s="109" t="str">
        <f t="shared" si="16"/>
        <v>95-952000238</v>
      </c>
      <c r="M1060" s="114">
        <v>952000238</v>
      </c>
      <c r="N1060" s="114" t="s">
        <v>7248</v>
      </c>
    </row>
    <row r="1061" spans="1:14" ht="18">
      <c r="A1061" s="29" t="s">
        <v>985</v>
      </c>
      <c r="B1061" s="1" t="s">
        <v>2456</v>
      </c>
      <c r="I1061" s="109"/>
      <c r="J1061" s="109"/>
      <c r="K1061" s="109"/>
      <c r="L1061" s="109" t="str">
        <f t="shared" si="16"/>
        <v>96-962000033</v>
      </c>
      <c r="M1061" s="114">
        <v>962000033</v>
      </c>
      <c r="N1061" s="114" t="s">
        <v>7112</v>
      </c>
    </row>
    <row r="1062" spans="1:14" ht="18">
      <c r="A1062" s="29" t="s">
        <v>1029</v>
      </c>
      <c r="B1062" s="1" t="s">
        <v>2456</v>
      </c>
      <c r="I1062" s="109"/>
      <c r="J1062" s="109"/>
      <c r="K1062" s="109"/>
      <c r="L1062" s="109" t="str">
        <f t="shared" si="16"/>
        <v>96-961500267</v>
      </c>
      <c r="M1062" s="114">
        <v>961500267</v>
      </c>
      <c r="N1062" s="114" t="s">
        <v>5807</v>
      </c>
    </row>
    <row r="1063" spans="1:14" ht="18">
      <c r="A1063" s="29" t="s">
        <v>1233</v>
      </c>
      <c r="B1063" s="1" t="s">
        <v>2456</v>
      </c>
      <c r="I1063" s="109"/>
      <c r="J1063" s="109"/>
      <c r="K1063" s="109"/>
      <c r="L1063" s="109" t="str">
        <f t="shared" si="16"/>
        <v>96-961500361</v>
      </c>
      <c r="M1063" s="114">
        <v>961500361</v>
      </c>
      <c r="N1063" s="114" t="s">
        <v>5836</v>
      </c>
    </row>
    <row r="1064" spans="1:14" ht="18">
      <c r="A1064" s="29" t="s">
        <v>903</v>
      </c>
      <c r="B1064" s="1" t="s">
        <v>2456</v>
      </c>
      <c r="I1064" s="109"/>
      <c r="J1064" s="109"/>
      <c r="K1064" s="109"/>
      <c r="L1064" s="109" t="str">
        <f t="shared" si="16"/>
        <v>96-961500387</v>
      </c>
      <c r="M1064" s="114">
        <v>961500387</v>
      </c>
      <c r="N1064" s="114" t="s">
        <v>5836</v>
      </c>
    </row>
    <row r="1065" spans="1:14" ht="18">
      <c r="A1065" s="29" t="s">
        <v>1023</v>
      </c>
      <c r="B1065" s="1" t="s">
        <v>2456</v>
      </c>
      <c r="I1065" s="109"/>
      <c r="J1065" s="109"/>
      <c r="K1065" s="109"/>
      <c r="L1065" s="109" t="str">
        <f t="shared" si="16"/>
        <v>96-961500442</v>
      </c>
      <c r="M1065" s="114">
        <v>961500442</v>
      </c>
      <c r="N1065" s="114" t="s">
        <v>5836</v>
      </c>
    </row>
    <row r="1066" spans="1:14" ht="18">
      <c r="A1066" s="29" t="s">
        <v>884</v>
      </c>
      <c r="B1066" s="1" t="s">
        <v>2456</v>
      </c>
      <c r="I1066" s="109"/>
      <c r="J1066" s="109"/>
      <c r="K1066" s="109"/>
      <c r="L1066" s="109" t="str">
        <f t="shared" si="16"/>
        <v>96-961500448</v>
      </c>
      <c r="M1066" s="114">
        <v>961500448</v>
      </c>
      <c r="N1066" s="114" t="s">
        <v>5836</v>
      </c>
    </row>
    <row r="1067" spans="1:14" ht="18">
      <c r="A1067" s="29" t="s">
        <v>997</v>
      </c>
      <c r="B1067" s="1" t="s">
        <v>2456</v>
      </c>
      <c r="I1067" s="109"/>
      <c r="J1067" s="109"/>
      <c r="K1067" s="109"/>
      <c r="L1067" s="109" t="str">
        <f t="shared" si="16"/>
        <v>96-961500451</v>
      </c>
      <c r="M1067" s="114">
        <v>961500451</v>
      </c>
      <c r="N1067" s="114" t="s">
        <v>5836</v>
      </c>
    </row>
    <row r="1068" spans="1:14" ht="18">
      <c r="A1068" s="29" t="s">
        <v>1024</v>
      </c>
      <c r="B1068" s="1" t="s">
        <v>2456</v>
      </c>
      <c r="I1068" s="109"/>
      <c r="J1068" s="109"/>
      <c r="K1068" s="109"/>
      <c r="L1068" s="109" t="str">
        <f t="shared" si="16"/>
        <v>96-961500566</v>
      </c>
      <c r="M1068" s="114">
        <v>961500566</v>
      </c>
      <c r="N1068" s="114" t="s">
        <v>8722</v>
      </c>
    </row>
    <row r="1069" spans="1:14" ht="18">
      <c r="A1069" s="29" t="s">
        <v>954</v>
      </c>
      <c r="B1069" s="1" t="s">
        <v>2456</v>
      </c>
      <c r="I1069" s="109"/>
      <c r="J1069" s="109"/>
      <c r="K1069" s="109"/>
      <c r="L1069" s="109" t="str">
        <f t="shared" si="16"/>
        <v>95-951500387</v>
      </c>
      <c r="M1069" s="114">
        <v>951500387</v>
      </c>
      <c r="N1069" s="114" t="s">
        <v>5666</v>
      </c>
    </row>
    <row r="1070" spans="1:14" ht="18">
      <c r="A1070" s="29" t="s">
        <v>1018</v>
      </c>
      <c r="B1070" s="1" t="s">
        <v>2456</v>
      </c>
      <c r="I1070" s="109"/>
      <c r="J1070" s="109"/>
      <c r="K1070" s="109"/>
      <c r="L1070" s="109" t="str">
        <f t="shared" si="16"/>
        <v>95-951500405</v>
      </c>
      <c r="M1070" s="114">
        <v>951500405</v>
      </c>
      <c r="N1070" s="114" t="s">
        <v>5687</v>
      </c>
    </row>
    <row r="1071" spans="1:14" ht="18">
      <c r="A1071" s="29" t="s">
        <v>1017</v>
      </c>
      <c r="B1071" s="1" t="s">
        <v>2456</v>
      </c>
      <c r="I1071" s="109"/>
      <c r="J1071" s="109"/>
      <c r="K1071" s="109"/>
      <c r="L1071" s="109" t="str">
        <f t="shared" si="16"/>
        <v>95-951500547</v>
      </c>
      <c r="M1071" s="114">
        <v>951500547</v>
      </c>
      <c r="N1071" s="114" t="s">
        <v>5728</v>
      </c>
    </row>
    <row r="1072" spans="1:14" ht="18">
      <c r="A1072" s="29" t="s">
        <v>841</v>
      </c>
      <c r="B1072" s="1" t="s">
        <v>2456</v>
      </c>
      <c r="I1072" s="109"/>
      <c r="J1072" s="109"/>
      <c r="K1072" s="109"/>
      <c r="L1072" s="109" t="str">
        <f t="shared" si="16"/>
        <v>95-951500604</v>
      </c>
      <c r="M1072" s="114">
        <v>951500604</v>
      </c>
      <c r="N1072" s="114" t="s">
        <v>5764</v>
      </c>
    </row>
    <row r="1073" spans="1:14" ht="18">
      <c r="A1073" s="29" t="s">
        <v>840</v>
      </c>
      <c r="B1073" s="1" t="s">
        <v>2456</v>
      </c>
      <c r="I1073" s="109"/>
      <c r="J1073" s="109"/>
      <c r="K1073" s="109"/>
      <c r="L1073" s="109" t="str">
        <f t="shared" si="16"/>
        <v>96-961500102</v>
      </c>
      <c r="M1073" s="114">
        <v>961500102</v>
      </c>
      <c r="N1073" s="114" t="s">
        <v>5800</v>
      </c>
    </row>
    <row r="1074" spans="1:14" ht="18">
      <c r="A1074" s="29" t="s">
        <v>1228</v>
      </c>
      <c r="B1074" s="1" t="s">
        <v>2456</v>
      </c>
      <c r="I1074" s="109"/>
      <c r="J1074" s="109"/>
      <c r="K1074" s="109"/>
      <c r="L1074" s="109" t="str">
        <f t="shared" si="16"/>
        <v>96-961500159</v>
      </c>
      <c r="M1074" s="114">
        <v>961500159</v>
      </c>
      <c r="N1074" s="114" t="s">
        <v>5806</v>
      </c>
    </row>
    <row r="1075" spans="1:14" ht="18">
      <c r="A1075" s="29" t="s">
        <v>1607</v>
      </c>
      <c r="B1075" s="1" t="s">
        <v>2456</v>
      </c>
      <c r="I1075" s="109"/>
      <c r="J1075" s="109"/>
      <c r="K1075" s="109"/>
      <c r="L1075" s="109" t="str">
        <f t="shared" si="16"/>
        <v>96-961500287</v>
      </c>
      <c r="M1075" s="114">
        <v>961500287</v>
      </c>
      <c r="N1075" s="114" t="s">
        <v>5838</v>
      </c>
    </row>
    <row r="1076" spans="1:14" ht="18">
      <c r="A1076" s="29" t="s">
        <v>1206</v>
      </c>
      <c r="B1076" s="1" t="s">
        <v>2456</v>
      </c>
      <c r="I1076" s="109"/>
      <c r="J1076" s="109"/>
      <c r="K1076" s="109"/>
      <c r="L1076" s="109" t="str">
        <f t="shared" si="16"/>
        <v>96-961500311</v>
      </c>
      <c r="M1076" s="114">
        <v>961500311</v>
      </c>
      <c r="N1076" s="114" t="s">
        <v>5845</v>
      </c>
    </row>
    <row r="1077" spans="1:14" ht="18">
      <c r="A1077" s="29" t="s">
        <v>1025</v>
      </c>
      <c r="B1077" s="1" t="s">
        <v>2456</v>
      </c>
      <c r="I1077" s="109"/>
      <c r="J1077" s="109"/>
      <c r="K1077" s="109"/>
      <c r="L1077" s="109" t="str">
        <f t="shared" si="16"/>
        <v>96-961500314</v>
      </c>
      <c r="M1077" s="114">
        <v>961500314</v>
      </c>
      <c r="N1077" s="114" t="s">
        <v>5847</v>
      </c>
    </row>
    <row r="1078" spans="1:14" ht="18">
      <c r="A1078" s="29" t="s">
        <v>892</v>
      </c>
      <c r="B1078" s="1" t="s">
        <v>2456</v>
      </c>
      <c r="I1078" s="109"/>
      <c r="J1078" s="109"/>
      <c r="K1078" s="109"/>
      <c r="L1078" s="109" t="str">
        <f t="shared" si="16"/>
        <v>96-961500332</v>
      </c>
      <c r="M1078" s="114">
        <v>961500332</v>
      </c>
      <c r="N1078" s="114" t="s">
        <v>7258</v>
      </c>
    </row>
    <row r="1079" spans="1:14" ht="18">
      <c r="A1079" s="29" t="s">
        <v>1066</v>
      </c>
      <c r="B1079" s="1" t="s">
        <v>2456</v>
      </c>
      <c r="I1079" s="109"/>
      <c r="J1079" s="109"/>
      <c r="K1079" s="109"/>
      <c r="L1079" s="109" t="str">
        <f t="shared" si="16"/>
        <v>95-951500546</v>
      </c>
      <c r="M1079" s="114">
        <v>951500546</v>
      </c>
      <c r="N1079" s="114" t="s">
        <v>5717</v>
      </c>
    </row>
    <row r="1080" spans="1:14" ht="18">
      <c r="A1080" s="29" t="s">
        <v>1065</v>
      </c>
      <c r="B1080" s="1" t="s">
        <v>2456</v>
      </c>
      <c r="I1080" s="109"/>
      <c r="J1080" s="109"/>
      <c r="K1080" s="109"/>
      <c r="L1080" s="109" t="str">
        <f t="shared" si="16"/>
        <v>95-951500566</v>
      </c>
      <c r="M1080" s="114">
        <v>951500566</v>
      </c>
      <c r="N1080" s="114" t="s">
        <v>5723</v>
      </c>
    </row>
    <row r="1081" spans="1:14" ht="18">
      <c r="A1081" s="29" t="s">
        <v>894</v>
      </c>
      <c r="B1081" s="1" t="s">
        <v>2456</v>
      </c>
      <c r="I1081" s="109"/>
      <c r="J1081" s="109"/>
      <c r="K1081" s="109"/>
      <c r="L1081" s="109" t="str">
        <f t="shared" si="16"/>
        <v>95-951500567</v>
      </c>
      <c r="M1081" s="114">
        <v>951500567</v>
      </c>
      <c r="N1081" s="114" t="s">
        <v>5717</v>
      </c>
    </row>
    <row r="1082" spans="1:14" ht="18">
      <c r="A1082" s="29" t="s">
        <v>891</v>
      </c>
      <c r="B1082" s="1" t="s">
        <v>2456</v>
      </c>
      <c r="I1082" s="109"/>
      <c r="J1082" s="109"/>
      <c r="K1082" s="109"/>
      <c r="L1082" s="109" t="str">
        <f t="shared" si="16"/>
        <v>95-951500568</v>
      </c>
      <c r="M1082" s="114">
        <v>951500568</v>
      </c>
      <c r="N1082" s="114" t="s">
        <v>5723</v>
      </c>
    </row>
    <row r="1083" spans="1:14" ht="18">
      <c r="A1083" s="29" t="s">
        <v>2232</v>
      </c>
      <c r="B1083" s="1" t="s">
        <v>2456</v>
      </c>
      <c r="I1083" s="109"/>
      <c r="J1083" s="109"/>
      <c r="K1083" s="109"/>
      <c r="L1083" s="109" t="str">
        <f t="shared" si="16"/>
        <v>96-961500112</v>
      </c>
      <c r="M1083" s="114">
        <v>961500112</v>
      </c>
      <c r="N1083" s="114" t="s">
        <v>5793</v>
      </c>
    </row>
    <row r="1084" spans="1:14" ht="18">
      <c r="A1084" s="29" t="s">
        <v>2454</v>
      </c>
      <c r="B1084" s="1" t="s">
        <v>2456</v>
      </c>
      <c r="I1084" s="109"/>
      <c r="J1084" s="109"/>
      <c r="K1084" s="109"/>
      <c r="L1084" s="109" t="str">
        <f t="shared" si="16"/>
        <v>96-961500183</v>
      </c>
      <c r="M1084" s="114">
        <v>961500183</v>
      </c>
      <c r="N1084" s="114" t="s">
        <v>5816</v>
      </c>
    </row>
    <row r="1085" spans="1:14" ht="18">
      <c r="A1085" s="29" t="s">
        <v>961</v>
      </c>
      <c r="B1085" s="1" t="s">
        <v>2456</v>
      </c>
      <c r="I1085" s="109"/>
      <c r="J1085" s="109"/>
      <c r="K1085" s="109"/>
      <c r="L1085" s="109" t="str">
        <f t="shared" si="16"/>
        <v>96-961500279</v>
      </c>
      <c r="M1085" s="114">
        <v>961500279</v>
      </c>
      <c r="N1085" s="114" t="s">
        <v>5822</v>
      </c>
    </row>
    <row r="1086" spans="1:14" ht="18">
      <c r="A1086" s="29" t="s">
        <v>974</v>
      </c>
      <c r="B1086" s="1" t="s">
        <v>2456</v>
      </c>
      <c r="I1086" s="109"/>
      <c r="J1086" s="109"/>
      <c r="K1086" s="109"/>
      <c r="L1086" s="109" t="str">
        <f t="shared" si="16"/>
        <v>96-961500408</v>
      </c>
      <c r="M1086" s="114">
        <v>961500408</v>
      </c>
      <c r="N1086" s="114" t="s">
        <v>5852</v>
      </c>
    </row>
    <row r="1087" spans="1:14" ht="18">
      <c r="A1087" s="29" t="s">
        <v>2231</v>
      </c>
      <c r="B1087" s="1" t="s">
        <v>2456</v>
      </c>
      <c r="I1087" s="109"/>
      <c r="J1087" s="109"/>
      <c r="K1087" s="109"/>
      <c r="L1087" s="109" t="str">
        <f t="shared" si="16"/>
        <v>96-961500424</v>
      </c>
      <c r="M1087" s="114">
        <v>961500424</v>
      </c>
      <c r="N1087" s="114" t="s">
        <v>5852</v>
      </c>
    </row>
    <row r="1088" spans="1:14" ht="18">
      <c r="A1088" s="29" t="s">
        <v>975</v>
      </c>
      <c r="B1088" s="1" t="s">
        <v>2456</v>
      </c>
      <c r="I1088" s="109"/>
      <c r="J1088" s="109"/>
      <c r="K1088" s="109"/>
      <c r="L1088" s="109" t="str">
        <f t="shared" si="16"/>
        <v>96-961500454</v>
      </c>
      <c r="M1088" s="114">
        <v>961500454</v>
      </c>
      <c r="N1088" s="114" t="s">
        <v>7255</v>
      </c>
    </row>
    <row r="1089" spans="1:14" ht="18">
      <c r="A1089" s="29" t="s">
        <v>861</v>
      </c>
      <c r="B1089" s="1" t="s">
        <v>2456</v>
      </c>
      <c r="I1089" s="109"/>
      <c r="J1089" s="109"/>
      <c r="K1089" s="109"/>
      <c r="L1089" s="109" t="str">
        <f t="shared" si="16"/>
        <v>96-961500482</v>
      </c>
      <c r="M1089" s="114">
        <v>961500482</v>
      </c>
      <c r="N1089" s="114" t="s">
        <v>7114</v>
      </c>
    </row>
    <row r="1090" spans="1:14" ht="18">
      <c r="A1090" s="29" t="s">
        <v>1246</v>
      </c>
      <c r="B1090" s="1" t="s">
        <v>2456</v>
      </c>
      <c r="I1090" s="109"/>
      <c r="J1090" s="109"/>
      <c r="K1090" s="109"/>
      <c r="L1090" s="109" t="str">
        <f t="shared" si="16"/>
        <v>96-961500514</v>
      </c>
      <c r="M1090" s="114">
        <v>961500514</v>
      </c>
      <c r="N1090" s="114" t="s">
        <v>7114</v>
      </c>
    </row>
    <row r="1091" spans="1:14" ht="18">
      <c r="A1091" s="29" t="s">
        <v>1033</v>
      </c>
      <c r="B1091" s="1" t="s">
        <v>2456</v>
      </c>
      <c r="I1091" s="109"/>
      <c r="J1091" s="109"/>
      <c r="K1091" s="109"/>
      <c r="L1091" s="109" t="str">
        <f t="shared" ref="L1091:L1154" si="17">MID(M1091,1,2)&amp;"-"&amp;M1091</f>
        <v>95-951500263</v>
      </c>
      <c r="M1091" s="114">
        <v>951500263</v>
      </c>
      <c r="N1091" s="114" t="s">
        <v>5651</v>
      </c>
    </row>
    <row r="1092" spans="1:14" ht="18">
      <c r="A1092" s="29" t="s">
        <v>946</v>
      </c>
      <c r="B1092" s="1" t="s">
        <v>2456</v>
      </c>
      <c r="I1092" s="109"/>
      <c r="J1092" s="109"/>
      <c r="K1092" s="109"/>
      <c r="L1092" s="109" t="str">
        <f t="shared" si="17"/>
        <v>95-951500360</v>
      </c>
      <c r="M1092" s="114">
        <v>951500360</v>
      </c>
      <c r="N1092" s="114" t="s">
        <v>5662</v>
      </c>
    </row>
    <row r="1093" spans="1:14" ht="18">
      <c r="A1093" s="29" t="s">
        <v>2455</v>
      </c>
      <c r="B1093" s="1" t="s">
        <v>2456</v>
      </c>
      <c r="I1093" s="109"/>
      <c r="J1093" s="109"/>
      <c r="K1093" s="109"/>
      <c r="L1093" s="109" t="str">
        <f t="shared" si="17"/>
        <v>95-951500365</v>
      </c>
      <c r="M1093" s="114">
        <v>951500365</v>
      </c>
      <c r="N1093" s="114" t="s">
        <v>5660</v>
      </c>
    </row>
    <row r="1094" spans="1:14" ht="18">
      <c r="A1094" s="29" t="s">
        <v>1021</v>
      </c>
      <c r="B1094" s="1" t="s">
        <v>2456</v>
      </c>
      <c r="I1094" s="109"/>
      <c r="J1094" s="109"/>
      <c r="K1094" s="109"/>
      <c r="L1094" s="109" t="str">
        <f t="shared" si="17"/>
        <v>95-951500439</v>
      </c>
      <c r="M1094" s="114">
        <v>951500439</v>
      </c>
      <c r="N1094" s="114" t="s">
        <v>5698</v>
      </c>
    </row>
    <row r="1095" spans="1:14" ht="18">
      <c r="A1095" s="29" t="s">
        <v>1236</v>
      </c>
      <c r="B1095" s="1" t="s">
        <v>2456</v>
      </c>
      <c r="I1095" s="109"/>
      <c r="J1095" s="109"/>
      <c r="K1095" s="109"/>
      <c r="L1095" s="109" t="str">
        <f t="shared" si="17"/>
        <v>95-951500440</v>
      </c>
      <c r="M1095" s="114">
        <v>951500440</v>
      </c>
      <c r="N1095" s="114" t="s">
        <v>5698</v>
      </c>
    </row>
    <row r="1096" spans="1:14" ht="18">
      <c r="A1096" s="29" t="s">
        <v>1041</v>
      </c>
      <c r="B1096" s="1" t="s">
        <v>2456</v>
      </c>
      <c r="I1096" s="109"/>
      <c r="J1096" s="109"/>
      <c r="K1096" s="109"/>
      <c r="L1096" s="109" t="str">
        <f t="shared" si="17"/>
        <v>96-961500519</v>
      </c>
      <c r="M1096" s="114">
        <v>961500519</v>
      </c>
      <c r="N1096" s="114" t="s">
        <v>5842</v>
      </c>
    </row>
    <row r="1097" spans="1:14" ht="18">
      <c r="A1097" s="29" t="s">
        <v>996</v>
      </c>
      <c r="B1097" s="1" t="s">
        <v>2456</v>
      </c>
      <c r="I1097" s="109"/>
      <c r="J1097" s="109"/>
      <c r="K1097" s="109"/>
      <c r="L1097" s="109" t="str">
        <f t="shared" si="17"/>
        <v>95-951500351</v>
      </c>
      <c r="M1097" s="114">
        <v>951500351</v>
      </c>
      <c r="N1097" s="114" t="s">
        <v>5669</v>
      </c>
    </row>
    <row r="1098" spans="1:14" ht="18">
      <c r="A1098" s="29" t="s">
        <v>995</v>
      </c>
      <c r="B1098" s="1" t="s">
        <v>2456</v>
      </c>
      <c r="I1098" s="109"/>
      <c r="J1098" s="109"/>
      <c r="K1098" s="109"/>
      <c r="L1098" s="109" t="str">
        <f t="shared" si="17"/>
        <v>95-951500509</v>
      </c>
      <c r="M1098" s="114">
        <v>951500509</v>
      </c>
      <c r="N1098" s="114" t="s">
        <v>5720</v>
      </c>
    </row>
    <row r="1099" spans="1:14" ht="18">
      <c r="A1099" s="29" t="s">
        <v>1140</v>
      </c>
      <c r="B1099" s="1" t="s">
        <v>2456</v>
      </c>
      <c r="I1099" s="109"/>
      <c r="J1099" s="109"/>
      <c r="K1099" s="109"/>
      <c r="L1099" s="109" t="str">
        <f t="shared" si="17"/>
        <v>96-961500049</v>
      </c>
      <c r="M1099" s="114">
        <v>961500049</v>
      </c>
      <c r="N1099" s="114" t="s">
        <v>5764</v>
      </c>
    </row>
    <row r="1100" spans="1:14" ht="18">
      <c r="A1100" s="29" t="s">
        <v>1034</v>
      </c>
      <c r="B1100" s="1" t="s">
        <v>2456</v>
      </c>
      <c r="I1100" s="109"/>
      <c r="J1100" s="109"/>
      <c r="K1100" s="109"/>
      <c r="L1100" s="109" t="str">
        <f t="shared" si="17"/>
        <v>96-961500083</v>
      </c>
      <c r="M1100" s="114">
        <v>961500083</v>
      </c>
      <c r="N1100" s="114" t="s">
        <v>5795</v>
      </c>
    </row>
    <row r="1101" spans="1:14" ht="18">
      <c r="A1101" s="29" t="s">
        <v>1040</v>
      </c>
      <c r="B1101" s="1" t="s">
        <v>2456</v>
      </c>
      <c r="I1101" s="109"/>
      <c r="J1101" s="109"/>
      <c r="K1101" s="109"/>
      <c r="L1101" s="109" t="str">
        <f t="shared" si="17"/>
        <v>96-961500095</v>
      </c>
      <c r="M1101" s="114">
        <v>961500095</v>
      </c>
      <c r="N1101" s="114" t="s">
        <v>5795</v>
      </c>
    </row>
    <row r="1102" spans="1:14" ht="18">
      <c r="A1102" s="29" t="s">
        <v>944</v>
      </c>
      <c r="B1102" s="1" t="s">
        <v>2456</v>
      </c>
      <c r="I1102" s="109"/>
      <c r="J1102" s="109"/>
      <c r="K1102" s="109"/>
      <c r="L1102" s="109" t="str">
        <f t="shared" si="17"/>
        <v>96-961500231</v>
      </c>
      <c r="M1102" s="114">
        <v>961500231</v>
      </c>
      <c r="N1102" s="114" t="s">
        <v>5823</v>
      </c>
    </row>
    <row r="1103" spans="1:14" ht="18">
      <c r="A1103" s="29" t="s">
        <v>1469</v>
      </c>
      <c r="B1103" s="1" t="s">
        <v>2456</v>
      </c>
      <c r="I1103" s="109"/>
      <c r="J1103" s="109"/>
      <c r="K1103" s="109"/>
      <c r="L1103" s="109" t="str">
        <f t="shared" si="17"/>
        <v>96-961500315</v>
      </c>
      <c r="M1103" s="114">
        <v>961500315</v>
      </c>
      <c r="N1103" s="114" t="s">
        <v>5847</v>
      </c>
    </row>
    <row r="1104" spans="1:14" ht="18">
      <c r="A1104" s="29" t="s">
        <v>957</v>
      </c>
      <c r="B1104" s="1" t="s">
        <v>2456</v>
      </c>
      <c r="I1104" s="109"/>
      <c r="J1104" s="109"/>
      <c r="K1104" s="109"/>
      <c r="L1104" s="109" t="str">
        <f t="shared" si="17"/>
        <v>95-951200059</v>
      </c>
      <c r="M1104" s="114">
        <v>951200059</v>
      </c>
      <c r="N1104" s="114" t="s">
        <v>7277</v>
      </c>
    </row>
    <row r="1105" spans="1:14" ht="18">
      <c r="A1105" s="29" t="s">
        <v>2214</v>
      </c>
      <c r="B1105" s="1" t="s">
        <v>2456</v>
      </c>
      <c r="I1105" s="109"/>
      <c r="J1105" s="109"/>
      <c r="K1105" s="109"/>
      <c r="L1105" s="109" t="str">
        <f t="shared" si="17"/>
        <v>95-951500312</v>
      </c>
      <c r="M1105" s="114">
        <v>951500312</v>
      </c>
      <c r="N1105" s="114" t="s">
        <v>5653</v>
      </c>
    </row>
    <row r="1106" spans="1:14" ht="18">
      <c r="A1106" s="29" t="s">
        <v>2215</v>
      </c>
      <c r="B1106" s="1" t="s">
        <v>2456</v>
      </c>
      <c r="I1106" s="109"/>
      <c r="J1106" s="109"/>
      <c r="K1106" s="109"/>
      <c r="L1106" s="109" t="str">
        <f t="shared" si="17"/>
        <v>96-961500015</v>
      </c>
      <c r="M1106" s="114">
        <v>961500015</v>
      </c>
      <c r="N1106" s="114" t="s">
        <v>5769</v>
      </c>
    </row>
    <row r="1107" spans="1:14" ht="18">
      <c r="A1107" s="29" t="s">
        <v>1245</v>
      </c>
      <c r="B1107" s="1" t="s">
        <v>2456</v>
      </c>
      <c r="I1107" s="109"/>
      <c r="J1107" s="109"/>
      <c r="K1107" s="109"/>
      <c r="L1107" s="109" t="str">
        <f t="shared" si="17"/>
        <v>96-961500016</v>
      </c>
      <c r="M1107" s="114">
        <v>961500016</v>
      </c>
      <c r="N1107" s="114" t="s">
        <v>5770</v>
      </c>
    </row>
    <row r="1108" spans="1:14" ht="18">
      <c r="A1108" s="29" t="s">
        <v>1167</v>
      </c>
      <c r="B1108" s="1" t="s">
        <v>2456</v>
      </c>
      <c r="I1108" s="109"/>
      <c r="J1108" s="109"/>
      <c r="K1108" s="109"/>
      <c r="L1108" s="109" t="str">
        <f t="shared" si="17"/>
        <v>96-961500105</v>
      </c>
      <c r="M1108" s="114">
        <v>961500105</v>
      </c>
      <c r="N1108" s="114" t="s">
        <v>5802</v>
      </c>
    </row>
    <row r="1109" spans="1:14" ht="18">
      <c r="A1109" s="29" t="s">
        <v>1332</v>
      </c>
      <c r="B1109" s="1" t="s">
        <v>2456</v>
      </c>
      <c r="I1109" s="109"/>
      <c r="J1109" s="109"/>
      <c r="K1109" s="109"/>
      <c r="L1109" s="109" t="str">
        <f t="shared" si="17"/>
        <v>95-951500471</v>
      </c>
      <c r="M1109" s="114">
        <v>951500471</v>
      </c>
      <c r="N1109" s="114" t="s">
        <v>5707</v>
      </c>
    </row>
    <row r="1110" spans="1:14" ht="18">
      <c r="A1110" s="29" t="s">
        <v>1775</v>
      </c>
      <c r="B1110" s="1" t="s">
        <v>2456</v>
      </c>
      <c r="I1110" s="109"/>
      <c r="J1110" s="109"/>
      <c r="K1110" s="109"/>
      <c r="L1110" s="109" t="str">
        <f t="shared" si="17"/>
        <v>95-951500526</v>
      </c>
      <c r="M1110" s="114">
        <v>951500526</v>
      </c>
      <c r="N1110" s="114" t="s">
        <v>5715</v>
      </c>
    </row>
    <row r="1111" spans="1:14" ht="18">
      <c r="A1111" s="29" t="s">
        <v>1079</v>
      </c>
      <c r="B1111" s="1" t="s">
        <v>2456</v>
      </c>
      <c r="I1111" s="109"/>
      <c r="J1111" s="109"/>
      <c r="K1111" s="109"/>
      <c r="L1111" s="109" t="str">
        <f t="shared" si="17"/>
        <v>95-951200081</v>
      </c>
      <c r="M1111" s="114">
        <v>951200081</v>
      </c>
      <c r="N1111" s="114" t="s">
        <v>7272</v>
      </c>
    </row>
    <row r="1112" spans="1:14" ht="18">
      <c r="A1112" s="29" t="s">
        <v>893</v>
      </c>
      <c r="B1112" s="1" t="s">
        <v>2456</v>
      </c>
      <c r="I1112" s="109"/>
      <c r="J1112" s="109"/>
      <c r="K1112" s="109"/>
      <c r="L1112" s="109" t="str">
        <f t="shared" si="17"/>
        <v>96-961500544</v>
      </c>
      <c r="M1112" s="114">
        <v>961500544</v>
      </c>
      <c r="N1112" s="114" t="s">
        <v>8727</v>
      </c>
    </row>
    <row r="1113" spans="1:14" ht="18">
      <c r="A1113" s="29" t="s">
        <v>1158</v>
      </c>
      <c r="B1113" s="1" t="s">
        <v>2456</v>
      </c>
      <c r="I1113" s="109"/>
      <c r="J1113" s="109"/>
      <c r="K1113" s="109"/>
      <c r="L1113" s="109" t="str">
        <f t="shared" si="17"/>
        <v>95-951200049</v>
      </c>
      <c r="M1113" s="114">
        <v>951200049</v>
      </c>
      <c r="N1113" s="114" t="s">
        <v>7259</v>
      </c>
    </row>
    <row r="1114" spans="1:14" ht="18">
      <c r="A1114" s="29" t="s">
        <v>1205</v>
      </c>
      <c r="B1114" s="1" t="s">
        <v>2456</v>
      </c>
      <c r="I1114" s="109"/>
      <c r="J1114" s="109"/>
      <c r="K1114" s="109"/>
      <c r="L1114" s="109" t="str">
        <f t="shared" si="17"/>
        <v>95-951200051</v>
      </c>
      <c r="M1114" s="114">
        <v>951200051</v>
      </c>
      <c r="N1114" s="114" t="s">
        <v>7260</v>
      </c>
    </row>
    <row r="1115" spans="1:14" ht="18">
      <c r="A1115" s="29" t="s">
        <v>1179</v>
      </c>
      <c r="B1115" s="1" t="s">
        <v>2456</v>
      </c>
      <c r="I1115" s="109"/>
      <c r="J1115" s="109"/>
      <c r="K1115" s="109"/>
      <c r="L1115" s="109" t="str">
        <f t="shared" si="17"/>
        <v>95-951500311</v>
      </c>
      <c r="M1115" s="114">
        <v>951500311</v>
      </c>
      <c r="N1115" s="114" t="s">
        <v>5653</v>
      </c>
    </row>
    <row r="1116" spans="1:14" ht="18">
      <c r="A1116" s="29" t="s">
        <v>1444</v>
      </c>
      <c r="B1116" s="1" t="s">
        <v>2456</v>
      </c>
      <c r="I1116" s="109"/>
      <c r="J1116" s="109"/>
      <c r="K1116" s="109"/>
      <c r="L1116" s="109" t="str">
        <f t="shared" si="17"/>
        <v>96-961500447</v>
      </c>
      <c r="M1116" s="114">
        <v>961500447</v>
      </c>
      <c r="N1116" s="114" t="s">
        <v>7271</v>
      </c>
    </row>
    <row r="1117" spans="1:14" ht="18">
      <c r="A1117" s="29" t="s">
        <v>1022</v>
      </c>
      <c r="B1117" s="1" t="s">
        <v>2456</v>
      </c>
      <c r="I1117" s="109"/>
      <c r="J1117" s="109"/>
      <c r="K1117" s="109"/>
      <c r="L1117" s="109" t="str">
        <f t="shared" si="17"/>
        <v>95-951500376</v>
      </c>
      <c r="M1117" s="114">
        <v>951500376</v>
      </c>
      <c r="N1117" s="114" t="s">
        <v>5679</v>
      </c>
    </row>
    <row r="1118" spans="1:14" ht="18">
      <c r="A1118" s="29" t="s">
        <v>1044</v>
      </c>
      <c r="B1118" s="1" t="s">
        <v>2456</v>
      </c>
      <c r="I1118" s="109"/>
      <c r="J1118" s="109"/>
      <c r="K1118" s="109"/>
      <c r="L1118" s="109" t="str">
        <f t="shared" si="17"/>
        <v>96-961500063</v>
      </c>
      <c r="M1118" s="114">
        <v>961500063</v>
      </c>
      <c r="N1118" s="114" t="s">
        <v>5787</v>
      </c>
    </row>
    <row r="1119" spans="1:14" ht="18">
      <c r="A1119" s="29" t="s">
        <v>1166</v>
      </c>
      <c r="B1119" s="1" t="s">
        <v>2456</v>
      </c>
      <c r="I1119" s="109"/>
      <c r="J1119" s="109"/>
      <c r="K1119" s="109"/>
      <c r="L1119" s="109" t="str">
        <f t="shared" si="17"/>
        <v>95-951500441</v>
      </c>
      <c r="M1119" s="114">
        <v>951500441</v>
      </c>
      <c r="N1119" s="114" t="s">
        <v>5700</v>
      </c>
    </row>
    <row r="1120" spans="1:14" ht="18">
      <c r="A1120" s="29" t="s">
        <v>1387</v>
      </c>
      <c r="B1120" s="1" t="s">
        <v>2456</v>
      </c>
      <c r="I1120" s="109"/>
      <c r="J1120" s="109"/>
      <c r="K1120" s="109"/>
      <c r="L1120" s="109" t="str">
        <f t="shared" si="17"/>
        <v>95-951200068</v>
      </c>
      <c r="M1120" s="114">
        <v>951200068</v>
      </c>
      <c r="N1120" s="114" t="s">
        <v>7272</v>
      </c>
    </row>
    <row r="1121" spans="1:14" ht="18">
      <c r="A1121" s="29" t="s">
        <v>1159</v>
      </c>
      <c r="B1121" s="1" t="s">
        <v>2456</v>
      </c>
      <c r="I1121" s="109"/>
      <c r="J1121" s="109"/>
      <c r="K1121" s="109"/>
      <c r="L1121" s="109" t="str">
        <f t="shared" si="17"/>
        <v>96-961200046</v>
      </c>
      <c r="M1121" s="114">
        <v>961200046</v>
      </c>
      <c r="N1121" s="114" t="s">
        <v>7242</v>
      </c>
    </row>
    <row r="1122" spans="1:14">
      <c r="A1122" s="34" t="s">
        <v>548</v>
      </c>
      <c r="B1122" s="1" t="s">
        <v>2456</v>
      </c>
      <c r="I1122" s="109"/>
      <c r="J1122" s="109"/>
      <c r="K1122" s="109"/>
      <c r="L1122" s="109" t="str">
        <f t="shared" si="17"/>
        <v>96-961200057</v>
      </c>
      <c r="M1122" s="114">
        <v>961200057</v>
      </c>
      <c r="N1122" s="114" t="s">
        <v>7242</v>
      </c>
    </row>
    <row r="1123" spans="1:14" ht="19.5">
      <c r="A1123" s="21" t="s">
        <v>2665</v>
      </c>
      <c r="B1123" s="5" t="s">
        <v>2664</v>
      </c>
      <c r="C1123" s="35" t="s">
        <v>2669</v>
      </c>
      <c r="I1123" s="109"/>
      <c r="J1123" s="109"/>
      <c r="K1123" s="109"/>
      <c r="L1123" s="109" t="str">
        <f t="shared" si="17"/>
        <v>96-961500542</v>
      </c>
      <c r="M1123" s="114">
        <v>961500542</v>
      </c>
      <c r="N1123" s="114" t="s">
        <v>5854</v>
      </c>
    </row>
    <row r="1124" spans="1:14" ht="19.5">
      <c r="A1124" s="21" t="s">
        <v>2666</v>
      </c>
      <c r="B1124" s="5" t="s">
        <v>2664</v>
      </c>
      <c r="C1124" s="35" t="s">
        <v>2669</v>
      </c>
      <c r="I1124" s="109"/>
      <c r="J1124" s="109"/>
      <c r="K1124" s="109"/>
      <c r="L1124" s="109" t="str">
        <f t="shared" si="17"/>
        <v>96-961500433</v>
      </c>
      <c r="M1124" s="114">
        <v>961500433</v>
      </c>
      <c r="N1124" s="114" t="s">
        <v>5841</v>
      </c>
    </row>
    <row r="1125" spans="1:14" ht="19.5">
      <c r="A1125" s="21" t="s">
        <v>2667</v>
      </c>
      <c r="B1125" s="5" t="s">
        <v>2664</v>
      </c>
      <c r="C1125" s="35" t="s">
        <v>2669</v>
      </c>
      <c r="I1125" s="109"/>
      <c r="J1125" s="109"/>
      <c r="K1125" s="109"/>
      <c r="L1125" s="109" t="str">
        <f t="shared" si="17"/>
        <v>95-951500469</v>
      </c>
      <c r="M1125" s="114">
        <v>951500469</v>
      </c>
      <c r="N1125" s="114" t="s">
        <v>5698</v>
      </c>
    </row>
    <row r="1126" spans="1:14" ht="19.5">
      <c r="A1126" s="21" t="s">
        <v>2668</v>
      </c>
      <c r="B1126" s="5" t="s">
        <v>2664</v>
      </c>
      <c r="C1126" s="35" t="s">
        <v>2669</v>
      </c>
      <c r="I1126" s="109"/>
      <c r="J1126" s="109"/>
      <c r="K1126" s="109"/>
      <c r="L1126" s="109" t="str">
        <f t="shared" si="17"/>
        <v>95-951500550</v>
      </c>
      <c r="M1126" s="114">
        <v>951500550</v>
      </c>
      <c r="N1126" s="114" t="s">
        <v>5738</v>
      </c>
    </row>
    <row r="1127" spans="1:14" ht="19.5">
      <c r="A1127" s="21" t="s">
        <v>421</v>
      </c>
      <c r="B1127" s="5" t="s">
        <v>2664</v>
      </c>
      <c r="C1127" s="36" t="s">
        <v>2669</v>
      </c>
      <c r="I1127" s="109"/>
      <c r="J1127" s="109"/>
      <c r="K1127" s="109"/>
      <c r="L1127" s="109" t="str">
        <f t="shared" si="17"/>
        <v>95-951500573</v>
      </c>
      <c r="M1127" s="114">
        <v>951500573</v>
      </c>
      <c r="N1127" s="114" t="s">
        <v>5751</v>
      </c>
    </row>
    <row r="1128" spans="1:14" ht="19.5">
      <c r="A1128" s="21" t="s">
        <v>424</v>
      </c>
      <c r="B1128" s="5" t="s">
        <v>2664</v>
      </c>
      <c r="C1128" s="37" t="s">
        <v>2670</v>
      </c>
      <c r="I1128" s="109"/>
      <c r="J1128" s="109"/>
      <c r="K1128" s="109"/>
      <c r="L1128" s="109" t="str">
        <f t="shared" si="17"/>
        <v>95-951500584</v>
      </c>
      <c r="M1128" s="114">
        <v>951500584</v>
      </c>
      <c r="N1128" s="114" t="s">
        <v>5748</v>
      </c>
    </row>
    <row r="1129" spans="1:14" ht="19.5">
      <c r="A1129" s="15" t="s">
        <v>423</v>
      </c>
      <c r="B1129" s="5" t="s">
        <v>2664</v>
      </c>
      <c r="C1129" s="36" t="s">
        <v>2669</v>
      </c>
      <c r="I1129" s="109"/>
      <c r="J1129" s="109"/>
      <c r="K1129" s="109"/>
      <c r="L1129" s="109" t="str">
        <f t="shared" si="17"/>
        <v>96-961500004</v>
      </c>
      <c r="M1129" s="114">
        <v>961500004</v>
      </c>
      <c r="N1129" s="114" t="s">
        <v>5748</v>
      </c>
    </row>
    <row r="1130" spans="1:14" ht="19.5">
      <c r="A1130" s="15" t="s">
        <v>425</v>
      </c>
      <c r="B1130" s="5" t="s">
        <v>2664</v>
      </c>
      <c r="C1130" s="36" t="s">
        <v>2669</v>
      </c>
      <c r="I1130" s="109"/>
      <c r="J1130" s="109"/>
      <c r="K1130" s="109"/>
      <c r="L1130" s="109" t="str">
        <f t="shared" si="17"/>
        <v>96-961500036</v>
      </c>
      <c r="M1130" s="114">
        <v>961500036</v>
      </c>
      <c r="N1130" s="114" t="s">
        <v>5777</v>
      </c>
    </row>
    <row r="1131" spans="1:14" ht="19.5">
      <c r="A1131" s="15" t="s">
        <v>500</v>
      </c>
      <c r="B1131" s="5" t="s">
        <v>2664</v>
      </c>
      <c r="C1131" s="36" t="s">
        <v>2669</v>
      </c>
      <c r="I1131" s="109"/>
      <c r="J1131" s="109"/>
      <c r="K1131" s="109"/>
      <c r="L1131" s="109" t="str">
        <f t="shared" si="17"/>
        <v>96-961500143</v>
      </c>
      <c r="M1131" s="114">
        <v>961500143</v>
      </c>
      <c r="N1131" s="114" t="s">
        <v>5807</v>
      </c>
    </row>
    <row r="1132" spans="1:14" ht="19.5">
      <c r="A1132" s="15" t="s">
        <v>426</v>
      </c>
      <c r="B1132" s="5" t="s">
        <v>2664</v>
      </c>
      <c r="C1132" s="36" t="s">
        <v>2669</v>
      </c>
      <c r="I1132" s="109"/>
      <c r="J1132" s="109"/>
      <c r="K1132" s="109"/>
      <c r="L1132" s="109" t="str">
        <f t="shared" si="17"/>
        <v>96-961500219</v>
      </c>
      <c r="M1132" s="114">
        <v>961500219</v>
      </c>
      <c r="N1132" s="114" t="s">
        <v>5819</v>
      </c>
    </row>
    <row r="1133" spans="1:14" ht="19.5">
      <c r="A1133" s="15" t="s">
        <v>427</v>
      </c>
      <c r="B1133" s="5" t="s">
        <v>2664</v>
      </c>
      <c r="C1133" s="36" t="s">
        <v>2669</v>
      </c>
      <c r="I1133" s="109"/>
      <c r="J1133" s="109"/>
      <c r="K1133" s="109"/>
      <c r="L1133" s="109" t="str">
        <f t="shared" si="17"/>
        <v>96-961500277</v>
      </c>
      <c r="M1133" s="114">
        <v>961500277</v>
      </c>
      <c r="N1133" s="114" t="s">
        <v>5820</v>
      </c>
    </row>
    <row r="1134" spans="1:14" ht="19.5">
      <c r="A1134" s="15" t="s">
        <v>432</v>
      </c>
      <c r="B1134" s="5" t="s">
        <v>2664</v>
      </c>
      <c r="C1134" s="36" t="s">
        <v>2669</v>
      </c>
      <c r="I1134" s="109"/>
      <c r="J1134" s="109"/>
      <c r="K1134" s="109"/>
      <c r="L1134" s="109" t="str">
        <f t="shared" si="17"/>
        <v>96-961500322</v>
      </c>
      <c r="M1134" s="114">
        <v>961500322</v>
      </c>
      <c r="N1134" s="114" t="s">
        <v>5818</v>
      </c>
    </row>
    <row r="1135" spans="1:14" ht="19.5">
      <c r="A1135" s="15" t="s">
        <v>431</v>
      </c>
      <c r="B1135" s="5" t="s">
        <v>2664</v>
      </c>
      <c r="C1135" s="36" t="s">
        <v>2669</v>
      </c>
      <c r="I1135" s="109"/>
      <c r="J1135" s="109"/>
      <c r="K1135" s="109"/>
      <c r="L1135" s="109" t="str">
        <f t="shared" si="17"/>
        <v>96-961500342</v>
      </c>
      <c r="M1135" s="114">
        <v>961500342</v>
      </c>
      <c r="N1135" s="114" t="s">
        <v>7237</v>
      </c>
    </row>
    <row r="1136" spans="1:14" ht="19.5">
      <c r="A1136" s="15" t="s">
        <v>428</v>
      </c>
      <c r="B1136" s="5" t="s">
        <v>2664</v>
      </c>
      <c r="C1136" s="36" t="s">
        <v>2669</v>
      </c>
      <c r="I1136" s="109"/>
      <c r="J1136" s="109"/>
      <c r="K1136" s="109"/>
      <c r="L1136" s="109" t="str">
        <f t="shared" si="17"/>
        <v>96-961500358</v>
      </c>
      <c r="M1136" s="114">
        <v>961500358</v>
      </c>
      <c r="N1136" s="114" t="s">
        <v>5836</v>
      </c>
    </row>
    <row r="1137" spans="1:14" ht="19.5">
      <c r="A1137" s="15" t="s">
        <v>461</v>
      </c>
      <c r="B1137" s="5" t="s">
        <v>2664</v>
      </c>
      <c r="C1137" s="36" t="s">
        <v>2669</v>
      </c>
      <c r="I1137" s="109"/>
      <c r="J1137" s="109"/>
      <c r="K1137" s="109"/>
      <c r="L1137" s="109" t="str">
        <f t="shared" si="17"/>
        <v>96-961500421</v>
      </c>
      <c r="M1137" s="114">
        <v>961500421</v>
      </c>
      <c r="N1137" s="114" t="s">
        <v>7237</v>
      </c>
    </row>
    <row r="1138" spans="1:14" ht="19.5">
      <c r="A1138" s="15" t="s">
        <v>462</v>
      </c>
      <c r="B1138" s="5" t="s">
        <v>2664</v>
      </c>
      <c r="C1138" s="36" t="s">
        <v>2669</v>
      </c>
      <c r="I1138" s="109"/>
      <c r="J1138" s="109"/>
      <c r="K1138" s="109"/>
      <c r="L1138" s="109" t="str">
        <f t="shared" si="17"/>
        <v>96-961500522</v>
      </c>
      <c r="M1138" s="114">
        <v>961500522</v>
      </c>
      <c r="N1138" s="114" t="s">
        <v>5842</v>
      </c>
    </row>
    <row r="1139" spans="1:14" ht="19.5">
      <c r="A1139" s="15" t="s">
        <v>464</v>
      </c>
      <c r="B1139" s="5" t="s">
        <v>2664</v>
      </c>
      <c r="C1139" s="36" t="s">
        <v>2669</v>
      </c>
      <c r="I1139" s="109"/>
      <c r="J1139" s="109"/>
      <c r="K1139" s="109"/>
      <c r="L1139" s="109" t="str">
        <f t="shared" si="17"/>
        <v>95-951500549</v>
      </c>
      <c r="M1139" s="114">
        <v>951500549</v>
      </c>
      <c r="N1139" s="114" t="s">
        <v>5732</v>
      </c>
    </row>
    <row r="1140" spans="1:14" ht="19.5">
      <c r="A1140" s="15" t="s">
        <v>468</v>
      </c>
      <c r="B1140" s="5" t="s">
        <v>2664</v>
      </c>
      <c r="C1140" s="36" t="s">
        <v>2669</v>
      </c>
      <c r="I1140" s="109"/>
      <c r="J1140" s="109"/>
      <c r="K1140" s="109"/>
      <c r="L1140" s="109" t="str">
        <f t="shared" si="17"/>
        <v>95-951500587</v>
      </c>
      <c r="M1140" s="114">
        <v>951500587</v>
      </c>
      <c r="N1140" s="114" t="s">
        <v>5759</v>
      </c>
    </row>
    <row r="1141" spans="1:14" ht="19.5">
      <c r="A1141" s="15" t="s">
        <v>412</v>
      </c>
      <c r="B1141" s="5" t="s">
        <v>2664</v>
      </c>
      <c r="C1141" s="36" t="s">
        <v>2669</v>
      </c>
      <c r="I1141" s="109"/>
      <c r="J1141" s="109"/>
      <c r="K1141" s="109"/>
      <c r="L1141" s="109" t="str">
        <f t="shared" si="17"/>
        <v>96-961500050</v>
      </c>
      <c r="M1141" s="114">
        <v>961500050</v>
      </c>
      <c r="N1141" s="114" t="s">
        <v>5767</v>
      </c>
    </row>
    <row r="1142" spans="1:14" ht="19.5">
      <c r="A1142" s="15" t="s">
        <v>469</v>
      </c>
      <c r="B1142" s="5" t="s">
        <v>2664</v>
      </c>
      <c r="C1142" s="36" t="s">
        <v>2669</v>
      </c>
      <c r="I1142" s="109"/>
      <c r="J1142" s="109"/>
      <c r="K1142" s="109"/>
      <c r="L1142" s="109" t="str">
        <f t="shared" si="17"/>
        <v>96-966200098</v>
      </c>
      <c r="M1142" s="114">
        <v>966200098</v>
      </c>
      <c r="N1142" s="114" t="s">
        <v>7270</v>
      </c>
    </row>
    <row r="1143" spans="1:14" ht="19.5">
      <c r="A1143" s="15" t="s">
        <v>204</v>
      </c>
      <c r="B1143" s="5" t="s">
        <v>2664</v>
      </c>
      <c r="C1143" s="36" t="s">
        <v>2669</v>
      </c>
      <c r="I1143" s="109"/>
      <c r="J1143" s="109"/>
      <c r="K1143" s="109"/>
      <c r="L1143" s="109" t="str">
        <f t="shared" si="17"/>
        <v>96-962000062</v>
      </c>
      <c r="M1143" s="114">
        <v>962000062</v>
      </c>
      <c r="N1143" s="114" t="s">
        <v>7112</v>
      </c>
    </row>
    <row r="1144" spans="1:14" ht="19.5">
      <c r="A1144" s="15" t="s">
        <v>203</v>
      </c>
      <c r="B1144" s="5" t="s">
        <v>2664</v>
      </c>
      <c r="C1144" s="36" t="s">
        <v>2669</v>
      </c>
      <c r="I1144" s="109"/>
      <c r="J1144" s="109"/>
      <c r="K1144" s="109"/>
      <c r="L1144" s="109" t="str">
        <f t="shared" si="17"/>
        <v>96-961500428</v>
      </c>
      <c r="M1144" s="114">
        <v>961500428</v>
      </c>
      <c r="N1144" s="114" t="s">
        <v>7262</v>
      </c>
    </row>
    <row r="1145" spans="1:14" ht="19.5">
      <c r="A1145" s="15" t="s">
        <v>28</v>
      </c>
      <c r="B1145" s="5" t="s">
        <v>2664</v>
      </c>
      <c r="C1145" s="36" t="s">
        <v>2669</v>
      </c>
      <c r="I1145" s="109"/>
      <c r="J1145" s="109"/>
      <c r="K1145" s="109"/>
      <c r="L1145" s="109" t="str">
        <f t="shared" si="17"/>
        <v>96-961500524</v>
      </c>
      <c r="M1145" s="114">
        <v>961500524</v>
      </c>
      <c r="N1145" s="114" t="s">
        <v>8727</v>
      </c>
    </row>
    <row r="1146" spans="1:14" ht="19.5">
      <c r="A1146" s="15" t="s">
        <v>6</v>
      </c>
      <c r="B1146" s="5" t="s">
        <v>2664</v>
      </c>
      <c r="C1146" s="37" t="s">
        <v>2670</v>
      </c>
      <c r="I1146" s="109"/>
      <c r="J1146" s="109"/>
      <c r="K1146" s="109"/>
      <c r="L1146" s="109" t="str">
        <f t="shared" si="17"/>
        <v>95-951200043</v>
      </c>
      <c r="M1146" s="114">
        <v>951200043</v>
      </c>
      <c r="N1146" s="114" t="s">
        <v>7260</v>
      </c>
    </row>
    <row r="1147" spans="1:14" ht="19.5">
      <c r="A1147" s="15" t="s">
        <v>7</v>
      </c>
      <c r="B1147" s="5" t="s">
        <v>2664</v>
      </c>
      <c r="C1147" s="37" t="s">
        <v>2670</v>
      </c>
      <c r="I1147" s="109"/>
      <c r="J1147" s="109"/>
      <c r="K1147" s="109"/>
      <c r="L1147" s="109" t="str">
        <f t="shared" si="17"/>
        <v>95-951200052</v>
      </c>
      <c r="M1147" s="114">
        <v>951200052</v>
      </c>
      <c r="N1147" s="114" t="s">
        <v>7251</v>
      </c>
    </row>
    <row r="1148" spans="1:14" ht="19.5">
      <c r="A1148" s="15" t="s">
        <v>8</v>
      </c>
      <c r="B1148" s="5" t="s">
        <v>2664</v>
      </c>
      <c r="C1148" s="37" t="s">
        <v>2670</v>
      </c>
      <c r="I1148" s="109"/>
      <c r="J1148" s="109"/>
      <c r="K1148" s="109"/>
      <c r="L1148" s="109" t="str">
        <f t="shared" si="17"/>
        <v>96-961200050</v>
      </c>
      <c r="M1148" s="114">
        <v>961200050</v>
      </c>
      <c r="N1148" s="114" t="s">
        <v>7263</v>
      </c>
    </row>
    <row r="1149" spans="1:14" ht="19.5">
      <c r="A1149" s="15" t="s">
        <v>9</v>
      </c>
      <c r="B1149" s="5" t="s">
        <v>2664</v>
      </c>
      <c r="C1149" s="37" t="s">
        <v>2670</v>
      </c>
      <c r="I1149" s="109"/>
      <c r="J1149" s="109"/>
      <c r="K1149" s="109"/>
      <c r="L1149" s="109" t="str">
        <f t="shared" si="17"/>
        <v>95-951500519</v>
      </c>
      <c r="M1149" s="114">
        <v>951500519</v>
      </c>
      <c r="N1149" s="114" t="s">
        <v>5725</v>
      </c>
    </row>
    <row r="1150" spans="1:14" ht="19.5">
      <c r="A1150" s="15" t="s">
        <v>10</v>
      </c>
      <c r="B1150" s="5" t="s">
        <v>2664</v>
      </c>
      <c r="C1150" s="37" t="s">
        <v>2670</v>
      </c>
      <c r="I1150" s="109"/>
      <c r="J1150" s="109"/>
      <c r="K1150" s="109"/>
      <c r="L1150" s="109" t="str">
        <f t="shared" si="17"/>
        <v>95-951500520</v>
      </c>
      <c r="M1150" s="114">
        <v>951500520</v>
      </c>
      <c r="N1150" s="114" t="s">
        <v>5725</v>
      </c>
    </row>
    <row r="1151" spans="1:14" ht="19.5">
      <c r="A1151" s="15" t="s">
        <v>11</v>
      </c>
      <c r="B1151" s="5" t="s">
        <v>2664</v>
      </c>
      <c r="C1151" s="37" t="s">
        <v>2670</v>
      </c>
      <c r="I1151" s="109"/>
      <c r="J1151" s="109"/>
      <c r="K1151" s="109"/>
      <c r="L1151" s="109" t="str">
        <f t="shared" si="17"/>
        <v>96-961500064</v>
      </c>
      <c r="M1151" s="114">
        <v>961500064</v>
      </c>
      <c r="N1151" s="114" t="s">
        <v>5788</v>
      </c>
    </row>
    <row r="1152" spans="1:14" ht="19.5">
      <c r="A1152" s="15" t="s">
        <v>12</v>
      </c>
      <c r="B1152" s="5" t="s">
        <v>2664</v>
      </c>
      <c r="C1152" s="37" t="s">
        <v>2670</v>
      </c>
      <c r="I1152" s="109"/>
      <c r="J1152" s="109"/>
      <c r="K1152" s="109"/>
      <c r="L1152" s="109" t="str">
        <f t="shared" si="17"/>
        <v>96-961500065</v>
      </c>
      <c r="M1152" s="114">
        <v>961500065</v>
      </c>
      <c r="N1152" s="114" t="s">
        <v>5788</v>
      </c>
    </row>
    <row r="1153" spans="1:14" ht="19.5">
      <c r="A1153" s="15" t="s">
        <v>13</v>
      </c>
      <c r="B1153" s="5" t="s">
        <v>2664</v>
      </c>
      <c r="C1153" s="37" t="s">
        <v>2670</v>
      </c>
      <c r="I1153" s="109"/>
      <c r="J1153" s="109"/>
      <c r="K1153" s="109"/>
      <c r="L1153" s="109" t="str">
        <f t="shared" si="17"/>
        <v>95-951500510</v>
      </c>
      <c r="M1153" s="114">
        <v>951500510</v>
      </c>
      <c r="N1153" s="114" t="s">
        <v>5715</v>
      </c>
    </row>
    <row r="1154" spans="1:14" ht="19.5">
      <c r="A1154" s="15" t="s">
        <v>14</v>
      </c>
      <c r="B1154" s="5" t="s">
        <v>2664</v>
      </c>
      <c r="C1154" s="37" t="s">
        <v>2670</v>
      </c>
      <c r="I1154" s="109"/>
      <c r="J1154" s="109"/>
      <c r="K1154" s="109"/>
      <c r="L1154" s="109" t="str">
        <f t="shared" si="17"/>
        <v>95-951500524</v>
      </c>
      <c r="M1154" s="114">
        <v>951500524</v>
      </c>
      <c r="N1154" s="114" t="s">
        <v>5715</v>
      </c>
    </row>
    <row r="1155" spans="1:14" ht="19.5">
      <c r="A1155" s="15" t="s">
        <v>15</v>
      </c>
      <c r="B1155" s="5" t="s">
        <v>2664</v>
      </c>
      <c r="C1155" s="37" t="s">
        <v>2670</v>
      </c>
      <c r="I1155" s="109"/>
      <c r="J1155" s="109"/>
      <c r="K1155" s="109"/>
      <c r="L1155" s="109" t="str">
        <f t="shared" ref="L1155:L1218" si="18">MID(M1155,1,2)&amp;"-"&amp;M1155</f>
        <v>96-961500045</v>
      </c>
      <c r="M1155" s="114">
        <v>961500045</v>
      </c>
      <c r="N1155" s="114" t="s">
        <v>5776</v>
      </c>
    </row>
    <row r="1156" spans="1:14" ht="19.5">
      <c r="A1156" s="15" t="s">
        <v>26</v>
      </c>
      <c r="B1156" s="5" t="s">
        <v>2664</v>
      </c>
      <c r="C1156" s="37" t="s">
        <v>2670</v>
      </c>
      <c r="I1156" s="109"/>
      <c r="J1156" s="109"/>
      <c r="K1156" s="109"/>
      <c r="L1156" s="109" t="str">
        <f t="shared" si="18"/>
        <v>96-961500399</v>
      </c>
      <c r="M1156" s="114">
        <v>961500399</v>
      </c>
      <c r="N1156" s="114" t="s">
        <v>7265</v>
      </c>
    </row>
    <row r="1157" spans="1:14" ht="19.5">
      <c r="A1157" s="16" t="s">
        <v>83</v>
      </c>
      <c r="B1157" s="5" t="s">
        <v>2664</v>
      </c>
      <c r="C1157" s="37" t="s">
        <v>2670</v>
      </c>
      <c r="I1157" s="109"/>
      <c r="J1157" s="109"/>
      <c r="K1157" s="109"/>
      <c r="L1157" s="109" t="str">
        <f t="shared" si="18"/>
        <v>96-961500559</v>
      </c>
      <c r="M1157" s="114">
        <v>961500559</v>
      </c>
      <c r="N1157" s="114" t="s">
        <v>5854</v>
      </c>
    </row>
    <row r="1158" spans="1:14" ht="19.5">
      <c r="A1158" s="16" t="s">
        <v>73</v>
      </c>
      <c r="B1158" s="5" t="s">
        <v>2664</v>
      </c>
      <c r="C1158" s="37" t="s">
        <v>2670</v>
      </c>
      <c r="I1158" s="109"/>
      <c r="J1158" s="109"/>
      <c r="K1158" s="109"/>
      <c r="L1158" s="109" t="str">
        <f t="shared" si="18"/>
        <v>96-961500511</v>
      </c>
      <c r="M1158" s="114">
        <v>961500511</v>
      </c>
      <c r="N1158" s="114" t="s">
        <v>7253</v>
      </c>
    </row>
    <row r="1159" spans="1:14" ht="19.5">
      <c r="A1159" s="16" t="s">
        <v>215</v>
      </c>
      <c r="B1159" s="5" t="s">
        <v>2664</v>
      </c>
      <c r="C1159" s="37" t="s">
        <v>2670</v>
      </c>
      <c r="I1159" s="109"/>
      <c r="J1159" s="109"/>
      <c r="K1159" s="109"/>
      <c r="L1159" s="109" t="str">
        <f t="shared" si="18"/>
        <v>95-951500057</v>
      </c>
      <c r="M1159" s="114">
        <v>951500057</v>
      </c>
      <c r="N1159" s="114" t="s">
        <v>5608</v>
      </c>
    </row>
    <row r="1160" spans="1:14" ht="19.5">
      <c r="A1160" s="16" t="s">
        <v>23</v>
      </c>
      <c r="B1160" s="5" t="s">
        <v>2664</v>
      </c>
      <c r="C1160" s="37" t="s">
        <v>2670</v>
      </c>
      <c r="I1160" s="109"/>
      <c r="J1160" s="109"/>
      <c r="K1160" s="109"/>
      <c r="L1160" s="109" t="str">
        <f t="shared" si="18"/>
        <v>95-951500058</v>
      </c>
      <c r="M1160" s="114">
        <v>951500058</v>
      </c>
      <c r="N1160" s="114" t="s">
        <v>5608</v>
      </c>
    </row>
    <row r="1161" spans="1:14" ht="19.5">
      <c r="A1161" s="16" t="s">
        <v>77</v>
      </c>
      <c r="B1161" s="5" t="s">
        <v>2664</v>
      </c>
      <c r="C1161" s="37" t="s">
        <v>2670</v>
      </c>
      <c r="I1161" s="109"/>
      <c r="J1161" s="109"/>
      <c r="K1161" s="109"/>
      <c r="L1161" s="109" t="str">
        <f t="shared" si="18"/>
        <v>95-951500073</v>
      </c>
      <c r="M1161" s="114">
        <v>951500073</v>
      </c>
      <c r="N1161" s="114" t="s">
        <v>5608</v>
      </c>
    </row>
    <row r="1162" spans="1:14" ht="19.5">
      <c r="A1162" s="16" t="s">
        <v>78</v>
      </c>
      <c r="B1162" s="5" t="s">
        <v>2664</v>
      </c>
      <c r="C1162" s="37" t="s">
        <v>2670</v>
      </c>
      <c r="I1162" s="109"/>
      <c r="J1162" s="109"/>
      <c r="K1162" s="109"/>
      <c r="L1162" s="109" t="str">
        <f t="shared" si="18"/>
        <v>95-951500083</v>
      </c>
      <c r="M1162" s="114">
        <v>951500083</v>
      </c>
      <c r="N1162" s="114" t="s">
        <v>5608</v>
      </c>
    </row>
    <row r="1163" spans="1:14" ht="19.5">
      <c r="A1163" s="16" t="s">
        <v>219</v>
      </c>
      <c r="B1163" s="5" t="s">
        <v>2664</v>
      </c>
      <c r="C1163" s="37" t="s">
        <v>2670</v>
      </c>
      <c r="I1163" s="109"/>
      <c r="J1163" s="109"/>
      <c r="K1163" s="109"/>
      <c r="L1163" s="109" t="str">
        <f t="shared" si="18"/>
        <v>95-951500091</v>
      </c>
      <c r="M1163" s="114">
        <v>951500091</v>
      </c>
      <c r="N1163" s="114" t="s">
        <v>5608</v>
      </c>
    </row>
    <row r="1164" spans="1:14" ht="19.5">
      <c r="A1164" s="16" t="s">
        <v>27</v>
      </c>
      <c r="B1164" s="5" t="s">
        <v>2664</v>
      </c>
      <c r="C1164" s="37" t="s">
        <v>2670</v>
      </c>
      <c r="I1164" s="109"/>
      <c r="J1164" s="109"/>
      <c r="K1164" s="109"/>
      <c r="L1164" s="109" t="str">
        <f t="shared" si="18"/>
        <v>95-951500094</v>
      </c>
      <c r="M1164" s="114">
        <v>951500094</v>
      </c>
      <c r="N1164" s="114" t="s">
        <v>5608</v>
      </c>
    </row>
    <row r="1165" spans="1:14" ht="19.5">
      <c r="A1165" s="16" t="s">
        <v>350</v>
      </c>
      <c r="B1165" s="5" t="s">
        <v>2664</v>
      </c>
      <c r="C1165" s="37" t="s">
        <v>2670</v>
      </c>
      <c r="I1165" s="109"/>
      <c r="J1165" s="109"/>
      <c r="K1165" s="109"/>
      <c r="L1165" s="109" t="str">
        <f t="shared" si="18"/>
        <v>95-951500096</v>
      </c>
      <c r="M1165" s="114">
        <v>951500096</v>
      </c>
      <c r="N1165" s="114" t="s">
        <v>5608</v>
      </c>
    </row>
    <row r="1166" spans="1:14" ht="19.5">
      <c r="A1166" s="16" t="s">
        <v>95</v>
      </c>
      <c r="B1166" s="5" t="s">
        <v>2664</v>
      </c>
      <c r="C1166" s="37" t="s">
        <v>2670</v>
      </c>
      <c r="I1166" s="109"/>
      <c r="J1166" s="109"/>
      <c r="K1166" s="109"/>
      <c r="L1166" s="109" t="str">
        <f t="shared" si="18"/>
        <v>95-952000263</v>
      </c>
      <c r="M1166" s="114">
        <v>952000263</v>
      </c>
      <c r="N1166" s="114" t="s">
        <v>7280</v>
      </c>
    </row>
    <row r="1167" spans="1:14" ht="19.5">
      <c r="A1167" s="16" t="s">
        <v>238</v>
      </c>
      <c r="B1167" s="5" t="s">
        <v>2664</v>
      </c>
      <c r="C1167" s="37" t="s">
        <v>2670</v>
      </c>
      <c r="I1167" s="109"/>
      <c r="J1167" s="109"/>
      <c r="K1167" s="109"/>
      <c r="L1167" s="109" t="str">
        <f t="shared" si="18"/>
        <v>95-951500102</v>
      </c>
      <c r="M1167" s="114">
        <v>951500102</v>
      </c>
      <c r="N1167" s="114" t="s">
        <v>5608</v>
      </c>
    </row>
    <row r="1168" spans="1:14" ht="19.5">
      <c r="A1168" s="21" t="s">
        <v>347</v>
      </c>
      <c r="B1168" s="5" t="s">
        <v>2664</v>
      </c>
      <c r="C1168" s="37" t="s">
        <v>2670</v>
      </c>
      <c r="I1168" s="109"/>
      <c r="J1168" s="109"/>
      <c r="K1168" s="109"/>
      <c r="L1168" s="109" t="str">
        <f t="shared" si="18"/>
        <v>95-951500186</v>
      </c>
      <c r="M1168" s="114">
        <v>951500186</v>
      </c>
      <c r="N1168" s="114" t="s">
        <v>5622</v>
      </c>
    </row>
    <row r="1169" spans="1:14" ht="19.5">
      <c r="A1169" s="21" t="s">
        <v>348</v>
      </c>
      <c r="B1169" s="5" t="s">
        <v>2664</v>
      </c>
      <c r="C1169" s="37" t="s">
        <v>2670</v>
      </c>
      <c r="I1169" s="109"/>
      <c r="J1169" s="109"/>
      <c r="K1169" s="109"/>
      <c r="L1169" s="109" t="str">
        <f t="shared" si="18"/>
        <v>96-961500334</v>
      </c>
      <c r="M1169" s="114">
        <v>961500334</v>
      </c>
      <c r="N1169" s="114" t="s">
        <v>7233</v>
      </c>
    </row>
    <row r="1170" spans="1:14" ht="19.5">
      <c r="A1170" s="21" t="s">
        <v>17</v>
      </c>
      <c r="B1170" s="5" t="s">
        <v>2664</v>
      </c>
      <c r="C1170" s="37" t="s">
        <v>2670</v>
      </c>
      <c r="I1170" s="109"/>
      <c r="J1170" s="109"/>
      <c r="K1170" s="109"/>
      <c r="L1170" s="109" t="str">
        <f t="shared" si="18"/>
        <v>96-961500337</v>
      </c>
      <c r="M1170" s="114">
        <v>961500337</v>
      </c>
      <c r="N1170" s="114" t="s">
        <v>7233</v>
      </c>
    </row>
    <row r="1171" spans="1:14" ht="19.5">
      <c r="A1171" s="21" t="s">
        <v>223</v>
      </c>
      <c r="B1171" s="5" t="s">
        <v>2664</v>
      </c>
      <c r="C1171" s="37" t="s">
        <v>2670</v>
      </c>
      <c r="I1171" s="109"/>
      <c r="J1171" s="109"/>
      <c r="K1171" s="109"/>
      <c r="L1171" s="109" t="str">
        <f t="shared" si="18"/>
        <v>96-961500426</v>
      </c>
      <c r="M1171" s="114">
        <v>961500426</v>
      </c>
      <c r="N1171" s="114" t="s">
        <v>7233</v>
      </c>
    </row>
    <row r="1172" spans="1:14" ht="19.5">
      <c r="A1172" s="21" t="s">
        <v>349</v>
      </c>
      <c r="B1172" s="5" t="s">
        <v>2664</v>
      </c>
      <c r="C1172" s="37" t="s">
        <v>2670</v>
      </c>
      <c r="I1172" s="109"/>
      <c r="J1172" s="109"/>
      <c r="K1172" s="109"/>
      <c r="L1172" s="109" t="str">
        <f t="shared" si="18"/>
        <v>95-951500144</v>
      </c>
      <c r="M1172" s="114">
        <v>951500144</v>
      </c>
      <c r="N1172" s="114" t="s">
        <v>5614</v>
      </c>
    </row>
    <row r="1173" spans="1:14" ht="19.5">
      <c r="A1173" s="21" t="s">
        <v>222</v>
      </c>
      <c r="B1173" s="5" t="s">
        <v>2664</v>
      </c>
      <c r="C1173" s="37" t="s">
        <v>2670</v>
      </c>
      <c r="I1173" s="109"/>
      <c r="J1173" s="109"/>
      <c r="K1173" s="109"/>
      <c r="L1173" s="109" t="str">
        <f t="shared" si="18"/>
        <v>95-951500168</v>
      </c>
      <c r="M1173" s="114">
        <v>951500168</v>
      </c>
      <c r="N1173" s="114" t="s">
        <v>5614</v>
      </c>
    </row>
    <row r="1174" spans="1:14" ht="19.5">
      <c r="A1174" s="21" t="s">
        <v>245</v>
      </c>
      <c r="B1174" s="5" t="s">
        <v>2664</v>
      </c>
      <c r="C1174" s="37" t="s">
        <v>2670</v>
      </c>
      <c r="I1174" s="109"/>
      <c r="J1174" s="109"/>
      <c r="K1174" s="109"/>
      <c r="L1174" s="109" t="str">
        <f t="shared" si="18"/>
        <v>95-951500379</v>
      </c>
      <c r="M1174" s="114">
        <v>951500379</v>
      </c>
      <c r="N1174" s="114" t="s">
        <v>5674</v>
      </c>
    </row>
    <row r="1175" spans="1:14" ht="19.5">
      <c r="A1175" s="21" t="s">
        <v>102</v>
      </c>
      <c r="B1175" s="5" t="s">
        <v>2664</v>
      </c>
      <c r="C1175" s="37" t="s">
        <v>2670</v>
      </c>
      <c r="I1175" s="109"/>
      <c r="J1175" s="109"/>
      <c r="K1175" s="109"/>
      <c r="L1175" s="109" t="str">
        <f t="shared" si="18"/>
        <v>95-951500410</v>
      </c>
      <c r="M1175" s="114">
        <v>951500410</v>
      </c>
      <c r="N1175" s="114" t="s">
        <v>5688</v>
      </c>
    </row>
    <row r="1176" spans="1:14" ht="19.5">
      <c r="A1176" s="21" t="s">
        <v>360</v>
      </c>
      <c r="B1176" s="5" t="s">
        <v>2664</v>
      </c>
      <c r="C1176" s="36" t="s">
        <v>2669</v>
      </c>
      <c r="I1176" s="109"/>
      <c r="J1176" s="109"/>
      <c r="K1176" s="109"/>
      <c r="L1176" s="109" t="str">
        <f t="shared" si="18"/>
        <v>95-951500478</v>
      </c>
      <c r="M1176" s="114">
        <v>951500478</v>
      </c>
      <c r="N1176" s="114" t="s">
        <v>5711</v>
      </c>
    </row>
    <row r="1177" spans="1:14" ht="19.5">
      <c r="A1177" s="21" t="s">
        <v>361</v>
      </c>
      <c r="B1177" s="5" t="s">
        <v>2664</v>
      </c>
      <c r="C1177" s="36" t="s">
        <v>2669</v>
      </c>
      <c r="I1177" s="109"/>
      <c r="J1177" s="109"/>
      <c r="K1177" s="109"/>
      <c r="L1177" s="109" t="str">
        <f t="shared" si="18"/>
        <v>96-961500116</v>
      </c>
      <c r="M1177" s="114">
        <v>961500116</v>
      </c>
      <c r="N1177" s="114" t="s">
        <v>5793</v>
      </c>
    </row>
    <row r="1178" spans="1:14" ht="19.5">
      <c r="A1178" s="21" t="s">
        <v>356</v>
      </c>
      <c r="B1178" s="5" t="s">
        <v>2664</v>
      </c>
      <c r="C1178" s="36" t="s">
        <v>2669</v>
      </c>
      <c r="I1178" s="109"/>
      <c r="J1178" s="109"/>
      <c r="K1178" s="109"/>
      <c r="L1178" s="109" t="str">
        <f t="shared" si="18"/>
        <v>96-961500140</v>
      </c>
      <c r="M1178" s="114">
        <v>961500140</v>
      </c>
      <c r="N1178" s="114" t="s">
        <v>5793</v>
      </c>
    </row>
    <row r="1179" spans="1:14" ht="19.5">
      <c r="A1179" s="21" t="s">
        <v>357</v>
      </c>
      <c r="B1179" s="5" t="s">
        <v>2664</v>
      </c>
      <c r="C1179" s="36" t="s">
        <v>2669</v>
      </c>
      <c r="I1179" s="109"/>
      <c r="J1179" s="109"/>
      <c r="K1179" s="109"/>
      <c r="L1179" s="109" t="str">
        <f t="shared" si="18"/>
        <v>96-961500320</v>
      </c>
      <c r="M1179" s="114">
        <v>961500320</v>
      </c>
      <c r="N1179" s="114" t="s">
        <v>5852</v>
      </c>
    </row>
    <row r="1180" spans="1:14" ht="19.5">
      <c r="A1180" s="21" t="s">
        <v>355</v>
      </c>
      <c r="B1180" s="5" t="s">
        <v>2664</v>
      </c>
      <c r="C1180" s="36" t="s">
        <v>2669</v>
      </c>
      <c r="I1180" s="109"/>
      <c r="J1180" s="109"/>
      <c r="K1180" s="109"/>
      <c r="L1180" s="109" t="str">
        <f t="shared" si="18"/>
        <v>96-961500492</v>
      </c>
      <c r="M1180" s="114">
        <v>961500492</v>
      </c>
      <c r="N1180" s="114" t="s">
        <v>7234</v>
      </c>
    </row>
    <row r="1181" spans="1:14" ht="19.5">
      <c r="A1181" s="21" t="s">
        <v>228</v>
      </c>
      <c r="B1181" s="5" t="s">
        <v>2664</v>
      </c>
      <c r="C1181" s="36" t="s">
        <v>2669</v>
      </c>
      <c r="I1181" s="109"/>
      <c r="J1181" s="109"/>
      <c r="K1181" s="109"/>
      <c r="L1181" s="109" t="str">
        <f t="shared" si="18"/>
        <v>95-951500240</v>
      </c>
      <c r="M1181" s="114">
        <v>951500240</v>
      </c>
      <c r="N1181" s="114" t="s">
        <v>5632</v>
      </c>
    </row>
    <row r="1182" spans="1:14" ht="19.5">
      <c r="A1182" s="21" t="s">
        <v>359</v>
      </c>
      <c r="B1182" s="5" t="s">
        <v>2664</v>
      </c>
      <c r="C1182" s="36" t="s">
        <v>2669</v>
      </c>
      <c r="I1182" s="109"/>
      <c r="J1182" s="109"/>
      <c r="K1182" s="109"/>
      <c r="L1182" s="109" t="str">
        <f t="shared" si="18"/>
        <v>95-951500248</v>
      </c>
      <c r="M1182" s="114">
        <v>951500248</v>
      </c>
      <c r="N1182" s="114" t="s">
        <v>5632</v>
      </c>
    </row>
    <row r="1183" spans="1:14" ht="19.5">
      <c r="A1183" s="21" t="s">
        <v>352</v>
      </c>
      <c r="B1183" s="5" t="s">
        <v>2664</v>
      </c>
      <c r="C1183" s="36" t="s">
        <v>2669</v>
      </c>
      <c r="I1183" s="109"/>
      <c r="J1183" s="109"/>
      <c r="K1183" s="109"/>
      <c r="L1183" s="109" t="str">
        <f t="shared" si="18"/>
        <v>95-951500271</v>
      </c>
      <c r="M1183" s="114">
        <v>951500271</v>
      </c>
      <c r="N1183" s="114" t="s">
        <v>5651</v>
      </c>
    </row>
    <row r="1184" spans="1:14" ht="19.5">
      <c r="A1184" s="21" t="s">
        <v>231</v>
      </c>
      <c r="B1184" s="5" t="s">
        <v>2664</v>
      </c>
      <c r="C1184" s="36" t="s">
        <v>2669</v>
      </c>
      <c r="I1184" s="109"/>
      <c r="J1184" s="109"/>
      <c r="K1184" s="109"/>
      <c r="L1184" s="109" t="str">
        <f t="shared" si="18"/>
        <v>95-951100015</v>
      </c>
      <c r="M1184" s="114">
        <v>951100015</v>
      </c>
      <c r="N1184" s="114" t="s">
        <v>7281</v>
      </c>
    </row>
    <row r="1185" spans="1:14" ht="19.5">
      <c r="A1185" s="21" t="s">
        <v>353</v>
      </c>
      <c r="B1185" s="5" t="s">
        <v>2664</v>
      </c>
      <c r="C1185" s="36" t="s">
        <v>2669</v>
      </c>
      <c r="I1185" s="109"/>
      <c r="J1185" s="109"/>
      <c r="K1185" s="109"/>
      <c r="L1185" s="109" t="str">
        <f t="shared" si="18"/>
        <v>95-951500280</v>
      </c>
      <c r="M1185" s="114">
        <v>951500280</v>
      </c>
      <c r="N1185" s="114" t="s">
        <v>5651</v>
      </c>
    </row>
    <row r="1186" spans="1:14" ht="19.5">
      <c r="A1186" s="21" t="s">
        <v>351</v>
      </c>
      <c r="B1186" s="5" t="s">
        <v>2664</v>
      </c>
      <c r="C1186" s="37" t="s">
        <v>2670</v>
      </c>
      <c r="I1186" s="109"/>
      <c r="J1186" s="109"/>
      <c r="K1186" s="109"/>
      <c r="L1186" s="109" t="str">
        <f t="shared" si="18"/>
        <v>95-951500308</v>
      </c>
      <c r="M1186" s="114">
        <v>951500308</v>
      </c>
      <c r="N1186" s="114" t="s">
        <v>5662</v>
      </c>
    </row>
    <row r="1187" spans="1:14" ht="19.5">
      <c r="A1187" s="21" t="s">
        <v>256</v>
      </c>
      <c r="B1187" s="5" t="s">
        <v>2664</v>
      </c>
      <c r="C1187" s="37" t="s">
        <v>2670</v>
      </c>
      <c r="I1187" s="109"/>
      <c r="J1187" s="109"/>
      <c r="K1187" s="109"/>
      <c r="L1187" s="109" t="str">
        <f t="shared" si="18"/>
        <v>95-951500344</v>
      </c>
      <c r="M1187" s="114">
        <v>951500344</v>
      </c>
      <c r="N1187" s="114" t="s">
        <v>5662</v>
      </c>
    </row>
    <row r="1188" spans="1:14" ht="19.5">
      <c r="A1188" s="21" t="s">
        <v>100</v>
      </c>
      <c r="B1188" s="5" t="s">
        <v>2664</v>
      </c>
      <c r="C1188" s="37" t="s">
        <v>2670</v>
      </c>
      <c r="I1188" s="109"/>
      <c r="J1188" s="109"/>
      <c r="K1188" s="109"/>
      <c r="L1188" s="109" t="str">
        <f t="shared" si="18"/>
        <v>95-951500348</v>
      </c>
      <c r="M1188" s="114">
        <v>951500348</v>
      </c>
      <c r="N1188" s="114" t="s">
        <v>5662</v>
      </c>
    </row>
    <row r="1189" spans="1:14" ht="19.5">
      <c r="A1189" s="21" t="s">
        <v>103</v>
      </c>
      <c r="B1189" s="5" t="s">
        <v>2664</v>
      </c>
      <c r="C1189" s="37" t="s">
        <v>2670</v>
      </c>
      <c r="I1189" s="109"/>
      <c r="J1189" s="109"/>
      <c r="K1189" s="109"/>
      <c r="L1189" s="109" t="str">
        <f t="shared" si="18"/>
        <v>95-951500483</v>
      </c>
      <c r="M1189" s="114">
        <v>951500483</v>
      </c>
      <c r="N1189" s="114" t="s">
        <v>5713</v>
      </c>
    </row>
    <row r="1190" spans="1:14" ht="19.5">
      <c r="A1190" s="21" t="s">
        <v>99</v>
      </c>
      <c r="B1190" s="5" t="s">
        <v>2664</v>
      </c>
      <c r="C1190" s="37" t="s">
        <v>2670</v>
      </c>
      <c r="I1190" s="109"/>
      <c r="J1190" s="109"/>
      <c r="K1190" s="109"/>
      <c r="L1190" s="109" t="str">
        <f t="shared" si="18"/>
        <v>95-951500548</v>
      </c>
      <c r="M1190" s="114">
        <v>951500548</v>
      </c>
      <c r="N1190" s="114" t="s">
        <v>5712</v>
      </c>
    </row>
    <row r="1191" spans="1:14" ht="19.5">
      <c r="A1191" s="21" t="s">
        <v>257</v>
      </c>
      <c r="B1191" s="5" t="s">
        <v>2664</v>
      </c>
      <c r="C1191" s="37" t="s">
        <v>2670</v>
      </c>
      <c r="I1191" s="109"/>
      <c r="J1191" s="109"/>
      <c r="K1191" s="109"/>
      <c r="L1191" s="109" t="str">
        <f t="shared" si="18"/>
        <v>95-951500561</v>
      </c>
      <c r="M1191" s="114">
        <v>951500561</v>
      </c>
      <c r="N1191" s="114" t="s">
        <v>5738</v>
      </c>
    </row>
    <row r="1192" spans="1:14" ht="19.5">
      <c r="A1192" s="21" t="s">
        <v>113</v>
      </c>
      <c r="B1192" s="5" t="s">
        <v>2664</v>
      </c>
      <c r="C1192" s="36" t="s">
        <v>2669</v>
      </c>
      <c r="I1192" s="109"/>
      <c r="J1192" s="109"/>
      <c r="K1192" s="109"/>
      <c r="L1192" s="109" t="str">
        <f t="shared" si="18"/>
        <v>95-951500593</v>
      </c>
      <c r="M1192" s="114">
        <v>951500593</v>
      </c>
      <c r="N1192" s="114" t="s">
        <v>5748</v>
      </c>
    </row>
    <row r="1193" spans="1:14" ht="19.5">
      <c r="A1193" s="21" t="s">
        <v>254</v>
      </c>
      <c r="B1193" s="5" t="s">
        <v>2664</v>
      </c>
      <c r="C1193" s="36" t="s">
        <v>2669</v>
      </c>
      <c r="I1193" s="109"/>
      <c r="J1193" s="109"/>
      <c r="K1193" s="109"/>
      <c r="L1193" s="109" t="str">
        <f t="shared" si="18"/>
        <v>96-961500040</v>
      </c>
      <c r="M1193" s="114">
        <v>961500040</v>
      </c>
      <c r="N1193" s="114" t="s">
        <v>5777</v>
      </c>
    </row>
    <row r="1194" spans="1:14" ht="19.5">
      <c r="A1194" s="21" t="s">
        <v>114</v>
      </c>
      <c r="B1194" s="5" t="s">
        <v>2664</v>
      </c>
      <c r="C1194" s="36" t="s">
        <v>2669</v>
      </c>
      <c r="I1194" s="109"/>
      <c r="J1194" s="109"/>
      <c r="K1194" s="109"/>
      <c r="L1194" s="109" t="str">
        <f t="shared" si="18"/>
        <v>96-961500060</v>
      </c>
      <c r="M1194" s="114">
        <v>961500060</v>
      </c>
      <c r="N1194" s="114" t="s">
        <v>5777</v>
      </c>
    </row>
    <row r="1195" spans="1:14" ht="19.5">
      <c r="A1195" s="21" t="s">
        <v>60</v>
      </c>
      <c r="B1195" s="5" t="s">
        <v>2664</v>
      </c>
      <c r="C1195" s="36" t="s">
        <v>2671</v>
      </c>
      <c r="I1195" s="109"/>
      <c r="J1195" s="109"/>
      <c r="K1195" s="109"/>
      <c r="L1195" s="109" t="str">
        <f t="shared" si="18"/>
        <v>96-961500066</v>
      </c>
      <c r="M1195" s="114">
        <v>961500066</v>
      </c>
      <c r="N1195" s="114" t="s">
        <v>5777</v>
      </c>
    </row>
    <row r="1196" spans="1:14" ht="19.5">
      <c r="A1196" s="21" t="s">
        <v>866</v>
      </c>
      <c r="B1196" s="5" t="s">
        <v>2664</v>
      </c>
      <c r="C1196" s="36" t="s">
        <v>2669</v>
      </c>
      <c r="I1196" s="109"/>
      <c r="J1196" s="109"/>
      <c r="K1196" s="109"/>
      <c r="L1196" s="109" t="str">
        <f t="shared" si="18"/>
        <v>96-961500142</v>
      </c>
      <c r="M1196" s="114">
        <v>961500142</v>
      </c>
      <c r="N1196" s="114" t="s">
        <v>5803</v>
      </c>
    </row>
    <row r="1197" spans="1:14" ht="19.5">
      <c r="A1197" s="21" t="s">
        <v>879</v>
      </c>
      <c r="B1197" s="5" t="s">
        <v>2664</v>
      </c>
      <c r="C1197" s="36" t="s">
        <v>2669</v>
      </c>
      <c r="I1197" s="109"/>
      <c r="J1197" s="109"/>
      <c r="K1197" s="109"/>
      <c r="L1197" s="109" t="str">
        <f t="shared" si="18"/>
        <v>96-961500149</v>
      </c>
      <c r="M1197" s="114">
        <v>961500149</v>
      </c>
      <c r="N1197" s="114" t="s">
        <v>5789</v>
      </c>
    </row>
    <row r="1198" spans="1:14" ht="19.5">
      <c r="A1198" s="21" t="s">
        <v>743</v>
      </c>
      <c r="B1198" s="5" t="s">
        <v>2664</v>
      </c>
      <c r="C1198" s="36" t="s">
        <v>2669</v>
      </c>
      <c r="I1198" s="109"/>
      <c r="J1198" s="109"/>
      <c r="K1198" s="109"/>
      <c r="L1198" s="109" t="str">
        <f t="shared" si="18"/>
        <v>96-961500167</v>
      </c>
      <c r="M1198" s="114">
        <v>961500167</v>
      </c>
      <c r="N1198" s="114" t="s">
        <v>5789</v>
      </c>
    </row>
    <row r="1199" spans="1:14" ht="19.5">
      <c r="A1199" s="21" t="s">
        <v>873</v>
      </c>
      <c r="B1199" s="5" t="s">
        <v>2664</v>
      </c>
      <c r="C1199" s="36" t="s">
        <v>2669</v>
      </c>
      <c r="I1199" s="109"/>
      <c r="J1199" s="109"/>
      <c r="K1199" s="109"/>
      <c r="L1199" s="109" t="str">
        <f t="shared" si="18"/>
        <v>96-961500220</v>
      </c>
      <c r="M1199" s="114">
        <v>961500220</v>
      </c>
      <c r="N1199" s="114" t="s">
        <v>5819</v>
      </c>
    </row>
    <row r="1200" spans="1:14" ht="19.5">
      <c r="A1200" s="21" t="s">
        <v>827</v>
      </c>
      <c r="B1200" s="5" t="s">
        <v>2664</v>
      </c>
      <c r="C1200" s="36" t="s">
        <v>2669</v>
      </c>
      <c r="I1200" s="109"/>
      <c r="J1200" s="109"/>
      <c r="K1200" s="109"/>
      <c r="L1200" s="109" t="str">
        <f t="shared" si="18"/>
        <v>96-961500230</v>
      </c>
      <c r="M1200" s="114">
        <v>961500230</v>
      </c>
      <c r="N1200" s="114" t="s">
        <v>5819</v>
      </c>
    </row>
    <row r="1201" spans="1:14" ht="19.5">
      <c r="A1201" s="21" t="s">
        <v>732</v>
      </c>
      <c r="B1201" s="5" t="s">
        <v>2664</v>
      </c>
      <c r="C1201" s="36" t="s">
        <v>2671</v>
      </c>
      <c r="I1201" s="109"/>
      <c r="J1201" s="109"/>
      <c r="K1201" s="109"/>
      <c r="L1201" s="109" t="str">
        <f t="shared" si="18"/>
        <v>96-961500272</v>
      </c>
      <c r="M1201" s="114">
        <v>961500272</v>
      </c>
      <c r="N1201" s="114" t="s">
        <v>5807</v>
      </c>
    </row>
    <row r="1202" spans="1:14" ht="19.5">
      <c r="A1202" s="21" t="s">
        <v>882</v>
      </c>
      <c r="B1202" s="5" t="s">
        <v>2664</v>
      </c>
      <c r="C1202" s="36" t="s">
        <v>2671</v>
      </c>
      <c r="I1202" s="109"/>
      <c r="J1202" s="109"/>
      <c r="K1202" s="109"/>
      <c r="L1202" s="109" t="str">
        <f t="shared" si="18"/>
        <v>95-951100016</v>
      </c>
      <c r="M1202" s="114">
        <v>951100016</v>
      </c>
      <c r="N1202" s="114" t="s">
        <v>7282</v>
      </c>
    </row>
    <row r="1203" spans="1:14" ht="19.5">
      <c r="A1203" s="21" t="s">
        <v>881</v>
      </c>
      <c r="B1203" s="5" t="s">
        <v>2664</v>
      </c>
      <c r="C1203" s="36" t="s">
        <v>2671</v>
      </c>
      <c r="I1203" s="109"/>
      <c r="J1203" s="109"/>
      <c r="K1203" s="109"/>
      <c r="L1203" s="109" t="str">
        <f t="shared" si="18"/>
        <v>96-961500276</v>
      </c>
      <c r="M1203" s="114">
        <v>961500276</v>
      </c>
      <c r="N1203" s="114" t="s">
        <v>5820</v>
      </c>
    </row>
    <row r="1204" spans="1:14" ht="19.5">
      <c r="A1204" s="21" t="s">
        <v>792</v>
      </c>
      <c r="B1204" s="5" t="s">
        <v>2664</v>
      </c>
      <c r="C1204" s="36" t="s">
        <v>2671</v>
      </c>
      <c r="I1204" s="109"/>
      <c r="J1204" s="109"/>
      <c r="K1204" s="109"/>
      <c r="L1204" s="109" t="str">
        <f t="shared" si="18"/>
        <v>96-961500300</v>
      </c>
      <c r="M1204" s="114">
        <v>961500300</v>
      </c>
      <c r="N1204" s="114" t="s">
        <v>5820</v>
      </c>
    </row>
    <row r="1205" spans="1:14" ht="19.5">
      <c r="A1205" s="21" t="s">
        <v>798</v>
      </c>
      <c r="B1205" s="5" t="s">
        <v>2664</v>
      </c>
      <c r="C1205" s="36" t="s">
        <v>2671</v>
      </c>
      <c r="I1205" s="109"/>
      <c r="J1205" s="109"/>
      <c r="K1205" s="109"/>
      <c r="L1205" s="109" t="str">
        <f t="shared" si="18"/>
        <v>96-961500326</v>
      </c>
      <c r="M1205" s="114">
        <v>961500326</v>
      </c>
      <c r="N1205" s="114" t="s">
        <v>5818</v>
      </c>
    </row>
    <row r="1206" spans="1:14" ht="19.5">
      <c r="A1206" s="21" t="s">
        <v>917</v>
      </c>
      <c r="B1206" s="5" t="s">
        <v>2664</v>
      </c>
      <c r="C1206" s="37" t="s">
        <v>2670</v>
      </c>
      <c r="I1206" s="109"/>
      <c r="J1206" s="109"/>
      <c r="K1206" s="109"/>
      <c r="L1206" s="109" t="str">
        <f t="shared" si="18"/>
        <v>96-961500348</v>
      </c>
      <c r="M1206" s="114">
        <v>961500348</v>
      </c>
      <c r="N1206" s="114" t="s">
        <v>5818</v>
      </c>
    </row>
    <row r="1207" spans="1:14" ht="19.5">
      <c r="A1207" s="21" t="s">
        <v>918</v>
      </c>
      <c r="B1207" s="5" t="s">
        <v>2664</v>
      </c>
      <c r="C1207" s="37" t="s">
        <v>2670</v>
      </c>
      <c r="I1207" s="109"/>
      <c r="J1207" s="109"/>
      <c r="K1207" s="109"/>
      <c r="L1207" s="109" t="str">
        <f t="shared" si="18"/>
        <v>96-961500411</v>
      </c>
      <c r="M1207" s="114">
        <v>961500411</v>
      </c>
      <c r="N1207" s="114" t="s">
        <v>7237</v>
      </c>
    </row>
    <row r="1208" spans="1:14" ht="19.5">
      <c r="A1208" s="21" t="s">
        <v>818</v>
      </c>
      <c r="B1208" s="5" t="s">
        <v>2664</v>
      </c>
      <c r="C1208" s="37" t="s">
        <v>2670</v>
      </c>
      <c r="I1208" s="109"/>
      <c r="J1208" s="109"/>
      <c r="K1208" s="109"/>
      <c r="L1208" s="109" t="str">
        <f t="shared" si="18"/>
        <v>96-961500527</v>
      </c>
      <c r="M1208" s="114">
        <v>961500527</v>
      </c>
      <c r="N1208" s="114" t="s">
        <v>5842</v>
      </c>
    </row>
    <row r="1209" spans="1:14" ht="19.5">
      <c r="A1209" s="21" t="s">
        <v>857</v>
      </c>
      <c r="B1209" s="5" t="s">
        <v>2664</v>
      </c>
      <c r="C1209" s="37" t="s">
        <v>2670</v>
      </c>
      <c r="I1209" s="109"/>
      <c r="J1209" s="109"/>
      <c r="K1209" s="109"/>
      <c r="L1209" s="109" t="str">
        <f t="shared" si="18"/>
        <v>96-961500565</v>
      </c>
      <c r="M1209" s="114">
        <v>961500565</v>
      </c>
      <c r="N1209" s="114" t="s">
        <v>8722</v>
      </c>
    </row>
    <row r="1210" spans="1:14" ht="19.5">
      <c r="A1210" s="21" t="s">
        <v>919</v>
      </c>
      <c r="B1210" s="5" t="s">
        <v>2664</v>
      </c>
      <c r="C1210" s="37" t="s">
        <v>2670</v>
      </c>
      <c r="I1210" s="109"/>
      <c r="J1210" s="109"/>
      <c r="K1210" s="109"/>
      <c r="L1210" s="109" t="str">
        <f t="shared" si="18"/>
        <v>95-951500287</v>
      </c>
      <c r="M1210" s="114">
        <v>951500287</v>
      </c>
      <c r="N1210" s="114" t="s">
        <v>5657</v>
      </c>
    </row>
    <row r="1211" spans="1:14" ht="19.5">
      <c r="A1211" s="21" t="s">
        <v>1048</v>
      </c>
      <c r="B1211" s="5" t="s">
        <v>2664</v>
      </c>
      <c r="C1211" s="36" t="s">
        <v>2669</v>
      </c>
      <c r="I1211" s="109"/>
      <c r="J1211" s="109"/>
      <c r="K1211" s="109"/>
      <c r="L1211" s="109" t="str">
        <f t="shared" si="18"/>
        <v>95-951500421</v>
      </c>
      <c r="M1211" s="114">
        <v>951500421</v>
      </c>
      <c r="N1211" s="114" t="s">
        <v>5693</v>
      </c>
    </row>
    <row r="1212" spans="1:14" ht="19.5">
      <c r="A1212" s="21" t="s">
        <v>1046</v>
      </c>
      <c r="B1212" s="5" t="s">
        <v>2664</v>
      </c>
      <c r="C1212" s="36" t="s">
        <v>2669</v>
      </c>
      <c r="I1212" s="109"/>
      <c r="J1212" s="109"/>
      <c r="K1212" s="109"/>
      <c r="L1212" s="109" t="str">
        <f t="shared" si="18"/>
        <v>95-951500602</v>
      </c>
      <c r="M1212" s="114">
        <v>951500602</v>
      </c>
      <c r="N1212" s="114" t="s">
        <v>5759</v>
      </c>
    </row>
    <row r="1213" spans="1:14" ht="19.5">
      <c r="A1213" s="21" t="s">
        <v>958</v>
      </c>
      <c r="B1213" s="5" t="s">
        <v>2664</v>
      </c>
      <c r="C1213" s="36" t="s">
        <v>2669</v>
      </c>
      <c r="I1213" s="109"/>
      <c r="J1213" s="109"/>
      <c r="K1213" s="109"/>
      <c r="L1213" s="109" t="str">
        <f t="shared" si="18"/>
        <v>96-961500081</v>
      </c>
      <c r="M1213" s="114">
        <v>961500081</v>
      </c>
      <c r="N1213" s="114" t="s">
        <v>5767</v>
      </c>
    </row>
    <row r="1214" spans="1:14" ht="19.5">
      <c r="A1214" s="21" t="s">
        <v>1042</v>
      </c>
      <c r="B1214" s="5" t="s">
        <v>2664</v>
      </c>
      <c r="C1214" s="37" t="s">
        <v>2670</v>
      </c>
      <c r="I1214" s="109"/>
      <c r="J1214" s="109"/>
      <c r="K1214" s="109"/>
      <c r="L1214" s="109" t="str">
        <f t="shared" si="18"/>
        <v>96-961500156</v>
      </c>
      <c r="M1214" s="114">
        <v>961500156</v>
      </c>
      <c r="N1214" s="114" t="s">
        <v>5806</v>
      </c>
    </row>
    <row r="1215" spans="1:14" ht="19.5">
      <c r="A1215" s="21" t="s">
        <v>1049</v>
      </c>
      <c r="B1215" s="5" t="s">
        <v>2664</v>
      </c>
      <c r="C1215" s="37" t="s">
        <v>2670</v>
      </c>
      <c r="I1215" s="109"/>
      <c r="J1215" s="109"/>
      <c r="K1215" s="109"/>
      <c r="L1215" s="109" t="str">
        <f t="shared" si="18"/>
        <v>95-951500465</v>
      </c>
      <c r="M1215" s="114">
        <v>951500465</v>
      </c>
      <c r="N1215" s="114" t="s">
        <v>5700</v>
      </c>
    </row>
    <row r="1216" spans="1:14" ht="19.5">
      <c r="A1216" s="21" t="s">
        <v>1145</v>
      </c>
      <c r="B1216" s="5" t="s">
        <v>2664</v>
      </c>
      <c r="C1216" s="37" t="s">
        <v>2670</v>
      </c>
      <c r="I1216" s="109"/>
      <c r="J1216" s="109"/>
      <c r="K1216" s="109"/>
      <c r="L1216" s="109" t="str">
        <f t="shared" si="18"/>
        <v>95-951500447</v>
      </c>
      <c r="M1216" s="114">
        <v>951500447</v>
      </c>
      <c r="N1216" s="114" t="s">
        <v>5703</v>
      </c>
    </row>
    <row r="1217" spans="1:14" ht="19.5">
      <c r="A1217" s="21" t="s">
        <v>1174</v>
      </c>
      <c r="B1217" s="5" t="s">
        <v>2664</v>
      </c>
      <c r="C1217" s="37" t="s">
        <v>2670</v>
      </c>
      <c r="I1217" s="109"/>
      <c r="J1217" s="109"/>
      <c r="K1217" s="109"/>
      <c r="L1217" s="109" t="str">
        <f t="shared" si="18"/>
        <v>95-951500508</v>
      </c>
      <c r="M1217" s="114">
        <v>951500508</v>
      </c>
      <c r="N1217" s="114" t="s">
        <v>5719</v>
      </c>
    </row>
    <row r="1218" spans="1:14" ht="19.5">
      <c r="A1218" s="21" t="s">
        <v>1165</v>
      </c>
      <c r="B1218" s="5" t="s">
        <v>2664</v>
      </c>
      <c r="C1218" s="37" t="s">
        <v>2670</v>
      </c>
      <c r="I1218" s="109"/>
      <c r="J1218" s="109"/>
      <c r="K1218" s="109"/>
      <c r="L1218" s="109" t="str">
        <f t="shared" si="18"/>
        <v>95-951200061</v>
      </c>
      <c r="M1218" s="114">
        <v>951200061</v>
      </c>
      <c r="N1218" s="114" t="s">
        <v>7247</v>
      </c>
    </row>
    <row r="1219" spans="1:14" ht="19.5">
      <c r="A1219" s="21" t="s">
        <v>1175</v>
      </c>
      <c r="B1219" s="5" t="s">
        <v>2664</v>
      </c>
      <c r="C1219" s="37" t="s">
        <v>2670</v>
      </c>
      <c r="I1219" s="109"/>
      <c r="J1219" s="109"/>
      <c r="K1219" s="109"/>
      <c r="L1219" s="109" t="str">
        <f t="shared" ref="L1219:L1282" si="19">MID(M1219,1,2)&amp;"-"&amp;M1219</f>
        <v>96-961500085</v>
      </c>
      <c r="M1219" s="114">
        <v>961500085</v>
      </c>
      <c r="N1219" s="114" t="s">
        <v>5796</v>
      </c>
    </row>
    <row r="1220" spans="1:14" ht="19.5">
      <c r="A1220" s="21" t="s">
        <v>1086</v>
      </c>
      <c r="B1220" s="5" t="s">
        <v>2664</v>
      </c>
      <c r="C1220" s="37" t="s">
        <v>2670</v>
      </c>
      <c r="I1220" s="109"/>
      <c r="J1220" s="109"/>
      <c r="K1220" s="109"/>
      <c r="L1220" s="109" t="str">
        <f t="shared" si="19"/>
        <v>96-961500543</v>
      </c>
      <c r="M1220" s="114">
        <v>961500543</v>
      </c>
      <c r="N1220" s="114" t="s">
        <v>5854</v>
      </c>
    </row>
    <row r="1221" spans="1:14" ht="19.5">
      <c r="A1221" s="21" t="s">
        <v>1162</v>
      </c>
      <c r="B1221" s="5" t="s">
        <v>2664</v>
      </c>
      <c r="C1221" s="37" t="s">
        <v>2670</v>
      </c>
      <c r="I1221" s="109"/>
      <c r="J1221" s="109"/>
      <c r="K1221" s="109"/>
      <c r="L1221" s="109" t="str">
        <f t="shared" si="19"/>
        <v>96-961500563</v>
      </c>
      <c r="M1221" s="114">
        <v>961500563</v>
      </c>
      <c r="N1221" s="114" t="s">
        <v>5854</v>
      </c>
    </row>
    <row r="1222" spans="1:14" ht="19.5">
      <c r="A1222" s="21" t="s">
        <v>1163</v>
      </c>
      <c r="B1222" s="5" t="s">
        <v>2664</v>
      </c>
      <c r="C1222" s="37" t="s">
        <v>2670</v>
      </c>
      <c r="I1222" s="109"/>
      <c r="J1222" s="109"/>
      <c r="K1222" s="109"/>
      <c r="L1222" s="109" t="str">
        <f t="shared" si="19"/>
        <v>95-951100047</v>
      </c>
      <c r="M1222" s="114">
        <v>951100047</v>
      </c>
      <c r="N1222" s="114" t="s">
        <v>7283</v>
      </c>
    </row>
    <row r="1223" spans="1:14" ht="19.5">
      <c r="A1223" s="21" t="s">
        <v>1078</v>
      </c>
      <c r="B1223" s="5" t="s">
        <v>2664</v>
      </c>
      <c r="C1223" s="37" t="s">
        <v>2670</v>
      </c>
      <c r="I1223" s="109"/>
      <c r="J1223" s="109"/>
      <c r="K1223" s="109"/>
      <c r="L1223" s="109" t="str">
        <f t="shared" si="19"/>
        <v>95-952000057</v>
      </c>
      <c r="M1223" s="114">
        <v>952000057</v>
      </c>
      <c r="N1223" s="114" t="s">
        <v>7278</v>
      </c>
    </row>
    <row r="1224" spans="1:14" ht="19.5">
      <c r="A1224" s="21" t="s">
        <v>1087</v>
      </c>
      <c r="B1224" s="5" t="s">
        <v>2664</v>
      </c>
      <c r="C1224" s="37" t="s">
        <v>2670</v>
      </c>
      <c r="I1224" s="109"/>
      <c r="J1224" s="109"/>
      <c r="K1224" s="109"/>
      <c r="L1224" s="109" t="str">
        <f t="shared" si="19"/>
        <v>96-962000223</v>
      </c>
      <c r="M1224" s="114">
        <v>962000223</v>
      </c>
      <c r="N1224" s="114" t="s">
        <v>7112</v>
      </c>
    </row>
    <row r="1225" spans="1:14" ht="19.5">
      <c r="A1225" s="21" t="s">
        <v>1124</v>
      </c>
      <c r="B1225" s="5" t="s">
        <v>2664</v>
      </c>
      <c r="C1225" s="36" t="s">
        <v>2669</v>
      </c>
      <c r="I1225" s="109"/>
      <c r="J1225" s="109"/>
      <c r="K1225" s="109"/>
      <c r="L1225" s="109" t="str">
        <f t="shared" si="19"/>
        <v>95-956200285</v>
      </c>
      <c r="M1225" s="114">
        <v>956200285</v>
      </c>
      <c r="N1225" s="114" t="s">
        <v>7284</v>
      </c>
    </row>
    <row r="1226" spans="1:14" ht="19.5">
      <c r="A1226" s="21" t="s">
        <v>1287</v>
      </c>
      <c r="B1226" s="5" t="s">
        <v>2664</v>
      </c>
      <c r="C1226" s="36" t="s">
        <v>2669</v>
      </c>
      <c r="I1226" s="109"/>
      <c r="J1226" s="109"/>
      <c r="K1226" s="109"/>
      <c r="L1226" s="109" t="str">
        <f t="shared" si="19"/>
        <v>96-961200052</v>
      </c>
      <c r="M1226" s="114">
        <v>961200052</v>
      </c>
      <c r="N1226" s="114" t="s">
        <v>7301</v>
      </c>
    </row>
    <row r="1227" spans="1:14" ht="19.5">
      <c r="A1227" s="21" t="s">
        <v>1286</v>
      </c>
      <c r="B1227" s="5" t="s">
        <v>2664</v>
      </c>
      <c r="C1227" s="36" t="s">
        <v>2669</v>
      </c>
      <c r="I1227" s="109"/>
      <c r="J1227" s="109"/>
      <c r="K1227" s="109"/>
      <c r="L1227" s="109" t="str">
        <f t="shared" si="19"/>
        <v>96-961100073</v>
      </c>
      <c r="M1227" s="114">
        <v>961100073</v>
      </c>
      <c r="N1227" s="114" t="s">
        <v>7115</v>
      </c>
    </row>
    <row r="1228" spans="1:14" ht="19.5">
      <c r="A1228" s="21" t="s">
        <v>1339</v>
      </c>
      <c r="B1228" s="5" t="s">
        <v>2664</v>
      </c>
      <c r="C1228" s="36" t="s">
        <v>2669</v>
      </c>
      <c r="I1228" s="109"/>
      <c r="J1228" s="109"/>
      <c r="K1228" s="109"/>
      <c r="L1228" s="109" t="str">
        <f t="shared" si="19"/>
        <v>95-951100190</v>
      </c>
      <c r="M1228" s="114">
        <v>951100190</v>
      </c>
      <c r="N1228" s="114" t="s">
        <v>7328</v>
      </c>
    </row>
    <row r="1229" spans="1:14" ht="19.5">
      <c r="A1229" s="21" t="s">
        <v>1333</v>
      </c>
      <c r="B1229" s="5" t="s">
        <v>2664</v>
      </c>
      <c r="C1229" s="36" t="s">
        <v>2669</v>
      </c>
      <c r="I1229" s="109"/>
      <c r="J1229" s="109"/>
      <c r="K1229" s="109"/>
      <c r="L1229" s="109" t="str">
        <f t="shared" si="19"/>
        <v>95-956300008</v>
      </c>
      <c r="M1229" s="114">
        <v>956300008</v>
      </c>
      <c r="N1229" s="114" t="s">
        <v>7287</v>
      </c>
    </row>
    <row r="1230" spans="1:14" ht="19.5">
      <c r="A1230" s="21" t="s">
        <v>1340</v>
      </c>
      <c r="B1230" s="5" t="s">
        <v>2664</v>
      </c>
      <c r="C1230" s="36" t="s">
        <v>2669</v>
      </c>
      <c r="I1230" s="109"/>
      <c r="J1230" s="109"/>
      <c r="K1230" s="109"/>
      <c r="L1230" s="109" t="str">
        <f t="shared" si="19"/>
        <v>96-966200039</v>
      </c>
      <c r="M1230" s="114">
        <v>966200039</v>
      </c>
      <c r="N1230" s="114" t="s">
        <v>7288</v>
      </c>
    </row>
    <row r="1231" spans="1:14" ht="19.5">
      <c r="A1231" s="21" t="s">
        <v>1341</v>
      </c>
      <c r="B1231" s="5" t="s">
        <v>2664</v>
      </c>
      <c r="C1231" s="36" t="s">
        <v>2669</v>
      </c>
      <c r="I1231" s="109"/>
      <c r="J1231" s="109"/>
      <c r="K1231" s="109"/>
      <c r="L1231" s="109" t="str">
        <f t="shared" si="19"/>
        <v>96-962000189</v>
      </c>
      <c r="M1231" s="114">
        <v>962000189</v>
      </c>
      <c r="N1231" s="114" t="s">
        <v>7112</v>
      </c>
    </row>
    <row r="1232" spans="1:14" ht="19.5">
      <c r="A1232" s="21" t="s">
        <v>1342</v>
      </c>
      <c r="B1232" s="5" t="s">
        <v>2664</v>
      </c>
      <c r="C1232" s="36" t="s">
        <v>2669</v>
      </c>
      <c r="I1232" s="109"/>
      <c r="J1232" s="109"/>
      <c r="K1232" s="109"/>
      <c r="L1232" s="109" t="str">
        <f t="shared" si="19"/>
        <v>96-962000146</v>
      </c>
      <c r="M1232" s="114">
        <v>962000146</v>
      </c>
      <c r="N1232" s="114" t="s">
        <v>7112</v>
      </c>
    </row>
    <row r="1233" spans="1:14" ht="19.5">
      <c r="A1233" s="21" t="s">
        <v>1337</v>
      </c>
      <c r="B1233" s="5" t="s">
        <v>2664</v>
      </c>
      <c r="C1233" s="38" t="s">
        <v>2669</v>
      </c>
      <c r="I1233" s="109"/>
      <c r="J1233" s="109"/>
      <c r="K1233" s="109"/>
      <c r="L1233" s="109" t="str">
        <f t="shared" si="19"/>
        <v>95-952000154</v>
      </c>
      <c r="M1233" s="114">
        <v>952000154</v>
      </c>
      <c r="N1233" s="114" t="s">
        <v>7332</v>
      </c>
    </row>
    <row r="1234" spans="1:14" ht="19.5">
      <c r="A1234" s="21" t="s">
        <v>1604</v>
      </c>
      <c r="B1234" s="5" t="s">
        <v>2664</v>
      </c>
      <c r="C1234" s="38" t="s">
        <v>2669</v>
      </c>
      <c r="I1234" s="109"/>
      <c r="J1234" s="109"/>
      <c r="K1234" s="109"/>
      <c r="L1234" s="109" t="str">
        <f t="shared" si="19"/>
        <v>96-962000145</v>
      </c>
      <c r="M1234" s="114">
        <v>962000145</v>
      </c>
      <c r="N1234" s="114" t="s">
        <v>7112</v>
      </c>
    </row>
    <row r="1235" spans="1:14" ht="19.5">
      <c r="A1235" s="21" t="s">
        <v>1600</v>
      </c>
      <c r="B1235" s="5" t="s">
        <v>2664</v>
      </c>
      <c r="C1235" s="38" t="s">
        <v>2669</v>
      </c>
      <c r="I1235" s="109"/>
      <c r="J1235" s="109"/>
      <c r="K1235" s="109"/>
      <c r="L1235" s="109" t="str">
        <f t="shared" si="19"/>
        <v>95-951100155</v>
      </c>
      <c r="M1235" s="114">
        <v>951100155</v>
      </c>
      <c r="N1235" s="114" t="s">
        <v>7285</v>
      </c>
    </row>
    <row r="1236" spans="1:14" ht="19.5">
      <c r="A1236" s="21" t="s">
        <v>1603</v>
      </c>
      <c r="B1236" s="5" t="s">
        <v>2664</v>
      </c>
      <c r="C1236" s="38" t="s">
        <v>2669</v>
      </c>
      <c r="I1236" s="109"/>
      <c r="J1236" s="109"/>
      <c r="K1236" s="109"/>
      <c r="L1236" s="109" t="str">
        <f t="shared" si="19"/>
        <v>96-961100031</v>
      </c>
      <c r="M1236" s="114">
        <v>961100031</v>
      </c>
      <c r="N1236" s="114" t="s">
        <v>7286</v>
      </c>
    </row>
    <row r="1237" spans="1:14" ht="19.5">
      <c r="A1237" s="21" t="s">
        <v>1818</v>
      </c>
      <c r="B1237" s="5" t="s">
        <v>2664</v>
      </c>
      <c r="C1237" s="38" t="s">
        <v>2669</v>
      </c>
      <c r="I1237" s="109"/>
      <c r="J1237" s="109"/>
      <c r="K1237" s="109"/>
      <c r="L1237" s="109" t="str">
        <f t="shared" si="19"/>
        <v>96-966200243</v>
      </c>
      <c r="M1237" s="114">
        <v>966200243</v>
      </c>
      <c r="N1237" s="114" t="s">
        <v>7333</v>
      </c>
    </row>
    <row r="1238" spans="1:14" ht="19.5">
      <c r="A1238" s="21" t="s">
        <v>1794</v>
      </c>
      <c r="B1238" s="5" t="s">
        <v>2664</v>
      </c>
      <c r="C1238" s="38" t="s">
        <v>2669</v>
      </c>
      <c r="I1238" s="109"/>
      <c r="J1238" s="109"/>
      <c r="K1238" s="109"/>
      <c r="L1238" s="109" t="str">
        <f t="shared" si="19"/>
        <v>95-956200347</v>
      </c>
      <c r="M1238" s="114">
        <v>956200347</v>
      </c>
      <c r="N1238" s="114" t="s">
        <v>7292</v>
      </c>
    </row>
    <row r="1239" spans="1:14" ht="19.5">
      <c r="A1239" s="21" t="s">
        <v>1871</v>
      </c>
      <c r="B1239" s="5" t="s">
        <v>2664</v>
      </c>
      <c r="C1239" s="38" t="s">
        <v>2669</v>
      </c>
      <c r="I1239" s="109"/>
      <c r="J1239" s="109"/>
      <c r="K1239" s="109"/>
      <c r="L1239" s="109" t="str">
        <f t="shared" si="19"/>
        <v>96-966200125</v>
      </c>
      <c r="M1239" s="114">
        <v>966200125</v>
      </c>
      <c r="N1239" s="114" t="s">
        <v>7293</v>
      </c>
    </row>
    <row r="1240" spans="1:14" ht="19.5">
      <c r="A1240" s="39" t="s">
        <v>20</v>
      </c>
      <c r="B1240" s="5" t="s">
        <v>2459</v>
      </c>
      <c r="C1240" s="40" t="s">
        <v>2670</v>
      </c>
      <c r="I1240" s="109"/>
      <c r="J1240" s="109"/>
      <c r="K1240" s="109"/>
      <c r="L1240" s="109" t="str">
        <f t="shared" si="19"/>
        <v>95-951100099</v>
      </c>
      <c r="M1240" s="114">
        <v>951100099</v>
      </c>
      <c r="N1240" s="114" t="s">
        <v>7323</v>
      </c>
    </row>
    <row r="1241" spans="1:14" ht="19.5">
      <c r="A1241" s="39" t="s">
        <v>2672</v>
      </c>
      <c r="B1241" s="5" t="s">
        <v>2459</v>
      </c>
      <c r="C1241" s="40" t="s">
        <v>2670</v>
      </c>
      <c r="I1241" s="109"/>
      <c r="J1241" s="109"/>
      <c r="K1241" s="109"/>
      <c r="L1241" s="109" t="str">
        <f t="shared" si="19"/>
        <v>96-961100051</v>
      </c>
      <c r="M1241" s="114">
        <v>961100051</v>
      </c>
      <c r="N1241" s="114" t="s">
        <v>7324</v>
      </c>
    </row>
    <row r="1242" spans="1:14" ht="19.5">
      <c r="A1242" s="39" t="s">
        <v>125</v>
      </c>
      <c r="B1242" s="5" t="s">
        <v>2459</v>
      </c>
      <c r="C1242" s="40" t="s">
        <v>2670</v>
      </c>
      <c r="I1242" s="109"/>
      <c r="J1242" s="109"/>
      <c r="K1242" s="109"/>
      <c r="L1242" s="109" t="str">
        <f t="shared" si="19"/>
        <v>96-961100062</v>
      </c>
      <c r="M1242" s="114">
        <v>961100062</v>
      </c>
      <c r="N1242" s="114" t="s">
        <v>7325</v>
      </c>
    </row>
    <row r="1243" spans="1:14" ht="19.5">
      <c r="A1243" s="39" t="s">
        <v>128</v>
      </c>
      <c r="B1243" s="5" t="s">
        <v>2459</v>
      </c>
      <c r="C1243" s="40" t="s">
        <v>2670</v>
      </c>
      <c r="I1243" s="109"/>
      <c r="J1243" s="109"/>
      <c r="K1243" s="109"/>
      <c r="L1243" s="109" t="str">
        <f t="shared" si="19"/>
        <v>95-956200346</v>
      </c>
      <c r="M1243" s="114">
        <v>956200346</v>
      </c>
      <c r="N1243" s="114" t="s">
        <v>7292</v>
      </c>
    </row>
    <row r="1244" spans="1:14" ht="19.5">
      <c r="A1244" s="39" t="s">
        <v>127</v>
      </c>
      <c r="B1244" s="5" t="s">
        <v>2459</v>
      </c>
      <c r="C1244" s="40" t="s">
        <v>2670</v>
      </c>
      <c r="I1244" s="109"/>
      <c r="J1244" s="109"/>
      <c r="K1244" s="109"/>
      <c r="L1244" s="109" t="str">
        <f t="shared" si="19"/>
        <v>96-966200059</v>
      </c>
      <c r="M1244" s="114">
        <v>966200059</v>
      </c>
      <c r="N1244" s="114" t="s">
        <v>7345</v>
      </c>
    </row>
    <row r="1245" spans="1:14" ht="19.5">
      <c r="A1245" s="39" t="s">
        <v>51</v>
      </c>
      <c r="B1245" s="5" t="s">
        <v>2459</v>
      </c>
      <c r="C1245" s="40" t="s">
        <v>2670</v>
      </c>
      <c r="I1245" s="109"/>
      <c r="J1245" s="109"/>
      <c r="K1245" s="109"/>
      <c r="L1245" s="109" t="str">
        <f t="shared" si="19"/>
        <v>96-961100042</v>
      </c>
      <c r="M1245" s="114">
        <v>961100042</v>
      </c>
      <c r="N1245" s="114" t="s">
        <v>7315</v>
      </c>
    </row>
    <row r="1246" spans="1:14" ht="19.5">
      <c r="A1246" s="39" t="s">
        <v>255</v>
      </c>
      <c r="B1246" s="5" t="s">
        <v>2459</v>
      </c>
      <c r="C1246" s="40" t="s">
        <v>2670</v>
      </c>
      <c r="I1246" s="109"/>
      <c r="J1246" s="109"/>
      <c r="K1246" s="109"/>
      <c r="L1246" s="109" t="str">
        <f t="shared" si="19"/>
        <v>95-951100008</v>
      </c>
      <c r="M1246" s="114">
        <v>951100008</v>
      </c>
      <c r="N1246" s="114" t="s">
        <v>7353</v>
      </c>
    </row>
    <row r="1247" spans="1:14" ht="19.5">
      <c r="A1247" s="39" t="s">
        <v>2673</v>
      </c>
      <c r="B1247" s="5" t="s">
        <v>2459</v>
      </c>
      <c r="C1247" s="40" t="s">
        <v>2670</v>
      </c>
      <c r="I1247" s="109"/>
      <c r="J1247" s="109"/>
      <c r="K1247" s="109"/>
      <c r="L1247" s="109" t="str">
        <f t="shared" si="19"/>
        <v>96-962000127</v>
      </c>
      <c r="M1247" s="114">
        <v>962000127</v>
      </c>
      <c r="N1247" s="114" t="s">
        <v>7112</v>
      </c>
    </row>
    <row r="1248" spans="1:14" ht="19.5">
      <c r="A1248" s="39" t="s">
        <v>132</v>
      </c>
      <c r="B1248" s="5" t="s">
        <v>2459</v>
      </c>
      <c r="C1248" s="40" t="s">
        <v>2670</v>
      </c>
      <c r="I1248" s="109"/>
      <c r="J1248" s="109"/>
      <c r="K1248" s="109"/>
      <c r="L1248" s="109" t="str">
        <f t="shared" si="19"/>
        <v>96-962000161</v>
      </c>
      <c r="M1248" s="114">
        <v>962000161</v>
      </c>
      <c r="N1248" s="114" t="s">
        <v>7112</v>
      </c>
    </row>
    <row r="1249" spans="1:14" ht="19.5">
      <c r="A1249" s="39" t="s">
        <v>126</v>
      </c>
      <c r="B1249" s="5" t="s">
        <v>2459</v>
      </c>
      <c r="C1249" s="40" t="s">
        <v>2670</v>
      </c>
      <c r="I1249" s="109"/>
      <c r="J1249" s="109"/>
      <c r="K1249" s="109"/>
      <c r="L1249" s="109" t="str">
        <f t="shared" si="19"/>
        <v>95-951200088</v>
      </c>
      <c r="M1249" s="114">
        <v>951200088</v>
      </c>
      <c r="N1249" s="114" t="s">
        <v>7300</v>
      </c>
    </row>
    <row r="1250" spans="1:14" ht="19.5">
      <c r="A1250" s="39" t="s">
        <v>43</v>
      </c>
      <c r="B1250" s="5" t="s">
        <v>2459</v>
      </c>
      <c r="C1250" s="40" t="s">
        <v>2670</v>
      </c>
      <c r="I1250" s="109"/>
      <c r="J1250" s="109"/>
      <c r="K1250" s="109"/>
      <c r="L1250" s="109" t="str">
        <f t="shared" si="19"/>
        <v>95-951100029</v>
      </c>
      <c r="M1250" s="114">
        <v>951100029</v>
      </c>
      <c r="N1250" s="114" t="s">
        <v>7303</v>
      </c>
    </row>
    <row r="1251" spans="1:14" ht="19.5">
      <c r="A1251" s="39" t="s">
        <v>133</v>
      </c>
      <c r="B1251" s="5" t="s">
        <v>2459</v>
      </c>
      <c r="C1251" s="40" t="s">
        <v>2670</v>
      </c>
      <c r="I1251" s="109"/>
      <c r="J1251" s="109"/>
      <c r="K1251" s="109"/>
      <c r="L1251" s="109" t="str">
        <f t="shared" si="19"/>
        <v>95-951200035</v>
      </c>
      <c r="M1251" s="114">
        <v>951200035</v>
      </c>
      <c r="N1251" s="114" t="s">
        <v>7371</v>
      </c>
    </row>
    <row r="1252" spans="1:14" ht="19.5">
      <c r="A1252" s="39" t="s">
        <v>134</v>
      </c>
      <c r="B1252" s="5" t="s">
        <v>2459</v>
      </c>
      <c r="C1252" s="40" t="s">
        <v>2670</v>
      </c>
      <c r="I1252" s="109"/>
      <c r="J1252" s="109"/>
      <c r="K1252" s="109"/>
      <c r="L1252" s="109" t="str">
        <f t="shared" si="19"/>
        <v>95-956200324</v>
      </c>
      <c r="M1252" s="114">
        <v>956200324</v>
      </c>
      <c r="N1252" s="114" t="s">
        <v>7289</v>
      </c>
    </row>
    <row r="1253" spans="1:14" ht="19.5">
      <c r="A1253" s="39" t="s">
        <v>557</v>
      </c>
      <c r="B1253" s="5" t="s">
        <v>2459</v>
      </c>
      <c r="C1253" s="40" t="s">
        <v>2670</v>
      </c>
      <c r="I1253" s="109"/>
      <c r="J1253" s="109"/>
      <c r="K1253" s="109"/>
      <c r="L1253" s="109" t="str">
        <f t="shared" si="19"/>
        <v>96-962000159</v>
      </c>
      <c r="M1253" s="114">
        <v>962000159</v>
      </c>
      <c r="N1253" s="114" t="s">
        <v>7112</v>
      </c>
    </row>
    <row r="1254" spans="1:14" ht="19.5">
      <c r="A1254" s="39" t="s">
        <v>263</v>
      </c>
      <c r="B1254" s="5" t="s">
        <v>2459</v>
      </c>
      <c r="C1254" s="40" t="s">
        <v>2670</v>
      </c>
      <c r="I1254" s="109"/>
      <c r="J1254" s="109"/>
      <c r="K1254" s="109"/>
      <c r="L1254" s="109" t="str">
        <f t="shared" si="19"/>
        <v>96-962000219</v>
      </c>
      <c r="M1254" s="114">
        <v>962000219</v>
      </c>
      <c r="N1254" s="114" t="s">
        <v>7112</v>
      </c>
    </row>
    <row r="1255" spans="1:14" ht="19.5">
      <c r="A1255" s="39" t="s">
        <v>283</v>
      </c>
      <c r="B1255" s="5" t="s">
        <v>2459</v>
      </c>
      <c r="C1255" s="40" t="s">
        <v>2670</v>
      </c>
      <c r="I1255" s="109"/>
      <c r="J1255" s="109"/>
      <c r="K1255" s="109"/>
      <c r="L1255" s="109" t="str">
        <f t="shared" si="19"/>
        <v>95-951100083</v>
      </c>
      <c r="M1255" s="114">
        <v>951100083</v>
      </c>
      <c r="N1255" s="114" t="s">
        <v>7291</v>
      </c>
    </row>
    <row r="1256" spans="1:14" ht="19.5">
      <c r="A1256" s="39" t="s">
        <v>49</v>
      </c>
      <c r="B1256" s="5" t="s">
        <v>2459</v>
      </c>
      <c r="C1256" s="40" t="s">
        <v>2670</v>
      </c>
      <c r="I1256" s="109"/>
      <c r="J1256" s="109"/>
      <c r="K1256" s="109"/>
      <c r="L1256" s="109" t="str">
        <f t="shared" si="19"/>
        <v>96-962000182</v>
      </c>
      <c r="M1256" s="114">
        <v>962000182</v>
      </c>
      <c r="N1256" s="114" t="s">
        <v>7112</v>
      </c>
    </row>
    <row r="1257" spans="1:14" ht="19.5">
      <c r="A1257" s="39" t="s">
        <v>116</v>
      </c>
      <c r="B1257" s="5" t="s">
        <v>2459</v>
      </c>
      <c r="C1257" s="40" t="s">
        <v>2670</v>
      </c>
      <c r="I1257" s="109"/>
      <c r="J1257" s="109"/>
      <c r="K1257" s="109"/>
      <c r="L1257" s="109" t="str">
        <f t="shared" si="19"/>
        <v>95-956200061</v>
      </c>
      <c r="M1257" s="114">
        <v>956200061</v>
      </c>
      <c r="N1257" s="114" t="s">
        <v>7306</v>
      </c>
    </row>
    <row r="1258" spans="1:14" ht="19.5">
      <c r="A1258" s="39" t="s">
        <v>25</v>
      </c>
      <c r="B1258" s="5" t="s">
        <v>2459</v>
      </c>
      <c r="C1258" s="40" t="s">
        <v>2670</v>
      </c>
      <c r="I1258" s="109"/>
      <c r="J1258" s="109"/>
      <c r="K1258" s="109"/>
      <c r="L1258" s="109" t="str">
        <f t="shared" si="19"/>
        <v>95-951100122</v>
      </c>
      <c r="M1258" s="114">
        <v>951100122</v>
      </c>
      <c r="N1258" s="114" t="s">
        <v>7295</v>
      </c>
    </row>
    <row r="1259" spans="1:14" ht="19.5">
      <c r="A1259" s="39" t="s">
        <v>368</v>
      </c>
      <c r="B1259" s="5" t="s">
        <v>2459</v>
      </c>
      <c r="C1259" s="40" t="s">
        <v>2670</v>
      </c>
      <c r="I1259" s="109"/>
      <c r="J1259" s="109"/>
      <c r="K1259" s="109"/>
      <c r="L1259" s="109" t="str">
        <f t="shared" si="19"/>
        <v>95-951100007</v>
      </c>
      <c r="M1259" s="114">
        <v>951100007</v>
      </c>
      <c r="N1259" s="114" t="s">
        <v>7307</v>
      </c>
    </row>
    <row r="1260" spans="1:14" ht="19.5">
      <c r="A1260" s="39" t="s">
        <v>261</v>
      </c>
      <c r="B1260" s="5" t="s">
        <v>2459</v>
      </c>
      <c r="C1260" s="40" t="s">
        <v>2670</v>
      </c>
      <c r="I1260" s="109"/>
      <c r="J1260" s="109"/>
      <c r="K1260" s="109"/>
      <c r="L1260" s="109" t="str">
        <f t="shared" si="19"/>
        <v>95-956300004</v>
      </c>
      <c r="M1260" s="114">
        <v>956300004</v>
      </c>
      <c r="N1260" s="114" t="s">
        <v>7290</v>
      </c>
    </row>
    <row r="1261" spans="1:14" ht="19.5">
      <c r="A1261" s="39" t="s">
        <v>130</v>
      </c>
      <c r="B1261" s="5" t="s">
        <v>2459</v>
      </c>
      <c r="C1261" s="40" t="s">
        <v>2670</v>
      </c>
      <c r="I1261" s="109"/>
      <c r="J1261" s="109"/>
      <c r="K1261" s="109"/>
      <c r="L1261" s="109" t="str">
        <f t="shared" si="19"/>
        <v>96-966200105</v>
      </c>
      <c r="M1261" s="114">
        <v>966200105</v>
      </c>
      <c r="N1261" s="114" t="s">
        <v>7296</v>
      </c>
    </row>
    <row r="1262" spans="1:14" ht="19.5">
      <c r="A1262" s="39" t="s">
        <v>38</v>
      </c>
      <c r="B1262" s="5" t="s">
        <v>2459</v>
      </c>
      <c r="C1262" s="40" t="s">
        <v>2670</v>
      </c>
      <c r="I1262" s="109"/>
      <c r="J1262" s="109"/>
      <c r="K1262" s="109"/>
      <c r="L1262" s="109" t="str">
        <f t="shared" si="19"/>
        <v>95-951100060</v>
      </c>
      <c r="M1262" s="114">
        <v>951100060</v>
      </c>
      <c r="N1262" s="114" t="s">
        <v>7311</v>
      </c>
    </row>
    <row r="1263" spans="1:14" ht="19.5">
      <c r="A1263" s="39" t="s">
        <v>131</v>
      </c>
      <c r="B1263" s="5" t="s">
        <v>2459</v>
      </c>
      <c r="C1263" s="40" t="s">
        <v>2670</v>
      </c>
      <c r="I1263" s="109"/>
      <c r="J1263" s="109"/>
      <c r="K1263" s="109"/>
      <c r="L1263" s="109" t="str">
        <f t="shared" si="19"/>
        <v>95-951100120</v>
      </c>
      <c r="M1263" s="114">
        <v>951100120</v>
      </c>
      <c r="N1263" s="114" t="s">
        <v>7312</v>
      </c>
    </row>
    <row r="1264" spans="1:14" ht="19.5">
      <c r="A1264" s="39" t="s">
        <v>112</v>
      </c>
      <c r="B1264" s="5" t="s">
        <v>2459</v>
      </c>
      <c r="C1264" s="40" t="s">
        <v>2670</v>
      </c>
      <c r="I1264" s="109"/>
      <c r="J1264" s="109"/>
      <c r="K1264" s="109"/>
      <c r="L1264" s="109" t="str">
        <f t="shared" si="19"/>
        <v>95-951100168</v>
      </c>
      <c r="M1264" s="114">
        <v>951100168</v>
      </c>
      <c r="N1264" s="114" t="s">
        <v>7313</v>
      </c>
    </row>
    <row r="1265" spans="1:14" ht="19.5">
      <c r="A1265" s="39" t="s">
        <v>264</v>
      </c>
      <c r="B1265" s="5" t="s">
        <v>2459</v>
      </c>
      <c r="C1265" s="40" t="s">
        <v>2670</v>
      </c>
      <c r="I1265" s="109"/>
      <c r="J1265" s="109"/>
      <c r="K1265" s="109"/>
      <c r="L1265" s="109" t="str">
        <f t="shared" si="19"/>
        <v>95-951200033</v>
      </c>
      <c r="M1265" s="114">
        <v>951200033</v>
      </c>
      <c r="N1265" s="114" t="s">
        <v>7298</v>
      </c>
    </row>
    <row r="1266" spans="1:14" ht="19.5">
      <c r="A1266" s="39" t="s">
        <v>269</v>
      </c>
      <c r="B1266" s="5" t="s">
        <v>2459</v>
      </c>
      <c r="C1266" s="40" t="s">
        <v>2670</v>
      </c>
      <c r="I1266" s="109"/>
      <c r="J1266" s="109"/>
      <c r="K1266" s="109"/>
      <c r="L1266" s="109" t="str">
        <f t="shared" si="19"/>
        <v>96-961200007</v>
      </c>
      <c r="M1266" s="114">
        <v>961200007</v>
      </c>
      <c r="N1266" s="114" t="s">
        <v>7299</v>
      </c>
    </row>
    <row r="1267" spans="1:14" ht="19.5">
      <c r="A1267" s="39" t="s">
        <v>156</v>
      </c>
      <c r="B1267" s="5" t="s">
        <v>2459</v>
      </c>
      <c r="C1267" s="40" t="s">
        <v>2670</v>
      </c>
      <c r="I1267" s="109"/>
      <c r="J1267" s="109"/>
      <c r="K1267" s="109"/>
      <c r="L1267" s="109" t="str">
        <f t="shared" si="19"/>
        <v>96-961100029</v>
      </c>
      <c r="M1267" s="114">
        <v>961100029</v>
      </c>
      <c r="N1267" s="114" t="s">
        <v>7314</v>
      </c>
    </row>
    <row r="1268" spans="1:14" ht="19.5">
      <c r="A1268" s="39" t="s">
        <v>277</v>
      </c>
      <c r="B1268" s="5" t="s">
        <v>2459</v>
      </c>
      <c r="C1268" s="40" t="s">
        <v>2670</v>
      </c>
      <c r="I1268" s="109"/>
      <c r="J1268" s="109"/>
      <c r="K1268" s="109"/>
      <c r="L1268" s="109" t="str">
        <f t="shared" si="19"/>
        <v>96-966300005</v>
      </c>
      <c r="M1268" s="114">
        <v>966300005</v>
      </c>
      <c r="N1268" s="114" t="s">
        <v>8728</v>
      </c>
    </row>
    <row r="1269" spans="1:14" ht="19.5">
      <c r="A1269" s="39" t="s">
        <v>276</v>
      </c>
      <c r="B1269" s="5" t="s">
        <v>2459</v>
      </c>
      <c r="C1269" s="40" t="s">
        <v>2670</v>
      </c>
      <c r="I1269" s="109"/>
      <c r="J1269" s="109"/>
      <c r="K1269" s="109"/>
      <c r="L1269" s="109" t="str">
        <f t="shared" si="19"/>
        <v>95-956300010</v>
      </c>
      <c r="M1269" s="114">
        <v>956300010</v>
      </c>
      <c r="N1269" s="114" t="s">
        <v>7294</v>
      </c>
    </row>
    <row r="1270" spans="1:14" ht="19.5">
      <c r="A1270" s="39" t="s">
        <v>199</v>
      </c>
      <c r="B1270" s="5" t="s">
        <v>2459</v>
      </c>
      <c r="C1270" s="40" t="s">
        <v>2670</v>
      </c>
      <c r="I1270" s="109"/>
      <c r="J1270" s="109"/>
      <c r="K1270" s="109"/>
      <c r="L1270" s="109" t="str">
        <f t="shared" si="19"/>
        <v>95-951100114</v>
      </c>
      <c r="M1270" s="114">
        <v>951100114</v>
      </c>
      <c r="N1270" s="114" t="s">
        <v>7456</v>
      </c>
    </row>
    <row r="1271" spans="1:14" ht="19.5">
      <c r="A1271" s="39" t="s">
        <v>2674</v>
      </c>
      <c r="B1271" s="5" t="s">
        <v>2459</v>
      </c>
      <c r="C1271" s="40" t="s">
        <v>2670</v>
      </c>
      <c r="I1271" s="109"/>
      <c r="J1271" s="109"/>
      <c r="K1271" s="109"/>
      <c r="L1271" s="109" t="str">
        <f t="shared" si="19"/>
        <v>95-956300002</v>
      </c>
      <c r="M1271" s="114">
        <v>956300002</v>
      </c>
      <c r="N1271" s="114" t="s">
        <v>7320</v>
      </c>
    </row>
    <row r="1272" spans="1:14" ht="19.5">
      <c r="A1272" s="39" t="s">
        <v>275</v>
      </c>
      <c r="B1272" s="5" t="s">
        <v>2459</v>
      </c>
      <c r="C1272" s="40" t="s">
        <v>2670</v>
      </c>
      <c r="I1272" s="109"/>
      <c r="J1272" s="109"/>
      <c r="K1272" s="109"/>
      <c r="L1272" s="109" t="str">
        <f t="shared" si="19"/>
        <v>95-952000100</v>
      </c>
      <c r="M1272" s="114">
        <v>952000100</v>
      </c>
      <c r="N1272" s="114" t="s">
        <v>7321</v>
      </c>
    </row>
    <row r="1273" spans="1:14" ht="19.5">
      <c r="A1273" s="39" t="s">
        <v>270</v>
      </c>
      <c r="B1273" s="5" t="s">
        <v>2459</v>
      </c>
      <c r="C1273" s="40" t="s">
        <v>2670</v>
      </c>
      <c r="I1273" s="109"/>
      <c r="J1273" s="109"/>
      <c r="K1273" s="109"/>
      <c r="L1273" s="109" t="str">
        <f t="shared" si="19"/>
        <v>96-962000090</v>
      </c>
      <c r="M1273" s="114">
        <v>962000090</v>
      </c>
      <c r="N1273" s="114" t="s">
        <v>7112</v>
      </c>
    </row>
    <row r="1274" spans="1:14" ht="19.5">
      <c r="A1274" s="39" t="s">
        <v>146</v>
      </c>
      <c r="B1274" s="5" t="s">
        <v>2459</v>
      </c>
      <c r="C1274" s="40" t="s">
        <v>2670</v>
      </c>
      <c r="I1274" s="109"/>
      <c r="J1274" s="109"/>
      <c r="K1274" s="109"/>
      <c r="L1274" s="109" t="str">
        <f t="shared" si="19"/>
        <v>95-956200155</v>
      </c>
      <c r="M1274" s="114">
        <v>956200155</v>
      </c>
      <c r="N1274" s="114" t="s">
        <v>7268</v>
      </c>
    </row>
    <row r="1275" spans="1:14" ht="19.5">
      <c r="A1275" s="39" t="s">
        <v>372</v>
      </c>
      <c r="B1275" s="5" t="s">
        <v>2459</v>
      </c>
      <c r="C1275" s="40" t="s">
        <v>2670</v>
      </c>
      <c r="I1275" s="109"/>
      <c r="J1275" s="109"/>
      <c r="K1275" s="109"/>
      <c r="L1275" s="109" t="str">
        <f t="shared" si="19"/>
        <v>96-961100079</v>
      </c>
      <c r="M1275" s="114">
        <v>961100079</v>
      </c>
      <c r="N1275" s="114" t="s">
        <v>8729</v>
      </c>
    </row>
    <row r="1276" spans="1:14" ht="19.5">
      <c r="A1276" s="39" t="s">
        <v>288</v>
      </c>
      <c r="B1276" s="5" t="s">
        <v>2459</v>
      </c>
      <c r="C1276" s="40" t="s">
        <v>2670</v>
      </c>
      <c r="I1276" s="109"/>
      <c r="J1276" s="109"/>
      <c r="K1276" s="109"/>
      <c r="L1276" s="109" t="str">
        <f t="shared" si="19"/>
        <v>96-961100038</v>
      </c>
      <c r="M1276" s="114">
        <v>961100038</v>
      </c>
      <c r="N1276" s="114" t="s">
        <v>7297</v>
      </c>
    </row>
    <row r="1277" spans="1:14" ht="19.5">
      <c r="A1277" s="39" t="s">
        <v>378</v>
      </c>
      <c r="B1277" s="5" t="s">
        <v>2459</v>
      </c>
      <c r="C1277" s="40" t="s">
        <v>2670</v>
      </c>
      <c r="I1277" s="109"/>
      <c r="J1277" s="109"/>
      <c r="K1277" s="109"/>
      <c r="L1277" s="109" t="str">
        <f t="shared" si="19"/>
        <v>95-951100145</v>
      </c>
      <c r="M1277" s="114">
        <v>951100145</v>
      </c>
      <c r="N1277" s="114" t="s">
        <v>7308</v>
      </c>
    </row>
    <row r="1278" spans="1:14" ht="19.5">
      <c r="A1278" s="39" t="s">
        <v>278</v>
      </c>
      <c r="B1278" s="5" t="s">
        <v>2459</v>
      </c>
      <c r="C1278" s="40" t="s">
        <v>2670</v>
      </c>
      <c r="I1278" s="109"/>
      <c r="J1278" s="109"/>
      <c r="K1278" s="109"/>
      <c r="L1278" s="109" t="str">
        <f t="shared" si="19"/>
        <v>95-952000278</v>
      </c>
      <c r="M1278" s="114">
        <v>952000278</v>
      </c>
      <c r="N1278" s="114" t="s">
        <v>7280</v>
      </c>
    </row>
    <row r="1279" spans="1:14" ht="19.5">
      <c r="A1279" s="39" t="s">
        <v>198</v>
      </c>
      <c r="B1279" s="5" t="s">
        <v>2459</v>
      </c>
      <c r="C1279" s="40" t="s">
        <v>2670</v>
      </c>
      <c r="I1279" s="109"/>
      <c r="J1279" s="109"/>
      <c r="K1279" s="109"/>
      <c r="L1279" s="109" t="str">
        <f t="shared" si="19"/>
        <v>96-962000023</v>
      </c>
      <c r="M1279" s="114">
        <v>962000023</v>
      </c>
      <c r="N1279" s="114" t="s">
        <v>7112</v>
      </c>
    </row>
    <row r="1280" spans="1:14" ht="19.5">
      <c r="A1280" s="39" t="s">
        <v>153</v>
      </c>
      <c r="B1280" s="5" t="s">
        <v>2459</v>
      </c>
      <c r="C1280" s="40" t="s">
        <v>2670</v>
      </c>
      <c r="I1280" s="109"/>
      <c r="J1280" s="109"/>
      <c r="K1280" s="109"/>
      <c r="L1280" s="109" t="str">
        <f t="shared" si="19"/>
        <v>96-962000138</v>
      </c>
      <c r="M1280" s="114">
        <v>962000138</v>
      </c>
      <c r="N1280" s="114" t="s">
        <v>7112</v>
      </c>
    </row>
    <row r="1281" spans="1:14" ht="19.5">
      <c r="A1281" s="39" t="s">
        <v>139</v>
      </c>
      <c r="B1281" s="5" t="s">
        <v>2459</v>
      </c>
      <c r="C1281" s="40" t="s">
        <v>2670</v>
      </c>
      <c r="I1281" s="109"/>
      <c r="J1281" s="109"/>
      <c r="K1281" s="109"/>
      <c r="L1281" s="109" t="str">
        <f t="shared" si="19"/>
        <v>95-952000091</v>
      </c>
      <c r="M1281" s="114">
        <v>952000091</v>
      </c>
      <c r="N1281" s="114" t="s">
        <v>7326</v>
      </c>
    </row>
    <row r="1282" spans="1:14" ht="19.5">
      <c r="A1282" s="39" t="s">
        <v>268</v>
      </c>
      <c r="B1282" s="5" t="s">
        <v>2459</v>
      </c>
      <c r="C1282" s="40" t="s">
        <v>2670</v>
      </c>
      <c r="I1282" s="109"/>
      <c r="J1282" s="109"/>
      <c r="K1282" s="109"/>
      <c r="L1282" s="109" t="str">
        <f t="shared" si="19"/>
        <v>95-952000248</v>
      </c>
      <c r="M1282" s="114">
        <v>952000248</v>
      </c>
      <c r="N1282" s="114" t="s">
        <v>7327</v>
      </c>
    </row>
    <row r="1283" spans="1:14" ht="19.5">
      <c r="A1283" s="39" t="s">
        <v>63</v>
      </c>
      <c r="B1283" s="5" t="s">
        <v>2459</v>
      </c>
      <c r="C1283" s="40" t="s">
        <v>2670</v>
      </c>
      <c r="I1283" s="109"/>
      <c r="J1283" s="109"/>
      <c r="K1283" s="109"/>
      <c r="L1283" s="109" t="str">
        <f t="shared" ref="L1283:L1346" si="20">MID(M1283,1,2)&amp;"-"&amp;M1283</f>
        <v>95-951100004</v>
      </c>
      <c r="M1283" s="114">
        <v>951100004</v>
      </c>
      <c r="N1283" s="114" t="s">
        <v>7336</v>
      </c>
    </row>
    <row r="1284" spans="1:14" ht="19.5">
      <c r="A1284" s="39" t="s">
        <v>145</v>
      </c>
      <c r="B1284" s="5" t="s">
        <v>2459</v>
      </c>
      <c r="C1284" s="40" t="s">
        <v>2670</v>
      </c>
      <c r="I1284" s="109"/>
      <c r="J1284" s="109"/>
      <c r="K1284" s="109"/>
      <c r="L1284" s="109" t="str">
        <f t="shared" si="20"/>
        <v>95-951100005</v>
      </c>
      <c r="M1284" s="114">
        <v>951100005</v>
      </c>
      <c r="N1284" s="114" t="s">
        <v>7337</v>
      </c>
    </row>
    <row r="1285" spans="1:14" ht="19.5">
      <c r="A1285" s="39" t="s">
        <v>2675</v>
      </c>
      <c r="B1285" s="5" t="s">
        <v>2459</v>
      </c>
      <c r="C1285" s="40" t="s">
        <v>2670</v>
      </c>
      <c r="I1285" s="109"/>
      <c r="J1285" s="109"/>
      <c r="K1285" s="109"/>
      <c r="L1285" s="109" t="str">
        <f t="shared" si="20"/>
        <v>95-951100192</v>
      </c>
      <c r="M1285" s="114">
        <v>951100192</v>
      </c>
      <c r="N1285" s="114" t="s">
        <v>7338</v>
      </c>
    </row>
    <row r="1286" spans="1:14" ht="19.5">
      <c r="A1286" s="39" t="s">
        <v>335</v>
      </c>
      <c r="B1286" s="5" t="s">
        <v>2459</v>
      </c>
      <c r="C1286" s="40" t="s">
        <v>2670</v>
      </c>
      <c r="I1286" s="109"/>
      <c r="J1286" s="109"/>
      <c r="K1286" s="109"/>
      <c r="L1286" s="109" t="str">
        <f t="shared" si="20"/>
        <v>96-966200111</v>
      </c>
      <c r="M1286" s="114">
        <v>966200111</v>
      </c>
      <c r="N1286" s="114" t="s">
        <v>7339</v>
      </c>
    </row>
    <row r="1287" spans="1:14" ht="19.5">
      <c r="A1287" s="39" t="s">
        <v>201</v>
      </c>
      <c r="B1287" s="5" t="s">
        <v>2459</v>
      </c>
      <c r="C1287" s="40" t="s">
        <v>2670</v>
      </c>
      <c r="I1287" s="109"/>
      <c r="J1287" s="109"/>
      <c r="K1287" s="109"/>
      <c r="L1287" s="109" t="str">
        <f t="shared" si="20"/>
        <v>95-951100132</v>
      </c>
      <c r="M1287" s="114">
        <v>951100132</v>
      </c>
      <c r="N1287" s="114" t="s">
        <v>7309</v>
      </c>
    </row>
    <row r="1288" spans="1:14" ht="19.5">
      <c r="A1288" s="39" t="s">
        <v>377</v>
      </c>
      <c r="B1288" s="5" t="s">
        <v>2459</v>
      </c>
      <c r="C1288" s="40" t="s">
        <v>2670</v>
      </c>
      <c r="I1288" s="109"/>
      <c r="J1288" s="109"/>
      <c r="K1288" s="109"/>
      <c r="L1288" s="109" t="str">
        <f t="shared" si="20"/>
        <v>96-961100015</v>
      </c>
      <c r="M1288" s="114">
        <v>961100015</v>
      </c>
      <c r="N1288" s="114" t="s">
        <v>7310</v>
      </c>
    </row>
    <row r="1289" spans="1:14" ht="19.5">
      <c r="A1289" s="39" t="s">
        <v>66</v>
      </c>
      <c r="B1289" s="5" t="s">
        <v>2459</v>
      </c>
      <c r="C1289" s="40" t="s">
        <v>2670</v>
      </c>
      <c r="I1289" s="109"/>
      <c r="J1289" s="109"/>
      <c r="K1289" s="109"/>
      <c r="L1289" s="109" t="str">
        <f t="shared" si="20"/>
        <v>95-952000293</v>
      </c>
      <c r="M1289" s="114">
        <v>952000293</v>
      </c>
      <c r="N1289" s="114" t="s">
        <v>7329</v>
      </c>
    </row>
    <row r="1290" spans="1:14" ht="19.5">
      <c r="A1290" s="39" t="s">
        <v>158</v>
      </c>
      <c r="B1290" s="5" t="s">
        <v>2459</v>
      </c>
      <c r="C1290" s="40" t="s">
        <v>2670</v>
      </c>
      <c r="I1290" s="109"/>
      <c r="J1290" s="109"/>
      <c r="K1290" s="109"/>
      <c r="L1290" s="109" t="str">
        <f t="shared" si="20"/>
        <v>95-952000098</v>
      </c>
      <c r="M1290" s="114">
        <v>952000098</v>
      </c>
      <c r="N1290" s="114" t="s">
        <v>7321</v>
      </c>
    </row>
    <row r="1291" spans="1:14" ht="19.5">
      <c r="A1291" s="39" t="s">
        <v>293</v>
      </c>
      <c r="B1291" s="5" t="s">
        <v>2459</v>
      </c>
      <c r="C1291" s="40" t="s">
        <v>2670</v>
      </c>
      <c r="I1291" s="109"/>
      <c r="J1291" s="109"/>
      <c r="K1291" s="109"/>
      <c r="L1291" s="109" t="str">
        <f t="shared" si="20"/>
        <v>96-962000134</v>
      </c>
      <c r="M1291" s="114">
        <v>962000134</v>
      </c>
      <c r="N1291" s="114" t="s">
        <v>7112</v>
      </c>
    </row>
    <row r="1292" spans="1:14" ht="19.5">
      <c r="A1292" s="39" t="s">
        <v>200</v>
      </c>
      <c r="B1292" s="5" t="s">
        <v>2459</v>
      </c>
      <c r="C1292" s="40" t="s">
        <v>2670</v>
      </c>
      <c r="I1292" s="109"/>
      <c r="J1292" s="109"/>
      <c r="K1292" s="109"/>
      <c r="L1292" s="109" t="str">
        <f t="shared" si="20"/>
        <v>96-961200013</v>
      </c>
      <c r="M1292" s="114">
        <v>961200013</v>
      </c>
      <c r="N1292" s="114" t="s">
        <v>7335</v>
      </c>
    </row>
    <row r="1293" spans="1:14" ht="19.5">
      <c r="A1293" s="39" t="s">
        <v>135</v>
      </c>
      <c r="B1293" s="5" t="s">
        <v>2459</v>
      </c>
      <c r="C1293" s="40" t="s">
        <v>2670</v>
      </c>
      <c r="I1293" s="109"/>
      <c r="J1293" s="109"/>
      <c r="K1293" s="109"/>
      <c r="L1293" s="109" t="str">
        <f t="shared" si="20"/>
        <v>95-956300011</v>
      </c>
      <c r="M1293" s="114">
        <v>956300011</v>
      </c>
      <c r="N1293" s="114" t="s">
        <v>7316</v>
      </c>
    </row>
    <row r="1294" spans="1:14" ht="19.5">
      <c r="A1294" s="39" t="s">
        <v>137</v>
      </c>
      <c r="B1294" s="5" t="s">
        <v>2459</v>
      </c>
      <c r="C1294" s="40" t="s">
        <v>2670</v>
      </c>
      <c r="I1294" s="109"/>
      <c r="J1294" s="109"/>
      <c r="K1294" s="109"/>
      <c r="L1294" s="109" t="str">
        <f t="shared" si="20"/>
        <v>95-951100184</v>
      </c>
      <c r="M1294" s="114">
        <v>951100184</v>
      </c>
      <c r="N1294" s="114" t="s">
        <v>7302</v>
      </c>
    </row>
    <row r="1295" spans="1:14" ht="19.5">
      <c r="A1295" s="39" t="s">
        <v>157</v>
      </c>
      <c r="B1295" s="5" t="s">
        <v>2459</v>
      </c>
      <c r="C1295" s="40" t="s">
        <v>2670</v>
      </c>
      <c r="I1295" s="109"/>
      <c r="J1295" s="109"/>
      <c r="K1295" s="109"/>
      <c r="L1295" s="109" t="str">
        <f t="shared" si="20"/>
        <v>95-951100160</v>
      </c>
      <c r="M1295" s="114">
        <v>951100160</v>
      </c>
      <c r="N1295" s="114" t="s">
        <v>7319</v>
      </c>
    </row>
    <row r="1296" spans="1:14" ht="19.5">
      <c r="A1296" s="39" t="s">
        <v>374</v>
      </c>
      <c r="B1296" s="5" t="s">
        <v>2459</v>
      </c>
      <c r="C1296" s="40" t="s">
        <v>2670</v>
      </c>
      <c r="I1296" s="109"/>
      <c r="J1296" s="109"/>
      <c r="K1296" s="109"/>
      <c r="L1296" s="109" t="str">
        <f t="shared" si="20"/>
        <v>96-962000119</v>
      </c>
      <c r="M1296" s="114">
        <v>962000119</v>
      </c>
      <c r="N1296" s="114" t="s">
        <v>7112</v>
      </c>
    </row>
    <row r="1297" spans="1:14" ht="19.5">
      <c r="A1297" s="39" t="s">
        <v>136</v>
      </c>
      <c r="B1297" s="5" t="s">
        <v>2459</v>
      </c>
      <c r="C1297" s="40" t="s">
        <v>2670</v>
      </c>
      <c r="I1297" s="109"/>
      <c r="J1297" s="109"/>
      <c r="K1297" s="109"/>
      <c r="L1297" s="109" t="str">
        <f t="shared" si="20"/>
        <v>95-951100185</v>
      </c>
      <c r="M1297" s="114">
        <v>951100185</v>
      </c>
      <c r="N1297" s="114" t="s">
        <v>7906</v>
      </c>
    </row>
    <row r="1298" spans="1:14" ht="19.5">
      <c r="A1298" s="39" t="s">
        <v>308</v>
      </c>
      <c r="B1298" s="5" t="s">
        <v>2459</v>
      </c>
      <c r="C1298" s="40" t="s">
        <v>2670</v>
      </c>
      <c r="I1298" s="109"/>
      <c r="J1298" s="109"/>
      <c r="K1298" s="109"/>
      <c r="L1298" s="109" t="str">
        <f t="shared" si="20"/>
        <v>95-951200019</v>
      </c>
      <c r="M1298" s="114">
        <v>951200019</v>
      </c>
      <c r="N1298" s="114" t="s">
        <v>7304</v>
      </c>
    </row>
    <row r="1299" spans="1:14" ht="19.5">
      <c r="A1299" s="39" t="s">
        <v>1064</v>
      </c>
      <c r="B1299" s="5" t="s">
        <v>2459</v>
      </c>
      <c r="C1299" s="40" t="s">
        <v>2670</v>
      </c>
      <c r="I1299" s="109"/>
      <c r="J1299" s="109"/>
      <c r="K1299" s="109"/>
      <c r="L1299" s="109" t="str">
        <f t="shared" si="20"/>
        <v>95-951200044</v>
      </c>
      <c r="M1299" s="114">
        <v>951200044</v>
      </c>
      <c r="N1299" s="114" t="s">
        <v>7305</v>
      </c>
    </row>
    <row r="1300" spans="1:14" ht="19.5">
      <c r="A1300" s="39" t="s">
        <v>45</v>
      </c>
      <c r="B1300" s="5" t="s">
        <v>2459</v>
      </c>
      <c r="C1300" s="40" t="s">
        <v>2670</v>
      </c>
      <c r="I1300" s="109"/>
      <c r="J1300" s="109"/>
      <c r="K1300" s="109"/>
      <c r="L1300" s="109" t="str">
        <f t="shared" si="20"/>
        <v>95-956200345</v>
      </c>
      <c r="M1300" s="114">
        <v>956200345</v>
      </c>
      <c r="N1300" s="114" t="s">
        <v>7292</v>
      </c>
    </row>
    <row r="1301" spans="1:14" ht="19.5">
      <c r="A1301" s="39" t="s">
        <v>573</v>
      </c>
      <c r="B1301" s="5" t="s">
        <v>2459</v>
      </c>
      <c r="C1301" s="40" t="s">
        <v>2670</v>
      </c>
      <c r="I1301" s="109"/>
      <c r="J1301" s="109"/>
      <c r="K1301" s="109"/>
      <c r="L1301" s="109" t="str">
        <f t="shared" si="20"/>
        <v>95-956200151</v>
      </c>
      <c r="M1301" s="114">
        <v>956200151</v>
      </c>
      <c r="N1301" s="114" t="s">
        <v>7268</v>
      </c>
    </row>
    <row r="1302" spans="1:14" ht="19.5">
      <c r="A1302" s="39" t="s">
        <v>119</v>
      </c>
      <c r="B1302" s="5" t="s">
        <v>2459</v>
      </c>
      <c r="C1302" s="40" t="s">
        <v>2670</v>
      </c>
      <c r="I1302" s="109"/>
      <c r="J1302" s="109"/>
      <c r="K1302" s="109"/>
      <c r="L1302" s="109" t="str">
        <f t="shared" si="20"/>
        <v>95-951200039</v>
      </c>
      <c r="M1302" s="114">
        <v>951200039</v>
      </c>
      <c r="N1302" s="114" t="s">
        <v>7371</v>
      </c>
    </row>
    <row r="1303" spans="1:14" ht="19.5">
      <c r="A1303" s="39" t="s">
        <v>143</v>
      </c>
      <c r="B1303" s="5" t="s">
        <v>2459</v>
      </c>
      <c r="C1303" s="40" t="s">
        <v>2670</v>
      </c>
      <c r="I1303" s="109"/>
      <c r="J1303" s="109"/>
      <c r="K1303" s="109"/>
      <c r="L1303" s="109" t="str">
        <f t="shared" si="20"/>
        <v>96-961200070</v>
      </c>
      <c r="M1303" s="114">
        <v>961200070</v>
      </c>
      <c r="N1303" s="114" t="s">
        <v>8730</v>
      </c>
    </row>
    <row r="1304" spans="1:14" ht="19.5">
      <c r="A1304" s="39" t="s">
        <v>44</v>
      </c>
      <c r="B1304" s="5" t="s">
        <v>2459</v>
      </c>
      <c r="C1304" s="40" t="s">
        <v>2670</v>
      </c>
      <c r="I1304" s="109"/>
      <c r="J1304" s="109"/>
      <c r="K1304" s="109"/>
      <c r="L1304" s="109" t="str">
        <f t="shared" si="20"/>
        <v>96-962000108</v>
      </c>
      <c r="M1304" s="114">
        <v>962000108</v>
      </c>
      <c r="N1304" s="114" t="s">
        <v>7112</v>
      </c>
    </row>
    <row r="1305" spans="1:14" ht="19.5">
      <c r="A1305" s="39" t="s">
        <v>1185</v>
      </c>
      <c r="B1305" s="5" t="s">
        <v>2459</v>
      </c>
      <c r="C1305" s="40" t="s">
        <v>2670</v>
      </c>
      <c r="I1305" s="109"/>
      <c r="J1305" s="109"/>
      <c r="K1305" s="109"/>
      <c r="L1305" s="109" t="str">
        <f t="shared" si="20"/>
        <v>95-951100139</v>
      </c>
      <c r="M1305" s="114">
        <v>951100139</v>
      </c>
      <c r="N1305" s="114" t="s">
        <v>7348</v>
      </c>
    </row>
    <row r="1306" spans="1:14" ht="19.5">
      <c r="A1306" s="39" t="s">
        <v>138</v>
      </c>
      <c r="B1306" s="5" t="s">
        <v>2459</v>
      </c>
      <c r="C1306" s="40" t="s">
        <v>2670</v>
      </c>
      <c r="I1306" s="109"/>
      <c r="J1306" s="109"/>
      <c r="K1306" s="109"/>
      <c r="L1306" s="109" t="str">
        <f t="shared" si="20"/>
        <v>95-951100163</v>
      </c>
      <c r="M1306" s="114">
        <v>951100163</v>
      </c>
      <c r="N1306" s="114" t="s">
        <v>7349</v>
      </c>
    </row>
    <row r="1307" spans="1:14" ht="19.5">
      <c r="A1307" s="39" t="s">
        <v>281</v>
      </c>
      <c r="B1307" s="5" t="s">
        <v>2459</v>
      </c>
      <c r="C1307" s="40" t="s">
        <v>2670</v>
      </c>
      <c r="I1307" s="109"/>
      <c r="J1307" s="109"/>
      <c r="K1307" s="109"/>
      <c r="L1307" s="109" t="str">
        <f t="shared" si="20"/>
        <v>95-951100097</v>
      </c>
      <c r="M1307" s="114">
        <v>951100097</v>
      </c>
      <c r="N1307" s="114" t="s">
        <v>7377</v>
      </c>
    </row>
    <row r="1308" spans="1:14" ht="19.5">
      <c r="A1308" s="39" t="s">
        <v>140</v>
      </c>
      <c r="B1308" s="5" t="s">
        <v>2459</v>
      </c>
      <c r="C1308" s="40" t="s">
        <v>2670</v>
      </c>
      <c r="I1308" s="109"/>
      <c r="J1308" s="109"/>
      <c r="K1308" s="109"/>
      <c r="L1308" s="109" t="str">
        <f t="shared" si="20"/>
        <v>95-951100141</v>
      </c>
      <c r="M1308" s="114">
        <v>951100141</v>
      </c>
      <c r="N1308" s="114" t="s">
        <v>7378</v>
      </c>
    </row>
    <row r="1309" spans="1:14" ht="19.5">
      <c r="A1309" s="39" t="s">
        <v>343</v>
      </c>
      <c r="B1309" s="5" t="s">
        <v>2459</v>
      </c>
      <c r="C1309" s="40" t="s">
        <v>2670</v>
      </c>
      <c r="I1309" s="109"/>
      <c r="J1309" s="109"/>
      <c r="K1309" s="109"/>
      <c r="L1309" s="109" t="str">
        <f t="shared" si="20"/>
        <v>95-951100175</v>
      </c>
      <c r="M1309" s="114">
        <v>951100175</v>
      </c>
      <c r="N1309" s="114" t="s">
        <v>7379</v>
      </c>
    </row>
    <row r="1310" spans="1:14" ht="19.5">
      <c r="A1310" s="39" t="s">
        <v>155</v>
      </c>
      <c r="B1310" s="5" t="s">
        <v>2459</v>
      </c>
      <c r="C1310" s="40" t="s">
        <v>2670</v>
      </c>
      <c r="I1310" s="109"/>
      <c r="J1310" s="109"/>
      <c r="K1310" s="109"/>
      <c r="L1310" s="109" t="str">
        <f t="shared" si="20"/>
        <v>95-951100187</v>
      </c>
      <c r="M1310" s="114">
        <v>951100187</v>
      </c>
      <c r="N1310" s="114" t="s">
        <v>7380</v>
      </c>
    </row>
    <row r="1311" spans="1:14" ht="19.5">
      <c r="A1311" s="39" t="s">
        <v>202</v>
      </c>
      <c r="B1311" s="5" t="s">
        <v>2459</v>
      </c>
      <c r="C1311" s="40" t="s">
        <v>2670</v>
      </c>
      <c r="I1311" s="109"/>
      <c r="J1311" s="109"/>
      <c r="K1311" s="109"/>
      <c r="L1311" s="109" t="str">
        <f t="shared" si="20"/>
        <v>95-951200056</v>
      </c>
      <c r="M1311" s="114">
        <v>951200056</v>
      </c>
      <c r="N1311" s="114" t="s">
        <v>7334</v>
      </c>
    </row>
    <row r="1312" spans="1:14" ht="19.5">
      <c r="A1312" s="39" t="s">
        <v>303</v>
      </c>
      <c r="B1312" s="5" t="s">
        <v>2459</v>
      </c>
      <c r="C1312" s="40" t="s">
        <v>2670</v>
      </c>
      <c r="I1312" s="109"/>
      <c r="J1312" s="109"/>
      <c r="K1312" s="109"/>
      <c r="L1312" s="109" t="str">
        <f t="shared" si="20"/>
        <v>95-951100065</v>
      </c>
      <c r="M1312" s="114">
        <v>951100065</v>
      </c>
      <c r="N1312" s="114" t="s">
        <v>7350</v>
      </c>
    </row>
    <row r="1313" spans="1:14" ht="19.5">
      <c r="A1313" s="39" t="s">
        <v>50</v>
      </c>
      <c r="B1313" s="5" t="s">
        <v>2459</v>
      </c>
      <c r="C1313" s="40" t="s">
        <v>2670</v>
      </c>
      <c r="I1313" s="109"/>
      <c r="J1313" s="109"/>
      <c r="K1313" s="109"/>
      <c r="L1313" s="109" t="str">
        <f t="shared" si="20"/>
        <v>95-951100105</v>
      </c>
      <c r="M1313" s="114">
        <v>951100105</v>
      </c>
      <c r="N1313" s="114" t="s">
        <v>7351</v>
      </c>
    </row>
    <row r="1314" spans="1:14" ht="19.5">
      <c r="A1314" s="39" t="s">
        <v>195</v>
      </c>
      <c r="B1314" s="5" t="s">
        <v>2459</v>
      </c>
      <c r="C1314" s="40" t="s">
        <v>2670</v>
      </c>
      <c r="I1314" s="109"/>
      <c r="J1314" s="109"/>
      <c r="K1314" s="109"/>
      <c r="L1314" s="109" t="str">
        <f t="shared" si="20"/>
        <v>96-966200021</v>
      </c>
      <c r="M1314" s="114">
        <v>966200021</v>
      </c>
      <c r="N1314" s="114" t="s">
        <v>7360</v>
      </c>
    </row>
    <row r="1315" spans="1:14" ht="19.5">
      <c r="A1315" s="39" t="s">
        <v>300</v>
      </c>
      <c r="B1315" s="5" t="s">
        <v>2459</v>
      </c>
      <c r="C1315" s="40" t="s">
        <v>2670</v>
      </c>
      <c r="I1315" s="109"/>
      <c r="J1315" s="109"/>
      <c r="K1315" s="109"/>
      <c r="L1315" s="109" t="str">
        <f t="shared" si="20"/>
        <v>95-951100164</v>
      </c>
      <c r="M1315" s="114">
        <v>951100164</v>
      </c>
      <c r="N1315" s="114" t="s">
        <v>7950</v>
      </c>
    </row>
    <row r="1316" spans="1:14" ht="19.5">
      <c r="A1316" s="39" t="s">
        <v>142</v>
      </c>
      <c r="B1316" s="5" t="s">
        <v>2459</v>
      </c>
      <c r="C1316" s="40" t="s">
        <v>2670</v>
      </c>
      <c r="I1316" s="109"/>
      <c r="J1316" s="109"/>
      <c r="K1316" s="109"/>
      <c r="L1316" s="109" t="str">
        <f t="shared" si="20"/>
        <v>95-951100038</v>
      </c>
      <c r="M1316" s="114">
        <v>951100038</v>
      </c>
      <c r="N1316" s="114" t="s">
        <v>7785</v>
      </c>
    </row>
    <row r="1317" spans="1:14" ht="19.5">
      <c r="A1317" s="39" t="s">
        <v>62</v>
      </c>
      <c r="B1317" s="5" t="s">
        <v>2459</v>
      </c>
      <c r="C1317" s="40" t="s">
        <v>2670</v>
      </c>
      <c r="I1317" s="109"/>
      <c r="J1317" s="109"/>
      <c r="K1317" s="109"/>
      <c r="L1317" s="109" t="str">
        <f t="shared" si="20"/>
        <v>95-956200219</v>
      </c>
      <c r="M1317" s="114">
        <v>956200219</v>
      </c>
      <c r="N1317" s="114" t="s">
        <v>7357</v>
      </c>
    </row>
    <row r="1318" spans="1:14" ht="19.5">
      <c r="A1318" s="39" t="s">
        <v>144</v>
      </c>
      <c r="B1318" s="5" t="s">
        <v>2459</v>
      </c>
      <c r="C1318" s="40" t="s">
        <v>2670</v>
      </c>
      <c r="I1318" s="109"/>
      <c r="J1318" s="109"/>
      <c r="K1318" s="109"/>
      <c r="L1318" s="109" t="str">
        <f t="shared" si="20"/>
        <v>95-952000041</v>
      </c>
      <c r="M1318" s="114">
        <v>952000041</v>
      </c>
      <c r="N1318" s="114" t="s">
        <v>7331</v>
      </c>
    </row>
    <row r="1319" spans="1:14" ht="19.5">
      <c r="A1319" s="39" t="s">
        <v>161</v>
      </c>
      <c r="B1319" s="5" t="s">
        <v>2459</v>
      </c>
      <c r="C1319" s="40" t="s">
        <v>2670</v>
      </c>
      <c r="I1319" s="109"/>
      <c r="J1319" s="109"/>
      <c r="K1319" s="109"/>
      <c r="L1319" s="109" t="str">
        <f t="shared" si="20"/>
        <v>95-952000183</v>
      </c>
      <c r="M1319" s="114">
        <v>952000183</v>
      </c>
      <c r="N1319" s="114" t="s">
        <v>7392</v>
      </c>
    </row>
    <row r="1320" spans="1:14" ht="19.5">
      <c r="A1320" s="39" t="s">
        <v>172</v>
      </c>
      <c r="B1320" s="5" t="s">
        <v>2459</v>
      </c>
      <c r="C1320" s="40" t="s">
        <v>2670</v>
      </c>
      <c r="I1320" s="109"/>
      <c r="J1320" s="109"/>
      <c r="K1320" s="109"/>
      <c r="L1320" s="109" t="str">
        <f t="shared" si="20"/>
        <v>95-956200257</v>
      </c>
      <c r="M1320" s="114">
        <v>956200257</v>
      </c>
      <c r="N1320" s="114" t="s">
        <v>7347</v>
      </c>
    </row>
    <row r="1321" spans="1:14" ht="19.5">
      <c r="A1321" s="39" t="s">
        <v>299</v>
      </c>
      <c r="B1321" s="5" t="s">
        <v>2459</v>
      </c>
      <c r="C1321" s="40" t="s">
        <v>2670</v>
      </c>
      <c r="I1321" s="109"/>
      <c r="J1321" s="109"/>
      <c r="K1321" s="109"/>
      <c r="L1321" s="109" t="str">
        <f t="shared" si="20"/>
        <v>95-956300003</v>
      </c>
      <c r="M1321" s="114">
        <v>956300003</v>
      </c>
      <c r="N1321" s="114" t="s">
        <v>7320</v>
      </c>
    </row>
    <row r="1322" spans="1:14" ht="19.5">
      <c r="A1322" s="39" t="s">
        <v>295</v>
      </c>
      <c r="B1322" s="5" t="s">
        <v>2459</v>
      </c>
      <c r="C1322" s="40" t="s">
        <v>2670</v>
      </c>
      <c r="I1322" s="109"/>
      <c r="J1322" s="109"/>
      <c r="K1322" s="109"/>
      <c r="L1322" s="109" t="str">
        <f t="shared" si="20"/>
        <v>95-951100009</v>
      </c>
      <c r="M1322" s="114">
        <v>951100009</v>
      </c>
      <c r="N1322" s="114" t="s">
        <v>7977</v>
      </c>
    </row>
    <row r="1323" spans="1:14" ht="19.5">
      <c r="A1323" s="39" t="s">
        <v>141</v>
      </c>
      <c r="B1323" s="5" t="s">
        <v>2459</v>
      </c>
      <c r="C1323" s="40" t="s">
        <v>2670</v>
      </c>
      <c r="I1323" s="109"/>
      <c r="J1323" s="109"/>
      <c r="K1323" s="109"/>
      <c r="L1323" s="109" t="str">
        <f t="shared" si="20"/>
        <v>95-956200108</v>
      </c>
      <c r="M1323" s="114">
        <v>956200108</v>
      </c>
      <c r="N1323" s="114" t="s">
        <v>7984</v>
      </c>
    </row>
    <row r="1324" spans="1:14" ht="19.5">
      <c r="A1324" s="39" t="s">
        <v>292</v>
      </c>
      <c r="B1324" s="5" t="s">
        <v>2459</v>
      </c>
      <c r="C1324" s="40" t="s">
        <v>2670</v>
      </c>
      <c r="I1324" s="109"/>
      <c r="J1324" s="109"/>
      <c r="K1324" s="109"/>
      <c r="L1324" s="109" t="str">
        <f t="shared" si="20"/>
        <v>95-956200193</v>
      </c>
      <c r="M1324" s="114">
        <v>956200193</v>
      </c>
      <c r="N1324" s="114" t="s">
        <v>7346</v>
      </c>
    </row>
    <row r="1325" spans="1:14" ht="19.5">
      <c r="A1325" s="39" t="s">
        <v>152</v>
      </c>
      <c r="B1325" s="5" t="s">
        <v>2459</v>
      </c>
      <c r="C1325" s="40" t="s">
        <v>2670</v>
      </c>
      <c r="I1325" s="109"/>
      <c r="J1325" s="109"/>
      <c r="K1325" s="109"/>
      <c r="L1325" s="109" t="str">
        <f t="shared" si="20"/>
        <v>95-951100071</v>
      </c>
      <c r="M1325" s="114">
        <v>951100071</v>
      </c>
      <c r="N1325" s="114" t="s">
        <v>7317</v>
      </c>
    </row>
    <row r="1326" spans="1:14" ht="19.5">
      <c r="A1326" s="39" t="s">
        <v>307</v>
      </c>
      <c r="B1326" s="5" t="s">
        <v>2459</v>
      </c>
      <c r="C1326" s="40" t="s">
        <v>2670</v>
      </c>
      <c r="I1326" s="109"/>
      <c r="J1326" s="109"/>
      <c r="K1326" s="109"/>
      <c r="L1326" s="109" t="str">
        <f t="shared" si="20"/>
        <v>95-951100030</v>
      </c>
      <c r="M1326" s="114">
        <v>951100030</v>
      </c>
      <c r="N1326" s="114" t="s">
        <v>7855</v>
      </c>
    </row>
    <row r="1327" spans="1:14" ht="19.5">
      <c r="A1327" s="39" t="s">
        <v>117</v>
      </c>
      <c r="B1327" s="5" t="s">
        <v>2459</v>
      </c>
      <c r="C1327" s="40" t="s">
        <v>2670</v>
      </c>
      <c r="I1327" s="109"/>
      <c r="J1327" s="109"/>
      <c r="K1327" s="109"/>
      <c r="L1327" s="109" t="str">
        <f t="shared" si="20"/>
        <v>95-951100087</v>
      </c>
      <c r="M1327" s="114">
        <v>951100087</v>
      </c>
      <c r="N1327" s="114" t="s">
        <v>7318</v>
      </c>
    </row>
    <row r="1328" spans="1:14" ht="19.5">
      <c r="A1328" s="39" t="s">
        <v>290</v>
      </c>
      <c r="B1328" s="5" t="s">
        <v>2459</v>
      </c>
      <c r="C1328" s="40" t="s">
        <v>2670</v>
      </c>
      <c r="I1328" s="109"/>
      <c r="J1328" s="109"/>
      <c r="K1328" s="109"/>
      <c r="L1328" s="109" t="str">
        <f t="shared" si="20"/>
        <v>96-961100067</v>
      </c>
      <c r="M1328" s="114">
        <v>961100067</v>
      </c>
      <c r="N1328" s="114" t="s">
        <v>7480</v>
      </c>
    </row>
    <row r="1329" spans="1:14" ht="19.5">
      <c r="A1329" s="39" t="s">
        <v>294</v>
      </c>
      <c r="B1329" s="5" t="s">
        <v>2459</v>
      </c>
      <c r="C1329" s="40" t="s">
        <v>2670</v>
      </c>
      <c r="I1329" s="109"/>
      <c r="J1329" s="109"/>
      <c r="K1329" s="109"/>
      <c r="L1329" s="109" t="str">
        <f t="shared" si="20"/>
        <v>95-956200225</v>
      </c>
      <c r="M1329" s="114">
        <v>956200225</v>
      </c>
      <c r="N1329" s="114" t="s">
        <v>7987</v>
      </c>
    </row>
    <row r="1330" spans="1:14" ht="19.5">
      <c r="A1330" s="39" t="s">
        <v>147</v>
      </c>
      <c r="B1330" s="5" t="s">
        <v>2459</v>
      </c>
      <c r="C1330" s="40" t="s">
        <v>2670</v>
      </c>
      <c r="I1330" s="109"/>
      <c r="J1330" s="109"/>
      <c r="K1330" s="109"/>
      <c r="L1330" s="109" t="str">
        <f t="shared" si="20"/>
        <v>95-956200226</v>
      </c>
      <c r="M1330" s="114">
        <v>956200226</v>
      </c>
      <c r="N1330" s="114" t="s">
        <v>7987</v>
      </c>
    </row>
    <row r="1331" spans="1:14" ht="19.5">
      <c r="A1331" s="39" t="s">
        <v>149</v>
      </c>
      <c r="B1331" s="5" t="s">
        <v>2459</v>
      </c>
      <c r="C1331" s="40" t="s">
        <v>2670</v>
      </c>
      <c r="I1331" s="109"/>
      <c r="J1331" s="109"/>
      <c r="K1331" s="109"/>
      <c r="L1331" s="109" t="str">
        <f t="shared" si="20"/>
        <v>96-966200265</v>
      </c>
      <c r="M1331" s="114">
        <v>966200265</v>
      </c>
      <c r="N1331" s="114" t="s">
        <v>7113</v>
      </c>
    </row>
    <row r="1332" spans="1:14" ht="19.5">
      <c r="A1332" s="39" t="s">
        <v>148</v>
      </c>
      <c r="B1332" s="5" t="s">
        <v>2459</v>
      </c>
      <c r="C1332" s="40" t="s">
        <v>2670</v>
      </c>
      <c r="I1332" s="109"/>
      <c r="J1332" s="109"/>
      <c r="K1332" s="109"/>
      <c r="L1332" s="109" t="str">
        <f t="shared" si="20"/>
        <v>96-961100036</v>
      </c>
      <c r="M1332" s="114">
        <v>961100036</v>
      </c>
      <c r="N1332" s="114" t="s">
        <v>7365</v>
      </c>
    </row>
    <row r="1333" spans="1:14" ht="19.5">
      <c r="A1333" s="39" t="s">
        <v>150</v>
      </c>
      <c r="B1333" s="5" t="s">
        <v>2459</v>
      </c>
      <c r="C1333" s="40" t="s">
        <v>2670</v>
      </c>
      <c r="I1333" s="109"/>
      <c r="J1333" s="109"/>
      <c r="K1333" s="109"/>
      <c r="L1333" s="109" t="str">
        <f t="shared" si="20"/>
        <v>95-956200071</v>
      </c>
      <c r="M1333" s="114">
        <v>956200071</v>
      </c>
      <c r="N1333" s="114" t="s">
        <v>7430</v>
      </c>
    </row>
    <row r="1334" spans="1:14" ht="19.5">
      <c r="A1334" s="39" t="s">
        <v>151</v>
      </c>
      <c r="B1334" s="5" t="s">
        <v>2459</v>
      </c>
      <c r="C1334" s="40" t="s">
        <v>2670</v>
      </c>
      <c r="I1334" s="109"/>
      <c r="J1334" s="109"/>
      <c r="K1334" s="109"/>
      <c r="L1334" s="109" t="str">
        <f t="shared" si="20"/>
        <v>95-951100024</v>
      </c>
      <c r="M1334" s="114">
        <v>951100024</v>
      </c>
      <c r="N1334" s="114" t="s">
        <v>7330</v>
      </c>
    </row>
    <row r="1335" spans="1:14" ht="19.5">
      <c r="A1335" s="39" t="s">
        <v>305</v>
      </c>
      <c r="B1335" s="5" t="s">
        <v>2459</v>
      </c>
      <c r="C1335" s="40" t="s">
        <v>2670</v>
      </c>
      <c r="I1335" s="109"/>
      <c r="J1335" s="109"/>
      <c r="K1335" s="109"/>
      <c r="L1335" s="109" t="str">
        <f t="shared" si="20"/>
        <v>95-951100041</v>
      </c>
      <c r="M1335" s="114">
        <v>951100041</v>
      </c>
      <c r="N1335" s="114" t="s">
        <v>7366</v>
      </c>
    </row>
    <row r="1336" spans="1:14" ht="19.5">
      <c r="A1336" s="39" t="s">
        <v>306</v>
      </c>
      <c r="B1336" s="5" t="s">
        <v>2459</v>
      </c>
      <c r="C1336" s="40" t="s">
        <v>2670</v>
      </c>
      <c r="I1336" s="109"/>
      <c r="J1336" s="109"/>
      <c r="K1336" s="109"/>
      <c r="L1336" s="109" t="str">
        <f t="shared" si="20"/>
        <v>95-951100166</v>
      </c>
      <c r="M1336" s="114">
        <v>951100166</v>
      </c>
      <c r="N1336" s="114" t="s">
        <v>7367</v>
      </c>
    </row>
    <row r="1337" spans="1:14" ht="19.5">
      <c r="A1337" s="39" t="s">
        <v>184</v>
      </c>
      <c r="B1337" s="5" t="s">
        <v>2459</v>
      </c>
      <c r="C1337" s="40" t="s">
        <v>2670</v>
      </c>
      <c r="I1337" s="109"/>
      <c r="J1337" s="109"/>
      <c r="K1337" s="109"/>
      <c r="L1337" s="109" t="str">
        <f t="shared" si="20"/>
        <v>96-962000150</v>
      </c>
      <c r="M1337" s="114">
        <v>962000150</v>
      </c>
      <c r="N1337" s="114" t="s">
        <v>7112</v>
      </c>
    </row>
    <row r="1338" spans="1:14" ht="19.5">
      <c r="A1338" s="39" t="s">
        <v>1186</v>
      </c>
      <c r="B1338" s="5" t="s">
        <v>2459</v>
      </c>
      <c r="C1338" s="40" t="s">
        <v>2670</v>
      </c>
      <c r="I1338" s="109"/>
      <c r="J1338" s="109"/>
      <c r="K1338" s="109"/>
      <c r="L1338" s="109" t="str">
        <f t="shared" si="20"/>
        <v>96-966200023</v>
      </c>
      <c r="M1338" s="114">
        <v>966200023</v>
      </c>
      <c r="N1338" s="114" t="s">
        <v>7360</v>
      </c>
    </row>
    <row r="1339" spans="1:14" ht="19.5">
      <c r="A1339" s="39" t="s">
        <v>304</v>
      </c>
      <c r="B1339" s="5" t="s">
        <v>2459</v>
      </c>
      <c r="C1339" s="40" t="s">
        <v>2670</v>
      </c>
      <c r="I1339" s="109"/>
      <c r="J1339" s="109"/>
      <c r="K1339" s="109"/>
      <c r="L1339" s="109" t="str">
        <f t="shared" si="20"/>
        <v>96-966200138</v>
      </c>
      <c r="M1339" s="114">
        <v>966200138</v>
      </c>
      <c r="N1339" s="114" t="s">
        <v>7368</v>
      </c>
    </row>
    <row r="1340" spans="1:14" ht="19.5">
      <c r="A1340" s="39" t="s">
        <v>336</v>
      </c>
      <c r="B1340" s="5" t="s">
        <v>2459</v>
      </c>
      <c r="C1340" s="40" t="s">
        <v>2670</v>
      </c>
      <c r="I1340" s="109"/>
      <c r="J1340" s="109"/>
      <c r="K1340" s="109"/>
      <c r="L1340" s="109" t="str">
        <f t="shared" si="20"/>
        <v>96-966200154</v>
      </c>
      <c r="M1340" s="114">
        <v>966200154</v>
      </c>
      <c r="N1340" s="114" t="s">
        <v>7362</v>
      </c>
    </row>
    <row r="1341" spans="1:14" ht="19.5">
      <c r="A1341" s="39" t="s">
        <v>159</v>
      </c>
      <c r="B1341" s="5" t="s">
        <v>2459</v>
      </c>
      <c r="C1341" s="40" t="s">
        <v>2670</v>
      </c>
      <c r="I1341" s="109"/>
      <c r="J1341" s="109"/>
      <c r="K1341" s="109"/>
      <c r="L1341" s="109" t="str">
        <f t="shared" si="20"/>
        <v>96-966200157</v>
      </c>
      <c r="M1341" s="114">
        <v>966200157</v>
      </c>
      <c r="N1341" s="114" t="s">
        <v>7362</v>
      </c>
    </row>
    <row r="1342" spans="1:14" ht="19.5">
      <c r="A1342" s="39" t="s">
        <v>1187</v>
      </c>
      <c r="B1342" s="5" t="s">
        <v>2459</v>
      </c>
      <c r="C1342" s="40" t="s">
        <v>2670</v>
      </c>
      <c r="I1342" s="109"/>
      <c r="J1342" s="109"/>
      <c r="K1342" s="109"/>
      <c r="L1342" s="109" t="str">
        <f t="shared" si="20"/>
        <v>96-966200159</v>
      </c>
      <c r="M1342" s="114">
        <v>966200159</v>
      </c>
      <c r="N1342" s="114" t="s">
        <v>7362</v>
      </c>
    </row>
    <row r="1343" spans="1:14" ht="19.5">
      <c r="A1343" s="39" t="s">
        <v>386</v>
      </c>
      <c r="B1343" s="5" t="s">
        <v>2459</v>
      </c>
      <c r="C1343" s="40" t="s">
        <v>2670</v>
      </c>
      <c r="I1343" s="109"/>
      <c r="J1343" s="109"/>
      <c r="K1343" s="109"/>
      <c r="L1343" s="109" t="str">
        <f t="shared" si="20"/>
        <v>96-966200160</v>
      </c>
      <c r="M1343" s="114">
        <v>966200160</v>
      </c>
      <c r="N1343" s="114" t="s">
        <v>7362</v>
      </c>
    </row>
    <row r="1344" spans="1:14" ht="19.5">
      <c r="A1344" s="39" t="s">
        <v>162</v>
      </c>
      <c r="B1344" s="5" t="s">
        <v>2459</v>
      </c>
      <c r="C1344" s="40" t="s">
        <v>2670</v>
      </c>
      <c r="I1344" s="109"/>
      <c r="J1344" s="109"/>
      <c r="K1344" s="109"/>
      <c r="L1344" s="109" t="str">
        <f t="shared" si="20"/>
        <v>96-966200168</v>
      </c>
      <c r="M1344" s="114">
        <v>966200168</v>
      </c>
      <c r="N1344" s="114" t="s">
        <v>7363</v>
      </c>
    </row>
    <row r="1345" spans="1:14" ht="19.5">
      <c r="A1345" s="39" t="s">
        <v>516</v>
      </c>
      <c r="B1345" s="5" t="s">
        <v>2459</v>
      </c>
      <c r="C1345" s="40" t="s">
        <v>2670</v>
      </c>
      <c r="I1345" s="109"/>
      <c r="J1345" s="109"/>
      <c r="K1345" s="109"/>
      <c r="L1345" s="109" t="str">
        <f t="shared" si="20"/>
        <v>96-966200173</v>
      </c>
      <c r="M1345" s="114">
        <v>966200173</v>
      </c>
      <c r="N1345" s="114" t="s">
        <v>7363</v>
      </c>
    </row>
    <row r="1346" spans="1:14" ht="19.5">
      <c r="A1346" s="39" t="s">
        <v>289</v>
      </c>
      <c r="B1346" s="5" t="s">
        <v>2459</v>
      </c>
      <c r="C1346" s="40" t="s">
        <v>2670</v>
      </c>
      <c r="I1346" s="109"/>
      <c r="J1346" s="109"/>
      <c r="K1346" s="109"/>
      <c r="L1346" s="109" t="str">
        <f t="shared" si="20"/>
        <v>96-966200177</v>
      </c>
      <c r="M1346" s="114">
        <v>966200177</v>
      </c>
      <c r="N1346" s="114" t="s">
        <v>7363</v>
      </c>
    </row>
    <row r="1347" spans="1:14" ht="19.5">
      <c r="A1347" s="39" t="s">
        <v>46</v>
      </c>
      <c r="B1347" s="5" t="s">
        <v>2459</v>
      </c>
      <c r="C1347" s="40" t="s">
        <v>2670</v>
      </c>
      <c r="I1347" s="109"/>
      <c r="J1347" s="109"/>
      <c r="K1347" s="109"/>
      <c r="L1347" s="109" t="str">
        <f t="shared" ref="L1347:L1410" si="21">MID(M1347,1,2)&amp;"-"&amp;M1347</f>
        <v>95-951100113</v>
      </c>
      <c r="M1347" s="114">
        <v>951100113</v>
      </c>
      <c r="N1347" s="114" t="s">
        <v>8007</v>
      </c>
    </row>
    <row r="1348" spans="1:14" ht="19.5">
      <c r="A1348" s="39" t="s">
        <v>163</v>
      </c>
      <c r="B1348" s="5" t="s">
        <v>2459</v>
      </c>
      <c r="C1348" s="40" t="s">
        <v>2670</v>
      </c>
      <c r="I1348" s="109"/>
      <c r="J1348" s="109"/>
      <c r="K1348" s="109"/>
      <c r="L1348" s="109" t="str">
        <f t="shared" si="21"/>
        <v>95-952000164</v>
      </c>
      <c r="M1348" s="114">
        <v>952000164</v>
      </c>
      <c r="N1348" s="114" t="s">
        <v>7386</v>
      </c>
    </row>
    <row r="1349" spans="1:14" ht="19.5">
      <c r="A1349" s="39" t="s">
        <v>318</v>
      </c>
      <c r="B1349" s="5" t="s">
        <v>2459</v>
      </c>
      <c r="C1349" s="40" t="s">
        <v>2670</v>
      </c>
      <c r="I1349" s="109"/>
      <c r="J1349" s="109"/>
      <c r="K1349" s="109"/>
      <c r="L1349" s="109" t="str">
        <f t="shared" si="21"/>
        <v>96-966200348</v>
      </c>
      <c r="M1349" s="114">
        <v>966200348</v>
      </c>
      <c r="N1349" s="114" t="s">
        <v>8696</v>
      </c>
    </row>
    <row r="1350" spans="1:14" ht="19.5">
      <c r="A1350" s="39" t="s">
        <v>58</v>
      </c>
      <c r="B1350" s="5" t="s">
        <v>2459</v>
      </c>
      <c r="C1350" s="40" t="s">
        <v>2670</v>
      </c>
      <c r="I1350" s="109"/>
      <c r="J1350" s="109"/>
      <c r="K1350" s="109"/>
      <c r="L1350" s="109" t="str">
        <f t="shared" si="21"/>
        <v>96-966200108</v>
      </c>
      <c r="M1350" s="114">
        <v>966200108</v>
      </c>
      <c r="N1350" s="114" t="s">
        <v>7361</v>
      </c>
    </row>
    <row r="1351" spans="1:14" ht="19.5">
      <c r="A1351" s="39" t="s">
        <v>186</v>
      </c>
      <c r="B1351" s="5" t="s">
        <v>2459</v>
      </c>
      <c r="C1351" s="40" t="s">
        <v>2670</v>
      </c>
      <c r="I1351" s="109"/>
      <c r="J1351" s="109"/>
      <c r="K1351" s="109"/>
      <c r="L1351" s="109" t="str">
        <f t="shared" si="21"/>
        <v>96-966200172</v>
      </c>
      <c r="M1351" s="114">
        <v>966200172</v>
      </c>
      <c r="N1351" s="114" t="s">
        <v>7363</v>
      </c>
    </row>
    <row r="1352" spans="1:14" ht="19.5">
      <c r="A1352" s="39" t="s">
        <v>384</v>
      </c>
      <c r="B1352" s="5" t="s">
        <v>2459</v>
      </c>
      <c r="C1352" s="40" t="s">
        <v>2670</v>
      </c>
      <c r="I1352" s="109"/>
      <c r="J1352" s="109"/>
      <c r="K1352" s="109"/>
      <c r="L1352" s="109" t="str">
        <f t="shared" si="21"/>
        <v>95-951100131</v>
      </c>
      <c r="M1352" s="114">
        <v>951100131</v>
      </c>
      <c r="N1352" s="114" t="s">
        <v>7340</v>
      </c>
    </row>
    <row r="1353" spans="1:14" ht="19.5">
      <c r="A1353" s="39" t="s">
        <v>323</v>
      </c>
      <c r="B1353" s="5" t="s">
        <v>2459</v>
      </c>
      <c r="C1353" s="40" t="s">
        <v>2670</v>
      </c>
      <c r="I1353" s="109"/>
      <c r="J1353" s="109"/>
      <c r="K1353" s="109"/>
      <c r="L1353" s="109" t="str">
        <f t="shared" si="21"/>
        <v>95-951100183</v>
      </c>
      <c r="M1353" s="114">
        <v>951100183</v>
      </c>
      <c r="N1353" s="114" t="s">
        <v>7341</v>
      </c>
    </row>
    <row r="1354" spans="1:14" ht="19.5">
      <c r="A1354" s="39" t="s">
        <v>185</v>
      </c>
      <c r="B1354" s="5" t="s">
        <v>2459</v>
      </c>
      <c r="C1354" s="40" t="s">
        <v>2670</v>
      </c>
      <c r="I1354" s="109"/>
      <c r="J1354" s="109"/>
      <c r="K1354" s="109"/>
      <c r="L1354" s="109" t="str">
        <f t="shared" si="21"/>
        <v>95-952000203</v>
      </c>
      <c r="M1354" s="114">
        <v>952000203</v>
      </c>
      <c r="N1354" s="114" t="s">
        <v>7342</v>
      </c>
    </row>
    <row r="1355" spans="1:14" ht="19.5">
      <c r="A1355" s="39" t="s">
        <v>314</v>
      </c>
      <c r="B1355" s="5" t="s">
        <v>2459</v>
      </c>
      <c r="C1355" s="40" t="s">
        <v>2670</v>
      </c>
      <c r="I1355" s="109"/>
      <c r="J1355" s="109"/>
      <c r="K1355" s="109"/>
      <c r="L1355" s="109" t="str">
        <f t="shared" si="21"/>
        <v>95-956200165</v>
      </c>
      <c r="M1355" s="114">
        <v>956200165</v>
      </c>
      <c r="N1355" s="114" t="s">
        <v>7268</v>
      </c>
    </row>
    <row r="1356" spans="1:14" ht="19.5">
      <c r="A1356" s="39" t="s">
        <v>313</v>
      </c>
      <c r="B1356" s="5" t="s">
        <v>2459</v>
      </c>
      <c r="C1356" s="40" t="s">
        <v>2670</v>
      </c>
      <c r="I1356" s="109"/>
      <c r="J1356" s="109"/>
      <c r="K1356" s="109"/>
      <c r="L1356" s="109" t="str">
        <f t="shared" si="21"/>
        <v>96-966200143</v>
      </c>
      <c r="M1356" s="114">
        <v>966200143</v>
      </c>
      <c r="N1356" s="114" t="s">
        <v>7343</v>
      </c>
    </row>
    <row r="1357" spans="1:14" ht="19.5">
      <c r="A1357" s="39" t="s">
        <v>322</v>
      </c>
      <c r="B1357" s="5" t="s">
        <v>2459</v>
      </c>
      <c r="C1357" s="40" t="s">
        <v>2670</v>
      </c>
      <c r="I1357" s="109"/>
      <c r="J1357" s="109"/>
      <c r="K1357" s="109"/>
      <c r="L1357" s="109" t="str">
        <f t="shared" si="21"/>
        <v>96-962000201</v>
      </c>
      <c r="M1357" s="114">
        <v>962000201</v>
      </c>
      <c r="N1357" s="114" t="s">
        <v>7112</v>
      </c>
    </row>
    <row r="1358" spans="1:14" ht="19.5">
      <c r="A1358" s="39" t="s">
        <v>340</v>
      </c>
      <c r="B1358" s="5" t="s">
        <v>2459</v>
      </c>
      <c r="C1358" s="40" t="s">
        <v>2670</v>
      </c>
      <c r="I1358" s="109"/>
      <c r="J1358" s="109"/>
      <c r="K1358" s="109"/>
      <c r="L1358" s="109" t="str">
        <f t="shared" si="21"/>
        <v>95-951100006</v>
      </c>
      <c r="M1358" s="114">
        <v>951100006</v>
      </c>
      <c r="N1358" s="114" t="s">
        <v>8020</v>
      </c>
    </row>
    <row r="1359" spans="1:14" ht="19.5">
      <c r="A1359" s="39" t="s">
        <v>187</v>
      </c>
      <c r="B1359" s="5" t="s">
        <v>2459</v>
      </c>
      <c r="C1359" s="40" t="s">
        <v>2670</v>
      </c>
      <c r="I1359" s="109"/>
      <c r="J1359" s="109"/>
      <c r="K1359" s="109"/>
      <c r="L1359" s="109" t="str">
        <f t="shared" si="21"/>
        <v>95-956200301</v>
      </c>
      <c r="M1359" s="114">
        <v>956200301</v>
      </c>
      <c r="N1359" s="114" t="s">
        <v>7344</v>
      </c>
    </row>
    <row r="1360" spans="1:14" ht="19.5">
      <c r="A1360" s="39" t="s">
        <v>183</v>
      </c>
      <c r="B1360" s="5" t="s">
        <v>2459</v>
      </c>
      <c r="C1360" s="40" t="s">
        <v>2670</v>
      </c>
      <c r="I1360" s="109"/>
      <c r="J1360" s="109"/>
      <c r="K1360" s="109"/>
      <c r="L1360" s="109" t="str">
        <f t="shared" si="21"/>
        <v>95-956300020</v>
      </c>
      <c r="M1360" s="114">
        <v>956300020</v>
      </c>
      <c r="N1360" s="114" t="s">
        <v>7322</v>
      </c>
    </row>
    <row r="1361" spans="1:14" ht="19.5">
      <c r="A1361" s="39" t="s">
        <v>1299</v>
      </c>
      <c r="B1361" s="5" t="s">
        <v>2459</v>
      </c>
      <c r="C1361" s="40" t="s">
        <v>2670</v>
      </c>
      <c r="I1361" s="109"/>
      <c r="J1361" s="109"/>
      <c r="K1361" s="109"/>
      <c r="L1361" s="109" t="str">
        <f t="shared" si="21"/>
        <v>95-952000336</v>
      </c>
      <c r="M1361" s="114">
        <v>952000336</v>
      </c>
      <c r="N1361" s="114" t="s">
        <v>7420</v>
      </c>
    </row>
    <row r="1362" spans="1:14" ht="19.5">
      <c r="A1362" s="39" t="s">
        <v>339</v>
      </c>
      <c r="B1362" s="5" t="s">
        <v>2459</v>
      </c>
      <c r="C1362" s="40" t="s">
        <v>2670</v>
      </c>
      <c r="I1362" s="109"/>
      <c r="J1362" s="109"/>
      <c r="K1362" s="109"/>
      <c r="L1362" s="109" t="str">
        <f t="shared" si="21"/>
        <v>95-956200258</v>
      </c>
      <c r="M1362" s="114">
        <v>956200258</v>
      </c>
      <c r="N1362" s="114" t="s">
        <v>7347</v>
      </c>
    </row>
    <row r="1363" spans="1:14" ht="19.5">
      <c r="A1363" s="39" t="s">
        <v>319</v>
      </c>
      <c r="B1363" s="5" t="s">
        <v>2459</v>
      </c>
      <c r="C1363" s="40" t="s">
        <v>2670</v>
      </c>
      <c r="I1363" s="109"/>
      <c r="J1363" s="109"/>
      <c r="K1363" s="109"/>
      <c r="L1363" s="109" t="str">
        <f t="shared" si="21"/>
        <v>95-956200034</v>
      </c>
      <c r="M1363" s="114">
        <v>956200034</v>
      </c>
      <c r="N1363" s="114" t="s">
        <v>7388</v>
      </c>
    </row>
    <row r="1364" spans="1:14" ht="19.5">
      <c r="A1364" s="39" t="s">
        <v>61</v>
      </c>
      <c r="B1364" s="5" t="s">
        <v>2459</v>
      </c>
      <c r="C1364" s="40" t="s">
        <v>2670</v>
      </c>
      <c r="I1364" s="109"/>
      <c r="J1364" s="109"/>
      <c r="K1364" s="109"/>
      <c r="L1364" s="109" t="str">
        <f t="shared" si="21"/>
        <v>95-951100180</v>
      </c>
      <c r="M1364" s="114">
        <v>951100180</v>
      </c>
      <c r="N1364" s="114" t="s">
        <v>8022</v>
      </c>
    </row>
    <row r="1365" spans="1:14" ht="19.5">
      <c r="A1365" s="39" t="s">
        <v>535</v>
      </c>
      <c r="B1365" s="5" t="s">
        <v>2459</v>
      </c>
      <c r="C1365" s="40" t="s">
        <v>2670</v>
      </c>
      <c r="I1365" s="109"/>
      <c r="J1365" s="109"/>
      <c r="K1365" s="109"/>
      <c r="L1365" s="109" t="str">
        <f t="shared" si="21"/>
        <v>96-961100033</v>
      </c>
      <c r="M1365" s="114">
        <v>961100033</v>
      </c>
      <c r="N1365" s="114" t="s">
        <v>8023</v>
      </c>
    </row>
    <row r="1366" spans="1:14" ht="19.5">
      <c r="A1366" s="39" t="s">
        <v>192</v>
      </c>
      <c r="B1366" s="5" t="s">
        <v>2459</v>
      </c>
      <c r="C1366" s="40" t="s">
        <v>2670</v>
      </c>
      <c r="I1366" s="109"/>
      <c r="J1366" s="109"/>
      <c r="K1366" s="109"/>
      <c r="L1366" s="109" t="str">
        <f t="shared" si="21"/>
        <v>95-952000297</v>
      </c>
      <c r="M1366" s="114">
        <v>952000297</v>
      </c>
      <c r="N1366" s="114" t="s">
        <v>7329</v>
      </c>
    </row>
    <row r="1367" spans="1:14" ht="19.5">
      <c r="A1367" s="39" t="s">
        <v>977</v>
      </c>
      <c r="B1367" s="5" t="s">
        <v>2459</v>
      </c>
      <c r="C1367" s="40" t="s">
        <v>2670</v>
      </c>
      <c r="I1367" s="109"/>
      <c r="J1367" s="109"/>
      <c r="K1367" s="109"/>
      <c r="L1367" s="109" t="str">
        <f t="shared" si="21"/>
        <v>95-956200407</v>
      </c>
      <c r="M1367" s="114">
        <v>956200407</v>
      </c>
      <c r="N1367" s="114" t="s">
        <v>7269</v>
      </c>
    </row>
    <row r="1368" spans="1:14" ht="19.5">
      <c r="A1368" s="39" t="s">
        <v>592</v>
      </c>
      <c r="B1368" s="5" t="s">
        <v>2459</v>
      </c>
      <c r="C1368" s="40" t="s">
        <v>2670</v>
      </c>
      <c r="I1368" s="109"/>
      <c r="J1368" s="109"/>
      <c r="K1368" s="109"/>
      <c r="L1368" s="109" t="str">
        <f t="shared" si="21"/>
        <v>95-951100072</v>
      </c>
      <c r="M1368" s="114">
        <v>951100072</v>
      </c>
      <c r="N1368" s="114" t="s">
        <v>7352</v>
      </c>
    </row>
    <row r="1369" spans="1:14" ht="19.5">
      <c r="A1369" s="39" t="s">
        <v>980</v>
      </c>
      <c r="B1369" s="5" t="s">
        <v>2459</v>
      </c>
      <c r="C1369" s="40" t="s">
        <v>2670</v>
      </c>
      <c r="I1369" s="109"/>
      <c r="J1369" s="109"/>
      <c r="K1369" s="109"/>
      <c r="L1369" s="109" t="str">
        <f t="shared" si="21"/>
        <v>95-952000312</v>
      </c>
      <c r="M1369" s="114">
        <v>952000312</v>
      </c>
      <c r="N1369" s="114" t="s">
        <v>7420</v>
      </c>
    </row>
    <row r="1370" spans="1:14" ht="19.5">
      <c r="A1370" s="39" t="s">
        <v>337</v>
      </c>
      <c r="B1370" s="5" t="s">
        <v>2459</v>
      </c>
      <c r="C1370" s="40" t="s">
        <v>2670</v>
      </c>
      <c r="I1370" s="109"/>
      <c r="J1370" s="109"/>
      <c r="K1370" s="109"/>
      <c r="L1370" s="109" t="str">
        <f t="shared" si="21"/>
        <v>95-952000246</v>
      </c>
      <c r="M1370" s="114">
        <v>952000246</v>
      </c>
      <c r="N1370" s="114" t="s">
        <v>7327</v>
      </c>
    </row>
    <row r="1371" spans="1:14" ht="19.5">
      <c r="A1371" s="39" t="s">
        <v>2676</v>
      </c>
      <c r="B1371" s="5" t="s">
        <v>2459</v>
      </c>
      <c r="C1371" s="40" t="s">
        <v>2670</v>
      </c>
      <c r="I1371" s="109"/>
      <c r="J1371" s="109"/>
      <c r="K1371" s="109"/>
      <c r="L1371" s="109" t="str">
        <f t="shared" si="21"/>
        <v>95-956200392</v>
      </c>
      <c r="M1371" s="114">
        <v>956200392</v>
      </c>
      <c r="N1371" s="114" t="s">
        <v>7393</v>
      </c>
    </row>
    <row r="1372" spans="1:14" ht="19.5">
      <c r="A1372" s="39" t="s">
        <v>57</v>
      </c>
      <c r="B1372" s="5" t="s">
        <v>2459</v>
      </c>
      <c r="C1372" s="40" t="s">
        <v>2670</v>
      </c>
      <c r="I1372" s="109"/>
      <c r="J1372" s="109"/>
      <c r="K1372" s="109"/>
      <c r="L1372" s="109" t="str">
        <f t="shared" si="21"/>
        <v>96-966200151</v>
      </c>
      <c r="M1372" s="114">
        <v>966200151</v>
      </c>
      <c r="N1372" s="114" t="s">
        <v>7394</v>
      </c>
    </row>
    <row r="1373" spans="1:14" ht="19.5">
      <c r="A1373" s="39" t="s">
        <v>21</v>
      </c>
      <c r="B1373" s="5" t="s">
        <v>2459</v>
      </c>
      <c r="C1373" s="40" t="s">
        <v>2670</v>
      </c>
      <c r="I1373" s="109"/>
      <c r="J1373" s="109"/>
      <c r="K1373" s="109"/>
      <c r="L1373" s="109" t="str">
        <f t="shared" si="21"/>
        <v>95-951100167</v>
      </c>
      <c r="M1373" s="114">
        <v>951100167</v>
      </c>
      <c r="N1373" s="114" t="s">
        <v>7354</v>
      </c>
    </row>
    <row r="1374" spans="1:14" ht="19.5">
      <c r="A1374" s="39" t="s">
        <v>342</v>
      </c>
      <c r="B1374" s="5" t="s">
        <v>2459</v>
      </c>
      <c r="C1374" s="40" t="s">
        <v>2670</v>
      </c>
      <c r="I1374" s="109"/>
      <c r="J1374" s="109"/>
      <c r="K1374" s="109"/>
      <c r="L1374" s="109" t="str">
        <f t="shared" si="21"/>
        <v>96-961200053</v>
      </c>
      <c r="M1374" s="114">
        <v>961200053</v>
      </c>
      <c r="N1374" s="114" t="s">
        <v>7355</v>
      </c>
    </row>
    <row r="1375" spans="1:14" ht="19.5">
      <c r="A1375" s="39" t="s">
        <v>191</v>
      </c>
      <c r="B1375" s="5" t="s">
        <v>2459</v>
      </c>
      <c r="C1375" s="40" t="s">
        <v>2670</v>
      </c>
      <c r="I1375" s="109"/>
      <c r="J1375" s="109"/>
      <c r="K1375" s="109"/>
      <c r="L1375" s="109" t="str">
        <f t="shared" si="21"/>
        <v>96-961200066</v>
      </c>
      <c r="M1375" s="114">
        <v>961200066</v>
      </c>
      <c r="N1375" s="114" t="s">
        <v>7356</v>
      </c>
    </row>
    <row r="1376" spans="1:14" ht="19.5">
      <c r="A1376" s="39" t="s">
        <v>188</v>
      </c>
      <c r="B1376" s="5" t="s">
        <v>2459</v>
      </c>
      <c r="C1376" s="40" t="s">
        <v>2670</v>
      </c>
      <c r="I1376" s="109"/>
      <c r="J1376" s="109"/>
      <c r="K1376" s="109"/>
      <c r="L1376" s="109" t="str">
        <f t="shared" si="21"/>
        <v>96-961200079</v>
      </c>
      <c r="M1376" s="114">
        <v>961200079</v>
      </c>
      <c r="N1376" s="114" t="s">
        <v>8731</v>
      </c>
    </row>
    <row r="1377" spans="1:14" ht="19.5">
      <c r="A1377" s="39" t="s">
        <v>1300</v>
      </c>
      <c r="B1377" s="5" t="s">
        <v>2459</v>
      </c>
      <c r="C1377" s="40" t="s">
        <v>2670</v>
      </c>
      <c r="I1377" s="109"/>
      <c r="J1377" s="109"/>
      <c r="K1377" s="109"/>
      <c r="L1377" s="109" t="str">
        <f t="shared" si="21"/>
        <v>96-962000128</v>
      </c>
      <c r="M1377" s="114">
        <v>962000128</v>
      </c>
      <c r="N1377" s="114" t="s">
        <v>7112</v>
      </c>
    </row>
    <row r="1378" spans="1:14" ht="19.5">
      <c r="A1378" s="39" t="s">
        <v>1188</v>
      </c>
      <c r="B1378" s="5" t="s">
        <v>2459</v>
      </c>
      <c r="C1378" s="40" t="s">
        <v>2670</v>
      </c>
      <c r="I1378" s="109"/>
      <c r="J1378" s="109"/>
      <c r="K1378" s="109"/>
      <c r="L1378" s="109" t="str">
        <f t="shared" si="21"/>
        <v>95-952000288</v>
      </c>
      <c r="M1378" s="114">
        <v>952000288</v>
      </c>
      <c r="N1378" s="114" t="s">
        <v>7280</v>
      </c>
    </row>
    <row r="1379" spans="1:14" ht="19.5">
      <c r="A1379" s="39" t="s">
        <v>190</v>
      </c>
      <c r="B1379" s="5" t="s">
        <v>2459</v>
      </c>
      <c r="C1379" s="40" t="s">
        <v>2670</v>
      </c>
      <c r="I1379" s="109"/>
      <c r="J1379" s="109"/>
      <c r="K1379" s="109"/>
      <c r="L1379" s="109" t="str">
        <f t="shared" si="21"/>
        <v>95-952000148</v>
      </c>
      <c r="M1379" s="114">
        <v>952000148</v>
      </c>
      <c r="N1379" s="114" t="s">
        <v>7332</v>
      </c>
    </row>
    <row r="1380" spans="1:14" ht="19.5">
      <c r="A1380" s="39" t="s">
        <v>329</v>
      </c>
      <c r="B1380" s="5" t="s">
        <v>2459</v>
      </c>
      <c r="C1380" s="40" t="s">
        <v>2670</v>
      </c>
      <c r="I1380" s="109"/>
      <c r="J1380" s="109"/>
      <c r="K1380" s="109"/>
      <c r="L1380" s="109" t="str">
        <f t="shared" si="21"/>
        <v>95-952000162</v>
      </c>
      <c r="M1380" s="114">
        <v>952000162</v>
      </c>
      <c r="N1380" s="114" t="s">
        <v>7386</v>
      </c>
    </row>
    <row r="1381" spans="1:14" ht="19.5">
      <c r="A1381" s="39" t="s">
        <v>695</v>
      </c>
      <c r="B1381" s="5" t="s">
        <v>2459</v>
      </c>
      <c r="C1381" s="40" t="s">
        <v>2670</v>
      </c>
      <c r="I1381" s="109"/>
      <c r="J1381" s="109"/>
      <c r="K1381" s="109"/>
      <c r="L1381" s="109" t="str">
        <f t="shared" si="21"/>
        <v>95-956200179</v>
      </c>
      <c r="M1381" s="114">
        <v>956200179</v>
      </c>
      <c r="N1381" s="114" t="s">
        <v>7369</v>
      </c>
    </row>
    <row r="1382" spans="1:14" ht="19.5">
      <c r="A1382" s="39" t="s">
        <v>388</v>
      </c>
      <c r="B1382" s="5" t="s">
        <v>2459</v>
      </c>
      <c r="C1382" s="40" t="s">
        <v>2670</v>
      </c>
      <c r="I1382" s="109"/>
      <c r="J1382" s="109"/>
      <c r="K1382" s="109"/>
      <c r="L1382" s="109" t="str">
        <f t="shared" si="21"/>
        <v>96-962000221</v>
      </c>
      <c r="M1382" s="114">
        <v>962000221</v>
      </c>
      <c r="N1382" s="114" t="s">
        <v>7112</v>
      </c>
    </row>
    <row r="1383" spans="1:14" ht="19.5">
      <c r="A1383" s="39" t="s">
        <v>179</v>
      </c>
      <c r="B1383" s="5" t="s">
        <v>2459</v>
      </c>
      <c r="C1383" s="40" t="s">
        <v>2670</v>
      </c>
      <c r="I1383" s="109"/>
      <c r="J1383" s="109"/>
      <c r="K1383" s="109"/>
      <c r="L1383" s="109" t="str">
        <f t="shared" si="21"/>
        <v>95-956200113</v>
      </c>
      <c r="M1383" s="114">
        <v>956200113</v>
      </c>
      <c r="N1383" s="114" t="s">
        <v>7358</v>
      </c>
    </row>
    <row r="1384" spans="1:14" ht="19.5">
      <c r="A1384" s="39" t="s">
        <v>171</v>
      </c>
      <c r="B1384" s="5" t="s">
        <v>2459</v>
      </c>
      <c r="C1384" s="40" t="s">
        <v>2670</v>
      </c>
      <c r="I1384" s="109"/>
      <c r="J1384" s="109"/>
      <c r="K1384" s="109"/>
      <c r="L1384" s="109" t="str">
        <f t="shared" si="21"/>
        <v>95-956200114</v>
      </c>
      <c r="M1384" s="114">
        <v>956200114</v>
      </c>
      <c r="N1384" s="114" t="s">
        <v>7358</v>
      </c>
    </row>
    <row r="1385" spans="1:14" ht="19.5">
      <c r="A1385" s="39" t="s">
        <v>333</v>
      </c>
      <c r="B1385" s="5" t="s">
        <v>2459</v>
      </c>
      <c r="C1385" s="40" t="s">
        <v>2670</v>
      </c>
      <c r="I1385" s="109"/>
      <c r="J1385" s="109"/>
      <c r="K1385" s="109"/>
      <c r="L1385" s="109" t="str">
        <f t="shared" si="21"/>
        <v>95-956200116</v>
      </c>
      <c r="M1385" s="114">
        <v>956200116</v>
      </c>
      <c r="N1385" s="114" t="s">
        <v>7359</v>
      </c>
    </row>
    <row r="1386" spans="1:14" ht="19.5">
      <c r="A1386" s="39" t="s">
        <v>338</v>
      </c>
      <c r="B1386" s="5" t="s">
        <v>2459</v>
      </c>
      <c r="C1386" s="40" t="s">
        <v>2670</v>
      </c>
      <c r="I1386" s="109"/>
      <c r="J1386" s="109"/>
      <c r="K1386" s="109"/>
      <c r="L1386" s="109" t="str">
        <f t="shared" si="21"/>
        <v>96-966200022</v>
      </c>
      <c r="M1386" s="114">
        <v>966200022</v>
      </c>
      <c r="N1386" s="114" t="s">
        <v>7360</v>
      </c>
    </row>
    <row r="1387" spans="1:14" ht="19.5">
      <c r="A1387" s="39" t="s">
        <v>182</v>
      </c>
      <c r="B1387" s="5" t="s">
        <v>2459</v>
      </c>
      <c r="C1387" s="40" t="s">
        <v>2670</v>
      </c>
      <c r="I1387" s="109"/>
      <c r="J1387" s="109"/>
      <c r="K1387" s="109"/>
      <c r="L1387" s="109" t="str">
        <f t="shared" si="21"/>
        <v>96-966200107</v>
      </c>
      <c r="M1387" s="114">
        <v>966200107</v>
      </c>
      <c r="N1387" s="114" t="s">
        <v>7361</v>
      </c>
    </row>
    <row r="1388" spans="1:14" ht="19.5">
      <c r="A1388" s="39" t="s">
        <v>552</v>
      </c>
      <c r="B1388" s="5" t="s">
        <v>2459</v>
      </c>
      <c r="C1388" s="40" t="s">
        <v>2670</v>
      </c>
      <c r="I1388" s="109"/>
      <c r="J1388" s="109"/>
      <c r="K1388" s="109"/>
      <c r="L1388" s="109" t="str">
        <f t="shared" si="21"/>
        <v>96-966200155</v>
      </c>
      <c r="M1388" s="114">
        <v>966200155</v>
      </c>
      <c r="N1388" s="114" t="s">
        <v>7362</v>
      </c>
    </row>
    <row r="1389" spans="1:14" ht="19.5">
      <c r="A1389" s="39" t="s">
        <v>178</v>
      </c>
      <c r="B1389" s="5" t="s">
        <v>2459</v>
      </c>
      <c r="C1389" s="40" t="s">
        <v>2670</v>
      </c>
      <c r="I1389" s="109"/>
      <c r="J1389" s="109"/>
      <c r="K1389" s="109"/>
      <c r="L1389" s="109" t="str">
        <f t="shared" si="21"/>
        <v>96-966200158</v>
      </c>
      <c r="M1389" s="114">
        <v>966200158</v>
      </c>
      <c r="N1389" s="114" t="s">
        <v>7362</v>
      </c>
    </row>
    <row r="1390" spans="1:14" ht="19.5">
      <c r="A1390" s="39" t="s">
        <v>599</v>
      </c>
      <c r="B1390" s="5" t="s">
        <v>2459</v>
      </c>
      <c r="C1390" s="40" t="s">
        <v>2670</v>
      </c>
      <c r="I1390" s="109"/>
      <c r="J1390" s="109"/>
      <c r="K1390" s="109"/>
      <c r="L1390" s="109" t="str">
        <f t="shared" si="21"/>
        <v>95-951100013</v>
      </c>
      <c r="M1390" s="114">
        <v>951100013</v>
      </c>
      <c r="N1390" s="114" t="s">
        <v>7396</v>
      </c>
    </row>
    <row r="1391" spans="1:14" ht="19.5">
      <c r="A1391" s="39" t="s">
        <v>1189</v>
      </c>
      <c r="B1391" s="5" t="s">
        <v>2459</v>
      </c>
      <c r="C1391" s="40" t="s">
        <v>2670</v>
      </c>
      <c r="I1391" s="109"/>
      <c r="J1391" s="109"/>
      <c r="K1391" s="109"/>
      <c r="L1391" s="109" t="str">
        <f t="shared" si="21"/>
        <v>95-951100154</v>
      </c>
      <c r="M1391" s="114">
        <v>951100154</v>
      </c>
      <c r="N1391" s="114" t="s">
        <v>7397</v>
      </c>
    </row>
    <row r="1392" spans="1:14" ht="19.5">
      <c r="A1392" s="39" t="s">
        <v>611</v>
      </c>
      <c r="B1392" s="5" t="s">
        <v>2459</v>
      </c>
      <c r="C1392" s="40" t="s">
        <v>2670</v>
      </c>
      <c r="I1392" s="109"/>
      <c r="J1392" s="109"/>
      <c r="K1392" s="109"/>
      <c r="L1392" s="109" t="str">
        <f t="shared" si="21"/>
        <v>96-961100063</v>
      </c>
      <c r="M1392" s="114">
        <v>961100063</v>
      </c>
      <c r="N1392" s="114" t="s">
        <v>7398</v>
      </c>
    </row>
    <row r="1393" spans="1:14" ht="19.5">
      <c r="A1393" s="39" t="s">
        <v>341</v>
      </c>
      <c r="B1393" s="5" t="s">
        <v>2459</v>
      </c>
      <c r="C1393" s="40" t="s">
        <v>2670</v>
      </c>
      <c r="I1393" s="109"/>
      <c r="J1393" s="109"/>
      <c r="K1393" s="109"/>
      <c r="L1393" s="109" t="str">
        <f t="shared" si="21"/>
        <v>95-952000283</v>
      </c>
      <c r="M1393" s="114">
        <v>952000283</v>
      </c>
      <c r="N1393" s="114" t="s">
        <v>7280</v>
      </c>
    </row>
    <row r="1394" spans="1:14" ht="19.5">
      <c r="A1394" s="39" t="s">
        <v>596</v>
      </c>
      <c r="B1394" s="5" t="s">
        <v>2459</v>
      </c>
      <c r="C1394" s="40" t="s">
        <v>2670</v>
      </c>
      <c r="I1394" s="109"/>
      <c r="J1394" s="109"/>
      <c r="K1394" s="109"/>
      <c r="L1394" s="109" t="str">
        <f t="shared" si="21"/>
        <v>96-962000050</v>
      </c>
      <c r="M1394" s="114">
        <v>962000050</v>
      </c>
      <c r="N1394" s="114" t="s">
        <v>7112</v>
      </c>
    </row>
    <row r="1395" spans="1:14" ht="19.5">
      <c r="A1395" s="39" t="s">
        <v>177</v>
      </c>
      <c r="B1395" s="5" t="s">
        <v>2459</v>
      </c>
      <c r="C1395" s="40" t="s">
        <v>2670</v>
      </c>
      <c r="I1395" s="109"/>
      <c r="J1395" s="109"/>
      <c r="K1395" s="109"/>
      <c r="L1395" s="109" t="str">
        <f t="shared" si="21"/>
        <v>96-966200169</v>
      </c>
      <c r="M1395" s="114">
        <v>966200169</v>
      </c>
      <c r="N1395" s="114" t="s">
        <v>7363</v>
      </c>
    </row>
    <row r="1396" spans="1:14" ht="19.5">
      <c r="A1396" s="39" t="s">
        <v>545</v>
      </c>
      <c r="B1396" s="5" t="s">
        <v>2459</v>
      </c>
      <c r="C1396" s="40" t="s">
        <v>2670</v>
      </c>
      <c r="I1396" s="109"/>
      <c r="J1396" s="109"/>
      <c r="K1396" s="109"/>
      <c r="L1396" s="109" t="str">
        <f t="shared" si="21"/>
        <v>96-966200174</v>
      </c>
      <c r="M1396" s="114">
        <v>966200174</v>
      </c>
      <c r="N1396" s="114" t="s">
        <v>7363</v>
      </c>
    </row>
    <row r="1397" spans="1:14" ht="19.5">
      <c r="A1397" s="39" t="s">
        <v>979</v>
      </c>
      <c r="B1397" s="5" t="s">
        <v>2459</v>
      </c>
      <c r="C1397" s="40" t="s">
        <v>2670</v>
      </c>
      <c r="I1397" s="109"/>
      <c r="J1397" s="109"/>
      <c r="K1397" s="109"/>
      <c r="L1397" s="109" t="str">
        <f t="shared" si="21"/>
        <v>96-962000225</v>
      </c>
      <c r="M1397" s="114">
        <v>962000225</v>
      </c>
      <c r="N1397" s="114" t="s">
        <v>7112</v>
      </c>
    </row>
    <row r="1398" spans="1:14" ht="19.5">
      <c r="A1398" s="39" t="s">
        <v>547</v>
      </c>
      <c r="B1398" s="5" t="s">
        <v>2459</v>
      </c>
      <c r="C1398" s="40" t="s">
        <v>2670</v>
      </c>
      <c r="I1398" s="109"/>
      <c r="J1398" s="109"/>
      <c r="K1398" s="109"/>
      <c r="L1398" s="109" t="str">
        <f t="shared" si="21"/>
        <v>96-962000133</v>
      </c>
      <c r="M1398" s="114">
        <v>962000133</v>
      </c>
      <c r="N1398" s="114" t="s">
        <v>7112</v>
      </c>
    </row>
    <row r="1399" spans="1:14" ht="19.5">
      <c r="A1399" s="39" t="s">
        <v>554</v>
      </c>
      <c r="B1399" s="5" t="s">
        <v>2459</v>
      </c>
      <c r="C1399" s="40" t="s">
        <v>2670</v>
      </c>
      <c r="I1399" s="109"/>
      <c r="J1399" s="109"/>
      <c r="K1399" s="109"/>
      <c r="L1399" s="109" t="str">
        <f t="shared" si="21"/>
        <v>96-962000010</v>
      </c>
      <c r="M1399" s="114">
        <v>962000010</v>
      </c>
      <c r="N1399" s="114" t="s">
        <v>7112</v>
      </c>
    </row>
    <row r="1400" spans="1:14" ht="19.5">
      <c r="A1400" s="39" t="s">
        <v>1190</v>
      </c>
      <c r="B1400" s="5" t="s">
        <v>2459</v>
      </c>
      <c r="C1400" s="40" t="s">
        <v>2670</v>
      </c>
      <c r="I1400" s="109"/>
      <c r="J1400" s="109"/>
      <c r="K1400" s="109"/>
      <c r="L1400" s="109" t="str">
        <f t="shared" si="21"/>
        <v>95-952000132</v>
      </c>
      <c r="M1400" s="114">
        <v>952000132</v>
      </c>
      <c r="N1400" s="114" t="s">
        <v>7405</v>
      </c>
    </row>
    <row r="1401" spans="1:14" ht="19.5">
      <c r="A1401" s="39" t="s">
        <v>523</v>
      </c>
      <c r="B1401" s="5" t="s">
        <v>2459</v>
      </c>
      <c r="C1401" s="40" t="s">
        <v>2670</v>
      </c>
      <c r="I1401" s="109"/>
      <c r="J1401" s="109"/>
      <c r="K1401" s="109"/>
      <c r="L1401" s="109" t="str">
        <f t="shared" si="21"/>
        <v>95-952000161</v>
      </c>
      <c r="M1401" s="114">
        <v>952000161</v>
      </c>
      <c r="N1401" s="114" t="s">
        <v>8026</v>
      </c>
    </row>
    <row r="1402" spans="1:14" ht="19.5">
      <c r="A1402" s="39" t="s">
        <v>594</v>
      </c>
      <c r="B1402" s="5" t="s">
        <v>2459</v>
      </c>
      <c r="C1402" s="40" t="s">
        <v>2670</v>
      </c>
      <c r="I1402" s="109"/>
      <c r="J1402" s="109"/>
      <c r="K1402" s="109"/>
      <c r="L1402" s="109" t="str">
        <f t="shared" si="21"/>
        <v>96-962000107</v>
      </c>
      <c r="M1402" s="114">
        <v>962000107</v>
      </c>
      <c r="N1402" s="114" t="s">
        <v>7112</v>
      </c>
    </row>
    <row r="1403" spans="1:14" ht="19.5">
      <c r="A1403" s="39" t="s">
        <v>558</v>
      </c>
      <c r="B1403" s="5" t="s">
        <v>2459</v>
      </c>
      <c r="C1403" s="40" t="s">
        <v>2670</v>
      </c>
      <c r="I1403" s="109"/>
      <c r="J1403" s="109"/>
      <c r="K1403" s="109"/>
      <c r="L1403" s="109" t="str">
        <f t="shared" si="21"/>
        <v>95-952000325</v>
      </c>
      <c r="M1403" s="114">
        <v>952000325</v>
      </c>
      <c r="N1403" s="114" t="s">
        <v>7420</v>
      </c>
    </row>
    <row r="1404" spans="1:14" ht="19.5">
      <c r="A1404" s="39" t="s">
        <v>565</v>
      </c>
      <c r="B1404" s="5" t="s">
        <v>2459</v>
      </c>
      <c r="C1404" s="40" t="s">
        <v>2670</v>
      </c>
      <c r="I1404" s="109"/>
      <c r="J1404" s="109"/>
      <c r="K1404" s="109"/>
      <c r="L1404" s="109" t="str">
        <f t="shared" si="21"/>
        <v>96-962000111</v>
      </c>
      <c r="M1404" s="114">
        <v>962000111</v>
      </c>
      <c r="N1404" s="114" t="s">
        <v>7112</v>
      </c>
    </row>
    <row r="1405" spans="1:14" ht="19.5">
      <c r="A1405" s="39" t="s">
        <v>1191</v>
      </c>
      <c r="B1405" s="5" t="s">
        <v>2459</v>
      </c>
      <c r="C1405" s="40" t="s">
        <v>2670</v>
      </c>
      <c r="I1405" s="109"/>
      <c r="J1405" s="109"/>
      <c r="K1405" s="109"/>
      <c r="L1405" s="109" t="str">
        <f t="shared" si="21"/>
        <v>96-962000003</v>
      </c>
      <c r="M1405" s="114">
        <v>962000003</v>
      </c>
      <c r="N1405" s="114" t="s">
        <v>8033</v>
      </c>
    </row>
    <row r="1406" spans="1:14" ht="19.5">
      <c r="A1406" s="39" t="s">
        <v>593</v>
      </c>
      <c r="B1406" s="5" t="s">
        <v>2459</v>
      </c>
      <c r="C1406" s="40" t="s">
        <v>2670</v>
      </c>
      <c r="I1406" s="109"/>
      <c r="J1406" s="109"/>
      <c r="K1406" s="109"/>
      <c r="L1406" s="109" t="str">
        <f t="shared" si="21"/>
        <v>95-952000149</v>
      </c>
      <c r="M1406" s="114">
        <v>952000149</v>
      </c>
      <c r="N1406" s="114" t="s">
        <v>7332</v>
      </c>
    </row>
    <row r="1407" spans="1:14" ht="19.5">
      <c r="A1407" s="39" t="s">
        <v>549</v>
      </c>
      <c r="B1407" s="5" t="s">
        <v>2459</v>
      </c>
      <c r="C1407" s="40" t="s">
        <v>2670</v>
      </c>
      <c r="I1407" s="109"/>
      <c r="J1407" s="109"/>
      <c r="K1407" s="109"/>
      <c r="L1407" s="109" t="str">
        <f t="shared" si="21"/>
        <v>96-962000226</v>
      </c>
      <c r="M1407" s="114">
        <v>962000226</v>
      </c>
      <c r="N1407" s="114" t="s">
        <v>7112</v>
      </c>
    </row>
    <row r="1408" spans="1:14" ht="19.5">
      <c r="A1408" s="39" t="s">
        <v>551</v>
      </c>
      <c r="B1408" s="5" t="s">
        <v>2459</v>
      </c>
      <c r="C1408" s="40" t="s">
        <v>2670</v>
      </c>
      <c r="I1408" s="109"/>
      <c r="J1408" s="109"/>
      <c r="K1408" s="109"/>
      <c r="L1408" s="109" t="str">
        <f t="shared" si="21"/>
        <v>95-956200004</v>
      </c>
      <c r="M1408" s="114">
        <v>956200004</v>
      </c>
      <c r="N1408" s="114" t="s">
        <v>7267</v>
      </c>
    </row>
    <row r="1409" spans="1:14" ht="19.5">
      <c r="A1409" s="39" t="s">
        <v>550</v>
      </c>
      <c r="B1409" s="5" t="s">
        <v>2459</v>
      </c>
      <c r="C1409" s="40" t="s">
        <v>2670</v>
      </c>
      <c r="I1409" s="109"/>
      <c r="J1409" s="109"/>
      <c r="K1409" s="109"/>
      <c r="L1409" s="109" t="str">
        <f t="shared" si="21"/>
        <v>96-961200024</v>
      </c>
      <c r="M1409" s="114">
        <v>961200024</v>
      </c>
      <c r="N1409" s="114" t="s">
        <v>7403</v>
      </c>
    </row>
    <row r="1410" spans="1:14" ht="19.5">
      <c r="A1410" s="39" t="s">
        <v>696</v>
      </c>
      <c r="B1410" s="5" t="s">
        <v>2459</v>
      </c>
      <c r="C1410" s="40" t="s">
        <v>2670</v>
      </c>
      <c r="I1410" s="109"/>
      <c r="J1410" s="109"/>
      <c r="K1410" s="109"/>
      <c r="L1410" s="109" t="str">
        <f t="shared" si="21"/>
        <v>96-961200031</v>
      </c>
      <c r="M1410" s="114">
        <v>961200031</v>
      </c>
      <c r="N1410" s="114" t="s">
        <v>7387</v>
      </c>
    </row>
    <row r="1411" spans="1:14" ht="19.5">
      <c r="A1411" s="39" t="s">
        <v>700</v>
      </c>
      <c r="B1411" s="5" t="s">
        <v>2459</v>
      </c>
      <c r="C1411" s="40" t="s">
        <v>2670</v>
      </c>
      <c r="I1411" s="109"/>
      <c r="J1411" s="109"/>
      <c r="K1411" s="109"/>
      <c r="L1411" s="109" t="str">
        <f t="shared" ref="L1411:L1474" si="22">MID(M1411,1,2)&amp;"-"&amp;M1411</f>
        <v>96-961200034</v>
      </c>
      <c r="M1411" s="114">
        <v>961200034</v>
      </c>
      <c r="N1411" s="114" t="s">
        <v>7403</v>
      </c>
    </row>
    <row r="1412" spans="1:14" ht="19.5">
      <c r="A1412" s="39" t="s">
        <v>543</v>
      </c>
      <c r="B1412" s="5" t="s">
        <v>2459</v>
      </c>
      <c r="C1412" s="40" t="s">
        <v>2670</v>
      </c>
      <c r="I1412" s="109"/>
      <c r="J1412" s="109"/>
      <c r="K1412" s="109"/>
      <c r="L1412" s="109" t="str">
        <f t="shared" si="22"/>
        <v>96-961200048</v>
      </c>
      <c r="M1412" s="114">
        <v>961200048</v>
      </c>
      <c r="N1412" s="114" t="s">
        <v>7404</v>
      </c>
    </row>
    <row r="1413" spans="1:14" ht="19.5">
      <c r="A1413" s="39" t="s">
        <v>539</v>
      </c>
      <c r="B1413" s="5" t="s">
        <v>2459</v>
      </c>
      <c r="C1413" s="40" t="s">
        <v>2670</v>
      </c>
      <c r="I1413" s="109"/>
      <c r="J1413" s="109"/>
      <c r="K1413" s="109"/>
      <c r="L1413" s="109" t="str">
        <f t="shared" si="22"/>
        <v>96-961200071</v>
      </c>
      <c r="M1413" s="114">
        <v>961200071</v>
      </c>
      <c r="N1413" s="114" t="s">
        <v>7117</v>
      </c>
    </row>
    <row r="1414" spans="1:14" ht="19.5">
      <c r="A1414" s="39" t="s">
        <v>536</v>
      </c>
      <c r="B1414" s="5" t="s">
        <v>2459</v>
      </c>
      <c r="C1414" s="40" t="s">
        <v>2670</v>
      </c>
      <c r="I1414" s="109"/>
      <c r="J1414" s="109"/>
      <c r="K1414" s="109"/>
      <c r="L1414" s="109" t="str">
        <f t="shared" si="22"/>
        <v>95-951100053</v>
      </c>
      <c r="M1414" s="114">
        <v>951100053</v>
      </c>
      <c r="N1414" s="114" t="s">
        <v>7406</v>
      </c>
    </row>
    <row r="1415" spans="1:14" ht="19.5">
      <c r="A1415" s="39" t="s">
        <v>519</v>
      </c>
      <c r="B1415" s="5" t="s">
        <v>2459</v>
      </c>
      <c r="C1415" s="40" t="s">
        <v>2670</v>
      </c>
      <c r="I1415" s="109"/>
      <c r="J1415" s="109"/>
      <c r="K1415" s="109"/>
      <c r="L1415" s="109" t="str">
        <f t="shared" si="22"/>
        <v>96-962000168</v>
      </c>
      <c r="M1415" s="114">
        <v>962000168</v>
      </c>
      <c r="N1415" s="114" t="s">
        <v>7112</v>
      </c>
    </row>
    <row r="1416" spans="1:14" ht="19.5">
      <c r="A1416" s="39" t="s">
        <v>546</v>
      </c>
      <c r="B1416" s="5" t="s">
        <v>2459</v>
      </c>
      <c r="C1416" s="40" t="s">
        <v>2670</v>
      </c>
      <c r="I1416" s="109"/>
      <c r="J1416" s="109"/>
      <c r="K1416" s="109"/>
      <c r="L1416" s="109" t="str">
        <f t="shared" si="22"/>
        <v>95-951100069</v>
      </c>
      <c r="M1416" s="114">
        <v>951100069</v>
      </c>
      <c r="N1416" s="114" t="s">
        <v>7407</v>
      </c>
    </row>
    <row r="1417" spans="1:14" ht="19.5">
      <c r="A1417" s="39" t="s">
        <v>600</v>
      </c>
      <c r="B1417" s="5" t="s">
        <v>2459</v>
      </c>
      <c r="C1417" s="40" t="s">
        <v>2670</v>
      </c>
      <c r="I1417" s="109"/>
      <c r="J1417" s="109"/>
      <c r="K1417" s="109"/>
      <c r="L1417" s="109" t="str">
        <f t="shared" si="22"/>
        <v>95-951100173</v>
      </c>
      <c r="M1417" s="114">
        <v>951100173</v>
      </c>
      <c r="N1417" s="114" t="s">
        <v>7408</v>
      </c>
    </row>
    <row r="1418" spans="1:14" ht="19.5">
      <c r="A1418" s="39" t="s">
        <v>981</v>
      </c>
      <c r="B1418" s="5" t="s">
        <v>2459</v>
      </c>
      <c r="C1418" s="40" t="s">
        <v>2670</v>
      </c>
      <c r="I1418" s="109"/>
      <c r="J1418" s="109"/>
      <c r="K1418" s="109"/>
      <c r="L1418" s="109" t="str">
        <f t="shared" si="22"/>
        <v>95-951100177</v>
      </c>
      <c r="M1418" s="114">
        <v>951100177</v>
      </c>
      <c r="N1418" s="114" t="s">
        <v>7409</v>
      </c>
    </row>
    <row r="1419" spans="1:14" ht="19.5">
      <c r="A1419" s="39" t="s">
        <v>553</v>
      </c>
      <c r="B1419" s="5" t="s">
        <v>2459</v>
      </c>
      <c r="C1419" s="40" t="s">
        <v>2670</v>
      </c>
      <c r="I1419" s="109"/>
      <c r="J1419" s="109"/>
      <c r="K1419" s="109"/>
      <c r="L1419" s="109" t="str">
        <f t="shared" si="22"/>
        <v>96-961200049</v>
      </c>
      <c r="M1419" s="114">
        <v>961200049</v>
      </c>
      <c r="N1419" s="114" t="s">
        <v>7404</v>
      </c>
    </row>
    <row r="1420" spans="1:14" ht="19.5">
      <c r="A1420" s="39" t="s">
        <v>699</v>
      </c>
      <c r="B1420" s="5" t="s">
        <v>2459</v>
      </c>
      <c r="C1420" s="40" t="s">
        <v>2670</v>
      </c>
      <c r="I1420" s="109"/>
      <c r="J1420" s="109"/>
      <c r="K1420" s="109"/>
      <c r="L1420" s="109" t="str">
        <f t="shared" si="22"/>
        <v>96-961200059</v>
      </c>
      <c r="M1420" s="114">
        <v>961200059</v>
      </c>
      <c r="N1420" s="114" t="s">
        <v>7404</v>
      </c>
    </row>
    <row r="1421" spans="1:14" ht="19.5">
      <c r="A1421" s="39" t="s">
        <v>537</v>
      </c>
      <c r="B1421" s="5" t="s">
        <v>2459</v>
      </c>
      <c r="C1421" s="40" t="s">
        <v>2670</v>
      </c>
      <c r="I1421" s="109"/>
      <c r="J1421" s="109"/>
      <c r="K1421" s="109"/>
      <c r="L1421" s="109" t="str">
        <f t="shared" si="22"/>
        <v>96-961200077</v>
      </c>
      <c r="M1421" s="114">
        <v>961200077</v>
      </c>
      <c r="N1421" s="114" t="s">
        <v>7117</v>
      </c>
    </row>
    <row r="1422" spans="1:14" ht="19.5">
      <c r="A1422" s="39" t="s">
        <v>555</v>
      </c>
      <c r="B1422" s="5" t="s">
        <v>2459</v>
      </c>
      <c r="C1422" s="40" t="s">
        <v>2670</v>
      </c>
      <c r="I1422" s="109"/>
      <c r="J1422" s="109"/>
      <c r="K1422" s="109"/>
      <c r="L1422" s="109" t="str">
        <f t="shared" si="22"/>
        <v>95-952000286</v>
      </c>
      <c r="M1422" s="114">
        <v>952000286</v>
      </c>
      <c r="N1422" s="114" t="s">
        <v>7280</v>
      </c>
    </row>
    <row r="1423" spans="1:14" ht="19.5">
      <c r="A1423" s="39" t="s">
        <v>610</v>
      </c>
      <c r="B1423" s="5" t="s">
        <v>2459</v>
      </c>
      <c r="C1423" s="40" t="s">
        <v>2670</v>
      </c>
      <c r="I1423" s="109"/>
      <c r="J1423" s="109"/>
      <c r="K1423" s="109"/>
      <c r="L1423" s="109" t="str">
        <f t="shared" si="22"/>
        <v>95-952000345</v>
      </c>
      <c r="M1423" s="114">
        <v>952000345</v>
      </c>
      <c r="N1423" s="114" t="s">
        <v>7413</v>
      </c>
    </row>
    <row r="1424" spans="1:14" ht="19.5">
      <c r="A1424" s="39" t="s">
        <v>612</v>
      </c>
      <c r="B1424" s="5" t="s">
        <v>2459</v>
      </c>
      <c r="C1424" s="40" t="s">
        <v>2670</v>
      </c>
      <c r="I1424" s="109"/>
      <c r="J1424" s="109"/>
      <c r="K1424" s="109"/>
      <c r="L1424" s="109" t="str">
        <f t="shared" si="22"/>
        <v>96-962000206</v>
      </c>
      <c r="M1424" s="114">
        <v>962000206</v>
      </c>
      <c r="N1424" s="114" t="s">
        <v>7112</v>
      </c>
    </row>
    <row r="1425" spans="1:14" ht="19.5">
      <c r="A1425" s="39" t="s">
        <v>701</v>
      </c>
      <c r="B1425" s="5" t="s">
        <v>2459</v>
      </c>
      <c r="C1425" s="40" t="s">
        <v>2670</v>
      </c>
      <c r="I1425" s="109"/>
      <c r="J1425" s="109"/>
      <c r="K1425" s="109"/>
      <c r="L1425" s="109" t="str">
        <f t="shared" si="22"/>
        <v>96-962000084</v>
      </c>
      <c r="M1425" s="114">
        <v>962000084</v>
      </c>
      <c r="N1425" s="114" t="s">
        <v>7112</v>
      </c>
    </row>
    <row r="1426" spans="1:14" ht="19.5">
      <c r="A1426" s="39" t="s">
        <v>583</v>
      </c>
      <c r="B1426" s="5" t="s">
        <v>2459</v>
      </c>
      <c r="C1426" s="40" t="s">
        <v>2670</v>
      </c>
      <c r="I1426" s="109"/>
      <c r="J1426" s="109"/>
      <c r="K1426" s="109"/>
      <c r="L1426" s="109" t="str">
        <f t="shared" si="22"/>
        <v>95-951100174</v>
      </c>
      <c r="M1426" s="114">
        <v>951100174</v>
      </c>
      <c r="N1426" s="114" t="s">
        <v>8037</v>
      </c>
    </row>
    <row r="1427" spans="1:14" ht="19.5">
      <c r="A1427" s="39" t="s">
        <v>605</v>
      </c>
      <c r="B1427" s="5" t="s">
        <v>2459</v>
      </c>
      <c r="C1427" s="40" t="s">
        <v>2670</v>
      </c>
      <c r="I1427" s="109"/>
      <c r="J1427" s="109"/>
      <c r="K1427" s="109"/>
      <c r="L1427" s="109" t="str">
        <f t="shared" si="22"/>
        <v>95-956200044</v>
      </c>
      <c r="M1427" s="114">
        <v>956200044</v>
      </c>
      <c r="N1427" s="114" t="s">
        <v>7418</v>
      </c>
    </row>
    <row r="1428" spans="1:14" ht="19.5">
      <c r="A1428" s="39" t="s">
        <v>604</v>
      </c>
      <c r="B1428" s="5" t="s">
        <v>2459</v>
      </c>
      <c r="C1428" s="40" t="s">
        <v>2670</v>
      </c>
      <c r="I1428" s="109"/>
      <c r="J1428" s="109"/>
      <c r="K1428" s="109"/>
      <c r="L1428" s="109" t="str">
        <f t="shared" si="22"/>
        <v>95-956200411</v>
      </c>
      <c r="M1428" s="114">
        <v>956200411</v>
      </c>
      <c r="N1428" s="114" t="s">
        <v>7419</v>
      </c>
    </row>
    <row r="1429" spans="1:14" ht="19.5">
      <c r="A1429" s="39" t="s">
        <v>608</v>
      </c>
      <c r="B1429" s="5" t="s">
        <v>2459</v>
      </c>
      <c r="C1429" s="40" t="s">
        <v>2670</v>
      </c>
      <c r="I1429" s="109"/>
      <c r="J1429" s="109"/>
      <c r="K1429" s="109"/>
      <c r="L1429" s="109" t="str">
        <f t="shared" si="22"/>
        <v>95-956200001</v>
      </c>
      <c r="M1429" s="114">
        <v>956200001</v>
      </c>
      <c r="N1429" s="114" t="s">
        <v>7267</v>
      </c>
    </row>
    <row r="1430" spans="1:14" ht="19.5">
      <c r="A1430" s="39" t="s">
        <v>865</v>
      </c>
      <c r="B1430" s="5" t="s">
        <v>2459</v>
      </c>
      <c r="C1430" s="40" t="s">
        <v>2670</v>
      </c>
      <c r="I1430" s="109"/>
      <c r="J1430" s="109"/>
      <c r="K1430" s="109"/>
      <c r="L1430" s="109" t="str">
        <f t="shared" si="22"/>
        <v>96-962000228</v>
      </c>
      <c r="M1430" s="114">
        <v>962000228</v>
      </c>
      <c r="N1430" s="114" t="s">
        <v>7112</v>
      </c>
    </row>
    <row r="1431" spans="1:14" ht="19.5">
      <c r="A1431" s="39" t="s">
        <v>556</v>
      </c>
      <c r="B1431" s="5" t="s">
        <v>2459</v>
      </c>
      <c r="C1431" s="40" t="s">
        <v>2670</v>
      </c>
      <c r="I1431" s="109"/>
      <c r="J1431" s="109"/>
      <c r="K1431" s="109"/>
      <c r="L1431" s="109" t="str">
        <f t="shared" si="22"/>
        <v>95-952000042</v>
      </c>
      <c r="M1431" s="114">
        <v>952000042</v>
      </c>
      <c r="N1431" s="114" t="s">
        <v>7331</v>
      </c>
    </row>
    <row r="1432" spans="1:14" ht="19.5">
      <c r="A1432" s="39" t="s">
        <v>607</v>
      </c>
      <c r="B1432" s="5" t="s">
        <v>2459</v>
      </c>
      <c r="C1432" s="40" t="s">
        <v>2670</v>
      </c>
      <c r="I1432" s="109"/>
      <c r="J1432" s="109"/>
      <c r="K1432" s="109"/>
      <c r="L1432" s="109" t="str">
        <f t="shared" si="22"/>
        <v>96-962000094</v>
      </c>
      <c r="M1432" s="114">
        <v>962000094</v>
      </c>
      <c r="N1432" s="114" t="s">
        <v>7112</v>
      </c>
    </row>
    <row r="1433" spans="1:14" ht="19.5">
      <c r="A1433" s="39" t="s">
        <v>606</v>
      </c>
      <c r="B1433" s="5" t="s">
        <v>2459</v>
      </c>
      <c r="C1433" s="40" t="s">
        <v>2670</v>
      </c>
      <c r="I1433" s="109"/>
      <c r="J1433" s="109"/>
      <c r="K1433" s="109"/>
      <c r="L1433" s="109" t="str">
        <f t="shared" si="22"/>
        <v>95-952000120</v>
      </c>
      <c r="M1433" s="114">
        <v>952000120</v>
      </c>
      <c r="N1433" s="114" t="s">
        <v>7274</v>
      </c>
    </row>
    <row r="1434" spans="1:14" ht="19.5">
      <c r="A1434" s="39" t="s">
        <v>542</v>
      </c>
      <c r="B1434" s="5" t="s">
        <v>2459</v>
      </c>
      <c r="C1434" s="40" t="s">
        <v>2670</v>
      </c>
      <c r="I1434" s="109"/>
      <c r="J1434" s="109"/>
      <c r="K1434" s="109"/>
      <c r="L1434" s="109" t="str">
        <f t="shared" si="22"/>
        <v>96-962000052</v>
      </c>
      <c r="M1434" s="114">
        <v>962000052</v>
      </c>
      <c r="N1434" s="114" t="s">
        <v>7112</v>
      </c>
    </row>
    <row r="1435" spans="1:14" ht="19.5">
      <c r="A1435" s="39" t="s">
        <v>597</v>
      </c>
      <c r="B1435" s="5" t="s">
        <v>2459</v>
      </c>
      <c r="C1435" s="40" t="s">
        <v>2670</v>
      </c>
      <c r="I1435" s="109"/>
      <c r="J1435" s="109"/>
      <c r="K1435" s="109"/>
      <c r="L1435" s="109" t="str">
        <f t="shared" si="22"/>
        <v>95-952000294</v>
      </c>
      <c r="M1435" s="114">
        <v>952000294</v>
      </c>
      <c r="N1435" s="114" t="s">
        <v>7329</v>
      </c>
    </row>
    <row r="1436" spans="1:14" ht="19.5">
      <c r="A1436" s="39" t="s">
        <v>630</v>
      </c>
      <c r="B1436" s="5" t="s">
        <v>2459</v>
      </c>
      <c r="C1436" s="40" t="s">
        <v>2670</v>
      </c>
      <c r="I1436" s="109"/>
      <c r="J1436" s="109"/>
      <c r="K1436" s="109"/>
      <c r="L1436" s="109" t="str">
        <f t="shared" si="22"/>
        <v>96-962000091</v>
      </c>
      <c r="M1436" s="114">
        <v>962000091</v>
      </c>
      <c r="N1436" s="114" t="s">
        <v>7112</v>
      </c>
    </row>
    <row r="1437" spans="1:14" ht="19.5">
      <c r="A1437" s="39" t="s">
        <v>621</v>
      </c>
      <c r="B1437" s="5" t="s">
        <v>2459</v>
      </c>
      <c r="C1437" s="40" t="s">
        <v>2670</v>
      </c>
      <c r="I1437" s="109"/>
      <c r="J1437" s="109"/>
      <c r="K1437" s="109"/>
      <c r="L1437" s="109" t="str">
        <f t="shared" si="22"/>
        <v>96-966200020</v>
      </c>
      <c r="M1437" s="114">
        <v>966200020</v>
      </c>
      <c r="N1437" s="114" t="s">
        <v>7370</v>
      </c>
    </row>
    <row r="1438" spans="1:14" ht="19.5">
      <c r="A1438" s="39" t="s">
        <v>1258</v>
      </c>
      <c r="B1438" s="5" t="s">
        <v>2459</v>
      </c>
      <c r="C1438" s="40" t="s">
        <v>2670</v>
      </c>
      <c r="I1438" s="109"/>
      <c r="J1438" s="109"/>
      <c r="K1438" s="109"/>
      <c r="L1438" s="109" t="str">
        <f t="shared" si="22"/>
        <v>95-952000332</v>
      </c>
      <c r="M1438" s="114">
        <v>952000332</v>
      </c>
      <c r="N1438" s="114" t="s">
        <v>7420</v>
      </c>
    </row>
    <row r="1439" spans="1:14" ht="19.5">
      <c r="A1439" s="39" t="s">
        <v>629</v>
      </c>
      <c r="B1439" s="5" t="s">
        <v>2459</v>
      </c>
      <c r="C1439" s="40" t="s">
        <v>2670</v>
      </c>
      <c r="I1439" s="109"/>
      <c r="J1439" s="109"/>
      <c r="K1439" s="109"/>
      <c r="L1439" s="109" t="str">
        <f t="shared" si="22"/>
        <v>95-956200243</v>
      </c>
      <c r="M1439" s="114">
        <v>956200243</v>
      </c>
      <c r="N1439" s="114" t="s">
        <v>7428</v>
      </c>
    </row>
    <row r="1440" spans="1:14" ht="19.5">
      <c r="A1440" s="39" t="s">
        <v>1301</v>
      </c>
      <c r="B1440" s="5" t="s">
        <v>2459</v>
      </c>
      <c r="C1440" s="40" t="s">
        <v>2670</v>
      </c>
      <c r="I1440" s="109"/>
      <c r="J1440" s="109"/>
      <c r="K1440" s="109"/>
      <c r="L1440" s="109" t="str">
        <f t="shared" si="22"/>
        <v>96-961100032</v>
      </c>
      <c r="M1440" s="114">
        <v>961100032</v>
      </c>
      <c r="N1440" s="114" t="s">
        <v>7439</v>
      </c>
    </row>
    <row r="1441" spans="1:14" ht="19.5">
      <c r="A1441" s="39" t="s">
        <v>603</v>
      </c>
      <c r="B1441" s="5" t="s">
        <v>2459</v>
      </c>
      <c r="C1441" s="40" t="s">
        <v>2670</v>
      </c>
      <c r="I1441" s="109"/>
      <c r="J1441" s="109"/>
      <c r="K1441" s="109"/>
      <c r="L1441" s="109" t="str">
        <f t="shared" si="22"/>
        <v>95-956200057</v>
      </c>
      <c r="M1441" s="114">
        <v>956200057</v>
      </c>
      <c r="N1441" s="114" t="s">
        <v>7306</v>
      </c>
    </row>
    <row r="1442" spans="1:14" ht="19.5">
      <c r="A1442" s="39" t="s">
        <v>613</v>
      </c>
      <c r="B1442" s="5" t="s">
        <v>2459</v>
      </c>
      <c r="C1442" s="40" t="s">
        <v>2670</v>
      </c>
      <c r="I1442" s="109"/>
      <c r="J1442" s="109"/>
      <c r="K1442" s="109"/>
      <c r="L1442" s="109" t="str">
        <f t="shared" si="22"/>
        <v>95-956200141</v>
      </c>
      <c r="M1442" s="114">
        <v>956200141</v>
      </c>
      <c r="N1442" s="114" t="s">
        <v>7978</v>
      </c>
    </row>
    <row r="1443" spans="1:14" ht="19.5">
      <c r="A1443" s="39" t="s">
        <v>698</v>
      </c>
      <c r="B1443" s="5" t="s">
        <v>2459</v>
      </c>
      <c r="C1443" s="40" t="s">
        <v>2670</v>
      </c>
      <c r="I1443" s="109"/>
      <c r="J1443" s="109"/>
      <c r="K1443" s="109"/>
      <c r="L1443" s="109" t="str">
        <f t="shared" si="22"/>
        <v>95-956200015</v>
      </c>
      <c r="M1443" s="114">
        <v>956200015</v>
      </c>
      <c r="N1443" s="114" t="s">
        <v>7372</v>
      </c>
    </row>
    <row r="1444" spans="1:14" ht="19.5">
      <c r="A1444" s="39" t="s">
        <v>525</v>
      </c>
      <c r="B1444" s="5" t="s">
        <v>2459</v>
      </c>
      <c r="C1444" s="40" t="s">
        <v>2670</v>
      </c>
      <c r="I1444" s="109"/>
      <c r="J1444" s="109"/>
      <c r="K1444" s="109"/>
      <c r="L1444" s="109" t="str">
        <f t="shared" si="22"/>
        <v>95-956200089</v>
      </c>
      <c r="M1444" s="114">
        <v>956200089</v>
      </c>
      <c r="N1444" s="114" t="s">
        <v>7373</v>
      </c>
    </row>
    <row r="1445" spans="1:14" ht="19.5">
      <c r="A1445" s="39" t="s">
        <v>628</v>
      </c>
      <c r="B1445" s="5" t="s">
        <v>2459</v>
      </c>
      <c r="C1445" s="40" t="s">
        <v>2670</v>
      </c>
      <c r="I1445" s="109"/>
      <c r="J1445" s="109"/>
      <c r="K1445" s="109"/>
      <c r="L1445" s="109" t="str">
        <f t="shared" si="22"/>
        <v>96-966200196</v>
      </c>
      <c r="M1445" s="114">
        <v>966200196</v>
      </c>
      <c r="N1445" s="114" t="s">
        <v>7440</v>
      </c>
    </row>
    <row r="1446" spans="1:14" ht="19.5">
      <c r="A1446" s="39" t="s">
        <v>625</v>
      </c>
      <c r="B1446" s="5" t="s">
        <v>2459</v>
      </c>
      <c r="C1446" s="40" t="s">
        <v>2670</v>
      </c>
      <c r="I1446" s="109"/>
      <c r="J1446" s="109"/>
      <c r="K1446" s="109"/>
      <c r="L1446" s="109" t="str">
        <f t="shared" si="22"/>
        <v>96-962000032</v>
      </c>
      <c r="M1446" s="114">
        <v>962000032</v>
      </c>
      <c r="N1446" s="114" t="s">
        <v>7112</v>
      </c>
    </row>
    <row r="1447" spans="1:14" ht="19.5">
      <c r="A1447" s="39" t="s">
        <v>646</v>
      </c>
      <c r="B1447" s="5" t="s">
        <v>2459</v>
      </c>
      <c r="C1447" s="40" t="s">
        <v>2670</v>
      </c>
      <c r="I1447" s="109"/>
      <c r="J1447" s="109"/>
      <c r="K1447" s="109"/>
      <c r="L1447" s="109" t="str">
        <f t="shared" si="22"/>
        <v>95-956200338</v>
      </c>
      <c r="M1447" s="114">
        <v>956200338</v>
      </c>
      <c r="N1447" s="114" t="s">
        <v>7447</v>
      </c>
    </row>
    <row r="1448" spans="1:14" ht="19.5">
      <c r="A1448" s="39" t="s">
        <v>627</v>
      </c>
      <c r="B1448" s="5" t="s">
        <v>2459</v>
      </c>
      <c r="C1448" s="40" t="s">
        <v>2670</v>
      </c>
      <c r="I1448" s="109"/>
      <c r="J1448" s="109"/>
      <c r="K1448" s="109"/>
      <c r="L1448" s="109" t="str">
        <f t="shared" si="22"/>
        <v>96-966200215</v>
      </c>
      <c r="M1448" s="114">
        <v>966200215</v>
      </c>
      <c r="N1448" s="114" t="s">
        <v>7479</v>
      </c>
    </row>
    <row r="1449" spans="1:14" ht="19.5">
      <c r="A1449" s="39" t="s">
        <v>2677</v>
      </c>
      <c r="B1449" s="5" t="s">
        <v>2459</v>
      </c>
      <c r="C1449" s="40" t="s">
        <v>2670</v>
      </c>
      <c r="I1449" s="109"/>
      <c r="J1449" s="109"/>
      <c r="K1449" s="109"/>
      <c r="L1449" s="109" t="str">
        <f t="shared" si="22"/>
        <v>96-962000215</v>
      </c>
      <c r="M1449" s="114">
        <v>962000215</v>
      </c>
      <c r="N1449" s="114" t="s">
        <v>7112</v>
      </c>
    </row>
    <row r="1450" spans="1:14" ht="19.5">
      <c r="A1450" s="39" t="s">
        <v>569</v>
      </c>
      <c r="B1450" s="5" t="s">
        <v>2459</v>
      </c>
      <c r="C1450" s="40" t="s">
        <v>2670</v>
      </c>
      <c r="I1450" s="109"/>
      <c r="J1450" s="109"/>
      <c r="K1450" s="109"/>
      <c r="L1450" s="109" t="str">
        <f t="shared" si="22"/>
        <v>96-966200126</v>
      </c>
      <c r="M1450" s="114">
        <v>966200126</v>
      </c>
      <c r="N1450" s="114" t="s">
        <v>7293</v>
      </c>
    </row>
    <row r="1451" spans="1:14" ht="19.5">
      <c r="A1451" s="39" t="s">
        <v>571</v>
      </c>
      <c r="B1451" s="5" t="s">
        <v>2459</v>
      </c>
      <c r="C1451" s="40" t="s">
        <v>2670</v>
      </c>
      <c r="I1451" s="109"/>
      <c r="J1451" s="109"/>
      <c r="K1451" s="109"/>
      <c r="L1451" s="109" t="str">
        <f t="shared" si="22"/>
        <v>95-956200148</v>
      </c>
      <c r="M1451" s="114">
        <v>956200148</v>
      </c>
      <c r="N1451" s="114" t="s">
        <v>8040</v>
      </c>
    </row>
    <row r="1452" spans="1:14" ht="19.5">
      <c r="A1452" s="39" t="s">
        <v>1031</v>
      </c>
      <c r="B1452" s="5" t="s">
        <v>2459</v>
      </c>
      <c r="C1452" s="40" t="s">
        <v>2670</v>
      </c>
      <c r="I1452" s="109"/>
      <c r="J1452" s="109"/>
      <c r="K1452" s="109"/>
      <c r="L1452" s="109" t="str">
        <f t="shared" si="22"/>
        <v>95-956200012</v>
      </c>
      <c r="M1452" s="114">
        <v>956200012</v>
      </c>
      <c r="N1452" s="114" t="s">
        <v>7376</v>
      </c>
    </row>
    <row r="1453" spans="1:14" ht="19.5">
      <c r="A1453" s="39" t="s">
        <v>560</v>
      </c>
      <c r="B1453" s="5" t="s">
        <v>2459</v>
      </c>
      <c r="C1453" s="40" t="s">
        <v>2670</v>
      </c>
      <c r="I1453" s="109"/>
      <c r="J1453" s="109"/>
      <c r="K1453" s="109"/>
      <c r="L1453" s="109" t="str">
        <f t="shared" si="22"/>
        <v>95-956200135</v>
      </c>
      <c r="M1453" s="114">
        <v>956200135</v>
      </c>
      <c r="N1453" s="114" t="s">
        <v>7382</v>
      </c>
    </row>
    <row r="1454" spans="1:14" ht="19.5">
      <c r="A1454" s="39" t="s">
        <v>620</v>
      </c>
      <c r="B1454" s="5" t="s">
        <v>2459</v>
      </c>
      <c r="C1454" s="40" t="s">
        <v>2670</v>
      </c>
      <c r="I1454" s="109"/>
      <c r="J1454" s="109"/>
      <c r="K1454" s="109"/>
      <c r="L1454" s="109" t="str">
        <f t="shared" si="22"/>
        <v>96-966200262</v>
      </c>
      <c r="M1454" s="114">
        <v>966200262</v>
      </c>
      <c r="N1454" s="114" t="s">
        <v>7113</v>
      </c>
    </row>
    <row r="1455" spans="1:14" ht="19.5">
      <c r="A1455" s="39" t="s">
        <v>598</v>
      </c>
      <c r="B1455" s="5" t="s">
        <v>2459</v>
      </c>
      <c r="C1455" s="40" t="s">
        <v>2670</v>
      </c>
      <c r="I1455" s="109"/>
      <c r="J1455" s="109"/>
      <c r="K1455" s="109"/>
      <c r="L1455" s="109" t="str">
        <f t="shared" si="22"/>
        <v>96-962000011</v>
      </c>
      <c r="M1455" s="114">
        <v>962000011</v>
      </c>
      <c r="N1455" s="114" t="s">
        <v>7112</v>
      </c>
    </row>
    <row r="1456" spans="1:14" ht="19.5">
      <c r="A1456" s="39" t="s">
        <v>562</v>
      </c>
      <c r="B1456" s="5" t="s">
        <v>2459</v>
      </c>
      <c r="C1456" s="40" t="s">
        <v>2670</v>
      </c>
      <c r="I1456" s="109"/>
      <c r="J1456" s="109"/>
      <c r="K1456" s="109"/>
      <c r="L1456" s="109" t="str">
        <f t="shared" si="22"/>
        <v>96-966200033</v>
      </c>
      <c r="M1456" s="114">
        <v>966200033</v>
      </c>
      <c r="N1456" s="114" t="s">
        <v>7288</v>
      </c>
    </row>
    <row r="1457" spans="1:14" ht="19.5">
      <c r="A1457" s="39" t="s">
        <v>564</v>
      </c>
      <c r="B1457" s="5" t="s">
        <v>2459</v>
      </c>
      <c r="C1457" s="40" t="s">
        <v>2670</v>
      </c>
      <c r="I1457" s="109"/>
      <c r="J1457" s="109"/>
      <c r="K1457" s="109"/>
      <c r="L1457" s="109" t="str">
        <f t="shared" si="22"/>
        <v>96-966200030</v>
      </c>
      <c r="M1457" s="114">
        <v>966200030</v>
      </c>
      <c r="N1457" s="114" t="s">
        <v>7288</v>
      </c>
    </row>
    <row r="1458" spans="1:14" ht="19.5">
      <c r="A1458" s="39" t="s">
        <v>676</v>
      </c>
      <c r="B1458" s="5" t="s">
        <v>2459</v>
      </c>
      <c r="C1458" s="40" t="s">
        <v>2670</v>
      </c>
      <c r="I1458" s="109"/>
      <c r="J1458" s="109"/>
      <c r="K1458" s="109"/>
      <c r="L1458" s="109" t="str">
        <f t="shared" si="22"/>
        <v>95-952000284</v>
      </c>
      <c r="M1458" s="114">
        <v>952000284</v>
      </c>
      <c r="N1458" s="114" t="s">
        <v>7280</v>
      </c>
    </row>
    <row r="1459" spans="1:14" ht="19.5">
      <c r="A1459" s="39" t="s">
        <v>567</v>
      </c>
      <c r="B1459" s="5" t="s">
        <v>2459</v>
      </c>
      <c r="C1459" s="40" t="s">
        <v>2670</v>
      </c>
      <c r="I1459" s="109"/>
      <c r="J1459" s="109"/>
      <c r="K1459" s="109"/>
      <c r="L1459" s="109" t="str">
        <f t="shared" si="22"/>
        <v>95-952000289</v>
      </c>
      <c r="M1459" s="114">
        <v>952000289</v>
      </c>
      <c r="N1459" s="114" t="s">
        <v>7280</v>
      </c>
    </row>
    <row r="1460" spans="1:14" ht="19.5">
      <c r="A1460" s="39" t="s">
        <v>618</v>
      </c>
      <c r="B1460" s="5" t="s">
        <v>2459</v>
      </c>
      <c r="C1460" s="40" t="s">
        <v>2670</v>
      </c>
      <c r="I1460" s="109"/>
      <c r="J1460" s="109"/>
      <c r="K1460" s="109"/>
      <c r="L1460" s="109" t="str">
        <f t="shared" si="22"/>
        <v>96-962000004</v>
      </c>
      <c r="M1460" s="114">
        <v>962000004</v>
      </c>
      <c r="N1460" s="114" t="s">
        <v>7112</v>
      </c>
    </row>
    <row r="1461" spans="1:14" ht="19.5">
      <c r="A1461" s="39" t="s">
        <v>526</v>
      </c>
      <c r="B1461" s="5" t="s">
        <v>2459</v>
      </c>
      <c r="C1461" s="40" t="s">
        <v>2670</v>
      </c>
      <c r="I1461" s="109"/>
      <c r="J1461" s="109"/>
      <c r="K1461" s="109"/>
      <c r="L1461" s="109" t="str">
        <f t="shared" si="22"/>
        <v>95-952000128</v>
      </c>
      <c r="M1461" s="114">
        <v>952000128</v>
      </c>
      <c r="N1461" s="114" t="s">
        <v>7405</v>
      </c>
    </row>
    <row r="1462" spans="1:14" ht="19.5">
      <c r="A1462" s="39" t="s">
        <v>524</v>
      </c>
      <c r="B1462" s="5" t="s">
        <v>2459</v>
      </c>
      <c r="C1462" s="40" t="s">
        <v>2670</v>
      </c>
      <c r="I1462" s="109"/>
      <c r="J1462" s="109"/>
      <c r="K1462" s="109"/>
      <c r="L1462" s="109" t="str">
        <f t="shared" si="22"/>
        <v>95-952000290</v>
      </c>
      <c r="M1462" s="114">
        <v>952000290</v>
      </c>
      <c r="N1462" s="114" t="s">
        <v>7280</v>
      </c>
    </row>
    <row r="1463" spans="1:14" ht="19.5">
      <c r="A1463" s="39" t="s">
        <v>683</v>
      </c>
      <c r="B1463" s="5" t="s">
        <v>2459</v>
      </c>
      <c r="C1463" s="40" t="s">
        <v>2670</v>
      </c>
      <c r="I1463" s="109"/>
      <c r="J1463" s="109"/>
      <c r="K1463" s="109"/>
      <c r="L1463" s="109" t="str">
        <f t="shared" si="22"/>
        <v>95-952000229</v>
      </c>
      <c r="M1463" s="114">
        <v>952000229</v>
      </c>
      <c r="N1463" s="114" t="s">
        <v>7385</v>
      </c>
    </row>
    <row r="1464" spans="1:14" ht="19.5">
      <c r="A1464" s="39" t="s">
        <v>624</v>
      </c>
      <c r="B1464" s="5" t="s">
        <v>2459</v>
      </c>
      <c r="C1464" s="40" t="s">
        <v>2670</v>
      </c>
      <c r="I1464" s="109"/>
      <c r="J1464" s="109"/>
      <c r="K1464" s="109"/>
      <c r="L1464" s="109" t="str">
        <f t="shared" si="22"/>
        <v>95-952000277</v>
      </c>
      <c r="M1464" s="114">
        <v>952000277</v>
      </c>
      <c r="N1464" s="114" t="s">
        <v>7280</v>
      </c>
    </row>
    <row r="1465" spans="1:14" ht="19.5">
      <c r="A1465" s="39" t="s">
        <v>853</v>
      </c>
      <c r="B1465" s="5" t="s">
        <v>2459</v>
      </c>
      <c r="C1465" s="40" t="s">
        <v>2670</v>
      </c>
      <c r="I1465" s="109"/>
      <c r="J1465" s="109"/>
      <c r="K1465" s="109"/>
      <c r="L1465" s="109" t="str">
        <f t="shared" si="22"/>
        <v>95-952000045</v>
      </c>
      <c r="M1465" s="114">
        <v>952000045</v>
      </c>
      <c r="N1465" s="114" t="s">
        <v>7331</v>
      </c>
    </row>
    <row r="1466" spans="1:14" ht="19.5">
      <c r="A1466" s="39" t="s">
        <v>570</v>
      </c>
      <c r="B1466" s="5" t="s">
        <v>2459</v>
      </c>
      <c r="C1466" s="40" t="s">
        <v>2670</v>
      </c>
      <c r="I1466" s="109"/>
      <c r="J1466" s="109"/>
      <c r="K1466" s="109"/>
      <c r="L1466" s="109" t="str">
        <f t="shared" si="22"/>
        <v>96-966200129</v>
      </c>
      <c r="M1466" s="114">
        <v>966200129</v>
      </c>
      <c r="N1466" s="114" t="s">
        <v>7293</v>
      </c>
    </row>
    <row r="1467" spans="1:14" ht="19.5">
      <c r="A1467" s="39" t="s">
        <v>678</v>
      </c>
      <c r="B1467" s="5" t="s">
        <v>2459</v>
      </c>
      <c r="C1467" s="40" t="s">
        <v>2670</v>
      </c>
      <c r="I1467" s="109"/>
      <c r="J1467" s="109"/>
      <c r="K1467" s="109"/>
      <c r="L1467" s="109" t="str">
        <f t="shared" si="22"/>
        <v>95-956200157</v>
      </c>
      <c r="M1467" s="114">
        <v>956200157</v>
      </c>
      <c r="N1467" s="114" t="s">
        <v>7268</v>
      </c>
    </row>
    <row r="1468" spans="1:14" ht="19.5">
      <c r="A1468" s="39" t="s">
        <v>527</v>
      </c>
      <c r="B1468" s="5" t="s">
        <v>2459</v>
      </c>
      <c r="C1468" s="40" t="s">
        <v>2670</v>
      </c>
      <c r="I1468" s="109"/>
      <c r="J1468" s="109"/>
      <c r="K1468" s="109"/>
      <c r="L1468" s="109" t="str">
        <f t="shared" si="22"/>
        <v>96-962000131</v>
      </c>
      <c r="M1468" s="114">
        <v>962000131</v>
      </c>
      <c r="N1468" s="114" t="s">
        <v>7112</v>
      </c>
    </row>
    <row r="1469" spans="1:14" ht="19.5">
      <c r="A1469" s="39" t="s">
        <v>1193</v>
      </c>
      <c r="B1469" s="5" t="s">
        <v>2459</v>
      </c>
      <c r="C1469" s="40" t="s">
        <v>2670</v>
      </c>
      <c r="I1469" s="109"/>
      <c r="J1469" s="109"/>
      <c r="K1469" s="109"/>
      <c r="L1469" s="109" t="str">
        <f t="shared" si="22"/>
        <v>96-962000069</v>
      </c>
      <c r="M1469" s="114">
        <v>962000069</v>
      </c>
      <c r="N1469" s="114" t="s">
        <v>7112</v>
      </c>
    </row>
    <row r="1470" spans="1:14" ht="19.5">
      <c r="A1470" s="39" t="s">
        <v>705</v>
      </c>
      <c r="B1470" s="5" t="s">
        <v>2459</v>
      </c>
      <c r="C1470" s="40" t="s">
        <v>2670</v>
      </c>
      <c r="I1470" s="109"/>
      <c r="J1470" s="109"/>
      <c r="K1470" s="109"/>
      <c r="L1470" s="109" t="str">
        <f t="shared" si="22"/>
        <v>96-962000066</v>
      </c>
      <c r="M1470" s="114">
        <v>962000066</v>
      </c>
      <c r="N1470" s="114" t="s">
        <v>7112</v>
      </c>
    </row>
    <row r="1471" spans="1:14" ht="19.5">
      <c r="A1471" s="39" t="s">
        <v>576</v>
      </c>
      <c r="B1471" s="5" t="s">
        <v>2459</v>
      </c>
      <c r="C1471" s="40" t="s">
        <v>2670</v>
      </c>
      <c r="I1471" s="109"/>
      <c r="J1471" s="109"/>
      <c r="K1471" s="109"/>
      <c r="L1471" s="109" t="str">
        <f t="shared" si="22"/>
        <v>95-956200326</v>
      </c>
      <c r="M1471" s="114">
        <v>956200326</v>
      </c>
      <c r="N1471" s="114" t="s">
        <v>7289</v>
      </c>
    </row>
    <row r="1472" spans="1:14" ht="19.5">
      <c r="A1472" s="39" t="s">
        <v>634</v>
      </c>
      <c r="B1472" s="5" t="s">
        <v>2459</v>
      </c>
      <c r="C1472" s="40" t="s">
        <v>2670</v>
      </c>
      <c r="I1472" s="109"/>
      <c r="J1472" s="109"/>
      <c r="K1472" s="109"/>
      <c r="L1472" s="109" t="str">
        <f t="shared" si="22"/>
        <v>95-952000308</v>
      </c>
      <c r="M1472" s="114">
        <v>952000308</v>
      </c>
      <c r="N1472" s="114" t="s">
        <v>7420</v>
      </c>
    </row>
    <row r="1473" spans="1:14" ht="19.5">
      <c r="A1473" s="39" t="s">
        <v>677</v>
      </c>
      <c r="B1473" s="5" t="s">
        <v>2459</v>
      </c>
      <c r="C1473" s="40" t="s">
        <v>2670</v>
      </c>
      <c r="I1473" s="109"/>
      <c r="J1473" s="109"/>
      <c r="K1473" s="109"/>
      <c r="L1473" s="109" t="str">
        <f t="shared" si="22"/>
        <v>95-952000185</v>
      </c>
      <c r="M1473" s="114">
        <v>952000185</v>
      </c>
      <c r="N1473" s="114" t="s">
        <v>7453</v>
      </c>
    </row>
    <row r="1474" spans="1:14" ht="19.5">
      <c r="A1474" s="39" t="s">
        <v>681</v>
      </c>
      <c r="B1474" s="5" t="s">
        <v>2459</v>
      </c>
      <c r="C1474" s="40" t="s">
        <v>2670</v>
      </c>
      <c r="I1474" s="109"/>
      <c r="J1474" s="109"/>
      <c r="K1474" s="109"/>
      <c r="L1474" s="109" t="str">
        <f t="shared" si="22"/>
        <v>95-952000113</v>
      </c>
      <c r="M1474" s="114">
        <v>952000113</v>
      </c>
      <c r="N1474" s="114" t="s">
        <v>7411</v>
      </c>
    </row>
    <row r="1475" spans="1:14" ht="19.5">
      <c r="A1475" s="39" t="s">
        <v>686</v>
      </c>
      <c r="B1475" s="5" t="s">
        <v>2459</v>
      </c>
      <c r="C1475" s="40" t="s">
        <v>2670</v>
      </c>
      <c r="I1475" s="109"/>
      <c r="J1475" s="109"/>
      <c r="K1475" s="109"/>
      <c r="L1475" s="109" t="str">
        <f t="shared" ref="L1475:L1538" si="23">MID(M1475,1,2)&amp;"-"&amp;M1475</f>
        <v>96-962000077</v>
      </c>
      <c r="M1475" s="114">
        <v>962000077</v>
      </c>
      <c r="N1475" s="114" t="s">
        <v>7112</v>
      </c>
    </row>
    <row r="1476" spans="1:14" ht="19.5">
      <c r="A1476" s="39" t="s">
        <v>685</v>
      </c>
      <c r="B1476" s="5" t="s">
        <v>2459</v>
      </c>
      <c r="C1476" s="40" t="s">
        <v>2670</v>
      </c>
      <c r="I1476" s="109"/>
      <c r="J1476" s="109"/>
      <c r="K1476" s="109"/>
      <c r="L1476" s="109" t="str">
        <f t="shared" si="23"/>
        <v>95-951100165</v>
      </c>
      <c r="M1476" s="114">
        <v>951100165</v>
      </c>
      <c r="N1476" s="114" t="s">
        <v>7454</v>
      </c>
    </row>
    <row r="1477" spans="1:14" ht="19.5">
      <c r="A1477" s="39" t="s">
        <v>529</v>
      </c>
      <c r="B1477" s="5" t="s">
        <v>2459</v>
      </c>
      <c r="C1477" s="40" t="s">
        <v>2670</v>
      </c>
      <c r="I1477" s="109"/>
      <c r="J1477" s="109"/>
      <c r="K1477" s="109"/>
      <c r="L1477" s="109" t="str">
        <f t="shared" si="23"/>
        <v>96-961100007</v>
      </c>
      <c r="M1477" s="114">
        <v>961100007</v>
      </c>
      <c r="N1477" s="114" t="s">
        <v>7455</v>
      </c>
    </row>
    <row r="1478" spans="1:14" ht="19.5">
      <c r="A1478" s="39" t="s">
        <v>660</v>
      </c>
      <c r="B1478" s="5" t="s">
        <v>2459</v>
      </c>
      <c r="C1478" s="40" t="s">
        <v>2670</v>
      </c>
      <c r="I1478" s="109"/>
      <c r="J1478" s="109"/>
      <c r="K1478" s="109"/>
      <c r="L1478" s="109" t="str">
        <f t="shared" si="23"/>
        <v>95-952000054</v>
      </c>
      <c r="M1478" s="114">
        <v>952000054</v>
      </c>
      <c r="N1478" s="114" t="s">
        <v>7278</v>
      </c>
    </row>
    <row r="1479" spans="1:14" ht="19.5">
      <c r="A1479" s="39" t="s">
        <v>636</v>
      </c>
      <c r="B1479" s="5" t="s">
        <v>2459</v>
      </c>
      <c r="C1479" s="40" t="s">
        <v>2670</v>
      </c>
      <c r="I1479" s="109"/>
      <c r="J1479" s="109"/>
      <c r="K1479" s="109"/>
      <c r="L1479" s="109" t="str">
        <f t="shared" si="23"/>
        <v>96-962000172</v>
      </c>
      <c r="M1479" s="114">
        <v>962000172</v>
      </c>
      <c r="N1479" s="114" t="s">
        <v>7112</v>
      </c>
    </row>
    <row r="1480" spans="1:14" ht="19.5">
      <c r="A1480" s="39" t="s">
        <v>1194</v>
      </c>
      <c r="B1480" s="5" t="s">
        <v>2459</v>
      </c>
      <c r="C1480" s="40" t="s">
        <v>2670</v>
      </c>
      <c r="I1480" s="109"/>
      <c r="J1480" s="109"/>
      <c r="K1480" s="109"/>
      <c r="L1480" s="109" t="str">
        <f t="shared" si="23"/>
        <v>96-962000022</v>
      </c>
      <c r="M1480" s="114">
        <v>962000022</v>
      </c>
      <c r="N1480" s="114" t="s">
        <v>7112</v>
      </c>
    </row>
    <row r="1481" spans="1:14" ht="19.5">
      <c r="A1481" s="39" t="s">
        <v>640</v>
      </c>
      <c r="B1481" s="5" t="s">
        <v>2459</v>
      </c>
      <c r="C1481" s="40" t="s">
        <v>2670</v>
      </c>
      <c r="I1481" s="109"/>
      <c r="J1481" s="109"/>
      <c r="K1481" s="109"/>
      <c r="L1481" s="109" t="str">
        <f t="shared" si="23"/>
        <v>95-952000036</v>
      </c>
      <c r="M1481" s="114">
        <v>952000036</v>
      </c>
      <c r="N1481" s="114" t="s">
        <v>7331</v>
      </c>
    </row>
    <row r="1482" spans="1:14" ht="19.5">
      <c r="A1482" s="39" t="s">
        <v>530</v>
      </c>
      <c r="B1482" s="5" t="s">
        <v>2459</v>
      </c>
      <c r="C1482" s="40" t="s">
        <v>2670</v>
      </c>
      <c r="I1482" s="109"/>
      <c r="J1482" s="109"/>
      <c r="K1482" s="109"/>
      <c r="L1482" s="109" t="str">
        <f t="shared" si="23"/>
        <v>95-952000313</v>
      </c>
      <c r="M1482" s="114">
        <v>952000313</v>
      </c>
      <c r="N1482" s="114" t="s">
        <v>7420</v>
      </c>
    </row>
    <row r="1483" spans="1:14" ht="19.5">
      <c r="A1483" s="39" t="s">
        <v>633</v>
      </c>
      <c r="B1483" s="5" t="s">
        <v>2459</v>
      </c>
      <c r="C1483" s="40" t="s">
        <v>2670</v>
      </c>
      <c r="I1483" s="109"/>
      <c r="J1483" s="109"/>
      <c r="K1483" s="109"/>
      <c r="L1483" s="109" t="str">
        <f t="shared" si="23"/>
        <v>96-962000148</v>
      </c>
      <c r="M1483" s="114">
        <v>962000148</v>
      </c>
      <c r="N1483" s="114" t="s">
        <v>7112</v>
      </c>
    </row>
    <row r="1484" spans="1:14" ht="19.5">
      <c r="A1484" s="39" t="s">
        <v>584</v>
      </c>
      <c r="B1484" s="5" t="s">
        <v>2459</v>
      </c>
      <c r="C1484" s="40" t="s">
        <v>2670</v>
      </c>
      <c r="I1484" s="109"/>
      <c r="J1484" s="109"/>
      <c r="K1484" s="109"/>
      <c r="L1484" s="109" t="str">
        <f t="shared" si="23"/>
        <v>95-956200086</v>
      </c>
      <c r="M1484" s="114">
        <v>956200086</v>
      </c>
      <c r="N1484" s="114" t="s">
        <v>8054</v>
      </c>
    </row>
    <row r="1485" spans="1:14" ht="19.5">
      <c r="A1485" s="39" t="s">
        <v>793</v>
      </c>
      <c r="B1485" s="5" t="s">
        <v>2459</v>
      </c>
      <c r="C1485" s="40" t="s">
        <v>2670</v>
      </c>
      <c r="I1485" s="109"/>
      <c r="J1485" s="109"/>
      <c r="K1485" s="109"/>
      <c r="L1485" s="109" t="str">
        <f t="shared" si="23"/>
        <v>95-952000269</v>
      </c>
      <c r="M1485" s="114">
        <v>952000269</v>
      </c>
      <c r="N1485" s="114" t="s">
        <v>7280</v>
      </c>
    </row>
    <row r="1486" spans="1:14" ht="19.5">
      <c r="A1486" s="39" t="s">
        <v>737</v>
      </c>
      <c r="B1486" s="5" t="s">
        <v>2459</v>
      </c>
      <c r="C1486" s="40" t="s">
        <v>2670</v>
      </c>
      <c r="I1486" s="109"/>
      <c r="J1486" s="109"/>
      <c r="K1486" s="109"/>
      <c r="L1486" s="109" t="str">
        <f t="shared" si="23"/>
        <v>96-962000016</v>
      </c>
      <c r="M1486" s="114">
        <v>962000016</v>
      </c>
      <c r="N1486" s="114" t="s">
        <v>7112</v>
      </c>
    </row>
    <row r="1487" spans="1:14" ht="19.5">
      <c r="A1487" s="39" t="s">
        <v>788</v>
      </c>
      <c r="B1487" s="5" t="s">
        <v>2459</v>
      </c>
      <c r="C1487" s="40" t="s">
        <v>2670</v>
      </c>
      <c r="I1487" s="109"/>
      <c r="J1487" s="109"/>
      <c r="K1487" s="109"/>
      <c r="L1487" s="109" t="str">
        <f t="shared" si="23"/>
        <v>95-952000168</v>
      </c>
      <c r="M1487" s="114">
        <v>952000168</v>
      </c>
      <c r="N1487" s="114" t="s">
        <v>7392</v>
      </c>
    </row>
    <row r="1488" spans="1:14" ht="19.5">
      <c r="A1488" s="39" t="s">
        <v>785</v>
      </c>
      <c r="B1488" s="5" t="s">
        <v>2459</v>
      </c>
      <c r="C1488" s="40" t="s">
        <v>2670</v>
      </c>
      <c r="I1488" s="109"/>
      <c r="J1488" s="109"/>
      <c r="K1488" s="109"/>
      <c r="L1488" s="109" t="str">
        <f t="shared" si="23"/>
        <v>96-962000057</v>
      </c>
      <c r="M1488" s="114">
        <v>962000057</v>
      </c>
      <c r="N1488" s="114" t="s">
        <v>7112</v>
      </c>
    </row>
    <row r="1489" spans="1:14" ht="19.5">
      <c r="A1489" s="39" t="s">
        <v>823</v>
      </c>
      <c r="B1489" s="5" t="s">
        <v>2459</v>
      </c>
      <c r="C1489" s="40" t="s">
        <v>2670</v>
      </c>
      <c r="I1489" s="109"/>
      <c r="J1489" s="109"/>
      <c r="K1489" s="109"/>
      <c r="L1489" s="109" t="str">
        <f t="shared" si="23"/>
        <v>96-961100041</v>
      </c>
      <c r="M1489" s="114">
        <v>961100041</v>
      </c>
      <c r="N1489" s="114" t="s">
        <v>7381</v>
      </c>
    </row>
    <row r="1490" spans="1:14" ht="19.5">
      <c r="A1490" s="39" t="s">
        <v>787</v>
      </c>
      <c r="B1490" s="5" t="s">
        <v>2459</v>
      </c>
      <c r="C1490" s="40" t="s">
        <v>2670</v>
      </c>
      <c r="I1490" s="109"/>
      <c r="J1490" s="109"/>
      <c r="K1490" s="109"/>
      <c r="L1490" s="109" t="str">
        <f t="shared" si="23"/>
        <v>96-962000089</v>
      </c>
      <c r="M1490" s="114">
        <v>962000089</v>
      </c>
      <c r="N1490" s="114" t="s">
        <v>7112</v>
      </c>
    </row>
    <row r="1491" spans="1:14" ht="19.5">
      <c r="A1491" s="39" t="s">
        <v>1200</v>
      </c>
      <c r="B1491" s="5" t="s">
        <v>2459</v>
      </c>
      <c r="C1491" s="40" t="s">
        <v>2670</v>
      </c>
      <c r="I1491" s="109"/>
      <c r="J1491" s="109"/>
      <c r="K1491" s="109"/>
      <c r="L1491" s="109" t="str">
        <f t="shared" si="23"/>
        <v>95-952000265</v>
      </c>
      <c r="M1491" s="114">
        <v>952000265</v>
      </c>
      <c r="N1491" s="114" t="s">
        <v>7280</v>
      </c>
    </row>
    <row r="1492" spans="1:14" ht="19.5">
      <c r="A1492" s="39" t="s">
        <v>778</v>
      </c>
      <c r="B1492" s="5" t="s">
        <v>2459</v>
      </c>
      <c r="C1492" s="40" t="s">
        <v>2670</v>
      </c>
      <c r="I1492" s="109"/>
      <c r="J1492" s="109"/>
      <c r="K1492" s="109"/>
      <c r="L1492" s="109" t="str">
        <f t="shared" si="23"/>
        <v>95-952000343</v>
      </c>
      <c r="M1492" s="114">
        <v>952000343</v>
      </c>
      <c r="N1492" s="114" t="s">
        <v>7413</v>
      </c>
    </row>
    <row r="1493" spans="1:14" ht="19.5">
      <c r="A1493" s="39" t="s">
        <v>791</v>
      </c>
      <c r="B1493" s="5" t="s">
        <v>2459</v>
      </c>
      <c r="C1493" s="40" t="s">
        <v>2670</v>
      </c>
      <c r="I1493" s="109"/>
      <c r="J1493" s="109"/>
      <c r="K1493" s="109"/>
      <c r="L1493" s="109" t="str">
        <f t="shared" si="23"/>
        <v>96-962000039</v>
      </c>
      <c r="M1493" s="114">
        <v>962000039</v>
      </c>
      <c r="N1493" s="114" t="s">
        <v>7112</v>
      </c>
    </row>
    <row r="1494" spans="1:14" ht="19.5">
      <c r="A1494" s="39" t="s">
        <v>777</v>
      </c>
      <c r="B1494" s="5" t="s">
        <v>2459</v>
      </c>
      <c r="C1494" s="40" t="s">
        <v>2670</v>
      </c>
      <c r="I1494" s="109"/>
      <c r="J1494" s="109"/>
      <c r="K1494" s="109"/>
      <c r="L1494" s="109" t="str">
        <f t="shared" si="23"/>
        <v>95-952000355</v>
      </c>
      <c r="M1494" s="114">
        <v>952000355</v>
      </c>
      <c r="N1494" s="114" t="s">
        <v>8055</v>
      </c>
    </row>
    <row r="1495" spans="1:14" ht="19.5">
      <c r="A1495" s="39" t="s">
        <v>832</v>
      </c>
      <c r="B1495" s="5" t="s">
        <v>2459</v>
      </c>
      <c r="C1495" s="40" t="s">
        <v>2670</v>
      </c>
      <c r="I1495" s="109"/>
      <c r="J1495" s="109"/>
      <c r="K1495" s="109"/>
      <c r="L1495" s="109" t="str">
        <f t="shared" si="23"/>
        <v>96-962000070</v>
      </c>
      <c r="M1495" s="114">
        <v>962000070</v>
      </c>
      <c r="N1495" s="114" t="s">
        <v>7112</v>
      </c>
    </row>
    <row r="1496" spans="1:14" ht="19.5">
      <c r="A1496" s="39" t="s">
        <v>805</v>
      </c>
      <c r="B1496" s="5" t="s">
        <v>2459</v>
      </c>
      <c r="C1496" s="40" t="s">
        <v>2670</v>
      </c>
      <c r="I1496" s="109"/>
      <c r="J1496" s="109"/>
      <c r="K1496" s="109"/>
      <c r="L1496" s="109" t="str">
        <f t="shared" si="23"/>
        <v>95-952000271</v>
      </c>
      <c r="M1496" s="114">
        <v>952000271</v>
      </c>
      <c r="N1496" s="114" t="s">
        <v>7280</v>
      </c>
    </row>
    <row r="1497" spans="1:14" ht="19.5">
      <c r="A1497" s="39" t="s">
        <v>831</v>
      </c>
      <c r="B1497" s="5" t="s">
        <v>2459</v>
      </c>
      <c r="C1497" s="40" t="s">
        <v>2670</v>
      </c>
      <c r="I1497" s="109"/>
      <c r="J1497" s="109"/>
      <c r="K1497" s="109"/>
      <c r="L1497" s="109" t="str">
        <f t="shared" si="23"/>
        <v>96-962000045</v>
      </c>
      <c r="M1497" s="114">
        <v>962000045</v>
      </c>
      <c r="N1497" s="114" t="s">
        <v>7112</v>
      </c>
    </row>
    <row r="1498" spans="1:14" ht="19.5">
      <c r="A1498" s="39" t="s">
        <v>824</v>
      </c>
      <c r="B1498" s="5" t="s">
        <v>2459</v>
      </c>
      <c r="C1498" s="40" t="s">
        <v>2670</v>
      </c>
      <c r="I1498" s="109"/>
      <c r="J1498" s="109"/>
      <c r="K1498" s="109"/>
      <c r="L1498" s="109" t="str">
        <f t="shared" si="23"/>
        <v>95-952000169</v>
      </c>
      <c r="M1498" s="114">
        <v>952000169</v>
      </c>
      <c r="N1498" s="114" t="s">
        <v>7392</v>
      </c>
    </row>
    <row r="1499" spans="1:14" ht="19.5">
      <c r="A1499" s="39" t="s">
        <v>1063</v>
      </c>
      <c r="B1499" s="5" t="s">
        <v>2459</v>
      </c>
      <c r="C1499" s="40" t="s">
        <v>2670</v>
      </c>
      <c r="I1499" s="109"/>
      <c r="J1499" s="109"/>
      <c r="K1499" s="109"/>
      <c r="L1499" s="109" t="str">
        <f t="shared" si="23"/>
        <v>96-962000048</v>
      </c>
      <c r="M1499" s="114">
        <v>962000048</v>
      </c>
      <c r="N1499" s="114" t="s">
        <v>7112</v>
      </c>
    </row>
    <row r="1500" spans="1:14">
      <c r="A1500" s="21" t="s">
        <v>1729</v>
      </c>
      <c r="B1500" s="5" t="s">
        <v>2679</v>
      </c>
      <c r="I1500" s="109"/>
      <c r="J1500" s="109"/>
      <c r="K1500" s="109"/>
      <c r="L1500" s="109" t="str">
        <f t="shared" si="23"/>
        <v>96-962000043</v>
      </c>
      <c r="M1500" s="114">
        <v>962000043</v>
      </c>
      <c r="N1500" s="114" t="s">
        <v>7112</v>
      </c>
    </row>
    <row r="1501" spans="1:14">
      <c r="A1501" s="21" t="s">
        <v>1730</v>
      </c>
      <c r="B1501" s="5" t="s">
        <v>2679</v>
      </c>
      <c r="I1501" s="109"/>
      <c r="J1501" s="109"/>
      <c r="K1501" s="109"/>
      <c r="L1501" s="109" t="str">
        <f t="shared" si="23"/>
        <v>95-956200129</v>
      </c>
      <c r="M1501" s="114">
        <v>956200129</v>
      </c>
      <c r="N1501" s="114" t="s">
        <v>7382</v>
      </c>
    </row>
    <row r="1502" spans="1:14">
      <c r="A1502" s="21" t="s">
        <v>1672</v>
      </c>
      <c r="B1502" s="5" t="s">
        <v>2679</v>
      </c>
      <c r="I1502" s="109"/>
      <c r="J1502" s="109"/>
      <c r="K1502" s="109"/>
      <c r="L1502" s="109" t="str">
        <f t="shared" si="23"/>
        <v>95-956200337</v>
      </c>
      <c r="M1502" s="114">
        <v>956200337</v>
      </c>
      <c r="N1502" s="114" t="s">
        <v>7457</v>
      </c>
    </row>
    <row r="1503" spans="1:14">
      <c r="A1503" s="21" t="s">
        <v>1731</v>
      </c>
      <c r="B1503" s="5" t="s">
        <v>2679</v>
      </c>
      <c r="I1503" s="109"/>
      <c r="J1503" s="109"/>
      <c r="K1503" s="109"/>
      <c r="L1503" s="109" t="str">
        <f t="shared" si="23"/>
        <v>95-956200372</v>
      </c>
      <c r="M1503" s="114">
        <v>956200372</v>
      </c>
      <c r="N1503" s="114" t="s">
        <v>7393</v>
      </c>
    </row>
    <row r="1504" spans="1:14">
      <c r="A1504" s="21" t="s">
        <v>1671</v>
      </c>
      <c r="B1504" s="5" t="s">
        <v>2679</v>
      </c>
      <c r="I1504" s="109"/>
      <c r="J1504" s="109"/>
      <c r="K1504" s="109"/>
      <c r="L1504" s="109" t="str">
        <f t="shared" si="23"/>
        <v>95-956200376</v>
      </c>
      <c r="M1504" s="114">
        <v>956200376</v>
      </c>
      <c r="N1504" s="114" t="s">
        <v>7393</v>
      </c>
    </row>
    <row r="1505" spans="1:14">
      <c r="A1505" s="21" t="s">
        <v>1673</v>
      </c>
      <c r="B1505" s="5" t="s">
        <v>2679</v>
      </c>
      <c r="I1505" s="109"/>
      <c r="J1505" s="109"/>
      <c r="K1505" s="109"/>
      <c r="L1505" s="109" t="str">
        <f t="shared" si="23"/>
        <v>95-956200378</v>
      </c>
      <c r="M1505" s="114">
        <v>956200378</v>
      </c>
      <c r="N1505" s="114" t="s">
        <v>7393</v>
      </c>
    </row>
    <row r="1506" spans="1:14">
      <c r="A1506" s="21" t="s">
        <v>1727</v>
      </c>
      <c r="B1506" s="5" t="s">
        <v>2679</v>
      </c>
      <c r="I1506" s="109"/>
      <c r="J1506" s="109"/>
      <c r="K1506" s="109"/>
      <c r="L1506" s="109" t="str">
        <f t="shared" si="23"/>
        <v>95-952000321</v>
      </c>
      <c r="M1506" s="114">
        <v>952000321</v>
      </c>
      <c r="N1506" s="114" t="s">
        <v>7420</v>
      </c>
    </row>
    <row r="1507" spans="1:14">
      <c r="A1507" s="21" t="s">
        <v>1674</v>
      </c>
      <c r="B1507" s="5" t="s">
        <v>2679</v>
      </c>
      <c r="I1507" s="109"/>
      <c r="J1507" s="109"/>
      <c r="K1507" s="109"/>
      <c r="L1507" s="109" t="str">
        <f t="shared" si="23"/>
        <v>95-951100109</v>
      </c>
      <c r="M1507" s="114">
        <v>951100109</v>
      </c>
      <c r="N1507" s="114" t="s">
        <v>8064</v>
      </c>
    </row>
    <row r="1508" spans="1:14">
      <c r="A1508" s="21" t="s">
        <v>1675</v>
      </c>
      <c r="B1508" s="5" t="s">
        <v>2679</v>
      </c>
      <c r="I1508" s="109"/>
      <c r="J1508" s="109"/>
      <c r="K1508" s="109"/>
      <c r="L1508" s="109" t="str">
        <f t="shared" si="23"/>
        <v>95-951100181</v>
      </c>
      <c r="M1508" s="114">
        <v>951100181</v>
      </c>
      <c r="N1508" s="114" t="s">
        <v>8065</v>
      </c>
    </row>
    <row r="1509" spans="1:14">
      <c r="A1509" s="21" t="s">
        <v>1676</v>
      </c>
      <c r="B1509" s="5" t="s">
        <v>2679</v>
      </c>
      <c r="I1509" s="109"/>
      <c r="J1509" s="109"/>
      <c r="K1509" s="109"/>
      <c r="L1509" s="109" t="str">
        <f t="shared" si="23"/>
        <v>95-952000099</v>
      </c>
      <c r="M1509" s="114">
        <v>952000099</v>
      </c>
      <c r="N1509" s="114" t="s">
        <v>7321</v>
      </c>
    </row>
    <row r="1510" spans="1:14">
      <c r="A1510" s="21" t="s">
        <v>1677</v>
      </c>
      <c r="B1510" s="5" t="s">
        <v>2679</v>
      </c>
      <c r="I1510" s="109"/>
      <c r="J1510" s="109"/>
      <c r="K1510" s="109"/>
      <c r="L1510" s="109" t="str">
        <f t="shared" si="23"/>
        <v>95-952000282</v>
      </c>
      <c r="M1510" s="114">
        <v>952000282</v>
      </c>
      <c r="N1510" s="114" t="s">
        <v>7280</v>
      </c>
    </row>
    <row r="1511" spans="1:14">
      <c r="A1511" s="21" t="s">
        <v>1678</v>
      </c>
      <c r="B1511" s="5" t="s">
        <v>2679</v>
      </c>
      <c r="I1511" s="109"/>
      <c r="J1511" s="109"/>
      <c r="K1511" s="109"/>
      <c r="L1511" s="109" t="str">
        <f t="shared" si="23"/>
        <v>96-962000012</v>
      </c>
      <c r="M1511" s="114">
        <v>962000012</v>
      </c>
      <c r="N1511" s="114" t="s">
        <v>7112</v>
      </c>
    </row>
    <row r="1512" spans="1:14">
      <c r="A1512" s="21" t="s">
        <v>1679</v>
      </c>
      <c r="B1512" s="5" t="s">
        <v>2679</v>
      </c>
      <c r="I1512" s="109"/>
      <c r="J1512" s="109"/>
      <c r="K1512" s="109"/>
      <c r="L1512" s="109" t="str">
        <f t="shared" si="23"/>
        <v>96-962000001</v>
      </c>
      <c r="M1512" s="114">
        <v>962000001</v>
      </c>
      <c r="N1512" s="114" t="s">
        <v>8066</v>
      </c>
    </row>
    <row r="1513" spans="1:14">
      <c r="A1513" s="21" t="s">
        <v>1680</v>
      </c>
      <c r="B1513" s="5" t="s">
        <v>2679</v>
      </c>
      <c r="I1513" s="109"/>
      <c r="J1513" s="109"/>
      <c r="K1513" s="109"/>
      <c r="L1513" s="109" t="str">
        <f t="shared" si="23"/>
        <v>96-962000042</v>
      </c>
      <c r="M1513" s="114">
        <v>962000042</v>
      </c>
      <c r="N1513" s="114" t="s">
        <v>7112</v>
      </c>
    </row>
    <row r="1514" spans="1:14">
      <c r="A1514" s="21" t="s">
        <v>1726</v>
      </c>
      <c r="B1514" s="5" t="s">
        <v>2679</v>
      </c>
      <c r="I1514" s="109"/>
      <c r="J1514" s="109"/>
      <c r="K1514" s="109"/>
      <c r="L1514" s="109" t="str">
        <f t="shared" si="23"/>
        <v>95-952000039</v>
      </c>
      <c r="M1514" s="114">
        <v>952000039</v>
      </c>
      <c r="N1514" s="114" t="s">
        <v>7331</v>
      </c>
    </row>
    <row r="1515" spans="1:14">
      <c r="A1515" s="21" t="s">
        <v>1681</v>
      </c>
      <c r="B1515" s="5" t="s">
        <v>2679</v>
      </c>
      <c r="I1515" s="109"/>
      <c r="J1515" s="109"/>
      <c r="K1515" s="109"/>
      <c r="L1515" s="109" t="str">
        <f t="shared" si="23"/>
        <v>95-952000144</v>
      </c>
      <c r="M1515" s="114">
        <v>952000144</v>
      </c>
      <c r="N1515" s="114" t="s">
        <v>7332</v>
      </c>
    </row>
    <row r="1516" spans="1:14">
      <c r="A1516" s="21" t="s">
        <v>1682</v>
      </c>
      <c r="B1516" s="5" t="s">
        <v>2679</v>
      </c>
      <c r="I1516" s="109"/>
      <c r="J1516" s="109"/>
      <c r="K1516" s="109"/>
      <c r="L1516" s="109" t="str">
        <f t="shared" si="23"/>
        <v>95-956300014</v>
      </c>
      <c r="M1516" s="114">
        <v>956300014</v>
      </c>
      <c r="N1516" s="114" t="s">
        <v>7383</v>
      </c>
    </row>
    <row r="1517" spans="1:14">
      <c r="A1517" s="21" t="s">
        <v>1683</v>
      </c>
      <c r="B1517" s="5" t="s">
        <v>2679</v>
      </c>
      <c r="I1517" s="109"/>
      <c r="J1517" s="109"/>
      <c r="K1517" s="109"/>
      <c r="L1517" s="109" t="str">
        <f t="shared" si="23"/>
        <v>95-952000145</v>
      </c>
      <c r="M1517" s="114">
        <v>952000145</v>
      </c>
      <c r="N1517" s="114" t="s">
        <v>7332</v>
      </c>
    </row>
    <row r="1518" spans="1:14">
      <c r="A1518" s="21" t="s">
        <v>1684</v>
      </c>
      <c r="B1518" s="5" t="s">
        <v>2679</v>
      </c>
      <c r="I1518" s="109"/>
      <c r="J1518" s="109"/>
      <c r="K1518" s="109"/>
      <c r="L1518" s="109" t="str">
        <f t="shared" si="23"/>
        <v>96-962000212</v>
      </c>
      <c r="M1518" s="114">
        <v>962000212</v>
      </c>
      <c r="N1518" s="114" t="s">
        <v>7112</v>
      </c>
    </row>
    <row r="1519" spans="1:14">
      <c r="A1519" s="21" t="s">
        <v>1685</v>
      </c>
      <c r="B1519" s="5" t="s">
        <v>2679</v>
      </c>
      <c r="I1519" s="109"/>
      <c r="J1519" s="109"/>
      <c r="K1519" s="109"/>
      <c r="L1519" s="109" t="str">
        <f t="shared" si="23"/>
        <v>95-952000065</v>
      </c>
      <c r="M1519" s="114">
        <v>952000065</v>
      </c>
      <c r="N1519" s="114" t="s">
        <v>7421</v>
      </c>
    </row>
    <row r="1520" spans="1:14">
      <c r="A1520" s="21" t="s">
        <v>1686</v>
      </c>
      <c r="B1520" s="5" t="s">
        <v>2679</v>
      </c>
      <c r="I1520" s="109"/>
      <c r="J1520" s="109"/>
      <c r="K1520" s="109"/>
      <c r="L1520" s="109" t="str">
        <f t="shared" si="23"/>
        <v>95-952000190</v>
      </c>
      <c r="M1520" s="114">
        <v>952000190</v>
      </c>
      <c r="N1520" s="114" t="s">
        <v>7342</v>
      </c>
    </row>
    <row r="1521" spans="1:14">
      <c r="A1521" s="21" t="s">
        <v>1687</v>
      </c>
      <c r="B1521" s="5" t="s">
        <v>2679</v>
      </c>
      <c r="I1521" s="109"/>
      <c r="J1521" s="109"/>
      <c r="K1521" s="109"/>
      <c r="L1521" s="109" t="str">
        <f t="shared" si="23"/>
        <v>95-952000249</v>
      </c>
      <c r="M1521" s="114">
        <v>952000249</v>
      </c>
      <c r="N1521" s="114" t="s">
        <v>7327</v>
      </c>
    </row>
    <row r="1522" spans="1:14">
      <c r="A1522" s="21" t="s">
        <v>1752</v>
      </c>
      <c r="B1522" s="5" t="s">
        <v>2679</v>
      </c>
      <c r="I1522" s="109"/>
      <c r="J1522" s="109"/>
      <c r="K1522" s="109"/>
      <c r="L1522" s="109" t="str">
        <f t="shared" si="23"/>
        <v>95-952000334</v>
      </c>
      <c r="M1522" s="114">
        <v>952000334</v>
      </c>
      <c r="N1522" s="114" t="s">
        <v>7420</v>
      </c>
    </row>
    <row r="1523" spans="1:14">
      <c r="A1523" s="21" t="s">
        <v>1690</v>
      </c>
      <c r="B1523" s="5" t="s">
        <v>2679</v>
      </c>
      <c r="I1523" s="109"/>
      <c r="J1523" s="109"/>
      <c r="K1523" s="109"/>
      <c r="L1523" s="109" t="str">
        <f t="shared" si="23"/>
        <v>96-962000205</v>
      </c>
      <c r="M1523" s="114">
        <v>962000205</v>
      </c>
      <c r="N1523" s="114" t="s">
        <v>7112</v>
      </c>
    </row>
    <row r="1524" spans="1:14">
      <c r="A1524" s="21" t="s">
        <v>1750</v>
      </c>
      <c r="B1524" s="5" t="s">
        <v>2679</v>
      </c>
      <c r="I1524" s="109"/>
      <c r="J1524" s="109"/>
      <c r="K1524" s="109"/>
      <c r="L1524" s="109" t="str">
        <f t="shared" si="23"/>
        <v>95-952000046</v>
      </c>
      <c r="M1524" s="114">
        <v>952000046</v>
      </c>
      <c r="N1524" s="114" t="s">
        <v>7331</v>
      </c>
    </row>
    <row r="1525" spans="1:14">
      <c r="A1525" s="21" t="s">
        <v>1691</v>
      </c>
      <c r="B1525" s="5" t="s">
        <v>2679</v>
      </c>
      <c r="I1525" s="109"/>
      <c r="J1525" s="109"/>
      <c r="K1525" s="109"/>
      <c r="L1525" s="109" t="str">
        <f t="shared" si="23"/>
        <v>95-956200325</v>
      </c>
      <c r="M1525" s="114">
        <v>956200325</v>
      </c>
      <c r="N1525" s="114" t="s">
        <v>7289</v>
      </c>
    </row>
    <row r="1526" spans="1:14">
      <c r="A1526" s="21" t="s">
        <v>1692</v>
      </c>
      <c r="B1526" s="5" t="s">
        <v>2679</v>
      </c>
      <c r="I1526" s="109"/>
      <c r="J1526" s="109"/>
      <c r="K1526" s="109"/>
      <c r="L1526" s="109" t="str">
        <f t="shared" si="23"/>
        <v>95-952000317</v>
      </c>
      <c r="M1526" s="114">
        <v>952000317</v>
      </c>
      <c r="N1526" s="114" t="s">
        <v>7420</v>
      </c>
    </row>
    <row r="1527" spans="1:14">
      <c r="A1527" s="21" t="s">
        <v>1753</v>
      </c>
      <c r="B1527" s="5" t="s">
        <v>2679</v>
      </c>
      <c r="I1527" s="109"/>
      <c r="J1527" s="109"/>
      <c r="K1527" s="109"/>
      <c r="L1527" s="109" t="str">
        <f t="shared" si="23"/>
        <v>95-952000341</v>
      </c>
      <c r="M1527" s="114">
        <v>952000341</v>
      </c>
      <c r="N1527" s="114" t="s">
        <v>7413</v>
      </c>
    </row>
    <row r="1528" spans="1:14">
      <c r="A1528" s="21" t="s">
        <v>1693</v>
      </c>
      <c r="B1528" s="5" t="s">
        <v>2679</v>
      </c>
      <c r="I1528" s="109"/>
      <c r="J1528" s="109"/>
      <c r="K1528" s="109"/>
      <c r="L1528" s="109" t="str">
        <f t="shared" si="23"/>
        <v>95-952000239</v>
      </c>
      <c r="M1528" s="114">
        <v>952000239</v>
      </c>
      <c r="N1528" s="114" t="s">
        <v>7327</v>
      </c>
    </row>
    <row r="1529" spans="1:14">
      <c r="A1529" s="21" t="s">
        <v>1701</v>
      </c>
      <c r="B1529" s="5" t="s">
        <v>2679</v>
      </c>
      <c r="I1529" s="109"/>
      <c r="J1529" s="109"/>
      <c r="K1529" s="109"/>
      <c r="L1529" s="109" t="str">
        <f t="shared" si="23"/>
        <v>96-962000098</v>
      </c>
      <c r="M1529" s="114">
        <v>962000098</v>
      </c>
      <c r="N1529" s="114" t="s">
        <v>7112</v>
      </c>
    </row>
    <row r="1530" spans="1:14">
      <c r="A1530" s="21" t="s">
        <v>1702</v>
      </c>
      <c r="B1530" s="5" t="s">
        <v>2679</v>
      </c>
      <c r="I1530" s="109"/>
      <c r="J1530" s="109"/>
      <c r="K1530" s="109"/>
      <c r="L1530" s="109" t="str">
        <f t="shared" si="23"/>
        <v>95-952000251</v>
      </c>
      <c r="M1530" s="114">
        <v>952000251</v>
      </c>
      <c r="N1530" s="114" t="s">
        <v>7327</v>
      </c>
    </row>
    <row r="1531" spans="1:14">
      <c r="A1531" s="21" t="s">
        <v>1703</v>
      </c>
      <c r="B1531" s="5" t="s">
        <v>2679</v>
      </c>
      <c r="I1531" s="109"/>
      <c r="J1531" s="109"/>
      <c r="K1531" s="109"/>
      <c r="L1531" s="109" t="str">
        <f t="shared" si="23"/>
        <v>95-952000004</v>
      </c>
      <c r="M1531" s="114">
        <v>952000004</v>
      </c>
      <c r="N1531" s="114" t="s">
        <v>7384</v>
      </c>
    </row>
    <row r="1532" spans="1:14">
      <c r="A1532" s="21" t="s">
        <v>1748</v>
      </c>
      <c r="B1532" s="5" t="s">
        <v>2679</v>
      </c>
      <c r="I1532" s="109"/>
      <c r="J1532" s="109"/>
      <c r="K1532" s="109"/>
      <c r="L1532" s="109" t="str">
        <f t="shared" si="23"/>
        <v>95-952000231</v>
      </c>
      <c r="M1532" s="114">
        <v>952000231</v>
      </c>
      <c r="N1532" s="114" t="s">
        <v>7385</v>
      </c>
    </row>
    <row r="1533" spans="1:14">
      <c r="A1533" s="21" t="s">
        <v>1704</v>
      </c>
      <c r="B1533" s="5" t="s">
        <v>2679</v>
      </c>
      <c r="I1533" s="109"/>
      <c r="J1533" s="109"/>
      <c r="K1533" s="109"/>
      <c r="L1533" s="109" t="str">
        <f t="shared" si="23"/>
        <v>95-951100044</v>
      </c>
      <c r="M1533" s="114">
        <v>951100044</v>
      </c>
      <c r="N1533" s="114" t="s">
        <v>7458</v>
      </c>
    </row>
    <row r="1534" spans="1:14">
      <c r="A1534" s="21" t="s">
        <v>1694</v>
      </c>
      <c r="B1534" s="5" t="s">
        <v>2679</v>
      </c>
      <c r="I1534" s="109"/>
      <c r="J1534" s="109"/>
      <c r="K1534" s="109"/>
      <c r="L1534" s="109" t="str">
        <f t="shared" si="23"/>
        <v>95-956200131</v>
      </c>
      <c r="M1534" s="114">
        <v>956200131</v>
      </c>
      <c r="N1534" s="114" t="s">
        <v>7382</v>
      </c>
    </row>
    <row r="1535" spans="1:14">
      <c r="A1535" s="21" t="s">
        <v>1695</v>
      </c>
      <c r="B1535" s="5" t="s">
        <v>2679</v>
      </c>
      <c r="I1535" s="109"/>
      <c r="J1535" s="109"/>
      <c r="K1535" s="109"/>
      <c r="L1535" s="109" t="str">
        <f t="shared" si="23"/>
        <v>95-956200006</v>
      </c>
      <c r="M1535" s="114">
        <v>956200006</v>
      </c>
      <c r="N1535" s="114" t="s">
        <v>7267</v>
      </c>
    </row>
    <row r="1536" spans="1:14">
      <c r="A1536" s="21" t="s">
        <v>1696</v>
      </c>
      <c r="B1536" s="5" t="s">
        <v>2679</v>
      </c>
      <c r="I1536" s="109"/>
      <c r="J1536" s="109"/>
      <c r="K1536" s="109"/>
      <c r="L1536" s="109" t="str">
        <f t="shared" si="23"/>
        <v>95-956200075</v>
      </c>
      <c r="M1536" s="114">
        <v>956200075</v>
      </c>
      <c r="N1536" s="114" t="s">
        <v>7459</v>
      </c>
    </row>
    <row r="1537" spans="1:14">
      <c r="A1537" s="21" t="s">
        <v>1697</v>
      </c>
      <c r="B1537" s="5" t="s">
        <v>2679</v>
      </c>
      <c r="I1537" s="109"/>
      <c r="J1537" s="109"/>
      <c r="K1537" s="109"/>
      <c r="L1537" s="109" t="str">
        <f t="shared" si="23"/>
        <v>96-966200115</v>
      </c>
      <c r="M1537" s="114">
        <v>966200115</v>
      </c>
      <c r="N1537" s="114" t="s">
        <v>7460</v>
      </c>
    </row>
    <row r="1538" spans="1:14">
      <c r="A1538" s="21" t="s">
        <v>1699</v>
      </c>
      <c r="B1538" s="5" t="s">
        <v>2679</v>
      </c>
      <c r="I1538" s="109"/>
      <c r="J1538" s="109"/>
      <c r="K1538" s="109"/>
      <c r="L1538" s="109" t="str">
        <f t="shared" si="23"/>
        <v>95-956200069</v>
      </c>
      <c r="M1538" s="114">
        <v>956200069</v>
      </c>
      <c r="N1538" s="114" t="s">
        <v>7430</v>
      </c>
    </row>
    <row r="1539" spans="1:14">
      <c r="A1539" s="21" t="s">
        <v>1700</v>
      </c>
      <c r="B1539" s="5" t="s">
        <v>2679</v>
      </c>
      <c r="I1539" s="109"/>
      <c r="J1539" s="109"/>
      <c r="K1539" s="109"/>
      <c r="L1539" s="109" t="str">
        <f t="shared" ref="L1539:L1602" si="24">MID(M1539,1,2)&amp;"-"&amp;M1539</f>
        <v>95-956200367</v>
      </c>
      <c r="M1539" s="114">
        <v>956200367</v>
      </c>
      <c r="N1539" s="114" t="s">
        <v>7393</v>
      </c>
    </row>
    <row r="1540" spans="1:14">
      <c r="A1540" s="21" t="s">
        <v>1698</v>
      </c>
      <c r="B1540" s="5" t="s">
        <v>2679</v>
      </c>
      <c r="I1540" s="109"/>
      <c r="J1540" s="109"/>
      <c r="K1540" s="109"/>
      <c r="L1540" s="109" t="str">
        <f t="shared" si="24"/>
        <v>96-962000202</v>
      </c>
      <c r="M1540" s="114">
        <v>962000202</v>
      </c>
      <c r="N1540" s="114" t="s">
        <v>7112</v>
      </c>
    </row>
    <row r="1541" spans="1:14">
      <c r="A1541" s="21" t="s">
        <v>1749</v>
      </c>
      <c r="B1541" s="5" t="s">
        <v>2679</v>
      </c>
      <c r="I1541" s="109"/>
      <c r="J1541" s="109"/>
      <c r="K1541" s="109"/>
      <c r="L1541" s="109" t="str">
        <f t="shared" si="24"/>
        <v>95-952000071</v>
      </c>
      <c r="M1541" s="114">
        <v>952000071</v>
      </c>
      <c r="N1541" s="114" t="s">
        <v>7465</v>
      </c>
    </row>
    <row r="1542" spans="1:14">
      <c r="A1542" s="21" t="s">
        <v>1705</v>
      </c>
      <c r="B1542" s="5" t="s">
        <v>2679</v>
      </c>
      <c r="I1542" s="109"/>
      <c r="J1542" s="109"/>
      <c r="K1542" s="109"/>
      <c r="L1542" s="109" t="str">
        <f t="shared" si="24"/>
        <v>95-952000335</v>
      </c>
      <c r="M1542" s="114">
        <v>952000335</v>
      </c>
      <c r="N1542" s="114" t="s">
        <v>7420</v>
      </c>
    </row>
    <row r="1543" spans="1:14">
      <c r="A1543" s="21" t="s">
        <v>1709</v>
      </c>
      <c r="B1543" s="5" t="s">
        <v>2679</v>
      </c>
      <c r="I1543" s="109"/>
      <c r="J1543" s="109"/>
      <c r="K1543" s="109"/>
      <c r="L1543" s="109" t="str">
        <f t="shared" si="24"/>
        <v>95-952000198</v>
      </c>
      <c r="M1543" s="114">
        <v>952000198</v>
      </c>
      <c r="N1543" s="114" t="s">
        <v>7342</v>
      </c>
    </row>
    <row r="1544" spans="1:14">
      <c r="A1544" s="21" t="s">
        <v>1708</v>
      </c>
      <c r="B1544" s="5" t="s">
        <v>2679</v>
      </c>
      <c r="I1544" s="109"/>
      <c r="J1544" s="109"/>
      <c r="K1544" s="109"/>
      <c r="L1544" s="109" t="str">
        <f t="shared" si="24"/>
        <v>95-952000333</v>
      </c>
      <c r="M1544" s="114">
        <v>952000333</v>
      </c>
      <c r="N1544" s="114" t="s">
        <v>7420</v>
      </c>
    </row>
    <row r="1545" spans="1:14">
      <c r="A1545" s="21" t="s">
        <v>1706</v>
      </c>
      <c r="B1545" s="5" t="s">
        <v>2679</v>
      </c>
      <c r="I1545" s="109"/>
      <c r="J1545" s="109"/>
      <c r="K1545" s="109"/>
      <c r="L1545" s="109" t="str">
        <f t="shared" si="24"/>
        <v>95-952000072</v>
      </c>
      <c r="M1545" s="114">
        <v>952000072</v>
      </c>
      <c r="N1545" s="114" t="s">
        <v>7465</v>
      </c>
    </row>
    <row r="1546" spans="1:14">
      <c r="A1546" s="21" t="s">
        <v>1707</v>
      </c>
      <c r="B1546" s="5" t="s">
        <v>2679</v>
      </c>
      <c r="I1546" s="109"/>
      <c r="J1546" s="109"/>
      <c r="K1546" s="109"/>
      <c r="L1546" s="109" t="str">
        <f t="shared" si="24"/>
        <v>96-962000110</v>
      </c>
      <c r="M1546" s="114">
        <v>962000110</v>
      </c>
      <c r="N1546" s="114" t="s">
        <v>7112</v>
      </c>
    </row>
    <row r="1547" spans="1:14">
      <c r="A1547" s="21" t="s">
        <v>1710</v>
      </c>
      <c r="B1547" s="5" t="s">
        <v>2679</v>
      </c>
      <c r="I1547" s="109"/>
      <c r="J1547" s="109"/>
      <c r="K1547" s="109"/>
      <c r="L1547" s="109" t="str">
        <f t="shared" si="24"/>
        <v>95-956200393</v>
      </c>
      <c r="M1547" s="114">
        <v>956200393</v>
      </c>
      <c r="N1547" s="114" t="s">
        <v>7269</v>
      </c>
    </row>
    <row r="1548" spans="1:14">
      <c r="A1548" s="21" t="s">
        <v>1747</v>
      </c>
      <c r="B1548" s="5" t="s">
        <v>2679</v>
      </c>
      <c r="I1548" s="109"/>
      <c r="J1548" s="109"/>
      <c r="K1548" s="109"/>
      <c r="L1548" s="109" t="str">
        <f t="shared" si="24"/>
        <v>95-952000296</v>
      </c>
      <c r="M1548" s="114">
        <v>952000296</v>
      </c>
      <c r="N1548" s="114" t="s">
        <v>7329</v>
      </c>
    </row>
    <row r="1549" spans="1:14">
      <c r="A1549" s="21" t="s">
        <v>1711</v>
      </c>
      <c r="B1549" s="5" t="s">
        <v>2679</v>
      </c>
      <c r="I1549" s="109"/>
      <c r="J1549" s="109"/>
      <c r="K1549" s="109"/>
      <c r="L1549" s="109" t="str">
        <f t="shared" si="24"/>
        <v>96-962000109</v>
      </c>
      <c r="M1549" s="114">
        <v>962000109</v>
      </c>
      <c r="N1549" s="114" t="s">
        <v>7112</v>
      </c>
    </row>
    <row r="1550" spans="1:14">
      <c r="A1550" s="21" t="s">
        <v>1713</v>
      </c>
      <c r="B1550" s="5" t="s">
        <v>2679</v>
      </c>
      <c r="I1550" s="109"/>
      <c r="J1550" s="109"/>
      <c r="K1550" s="109"/>
      <c r="L1550" s="109" t="str">
        <f t="shared" si="24"/>
        <v>95-952000163</v>
      </c>
      <c r="M1550" s="114">
        <v>952000163</v>
      </c>
      <c r="N1550" s="114" t="s">
        <v>7386</v>
      </c>
    </row>
    <row r="1551" spans="1:14">
      <c r="A1551" s="21" t="s">
        <v>1717</v>
      </c>
      <c r="B1551" s="5" t="s">
        <v>2679</v>
      </c>
      <c r="I1551" s="109"/>
      <c r="J1551" s="109"/>
      <c r="K1551" s="109"/>
      <c r="L1551" s="109" t="str">
        <f t="shared" si="24"/>
        <v>95-951100036</v>
      </c>
      <c r="M1551" s="114">
        <v>951100036</v>
      </c>
      <c r="N1551" s="114" t="s">
        <v>7461</v>
      </c>
    </row>
    <row r="1552" spans="1:14">
      <c r="A1552" s="21" t="s">
        <v>1712</v>
      </c>
      <c r="B1552" s="5" t="s">
        <v>2679</v>
      </c>
      <c r="I1552" s="109"/>
      <c r="J1552" s="109"/>
      <c r="K1552" s="109"/>
      <c r="L1552" s="109" t="str">
        <f t="shared" si="24"/>
        <v>95-956300013</v>
      </c>
      <c r="M1552" s="114">
        <v>956300013</v>
      </c>
      <c r="N1552" s="114" t="s">
        <v>7462</v>
      </c>
    </row>
    <row r="1553" spans="1:14">
      <c r="A1553" s="21" t="s">
        <v>1746</v>
      </c>
      <c r="B1553" s="5" t="s">
        <v>2679</v>
      </c>
      <c r="I1553" s="109"/>
      <c r="J1553" s="109"/>
      <c r="K1553" s="109"/>
      <c r="L1553" s="109" t="str">
        <f t="shared" si="24"/>
        <v>95-956300021</v>
      </c>
      <c r="M1553" s="114">
        <v>956300021</v>
      </c>
      <c r="N1553" s="114" t="s">
        <v>7463</v>
      </c>
    </row>
    <row r="1554" spans="1:14">
      <c r="A1554" s="21" t="s">
        <v>1719</v>
      </c>
      <c r="B1554" s="5" t="s">
        <v>2679</v>
      </c>
      <c r="I1554" s="109"/>
      <c r="J1554" s="109"/>
      <c r="K1554" s="109"/>
      <c r="L1554" s="109" t="str">
        <f t="shared" si="24"/>
        <v>95-956200421</v>
      </c>
      <c r="M1554" s="114">
        <v>956200421</v>
      </c>
      <c r="N1554" s="114" t="s">
        <v>7419</v>
      </c>
    </row>
    <row r="1555" spans="1:14">
      <c r="A1555" s="21" t="s">
        <v>1718</v>
      </c>
      <c r="B1555" s="5" t="s">
        <v>2679</v>
      </c>
      <c r="I1555" s="109"/>
      <c r="J1555" s="109"/>
      <c r="K1555" s="109"/>
      <c r="L1555" s="109" t="str">
        <f t="shared" si="24"/>
        <v>95-956200121</v>
      </c>
      <c r="M1555" s="114">
        <v>956200121</v>
      </c>
      <c r="N1555" s="114" t="s">
        <v>7464</v>
      </c>
    </row>
    <row r="1556" spans="1:14">
      <c r="A1556" s="21" t="s">
        <v>1714</v>
      </c>
      <c r="B1556" s="5" t="s">
        <v>2679</v>
      </c>
      <c r="I1556" s="109"/>
      <c r="J1556" s="109"/>
      <c r="K1556" s="109"/>
      <c r="L1556" s="109" t="str">
        <f t="shared" si="24"/>
        <v>95-956200035</v>
      </c>
      <c r="M1556" s="114">
        <v>956200035</v>
      </c>
      <c r="N1556" s="114" t="s">
        <v>7388</v>
      </c>
    </row>
    <row r="1557" spans="1:14">
      <c r="A1557" s="21" t="s">
        <v>1715</v>
      </c>
      <c r="B1557" s="5" t="s">
        <v>2679</v>
      </c>
      <c r="I1557" s="109"/>
      <c r="J1557" s="109"/>
      <c r="K1557" s="109"/>
      <c r="L1557" s="109" t="str">
        <f t="shared" si="24"/>
        <v>95-952000005</v>
      </c>
      <c r="M1557" s="114">
        <v>952000005</v>
      </c>
      <c r="N1557" s="114" t="s">
        <v>7384</v>
      </c>
    </row>
    <row r="1558" spans="1:14">
      <c r="A1558" s="21" t="s">
        <v>1716</v>
      </c>
      <c r="B1558" s="5" t="s">
        <v>2679</v>
      </c>
      <c r="I1558" s="109"/>
      <c r="J1558" s="109"/>
      <c r="K1558" s="109"/>
      <c r="L1558" s="109" t="str">
        <f t="shared" si="24"/>
        <v>95-952000074</v>
      </c>
      <c r="M1558" s="114">
        <v>952000074</v>
      </c>
      <c r="N1558" s="114" t="s">
        <v>7465</v>
      </c>
    </row>
    <row r="1559" spans="1:14">
      <c r="A1559" s="21" t="s">
        <v>1720</v>
      </c>
      <c r="B1559" s="5" t="s">
        <v>2679</v>
      </c>
      <c r="I1559" s="109"/>
      <c r="J1559" s="109"/>
      <c r="K1559" s="109"/>
      <c r="L1559" s="109" t="str">
        <f t="shared" si="24"/>
        <v>95-952000311</v>
      </c>
      <c r="M1559" s="114">
        <v>952000311</v>
      </c>
      <c r="N1559" s="114" t="s">
        <v>7420</v>
      </c>
    </row>
    <row r="1560" spans="1:14">
      <c r="A1560" s="21" t="s">
        <v>1745</v>
      </c>
      <c r="B1560" s="5" t="s">
        <v>2679</v>
      </c>
      <c r="I1560" s="109"/>
      <c r="J1560" s="109"/>
      <c r="K1560" s="109"/>
      <c r="L1560" s="109" t="str">
        <f t="shared" si="24"/>
        <v>96-962000211</v>
      </c>
      <c r="M1560" s="114">
        <v>962000211</v>
      </c>
      <c r="N1560" s="114" t="s">
        <v>7112</v>
      </c>
    </row>
    <row r="1561" spans="1:14">
      <c r="A1561" s="21" t="s">
        <v>1722</v>
      </c>
      <c r="B1561" s="5" t="s">
        <v>2679</v>
      </c>
      <c r="I1561" s="109"/>
      <c r="J1561" s="109"/>
      <c r="K1561" s="109"/>
      <c r="L1561" s="109" t="str">
        <f t="shared" si="24"/>
        <v>95-952000349</v>
      </c>
      <c r="M1561" s="114">
        <v>952000349</v>
      </c>
      <c r="N1561" s="114" t="s">
        <v>7466</v>
      </c>
    </row>
    <row r="1562" spans="1:14">
      <c r="A1562" s="21" t="s">
        <v>1723</v>
      </c>
      <c r="B1562" s="5" t="s">
        <v>2679</v>
      </c>
      <c r="I1562" s="109"/>
      <c r="J1562" s="109"/>
      <c r="K1562" s="109"/>
      <c r="L1562" s="109" t="str">
        <f t="shared" si="24"/>
        <v>95-952000156</v>
      </c>
      <c r="M1562" s="114">
        <v>952000156</v>
      </c>
      <c r="N1562" s="114" t="s">
        <v>7332</v>
      </c>
    </row>
    <row r="1563" spans="1:14">
      <c r="A1563" s="21" t="s">
        <v>1721</v>
      </c>
      <c r="B1563" s="5" t="s">
        <v>2679</v>
      </c>
      <c r="I1563" s="109"/>
      <c r="J1563" s="109"/>
      <c r="K1563" s="109"/>
      <c r="L1563" s="109" t="str">
        <f t="shared" si="24"/>
        <v>96-966200100</v>
      </c>
      <c r="M1563" s="114">
        <v>966200100</v>
      </c>
      <c r="N1563" s="114" t="s">
        <v>7270</v>
      </c>
    </row>
    <row r="1564" spans="1:14">
      <c r="A1564" s="21" t="s">
        <v>1855</v>
      </c>
      <c r="B1564" s="5" t="s">
        <v>2679</v>
      </c>
      <c r="I1564" s="109"/>
      <c r="J1564" s="109"/>
      <c r="K1564" s="109"/>
      <c r="L1564" s="109" t="str">
        <f t="shared" si="24"/>
        <v>95-956200413</v>
      </c>
      <c r="M1564" s="114">
        <v>956200413</v>
      </c>
      <c r="N1564" s="114" t="s">
        <v>7419</v>
      </c>
    </row>
    <row r="1565" spans="1:14">
      <c r="A1565" s="21" t="s">
        <v>1845</v>
      </c>
      <c r="B1565" s="5" t="s">
        <v>2679</v>
      </c>
      <c r="I1565" s="109"/>
      <c r="J1565" s="109"/>
      <c r="K1565" s="109"/>
      <c r="L1565" s="109" t="str">
        <f t="shared" si="24"/>
        <v>95-956200415</v>
      </c>
      <c r="M1565" s="114">
        <v>956200415</v>
      </c>
      <c r="N1565" s="114" t="s">
        <v>7419</v>
      </c>
    </row>
    <row r="1566" spans="1:14">
      <c r="A1566" s="21" t="s">
        <v>1819</v>
      </c>
      <c r="B1566" s="5" t="s">
        <v>2679</v>
      </c>
      <c r="I1566" s="109"/>
      <c r="J1566" s="109"/>
      <c r="K1566" s="109"/>
      <c r="L1566" s="109" t="str">
        <f t="shared" si="24"/>
        <v>96-966200152</v>
      </c>
      <c r="M1566" s="114">
        <v>966200152</v>
      </c>
      <c r="N1566" s="114" t="s">
        <v>7362</v>
      </c>
    </row>
    <row r="1567" spans="1:14">
      <c r="A1567" s="21" t="s">
        <v>1810</v>
      </c>
      <c r="B1567" s="5" t="s">
        <v>2679</v>
      </c>
      <c r="I1567" s="109"/>
      <c r="J1567" s="109"/>
      <c r="K1567" s="109"/>
      <c r="L1567" s="109" t="str">
        <f t="shared" si="24"/>
        <v>95-951100133</v>
      </c>
      <c r="M1567" s="114">
        <v>951100133</v>
      </c>
      <c r="N1567" s="114" t="s">
        <v>8067</v>
      </c>
    </row>
    <row r="1568" spans="1:14">
      <c r="A1568" s="21" t="s">
        <v>1816</v>
      </c>
      <c r="B1568" s="5" t="s">
        <v>2679</v>
      </c>
      <c r="I1568" s="109"/>
      <c r="J1568" s="109"/>
      <c r="K1568" s="109"/>
      <c r="L1568" s="109" t="str">
        <f t="shared" si="24"/>
        <v>96-966200116</v>
      </c>
      <c r="M1568" s="114">
        <v>966200116</v>
      </c>
      <c r="N1568" s="114" t="s">
        <v>7460</v>
      </c>
    </row>
    <row r="1569" spans="1:14">
      <c r="A1569" s="21" t="s">
        <v>2085</v>
      </c>
      <c r="B1569" s="5" t="s">
        <v>2679</v>
      </c>
      <c r="I1569" s="109"/>
      <c r="J1569" s="109"/>
      <c r="K1569" s="109"/>
      <c r="L1569" s="109" t="str">
        <f t="shared" si="24"/>
        <v>95-952000172</v>
      </c>
      <c r="M1569" s="114">
        <v>952000172</v>
      </c>
      <c r="N1569" s="114" t="s">
        <v>7392</v>
      </c>
    </row>
    <row r="1570" spans="1:14">
      <c r="A1570" s="21" t="s">
        <v>1804</v>
      </c>
      <c r="B1570" s="5" t="s">
        <v>2679</v>
      </c>
      <c r="I1570" s="109"/>
      <c r="J1570" s="109"/>
      <c r="K1570" s="109"/>
      <c r="L1570" s="109" t="str">
        <f t="shared" si="24"/>
        <v>95-952000347</v>
      </c>
      <c r="M1570" s="114">
        <v>952000347</v>
      </c>
      <c r="N1570" s="114" t="s">
        <v>7413</v>
      </c>
    </row>
    <row r="1571" spans="1:14">
      <c r="A1571" s="21" t="s">
        <v>2008</v>
      </c>
      <c r="B1571" s="5" t="s">
        <v>2679</v>
      </c>
      <c r="I1571" s="109"/>
      <c r="J1571" s="109"/>
      <c r="K1571" s="109"/>
      <c r="L1571" s="109" t="str">
        <f t="shared" si="24"/>
        <v>96-962000217</v>
      </c>
      <c r="M1571" s="114">
        <v>962000217</v>
      </c>
      <c r="N1571" s="114" t="s">
        <v>7112</v>
      </c>
    </row>
    <row r="1572" spans="1:14">
      <c r="A1572" s="21" t="s">
        <v>2094</v>
      </c>
      <c r="B1572" s="5" t="s">
        <v>2679</v>
      </c>
      <c r="I1572" s="109"/>
      <c r="J1572" s="109"/>
      <c r="K1572" s="109"/>
      <c r="L1572" s="109" t="str">
        <f t="shared" si="24"/>
        <v>95-956200101</v>
      </c>
      <c r="M1572" s="114">
        <v>956200101</v>
      </c>
      <c r="N1572" s="114" t="s">
        <v>7467</v>
      </c>
    </row>
    <row r="1573" spans="1:14">
      <c r="A1573" s="21" t="s">
        <v>1834</v>
      </c>
      <c r="B1573" s="5" t="s">
        <v>2679</v>
      </c>
      <c r="I1573" s="109"/>
      <c r="J1573" s="109"/>
      <c r="K1573" s="109"/>
      <c r="L1573" s="109" t="str">
        <f t="shared" si="24"/>
        <v>95-956200263</v>
      </c>
      <c r="M1573" s="114">
        <v>956200263</v>
      </c>
      <c r="N1573" s="114" t="s">
        <v>7347</v>
      </c>
    </row>
    <row r="1574" spans="1:14">
      <c r="A1574" s="21" t="s">
        <v>1811</v>
      </c>
      <c r="B1574" s="5" t="s">
        <v>2679</v>
      </c>
      <c r="I1574" s="109"/>
      <c r="J1574" s="109"/>
      <c r="K1574" s="109"/>
      <c r="L1574" s="109" t="str">
        <f t="shared" si="24"/>
        <v>96-966200102</v>
      </c>
      <c r="M1574" s="114">
        <v>966200102</v>
      </c>
      <c r="N1574" s="114" t="s">
        <v>7270</v>
      </c>
    </row>
    <row r="1575" spans="1:14">
      <c r="A1575" s="21" t="s">
        <v>2104</v>
      </c>
      <c r="B1575" s="5" t="s">
        <v>2679</v>
      </c>
      <c r="I1575" s="109"/>
      <c r="J1575" s="109"/>
      <c r="K1575" s="109"/>
      <c r="L1575" s="109" t="str">
        <f t="shared" si="24"/>
        <v>96-966200178</v>
      </c>
      <c r="M1575" s="114">
        <v>966200178</v>
      </c>
      <c r="N1575" s="114" t="s">
        <v>7363</v>
      </c>
    </row>
    <row r="1576" spans="1:14">
      <c r="A1576" s="21" t="s">
        <v>1812</v>
      </c>
      <c r="B1576" s="5" t="s">
        <v>2679</v>
      </c>
      <c r="I1576" s="109"/>
      <c r="J1576" s="109"/>
      <c r="K1576" s="109"/>
      <c r="L1576" s="109" t="str">
        <f t="shared" si="24"/>
        <v>96-966200077</v>
      </c>
      <c r="M1576" s="114">
        <v>966200077</v>
      </c>
      <c r="N1576" s="114" t="s">
        <v>7448</v>
      </c>
    </row>
    <row r="1577" spans="1:14">
      <c r="A1577" s="21" t="s">
        <v>2352</v>
      </c>
      <c r="B1577" s="5" t="s">
        <v>2679</v>
      </c>
      <c r="I1577" s="109"/>
      <c r="J1577" s="109"/>
      <c r="K1577" s="109"/>
      <c r="L1577" s="109" t="str">
        <f t="shared" si="24"/>
        <v>95-956200262</v>
      </c>
      <c r="M1577" s="114">
        <v>956200262</v>
      </c>
      <c r="N1577" s="114" t="s">
        <v>7347</v>
      </c>
    </row>
    <row r="1578" spans="1:14">
      <c r="A1578" s="21" t="s">
        <v>1835</v>
      </c>
      <c r="B1578" s="5" t="s">
        <v>2679</v>
      </c>
      <c r="I1578" s="109"/>
      <c r="J1578" s="109"/>
      <c r="K1578" s="109"/>
      <c r="L1578" s="109" t="str">
        <f t="shared" si="24"/>
        <v>95-956200264</v>
      </c>
      <c r="M1578" s="114">
        <v>956200264</v>
      </c>
      <c r="N1578" s="114" t="s">
        <v>7347</v>
      </c>
    </row>
    <row r="1579" spans="1:14">
      <c r="A1579" s="21" t="s">
        <v>1833</v>
      </c>
      <c r="B1579" s="5" t="s">
        <v>2679</v>
      </c>
      <c r="I1579" s="109"/>
      <c r="J1579" s="109"/>
      <c r="K1579" s="109"/>
      <c r="L1579" s="109" t="str">
        <f t="shared" si="24"/>
        <v>95-956200281</v>
      </c>
      <c r="M1579" s="114">
        <v>956200281</v>
      </c>
      <c r="N1579" s="114" t="s">
        <v>7347</v>
      </c>
    </row>
    <row r="1580" spans="1:14">
      <c r="A1580" s="21" t="s">
        <v>2070</v>
      </c>
      <c r="B1580" s="5" t="s">
        <v>2679</v>
      </c>
      <c r="I1580" s="109"/>
      <c r="J1580" s="109"/>
      <c r="K1580" s="109"/>
      <c r="L1580" s="109" t="str">
        <f t="shared" si="24"/>
        <v>95-956200289</v>
      </c>
      <c r="M1580" s="114">
        <v>956200289</v>
      </c>
      <c r="N1580" s="114" t="s">
        <v>7438</v>
      </c>
    </row>
    <row r="1581" spans="1:14">
      <c r="A1581" s="21" t="s">
        <v>2136</v>
      </c>
      <c r="B1581" s="5" t="s">
        <v>2679</v>
      </c>
      <c r="I1581" s="109"/>
      <c r="J1581" s="109"/>
      <c r="K1581" s="109"/>
      <c r="L1581" s="109" t="str">
        <f t="shared" si="24"/>
        <v>95-956200293</v>
      </c>
      <c r="M1581" s="114">
        <v>956200293</v>
      </c>
      <c r="N1581" s="114" t="s">
        <v>7438</v>
      </c>
    </row>
    <row r="1582" spans="1:14">
      <c r="A1582" s="21" t="s">
        <v>2103</v>
      </c>
      <c r="B1582" s="5" t="s">
        <v>2679</v>
      </c>
      <c r="I1582" s="109"/>
      <c r="J1582" s="109"/>
      <c r="K1582" s="109"/>
      <c r="L1582" s="109" t="str">
        <f t="shared" si="24"/>
        <v>95-956200083</v>
      </c>
      <c r="M1582" s="114">
        <v>956200083</v>
      </c>
      <c r="N1582" s="114" t="s">
        <v>8068</v>
      </c>
    </row>
    <row r="1583" spans="1:14">
      <c r="A1583" s="21" t="s">
        <v>2007</v>
      </c>
      <c r="B1583" s="5" t="s">
        <v>2679</v>
      </c>
      <c r="I1583" s="109"/>
      <c r="J1583" s="109"/>
      <c r="K1583" s="109"/>
      <c r="L1583" s="109" t="str">
        <f t="shared" si="24"/>
        <v>95-956200095</v>
      </c>
      <c r="M1583" s="114">
        <v>956200095</v>
      </c>
      <c r="N1583" s="114" t="s">
        <v>8060</v>
      </c>
    </row>
    <row r="1584" spans="1:14">
      <c r="A1584" s="21" t="s">
        <v>1963</v>
      </c>
      <c r="B1584" s="5" t="s">
        <v>2679</v>
      </c>
      <c r="I1584" s="109"/>
      <c r="J1584" s="109"/>
      <c r="K1584" s="109"/>
      <c r="L1584" s="109" t="str">
        <f t="shared" si="24"/>
        <v>95-956200091</v>
      </c>
      <c r="M1584" s="114">
        <v>956200091</v>
      </c>
      <c r="N1584" s="114" t="s">
        <v>8060</v>
      </c>
    </row>
    <row r="1585" spans="1:14">
      <c r="A1585" s="21" t="s">
        <v>2105</v>
      </c>
      <c r="B1585" s="5" t="s">
        <v>2679</v>
      </c>
      <c r="I1585" s="109"/>
      <c r="J1585" s="109"/>
      <c r="K1585" s="109"/>
      <c r="L1585" s="109" t="str">
        <f t="shared" si="24"/>
        <v>96-966200127</v>
      </c>
      <c r="M1585" s="114">
        <v>966200127</v>
      </c>
      <c r="N1585" s="114" t="s">
        <v>7293</v>
      </c>
    </row>
    <row r="1586" spans="1:14">
      <c r="A1586" s="21" t="s">
        <v>1863</v>
      </c>
      <c r="B1586" s="5" t="s">
        <v>2679</v>
      </c>
      <c r="I1586" s="109"/>
      <c r="J1586" s="109"/>
      <c r="K1586" s="109"/>
      <c r="L1586" s="109" t="str">
        <f t="shared" si="24"/>
        <v>95-956300028</v>
      </c>
      <c r="M1586" s="114">
        <v>956300028</v>
      </c>
      <c r="N1586" s="114" t="s">
        <v>7427</v>
      </c>
    </row>
    <row r="1587" spans="1:14">
      <c r="A1587" s="21" t="s">
        <v>2050</v>
      </c>
      <c r="B1587" s="5" t="s">
        <v>2679</v>
      </c>
      <c r="I1587" s="109"/>
      <c r="J1587" s="109"/>
      <c r="K1587" s="109"/>
      <c r="L1587" s="109" t="str">
        <f t="shared" si="24"/>
        <v>95-956300035</v>
      </c>
      <c r="M1587" s="114">
        <v>956300035</v>
      </c>
      <c r="N1587" s="114" t="s">
        <v>8069</v>
      </c>
    </row>
    <row r="1588" spans="1:14">
      <c r="A1588" s="21" t="s">
        <v>2005</v>
      </c>
      <c r="B1588" s="5" t="s">
        <v>2679</v>
      </c>
      <c r="I1588" s="109"/>
      <c r="J1588" s="109"/>
      <c r="K1588" s="109"/>
      <c r="L1588" s="109" t="str">
        <f t="shared" si="24"/>
        <v>95-956300039</v>
      </c>
      <c r="M1588" s="114">
        <v>956300039</v>
      </c>
      <c r="N1588" s="114" t="s">
        <v>7512</v>
      </c>
    </row>
    <row r="1589" spans="1:14">
      <c r="A1589" s="21" t="s">
        <v>2006</v>
      </c>
      <c r="B1589" s="5" t="s">
        <v>2679</v>
      </c>
      <c r="I1589" s="109"/>
      <c r="J1589" s="109"/>
      <c r="K1589" s="109"/>
      <c r="L1589" s="109" t="str">
        <f t="shared" si="24"/>
        <v>95-952000073</v>
      </c>
      <c r="M1589" s="114">
        <v>952000073</v>
      </c>
      <c r="N1589" s="114" t="s">
        <v>7465</v>
      </c>
    </row>
    <row r="1590" spans="1:14">
      <c r="A1590" s="21" t="s">
        <v>1915</v>
      </c>
      <c r="B1590" s="5" t="s">
        <v>2679</v>
      </c>
      <c r="I1590" s="109"/>
      <c r="J1590" s="109"/>
      <c r="K1590" s="109"/>
      <c r="L1590" s="109" t="str">
        <f t="shared" si="24"/>
        <v>95-956200348</v>
      </c>
      <c r="M1590" s="114">
        <v>956200348</v>
      </c>
      <c r="N1590" s="114" t="s">
        <v>7292</v>
      </c>
    </row>
    <row r="1591" spans="1:14">
      <c r="A1591" s="21" t="s">
        <v>1927</v>
      </c>
      <c r="B1591" s="5" t="s">
        <v>2679</v>
      </c>
      <c r="I1591" s="109"/>
      <c r="J1591" s="109"/>
      <c r="K1591" s="109"/>
      <c r="L1591" s="109" t="str">
        <f t="shared" si="24"/>
        <v>96-962000036</v>
      </c>
      <c r="M1591" s="114">
        <v>962000036</v>
      </c>
      <c r="N1591" s="114" t="s">
        <v>7112</v>
      </c>
    </row>
    <row r="1592" spans="1:14">
      <c r="A1592" s="21" t="s">
        <v>2100</v>
      </c>
      <c r="B1592" s="5" t="s">
        <v>2679</v>
      </c>
      <c r="I1592" s="109"/>
      <c r="J1592" s="109"/>
      <c r="K1592" s="109"/>
      <c r="L1592" s="109" t="str">
        <f t="shared" si="24"/>
        <v>96-961200025</v>
      </c>
      <c r="M1592" s="114">
        <v>961200025</v>
      </c>
      <c r="N1592" s="114" t="s">
        <v>7387</v>
      </c>
    </row>
    <row r="1593" spans="1:14">
      <c r="A1593" s="21" t="s">
        <v>1971</v>
      </c>
      <c r="B1593" s="5" t="s">
        <v>2679</v>
      </c>
      <c r="I1593" s="109"/>
      <c r="J1593" s="109"/>
      <c r="K1593" s="109"/>
      <c r="L1593" s="109" t="str">
        <f t="shared" si="24"/>
        <v>95-956200335</v>
      </c>
      <c r="M1593" s="114">
        <v>956200335</v>
      </c>
      <c r="N1593" s="114" t="s">
        <v>7468</v>
      </c>
    </row>
    <row r="1594" spans="1:14">
      <c r="A1594" s="21" t="s">
        <v>2059</v>
      </c>
      <c r="B1594" s="5" t="s">
        <v>2679</v>
      </c>
      <c r="I1594" s="109"/>
      <c r="J1594" s="109"/>
      <c r="K1594" s="109"/>
      <c r="L1594" s="109" t="str">
        <f t="shared" si="24"/>
        <v>95-956200356</v>
      </c>
      <c r="M1594" s="114">
        <v>956200356</v>
      </c>
      <c r="N1594" s="114" t="s">
        <v>7447</v>
      </c>
    </row>
    <row r="1595" spans="1:14">
      <c r="A1595" s="21" t="s">
        <v>2138</v>
      </c>
      <c r="B1595" s="5" t="s">
        <v>2679</v>
      </c>
      <c r="I1595" s="109"/>
      <c r="J1595" s="109"/>
      <c r="K1595" s="109"/>
      <c r="L1595" s="109" t="str">
        <f t="shared" si="24"/>
        <v>95-956200381</v>
      </c>
      <c r="M1595" s="114">
        <v>956200381</v>
      </c>
      <c r="N1595" s="114" t="s">
        <v>7393</v>
      </c>
    </row>
    <row r="1596" spans="1:14">
      <c r="A1596" s="21" t="s">
        <v>1856</v>
      </c>
      <c r="B1596" s="5" t="s">
        <v>2679</v>
      </c>
      <c r="I1596" s="109"/>
      <c r="J1596" s="109"/>
      <c r="K1596" s="109"/>
      <c r="L1596" s="109" t="str">
        <f t="shared" si="24"/>
        <v>95-956200385</v>
      </c>
      <c r="M1596" s="114">
        <v>956200385</v>
      </c>
      <c r="N1596" s="114" t="s">
        <v>7393</v>
      </c>
    </row>
    <row r="1597" spans="1:14">
      <c r="A1597" s="21" t="s">
        <v>2010</v>
      </c>
      <c r="B1597" s="5" t="s">
        <v>2679</v>
      </c>
      <c r="I1597" s="109"/>
      <c r="J1597" s="109"/>
      <c r="K1597" s="109"/>
      <c r="L1597" s="109" t="str">
        <f t="shared" si="24"/>
        <v>95-956200390</v>
      </c>
      <c r="M1597" s="114">
        <v>956200390</v>
      </c>
      <c r="N1597" s="114" t="s">
        <v>7393</v>
      </c>
    </row>
    <row r="1598" spans="1:14">
      <c r="A1598" s="21" t="s">
        <v>1966</v>
      </c>
      <c r="B1598" s="5" t="s">
        <v>2679</v>
      </c>
      <c r="I1598" s="109"/>
      <c r="J1598" s="109"/>
      <c r="K1598" s="109"/>
      <c r="L1598" s="109" t="str">
        <f t="shared" si="24"/>
        <v>95-956200403</v>
      </c>
      <c r="M1598" s="114">
        <v>956200403</v>
      </c>
      <c r="N1598" s="114" t="s">
        <v>7269</v>
      </c>
    </row>
    <row r="1599" spans="1:14">
      <c r="A1599" s="21" t="s">
        <v>2101</v>
      </c>
      <c r="B1599" s="5" t="s">
        <v>2679</v>
      </c>
      <c r="I1599" s="109"/>
      <c r="J1599" s="109"/>
      <c r="K1599" s="109"/>
      <c r="L1599" s="109" t="str">
        <f t="shared" si="24"/>
        <v>96-966200004</v>
      </c>
      <c r="M1599" s="114">
        <v>966200004</v>
      </c>
      <c r="N1599" s="114" t="s">
        <v>7475</v>
      </c>
    </row>
    <row r="1600" spans="1:14">
      <c r="A1600" s="21" t="s">
        <v>2106</v>
      </c>
      <c r="B1600" s="5" t="s">
        <v>2679</v>
      </c>
      <c r="I1600" s="109"/>
      <c r="J1600" s="109"/>
      <c r="K1600" s="109"/>
      <c r="L1600" s="109" t="str">
        <f t="shared" si="24"/>
        <v>96-966200084</v>
      </c>
      <c r="M1600" s="114">
        <v>966200084</v>
      </c>
      <c r="N1600" s="114" t="s">
        <v>7476</v>
      </c>
    </row>
    <row r="1601" spans="1:14">
      <c r="A1601" s="21" t="s">
        <v>2058</v>
      </c>
      <c r="B1601" s="5" t="s">
        <v>2679</v>
      </c>
      <c r="I1601" s="109"/>
      <c r="J1601" s="109"/>
      <c r="K1601" s="109"/>
      <c r="L1601" s="109" t="str">
        <f t="shared" si="24"/>
        <v>96-966200085</v>
      </c>
      <c r="M1601" s="114">
        <v>966200085</v>
      </c>
      <c r="N1601" s="114" t="s">
        <v>7476</v>
      </c>
    </row>
    <row r="1602" spans="1:14">
      <c r="A1602" s="21" t="s">
        <v>2084</v>
      </c>
      <c r="B1602" s="5" t="s">
        <v>2679</v>
      </c>
      <c r="I1602" s="109"/>
      <c r="J1602" s="109"/>
      <c r="K1602" s="109"/>
      <c r="L1602" s="109" t="str">
        <f t="shared" si="24"/>
        <v>96-966200087</v>
      </c>
      <c r="M1602" s="114">
        <v>966200087</v>
      </c>
      <c r="N1602" s="114" t="s">
        <v>7476</v>
      </c>
    </row>
    <row r="1603" spans="1:14">
      <c r="A1603" s="21" t="s">
        <v>1960</v>
      </c>
      <c r="B1603" s="5" t="s">
        <v>2679</v>
      </c>
      <c r="I1603" s="109"/>
      <c r="J1603" s="109"/>
      <c r="K1603" s="109"/>
      <c r="L1603" s="109" t="str">
        <f t="shared" ref="L1603:L1666" si="25">MID(M1603,1,2)&amp;"-"&amp;M1603</f>
        <v>96-966200112</v>
      </c>
      <c r="M1603" s="114">
        <v>966200112</v>
      </c>
      <c r="N1603" s="114" t="s">
        <v>7477</v>
      </c>
    </row>
    <row r="1604" spans="1:14">
      <c r="A1604" s="21" t="s">
        <v>2061</v>
      </c>
      <c r="B1604" s="5" t="s">
        <v>2679</v>
      </c>
      <c r="I1604" s="109"/>
      <c r="J1604" s="109"/>
      <c r="K1604" s="109"/>
      <c r="L1604" s="109" t="str">
        <f t="shared" si="25"/>
        <v>96-966200213</v>
      </c>
      <c r="M1604" s="114">
        <v>966200213</v>
      </c>
      <c r="N1604" s="114" t="s">
        <v>7478</v>
      </c>
    </row>
    <row r="1605" spans="1:14">
      <c r="A1605" s="21" t="s">
        <v>1993</v>
      </c>
      <c r="B1605" s="5" t="s">
        <v>2679</v>
      </c>
      <c r="I1605" s="109"/>
      <c r="J1605" s="109"/>
      <c r="K1605" s="109"/>
      <c r="L1605" s="109" t="str">
        <f t="shared" si="25"/>
        <v>96-966200216</v>
      </c>
      <c r="M1605" s="114">
        <v>966200216</v>
      </c>
      <c r="N1605" s="114" t="s">
        <v>7479</v>
      </c>
    </row>
    <row r="1606" spans="1:14">
      <c r="A1606" s="21" t="s">
        <v>1955</v>
      </c>
      <c r="B1606" s="5" t="s">
        <v>2679</v>
      </c>
      <c r="I1606" s="109"/>
      <c r="J1606" s="109"/>
      <c r="K1606" s="109"/>
      <c r="L1606" s="109" t="str">
        <f t="shared" si="25"/>
        <v>96-962000222</v>
      </c>
      <c r="M1606" s="114">
        <v>962000222</v>
      </c>
      <c r="N1606" s="114" t="s">
        <v>7112</v>
      </c>
    </row>
    <row r="1607" spans="1:14">
      <c r="A1607" s="21" t="s">
        <v>2324</v>
      </c>
      <c r="B1607" s="5" t="s">
        <v>2679</v>
      </c>
      <c r="I1607" s="109"/>
      <c r="J1607" s="109"/>
      <c r="K1607" s="109"/>
      <c r="L1607" s="109" t="str">
        <f t="shared" si="25"/>
        <v>95-952000184</v>
      </c>
      <c r="M1607" s="114">
        <v>952000184</v>
      </c>
      <c r="N1607" s="114" t="s">
        <v>7392</v>
      </c>
    </row>
    <row r="1608" spans="1:14">
      <c r="A1608" s="21" t="s">
        <v>1981</v>
      </c>
      <c r="B1608" s="5" t="s">
        <v>2679</v>
      </c>
      <c r="I1608" s="109"/>
      <c r="J1608" s="109"/>
      <c r="K1608" s="109"/>
      <c r="L1608" s="109" t="str">
        <f t="shared" si="25"/>
        <v>95-952000322</v>
      </c>
      <c r="M1608" s="114">
        <v>952000322</v>
      </c>
      <c r="N1608" s="114" t="s">
        <v>7420</v>
      </c>
    </row>
    <row r="1609" spans="1:14">
      <c r="A1609" s="21" t="s">
        <v>1946</v>
      </c>
      <c r="B1609" s="5" t="s">
        <v>2679</v>
      </c>
      <c r="I1609" s="109"/>
      <c r="J1609" s="109"/>
      <c r="K1609" s="109"/>
      <c r="L1609" s="109" t="str">
        <f t="shared" si="25"/>
        <v>96-962000210</v>
      </c>
      <c r="M1609" s="114">
        <v>962000210</v>
      </c>
      <c r="N1609" s="114" t="s">
        <v>7112</v>
      </c>
    </row>
    <row r="1610" spans="1:14">
      <c r="A1610" s="21" t="s">
        <v>1975</v>
      </c>
      <c r="B1610" s="5" t="s">
        <v>2679</v>
      </c>
      <c r="I1610" s="109"/>
      <c r="J1610" s="109"/>
      <c r="K1610" s="109"/>
      <c r="L1610" s="109" t="str">
        <f t="shared" si="25"/>
        <v>95-956300005</v>
      </c>
      <c r="M1610" s="114">
        <v>956300005</v>
      </c>
      <c r="N1610" s="114" t="s">
        <v>8070</v>
      </c>
    </row>
    <row r="1611" spans="1:14">
      <c r="A1611" s="21" t="s">
        <v>2011</v>
      </c>
      <c r="B1611" s="5" t="s">
        <v>2679</v>
      </c>
      <c r="I1611" s="109"/>
      <c r="J1611" s="109"/>
      <c r="K1611" s="109"/>
      <c r="L1611" s="109" t="str">
        <f t="shared" si="25"/>
        <v>95-956200123</v>
      </c>
      <c r="M1611" s="114">
        <v>956200123</v>
      </c>
      <c r="N1611" s="114" t="s">
        <v>7464</v>
      </c>
    </row>
    <row r="1612" spans="1:14">
      <c r="A1612" s="21" t="s">
        <v>2097</v>
      </c>
      <c r="B1612" s="5" t="s">
        <v>2679</v>
      </c>
      <c r="I1612" s="109"/>
      <c r="J1612" s="109"/>
      <c r="K1612" s="109"/>
      <c r="L1612" s="109" t="str">
        <f t="shared" si="25"/>
        <v>95-956200316</v>
      </c>
      <c r="M1612" s="114">
        <v>956200316</v>
      </c>
      <c r="N1612" s="114" t="s">
        <v>7436</v>
      </c>
    </row>
    <row r="1613" spans="1:14">
      <c r="A1613" s="21" t="s">
        <v>1978</v>
      </c>
      <c r="B1613" s="5" t="s">
        <v>2679</v>
      </c>
      <c r="I1613" s="109"/>
      <c r="J1613" s="109"/>
      <c r="K1613" s="109"/>
      <c r="L1613" s="109" t="str">
        <f t="shared" si="25"/>
        <v>95-956200124</v>
      </c>
      <c r="M1613" s="114">
        <v>956200124</v>
      </c>
      <c r="N1613" s="114" t="s">
        <v>7359</v>
      </c>
    </row>
    <row r="1614" spans="1:14">
      <c r="A1614" s="21" t="s">
        <v>1948</v>
      </c>
      <c r="B1614" s="5" t="s">
        <v>2679</v>
      </c>
      <c r="I1614" s="109"/>
      <c r="J1614" s="109"/>
      <c r="K1614" s="109"/>
      <c r="L1614" s="109" t="str">
        <f t="shared" si="25"/>
        <v>95-956200125</v>
      </c>
      <c r="M1614" s="114">
        <v>956200125</v>
      </c>
      <c r="N1614" s="114" t="s">
        <v>7390</v>
      </c>
    </row>
    <row r="1615" spans="1:14">
      <c r="A1615" s="21" t="s">
        <v>2087</v>
      </c>
      <c r="B1615" s="5" t="s">
        <v>2679</v>
      </c>
      <c r="I1615" s="109"/>
      <c r="J1615" s="109"/>
      <c r="K1615" s="109"/>
      <c r="L1615" s="109" t="str">
        <f t="shared" si="25"/>
        <v>95-956200127</v>
      </c>
      <c r="M1615" s="114">
        <v>956200127</v>
      </c>
      <c r="N1615" s="114" t="s">
        <v>7390</v>
      </c>
    </row>
    <row r="1616" spans="1:14">
      <c r="A1616" s="21" t="s">
        <v>2321</v>
      </c>
      <c r="B1616" s="5" t="s">
        <v>2679</v>
      </c>
      <c r="I1616" s="109"/>
      <c r="J1616" s="109"/>
      <c r="K1616" s="109"/>
      <c r="L1616" s="109" t="str">
        <f t="shared" si="25"/>
        <v>95-956200172</v>
      </c>
      <c r="M1616" s="114">
        <v>956200172</v>
      </c>
      <c r="N1616" s="114" t="s">
        <v>7369</v>
      </c>
    </row>
    <row r="1617" spans="1:14">
      <c r="A1617" s="21" t="s">
        <v>2012</v>
      </c>
      <c r="B1617" s="5" t="s">
        <v>2679</v>
      </c>
      <c r="I1617" s="109"/>
      <c r="J1617" s="109"/>
      <c r="K1617" s="109"/>
      <c r="L1617" s="109" t="str">
        <f t="shared" si="25"/>
        <v>95-956200210</v>
      </c>
      <c r="M1617" s="114">
        <v>956200210</v>
      </c>
      <c r="N1617" s="114" t="s">
        <v>7357</v>
      </c>
    </row>
    <row r="1618" spans="1:14">
      <c r="A1618" s="21" t="s">
        <v>1939</v>
      </c>
      <c r="B1618" s="5" t="s">
        <v>2679</v>
      </c>
      <c r="I1618" s="109"/>
      <c r="J1618" s="109"/>
      <c r="K1618" s="109"/>
      <c r="L1618" s="109" t="str">
        <f t="shared" si="25"/>
        <v>95-956200355</v>
      </c>
      <c r="M1618" s="114">
        <v>956200355</v>
      </c>
      <c r="N1618" s="114" t="s">
        <v>7447</v>
      </c>
    </row>
    <row r="1619" spans="1:14">
      <c r="A1619" s="21" t="s">
        <v>2096</v>
      </c>
      <c r="B1619" s="5" t="s">
        <v>2679</v>
      </c>
      <c r="I1619" s="109"/>
      <c r="J1619" s="109"/>
      <c r="K1619" s="109"/>
      <c r="L1619" s="109" t="str">
        <f t="shared" si="25"/>
        <v>96-961200078</v>
      </c>
      <c r="M1619" s="114">
        <v>961200078</v>
      </c>
      <c r="N1619" s="114" t="s">
        <v>7117</v>
      </c>
    </row>
    <row r="1620" spans="1:14">
      <c r="A1620" s="21" t="s">
        <v>2102</v>
      </c>
      <c r="B1620" s="5" t="s">
        <v>2679</v>
      </c>
      <c r="I1620" s="109"/>
      <c r="J1620" s="109"/>
      <c r="K1620" s="109"/>
      <c r="L1620" s="109" t="str">
        <f t="shared" si="25"/>
        <v>96-966200234</v>
      </c>
      <c r="M1620" s="114">
        <v>966200234</v>
      </c>
      <c r="N1620" s="114" t="s">
        <v>7442</v>
      </c>
    </row>
    <row r="1621" spans="1:14">
      <c r="A1621" s="21" t="s">
        <v>2095</v>
      </c>
      <c r="B1621" s="5" t="s">
        <v>2679</v>
      </c>
      <c r="I1621" s="109"/>
      <c r="J1621" s="109"/>
      <c r="K1621" s="109"/>
      <c r="L1621" s="109" t="str">
        <f t="shared" si="25"/>
        <v>96-962000100</v>
      </c>
      <c r="M1621" s="114">
        <v>962000100</v>
      </c>
      <c r="N1621" s="114" t="s">
        <v>7112</v>
      </c>
    </row>
    <row r="1622" spans="1:14">
      <c r="A1622" s="21" t="s">
        <v>2051</v>
      </c>
      <c r="B1622" s="5" t="s">
        <v>2679</v>
      </c>
      <c r="I1622" s="109"/>
      <c r="J1622" s="109"/>
      <c r="K1622" s="109"/>
      <c r="L1622" s="109" t="str">
        <f t="shared" si="25"/>
        <v>96-962000116</v>
      </c>
      <c r="M1622" s="114">
        <v>962000116</v>
      </c>
      <c r="N1622" s="114" t="s">
        <v>7112</v>
      </c>
    </row>
    <row r="1623" spans="1:14">
      <c r="A1623" s="21" t="s">
        <v>1964</v>
      </c>
      <c r="B1623" s="5" t="s">
        <v>2679</v>
      </c>
      <c r="I1623" s="109"/>
      <c r="J1623" s="109"/>
      <c r="K1623" s="109"/>
      <c r="L1623" s="109" t="str">
        <f t="shared" si="25"/>
        <v>96-962000154</v>
      </c>
      <c r="M1623" s="114">
        <v>962000154</v>
      </c>
      <c r="N1623" s="114" t="s">
        <v>7112</v>
      </c>
    </row>
    <row r="1624" spans="1:14">
      <c r="A1624" s="21" t="s">
        <v>2099</v>
      </c>
      <c r="B1624" s="5" t="s">
        <v>2679</v>
      </c>
      <c r="I1624" s="109"/>
      <c r="J1624" s="109"/>
      <c r="K1624" s="109"/>
      <c r="L1624" s="109" t="str">
        <f t="shared" si="25"/>
        <v>96-962000155</v>
      </c>
      <c r="M1624" s="114">
        <v>962000155</v>
      </c>
      <c r="N1624" s="114" t="s">
        <v>7112</v>
      </c>
    </row>
    <row r="1625" spans="1:14">
      <c r="A1625" s="21" t="s">
        <v>1987</v>
      </c>
      <c r="B1625" s="5" t="s">
        <v>2679</v>
      </c>
      <c r="I1625" s="109"/>
      <c r="J1625" s="109"/>
      <c r="K1625" s="109"/>
      <c r="L1625" s="109" t="str">
        <f t="shared" si="25"/>
        <v>96-962000156</v>
      </c>
      <c r="M1625" s="114">
        <v>962000156</v>
      </c>
      <c r="N1625" s="114" t="s">
        <v>7112</v>
      </c>
    </row>
    <row r="1626" spans="1:14">
      <c r="A1626" s="21" t="s">
        <v>2098</v>
      </c>
      <c r="B1626" s="5" t="s">
        <v>2679</v>
      </c>
      <c r="I1626" s="109"/>
      <c r="J1626" s="109"/>
      <c r="K1626" s="109"/>
      <c r="L1626" s="109" t="str">
        <f t="shared" si="25"/>
        <v>96-962000158</v>
      </c>
      <c r="M1626" s="114">
        <v>962000158</v>
      </c>
      <c r="N1626" s="114" t="s">
        <v>7112</v>
      </c>
    </row>
    <row r="1627" spans="1:14">
      <c r="A1627" s="21" t="s">
        <v>2018</v>
      </c>
      <c r="B1627" s="5" t="s">
        <v>2679</v>
      </c>
      <c r="I1627" s="109"/>
      <c r="J1627" s="109"/>
      <c r="K1627" s="109"/>
      <c r="L1627" s="109" t="str">
        <f t="shared" si="25"/>
        <v>96-962000165</v>
      </c>
      <c r="M1627" s="114">
        <v>962000165</v>
      </c>
      <c r="N1627" s="114" t="s">
        <v>7112</v>
      </c>
    </row>
    <row r="1628" spans="1:14">
      <c r="A1628" s="21" t="s">
        <v>2678</v>
      </c>
      <c r="B1628" s="5" t="s">
        <v>2679</v>
      </c>
      <c r="I1628" s="109"/>
      <c r="J1628" s="109"/>
      <c r="K1628" s="109"/>
      <c r="L1628" s="109" t="str">
        <f t="shared" si="25"/>
        <v>96-962000171</v>
      </c>
      <c r="M1628" s="114">
        <v>962000171</v>
      </c>
      <c r="N1628" s="114" t="s">
        <v>7112</v>
      </c>
    </row>
    <row r="1629" spans="1:14">
      <c r="A1629" s="21" t="s">
        <v>2066</v>
      </c>
      <c r="B1629" s="5" t="s">
        <v>2679</v>
      </c>
      <c r="I1629" s="109"/>
      <c r="J1629" s="109"/>
      <c r="K1629" s="109"/>
      <c r="L1629" s="109" t="str">
        <f t="shared" si="25"/>
        <v>96-962000186</v>
      </c>
      <c r="M1629" s="114">
        <v>962000186</v>
      </c>
      <c r="N1629" s="114" t="s">
        <v>7112</v>
      </c>
    </row>
    <row r="1630" spans="1:14">
      <c r="A1630" s="21" t="s">
        <v>1989</v>
      </c>
      <c r="B1630" s="5" t="s">
        <v>2679</v>
      </c>
      <c r="I1630" s="109"/>
      <c r="J1630" s="109"/>
      <c r="K1630" s="109"/>
      <c r="L1630" s="109" t="str">
        <f t="shared" si="25"/>
        <v>96-966200293</v>
      </c>
      <c r="M1630" s="114">
        <v>966200293</v>
      </c>
      <c r="N1630" s="114" t="s">
        <v>7130</v>
      </c>
    </row>
    <row r="1631" spans="1:14">
      <c r="A1631" s="21" t="s">
        <v>1982</v>
      </c>
      <c r="B1631" s="5" t="s">
        <v>2679</v>
      </c>
      <c r="I1631" s="109"/>
      <c r="J1631" s="109"/>
      <c r="K1631" s="109"/>
      <c r="L1631" s="109" t="str">
        <f t="shared" si="25"/>
        <v>95-956200387</v>
      </c>
      <c r="M1631" s="114">
        <v>956200387</v>
      </c>
      <c r="N1631" s="114" t="s">
        <v>7393</v>
      </c>
    </row>
    <row r="1632" spans="1:14">
      <c r="A1632" s="21" t="s">
        <v>2030</v>
      </c>
      <c r="B1632" s="5" t="s">
        <v>2679</v>
      </c>
      <c r="I1632" s="109"/>
      <c r="J1632" s="109"/>
      <c r="K1632" s="109"/>
      <c r="L1632" s="109" t="str">
        <f t="shared" si="25"/>
        <v>95-956200404</v>
      </c>
      <c r="M1632" s="114">
        <v>956200404</v>
      </c>
      <c r="N1632" s="114" t="s">
        <v>7269</v>
      </c>
    </row>
    <row r="1633" spans="1:14">
      <c r="A1633" s="21" t="s">
        <v>1990</v>
      </c>
      <c r="B1633" s="5" t="s">
        <v>2679</v>
      </c>
      <c r="I1633" s="109"/>
      <c r="J1633" s="109"/>
      <c r="K1633" s="109"/>
      <c r="L1633" s="109" t="str">
        <f t="shared" si="25"/>
        <v>95-956200433</v>
      </c>
      <c r="M1633" s="114">
        <v>956200433</v>
      </c>
      <c r="N1633" s="114" t="s">
        <v>7423</v>
      </c>
    </row>
    <row r="1634" spans="1:14">
      <c r="A1634" s="21" t="s">
        <v>1985</v>
      </c>
      <c r="B1634" s="5" t="s">
        <v>2679</v>
      </c>
      <c r="I1634" s="109"/>
      <c r="J1634" s="109"/>
      <c r="K1634" s="109"/>
      <c r="L1634" s="109" t="str">
        <f t="shared" si="25"/>
        <v>95-956200427</v>
      </c>
      <c r="M1634" s="114">
        <v>956200427</v>
      </c>
      <c r="N1634" s="114" t="s">
        <v>7419</v>
      </c>
    </row>
    <row r="1635" spans="1:14">
      <c r="A1635" s="21" t="s">
        <v>2022</v>
      </c>
      <c r="B1635" s="5" t="s">
        <v>2679</v>
      </c>
      <c r="I1635" s="109"/>
      <c r="J1635" s="109"/>
      <c r="K1635" s="109"/>
      <c r="L1635" s="109" t="str">
        <f t="shared" si="25"/>
        <v>96-966200037</v>
      </c>
      <c r="M1635" s="114">
        <v>966200037</v>
      </c>
      <c r="N1635" s="114" t="s">
        <v>7288</v>
      </c>
    </row>
    <row r="1636" spans="1:14">
      <c r="A1636" s="21" t="s">
        <v>2114</v>
      </c>
      <c r="B1636" s="5" t="s">
        <v>2679</v>
      </c>
      <c r="I1636" s="109"/>
      <c r="J1636" s="109"/>
      <c r="K1636" s="109"/>
      <c r="L1636" s="109" t="str">
        <f t="shared" si="25"/>
        <v>96-966200298</v>
      </c>
      <c r="M1636" s="114">
        <v>966200298</v>
      </c>
      <c r="N1636" s="114" t="s">
        <v>7119</v>
      </c>
    </row>
    <row r="1637" spans="1:14">
      <c r="A1637" s="21" t="s">
        <v>2088</v>
      </c>
      <c r="B1637" s="5" t="s">
        <v>2679</v>
      </c>
      <c r="I1637" s="109"/>
      <c r="J1637" s="109"/>
      <c r="K1637" s="109"/>
      <c r="L1637" s="109" t="str">
        <f t="shared" si="25"/>
        <v>96-966200036</v>
      </c>
      <c r="M1637" s="114">
        <v>966200036</v>
      </c>
      <c r="N1637" s="114" t="s">
        <v>7288</v>
      </c>
    </row>
    <row r="1638" spans="1:14">
      <c r="A1638" s="21" t="s">
        <v>2124</v>
      </c>
      <c r="B1638" s="5" t="s">
        <v>2679</v>
      </c>
      <c r="I1638" s="109"/>
      <c r="J1638" s="109"/>
      <c r="K1638" s="109"/>
      <c r="L1638" s="109" t="str">
        <f t="shared" si="25"/>
        <v>96-966200031</v>
      </c>
      <c r="M1638" s="114">
        <v>966200031</v>
      </c>
      <c r="N1638" s="114" t="s">
        <v>7288</v>
      </c>
    </row>
    <row r="1639" spans="1:14">
      <c r="A1639" s="21" t="s">
        <v>2031</v>
      </c>
      <c r="B1639" s="5" t="s">
        <v>2679</v>
      </c>
      <c r="I1639" s="109"/>
      <c r="J1639" s="109"/>
      <c r="K1639" s="109"/>
      <c r="L1639" s="109" t="str">
        <f t="shared" si="25"/>
        <v>96-961100010</v>
      </c>
      <c r="M1639" s="114">
        <v>961100010</v>
      </c>
      <c r="N1639" s="114" t="s">
        <v>8071</v>
      </c>
    </row>
    <row r="1640" spans="1:14">
      <c r="A1640" s="21" t="s">
        <v>1930</v>
      </c>
      <c r="B1640" s="5" t="s">
        <v>2679</v>
      </c>
      <c r="I1640" s="109"/>
      <c r="J1640" s="109"/>
      <c r="K1640" s="109"/>
      <c r="L1640" s="109" t="str">
        <f t="shared" si="25"/>
        <v>96-961100013</v>
      </c>
      <c r="M1640" s="114">
        <v>961100013</v>
      </c>
      <c r="N1640" s="114" t="s">
        <v>8072</v>
      </c>
    </row>
    <row r="1641" spans="1:14">
      <c r="A1641" s="21" t="s">
        <v>2023</v>
      </c>
      <c r="B1641" s="5" t="s">
        <v>2679</v>
      </c>
      <c r="I1641" s="109"/>
      <c r="J1641" s="109"/>
      <c r="K1641" s="109"/>
      <c r="L1641" s="109" t="str">
        <f t="shared" si="25"/>
        <v>96-966200089</v>
      </c>
      <c r="M1641" s="114">
        <v>966200089</v>
      </c>
      <c r="N1641" s="114" t="s">
        <v>7476</v>
      </c>
    </row>
    <row r="1642" spans="1:14">
      <c r="A1642" s="21" t="s">
        <v>2032</v>
      </c>
      <c r="B1642" s="5" t="s">
        <v>2679</v>
      </c>
      <c r="I1642" s="109"/>
      <c r="J1642" s="109"/>
      <c r="K1642" s="109"/>
      <c r="L1642" s="109" t="str">
        <f t="shared" si="25"/>
        <v>96-966200203</v>
      </c>
      <c r="M1642" s="114">
        <v>966200203</v>
      </c>
      <c r="N1642" s="114" t="s">
        <v>7120</v>
      </c>
    </row>
    <row r="1643" spans="1:14">
      <c r="A1643" s="21" t="s">
        <v>2069</v>
      </c>
      <c r="B1643" s="5" t="s">
        <v>2679</v>
      </c>
      <c r="I1643" s="109"/>
      <c r="J1643" s="109"/>
      <c r="K1643" s="109"/>
      <c r="L1643" s="109" t="str">
        <f t="shared" si="25"/>
        <v>96-966200206</v>
      </c>
      <c r="M1643" s="114">
        <v>966200206</v>
      </c>
      <c r="N1643" s="114" t="s">
        <v>7120</v>
      </c>
    </row>
    <row r="1644" spans="1:14">
      <c r="A1644" s="21" t="s">
        <v>2071</v>
      </c>
      <c r="B1644" s="5" t="s">
        <v>2679</v>
      </c>
      <c r="I1644" s="109"/>
      <c r="J1644" s="109"/>
      <c r="K1644" s="109"/>
      <c r="L1644" s="109" t="str">
        <f t="shared" si="25"/>
        <v>95-951100010</v>
      </c>
      <c r="M1644" s="114">
        <v>951100010</v>
      </c>
      <c r="N1644" s="114" t="s">
        <v>7389</v>
      </c>
    </row>
    <row r="1645" spans="1:14" ht="18">
      <c r="A1645" s="8" t="s">
        <v>992</v>
      </c>
      <c r="B1645" s="5" t="s">
        <v>2681</v>
      </c>
      <c r="I1645" s="109"/>
      <c r="J1645" s="109"/>
      <c r="K1645" s="109"/>
      <c r="L1645" s="109" t="str">
        <f t="shared" si="25"/>
        <v>95-954100005</v>
      </c>
      <c r="M1645" s="114">
        <v>954100005</v>
      </c>
      <c r="N1645" s="114" t="s">
        <v>5615</v>
      </c>
    </row>
    <row r="1646" spans="1:14" ht="18">
      <c r="A1646" s="8" t="s">
        <v>1253</v>
      </c>
      <c r="B1646" s="5" t="s">
        <v>2681</v>
      </c>
      <c r="I1646" s="109"/>
      <c r="J1646" s="109"/>
      <c r="K1646" s="109"/>
      <c r="L1646" s="109" t="str">
        <f t="shared" si="25"/>
        <v>95-954100044</v>
      </c>
      <c r="M1646" s="114">
        <v>954100044</v>
      </c>
      <c r="N1646" s="114" t="s">
        <v>5761</v>
      </c>
    </row>
    <row r="1647" spans="1:14" ht="18">
      <c r="A1647" s="8" t="s">
        <v>1039</v>
      </c>
      <c r="B1647" s="5" t="s">
        <v>2681</v>
      </c>
      <c r="I1647" s="109"/>
      <c r="J1647" s="109"/>
      <c r="K1647" s="109"/>
      <c r="L1647" s="109" t="str">
        <f t="shared" si="25"/>
        <v>96-964100005</v>
      </c>
      <c r="M1647" s="114">
        <v>964100005</v>
      </c>
      <c r="N1647" s="114" t="s">
        <v>5761</v>
      </c>
    </row>
    <row r="1648" spans="1:14" ht="18">
      <c r="A1648" s="8" t="s">
        <v>965</v>
      </c>
      <c r="B1648" s="5" t="s">
        <v>2681</v>
      </c>
      <c r="I1648" s="109"/>
      <c r="J1648" s="109"/>
      <c r="K1648" s="109"/>
      <c r="L1648" s="109" t="str">
        <f t="shared" si="25"/>
        <v>96-964100026</v>
      </c>
      <c r="M1648" s="114">
        <v>964100026</v>
      </c>
      <c r="N1648" s="114" t="s">
        <v>5809</v>
      </c>
    </row>
    <row r="1649" spans="1:14" ht="18">
      <c r="A1649" s="8" t="s">
        <v>1027</v>
      </c>
      <c r="B1649" s="5" t="s">
        <v>2681</v>
      </c>
      <c r="I1649" s="109"/>
      <c r="J1649" s="109"/>
      <c r="K1649" s="109"/>
      <c r="L1649" s="109" t="str">
        <f t="shared" si="25"/>
        <v>96-964100029</v>
      </c>
      <c r="M1649" s="114">
        <v>964100029</v>
      </c>
      <c r="N1649" s="114" t="s">
        <v>5817</v>
      </c>
    </row>
    <row r="1650" spans="1:14" ht="18">
      <c r="A1650" s="8" t="s">
        <v>1028</v>
      </c>
      <c r="B1650" s="5" t="s">
        <v>2681</v>
      </c>
      <c r="I1650" s="109"/>
      <c r="J1650" s="109"/>
      <c r="K1650" s="109"/>
      <c r="L1650" s="109" t="str">
        <f t="shared" si="25"/>
        <v>96-964100060</v>
      </c>
      <c r="M1650" s="114">
        <v>964100060</v>
      </c>
      <c r="N1650" s="114" t="s">
        <v>7144</v>
      </c>
    </row>
    <row r="1651" spans="1:14" ht="18">
      <c r="A1651" s="8" t="s">
        <v>1016</v>
      </c>
      <c r="B1651" s="5" t="s">
        <v>2681</v>
      </c>
      <c r="I1651" s="109"/>
      <c r="J1651" s="109"/>
      <c r="K1651" s="109"/>
      <c r="L1651" s="109" t="str">
        <f t="shared" si="25"/>
        <v>96-964300002</v>
      </c>
      <c r="M1651" s="114">
        <v>964300002</v>
      </c>
      <c r="N1651" s="114" t="s">
        <v>7483</v>
      </c>
    </row>
    <row r="1652" spans="1:14" ht="18">
      <c r="A1652" s="8" t="s">
        <v>999</v>
      </c>
      <c r="B1652" s="5" t="s">
        <v>2681</v>
      </c>
      <c r="I1652" s="109"/>
      <c r="J1652" s="109"/>
      <c r="K1652" s="109"/>
      <c r="L1652" s="109" t="str">
        <f t="shared" si="25"/>
        <v>96-964300006</v>
      </c>
      <c r="M1652" s="114">
        <v>964300006</v>
      </c>
      <c r="N1652" s="114" t="s">
        <v>7484</v>
      </c>
    </row>
    <row r="1653" spans="1:14" ht="18">
      <c r="A1653" s="8" t="s">
        <v>1217</v>
      </c>
      <c r="B1653" s="5" t="s">
        <v>2681</v>
      </c>
      <c r="I1653" s="109"/>
      <c r="J1653" s="109"/>
      <c r="K1653" s="109"/>
      <c r="L1653" s="109" t="str">
        <f t="shared" si="25"/>
        <v>96-964300013</v>
      </c>
      <c r="M1653" s="114">
        <v>964300013</v>
      </c>
      <c r="N1653" s="114" t="s">
        <v>7125</v>
      </c>
    </row>
    <row r="1654" spans="1:14" ht="18">
      <c r="A1654" s="8" t="s">
        <v>1219</v>
      </c>
      <c r="B1654" s="5" t="s">
        <v>2681</v>
      </c>
      <c r="I1654" s="109"/>
      <c r="J1654" s="109"/>
      <c r="K1654" s="109"/>
      <c r="L1654" s="109" t="str">
        <f t="shared" si="25"/>
        <v>96-966200092</v>
      </c>
      <c r="M1654" s="114">
        <v>966200092</v>
      </c>
      <c r="N1654" s="114" t="s">
        <v>7476</v>
      </c>
    </row>
    <row r="1655" spans="1:14" ht="18">
      <c r="A1655" s="8" t="s">
        <v>973</v>
      </c>
      <c r="B1655" s="5" t="s">
        <v>2681</v>
      </c>
      <c r="I1655" s="109"/>
      <c r="J1655" s="109"/>
      <c r="K1655" s="109"/>
      <c r="L1655" s="109" t="str">
        <f t="shared" si="25"/>
        <v>96-966200096</v>
      </c>
      <c r="M1655" s="114">
        <v>966200096</v>
      </c>
      <c r="N1655" s="114" t="s">
        <v>7476</v>
      </c>
    </row>
    <row r="1656" spans="1:14" ht="18">
      <c r="A1656" s="8" t="s">
        <v>1015</v>
      </c>
      <c r="B1656" s="5" t="s">
        <v>2681</v>
      </c>
      <c r="I1656" s="109"/>
      <c r="J1656" s="109"/>
      <c r="K1656" s="109"/>
      <c r="L1656" s="109" t="str">
        <f t="shared" si="25"/>
        <v>96-966200179</v>
      </c>
      <c r="M1656" s="114">
        <v>966200179</v>
      </c>
      <c r="N1656" s="114" t="s">
        <v>7363</v>
      </c>
    </row>
    <row r="1657" spans="1:14" ht="18">
      <c r="A1657" s="8" t="s">
        <v>993</v>
      </c>
      <c r="B1657" s="5" t="s">
        <v>2681</v>
      </c>
      <c r="I1657" s="109"/>
      <c r="J1657" s="109"/>
      <c r="K1657" s="109"/>
      <c r="L1657" s="109" t="str">
        <f t="shared" si="25"/>
        <v>96-966200146</v>
      </c>
      <c r="M1657" s="114">
        <v>966200146</v>
      </c>
      <c r="N1657" s="114" t="s">
        <v>7343</v>
      </c>
    </row>
    <row r="1658" spans="1:14" ht="18">
      <c r="A1658" s="8" t="s">
        <v>1252</v>
      </c>
      <c r="B1658" s="5" t="s">
        <v>2681</v>
      </c>
      <c r="I1658" s="109"/>
      <c r="J1658" s="109"/>
      <c r="K1658" s="109"/>
      <c r="L1658" s="109" t="str">
        <f t="shared" si="25"/>
        <v>96-966200297</v>
      </c>
      <c r="M1658" s="114">
        <v>966200297</v>
      </c>
      <c r="N1658" s="114" t="s">
        <v>7119</v>
      </c>
    </row>
    <row r="1659" spans="1:14" ht="18">
      <c r="A1659" s="8" t="s">
        <v>1005</v>
      </c>
      <c r="B1659" s="5" t="s">
        <v>2681</v>
      </c>
      <c r="I1659" s="109"/>
      <c r="J1659" s="109"/>
      <c r="K1659" s="109"/>
      <c r="L1659" s="109" t="str">
        <f t="shared" si="25"/>
        <v>96-962000118</v>
      </c>
      <c r="M1659" s="114">
        <v>962000118</v>
      </c>
      <c r="N1659" s="114" t="s">
        <v>7112</v>
      </c>
    </row>
    <row r="1660" spans="1:14" ht="18">
      <c r="A1660" s="8" t="s">
        <v>908</v>
      </c>
      <c r="B1660" s="5" t="s">
        <v>2681</v>
      </c>
      <c r="I1660" s="109"/>
      <c r="J1660" s="109"/>
      <c r="K1660" s="109"/>
      <c r="L1660" s="109" t="str">
        <f t="shared" si="25"/>
        <v>96-962000135</v>
      </c>
      <c r="M1660" s="114">
        <v>962000135</v>
      </c>
      <c r="N1660" s="114" t="s">
        <v>7112</v>
      </c>
    </row>
    <row r="1661" spans="1:14" ht="18">
      <c r="A1661" s="8" t="s">
        <v>1007</v>
      </c>
      <c r="B1661" s="5" t="s">
        <v>2681</v>
      </c>
      <c r="I1661" s="109"/>
      <c r="J1661" s="109"/>
      <c r="K1661" s="109"/>
      <c r="L1661" s="109" t="str">
        <f t="shared" si="25"/>
        <v>96-962000175</v>
      </c>
      <c r="M1661" s="114">
        <v>962000175</v>
      </c>
      <c r="N1661" s="114" t="s">
        <v>7112</v>
      </c>
    </row>
    <row r="1662" spans="1:14" ht="18">
      <c r="A1662" s="8" t="s">
        <v>1006</v>
      </c>
      <c r="B1662" s="5" t="s">
        <v>2681</v>
      </c>
      <c r="I1662" s="109"/>
      <c r="J1662" s="109"/>
      <c r="K1662" s="109"/>
      <c r="L1662" s="109" t="str">
        <f t="shared" si="25"/>
        <v>96-962000181</v>
      </c>
      <c r="M1662" s="114">
        <v>962000181</v>
      </c>
      <c r="N1662" s="114" t="s">
        <v>7112</v>
      </c>
    </row>
    <row r="1663" spans="1:14" ht="18">
      <c r="A1663" s="8" t="s">
        <v>972</v>
      </c>
      <c r="B1663" s="5" t="s">
        <v>2681</v>
      </c>
      <c r="I1663" s="109"/>
      <c r="J1663" s="109"/>
      <c r="K1663" s="109"/>
      <c r="L1663" s="109" t="str">
        <f t="shared" si="25"/>
        <v>96-962000188</v>
      </c>
      <c r="M1663" s="114">
        <v>962000188</v>
      </c>
      <c r="N1663" s="114" t="s">
        <v>7112</v>
      </c>
    </row>
    <row r="1664" spans="1:14" ht="18">
      <c r="A1664" s="8" t="s">
        <v>1000</v>
      </c>
      <c r="B1664" s="5" t="s">
        <v>2681</v>
      </c>
      <c r="I1664" s="109"/>
      <c r="J1664" s="109"/>
      <c r="K1664" s="109"/>
      <c r="L1664" s="109" t="str">
        <f t="shared" si="25"/>
        <v>96-966200334</v>
      </c>
      <c r="M1664" s="114">
        <v>966200334</v>
      </c>
      <c r="N1664" s="114" t="s">
        <v>8697</v>
      </c>
    </row>
    <row r="1665" spans="1:14" ht="18">
      <c r="A1665" s="8" t="s">
        <v>1100</v>
      </c>
      <c r="B1665" s="5" t="s">
        <v>2681</v>
      </c>
      <c r="I1665" s="109"/>
      <c r="J1665" s="109"/>
      <c r="K1665" s="109"/>
      <c r="L1665" s="109" t="str">
        <f t="shared" si="25"/>
        <v>95-956200128</v>
      </c>
      <c r="M1665" s="114">
        <v>956200128</v>
      </c>
      <c r="N1665" s="114" t="s">
        <v>7390</v>
      </c>
    </row>
    <row r="1666" spans="1:14" ht="18">
      <c r="A1666" s="8" t="s">
        <v>960</v>
      </c>
      <c r="B1666" s="5" t="s">
        <v>2681</v>
      </c>
      <c r="I1666" s="109"/>
      <c r="J1666" s="109"/>
      <c r="K1666" s="109"/>
      <c r="L1666" s="109" t="str">
        <f t="shared" si="25"/>
        <v>96-966200123</v>
      </c>
      <c r="M1666" s="114">
        <v>966200123</v>
      </c>
      <c r="N1666" s="114" t="s">
        <v>7391</v>
      </c>
    </row>
    <row r="1667" spans="1:14" ht="18">
      <c r="A1667" s="8" t="s">
        <v>1171</v>
      </c>
      <c r="B1667" s="5" t="s">
        <v>2681</v>
      </c>
      <c r="I1667" s="109"/>
      <c r="J1667" s="109"/>
      <c r="K1667" s="109"/>
      <c r="L1667" s="109" t="str">
        <f t="shared" ref="L1667:L1730" si="26">MID(M1667,1,2)&amp;"-"&amp;M1667</f>
        <v>95-954100001</v>
      </c>
      <c r="M1667" s="114">
        <v>954100001</v>
      </c>
      <c r="N1667" s="114" t="s">
        <v>5606</v>
      </c>
    </row>
    <row r="1668" spans="1:14" ht="18">
      <c r="A1668" s="8" t="s">
        <v>1139</v>
      </c>
      <c r="B1668" s="5" t="s">
        <v>2681</v>
      </c>
      <c r="I1668" s="109"/>
      <c r="J1668" s="109"/>
      <c r="K1668" s="109"/>
      <c r="L1668" s="109" t="str">
        <f t="shared" si="26"/>
        <v>95-954100010</v>
      </c>
      <c r="M1668" s="114">
        <v>954100010</v>
      </c>
      <c r="N1668" s="114" t="s">
        <v>5623</v>
      </c>
    </row>
    <row r="1669" spans="1:14" ht="18">
      <c r="A1669" s="8" t="s">
        <v>1155</v>
      </c>
      <c r="B1669" s="5" t="s">
        <v>2681</v>
      </c>
      <c r="I1669" s="109"/>
      <c r="J1669" s="109"/>
      <c r="K1669" s="109"/>
      <c r="L1669" s="109" t="str">
        <f t="shared" si="26"/>
        <v>95-954100013</v>
      </c>
      <c r="M1669" s="114">
        <v>954100013</v>
      </c>
      <c r="N1669" s="114" t="s">
        <v>5626</v>
      </c>
    </row>
    <row r="1670" spans="1:14" ht="18">
      <c r="A1670" s="8" t="s">
        <v>1149</v>
      </c>
      <c r="B1670" s="5" t="s">
        <v>2681</v>
      </c>
      <c r="I1670" s="109"/>
      <c r="J1670" s="109"/>
      <c r="K1670" s="109"/>
      <c r="L1670" s="109" t="str">
        <f t="shared" si="26"/>
        <v>95-954100025</v>
      </c>
      <c r="M1670" s="114">
        <v>954100025</v>
      </c>
      <c r="N1670" s="114" t="s">
        <v>5737</v>
      </c>
    </row>
    <row r="1671" spans="1:14" ht="18">
      <c r="A1671" s="8" t="s">
        <v>1249</v>
      </c>
      <c r="B1671" s="5" t="s">
        <v>2681</v>
      </c>
      <c r="I1671" s="109"/>
      <c r="J1671" s="109"/>
      <c r="K1671" s="109"/>
      <c r="L1671" s="109" t="str">
        <f t="shared" si="26"/>
        <v>95-954100026</v>
      </c>
      <c r="M1671" s="114">
        <v>954100026</v>
      </c>
      <c r="N1671" s="114" t="s">
        <v>5737</v>
      </c>
    </row>
    <row r="1672" spans="1:14" ht="18">
      <c r="A1672" s="8" t="s">
        <v>1250</v>
      </c>
      <c r="B1672" s="5" t="s">
        <v>2681</v>
      </c>
      <c r="I1672" s="109"/>
      <c r="J1672" s="109"/>
      <c r="K1672" s="109"/>
      <c r="L1672" s="109" t="str">
        <f t="shared" si="26"/>
        <v>95-954100032</v>
      </c>
      <c r="M1672" s="114">
        <v>954100032</v>
      </c>
      <c r="N1672" s="114" t="s">
        <v>5749</v>
      </c>
    </row>
    <row r="1673" spans="1:14" ht="18">
      <c r="A1673" s="8" t="s">
        <v>1169</v>
      </c>
      <c r="B1673" s="5" t="s">
        <v>2681</v>
      </c>
      <c r="I1673" s="109"/>
      <c r="J1673" s="109"/>
      <c r="K1673" s="109"/>
      <c r="L1673" s="109" t="str">
        <f t="shared" si="26"/>
        <v>96-964100024</v>
      </c>
      <c r="M1673" s="114">
        <v>964100024</v>
      </c>
      <c r="N1673" s="114" t="s">
        <v>5809</v>
      </c>
    </row>
    <row r="1674" spans="1:14" ht="18">
      <c r="A1674" s="8" t="s">
        <v>1241</v>
      </c>
      <c r="B1674" s="5" t="s">
        <v>2681</v>
      </c>
      <c r="I1674" s="109"/>
      <c r="J1674" s="109"/>
      <c r="K1674" s="109"/>
      <c r="L1674" s="109" t="str">
        <f t="shared" si="26"/>
        <v>96-964100025</v>
      </c>
      <c r="M1674" s="114">
        <v>964100025</v>
      </c>
      <c r="N1674" s="114" t="s">
        <v>5809</v>
      </c>
    </row>
    <row r="1675" spans="1:14" ht="18">
      <c r="A1675" s="8" t="s">
        <v>1045</v>
      </c>
      <c r="B1675" s="5" t="s">
        <v>2681</v>
      </c>
      <c r="I1675" s="109"/>
      <c r="J1675" s="109"/>
      <c r="K1675" s="109"/>
      <c r="L1675" s="109" t="str">
        <f t="shared" si="26"/>
        <v>96-964100032</v>
      </c>
      <c r="M1675" s="114">
        <v>964100032</v>
      </c>
      <c r="N1675" s="114" t="s">
        <v>5817</v>
      </c>
    </row>
    <row r="1676" spans="1:14" ht="18">
      <c r="A1676" s="8" t="s">
        <v>1240</v>
      </c>
      <c r="B1676" s="5" t="s">
        <v>2681</v>
      </c>
      <c r="I1676" s="109"/>
      <c r="J1676" s="109"/>
      <c r="K1676" s="109"/>
      <c r="L1676" s="109" t="str">
        <f t="shared" si="26"/>
        <v>96-964100055</v>
      </c>
      <c r="M1676" s="114">
        <v>964100055</v>
      </c>
      <c r="N1676" s="114" t="s">
        <v>7144</v>
      </c>
    </row>
    <row r="1677" spans="1:14" ht="18">
      <c r="A1677" s="8" t="s">
        <v>1071</v>
      </c>
      <c r="B1677" s="5" t="s">
        <v>2681</v>
      </c>
      <c r="I1677" s="109"/>
      <c r="J1677" s="109"/>
      <c r="K1677" s="109"/>
      <c r="L1677" s="109" t="str">
        <f t="shared" si="26"/>
        <v>96-964100056</v>
      </c>
      <c r="M1677" s="114">
        <v>964100056</v>
      </c>
      <c r="N1677" s="114" t="s">
        <v>7144</v>
      </c>
    </row>
    <row r="1678" spans="1:14" ht="18">
      <c r="A1678" s="8" t="s">
        <v>1070</v>
      </c>
      <c r="B1678" s="5" t="s">
        <v>2681</v>
      </c>
      <c r="I1678" s="109"/>
      <c r="J1678" s="109"/>
      <c r="K1678" s="109"/>
      <c r="L1678" s="109" t="str">
        <f t="shared" si="26"/>
        <v>95-951100194</v>
      </c>
      <c r="M1678" s="114">
        <v>951100194</v>
      </c>
      <c r="N1678" s="114" t="s">
        <v>8075</v>
      </c>
    </row>
    <row r="1679" spans="1:14" ht="18">
      <c r="A1679" s="8" t="s">
        <v>1061</v>
      </c>
      <c r="B1679" s="5" t="s">
        <v>2681</v>
      </c>
      <c r="I1679" s="109"/>
      <c r="J1679" s="109"/>
      <c r="K1679" s="109"/>
      <c r="L1679" s="109" t="str">
        <f t="shared" si="26"/>
        <v>95-952000178</v>
      </c>
      <c r="M1679" s="114">
        <v>952000178</v>
      </c>
      <c r="N1679" s="114" t="s">
        <v>7392</v>
      </c>
    </row>
    <row r="1680" spans="1:14" ht="18">
      <c r="A1680" s="8" t="s">
        <v>1211</v>
      </c>
      <c r="B1680" s="5" t="s">
        <v>2681</v>
      </c>
      <c r="I1680" s="109"/>
      <c r="J1680" s="109"/>
      <c r="K1680" s="109"/>
      <c r="L1680" s="109" t="str">
        <f t="shared" si="26"/>
        <v>95-952000121</v>
      </c>
      <c r="M1680" s="114">
        <v>952000121</v>
      </c>
      <c r="N1680" s="114" t="s">
        <v>7274</v>
      </c>
    </row>
    <row r="1681" spans="1:14" ht="18">
      <c r="A1681" s="8" t="s">
        <v>1051</v>
      </c>
      <c r="B1681" s="5" t="s">
        <v>2681</v>
      </c>
      <c r="I1681" s="109"/>
      <c r="J1681" s="109"/>
      <c r="K1681" s="109"/>
      <c r="L1681" s="109" t="str">
        <f t="shared" si="26"/>
        <v>95-952000037</v>
      </c>
      <c r="M1681" s="114">
        <v>952000037</v>
      </c>
      <c r="N1681" s="114" t="s">
        <v>7331</v>
      </c>
    </row>
    <row r="1682" spans="1:14" ht="18">
      <c r="A1682" s="8" t="s">
        <v>1242</v>
      </c>
      <c r="B1682" s="5" t="s">
        <v>2681</v>
      </c>
      <c r="I1682" s="109"/>
      <c r="J1682" s="109"/>
      <c r="K1682" s="109"/>
      <c r="L1682" s="109" t="str">
        <f t="shared" si="26"/>
        <v>96-962000073</v>
      </c>
      <c r="M1682" s="114">
        <v>962000073</v>
      </c>
      <c r="N1682" s="114" t="s">
        <v>7112</v>
      </c>
    </row>
    <row r="1683" spans="1:14" ht="18">
      <c r="A1683" s="8" t="s">
        <v>939</v>
      </c>
      <c r="B1683" s="5" t="s">
        <v>2681</v>
      </c>
      <c r="I1683" s="109"/>
      <c r="J1683" s="109"/>
      <c r="K1683" s="109"/>
      <c r="L1683" s="109" t="str">
        <f t="shared" si="26"/>
        <v>95-952000303</v>
      </c>
      <c r="M1683" s="114">
        <v>952000303</v>
      </c>
      <c r="N1683" s="114" t="s">
        <v>7329</v>
      </c>
    </row>
    <row r="1684" spans="1:14" ht="18">
      <c r="A1684" s="8" t="s">
        <v>1038</v>
      </c>
      <c r="B1684" s="5" t="s">
        <v>2681</v>
      </c>
      <c r="I1684" s="109"/>
      <c r="J1684" s="109"/>
      <c r="K1684" s="109"/>
      <c r="L1684" s="109" t="str">
        <f t="shared" si="26"/>
        <v>96-964300004</v>
      </c>
      <c r="M1684" s="114">
        <v>964300004</v>
      </c>
      <c r="N1684" s="114" t="s">
        <v>7230</v>
      </c>
    </row>
    <row r="1685" spans="1:14" ht="18">
      <c r="A1685" s="8" t="s">
        <v>1150</v>
      </c>
      <c r="B1685" s="5" t="s">
        <v>2681</v>
      </c>
      <c r="I1685" s="109"/>
      <c r="J1685" s="109"/>
      <c r="K1685" s="109"/>
      <c r="L1685" s="109" t="str">
        <f t="shared" si="26"/>
        <v>96-964300009</v>
      </c>
      <c r="M1685" s="114">
        <v>964300009</v>
      </c>
      <c r="N1685" s="114" t="s">
        <v>7125</v>
      </c>
    </row>
    <row r="1686" spans="1:14" ht="18">
      <c r="A1686" s="8" t="s">
        <v>1212</v>
      </c>
      <c r="B1686" s="5" t="s">
        <v>2681</v>
      </c>
      <c r="I1686" s="109"/>
      <c r="J1686" s="109"/>
      <c r="K1686" s="109"/>
      <c r="L1686" s="109" t="str">
        <f t="shared" si="26"/>
        <v>96-964300012</v>
      </c>
      <c r="M1686" s="114">
        <v>964300012</v>
      </c>
      <c r="N1686" s="114" t="s">
        <v>7125</v>
      </c>
    </row>
    <row r="1687" spans="1:14" ht="18">
      <c r="A1687" s="8" t="s">
        <v>1132</v>
      </c>
      <c r="B1687" s="5" t="s">
        <v>2681</v>
      </c>
      <c r="I1687" s="109"/>
      <c r="J1687" s="109"/>
      <c r="K1687" s="109"/>
      <c r="L1687" s="109" t="str">
        <f t="shared" si="26"/>
        <v>95-956200024</v>
      </c>
      <c r="M1687" s="114">
        <v>956200024</v>
      </c>
      <c r="N1687" s="114" t="s">
        <v>7399</v>
      </c>
    </row>
    <row r="1688" spans="1:14" ht="18">
      <c r="A1688" s="8" t="s">
        <v>1001</v>
      </c>
      <c r="B1688" s="5" t="s">
        <v>2681</v>
      </c>
      <c r="I1688" s="109"/>
      <c r="J1688" s="109"/>
      <c r="K1688" s="109"/>
      <c r="L1688" s="109" t="str">
        <f t="shared" si="26"/>
        <v>95-951100020</v>
      </c>
      <c r="M1688" s="114">
        <v>951100020</v>
      </c>
      <c r="N1688" s="114" t="s">
        <v>7400</v>
      </c>
    </row>
    <row r="1689" spans="1:14" ht="18">
      <c r="A1689" s="8" t="s">
        <v>1143</v>
      </c>
      <c r="B1689" s="5" t="s">
        <v>2681</v>
      </c>
      <c r="I1689" s="109"/>
      <c r="J1689" s="109"/>
      <c r="K1689" s="109"/>
      <c r="L1689" s="109" t="str">
        <f t="shared" si="26"/>
        <v>95-952200006</v>
      </c>
      <c r="M1689" s="114">
        <v>952200006</v>
      </c>
      <c r="N1689" s="114" t="s">
        <v>7131</v>
      </c>
    </row>
    <row r="1690" spans="1:14" ht="18">
      <c r="A1690" s="8" t="s">
        <v>994</v>
      </c>
      <c r="B1690" s="5" t="s">
        <v>2681</v>
      </c>
      <c r="I1690" s="109"/>
      <c r="J1690" s="109"/>
      <c r="K1690" s="109"/>
      <c r="L1690" s="109" t="str">
        <f t="shared" si="26"/>
        <v>95-952200026</v>
      </c>
      <c r="M1690" s="114">
        <v>952200026</v>
      </c>
      <c r="N1690" s="114" t="s">
        <v>7174</v>
      </c>
    </row>
    <row r="1691" spans="1:14" ht="18">
      <c r="A1691" s="8" t="s">
        <v>1495</v>
      </c>
      <c r="B1691" s="5" t="s">
        <v>2681</v>
      </c>
      <c r="I1691" s="109"/>
      <c r="J1691" s="109"/>
      <c r="K1691" s="109"/>
      <c r="L1691" s="109" t="str">
        <f t="shared" si="26"/>
        <v>95-952200038</v>
      </c>
      <c r="M1691" s="114">
        <v>952200038</v>
      </c>
      <c r="N1691" s="114" t="s">
        <v>7126</v>
      </c>
    </row>
    <row r="1692" spans="1:14" ht="18">
      <c r="A1692" s="8" t="s">
        <v>1184</v>
      </c>
      <c r="B1692" s="5" t="s">
        <v>2681</v>
      </c>
      <c r="I1692" s="109"/>
      <c r="J1692" s="109"/>
      <c r="K1692" s="109"/>
      <c r="L1692" s="109" t="str">
        <f t="shared" si="26"/>
        <v>95-952200042</v>
      </c>
      <c r="M1692" s="114">
        <v>952200042</v>
      </c>
      <c r="N1692" s="114" t="s">
        <v>7126</v>
      </c>
    </row>
    <row r="1693" spans="1:14" ht="18">
      <c r="A1693" s="8" t="s">
        <v>955</v>
      </c>
      <c r="B1693" s="5" t="s">
        <v>2681</v>
      </c>
      <c r="I1693" s="109"/>
      <c r="J1693" s="109"/>
      <c r="K1693" s="109"/>
      <c r="L1693" s="109" t="str">
        <f t="shared" si="26"/>
        <v>95-952200051</v>
      </c>
      <c r="M1693" s="114">
        <v>952200051</v>
      </c>
      <c r="N1693" s="114" t="s">
        <v>7509</v>
      </c>
    </row>
    <row r="1694" spans="1:14" ht="18">
      <c r="A1694" s="8" t="s">
        <v>1014</v>
      </c>
      <c r="B1694" s="5" t="s">
        <v>2681</v>
      </c>
      <c r="I1694" s="109"/>
      <c r="J1694" s="109"/>
      <c r="K1694" s="109"/>
      <c r="L1694" s="109" t="str">
        <f t="shared" si="26"/>
        <v>95-952200062</v>
      </c>
      <c r="M1694" s="114">
        <v>952200062</v>
      </c>
      <c r="N1694" s="114" t="s">
        <v>7510</v>
      </c>
    </row>
    <row r="1695" spans="1:14" ht="18">
      <c r="A1695" s="8" t="s">
        <v>1089</v>
      </c>
      <c r="B1695" s="5" t="s">
        <v>2681</v>
      </c>
      <c r="I1695" s="109"/>
      <c r="J1695" s="109"/>
      <c r="K1695" s="109"/>
      <c r="L1695" s="109" t="str">
        <f t="shared" si="26"/>
        <v>95-952200078</v>
      </c>
      <c r="M1695" s="114">
        <v>952200078</v>
      </c>
      <c r="N1695" s="114" t="s">
        <v>7511</v>
      </c>
    </row>
    <row r="1696" spans="1:14" ht="18">
      <c r="A1696" s="8" t="s">
        <v>937</v>
      </c>
      <c r="B1696" s="5" t="s">
        <v>2681</v>
      </c>
      <c r="I1696" s="109"/>
      <c r="J1696" s="109"/>
      <c r="K1696" s="109"/>
      <c r="L1696" s="109" t="str">
        <f t="shared" si="26"/>
        <v>96-966200060</v>
      </c>
      <c r="M1696" s="114">
        <v>966200060</v>
      </c>
      <c r="N1696" s="114" t="s">
        <v>7345</v>
      </c>
    </row>
    <row r="1697" spans="1:14" ht="18">
      <c r="A1697" s="8" t="s">
        <v>1226</v>
      </c>
      <c r="B1697" s="5" t="s">
        <v>2681</v>
      </c>
      <c r="I1697" s="109"/>
      <c r="J1697" s="109"/>
      <c r="K1697" s="109"/>
      <c r="L1697" s="109" t="str">
        <f t="shared" si="26"/>
        <v>96-966200061</v>
      </c>
      <c r="M1697" s="114">
        <v>966200061</v>
      </c>
      <c r="N1697" s="114" t="s">
        <v>7345</v>
      </c>
    </row>
    <row r="1698" spans="1:14" ht="18">
      <c r="A1698" s="8" t="s">
        <v>1062</v>
      </c>
      <c r="B1698" s="5" t="s">
        <v>2681</v>
      </c>
      <c r="I1698" s="109"/>
      <c r="J1698" s="109"/>
      <c r="K1698" s="109"/>
      <c r="L1698" s="109" t="str">
        <f t="shared" si="26"/>
        <v>95-952200085</v>
      </c>
      <c r="M1698" s="114">
        <v>952200085</v>
      </c>
      <c r="N1698" s="114" t="s">
        <v>7239</v>
      </c>
    </row>
    <row r="1699" spans="1:14" ht="18">
      <c r="A1699" s="8" t="s">
        <v>1090</v>
      </c>
      <c r="B1699" s="5" t="s">
        <v>2681</v>
      </c>
      <c r="I1699" s="109"/>
      <c r="J1699" s="109"/>
      <c r="K1699" s="109"/>
      <c r="L1699" s="109" t="str">
        <f t="shared" si="26"/>
        <v>96-962200009</v>
      </c>
      <c r="M1699" s="114">
        <v>962200009</v>
      </c>
      <c r="N1699" s="114" t="s">
        <v>7151</v>
      </c>
    </row>
    <row r="1700" spans="1:14" ht="18">
      <c r="A1700" s="8" t="s">
        <v>938</v>
      </c>
      <c r="B1700" s="5" t="s">
        <v>2681</v>
      </c>
      <c r="I1700" s="109"/>
      <c r="J1700" s="109"/>
      <c r="K1700" s="109"/>
      <c r="L1700" s="109" t="str">
        <f t="shared" si="26"/>
        <v>96-962200012</v>
      </c>
      <c r="M1700" s="114">
        <v>962200012</v>
      </c>
      <c r="N1700" s="114" t="s">
        <v>7484</v>
      </c>
    </row>
    <row r="1701" spans="1:14" ht="18">
      <c r="A1701" s="8" t="s">
        <v>2680</v>
      </c>
      <c r="B1701" s="5" t="s">
        <v>2681</v>
      </c>
      <c r="I1701" s="109"/>
      <c r="J1701" s="109"/>
      <c r="K1701" s="109"/>
      <c r="L1701" s="109" t="str">
        <f t="shared" si="26"/>
        <v>96-962200022</v>
      </c>
      <c r="M1701" s="114">
        <v>962200022</v>
      </c>
      <c r="N1701" s="114" t="s">
        <v>7230</v>
      </c>
    </row>
    <row r="1702" spans="1:14" ht="18">
      <c r="A1702" s="8" t="s">
        <v>1315</v>
      </c>
      <c r="B1702" s="5" t="s">
        <v>2681</v>
      </c>
      <c r="I1702" s="109"/>
      <c r="J1702" s="109"/>
      <c r="K1702" s="109"/>
      <c r="L1702" s="109" t="str">
        <f t="shared" si="26"/>
        <v>96-962200050</v>
      </c>
      <c r="M1702" s="114">
        <v>962200050</v>
      </c>
      <c r="N1702" s="114" t="s">
        <v>7450</v>
      </c>
    </row>
    <row r="1703" spans="1:14" ht="18">
      <c r="A1703" s="8" t="s">
        <v>1283</v>
      </c>
      <c r="B1703" s="5" t="s">
        <v>2681</v>
      </c>
      <c r="I1703" s="109"/>
      <c r="J1703" s="109"/>
      <c r="K1703" s="109"/>
      <c r="L1703" s="109" t="str">
        <f t="shared" si="26"/>
        <v>96-962200060</v>
      </c>
      <c r="M1703" s="114">
        <v>962200060</v>
      </c>
      <c r="N1703" s="114" t="s">
        <v>7452</v>
      </c>
    </row>
    <row r="1704" spans="1:14" ht="18">
      <c r="A1704" s="8" t="s">
        <v>968</v>
      </c>
      <c r="B1704" s="5" t="s">
        <v>2681</v>
      </c>
      <c r="I1704" s="109"/>
      <c r="J1704" s="109"/>
      <c r="K1704" s="109"/>
      <c r="L1704" s="109" t="str">
        <f t="shared" si="26"/>
        <v>96-962200069</v>
      </c>
      <c r="M1704" s="114">
        <v>962200069</v>
      </c>
      <c r="N1704" s="114" t="s">
        <v>7450</v>
      </c>
    </row>
    <row r="1705" spans="1:14" ht="18">
      <c r="A1705" s="8" t="s">
        <v>1256</v>
      </c>
      <c r="B1705" s="5" t="s">
        <v>2681</v>
      </c>
      <c r="I1705" s="109"/>
      <c r="J1705" s="109"/>
      <c r="K1705" s="109"/>
      <c r="L1705" s="109" t="str">
        <f t="shared" si="26"/>
        <v>95-952200003</v>
      </c>
      <c r="M1705" s="114">
        <v>952200003</v>
      </c>
      <c r="N1705" s="114" t="s">
        <v>7227</v>
      </c>
    </row>
    <row r="1706" spans="1:14" ht="18">
      <c r="A1706" s="8" t="s">
        <v>1255</v>
      </c>
      <c r="B1706" s="5" t="s">
        <v>2681</v>
      </c>
      <c r="I1706" s="109"/>
      <c r="J1706" s="109"/>
      <c r="K1706" s="109"/>
      <c r="L1706" s="109" t="str">
        <f t="shared" si="26"/>
        <v>95-952200005</v>
      </c>
      <c r="M1706" s="114">
        <v>952200005</v>
      </c>
      <c r="N1706" s="114" t="s">
        <v>7131</v>
      </c>
    </row>
    <row r="1707" spans="1:14" ht="18">
      <c r="A1707" s="8" t="s">
        <v>1248</v>
      </c>
      <c r="B1707" s="5" t="s">
        <v>2681</v>
      </c>
      <c r="I1707" s="109"/>
      <c r="J1707" s="109"/>
      <c r="K1707" s="109"/>
      <c r="L1707" s="109" t="str">
        <f t="shared" si="26"/>
        <v>95-952200011</v>
      </c>
      <c r="M1707" s="114">
        <v>952200011</v>
      </c>
      <c r="N1707" s="114" t="s">
        <v>7172</v>
      </c>
    </row>
    <row r="1708" spans="1:14" ht="18">
      <c r="A1708" s="8" t="s">
        <v>1247</v>
      </c>
      <c r="B1708" s="5" t="s">
        <v>2681</v>
      </c>
      <c r="I1708" s="109"/>
      <c r="J1708" s="109"/>
      <c r="K1708" s="109"/>
      <c r="L1708" s="109" t="str">
        <f t="shared" si="26"/>
        <v>95-952200031</v>
      </c>
      <c r="M1708" s="114">
        <v>952200031</v>
      </c>
      <c r="N1708" s="114" t="s">
        <v>7126</v>
      </c>
    </row>
    <row r="1709" spans="1:14" ht="18">
      <c r="A1709" s="8" t="s">
        <v>1244</v>
      </c>
      <c r="B1709" s="5" t="s">
        <v>2681</v>
      </c>
      <c r="I1709" s="109"/>
      <c r="J1709" s="109"/>
      <c r="K1709" s="109"/>
      <c r="L1709" s="109" t="str">
        <f t="shared" si="26"/>
        <v>95-952200040</v>
      </c>
      <c r="M1709" s="114">
        <v>952200040</v>
      </c>
      <c r="N1709" s="114" t="s">
        <v>7126</v>
      </c>
    </row>
    <row r="1710" spans="1:14" ht="18">
      <c r="A1710" s="8" t="s">
        <v>1243</v>
      </c>
      <c r="B1710" s="5" t="s">
        <v>2681</v>
      </c>
      <c r="I1710" s="109"/>
      <c r="J1710" s="109"/>
      <c r="K1710" s="109"/>
      <c r="L1710" s="109" t="str">
        <f t="shared" si="26"/>
        <v>95-952200048</v>
      </c>
      <c r="M1710" s="114">
        <v>952200048</v>
      </c>
      <c r="N1710" s="114" t="s">
        <v>7174</v>
      </c>
    </row>
    <row r="1711" spans="1:14" ht="18">
      <c r="A1711" s="8" t="s">
        <v>1083</v>
      </c>
      <c r="B1711" s="5" t="s">
        <v>2681</v>
      </c>
      <c r="I1711" s="109"/>
      <c r="J1711" s="109"/>
      <c r="K1711" s="109"/>
      <c r="L1711" s="109" t="str">
        <f t="shared" si="26"/>
        <v>95-952200050</v>
      </c>
      <c r="M1711" s="114">
        <v>952200050</v>
      </c>
      <c r="N1711" s="114" t="s">
        <v>7561</v>
      </c>
    </row>
    <row r="1712" spans="1:14" ht="18">
      <c r="A1712" s="8" t="s">
        <v>1084</v>
      </c>
      <c r="B1712" s="5" t="s">
        <v>2681</v>
      </c>
      <c r="I1712" s="109"/>
      <c r="J1712" s="109"/>
      <c r="K1712" s="109"/>
      <c r="L1712" s="109" t="str">
        <f t="shared" si="26"/>
        <v>95-952200059</v>
      </c>
      <c r="M1712" s="114">
        <v>952200059</v>
      </c>
      <c r="N1712" s="114" t="s">
        <v>7243</v>
      </c>
    </row>
    <row r="1713" spans="1:14" ht="18">
      <c r="A1713" s="8" t="s">
        <v>1154</v>
      </c>
      <c r="B1713" s="5" t="s">
        <v>2681</v>
      </c>
      <c r="I1713" s="109"/>
      <c r="J1713" s="109"/>
      <c r="K1713" s="109"/>
      <c r="L1713" s="109" t="str">
        <f t="shared" si="26"/>
        <v>95-952200067</v>
      </c>
      <c r="M1713" s="114">
        <v>952200067</v>
      </c>
      <c r="N1713" s="114" t="s">
        <v>7561</v>
      </c>
    </row>
    <row r="1714" spans="1:14" ht="18">
      <c r="A1714" s="8" t="s">
        <v>1210</v>
      </c>
      <c r="B1714" s="5" t="s">
        <v>2681</v>
      </c>
      <c r="I1714" s="109"/>
      <c r="J1714" s="109"/>
      <c r="K1714" s="109"/>
      <c r="L1714" s="109" t="str">
        <f t="shared" si="26"/>
        <v>95-952200081</v>
      </c>
      <c r="M1714" s="114">
        <v>952200081</v>
      </c>
      <c r="N1714" s="114" t="s">
        <v>7239</v>
      </c>
    </row>
    <row r="1715" spans="1:14" ht="18">
      <c r="A1715" s="8" t="s">
        <v>1117</v>
      </c>
      <c r="B1715" s="5" t="s">
        <v>2681</v>
      </c>
      <c r="I1715" s="109"/>
      <c r="J1715" s="109"/>
      <c r="K1715" s="109"/>
      <c r="L1715" s="109" t="str">
        <f t="shared" si="26"/>
        <v>96-962200017</v>
      </c>
      <c r="M1715" s="114">
        <v>962200017</v>
      </c>
      <c r="N1715" s="114" t="s">
        <v>7229</v>
      </c>
    </row>
    <row r="1716" spans="1:14" ht="18">
      <c r="A1716" s="8" t="s">
        <v>1141</v>
      </c>
      <c r="B1716" s="5" t="s">
        <v>2681</v>
      </c>
      <c r="I1716" s="109"/>
      <c r="J1716" s="109"/>
      <c r="K1716" s="109"/>
      <c r="L1716" s="109" t="str">
        <f t="shared" si="26"/>
        <v>95-951100012</v>
      </c>
      <c r="M1716" s="114">
        <v>951100012</v>
      </c>
      <c r="N1716" s="114" t="s">
        <v>7402</v>
      </c>
    </row>
    <row r="1717" spans="1:14" ht="18">
      <c r="A1717" s="8" t="s">
        <v>1142</v>
      </c>
      <c r="B1717" s="5" t="s">
        <v>2681</v>
      </c>
      <c r="I1717" s="109"/>
      <c r="J1717" s="109"/>
      <c r="K1717" s="109"/>
      <c r="L1717" s="109" t="str">
        <f t="shared" si="26"/>
        <v>95-952500046</v>
      </c>
      <c r="M1717" s="114">
        <v>952500046</v>
      </c>
      <c r="N1717" s="114" t="s">
        <v>5661</v>
      </c>
    </row>
    <row r="1718" spans="1:14" ht="18">
      <c r="A1718" s="8" t="s">
        <v>1320</v>
      </c>
      <c r="B1718" s="5" t="s">
        <v>2681</v>
      </c>
      <c r="I1718" s="109"/>
      <c r="J1718" s="109"/>
      <c r="K1718" s="109"/>
      <c r="L1718" s="109" t="str">
        <f t="shared" si="26"/>
        <v>96-962200020</v>
      </c>
      <c r="M1718" s="114">
        <v>962200020</v>
      </c>
      <c r="N1718" s="114" t="s">
        <v>7230</v>
      </c>
    </row>
    <row r="1719" spans="1:14" ht="18">
      <c r="A1719" s="8" t="s">
        <v>1146</v>
      </c>
      <c r="B1719" s="5" t="s">
        <v>2681</v>
      </c>
      <c r="I1719" s="109"/>
      <c r="J1719" s="109"/>
      <c r="K1719" s="109"/>
      <c r="L1719" s="109" t="str">
        <f t="shared" si="26"/>
        <v>96-962200029</v>
      </c>
      <c r="M1719" s="114">
        <v>962200029</v>
      </c>
      <c r="N1719" s="114" t="s">
        <v>7230</v>
      </c>
    </row>
    <row r="1720" spans="1:14" ht="18">
      <c r="A1720" s="8" t="s">
        <v>959</v>
      </c>
      <c r="B1720" s="5" t="s">
        <v>2681</v>
      </c>
      <c r="I1720" s="109"/>
      <c r="J1720" s="109"/>
      <c r="K1720" s="109"/>
      <c r="L1720" s="109" t="str">
        <f t="shared" si="26"/>
        <v>96-962200066</v>
      </c>
      <c r="M1720" s="114">
        <v>962200066</v>
      </c>
      <c r="N1720" s="114" t="s">
        <v>7125</v>
      </c>
    </row>
    <row r="1721" spans="1:14" ht="18">
      <c r="A1721" s="8" t="s">
        <v>1227</v>
      </c>
      <c r="B1721" s="5" t="s">
        <v>2681</v>
      </c>
      <c r="I1721" s="109"/>
      <c r="J1721" s="109"/>
      <c r="K1721" s="109"/>
      <c r="L1721" s="109" t="str">
        <f t="shared" si="26"/>
        <v>96-962200072</v>
      </c>
      <c r="M1721" s="114">
        <v>962200072</v>
      </c>
      <c r="N1721" s="114" t="s">
        <v>7125</v>
      </c>
    </row>
    <row r="1722" spans="1:14" ht="18">
      <c r="A1722" s="8" t="s">
        <v>1147</v>
      </c>
      <c r="B1722" s="5" t="s">
        <v>2681</v>
      </c>
      <c r="I1722" s="109"/>
      <c r="J1722" s="109"/>
      <c r="K1722" s="109"/>
      <c r="L1722" s="109" t="str">
        <f t="shared" si="26"/>
        <v>95-952500017</v>
      </c>
      <c r="M1722" s="114">
        <v>952500017</v>
      </c>
      <c r="N1722" s="114" t="s">
        <v>5618</v>
      </c>
    </row>
    <row r="1723" spans="1:14" ht="18">
      <c r="A1723" s="8" t="s">
        <v>1208</v>
      </c>
      <c r="B1723" s="5" t="s">
        <v>2681</v>
      </c>
      <c r="I1723" s="109"/>
      <c r="J1723" s="109"/>
      <c r="K1723" s="109"/>
      <c r="L1723" s="109" t="str">
        <f t="shared" si="26"/>
        <v>95-952500023</v>
      </c>
      <c r="M1723" s="114">
        <v>952500023</v>
      </c>
      <c r="N1723" s="114" t="s">
        <v>5618</v>
      </c>
    </row>
    <row r="1724" spans="1:14" ht="18">
      <c r="A1724" s="8" t="s">
        <v>1316</v>
      </c>
      <c r="B1724" s="5" t="s">
        <v>2681</v>
      </c>
      <c r="I1724" s="109"/>
      <c r="J1724" s="109"/>
      <c r="K1724" s="109"/>
      <c r="L1724" s="109" t="str">
        <f t="shared" si="26"/>
        <v>95-952500082</v>
      </c>
      <c r="M1724" s="114">
        <v>952500082</v>
      </c>
      <c r="N1724" s="114" t="s">
        <v>5726</v>
      </c>
    </row>
    <row r="1725" spans="1:14" ht="18">
      <c r="A1725" s="8" t="s">
        <v>1326</v>
      </c>
      <c r="B1725" s="5" t="s">
        <v>2681</v>
      </c>
      <c r="I1725" s="109"/>
      <c r="J1725" s="109"/>
      <c r="K1725" s="109"/>
      <c r="L1725" s="109" t="str">
        <f t="shared" si="26"/>
        <v>96-962500074</v>
      </c>
      <c r="M1725" s="114">
        <v>962500074</v>
      </c>
      <c r="N1725" s="114" t="s">
        <v>7231</v>
      </c>
    </row>
    <row r="1726" spans="1:14" ht="18">
      <c r="A1726" s="8" t="s">
        <v>1059</v>
      </c>
      <c r="B1726" s="5" t="s">
        <v>2681</v>
      </c>
      <c r="I1726" s="109"/>
      <c r="J1726" s="109"/>
      <c r="K1726" s="109"/>
      <c r="L1726" s="109" t="str">
        <f t="shared" si="26"/>
        <v>95-952500037</v>
      </c>
      <c r="M1726" s="114">
        <v>952500037</v>
      </c>
      <c r="N1726" s="114" t="s">
        <v>5677</v>
      </c>
    </row>
    <row r="1727" spans="1:14" ht="18">
      <c r="A1727" s="8" t="s">
        <v>1148</v>
      </c>
      <c r="B1727" s="5" t="s">
        <v>2681</v>
      </c>
      <c r="I1727" s="109"/>
      <c r="J1727" s="109"/>
      <c r="K1727" s="109"/>
      <c r="L1727" s="109" t="str">
        <f t="shared" si="26"/>
        <v>96-962500102</v>
      </c>
      <c r="M1727" s="114">
        <v>962500102</v>
      </c>
      <c r="N1727" s="114" t="s">
        <v>5842</v>
      </c>
    </row>
    <row r="1728" spans="1:14" ht="18">
      <c r="A1728" s="8" t="s">
        <v>1176</v>
      </c>
      <c r="B1728" s="5" t="s">
        <v>2681</v>
      </c>
      <c r="I1728" s="109"/>
      <c r="J1728" s="109"/>
      <c r="K1728" s="109"/>
      <c r="L1728" s="109" t="str">
        <f t="shared" si="26"/>
        <v>96-962500057</v>
      </c>
      <c r="M1728" s="114">
        <v>962500057</v>
      </c>
      <c r="N1728" s="114" t="s">
        <v>5778</v>
      </c>
    </row>
    <row r="1729" spans="1:14" ht="18">
      <c r="A1729" s="8" t="s">
        <v>1322</v>
      </c>
      <c r="B1729" s="5" t="s">
        <v>2681</v>
      </c>
      <c r="I1729" s="109"/>
      <c r="J1729" s="109"/>
      <c r="K1729" s="109"/>
      <c r="L1729" s="109" t="str">
        <f t="shared" si="26"/>
        <v>96-962500013</v>
      </c>
      <c r="M1729" s="114">
        <v>962500013</v>
      </c>
      <c r="N1729" s="114" t="s">
        <v>5780</v>
      </c>
    </row>
    <row r="1730" spans="1:14" ht="18">
      <c r="A1730" s="8" t="s">
        <v>1138</v>
      </c>
      <c r="B1730" s="5" t="s">
        <v>2681</v>
      </c>
      <c r="I1730" s="109"/>
      <c r="J1730" s="109"/>
      <c r="K1730" s="109"/>
      <c r="L1730" s="109" t="str">
        <f t="shared" si="26"/>
        <v>96-962200042</v>
      </c>
      <c r="M1730" s="114">
        <v>962200042</v>
      </c>
      <c r="N1730" s="114" t="s">
        <v>7182</v>
      </c>
    </row>
    <row r="1731" spans="1:14" ht="18">
      <c r="A1731" s="8" t="s">
        <v>1055</v>
      </c>
      <c r="B1731" s="5" t="s">
        <v>2681</v>
      </c>
      <c r="I1731" s="109"/>
      <c r="J1731" s="109"/>
      <c r="K1731" s="109"/>
      <c r="L1731" s="109" t="str">
        <f t="shared" ref="L1731:L1794" si="27">MID(M1731,1,2)&amp;"-"&amp;M1731</f>
        <v>96-962500079</v>
      </c>
      <c r="M1731" s="114">
        <v>962500079</v>
      </c>
      <c r="N1731" s="114" t="s">
        <v>5856</v>
      </c>
    </row>
    <row r="1732" spans="1:14" ht="18">
      <c r="A1732" s="8" t="s">
        <v>967</v>
      </c>
      <c r="B1732" s="5" t="s">
        <v>2681</v>
      </c>
      <c r="I1732" s="109"/>
      <c r="J1732" s="109"/>
      <c r="K1732" s="109"/>
      <c r="L1732" s="109" t="str">
        <f t="shared" si="27"/>
        <v>95-956300015</v>
      </c>
      <c r="M1732" s="114">
        <v>956300015</v>
      </c>
      <c r="N1732" s="114" t="s">
        <v>7550</v>
      </c>
    </row>
    <row r="1733" spans="1:14" ht="18">
      <c r="A1733" s="8" t="s">
        <v>1329</v>
      </c>
      <c r="B1733" s="5" t="s">
        <v>2681</v>
      </c>
      <c r="I1733" s="109"/>
      <c r="J1733" s="109"/>
      <c r="K1733" s="109"/>
      <c r="L1733" s="109" t="str">
        <f t="shared" si="27"/>
        <v>95-952500103</v>
      </c>
      <c r="M1733" s="114">
        <v>952500103</v>
      </c>
      <c r="N1733" s="114" t="s">
        <v>5753</v>
      </c>
    </row>
    <row r="1734" spans="1:14" ht="18">
      <c r="A1734" s="8" t="s">
        <v>1225</v>
      </c>
      <c r="B1734" s="5" t="s">
        <v>2681</v>
      </c>
      <c r="I1734" s="109"/>
      <c r="J1734" s="109"/>
      <c r="K1734" s="109"/>
      <c r="L1734" s="109" t="str">
        <f t="shared" si="27"/>
        <v>95-956200072</v>
      </c>
      <c r="M1734" s="114">
        <v>956200072</v>
      </c>
      <c r="N1734" s="114" t="s">
        <v>7410</v>
      </c>
    </row>
    <row r="1735" spans="1:14" ht="18">
      <c r="A1735" s="8" t="s">
        <v>1224</v>
      </c>
      <c r="B1735" s="5" t="s">
        <v>2681</v>
      </c>
      <c r="I1735" s="109"/>
      <c r="J1735" s="109"/>
      <c r="K1735" s="109"/>
      <c r="L1735" s="109" t="str">
        <f t="shared" si="27"/>
        <v>95-954200036</v>
      </c>
      <c r="M1735" s="114">
        <v>954200036</v>
      </c>
      <c r="N1735" s="114" t="s">
        <v>5635</v>
      </c>
    </row>
    <row r="1736" spans="1:14" ht="18">
      <c r="A1736" s="8" t="s">
        <v>1107</v>
      </c>
      <c r="B1736" s="5" t="s">
        <v>2681</v>
      </c>
      <c r="I1736" s="109"/>
      <c r="J1736" s="109"/>
      <c r="K1736" s="109"/>
      <c r="L1736" s="109" t="str">
        <f t="shared" si="27"/>
        <v>95-954200046</v>
      </c>
      <c r="M1736" s="114">
        <v>954200046</v>
      </c>
      <c r="N1736" s="114" t="s">
        <v>5733</v>
      </c>
    </row>
    <row r="1737" spans="1:14" ht="18">
      <c r="A1737" s="8" t="s">
        <v>1123</v>
      </c>
      <c r="B1737" s="5" t="s">
        <v>2681</v>
      </c>
      <c r="I1737" s="109"/>
      <c r="J1737" s="109"/>
      <c r="K1737" s="109"/>
      <c r="L1737" s="109" t="str">
        <f t="shared" si="27"/>
        <v>96-964200002</v>
      </c>
      <c r="M1737" s="114">
        <v>964200002</v>
      </c>
      <c r="N1737" s="114" t="s">
        <v>5762</v>
      </c>
    </row>
    <row r="1738" spans="1:14" ht="18">
      <c r="A1738" s="8" t="s">
        <v>1122</v>
      </c>
      <c r="B1738" s="5" t="s">
        <v>2681</v>
      </c>
      <c r="I1738" s="109"/>
      <c r="J1738" s="109"/>
      <c r="K1738" s="109"/>
      <c r="L1738" s="109" t="str">
        <f t="shared" si="27"/>
        <v>95-952500018</v>
      </c>
      <c r="M1738" s="114">
        <v>952500018</v>
      </c>
      <c r="N1738" s="114" t="s">
        <v>5618</v>
      </c>
    </row>
    <row r="1739" spans="1:14" ht="18">
      <c r="A1739" s="8" t="s">
        <v>1181</v>
      </c>
      <c r="B1739" s="5" t="s">
        <v>2681</v>
      </c>
      <c r="I1739" s="109"/>
      <c r="J1739" s="109"/>
      <c r="K1739" s="109"/>
      <c r="L1739" s="109" t="str">
        <f t="shared" si="27"/>
        <v>95-952500081</v>
      </c>
      <c r="M1739" s="114">
        <v>952500081</v>
      </c>
      <c r="N1739" s="114" t="s">
        <v>5740</v>
      </c>
    </row>
    <row r="1740" spans="1:14" ht="18">
      <c r="A1740" s="8" t="s">
        <v>1280</v>
      </c>
      <c r="B1740" s="5" t="s">
        <v>2681</v>
      </c>
      <c r="I1740" s="109"/>
      <c r="J1740" s="109"/>
      <c r="K1740" s="109"/>
      <c r="L1740" s="109" t="str">
        <f t="shared" si="27"/>
        <v>96-962500007</v>
      </c>
      <c r="M1740" s="114">
        <v>962500007</v>
      </c>
      <c r="N1740" s="114" t="s">
        <v>5729</v>
      </c>
    </row>
    <row r="1741" spans="1:14" ht="18">
      <c r="A1741" s="8" t="s">
        <v>1168</v>
      </c>
      <c r="B1741" s="5" t="s">
        <v>2681</v>
      </c>
      <c r="I1741" s="109"/>
      <c r="J1741" s="109"/>
      <c r="K1741" s="109"/>
      <c r="L1741" s="109" t="str">
        <f t="shared" si="27"/>
        <v>95-952500027</v>
      </c>
      <c r="M1741" s="114">
        <v>952500027</v>
      </c>
      <c r="N1741" s="114" t="s">
        <v>5630</v>
      </c>
    </row>
    <row r="1742" spans="1:14" ht="18">
      <c r="A1742" s="8" t="s">
        <v>1111</v>
      </c>
      <c r="B1742" s="5" t="s">
        <v>2681</v>
      </c>
      <c r="I1742" s="109"/>
      <c r="J1742" s="109"/>
      <c r="K1742" s="109"/>
      <c r="L1742" s="109" t="str">
        <f t="shared" si="27"/>
        <v>96-966000011</v>
      </c>
      <c r="M1742" s="114">
        <v>966000011</v>
      </c>
      <c r="N1742" s="114" t="s">
        <v>7146</v>
      </c>
    </row>
    <row r="1743" spans="1:14" ht="18">
      <c r="A1743" s="8" t="s">
        <v>1121</v>
      </c>
      <c r="B1743" s="5" t="s">
        <v>2681</v>
      </c>
      <c r="I1743" s="109"/>
      <c r="J1743" s="109"/>
      <c r="K1743" s="109"/>
      <c r="L1743" s="109" t="str">
        <f t="shared" si="27"/>
        <v>95-956000001</v>
      </c>
      <c r="M1743" s="114">
        <v>956000001</v>
      </c>
      <c r="N1743" s="114" t="s">
        <v>7146</v>
      </c>
    </row>
    <row r="1744" spans="1:14" ht="18">
      <c r="A1744" s="8" t="s">
        <v>1088</v>
      </c>
      <c r="B1744" s="5" t="s">
        <v>2681</v>
      </c>
      <c r="I1744" s="109"/>
      <c r="J1744" s="109"/>
      <c r="K1744" s="109"/>
      <c r="L1744" s="109" t="str">
        <f t="shared" si="27"/>
        <v>95-951800062</v>
      </c>
      <c r="M1744" s="114">
        <v>951800062</v>
      </c>
      <c r="N1744" s="114" t="s">
        <v>7551</v>
      </c>
    </row>
    <row r="1745" spans="1:14" ht="18">
      <c r="A1745" s="8" t="s">
        <v>1170</v>
      </c>
      <c r="B1745" s="5" t="s">
        <v>2681</v>
      </c>
      <c r="I1745" s="109"/>
      <c r="J1745" s="109"/>
      <c r="K1745" s="109"/>
      <c r="L1745" s="109" t="str">
        <f t="shared" si="27"/>
        <v>95-951800087</v>
      </c>
      <c r="M1745" s="114">
        <v>951800087</v>
      </c>
      <c r="N1745" s="114" t="s">
        <v>7551</v>
      </c>
    </row>
    <row r="1746" spans="1:14" ht="18">
      <c r="A1746" s="8" t="s">
        <v>1183</v>
      </c>
      <c r="B1746" s="5" t="s">
        <v>2681</v>
      </c>
      <c r="I1746" s="109"/>
      <c r="J1746" s="109"/>
      <c r="K1746" s="109"/>
      <c r="L1746" s="109" t="str">
        <f t="shared" si="27"/>
        <v>95-951800117</v>
      </c>
      <c r="M1746" s="114">
        <v>951800117</v>
      </c>
      <c r="N1746" s="114" t="s">
        <v>7552</v>
      </c>
    </row>
    <row r="1747" spans="1:14" ht="18">
      <c r="A1747" s="8" t="s">
        <v>1725</v>
      </c>
      <c r="B1747" s="5" t="s">
        <v>2681</v>
      </c>
      <c r="I1747" s="109"/>
      <c r="J1747" s="109"/>
      <c r="K1747" s="109"/>
      <c r="L1747" s="109" t="str">
        <f t="shared" si="27"/>
        <v>96-961900082</v>
      </c>
      <c r="M1747" s="114">
        <v>961900082</v>
      </c>
      <c r="N1747" s="114" t="s">
        <v>7471</v>
      </c>
    </row>
    <row r="1748" spans="1:14" ht="18">
      <c r="A1748" s="8" t="s">
        <v>1072</v>
      </c>
      <c r="B1748" s="5" t="s">
        <v>2681</v>
      </c>
      <c r="I1748" s="109"/>
      <c r="J1748" s="109"/>
      <c r="K1748" s="109"/>
      <c r="L1748" s="109" t="str">
        <f t="shared" si="27"/>
        <v>96-966200104</v>
      </c>
      <c r="M1748" s="114">
        <v>966200104</v>
      </c>
      <c r="N1748" s="114" t="s">
        <v>7270</v>
      </c>
    </row>
    <row r="1749" spans="1:14" ht="18">
      <c r="A1749" s="8" t="s">
        <v>1103</v>
      </c>
      <c r="B1749" s="5" t="s">
        <v>2681</v>
      </c>
      <c r="I1749" s="109"/>
      <c r="J1749" s="109"/>
      <c r="K1749" s="109"/>
      <c r="L1749" s="109" t="str">
        <f t="shared" si="27"/>
        <v>95-956200399</v>
      </c>
      <c r="M1749" s="114">
        <v>956200399</v>
      </c>
      <c r="N1749" s="114" t="s">
        <v>7269</v>
      </c>
    </row>
    <row r="1750" spans="1:14" ht="18">
      <c r="A1750" s="8" t="s">
        <v>1279</v>
      </c>
      <c r="B1750" s="5" t="s">
        <v>2681</v>
      </c>
      <c r="I1750" s="109"/>
      <c r="J1750" s="109"/>
      <c r="K1750" s="109"/>
      <c r="L1750" s="109" t="str">
        <f t="shared" si="27"/>
        <v>96-966200040</v>
      </c>
      <c r="M1750" s="114">
        <v>966200040</v>
      </c>
      <c r="N1750" s="114" t="s">
        <v>7414</v>
      </c>
    </row>
    <row r="1751" spans="1:14" ht="18">
      <c r="A1751" s="8" t="s">
        <v>1118</v>
      </c>
      <c r="B1751" s="5" t="s">
        <v>2681</v>
      </c>
      <c r="I1751" s="109"/>
      <c r="J1751" s="109"/>
      <c r="K1751" s="109"/>
      <c r="L1751" s="109" t="str">
        <f t="shared" si="27"/>
        <v>95-952500041</v>
      </c>
      <c r="M1751" s="114">
        <v>952500041</v>
      </c>
      <c r="N1751" s="114" t="s">
        <v>5675</v>
      </c>
    </row>
    <row r="1752" spans="1:14" ht="18">
      <c r="A1752" s="8" t="s">
        <v>1272</v>
      </c>
      <c r="B1752" s="5" t="s">
        <v>2681</v>
      </c>
      <c r="I1752" s="109"/>
      <c r="J1752" s="109"/>
      <c r="K1752" s="109"/>
      <c r="L1752" s="109" t="str">
        <f t="shared" si="27"/>
        <v>96-962500002</v>
      </c>
      <c r="M1752" s="114">
        <v>962500002</v>
      </c>
      <c r="N1752" s="114" t="s">
        <v>5752</v>
      </c>
    </row>
    <row r="1753" spans="1:14" ht="18">
      <c r="A1753" s="8" t="s">
        <v>1113</v>
      </c>
      <c r="B1753" s="5" t="s">
        <v>2681</v>
      </c>
      <c r="I1753" s="109"/>
      <c r="J1753" s="109"/>
      <c r="K1753" s="109"/>
      <c r="L1753" s="109" t="str">
        <f t="shared" si="27"/>
        <v>96-962500011</v>
      </c>
      <c r="M1753" s="114">
        <v>962500011</v>
      </c>
      <c r="N1753" s="114" t="s">
        <v>5758</v>
      </c>
    </row>
    <row r="1754" spans="1:14" ht="18">
      <c r="A1754" s="8" t="s">
        <v>1482</v>
      </c>
      <c r="B1754" s="5" t="s">
        <v>2681</v>
      </c>
      <c r="I1754" s="109"/>
      <c r="J1754" s="109"/>
      <c r="K1754" s="109"/>
      <c r="L1754" s="109" t="str">
        <f t="shared" si="27"/>
        <v>96-962500033</v>
      </c>
      <c r="M1754" s="114">
        <v>962500033</v>
      </c>
      <c r="N1754" s="114" t="s">
        <v>5814</v>
      </c>
    </row>
    <row r="1755" spans="1:14" ht="18">
      <c r="A1755" s="8" t="s">
        <v>1285</v>
      </c>
      <c r="B1755" s="5" t="s">
        <v>2681</v>
      </c>
      <c r="I1755" s="109"/>
      <c r="J1755" s="109"/>
      <c r="K1755" s="109"/>
      <c r="L1755" s="109" t="str">
        <f t="shared" si="27"/>
        <v>96-962500039</v>
      </c>
      <c r="M1755" s="114">
        <v>962500039</v>
      </c>
      <c r="N1755" s="114" t="s">
        <v>5814</v>
      </c>
    </row>
    <row r="1756" spans="1:14" ht="18">
      <c r="A1756" s="8" t="s">
        <v>1574</v>
      </c>
      <c r="B1756" s="5" t="s">
        <v>2681</v>
      </c>
      <c r="I1756" s="109"/>
      <c r="J1756" s="109"/>
      <c r="K1756" s="109"/>
      <c r="L1756" s="109" t="str">
        <f t="shared" si="27"/>
        <v>96-962500046</v>
      </c>
      <c r="M1756" s="114">
        <v>962500046</v>
      </c>
      <c r="N1756" s="114" t="s">
        <v>5814</v>
      </c>
    </row>
    <row r="1757" spans="1:14" ht="18">
      <c r="A1757" s="8" t="s">
        <v>1384</v>
      </c>
      <c r="B1757" s="5" t="s">
        <v>2681</v>
      </c>
      <c r="I1757" s="109"/>
      <c r="J1757" s="109"/>
      <c r="K1757" s="109"/>
      <c r="L1757" s="109" t="str">
        <f t="shared" si="27"/>
        <v>96-962500085</v>
      </c>
      <c r="M1757" s="114">
        <v>962500085</v>
      </c>
      <c r="N1757" s="114" t="s">
        <v>7231</v>
      </c>
    </row>
    <row r="1758" spans="1:14" ht="18">
      <c r="A1758" s="8" t="s">
        <v>1349</v>
      </c>
      <c r="B1758" s="5" t="s">
        <v>2681</v>
      </c>
      <c r="I1758" s="109"/>
      <c r="J1758" s="109"/>
      <c r="K1758" s="109"/>
      <c r="L1758" s="109" t="str">
        <f t="shared" si="27"/>
        <v>95-952500079</v>
      </c>
      <c r="M1758" s="114">
        <v>952500079</v>
      </c>
      <c r="N1758" s="114" t="s">
        <v>5738</v>
      </c>
    </row>
    <row r="1759" spans="1:14" ht="18">
      <c r="A1759" s="8" t="s">
        <v>1295</v>
      </c>
      <c r="B1759" s="5" t="s">
        <v>2681</v>
      </c>
      <c r="I1759" s="109"/>
      <c r="J1759" s="109"/>
      <c r="K1759" s="109"/>
      <c r="L1759" s="109" t="str">
        <f t="shared" si="27"/>
        <v>96-962500123</v>
      </c>
      <c r="M1759" s="114">
        <v>962500123</v>
      </c>
      <c r="N1759" s="114" t="s">
        <v>7145</v>
      </c>
    </row>
    <row r="1760" spans="1:14" ht="18">
      <c r="A1760" s="8" t="s">
        <v>1375</v>
      </c>
      <c r="B1760" s="5" t="s">
        <v>2681</v>
      </c>
      <c r="I1760" s="109"/>
      <c r="J1760" s="109"/>
      <c r="K1760" s="109"/>
      <c r="L1760" s="109" t="str">
        <f t="shared" si="27"/>
        <v>95-952500045</v>
      </c>
      <c r="M1760" s="114">
        <v>952500045</v>
      </c>
      <c r="N1760" s="114" t="s">
        <v>5682</v>
      </c>
    </row>
    <row r="1761" spans="1:14" ht="18">
      <c r="A1761" s="8" t="s">
        <v>1425</v>
      </c>
      <c r="B1761" s="5" t="s">
        <v>2681</v>
      </c>
      <c r="I1761" s="109"/>
      <c r="J1761" s="109"/>
      <c r="K1761" s="109"/>
      <c r="L1761" s="109" t="str">
        <f t="shared" si="27"/>
        <v>95-952500066</v>
      </c>
      <c r="M1761" s="114">
        <v>952500066</v>
      </c>
      <c r="N1761" s="114" t="s">
        <v>5709</v>
      </c>
    </row>
    <row r="1762" spans="1:14" ht="18">
      <c r="A1762" s="8" t="s">
        <v>1586</v>
      </c>
      <c r="B1762" s="5" t="s">
        <v>2681</v>
      </c>
      <c r="I1762" s="109"/>
      <c r="J1762" s="109"/>
      <c r="K1762" s="109"/>
      <c r="L1762" s="109" t="str">
        <f t="shared" si="27"/>
        <v>95-952500097</v>
      </c>
      <c r="M1762" s="114">
        <v>952500097</v>
      </c>
      <c r="N1762" s="114" t="s">
        <v>5755</v>
      </c>
    </row>
    <row r="1763" spans="1:14" ht="18">
      <c r="A1763" s="8" t="s">
        <v>1496</v>
      </c>
      <c r="B1763" s="5" t="s">
        <v>2681</v>
      </c>
      <c r="I1763" s="109"/>
      <c r="J1763" s="109"/>
      <c r="K1763" s="109"/>
      <c r="L1763" s="109" t="str">
        <f t="shared" si="27"/>
        <v>96-962500018</v>
      </c>
      <c r="M1763" s="114">
        <v>962500018</v>
      </c>
      <c r="N1763" s="114" t="s">
        <v>5792</v>
      </c>
    </row>
    <row r="1764" spans="1:14" ht="18">
      <c r="A1764" s="8" t="s">
        <v>1348</v>
      </c>
      <c r="B1764" s="5" t="s">
        <v>2681</v>
      </c>
      <c r="I1764" s="109"/>
      <c r="J1764" s="109"/>
      <c r="K1764" s="109"/>
      <c r="L1764" s="109" t="str">
        <f t="shared" si="27"/>
        <v>96-962500029</v>
      </c>
      <c r="M1764" s="114">
        <v>962500029</v>
      </c>
      <c r="N1764" s="114" t="s">
        <v>5812</v>
      </c>
    </row>
    <row r="1765" spans="1:14" ht="18">
      <c r="A1765" s="8" t="s">
        <v>1474</v>
      </c>
      <c r="B1765" s="5" t="s">
        <v>2681</v>
      </c>
      <c r="I1765" s="109"/>
      <c r="J1765" s="109"/>
      <c r="K1765" s="109"/>
      <c r="L1765" s="109" t="str">
        <f t="shared" si="27"/>
        <v>96-962500038</v>
      </c>
      <c r="M1765" s="114">
        <v>962500038</v>
      </c>
      <c r="N1765" s="114" t="s">
        <v>5780</v>
      </c>
    </row>
    <row r="1766" spans="1:14" ht="18">
      <c r="A1766" s="8" t="s">
        <v>1423</v>
      </c>
      <c r="B1766" s="5" t="s">
        <v>2681</v>
      </c>
      <c r="I1766" s="109"/>
      <c r="J1766" s="109"/>
      <c r="K1766" s="109"/>
      <c r="L1766" s="109" t="str">
        <f t="shared" si="27"/>
        <v>96-962500113</v>
      </c>
      <c r="M1766" s="114">
        <v>962500113</v>
      </c>
      <c r="N1766" s="114" t="s">
        <v>7211</v>
      </c>
    </row>
    <row r="1767" spans="1:14" ht="18">
      <c r="A1767" s="8" t="s">
        <v>1450</v>
      </c>
      <c r="B1767" s="5" t="s">
        <v>2681</v>
      </c>
      <c r="I1767" s="109"/>
      <c r="J1767" s="109"/>
      <c r="K1767" s="109"/>
      <c r="L1767" s="109" t="str">
        <f t="shared" si="27"/>
        <v>95-951100143</v>
      </c>
      <c r="M1767" s="114">
        <v>951100143</v>
      </c>
      <c r="N1767" s="114" t="s">
        <v>7559</v>
      </c>
    </row>
    <row r="1768" spans="1:14" ht="18">
      <c r="A1768" s="8" t="s">
        <v>1276</v>
      </c>
      <c r="B1768" s="5" t="s">
        <v>2681</v>
      </c>
      <c r="I1768" s="109"/>
      <c r="J1768" s="109"/>
      <c r="K1768" s="109"/>
      <c r="L1768" s="109" t="str">
        <f t="shared" si="27"/>
        <v>96-961100005</v>
      </c>
      <c r="M1768" s="114">
        <v>961100005</v>
      </c>
      <c r="N1768" s="114" t="s">
        <v>7560</v>
      </c>
    </row>
    <row r="1769" spans="1:14" ht="18">
      <c r="A1769" s="8" t="s">
        <v>1116</v>
      </c>
      <c r="B1769" s="5" t="s">
        <v>2681</v>
      </c>
      <c r="I1769" s="109"/>
      <c r="J1769" s="109"/>
      <c r="K1769" s="109"/>
      <c r="L1769" s="109" t="str">
        <f t="shared" si="27"/>
        <v>95-951700003</v>
      </c>
      <c r="M1769" s="114">
        <v>951700003</v>
      </c>
      <c r="N1769" s="114" t="s">
        <v>7565</v>
      </c>
    </row>
    <row r="1770" spans="1:14" ht="18">
      <c r="A1770" s="8" t="s">
        <v>1613</v>
      </c>
      <c r="B1770" s="5" t="s">
        <v>2681</v>
      </c>
      <c r="I1770" s="109"/>
      <c r="J1770" s="109"/>
      <c r="K1770" s="109"/>
      <c r="L1770" s="109" t="str">
        <f t="shared" si="27"/>
        <v>95-951700057</v>
      </c>
      <c r="M1770" s="114">
        <v>951700057</v>
      </c>
      <c r="N1770" s="114" t="s">
        <v>7566</v>
      </c>
    </row>
    <row r="1771" spans="1:14" ht="18">
      <c r="A1771" s="8" t="s">
        <v>1313</v>
      </c>
      <c r="B1771" s="5" t="s">
        <v>2681</v>
      </c>
      <c r="I1771" s="109"/>
      <c r="J1771" s="109"/>
      <c r="K1771" s="109"/>
      <c r="L1771" s="109" t="str">
        <f t="shared" si="27"/>
        <v>95-951700061</v>
      </c>
      <c r="M1771" s="114">
        <v>951700061</v>
      </c>
      <c r="N1771" s="114" t="s">
        <v>7566</v>
      </c>
    </row>
    <row r="1772" spans="1:14" ht="18">
      <c r="A1772" s="8" t="s">
        <v>1614</v>
      </c>
      <c r="B1772" s="5" t="s">
        <v>2681</v>
      </c>
      <c r="I1772" s="109"/>
      <c r="J1772" s="109"/>
      <c r="K1772" s="109"/>
      <c r="L1772" s="109" t="str">
        <f t="shared" si="27"/>
        <v>95-951100188</v>
      </c>
      <c r="M1772" s="114">
        <v>951100188</v>
      </c>
      <c r="N1772" s="114" t="s">
        <v>7985</v>
      </c>
    </row>
    <row r="1773" spans="1:14" ht="18">
      <c r="A1773" s="8" t="s">
        <v>1458</v>
      </c>
      <c r="B1773" s="5" t="s">
        <v>2681</v>
      </c>
      <c r="I1773" s="109"/>
      <c r="J1773" s="109"/>
      <c r="K1773" s="109"/>
      <c r="L1773" s="109" t="str">
        <f t="shared" si="27"/>
        <v>96-961100074</v>
      </c>
      <c r="M1773" s="114">
        <v>961100074</v>
      </c>
      <c r="N1773" s="114" t="s">
        <v>8732</v>
      </c>
    </row>
    <row r="1774" spans="1:14" ht="18">
      <c r="A1774" s="8" t="s">
        <v>1328</v>
      </c>
      <c r="B1774" s="5" t="s">
        <v>2681</v>
      </c>
      <c r="I1774" s="109"/>
      <c r="J1774" s="109"/>
      <c r="K1774" s="109"/>
      <c r="L1774" s="109" t="str">
        <f t="shared" si="27"/>
        <v>95-951100156</v>
      </c>
      <c r="M1774" s="114">
        <v>951100156</v>
      </c>
      <c r="N1774" s="114" t="s">
        <v>7415</v>
      </c>
    </row>
    <row r="1775" spans="1:14" ht="18">
      <c r="A1775" s="8" t="s">
        <v>1330</v>
      </c>
      <c r="B1775" s="5" t="s">
        <v>2681</v>
      </c>
      <c r="I1775" s="109"/>
      <c r="J1775" s="109"/>
      <c r="K1775" s="109"/>
      <c r="L1775" s="109" t="str">
        <f t="shared" si="27"/>
        <v>96-962000143</v>
      </c>
      <c r="M1775" s="114">
        <v>962000143</v>
      </c>
      <c r="N1775" s="114" t="s">
        <v>7112</v>
      </c>
    </row>
    <row r="1776" spans="1:14" ht="18">
      <c r="A1776" s="8" t="s">
        <v>1347</v>
      </c>
      <c r="B1776" s="5" t="s">
        <v>2681</v>
      </c>
      <c r="I1776" s="109"/>
      <c r="J1776" s="109"/>
      <c r="K1776" s="109"/>
      <c r="L1776" s="109" t="str">
        <f t="shared" si="27"/>
        <v>95-951700303</v>
      </c>
      <c r="M1776" s="114">
        <v>951700303</v>
      </c>
      <c r="N1776" s="114" t="s">
        <v>7161</v>
      </c>
    </row>
    <row r="1777" spans="1:14" ht="18">
      <c r="A1777" s="8" t="s">
        <v>1385</v>
      </c>
      <c r="B1777" s="5" t="s">
        <v>2681</v>
      </c>
      <c r="I1777" s="109"/>
      <c r="J1777" s="109"/>
      <c r="K1777" s="109"/>
      <c r="L1777" s="109" t="str">
        <f t="shared" si="27"/>
        <v>95-951700328</v>
      </c>
      <c r="M1777" s="114">
        <v>951700328</v>
      </c>
      <c r="N1777" s="114" t="s">
        <v>7481</v>
      </c>
    </row>
    <row r="1778" spans="1:14" ht="18">
      <c r="A1778" s="8" t="s">
        <v>1324</v>
      </c>
      <c r="B1778" s="5" t="s">
        <v>2681</v>
      </c>
      <c r="I1778" s="109"/>
      <c r="J1778" s="109"/>
      <c r="K1778" s="109"/>
      <c r="L1778" s="109" t="str">
        <f t="shared" si="27"/>
        <v>95-951700332</v>
      </c>
      <c r="M1778" s="114">
        <v>951700332</v>
      </c>
      <c r="N1778" s="114" t="s">
        <v>7481</v>
      </c>
    </row>
    <row r="1779" spans="1:14" ht="18">
      <c r="A1779" s="8" t="s">
        <v>1373</v>
      </c>
      <c r="B1779" s="5" t="s">
        <v>2681</v>
      </c>
      <c r="I1779" s="109"/>
      <c r="J1779" s="109"/>
      <c r="K1779" s="109"/>
      <c r="L1779" s="109" t="str">
        <f t="shared" si="27"/>
        <v>95-951700333</v>
      </c>
      <c r="M1779" s="114">
        <v>951700333</v>
      </c>
      <c r="N1779" s="114" t="s">
        <v>7481</v>
      </c>
    </row>
    <row r="1780" spans="1:14" ht="18">
      <c r="A1780" s="8" t="s">
        <v>1477</v>
      </c>
      <c r="B1780" s="5" t="s">
        <v>2681</v>
      </c>
      <c r="I1780" s="109"/>
      <c r="J1780" s="109"/>
      <c r="K1780" s="109"/>
      <c r="L1780" s="109" t="str">
        <f t="shared" si="27"/>
        <v>95-951700338</v>
      </c>
      <c r="M1780" s="114">
        <v>951700338</v>
      </c>
      <c r="N1780" s="114" t="s">
        <v>7567</v>
      </c>
    </row>
    <row r="1781" spans="1:14" ht="18">
      <c r="A1781" s="8" t="s">
        <v>1331</v>
      </c>
      <c r="B1781" s="5" t="s">
        <v>2681</v>
      </c>
      <c r="I1781" s="109"/>
      <c r="J1781" s="109"/>
      <c r="K1781" s="109"/>
      <c r="L1781" s="109" t="str">
        <f t="shared" si="27"/>
        <v>96-961700067</v>
      </c>
      <c r="M1781" s="114">
        <v>961700067</v>
      </c>
      <c r="N1781" s="114" t="s">
        <v>7147</v>
      </c>
    </row>
    <row r="1782" spans="1:14" ht="18">
      <c r="A1782" s="8" t="s">
        <v>1327</v>
      </c>
      <c r="B1782" s="5" t="s">
        <v>2681</v>
      </c>
      <c r="I1782" s="109"/>
      <c r="J1782" s="109"/>
      <c r="K1782" s="109"/>
      <c r="L1782" s="109" t="str">
        <f t="shared" si="27"/>
        <v>96-961700069</v>
      </c>
      <c r="M1782" s="114">
        <v>961700069</v>
      </c>
      <c r="N1782" s="114" t="s">
        <v>7147</v>
      </c>
    </row>
    <row r="1783" spans="1:14" ht="18">
      <c r="A1783" s="8" t="s">
        <v>1615</v>
      </c>
      <c r="B1783" s="5" t="s">
        <v>2681</v>
      </c>
      <c r="I1783" s="109"/>
      <c r="J1783" s="109"/>
      <c r="K1783" s="109"/>
      <c r="L1783" s="109" t="str">
        <f t="shared" si="27"/>
        <v>95-951700182</v>
      </c>
      <c r="M1783" s="114">
        <v>951700182</v>
      </c>
      <c r="N1783" s="114" t="s">
        <v>7573</v>
      </c>
    </row>
    <row r="1784" spans="1:14" ht="18">
      <c r="A1784" s="8" t="s">
        <v>1724</v>
      </c>
      <c r="B1784" s="5" t="s">
        <v>2681</v>
      </c>
      <c r="I1784" s="109"/>
      <c r="J1784" s="109"/>
      <c r="K1784" s="109"/>
      <c r="L1784" s="109" t="str">
        <f t="shared" si="27"/>
        <v>95-954200014</v>
      </c>
      <c r="M1784" s="114">
        <v>954200014</v>
      </c>
      <c r="N1784" s="114" t="s">
        <v>5641</v>
      </c>
    </row>
    <row r="1785" spans="1:14" ht="18">
      <c r="A1785" s="8" t="s">
        <v>1312</v>
      </c>
      <c r="B1785" s="5" t="s">
        <v>2681</v>
      </c>
      <c r="I1785" s="109"/>
      <c r="J1785" s="109"/>
      <c r="K1785" s="109"/>
      <c r="L1785" s="109" t="str">
        <f t="shared" si="27"/>
        <v>95-954200025</v>
      </c>
      <c r="M1785" s="114">
        <v>954200025</v>
      </c>
      <c r="N1785" s="114" t="s">
        <v>5641</v>
      </c>
    </row>
    <row r="1786" spans="1:14" ht="18">
      <c r="A1786" s="8" t="s">
        <v>1465</v>
      </c>
      <c r="B1786" s="5" t="s">
        <v>2681</v>
      </c>
      <c r="I1786" s="109"/>
      <c r="J1786" s="109"/>
      <c r="K1786" s="109"/>
      <c r="L1786" s="109" t="str">
        <f t="shared" si="27"/>
        <v>95-954200011</v>
      </c>
      <c r="M1786" s="114">
        <v>954200011</v>
      </c>
      <c r="N1786" s="114" t="s">
        <v>5642</v>
      </c>
    </row>
    <row r="1787" spans="1:14" ht="18">
      <c r="A1787" s="8" t="s">
        <v>1408</v>
      </c>
      <c r="B1787" s="5" t="s">
        <v>2681</v>
      </c>
      <c r="I1787" s="109"/>
      <c r="J1787" s="109"/>
      <c r="K1787" s="109"/>
      <c r="L1787" s="109" t="str">
        <f t="shared" si="27"/>
        <v>95-954200019</v>
      </c>
      <c r="M1787" s="114">
        <v>954200019</v>
      </c>
      <c r="N1787" s="114" t="s">
        <v>5642</v>
      </c>
    </row>
    <row r="1788" spans="1:14" ht="18">
      <c r="A1788" s="8" t="s">
        <v>1390</v>
      </c>
      <c r="B1788" s="5" t="s">
        <v>2681</v>
      </c>
      <c r="I1788" s="109"/>
      <c r="J1788" s="109"/>
      <c r="K1788" s="109"/>
      <c r="L1788" s="109" t="str">
        <f t="shared" si="27"/>
        <v>95-954200017</v>
      </c>
      <c r="M1788" s="114">
        <v>954200017</v>
      </c>
      <c r="N1788" s="114" t="s">
        <v>5630</v>
      </c>
    </row>
    <row r="1789" spans="1:14" ht="18">
      <c r="A1789" s="8" t="s">
        <v>1491</v>
      </c>
      <c r="B1789" s="5" t="s">
        <v>2681</v>
      </c>
      <c r="I1789" s="109"/>
      <c r="J1789" s="109"/>
      <c r="K1789" s="109"/>
      <c r="L1789" s="109" t="str">
        <f t="shared" si="27"/>
        <v>95-954200018</v>
      </c>
      <c r="M1789" s="114">
        <v>954200018</v>
      </c>
      <c r="N1789" s="114" t="s">
        <v>5630</v>
      </c>
    </row>
    <row r="1790" spans="1:14" ht="18">
      <c r="A1790" s="8" t="s">
        <v>1424</v>
      </c>
      <c r="B1790" s="5" t="s">
        <v>2681</v>
      </c>
      <c r="I1790" s="109"/>
      <c r="J1790" s="109"/>
      <c r="K1790" s="109"/>
      <c r="L1790" s="109" t="str">
        <f t="shared" si="27"/>
        <v>95-954200038</v>
      </c>
      <c r="M1790" s="114">
        <v>954200038</v>
      </c>
      <c r="N1790" s="114" t="s">
        <v>5645</v>
      </c>
    </row>
    <row r="1791" spans="1:14" ht="18">
      <c r="A1791" s="8" t="s">
        <v>1409</v>
      </c>
      <c r="B1791" s="5" t="s">
        <v>2681</v>
      </c>
      <c r="I1791" s="109"/>
      <c r="J1791" s="109"/>
      <c r="K1791" s="109"/>
      <c r="L1791" s="109" t="str">
        <f t="shared" si="27"/>
        <v>95-956200286</v>
      </c>
      <c r="M1791" s="114">
        <v>956200286</v>
      </c>
      <c r="N1791" s="114" t="s">
        <v>7284</v>
      </c>
    </row>
    <row r="1792" spans="1:14" ht="18">
      <c r="A1792" s="8" t="s">
        <v>1552</v>
      </c>
      <c r="B1792" s="5" t="s">
        <v>2681</v>
      </c>
      <c r="I1792" s="109"/>
      <c r="J1792" s="109"/>
      <c r="K1792" s="109"/>
      <c r="L1792" s="109" t="str">
        <f t="shared" si="27"/>
        <v>95-952000237</v>
      </c>
      <c r="M1792" s="114">
        <v>952000237</v>
      </c>
      <c r="N1792" s="114" t="s">
        <v>7248</v>
      </c>
    </row>
    <row r="1793" spans="1:14" ht="18">
      <c r="A1793" s="8" t="s">
        <v>1616</v>
      </c>
      <c r="B1793" s="5" t="s">
        <v>2681</v>
      </c>
      <c r="I1793" s="109"/>
      <c r="J1793" s="109"/>
      <c r="K1793" s="109"/>
      <c r="L1793" s="109" t="str">
        <f t="shared" si="27"/>
        <v>96-962000047</v>
      </c>
      <c r="M1793" s="114">
        <v>962000047</v>
      </c>
      <c r="N1793" s="114" t="s">
        <v>7112</v>
      </c>
    </row>
    <row r="1794" spans="1:14" ht="18">
      <c r="A1794" s="8" t="s">
        <v>1376</v>
      </c>
      <c r="B1794" s="5" t="s">
        <v>2681</v>
      </c>
      <c r="I1794" s="109"/>
      <c r="J1794" s="109"/>
      <c r="K1794" s="109"/>
      <c r="L1794" s="109" t="str">
        <f t="shared" si="27"/>
        <v>95-952000102</v>
      </c>
      <c r="M1794" s="114">
        <v>952000102</v>
      </c>
      <c r="N1794" s="114" t="s">
        <v>7321</v>
      </c>
    </row>
    <row r="1795" spans="1:14" ht="18">
      <c r="A1795" s="8" t="s">
        <v>1402</v>
      </c>
      <c r="B1795" s="5" t="s">
        <v>2681</v>
      </c>
      <c r="I1795" s="109"/>
      <c r="J1795" s="109"/>
      <c r="K1795" s="109"/>
      <c r="L1795" s="109" t="str">
        <f t="shared" ref="L1795:L1858" si="28">MID(M1795,1,2)&amp;"-"&amp;M1795</f>
        <v>96-962000024</v>
      </c>
      <c r="M1795" s="114">
        <v>962000024</v>
      </c>
      <c r="N1795" s="114" t="s">
        <v>7112</v>
      </c>
    </row>
    <row r="1796" spans="1:14" ht="18">
      <c r="A1796" s="8" t="s">
        <v>1472</v>
      </c>
      <c r="B1796" s="5" t="s">
        <v>2681</v>
      </c>
      <c r="I1796" s="109"/>
      <c r="J1796" s="109"/>
      <c r="K1796" s="109"/>
      <c r="L1796" s="109" t="str">
        <f t="shared" si="28"/>
        <v>95-952000142</v>
      </c>
      <c r="M1796" s="114">
        <v>952000142</v>
      </c>
      <c r="N1796" s="114" t="s">
        <v>7332</v>
      </c>
    </row>
    <row r="1797" spans="1:14" ht="18">
      <c r="A1797" s="8" t="s">
        <v>1352</v>
      </c>
      <c r="B1797" s="5" t="s">
        <v>2681</v>
      </c>
      <c r="I1797" s="109"/>
      <c r="J1797" s="109"/>
      <c r="K1797" s="109"/>
      <c r="L1797" s="109" t="str">
        <f t="shared" si="28"/>
        <v>96-962000054</v>
      </c>
      <c r="M1797" s="114">
        <v>962000054</v>
      </c>
      <c r="N1797" s="114" t="s">
        <v>7112</v>
      </c>
    </row>
    <row r="1798" spans="1:14" ht="18">
      <c r="A1798" s="8" t="s">
        <v>1360</v>
      </c>
      <c r="B1798" s="5" t="s">
        <v>2681</v>
      </c>
      <c r="I1798" s="109"/>
      <c r="J1798" s="109"/>
      <c r="K1798" s="109"/>
      <c r="L1798" s="109" t="str">
        <f t="shared" si="28"/>
        <v>95-952000175</v>
      </c>
      <c r="M1798" s="114">
        <v>952000175</v>
      </c>
      <c r="N1798" s="114" t="s">
        <v>7392</v>
      </c>
    </row>
    <row r="1799" spans="1:14" ht="18">
      <c r="A1799" s="8" t="s">
        <v>1460</v>
      </c>
      <c r="B1799" s="5" t="s">
        <v>2681</v>
      </c>
      <c r="I1799" s="109"/>
      <c r="J1799" s="109"/>
      <c r="K1799" s="109"/>
      <c r="L1799" s="109" t="str">
        <f t="shared" si="28"/>
        <v>95-952000299</v>
      </c>
      <c r="M1799" s="114">
        <v>952000299</v>
      </c>
      <c r="N1799" s="114" t="s">
        <v>7329</v>
      </c>
    </row>
    <row r="1800" spans="1:14" ht="18">
      <c r="A1800" s="8" t="s">
        <v>1617</v>
      </c>
      <c r="B1800" s="5" t="s">
        <v>2681</v>
      </c>
      <c r="I1800" s="109"/>
      <c r="J1800" s="109"/>
      <c r="K1800" s="109"/>
      <c r="L1800" s="109" t="str">
        <f t="shared" si="28"/>
        <v>95-952000146</v>
      </c>
      <c r="M1800" s="114">
        <v>952000146</v>
      </c>
      <c r="N1800" s="114" t="s">
        <v>7332</v>
      </c>
    </row>
    <row r="1801" spans="1:14" ht="18">
      <c r="A1801" s="8" t="s">
        <v>1484</v>
      </c>
      <c r="B1801" s="5" t="s">
        <v>2681</v>
      </c>
      <c r="I1801" s="109"/>
      <c r="J1801" s="109"/>
      <c r="K1801" s="109"/>
      <c r="L1801" s="109" t="str">
        <f t="shared" si="28"/>
        <v>95-952000316</v>
      </c>
      <c r="M1801" s="114">
        <v>952000316</v>
      </c>
      <c r="N1801" s="114" t="s">
        <v>7420</v>
      </c>
    </row>
    <row r="1802" spans="1:14" ht="18">
      <c r="A1802" s="8" t="s">
        <v>1361</v>
      </c>
      <c r="B1802" s="5" t="s">
        <v>2681</v>
      </c>
      <c r="I1802" s="109"/>
      <c r="J1802" s="109"/>
      <c r="K1802" s="109"/>
      <c r="L1802" s="109" t="str">
        <f t="shared" si="28"/>
        <v>95-956100012</v>
      </c>
      <c r="M1802" s="114">
        <v>956100012</v>
      </c>
      <c r="N1802" s="114" t="s">
        <v>7574</v>
      </c>
    </row>
    <row r="1803" spans="1:14" ht="18">
      <c r="A1803" s="8" t="s">
        <v>1344</v>
      </c>
      <c r="B1803" s="5" t="s">
        <v>2681</v>
      </c>
      <c r="I1803" s="109"/>
      <c r="J1803" s="109"/>
      <c r="K1803" s="109"/>
      <c r="L1803" s="109" t="str">
        <f t="shared" si="28"/>
        <v>96-961900079</v>
      </c>
      <c r="M1803" s="114">
        <v>961900079</v>
      </c>
      <c r="N1803" s="114" t="s">
        <v>7575</v>
      </c>
    </row>
    <row r="1804" spans="1:14" ht="18">
      <c r="A1804" s="8" t="s">
        <v>1590</v>
      </c>
      <c r="B1804" s="5" t="s">
        <v>2681</v>
      </c>
      <c r="I1804" s="109"/>
      <c r="J1804" s="109"/>
      <c r="K1804" s="109"/>
      <c r="L1804" s="109" t="str">
        <f t="shared" si="28"/>
        <v>96-961800024</v>
      </c>
      <c r="M1804" s="114">
        <v>961800024</v>
      </c>
      <c r="N1804" s="114" t="s">
        <v>7576</v>
      </c>
    </row>
    <row r="1805" spans="1:14" ht="18">
      <c r="A1805" s="8" t="s">
        <v>1475</v>
      </c>
      <c r="B1805" s="5" t="s">
        <v>2681</v>
      </c>
      <c r="I1805" s="109"/>
      <c r="J1805" s="109"/>
      <c r="K1805" s="109"/>
      <c r="L1805" s="109" t="str">
        <f t="shared" si="28"/>
        <v>95-951400055</v>
      </c>
      <c r="M1805" s="114">
        <v>951400055</v>
      </c>
      <c r="N1805" s="114" t="s">
        <v>7577</v>
      </c>
    </row>
    <row r="1806" spans="1:14" ht="18">
      <c r="A1806" s="8" t="s">
        <v>1476</v>
      </c>
      <c r="B1806" s="5" t="s">
        <v>2681</v>
      </c>
      <c r="I1806" s="109"/>
      <c r="J1806" s="109"/>
      <c r="K1806" s="109"/>
      <c r="L1806" s="109" t="str">
        <f t="shared" si="28"/>
        <v>95-951000003</v>
      </c>
      <c r="M1806" s="114">
        <v>951000003</v>
      </c>
      <c r="N1806" s="114" t="s">
        <v>7580</v>
      </c>
    </row>
    <row r="1807" spans="1:14" ht="18">
      <c r="A1807" s="8" t="s">
        <v>1367</v>
      </c>
      <c r="B1807" s="5" t="s">
        <v>2681</v>
      </c>
      <c r="I1807" s="109"/>
      <c r="J1807" s="109"/>
      <c r="K1807" s="109"/>
      <c r="L1807" s="109" t="str">
        <f t="shared" si="28"/>
        <v>95-951000005</v>
      </c>
      <c r="M1807" s="114">
        <v>951000005</v>
      </c>
      <c r="N1807" s="114" t="s">
        <v>7580</v>
      </c>
    </row>
    <row r="1808" spans="1:14" ht="18">
      <c r="A1808" s="8" t="s">
        <v>1382</v>
      </c>
      <c r="B1808" s="5" t="s">
        <v>2681</v>
      </c>
      <c r="I1808" s="109"/>
      <c r="J1808" s="109"/>
      <c r="K1808" s="109"/>
      <c r="L1808" s="109" t="str">
        <f t="shared" si="28"/>
        <v>96-961400007</v>
      </c>
      <c r="M1808" s="114">
        <v>961400007</v>
      </c>
      <c r="N1808" s="114" t="s">
        <v>7581</v>
      </c>
    </row>
    <row r="1809" spans="1:14" ht="18">
      <c r="A1809" s="8" t="s">
        <v>1394</v>
      </c>
      <c r="B1809" s="5" t="s">
        <v>2681</v>
      </c>
      <c r="I1809" s="109"/>
      <c r="J1809" s="109"/>
      <c r="K1809" s="109"/>
      <c r="L1809" s="109" t="str">
        <f t="shared" si="28"/>
        <v>96-966000005</v>
      </c>
      <c r="M1809" s="114">
        <v>966000005</v>
      </c>
      <c r="N1809" s="114" t="s">
        <v>7146</v>
      </c>
    </row>
    <row r="1810" spans="1:14" ht="18">
      <c r="A1810" s="8" t="s">
        <v>1405</v>
      </c>
      <c r="B1810" s="5" t="s">
        <v>2681</v>
      </c>
      <c r="I1810" s="109"/>
      <c r="J1810" s="109"/>
      <c r="K1810" s="109"/>
      <c r="L1810" s="109" t="str">
        <f t="shared" si="28"/>
        <v>96-966000016</v>
      </c>
      <c r="M1810" s="114">
        <v>966000016</v>
      </c>
      <c r="N1810" s="114" t="s">
        <v>7183</v>
      </c>
    </row>
    <row r="1811" spans="1:14" ht="18">
      <c r="A1811" s="8" t="s">
        <v>1407</v>
      </c>
      <c r="B1811" s="5" t="s">
        <v>2681</v>
      </c>
      <c r="I1811" s="109"/>
      <c r="J1811" s="109"/>
      <c r="K1811" s="109"/>
      <c r="L1811" s="109" t="str">
        <f t="shared" si="28"/>
        <v>96-962000060</v>
      </c>
      <c r="M1811" s="114">
        <v>962000060</v>
      </c>
      <c r="N1811" s="114" t="s">
        <v>7112</v>
      </c>
    </row>
    <row r="1812" spans="1:14" ht="18">
      <c r="A1812" s="8" t="s">
        <v>1114</v>
      </c>
      <c r="B1812" s="5" t="s">
        <v>2681</v>
      </c>
      <c r="I1812" s="109"/>
      <c r="J1812" s="109"/>
      <c r="K1812" s="109"/>
      <c r="L1812" s="109" t="str">
        <f t="shared" si="28"/>
        <v>96-962000076</v>
      </c>
      <c r="M1812" s="114">
        <v>962000076</v>
      </c>
      <c r="N1812" s="114" t="s">
        <v>7112</v>
      </c>
    </row>
    <row r="1813" spans="1:14" ht="18">
      <c r="A1813" s="8" t="s">
        <v>1401</v>
      </c>
      <c r="B1813" s="5" t="s">
        <v>2681</v>
      </c>
      <c r="I1813" s="109"/>
      <c r="J1813" s="109"/>
      <c r="K1813" s="109"/>
      <c r="L1813" s="109" t="str">
        <f t="shared" si="28"/>
        <v>95-952000104</v>
      </c>
      <c r="M1813" s="114">
        <v>952000104</v>
      </c>
      <c r="N1813" s="114" t="s">
        <v>7321</v>
      </c>
    </row>
    <row r="1814" spans="1:14" ht="18">
      <c r="A1814" s="8" t="s">
        <v>1459</v>
      </c>
      <c r="B1814" s="5" t="s">
        <v>2681</v>
      </c>
      <c r="I1814" s="109"/>
      <c r="J1814" s="109"/>
      <c r="K1814" s="109"/>
      <c r="L1814" s="109" t="str">
        <f t="shared" si="28"/>
        <v>95-952000250</v>
      </c>
      <c r="M1814" s="114">
        <v>952000250</v>
      </c>
      <c r="N1814" s="114" t="s">
        <v>7327</v>
      </c>
    </row>
    <row r="1815" spans="1:14" ht="18">
      <c r="A1815" s="8" t="s">
        <v>2344</v>
      </c>
      <c r="B1815" s="5" t="s">
        <v>2681</v>
      </c>
      <c r="I1815" s="109"/>
      <c r="J1815" s="109"/>
      <c r="K1815" s="109"/>
      <c r="L1815" s="109" t="str">
        <f t="shared" si="28"/>
        <v>96-962000097</v>
      </c>
      <c r="M1815" s="114">
        <v>962000097</v>
      </c>
      <c r="N1815" s="114" t="s">
        <v>7112</v>
      </c>
    </row>
    <row r="1816" spans="1:14" ht="18">
      <c r="A1816" s="8" t="s">
        <v>1335</v>
      </c>
      <c r="B1816" s="5" t="s">
        <v>2681</v>
      </c>
      <c r="I1816" s="109"/>
      <c r="J1816" s="109"/>
      <c r="K1816" s="109"/>
      <c r="L1816" s="109" t="str">
        <f t="shared" si="28"/>
        <v>95-952000141</v>
      </c>
      <c r="M1816" s="114">
        <v>952000141</v>
      </c>
      <c r="N1816" s="114" t="s">
        <v>7332</v>
      </c>
    </row>
    <row r="1817" spans="1:14" ht="18">
      <c r="A1817" s="8" t="s">
        <v>1462</v>
      </c>
      <c r="B1817" s="5" t="s">
        <v>2681</v>
      </c>
      <c r="I1817" s="109"/>
      <c r="J1817" s="109"/>
      <c r="K1817" s="109"/>
      <c r="L1817" s="109" t="str">
        <f t="shared" si="28"/>
        <v>96-962000152</v>
      </c>
      <c r="M1817" s="114">
        <v>962000152</v>
      </c>
      <c r="N1817" s="114" t="s">
        <v>7112</v>
      </c>
    </row>
    <row r="1818" spans="1:14" ht="18">
      <c r="A1818" s="8" t="s">
        <v>1618</v>
      </c>
      <c r="B1818" s="5" t="s">
        <v>2681</v>
      </c>
      <c r="I1818" s="109"/>
      <c r="J1818" s="109"/>
      <c r="K1818" s="109"/>
      <c r="L1818" s="109" t="str">
        <f t="shared" si="28"/>
        <v>96-962000064</v>
      </c>
      <c r="M1818" s="114">
        <v>962000064</v>
      </c>
      <c r="N1818" s="114" t="s">
        <v>7112</v>
      </c>
    </row>
    <row r="1819" spans="1:14" ht="18">
      <c r="A1819" s="8" t="s">
        <v>1377</v>
      </c>
      <c r="B1819" s="5" t="s">
        <v>2681</v>
      </c>
      <c r="I1819" s="109"/>
      <c r="J1819" s="109"/>
      <c r="K1819" s="109"/>
      <c r="L1819" s="109" t="str">
        <f t="shared" si="28"/>
        <v>96-962000072</v>
      </c>
      <c r="M1819" s="114">
        <v>962000072</v>
      </c>
      <c r="N1819" s="114" t="s">
        <v>7112</v>
      </c>
    </row>
    <row r="1820" spans="1:14" ht="18">
      <c r="A1820" s="8" t="s">
        <v>1557</v>
      </c>
      <c r="B1820" s="5" t="s">
        <v>2681</v>
      </c>
      <c r="I1820" s="109"/>
      <c r="J1820" s="109"/>
      <c r="K1820" s="109"/>
      <c r="L1820" s="109" t="str">
        <f t="shared" si="28"/>
        <v>96-962000031</v>
      </c>
      <c r="M1820" s="114">
        <v>962000031</v>
      </c>
      <c r="N1820" s="114" t="s">
        <v>7112</v>
      </c>
    </row>
    <row r="1821" spans="1:14" ht="18">
      <c r="A1821" s="8" t="s">
        <v>1744</v>
      </c>
      <c r="B1821" s="5" t="s">
        <v>2681</v>
      </c>
      <c r="I1821" s="109"/>
      <c r="J1821" s="109"/>
      <c r="K1821" s="109"/>
      <c r="L1821" s="109" t="str">
        <f t="shared" si="28"/>
        <v>95-956100018</v>
      </c>
      <c r="M1821" s="114">
        <v>956100018</v>
      </c>
      <c r="N1821" s="114" t="s">
        <v>7488</v>
      </c>
    </row>
    <row r="1822" spans="1:14" ht="18">
      <c r="A1822" s="8" t="s">
        <v>1374</v>
      </c>
      <c r="B1822" s="5" t="s">
        <v>2681</v>
      </c>
      <c r="I1822" s="109"/>
      <c r="J1822" s="109"/>
      <c r="K1822" s="109"/>
      <c r="L1822" s="109" t="str">
        <f t="shared" si="28"/>
        <v>96-961700139</v>
      </c>
      <c r="M1822" s="114">
        <v>961700139</v>
      </c>
      <c r="N1822" s="114" t="s">
        <v>8733</v>
      </c>
    </row>
    <row r="1823" spans="1:14" ht="18">
      <c r="A1823" s="8" t="s">
        <v>1415</v>
      </c>
      <c r="B1823" s="5" t="s">
        <v>2681</v>
      </c>
      <c r="I1823" s="109"/>
      <c r="J1823" s="109"/>
      <c r="K1823" s="109"/>
      <c r="L1823" s="109" t="str">
        <f t="shared" si="28"/>
        <v>95-951600015</v>
      </c>
      <c r="M1823" s="114">
        <v>951600015</v>
      </c>
      <c r="N1823" s="114" t="s">
        <v>7582</v>
      </c>
    </row>
    <row r="1824" spans="1:14" ht="18">
      <c r="A1824" s="8" t="s">
        <v>1416</v>
      </c>
      <c r="B1824" s="5" t="s">
        <v>2681</v>
      </c>
      <c r="I1824" s="109"/>
      <c r="J1824" s="109"/>
      <c r="K1824" s="109"/>
      <c r="L1824" s="109" t="str">
        <f t="shared" si="28"/>
        <v>95-951800119</v>
      </c>
      <c r="M1824" s="114">
        <v>951800119</v>
      </c>
      <c r="N1824" s="114" t="s">
        <v>7583</v>
      </c>
    </row>
    <row r="1825" spans="1:14" ht="18">
      <c r="A1825" s="8" t="s">
        <v>1427</v>
      </c>
      <c r="B1825" s="5" t="s">
        <v>2681</v>
      </c>
      <c r="I1825" s="109"/>
      <c r="J1825" s="109"/>
      <c r="K1825" s="109"/>
      <c r="L1825" s="109" t="str">
        <f t="shared" si="28"/>
        <v>95-951800014</v>
      </c>
      <c r="M1825" s="114">
        <v>951800014</v>
      </c>
      <c r="N1825" s="114" t="s">
        <v>7584</v>
      </c>
    </row>
    <row r="1826" spans="1:14" ht="18">
      <c r="A1826" s="8" t="s">
        <v>1368</v>
      </c>
      <c r="B1826" s="5" t="s">
        <v>2681</v>
      </c>
      <c r="I1826" s="109"/>
      <c r="J1826" s="109"/>
      <c r="K1826" s="109"/>
      <c r="L1826" s="109" t="str">
        <f t="shared" si="28"/>
        <v>95-951900068</v>
      </c>
      <c r="M1826" s="114">
        <v>951900068</v>
      </c>
      <c r="N1826" s="114" t="s">
        <v>7589</v>
      </c>
    </row>
    <row r="1827" spans="1:14" ht="18">
      <c r="A1827" s="8" t="s">
        <v>1515</v>
      </c>
      <c r="B1827" s="5" t="s">
        <v>2681</v>
      </c>
      <c r="I1827" s="109"/>
      <c r="J1827" s="109"/>
      <c r="K1827" s="109"/>
      <c r="L1827" s="109" t="str">
        <f t="shared" si="28"/>
        <v>95-951800134</v>
      </c>
      <c r="M1827" s="114">
        <v>951800134</v>
      </c>
      <c r="N1827" s="114" t="s">
        <v>7590</v>
      </c>
    </row>
    <row r="1828" spans="1:14" ht="18">
      <c r="A1828" s="8" t="s">
        <v>1418</v>
      </c>
      <c r="B1828" s="5" t="s">
        <v>2681</v>
      </c>
      <c r="I1828" s="109"/>
      <c r="J1828" s="109"/>
      <c r="K1828" s="109"/>
      <c r="L1828" s="109" t="str">
        <f t="shared" si="28"/>
        <v>95-956200235</v>
      </c>
      <c r="M1828" s="114">
        <v>956200235</v>
      </c>
      <c r="N1828" s="114" t="s">
        <v>7495</v>
      </c>
    </row>
    <row r="1829" spans="1:14" ht="18">
      <c r="A1829" s="8" t="s">
        <v>1378</v>
      </c>
      <c r="B1829" s="5" t="s">
        <v>2681</v>
      </c>
      <c r="I1829" s="109"/>
      <c r="J1829" s="109"/>
      <c r="K1829" s="109"/>
      <c r="L1829" s="109" t="str">
        <f t="shared" si="28"/>
        <v>96-961800040</v>
      </c>
      <c r="M1829" s="114">
        <v>961800040</v>
      </c>
      <c r="N1829" s="114" t="s">
        <v>8134</v>
      </c>
    </row>
    <row r="1830" spans="1:14" ht="18">
      <c r="A1830" s="8" t="s">
        <v>1619</v>
      </c>
      <c r="B1830" s="5" t="s">
        <v>2681</v>
      </c>
      <c r="I1830" s="109"/>
      <c r="J1830" s="109"/>
      <c r="K1830" s="109"/>
      <c r="L1830" s="109" t="str">
        <f t="shared" si="28"/>
        <v>96-961100035</v>
      </c>
      <c r="M1830" s="114">
        <v>961100035</v>
      </c>
      <c r="N1830" s="114" t="s">
        <v>8135</v>
      </c>
    </row>
    <row r="1831" spans="1:14" ht="18">
      <c r="A1831" s="8" t="s">
        <v>1419</v>
      </c>
      <c r="B1831" s="5" t="s">
        <v>2681</v>
      </c>
      <c r="I1831" s="109"/>
      <c r="J1831" s="109"/>
      <c r="K1831" s="109"/>
      <c r="L1831" s="109" t="str">
        <f t="shared" si="28"/>
        <v>95-951900014</v>
      </c>
      <c r="M1831" s="114">
        <v>951900014</v>
      </c>
      <c r="N1831" s="114" t="s">
        <v>8085</v>
      </c>
    </row>
    <row r="1832" spans="1:14" ht="18">
      <c r="A1832" s="8" t="s">
        <v>1386</v>
      </c>
      <c r="B1832" s="5" t="s">
        <v>2681</v>
      </c>
      <c r="I1832" s="109"/>
      <c r="J1832" s="109"/>
      <c r="K1832" s="109"/>
      <c r="L1832" s="109" t="str">
        <f t="shared" si="28"/>
        <v>95-951900016</v>
      </c>
      <c r="M1832" s="114">
        <v>951900016</v>
      </c>
      <c r="N1832" s="114" t="s">
        <v>8085</v>
      </c>
    </row>
    <row r="1833" spans="1:14" ht="18">
      <c r="A1833" s="8" t="s">
        <v>1511</v>
      </c>
      <c r="B1833" s="5" t="s">
        <v>2681</v>
      </c>
      <c r="I1833" s="109"/>
      <c r="J1833" s="109"/>
      <c r="K1833" s="109"/>
      <c r="L1833" s="109" t="str">
        <f t="shared" si="28"/>
        <v>95-951900013</v>
      </c>
      <c r="M1833" s="114">
        <v>951900013</v>
      </c>
      <c r="N1833" s="114" t="s">
        <v>8085</v>
      </c>
    </row>
    <row r="1834" spans="1:14" ht="18">
      <c r="A1834" s="8" t="s">
        <v>1539</v>
      </c>
      <c r="B1834" s="5" t="s">
        <v>2681</v>
      </c>
      <c r="I1834" s="109"/>
      <c r="J1834" s="109"/>
      <c r="K1834" s="109"/>
      <c r="L1834" s="109" t="str">
        <f t="shared" si="28"/>
        <v>95-951700325</v>
      </c>
      <c r="M1834" s="114">
        <v>951700325</v>
      </c>
      <c r="N1834" s="114" t="s">
        <v>7481</v>
      </c>
    </row>
    <row r="1835" spans="1:14" ht="18">
      <c r="A1835" s="8" t="s">
        <v>1620</v>
      </c>
      <c r="B1835" s="5" t="s">
        <v>2681</v>
      </c>
      <c r="I1835" s="109"/>
      <c r="J1835" s="109"/>
      <c r="K1835" s="109"/>
      <c r="L1835" s="109" t="str">
        <f t="shared" si="28"/>
        <v>96-961700068</v>
      </c>
      <c r="M1835" s="114">
        <v>961700068</v>
      </c>
      <c r="N1835" s="114" t="s">
        <v>7147</v>
      </c>
    </row>
    <row r="1836" spans="1:14" ht="18">
      <c r="A1836" s="8" t="s">
        <v>1429</v>
      </c>
      <c r="B1836" s="5" t="s">
        <v>2681</v>
      </c>
      <c r="I1836" s="109"/>
      <c r="J1836" s="109"/>
      <c r="K1836" s="109"/>
      <c r="L1836" s="109" t="str">
        <f t="shared" si="28"/>
        <v>96-962000029</v>
      </c>
      <c r="M1836" s="114">
        <v>962000029</v>
      </c>
      <c r="N1836" s="114" t="s">
        <v>7112</v>
      </c>
    </row>
    <row r="1837" spans="1:14" ht="18">
      <c r="A1837" s="8" t="s">
        <v>1516</v>
      </c>
      <c r="B1837" s="5" t="s">
        <v>2681</v>
      </c>
      <c r="I1837" s="109"/>
      <c r="J1837" s="109"/>
      <c r="K1837" s="109"/>
      <c r="L1837" s="109" t="str">
        <f t="shared" si="28"/>
        <v>95-952000066</v>
      </c>
      <c r="M1837" s="114">
        <v>952000066</v>
      </c>
      <c r="N1837" s="114" t="s">
        <v>7421</v>
      </c>
    </row>
    <row r="1838" spans="1:14" ht="18">
      <c r="A1838" s="8" t="s">
        <v>1403</v>
      </c>
      <c r="B1838" s="5" t="s">
        <v>2681</v>
      </c>
      <c r="I1838" s="109"/>
      <c r="J1838" s="109"/>
      <c r="K1838" s="109"/>
      <c r="L1838" s="109" t="str">
        <f t="shared" si="28"/>
        <v>95-952000201</v>
      </c>
      <c r="M1838" s="114">
        <v>952000201</v>
      </c>
      <c r="N1838" s="114" t="s">
        <v>7342</v>
      </c>
    </row>
    <row r="1839" spans="1:14" ht="18">
      <c r="A1839" s="8" t="s">
        <v>1428</v>
      </c>
      <c r="B1839" s="5" t="s">
        <v>2681</v>
      </c>
      <c r="I1839" s="109"/>
      <c r="J1839" s="109"/>
      <c r="K1839" s="109"/>
      <c r="L1839" s="109" t="str">
        <f t="shared" si="28"/>
        <v>95-956200369</v>
      </c>
      <c r="M1839" s="114">
        <v>956200369</v>
      </c>
      <c r="N1839" s="114" t="s">
        <v>7393</v>
      </c>
    </row>
    <row r="1840" spans="1:14" ht="18">
      <c r="A1840" s="8" t="s">
        <v>1406</v>
      </c>
      <c r="B1840" s="5" t="s">
        <v>2681</v>
      </c>
      <c r="I1840" s="109"/>
      <c r="J1840" s="109"/>
      <c r="K1840" s="109"/>
      <c r="L1840" s="109" t="str">
        <f t="shared" si="28"/>
        <v>95-952000103</v>
      </c>
      <c r="M1840" s="114">
        <v>952000103</v>
      </c>
      <c r="N1840" s="114" t="s">
        <v>7321</v>
      </c>
    </row>
    <row r="1841" spans="1:14" ht="18">
      <c r="A1841" s="8" t="s">
        <v>1512</v>
      </c>
      <c r="B1841" s="5" t="s">
        <v>2681</v>
      </c>
      <c r="I1841" s="109"/>
      <c r="J1841" s="109"/>
      <c r="K1841" s="109"/>
      <c r="L1841" s="109" t="str">
        <f t="shared" si="28"/>
        <v>95-952000202</v>
      </c>
      <c r="M1841" s="114">
        <v>952000202</v>
      </c>
      <c r="N1841" s="114" t="s">
        <v>7342</v>
      </c>
    </row>
    <row r="1842" spans="1:14" ht="18">
      <c r="A1842" s="8" t="s">
        <v>1743</v>
      </c>
      <c r="B1842" s="5" t="s">
        <v>2681</v>
      </c>
      <c r="I1842" s="109"/>
      <c r="J1842" s="109"/>
      <c r="K1842" s="109"/>
      <c r="L1842" s="109" t="str">
        <f t="shared" si="28"/>
        <v>95-952000067</v>
      </c>
      <c r="M1842" s="114">
        <v>952000067</v>
      </c>
      <c r="N1842" s="114" t="s">
        <v>7421</v>
      </c>
    </row>
    <row r="1843" spans="1:14" ht="18">
      <c r="A1843" s="8" t="s">
        <v>1550</v>
      </c>
      <c r="B1843" s="5" t="s">
        <v>2681</v>
      </c>
      <c r="I1843" s="109"/>
      <c r="J1843" s="109"/>
      <c r="K1843" s="109"/>
      <c r="L1843" s="109" t="str">
        <f t="shared" si="28"/>
        <v>95-951400181</v>
      </c>
      <c r="M1843" s="114">
        <v>951400181</v>
      </c>
      <c r="N1843" s="114" t="s">
        <v>7591</v>
      </c>
    </row>
    <row r="1844" spans="1:14" ht="18">
      <c r="A1844" s="8" t="s">
        <v>1479</v>
      </c>
      <c r="B1844" s="5" t="s">
        <v>2681</v>
      </c>
      <c r="I1844" s="109"/>
      <c r="J1844" s="109"/>
      <c r="K1844" s="109"/>
      <c r="L1844" s="109" t="str">
        <f t="shared" si="28"/>
        <v>96-961800004</v>
      </c>
      <c r="M1844" s="114">
        <v>961800004</v>
      </c>
      <c r="N1844" s="114" t="s">
        <v>7592</v>
      </c>
    </row>
    <row r="1845" spans="1:14" ht="18">
      <c r="A1845" s="8" t="s">
        <v>1506</v>
      </c>
      <c r="B1845" s="5" t="s">
        <v>2681</v>
      </c>
      <c r="I1845" s="109"/>
      <c r="J1845" s="109"/>
      <c r="K1845" s="109"/>
      <c r="L1845" s="109" t="str">
        <f t="shared" si="28"/>
        <v>95-951900099</v>
      </c>
      <c r="M1845" s="114">
        <v>951900099</v>
      </c>
      <c r="N1845" s="114" t="s">
        <v>7593</v>
      </c>
    </row>
    <row r="1846" spans="1:14" ht="18">
      <c r="A1846" s="8" t="s">
        <v>1621</v>
      </c>
      <c r="B1846" s="5" t="s">
        <v>2681</v>
      </c>
      <c r="I1846" s="109"/>
      <c r="J1846" s="109"/>
      <c r="K1846" s="109"/>
      <c r="L1846" s="109" t="str">
        <f t="shared" si="28"/>
        <v>95-951400088</v>
      </c>
      <c r="M1846" s="114">
        <v>951400088</v>
      </c>
      <c r="N1846" s="114" t="s">
        <v>7648</v>
      </c>
    </row>
    <row r="1847" spans="1:14" ht="18">
      <c r="A1847" s="8" t="s">
        <v>1622</v>
      </c>
      <c r="B1847" s="5" t="s">
        <v>2681</v>
      </c>
      <c r="I1847" s="109"/>
      <c r="J1847" s="109"/>
      <c r="K1847" s="109"/>
      <c r="L1847" s="109" t="str">
        <f t="shared" si="28"/>
        <v>95-951700204</v>
      </c>
      <c r="M1847" s="114">
        <v>951700204</v>
      </c>
      <c r="N1847" s="114" t="s">
        <v>8137</v>
      </c>
    </row>
    <row r="1848" spans="1:14" ht="18">
      <c r="A1848" s="8" t="s">
        <v>1549</v>
      </c>
      <c r="B1848" s="5" t="s">
        <v>2681</v>
      </c>
      <c r="I1848" s="109"/>
      <c r="J1848" s="109"/>
      <c r="K1848" s="109"/>
      <c r="L1848" s="109" t="str">
        <f t="shared" si="28"/>
        <v>95-951400068</v>
      </c>
      <c r="M1848" s="114">
        <v>951400068</v>
      </c>
      <c r="N1848" s="114" t="s">
        <v>8138</v>
      </c>
    </row>
    <row r="1849" spans="1:14" ht="18">
      <c r="A1849" s="8" t="s">
        <v>1623</v>
      </c>
      <c r="B1849" s="5" t="s">
        <v>2681</v>
      </c>
      <c r="I1849" s="109"/>
      <c r="J1849" s="109"/>
      <c r="K1849" s="109"/>
      <c r="L1849" s="109" t="str">
        <f t="shared" si="28"/>
        <v>95-952000177</v>
      </c>
      <c r="M1849" s="114">
        <v>952000177</v>
      </c>
      <c r="N1849" s="114" t="s">
        <v>7392</v>
      </c>
    </row>
    <row r="1850" spans="1:14" ht="18">
      <c r="A1850" s="8" t="s">
        <v>1430</v>
      </c>
      <c r="B1850" s="5" t="s">
        <v>2681</v>
      </c>
      <c r="I1850" s="109"/>
      <c r="J1850" s="109"/>
      <c r="K1850" s="109"/>
      <c r="L1850" s="109" t="str">
        <f t="shared" si="28"/>
        <v>96-962000198</v>
      </c>
      <c r="M1850" s="114">
        <v>962000198</v>
      </c>
      <c r="N1850" s="114" t="s">
        <v>7112</v>
      </c>
    </row>
    <row r="1851" spans="1:14" ht="18">
      <c r="A1851" s="8" t="s">
        <v>1624</v>
      </c>
      <c r="B1851" s="5" t="s">
        <v>2681</v>
      </c>
      <c r="I1851" s="109"/>
      <c r="J1851" s="109"/>
      <c r="K1851" s="109"/>
      <c r="L1851" s="109" t="str">
        <f t="shared" si="28"/>
        <v>96-962000200</v>
      </c>
      <c r="M1851" s="114">
        <v>962000200</v>
      </c>
      <c r="N1851" s="114" t="s">
        <v>7112</v>
      </c>
    </row>
    <row r="1852" spans="1:14" ht="18">
      <c r="A1852" s="8" t="s">
        <v>1625</v>
      </c>
      <c r="B1852" s="5" t="s">
        <v>2681</v>
      </c>
      <c r="I1852" s="109"/>
      <c r="J1852" s="109"/>
      <c r="K1852" s="109"/>
      <c r="L1852" s="109" t="str">
        <f t="shared" si="28"/>
        <v>95-952000173</v>
      </c>
      <c r="M1852" s="114">
        <v>952000173</v>
      </c>
      <c r="N1852" s="114" t="s">
        <v>7392</v>
      </c>
    </row>
    <row r="1853" spans="1:14" ht="18">
      <c r="A1853" s="8" t="s">
        <v>1538</v>
      </c>
      <c r="B1853" s="5" t="s">
        <v>2681</v>
      </c>
      <c r="I1853" s="109"/>
      <c r="J1853" s="109"/>
      <c r="K1853" s="109"/>
      <c r="L1853" s="109" t="str">
        <f t="shared" si="28"/>
        <v>95-956200330</v>
      </c>
      <c r="M1853" s="114">
        <v>956200330</v>
      </c>
      <c r="N1853" s="114" t="s">
        <v>7289</v>
      </c>
    </row>
    <row r="1854" spans="1:14" ht="18">
      <c r="A1854" s="8" t="s">
        <v>1411</v>
      </c>
      <c r="B1854" s="5" t="s">
        <v>2681</v>
      </c>
      <c r="I1854" s="109"/>
      <c r="J1854" s="109"/>
      <c r="K1854" s="109"/>
      <c r="L1854" s="109" t="str">
        <f t="shared" si="28"/>
        <v>95-952000063</v>
      </c>
      <c r="M1854" s="114">
        <v>952000063</v>
      </c>
      <c r="N1854" s="114" t="s">
        <v>7421</v>
      </c>
    </row>
    <row r="1855" spans="1:14" ht="18">
      <c r="A1855" s="8" t="s">
        <v>1589</v>
      </c>
      <c r="B1855" s="5" t="s">
        <v>2681</v>
      </c>
      <c r="I1855" s="109"/>
      <c r="J1855" s="109"/>
      <c r="K1855" s="109"/>
      <c r="L1855" s="109" t="str">
        <f t="shared" si="28"/>
        <v>95-952000197</v>
      </c>
      <c r="M1855" s="114">
        <v>952000197</v>
      </c>
      <c r="N1855" s="114" t="s">
        <v>7342</v>
      </c>
    </row>
    <row r="1856" spans="1:14" ht="18">
      <c r="A1856" s="8" t="s">
        <v>1504</v>
      </c>
      <c r="B1856" s="5" t="s">
        <v>2681</v>
      </c>
      <c r="I1856" s="109"/>
      <c r="J1856" s="109"/>
      <c r="K1856" s="109"/>
      <c r="L1856" s="109" t="str">
        <f t="shared" si="28"/>
        <v>96-966200006</v>
      </c>
      <c r="M1856" s="114">
        <v>966200006</v>
      </c>
      <c r="N1856" s="114" t="s">
        <v>7370</v>
      </c>
    </row>
    <row r="1857" spans="1:14" ht="18">
      <c r="A1857" s="8" t="s">
        <v>1581</v>
      </c>
      <c r="B1857" s="5" t="s">
        <v>2681</v>
      </c>
      <c r="I1857" s="109"/>
      <c r="J1857" s="109"/>
      <c r="K1857" s="109"/>
      <c r="L1857" s="109" t="str">
        <f t="shared" si="28"/>
        <v>95-951700244</v>
      </c>
      <c r="M1857" s="114">
        <v>951700244</v>
      </c>
      <c r="N1857" s="114" t="s">
        <v>7600</v>
      </c>
    </row>
    <row r="1858" spans="1:14" ht="18">
      <c r="A1858" s="8" t="s">
        <v>1582</v>
      </c>
      <c r="B1858" s="5" t="s">
        <v>2681</v>
      </c>
      <c r="I1858" s="109"/>
      <c r="J1858" s="109"/>
      <c r="K1858" s="109"/>
      <c r="L1858" s="109" t="str">
        <f t="shared" si="28"/>
        <v>95-951900020</v>
      </c>
      <c r="M1858" s="114">
        <v>951900020</v>
      </c>
      <c r="N1858" s="114" t="s">
        <v>8142</v>
      </c>
    </row>
    <row r="1859" spans="1:14" ht="18">
      <c r="A1859" s="8" t="s">
        <v>1522</v>
      </c>
      <c r="B1859" s="5" t="s">
        <v>2681</v>
      </c>
      <c r="I1859" s="109"/>
      <c r="J1859" s="109"/>
      <c r="K1859" s="109"/>
      <c r="L1859" s="109" t="str">
        <f t="shared" ref="L1859:L1922" si="29">MID(M1859,1,2)&amp;"-"&amp;M1859</f>
        <v>95-951800118</v>
      </c>
      <c r="M1859" s="114">
        <v>951800118</v>
      </c>
      <c r="N1859" s="114" t="s">
        <v>8143</v>
      </c>
    </row>
    <row r="1860" spans="1:14" ht="18">
      <c r="A1860" s="8" t="s">
        <v>1493</v>
      </c>
      <c r="B1860" s="5" t="s">
        <v>2681</v>
      </c>
      <c r="I1860" s="109"/>
      <c r="J1860" s="109"/>
      <c r="K1860" s="109"/>
      <c r="L1860" s="109" t="str">
        <f t="shared" si="29"/>
        <v>96-961800015</v>
      </c>
      <c r="M1860" s="114">
        <v>961800015</v>
      </c>
      <c r="N1860" s="114" t="s">
        <v>8144</v>
      </c>
    </row>
    <row r="1861" spans="1:14" ht="18">
      <c r="A1861" s="8" t="s">
        <v>1631</v>
      </c>
      <c r="B1861" s="5" t="s">
        <v>2681</v>
      </c>
      <c r="I1861" s="109"/>
      <c r="J1861" s="109"/>
      <c r="K1861" s="109"/>
      <c r="L1861" s="109" t="str">
        <f t="shared" si="29"/>
        <v>95-951300006</v>
      </c>
      <c r="M1861" s="114">
        <v>951300006</v>
      </c>
      <c r="N1861" s="114" t="s">
        <v>8145</v>
      </c>
    </row>
    <row r="1862" spans="1:14" ht="18">
      <c r="A1862" s="8" t="s">
        <v>1404</v>
      </c>
      <c r="B1862" s="5" t="s">
        <v>2681</v>
      </c>
      <c r="I1862" s="109"/>
      <c r="J1862" s="109"/>
      <c r="K1862" s="109"/>
      <c r="L1862" s="109" t="str">
        <f t="shared" si="29"/>
        <v>96-961800029</v>
      </c>
      <c r="M1862" s="114">
        <v>961800029</v>
      </c>
      <c r="N1862" s="114" t="s">
        <v>7656</v>
      </c>
    </row>
    <row r="1863" spans="1:14" ht="18">
      <c r="A1863" s="8" t="s">
        <v>1742</v>
      </c>
      <c r="B1863" s="5" t="s">
        <v>2681</v>
      </c>
      <c r="I1863" s="109"/>
      <c r="J1863" s="109"/>
      <c r="K1863" s="109"/>
      <c r="L1863" s="109" t="str">
        <f t="shared" si="29"/>
        <v>96-961900085</v>
      </c>
      <c r="M1863" s="114">
        <v>961900085</v>
      </c>
      <c r="N1863" s="114" t="s">
        <v>8147</v>
      </c>
    </row>
    <row r="1864" spans="1:14" ht="18">
      <c r="A1864" s="8" t="s">
        <v>1540</v>
      </c>
      <c r="B1864" s="5" t="s">
        <v>2681</v>
      </c>
      <c r="I1864" s="109"/>
      <c r="J1864" s="109"/>
      <c r="K1864" s="109"/>
      <c r="L1864" s="109" t="str">
        <f t="shared" si="29"/>
        <v>95-951100064</v>
      </c>
      <c r="M1864" s="114">
        <v>951100064</v>
      </c>
      <c r="N1864" s="114" t="s">
        <v>7422</v>
      </c>
    </row>
    <row r="1865" spans="1:14" ht="18">
      <c r="A1865" s="8" t="s">
        <v>1507</v>
      </c>
      <c r="B1865" s="5" t="s">
        <v>2681</v>
      </c>
      <c r="I1865" s="109"/>
      <c r="J1865" s="109"/>
      <c r="K1865" s="109"/>
      <c r="L1865" s="109" t="str">
        <f t="shared" si="29"/>
        <v>95-956200176</v>
      </c>
      <c r="M1865" s="114">
        <v>956200176</v>
      </c>
      <c r="N1865" s="114" t="s">
        <v>7369</v>
      </c>
    </row>
    <row r="1866" spans="1:14" ht="18">
      <c r="A1866" s="8" t="s">
        <v>1632</v>
      </c>
      <c r="B1866" s="5" t="s">
        <v>2681</v>
      </c>
      <c r="I1866" s="109"/>
      <c r="J1866" s="109"/>
      <c r="K1866" s="109"/>
      <c r="L1866" s="109" t="str">
        <f t="shared" si="29"/>
        <v>95-956200150</v>
      </c>
      <c r="M1866" s="114">
        <v>956200150</v>
      </c>
      <c r="N1866" s="114" t="s">
        <v>7268</v>
      </c>
    </row>
    <row r="1867" spans="1:14" ht="18">
      <c r="A1867" s="8" t="s">
        <v>1741</v>
      </c>
      <c r="B1867" s="5" t="s">
        <v>2681</v>
      </c>
      <c r="I1867" s="109"/>
      <c r="J1867" s="109"/>
      <c r="K1867" s="109"/>
      <c r="L1867" s="109" t="str">
        <f t="shared" si="29"/>
        <v>95-956200423</v>
      </c>
      <c r="M1867" s="114">
        <v>956200423</v>
      </c>
      <c r="N1867" s="114" t="s">
        <v>7423</v>
      </c>
    </row>
    <row r="1868" spans="1:14" ht="18">
      <c r="A1868" s="8" t="s">
        <v>1579</v>
      </c>
      <c r="B1868" s="5" t="s">
        <v>2681</v>
      </c>
      <c r="I1868" s="109"/>
      <c r="J1868" s="109"/>
      <c r="K1868" s="109"/>
      <c r="L1868" s="109" t="str">
        <f t="shared" si="29"/>
        <v>95-956200396</v>
      </c>
      <c r="M1868" s="114">
        <v>956200396</v>
      </c>
      <c r="N1868" s="114" t="s">
        <v>7269</v>
      </c>
    </row>
    <row r="1869" spans="1:14" ht="18">
      <c r="A1869" s="8" t="s">
        <v>1412</v>
      </c>
      <c r="B1869" s="5" t="s">
        <v>2681</v>
      </c>
      <c r="I1869" s="109"/>
      <c r="J1869" s="109"/>
      <c r="K1869" s="109"/>
      <c r="L1869" s="109" t="str">
        <f t="shared" si="29"/>
        <v>95-956200066</v>
      </c>
      <c r="M1869" s="114">
        <v>956200066</v>
      </c>
      <c r="N1869" s="114" t="s">
        <v>7424</v>
      </c>
    </row>
    <row r="1870" spans="1:14" ht="18">
      <c r="A1870" s="8" t="s">
        <v>1626</v>
      </c>
      <c r="B1870" s="5" t="s">
        <v>2681</v>
      </c>
      <c r="I1870" s="109"/>
      <c r="J1870" s="109"/>
      <c r="K1870" s="109"/>
      <c r="L1870" s="109" t="str">
        <f t="shared" si="29"/>
        <v>96-966200055</v>
      </c>
      <c r="M1870" s="114">
        <v>966200055</v>
      </c>
      <c r="N1870" s="114" t="s">
        <v>7345</v>
      </c>
    </row>
    <row r="1871" spans="1:14" ht="18">
      <c r="A1871" s="8" t="s">
        <v>1500</v>
      </c>
      <c r="B1871" s="5" t="s">
        <v>2681</v>
      </c>
      <c r="I1871" s="109"/>
      <c r="J1871" s="109"/>
      <c r="K1871" s="109"/>
      <c r="L1871" s="109" t="str">
        <f t="shared" si="29"/>
        <v>95-951400061</v>
      </c>
      <c r="M1871" s="114">
        <v>951400061</v>
      </c>
      <c r="N1871" s="114" t="s">
        <v>8148</v>
      </c>
    </row>
    <row r="1872" spans="1:14" ht="18">
      <c r="A1872" s="8" t="s">
        <v>1525</v>
      </c>
      <c r="B1872" s="5" t="s">
        <v>2681</v>
      </c>
      <c r="I1872" s="109"/>
      <c r="J1872" s="109"/>
      <c r="K1872" s="109"/>
      <c r="L1872" s="109" t="str">
        <f t="shared" si="29"/>
        <v>95-956100014</v>
      </c>
      <c r="M1872" s="114">
        <v>956100014</v>
      </c>
      <c r="N1872" s="114" t="s">
        <v>7488</v>
      </c>
    </row>
    <row r="1873" spans="1:14" ht="18">
      <c r="A1873" s="8" t="s">
        <v>1481</v>
      </c>
      <c r="B1873" s="5" t="s">
        <v>2681</v>
      </c>
      <c r="I1873" s="109"/>
      <c r="J1873" s="109"/>
      <c r="K1873" s="109"/>
      <c r="L1873" s="109" t="str">
        <f t="shared" si="29"/>
        <v>95-951700215</v>
      </c>
      <c r="M1873" s="114">
        <v>951700215</v>
      </c>
      <c r="N1873" s="114" t="s">
        <v>8149</v>
      </c>
    </row>
    <row r="1874" spans="1:14" ht="18">
      <c r="A1874" s="8" t="s">
        <v>1518</v>
      </c>
      <c r="B1874" s="5" t="s">
        <v>2681</v>
      </c>
      <c r="I1874" s="109"/>
      <c r="J1874" s="109"/>
      <c r="K1874" s="109"/>
      <c r="L1874" s="109" t="str">
        <f t="shared" si="29"/>
        <v>95-951700314</v>
      </c>
      <c r="M1874" s="114">
        <v>951700314</v>
      </c>
      <c r="N1874" s="114" t="s">
        <v>8101</v>
      </c>
    </row>
    <row r="1875" spans="1:14" ht="18">
      <c r="A1875" s="8" t="s">
        <v>1517</v>
      </c>
      <c r="B1875" s="5" t="s">
        <v>2681</v>
      </c>
      <c r="I1875" s="109"/>
      <c r="J1875" s="109"/>
      <c r="K1875" s="109"/>
      <c r="L1875" s="109" t="str">
        <f t="shared" si="29"/>
        <v>96-961900075</v>
      </c>
      <c r="M1875" s="114">
        <v>961900075</v>
      </c>
      <c r="N1875" s="114" t="s">
        <v>8150</v>
      </c>
    </row>
    <row r="1876" spans="1:14" ht="18">
      <c r="A1876" s="8" t="s">
        <v>1543</v>
      </c>
      <c r="B1876" s="5" t="s">
        <v>2681</v>
      </c>
      <c r="I1876" s="109"/>
      <c r="J1876" s="109"/>
      <c r="K1876" s="109"/>
      <c r="L1876" s="109" t="str">
        <f t="shared" si="29"/>
        <v>96-961900076</v>
      </c>
      <c r="M1876" s="114">
        <v>961900076</v>
      </c>
      <c r="N1876" s="114" t="s">
        <v>8150</v>
      </c>
    </row>
    <row r="1877" spans="1:14" ht="18">
      <c r="A1877" s="8" t="s">
        <v>1492</v>
      </c>
      <c r="B1877" s="5" t="s">
        <v>2681</v>
      </c>
      <c r="I1877" s="109"/>
      <c r="J1877" s="109"/>
      <c r="K1877" s="109"/>
      <c r="L1877" s="109" t="str">
        <f t="shared" si="29"/>
        <v>96-961900077</v>
      </c>
      <c r="M1877" s="114">
        <v>961900077</v>
      </c>
      <c r="N1877" s="114" t="s">
        <v>8151</v>
      </c>
    </row>
    <row r="1878" spans="1:14" ht="18">
      <c r="A1878" s="8" t="s">
        <v>1627</v>
      </c>
      <c r="B1878" s="5" t="s">
        <v>2681</v>
      </c>
      <c r="I1878" s="109"/>
      <c r="J1878" s="109"/>
      <c r="K1878" s="109"/>
      <c r="L1878" s="109" t="str">
        <f t="shared" si="29"/>
        <v>95-951700079</v>
      </c>
      <c r="M1878" s="114">
        <v>951700079</v>
      </c>
      <c r="N1878" s="114" t="s">
        <v>8159</v>
      </c>
    </row>
    <row r="1879" spans="1:14" ht="18">
      <c r="A1879" s="8" t="s">
        <v>1628</v>
      </c>
      <c r="B1879" s="5" t="s">
        <v>2681</v>
      </c>
      <c r="I1879" s="109"/>
      <c r="J1879" s="109"/>
      <c r="K1879" s="109"/>
      <c r="L1879" s="109" t="str">
        <f t="shared" si="29"/>
        <v>95-951100032</v>
      </c>
      <c r="M1879" s="114">
        <v>951100032</v>
      </c>
      <c r="N1879" s="114" t="s">
        <v>7425</v>
      </c>
    </row>
    <row r="1880" spans="1:14" ht="18">
      <c r="A1880" s="8" t="s">
        <v>1629</v>
      </c>
      <c r="B1880" s="5" t="s">
        <v>2681</v>
      </c>
      <c r="I1880" s="109"/>
      <c r="J1880" s="109"/>
      <c r="K1880" s="109"/>
      <c r="L1880" s="109" t="str">
        <f t="shared" si="29"/>
        <v>95-951100049</v>
      </c>
      <c r="M1880" s="114">
        <v>951100049</v>
      </c>
      <c r="N1880" s="114" t="s">
        <v>7426</v>
      </c>
    </row>
    <row r="1881" spans="1:14" ht="18">
      <c r="A1881" s="8" t="s">
        <v>1575</v>
      </c>
      <c r="B1881" s="5" t="s">
        <v>2681</v>
      </c>
      <c r="I1881" s="109"/>
      <c r="J1881" s="109"/>
      <c r="K1881" s="109"/>
      <c r="L1881" s="109" t="str">
        <f t="shared" si="29"/>
        <v>95-956300026</v>
      </c>
      <c r="M1881" s="114">
        <v>956300026</v>
      </c>
      <c r="N1881" s="114" t="s">
        <v>7427</v>
      </c>
    </row>
    <row r="1882" spans="1:14" ht="18">
      <c r="A1882" s="8" t="s">
        <v>1630</v>
      </c>
      <c r="B1882" s="5" t="s">
        <v>2681</v>
      </c>
      <c r="I1882" s="109"/>
      <c r="J1882" s="109"/>
      <c r="K1882" s="109"/>
      <c r="L1882" s="109" t="str">
        <f t="shared" si="29"/>
        <v>95-956300031</v>
      </c>
      <c r="M1882" s="114">
        <v>956300031</v>
      </c>
      <c r="N1882" s="114" t="s">
        <v>7427</v>
      </c>
    </row>
    <row r="1883" spans="1:14" ht="18">
      <c r="A1883" s="8" t="s">
        <v>1572</v>
      </c>
      <c r="B1883" s="5" t="s">
        <v>2681</v>
      </c>
      <c r="I1883" s="109"/>
      <c r="J1883" s="109"/>
      <c r="K1883" s="109"/>
      <c r="L1883" s="109" t="str">
        <f t="shared" si="29"/>
        <v>96-966300003</v>
      </c>
      <c r="M1883" s="114">
        <v>966300003</v>
      </c>
      <c r="N1883" s="114" t="s">
        <v>8734</v>
      </c>
    </row>
    <row r="1884" spans="1:14" ht="18">
      <c r="A1884" s="8" t="s">
        <v>1497</v>
      </c>
      <c r="B1884" s="5" t="s">
        <v>2681</v>
      </c>
      <c r="I1884" s="109"/>
      <c r="J1884" s="109"/>
      <c r="K1884" s="109"/>
      <c r="L1884" s="109" t="str">
        <f t="shared" si="29"/>
        <v>95-956200059</v>
      </c>
      <c r="M1884" s="114">
        <v>956200059</v>
      </c>
      <c r="N1884" s="114" t="s">
        <v>7306</v>
      </c>
    </row>
    <row r="1885" spans="1:14" ht="18">
      <c r="A1885" s="8" t="s">
        <v>1526</v>
      </c>
      <c r="B1885" s="5" t="s">
        <v>2681</v>
      </c>
      <c r="I1885" s="109"/>
      <c r="J1885" s="109"/>
      <c r="K1885" s="109"/>
      <c r="L1885" s="109" t="str">
        <f t="shared" si="29"/>
        <v>95-956200041</v>
      </c>
      <c r="M1885" s="114">
        <v>956200041</v>
      </c>
      <c r="N1885" s="114" t="s">
        <v>7429</v>
      </c>
    </row>
    <row r="1886" spans="1:14" ht="18">
      <c r="A1886" s="8" t="s">
        <v>1555</v>
      </c>
      <c r="B1886" s="5" t="s">
        <v>2681</v>
      </c>
      <c r="I1886" s="109"/>
      <c r="J1886" s="109"/>
      <c r="K1886" s="109"/>
      <c r="L1886" s="109" t="str">
        <f t="shared" si="29"/>
        <v>95-956200048</v>
      </c>
      <c r="M1886" s="114">
        <v>956200048</v>
      </c>
      <c r="N1886" s="114" t="s">
        <v>7418</v>
      </c>
    </row>
    <row r="1887" spans="1:14" ht="18">
      <c r="A1887" s="8" t="s">
        <v>1576</v>
      </c>
      <c r="B1887" s="5" t="s">
        <v>2681</v>
      </c>
      <c r="I1887" s="109"/>
      <c r="J1887" s="109"/>
      <c r="K1887" s="109"/>
      <c r="L1887" s="109" t="str">
        <f t="shared" si="29"/>
        <v>95-956200070</v>
      </c>
      <c r="M1887" s="114">
        <v>956200070</v>
      </c>
      <c r="N1887" s="114" t="s">
        <v>7430</v>
      </c>
    </row>
    <row r="1888" spans="1:14" ht="18">
      <c r="A1888" s="8" t="s">
        <v>1536</v>
      </c>
      <c r="B1888" s="5" t="s">
        <v>2681</v>
      </c>
      <c r="I1888" s="109"/>
      <c r="J1888" s="109"/>
      <c r="K1888" s="109"/>
      <c r="L1888" s="109" t="str">
        <f t="shared" si="29"/>
        <v>95-952000061</v>
      </c>
      <c r="M1888" s="114">
        <v>952000061</v>
      </c>
      <c r="N1888" s="114" t="s">
        <v>7431</v>
      </c>
    </row>
    <row r="1889" spans="1:14" ht="18">
      <c r="A1889" s="8" t="s">
        <v>1740</v>
      </c>
      <c r="B1889" s="5" t="s">
        <v>2681</v>
      </c>
      <c r="I1889" s="109"/>
      <c r="J1889" s="109"/>
      <c r="K1889" s="109"/>
      <c r="L1889" s="109" t="str">
        <f t="shared" si="29"/>
        <v>95-952000194</v>
      </c>
      <c r="M1889" s="114">
        <v>952000194</v>
      </c>
      <c r="N1889" s="114" t="s">
        <v>7342</v>
      </c>
    </row>
    <row r="1890" spans="1:14" ht="18">
      <c r="A1890" s="8" t="s">
        <v>1633</v>
      </c>
      <c r="B1890" s="5" t="s">
        <v>2681</v>
      </c>
      <c r="I1890" s="109"/>
      <c r="J1890" s="109"/>
      <c r="K1890" s="109"/>
      <c r="L1890" s="109" t="str">
        <f t="shared" si="29"/>
        <v>95-951900042</v>
      </c>
      <c r="M1890" s="114">
        <v>951900042</v>
      </c>
      <c r="N1890" s="114" t="s">
        <v>7502</v>
      </c>
    </row>
    <row r="1891" spans="1:14" ht="18">
      <c r="A1891" s="8" t="s">
        <v>1508</v>
      </c>
      <c r="B1891" s="5" t="s">
        <v>2681</v>
      </c>
      <c r="I1891" s="109"/>
      <c r="J1891" s="109"/>
      <c r="K1891" s="109"/>
      <c r="L1891" s="109" t="str">
        <f t="shared" si="29"/>
        <v>95-951900220</v>
      </c>
      <c r="M1891" s="114">
        <v>951900220</v>
      </c>
      <c r="N1891" s="114" t="s">
        <v>7149</v>
      </c>
    </row>
    <row r="1892" spans="1:14" ht="18">
      <c r="A1892" s="8" t="s">
        <v>1634</v>
      </c>
      <c r="B1892" s="5" t="s">
        <v>2681</v>
      </c>
      <c r="I1892" s="109"/>
      <c r="J1892" s="109"/>
      <c r="K1892" s="109"/>
      <c r="L1892" s="109" t="str">
        <f t="shared" si="29"/>
        <v>95-951900321</v>
      </c>
      <c r="M1892" s="114">
        <v>951900321</v>
      </c>
      <c r="N1892" s="114" t="s">
        <v>7604</v>
      </c>
    </row>
    <row r="1893" spans="1:14" ht="18">
      <c r="A1893" s="8" t="s">
        <v>1635</v>
      </c>
      <c r="B1893" s="5" t="s">
        <v>2681</v>
      </c>
      <c r="I1893" s="109"/>
      <c r="J1893" s="109"/>
      <c r="K1893" s="109"/>
      <c r="L1893" s="109" t="str">
        <f t="shared" si="29"/>
        <v>95-951900012</v>
      </c>
      <c r="M1893" s="114">
        <v>951900012</v>
      </c>
      <c r="N1893" s="114" t="s">
        <v>7620</v>
      </c>
    </row>
    <row r="1894" spans="1:14" ht="18">
      <c r="A1894" s="8" t="s">
        <v>1558</v>
      </c>
      <c r="B1894" s="5" t="s">
        <v>2681</v>
      </c>
      <c r="I1894" s="109"/>
      <c r="J1894" s="109"/>
      <c r="K1894" s="109"/>
      <c r="L1894" s="109" t="str">
        <f t="shared" si="29"/>
        <v>95-951800089</v>
      </c>
      <c r="M1894" s="114">
        <v>951800089</v>
      </c>
      <c r="N1894" s="114" t="s">
        <v>7132</v>
      </c>
    </row>
    <row r="1895" spans="1:14" ht="18">
      <c r="A1895" s="8" t="s">
        <v>1637</v>
      </c>
      <c r="B1895" s="5" t="s">
        <v>2681</v>
      </c>
      <c r="I1895" s="109"/>
      <c r="J1895" s="109"/>
      <c r="K1895" s="109"/>
      <c r="L1895" s="109" t="str">
        <f t="shared" si="29"/>
        <v>95-951400028</v>
      </c>
      <c r="M1895" s="114">
        <v>951400028</v>
      </c>
      <c r="N1895" s="114" t="s">
        <v>8160</v>
      </c>
    </row>
    <row r="1896" spans="1:14" ht="18">
      <c r="A1896" s="8" t="s">
        <v>1545</v>
      </c>
      <c r="B1896" s="5" t="s">
        <v>2681</v>
      </c>
      <c r="I1896" s="109"/>
      <c r="J1896" s="109"/>
      <c r="K1896" s="109"/>
      <c r="L1896" s="109" t="str">
        <f t="shared" si="29"/>
        <v>95-951400025</v>
      </c>
      <c r="M1896" s="114">
        <v>951400025</v>
      </c>
      <c r="N1896" s="114" t="s">
        <v>8160</v>
      </c>
    </row>
    <row r="1897" spans="1:14" ht="18">
      <c r="A1897" s="8" t="s">
        <v>1563</v>
      </c>
      <c r="B1897" s="5" t="s">
        <v>2681</v>
      </c>
      <c r="I1897" s="109"/>
      <c r="J1897" s="109"/>
      <c r="K1897" s="109"/>
      <c r="L1897" s="109" t="str">
        <f t="shared" si="29"/>
        <v>95-956200297</v>
      </c>
      <c r="M1897" s="114">
        <v>956200297</v>
      </c>
      <c r="N1897" s="114" t="s">
        <v>8161</v>
      </c>
    </row>
    <row r="1898" spans="1:14" ht="18">
      <c r="A1898" s="8" t="s">
        <v>1509</v>
      </c>
      <c r="B1898" s="5" t="s">
        <v>2681</v>
      </c>
      <c r="I1898" s="109"/>
      <c r="J1898" s="109"/>
      <c r="K1898" s="109"/>
      <c r="L1898" s="109" t="str">
        <f t="shared" si="29"/>
        <v>96-966200027</v>
      </c>
      <c r="M1898" s="114">
        <v>966200027</v>
      </c>
      <c r="N1898" s="114" t="s">
        <v>8108</v>
      </c>
    </row>
    <row r="1899" spans="1:14" ht="18">
      <c r="A1899" s="8" t="s">
        <v>1531</v>
      </c>
      <c r="B1899" s="5" t="s">
        <v>2681</v>
      </c>
      <c r="I1899" s="109"/>
      <c r="J1899" s="109"/>
      <c r="K1899" s="109"/>
      <c r="L1899" s="109" t="str">
        <f t="shared" si="29"/>
        <v>95-952000195</v>
      </c>
      <c r="M1899" s="114">
        <v>952000195</v>
      </c>
      <c r="N1899" s="114" t="s">
        <v>7342</v>
      </c>
    </row>
    <row r="1900" spans="1:14" ht="18">
      <c r="A1900" s="8" t="s">
        <v>1560</v>
      </c>
      <c r="B1900" s="5" t="s">
        <v>2681</v>
      </c>
      <c r="I1900" s="109"/>
      <c r="J1900" s="109"/>
      <c r="K1900" s="109"/>
      <c r="L1900" s="109" t="str">
        <f t="shared" si="29"/>
        <v>95-952000189</v>
      </c>
      <c r="M1900" s="114">
        <v>952000189</v>
      </c>
      <c r="N1900" s="114" t="s">
        <v>7342</v>
      </c>
    </row>
    <row r="1901" spans="1:14" ht="18">
      <c r="A1901" s="8" t="s">
        <v>1535</v>
      </c>
      <c r="B1901" s="5" t="s">
        <v>2681</v>
      </c>
      <c r="I1901" s="109"/>
      <c r="J1901" s="109"/>
      <c r="K1901" s="109"/>
      <c r="L1901" s="109" t="str">
        <f t="shared" si="29"/>
        <v>95-952000272</v>
      </c>
      <c r="M1901" s="114">
        <v>952000272</v>
      </c>
      <c r="N1901" s="114" t="s">
        <v>7280</v>
      </c>
    </row>
    <row r="1902" spans="1:14" ht="18">
      <c r="A1902" s="8" t="s">
        <v>1636</v>
      </c>
      <c r="B1902" s="5" t="s">
        <v>2681</v>
      </c>
      <c r="I1902" s="109"/>
      <c r="J1902" s="109"/>
      <c r="K1902" s="109"/>
      <c r="L1902" s="109" t="str">
        <f t="shared" si="29"/>
        <v>95-952000133</v>
      </c>
      <c r="M1902" s="114">
        <v>952000133</v>
      </c>
      <c r="N1902" s="114" t="s">
        <v>7405</v>
      </c>
    </row>
    <row r="1903" spans="1:14" ht="18">
      <c r="A1903" s="8" t="s">
        <v>1609</v>
      </c>
      <c r="B1903" s="5" t="s">
        <v>2681</v>
      </c>
      <c r="I1903" s="109"/>
      <c r="J1903" s="109"/>
      <c r="K1903" s="109"/>
      <c r="L1903" s="109" t="str">
        <f t="shared" si="29"/>
        <v>95-952000245</v>
      </c>
      <c r="M1903" s="114">
        <v>952000245</v>
      </c>
      <c r="N1903" s="114" t="s">
        <v>7327</v>
      </c>
    </row>
    <row r="1904" spans="1:14" ht="18">
      <c r="A1904" s="8" t="s">
        <v>1502</v>
      </c>
      <c r="B1904" s="5" t="s">
        <v>2681</v>
      </c>
      <c r="I1904" s="109"/>
      <c r="J1904" s="109"/>
      <c r="K1904" s="109"/>
      <c r="L1904" s="109" t="str">
        <f t="shared" si="29"/>
        <v>95-952000136</v>
      </c>
      <c r="M1904" s="114">
        <v>952000136</v>
      </c>
      <c r="N1904" s="114" t="s">
        <v>7432</v>
      </c>
    </row>
    <row r="1905" spans="1:14" ht="18">
      <c r="A1905" s="8" t="s">
        <v>1521</v>
      </c>
      <c r="B1905" s="5" t="s">
        <v>2681</v>
      </c>
      <c r="I1905" s="109"/>
      <c r="J1905" s="109"/>
      <c r="K1905" s="109"/>
      <c r="L1905" s="109" t="str">
        <f t="shared" si="29"/>
        <v>95-952000138</v>
      </c>
      <c r="M1905" s="114">
        <v>952000138</v>
      </c>
      <c r="N1905" s="114" t="s">
        <v>7433</v>
      </c>
    </row>
    <row r="1906" spans="1:14" ht="18">
      <c r="A1906" s="8" t="s">
        <v>1528</v>
      </c>
      <c r="B1906" s="5" t="s">
        <v>2681</v>
      </c>
      <c r="I1906" s="109"/>
      <c r="J1906" s="109"/>
      <c r="K1906" s="109"/>
      <c r="L1906" s="109" t="str">
        <f t="shared" si="29"/>
        <v>95-952000153</v>
      </c>
      <c r="M1906" s="114">
        <v>952000153</v>
      </c>
      <c r="N1906" s="114" t="s">
        <v>7332</v>
      </c>
    </row>
    <row r="1907" spans="1:14" ht="18">
      <c r="A1907" s="8" t="s">
        <v>1529</v>
      </c>
      <c r="B1907" s="5" t="s">
        <v>2681</v>
      </c>
      <c r="I1907" s="109"/>
      <c r="J1907" s="109"/>
      <c r="K1907" s="109"/>
      <c r="L1907" s="109" t="str">
        <f t="shared" si="29"/>
        <v>95-956200178</v>
      </c>
      <c r="M1907" s="114">
        <v>956200178</v>
      </c>
      <c r="N1907" s="114" t="s">
        <v>7369</v>
      </c>
    </row>
    <row r="1908" spans="1:14" ht="18">
      <c r="A1908" s="8" t="s">
        <v>1523</v>
      </c>
      <c r="B1908" s="5" t="s">
        <v>2681</v>
      </c>
      <c r="I1908" s="109"/>
      <c r="J1908" s="109"/>
      <c r="K1908" s="109"/>
      <c r="L1908" s="109" t="str">
        <f t="shared" si="29"/>
        <v>96-966200025</v>
      </c>
      <c r="M1908" s="114">
        <v>966200025</v>
      </c>
      <c r="N1908" s="114" t="s">
        <v>7360</v>
      </c>
    </row>
    <row r="1909" spans="1:14" ht="18">
      <c r="A1909" s="8" t="s">
        <v>1593</v>
      </c>
      <c r="B1909" s="5" t="s">
        <v>2681</v>
      </c>
      <c r="I1909" s="109"/>
      <c r="J1909" s="109"/>
      <c r="K1909" s="109"/>
      <c r="L1909" s="109" t="str">
        <f t="shared" si="29"/>
        <v>95-956200211</v>
      </c>
      <c r="M1909" s="114">
        <v>956200211</v>
      </c>
      <c r="N1909" s="114" t="s">
        <v>7357</v>
      </c>
    </row>
    <row r="1910" spans="1:14" ht="18">
      <c r="A1910" s="8" t="s">
        <v>1527</v>
      </c>
      <c r="B1910" s="5" t="s">
        <v>2681</v>
      </c>
      <c r="I1910" s="109"/>
      <c r="J1910" s="109"/>
      <c r="K1910" s="109"/>
      <c r="L1910" s="109" t="str">
        <f t="shared" si="29"/>
        <v>95-956200212</v>
      </c>
      <c r="M1910" s="114">
        <v>956200212</v>
      </c>
      <c r="N1910" s="114" t="s">
        <v>7357</v>
      </c>
    </row>
    <row r="1911" spans="1:14" ht="18">
      <c r="A1911" s="8" t="s">
        <v>1611</v>
      </c>
      <c r="B1911" s="5" t="s">
        <v>2681</v>
      </c>
      <c r="I1911" s="109"/>
      <c r="J1911" s="109"/>
      <c r="K1911" s="109"/>
      <c r="L1911" s="109" t="str">
        <f t="shared" si="29"/>
        <v>95-956200260</v>
      </c>
      <c r="M1911" s="114">
        <v>956200260</v>
      </c>
      <c r="N1911" s="114" t="s">
        <v>7347</v>
      </c>
    </row>
    <row r="1912" spans="1:14" ht="18">
      <c r="A1912" s="8" t="s">
        <v>1513</v>
      </c>
      <c r="B1912" s="5" t="s">
        <v>2681</v>
      </c>
      <c r="I1912" s="109"/>
      <c r="J1912" s="109"/>
      <c r="K1912" s="109"/>
      <c r="L1912" s="109" t="str">
        <f t="shared" si="29"/>
        <v>95-951700006</v>
      </c>
      <c r="M1912" s="114">
        <v>951700006</v>
      </c>
      <c r="N1912" s="114" t="s">
        <v>7620</v>
      </c>
    </row>
    <row r="1913" spans="1:14" ht="18">
      <c r="A1913" s="8" t="s">
        <v>1638</v>
      </c>
      <c r="B1913" s="5" t="s">
        <v>2681</v>
      </c>
      <c r="I1913" s="109"/>
      <c r="J1913" s="109"/>
      <c r="K1913" s="109"/>
      <c r="L1913" s="109" t="str">
        <f t="shared" si="29"/>
        <v>95-951400017</v>
      </c>
      <c r="M1913" s="114">
        <v>951400017</v>
      </c>
      <c r="N1913" s="114" t="s">
        <v>7621</v>
      </c>
    </row>
    <row r="1914" spans="1:14" ht="18">
      <c r="A1914" s="8" t="s">
        <v>1556</v>
      </c>
      <c r="B1914" s="5" t="s">
        <v>2681</v>
      </c>
      <c r="I1914" s="109"/>
      <c r="J1914" s="109"/>
      <c r="K1914" s="109"/>
      <c r="L1914" s="109" t="str">
        <f t="shared" si="29"/>
        <v>95-951700040</v>
      </c>
      <c r="M1914" s="114">
        <v>951700040</v>
      </c>
      <c r="N1914" s="114" t="s">
        <v>7622</v>
      </c>
    </row>
    <row r="1915" spans="1:14" ht="18">
      <c r="A1915" s="8" t="s">
        <v>1639</v>
      </c>
      <c r="B1915" s="5" t="s">
        <v>2681</v>
      </c>
      <c r="I1915" s="109"/>
      <c r="J1915" s="109"/>
      <c r="K1915" s="109"/>
      <c r="L1915" s="109" t="str">
        <f t="shared" si="29"/>
        <v>95-951400032</v>
      </c>
      <c r="M1915" s="114">
        <v>951400032</v>
      </c>
      <c r="N1915" s="114" t="s">
        <v>7508</v>
      </c>
    </row>
    <row r="1916" spans="1:14" ht="18">
      <c r="A1916" s="8" t="s">
        <v>1559</v>
      </c>
      <c r="B1916" s="5" t="s">
        <v>2681</v>
      </c>
      <c r="I1916" s="109"/>
      <c r="J1916" s="109"/>
      <c r="K1916" s="109"/>
      <c r="L1916" s="109" t="str">
        <f t="shared" si="29"/>
        <v>95-951700132</v>
      </c>
      <c r="M1916" s="114">
        <v>951700132</v>
      </c>
      <c r="N1916" s="114" t="s">
        <v>7623</v>
      </c>
    </row>
    <row r="1917" spans="1:14" ht="18">
      <c r="A1917" s="8" t="s">
        <v>1530</v>
      </c>
      <c r="B1917" s="5" t="s">
        <v>2681</v>
      </c>
      <c r="I1917" s="109"/>
      <c r="J1917" s="109"/>
      <c r="K1917" s="109"/>
      <c r="L1917" s="109" t="str">
        <f t="shared" si="29"/>
        <v>95-951700282</v>
      </c>
      <c r="M1917" s="114">
        <v>951700282</v>
      </c>
      <c r="N1917" s="114" t="s">
        <v>7624</v>
      </c>
    </row>
    <row r="1918" spans="1:14" ht="18">
      <c r="A1918" s="8" t="s">
        <v>1640</v>
      </c>
      <c r="B1918" s="5" t="s">
        <v>2681</v>
      </c>
      <c r="I1918" s="109"/>
      <c r="J1918" s="109"/>
      <c r="K1918" s="109"/>
      <c r="L1918" s="109" t="str">
        <f t="shared" si="29"/>
        <v>95-951400116</v>
      </c>
      <c r="M1918" s="114">
        <v>951400116</v>
      </c>
      <c r="N1918" s="114" t="s">
        <v>7150</v>
      </c>
    </row>
    <row r="1919" spans="1:14" ht="18">
      <c r="A1919" s="8" t="s">
        <v>1641</v>
      </c>
      <c r="B1919" s="5" t="s">
        <v>2681</v>
      </c>
      <c r="I1919" s="109"/>
      <c r="J1919" s="109"/>
      <c r="K1919" s="109"/>
      <c r="L1919" s="109" t="str">
        <f t="shared" si="29"/>
        <v>96-961400006</v>
      </c>
      <c r="M1919" s="114">
        <v>961400006</v>
      </c>
      <c r="N1919" s="114" t="s">
        <v>7625</v>
      </c>
    </row>
    <row r="1920" spans="1:14" ht="18">
      <c r="A1920" s="8" t="s">
        <v>1642</v>
      </c>
      <c r="B1920" s="5" t="s">
        <v>2681</v>
      </c>
      <c r="I1920" s="109"/>
      <c r="J1920" s="109"/>
      <c r="K1920" s="109"/>
      <c r="L1920" s="109" t="str">
        <f t="shared" si="29"/>
        <v>96-961700012</v>
      </c>
      <c r="M1920" s="114">
        <v>961700012</v>
      </c>
      <c r="N1920" s="114" t="s">
        <v>7625</v>
      </c>
    </row>
    <row r="1921" spans="1:14" ht="18">
      <c r="A1921" s="8" t="s">
        <v>1564</v>
      </c>
      <c r="B1921" s="5" t="s">
        <v>2681</v>
      </c>
      <c r="I1921" s="109"/>
      <c r="J1921" s="109"/>
      <c r="K1921" s="109"/>
      <c r="L1921" s="109" t="str">
        <f t="shared" si="29"/>
        <v>95-951400185</v>
      </c>
      <c r="M1921" s="114">
        <v>951400185</v>
      </c>
      <c r="N1921" s="114" t="s">
        <v>7514</v>
      </c>
    </row>
    <row r="1922" spans="1:14" ht="18">
      <c r="A1922" s="8" t="s">
        <v>1643</v>
      </c>
      <c r="B1922" s="5" t="s">
        <v>2681</v>
      </c>
      <c r="I1922" s="109"/>
      <c r="J1922" s="109"/>
      <c r="K1922" s="109"/>
      <c r="L1922" s="109" t="str">
        <f t="shared" si="29"/>
        <v>95-951400186</v>
      </c>
      <c r="M1922" s="114">
        <v>951400186</v>
      </c>
      <c r="N1922" s="114" t="s">
        <v>7514</v>
      </c>
    </row>
    <row r="1923" spans="1:14" ht="18">
      <c r="A1923" s="8" t="s">
        <v>1520</v>
      </c>
      <c r="B1923" s="5" t="s">
        <v>2681</v>
      </c>
      <c r="I1923" s="109"/>
      <c r="J1923" s="109"/>
      <c r="K1923" s="109"/>
      <c r="L1923" s="109" t="str">
        <f t="shared" ref="L1923:L1986" si="30">MID(M1923,1,2)&amp;"-"&amp;M1923</f>
        <v>95-951900091</v>
      </c>
      <c r="M1923" s="114">
        <v>951900091</v>
      </c>
      <c r="N1923" s="114" t="s">
        <v>8162</v>
      </c>
    </row>
    <row r="1924" spans="1:14" ht="18">
      <c r="A1924" s="8" t="s">
        <v>1644</v>
      </c>
      <c r="B1924" s="5" t="s">
        <v>2681</v>
      </c>
      <c r="I1924" s="109"/>
      <c r="J1924" s="109"/>
      <c r="K1924" s="109"/>
      <c r="L1924" s="109" t="str">
        <f t="shared" si="30"/>
        <v>95-956200255</v>
      </c>
      <c r="M1924" s="114">
        <v>956200255</v>
      </c>
      <c r="N1924" s="114" t="s">
        <v>7434</v>
      </c>
    </row>
    <row r="1925" spans="1:14" ht="18">
      <c r="A1925" s="8" t="s">
        <v>1612</v>
      </c>
      <c r="B1925" s="5" t="s">
        <v>2681</v>
      </c>
      <c r="I1925" s="109"/>
      <c r="J1925" s="109"/>
      <c r="K1925" s="109"/>
      <c r="L1925" s="109" t="str">
        <f t="shared" si="30"/>
        <v>95-956200241</v>
      </c>
      <c r="M1925" s="114">
        <v>956200241</v>
      </c>
      <c r="N1925" s="114" t="s">
        <v>7435</v>
      </c>
    </row>
    <row r="1926" spans="1:14" ht="18">
      <c r="A1926" s="8" t="s">
        <v>1738</v>
      </c>
      <c r="B1926" s="5" t="s">
        <v>2681</v>
      </c>
      <c r="I1926" s="109"/>
      <c r="J1926" s="109"/>
      <c r="K1926" s="109"/>
      <c r="L1926" s="109" t="str">
        <f t="shared" si="30"/>
        <v>95-956200313</v>
      </c>
      <c r="M1926" s="114">
        <v>956200313</v>
      </c>
      <c r="N1926" s="114" t="s">
        <v>7436</v>
      </c>
    </row>
    <row r="1927" spans="1:14" ht="18">
      <c r="A1927" s="8" t="s">
        <v>1739</v>
      </c>
      <c r="B1927" s="5" t="s">
        <v>2681</v>
      </c>
      <c r="I1927" s="109"/>
      <c r="J1927" s="109"/>
      <c r="K1927" s="109"/>
      <c r="L1927" s="109" t="str">
        <f t="shared" si="30"/>
        <v>96-966200122</v>
      </c>
      <c r="M1927" s="114">
        <v>966200122</v>
      </c>
      <c r="N1927" s="114" t="s">
        <v>7437</v>
      </c>
    </row>
    <row r="1928" spans="1:14" ht="18">
      <c r="A1928" s="8" t="s">
        <v>1554</v>
      </c>
      <c r="B1928" s="5" t="s">
        <v>2681</v>
      </c>
      <c r="I1928" s="109"/>
      <c r="J1928" s="109"/>
      <c r="K1928" s="109"/>
      <c r="L1928" s="109" t="str">
        <f t="shared" si="30"/>
        <v>95-956200251</v>
      </c>
      <c r="M1928" s="114">
        <v>956200251</v>
      </c>
      <c r="N1928" s="114" t="s">
        <v>7428</v>
      </c>
    </row>
    <row r="1929" spans="1:14" ht="18">
      <c r="A1929" s="8" t="s">
        <v>1519</v>
      </c>
      <c r="B1929" s="5" t="s">
        <v>2681</v>
      </c>
      <c r="I1929" s="109"/>
      <c r="J1929" s="109"/>
      <c r="K1929" s="109"/>
      <c r="L1929" s="109" t="str">
        <f t="shared" si="30"/>
        <v>95-956200282</v>
      </c>
      <c r="M1929" s="114">
        <v>956200282</v>
      </c>
      <c r="N1929" s="114" t="s">
        <v>7347</v>
      </c>
    </row>
    <row r="1930" spans="1:14" ht="18">
      <c r="A1930" s="8" t="s">
        <v>1580</v>
      </c>
      <c r="B1930" s="5" t="s">
        <v>2681</v>
      </c>
      <c r="I1930" s="109"/>
      <c r="J1930" s="109"/>
      <c r="K1930" s="109"/>
      <c r="L1930" s="109" t="str">
        <f t="shared" si="30"/>
        <v>95-956200296</v>
      </c>
      <c r="M1930" s="114">
        <v>956200296</v>
      </c>
      <c r="N1930" s="114" t="s">
        <v>7438</v>
      </c>
    </row>
    <row r="1931" spans="1:14" ht="18">
      <c r="A1931" s="8" t="s">
        <v>1645</v>
      </c>
      <c r="B1931" s="5" t="s">
        <v>2681</v>
      </c>
      <c r="I1931" s="109"/>
      <c r="J1931" s="109"/>
      <c r="K1931" s="109"/>
      <c r="L1931" s="109" t="str">
        <f t="shared" si="30"/>
        <v>95-956200292</v>
      </c>
      <c r="M1931" s="114">
        <v>956200292</v>
      </c>
      <c r="N1931" s="114" t="s">
        <v>7438</v>
      </c>
    </row>
    <row r="1932" spans="1:14" ht="18">
      <c r="A1932" s="8" t="s">
        <v>1646</v>
      </c>
      <c r="B1932" s="5" t="s">
        <v>2681</v>
      </c>
      <c r="I1932" s="109"/>
      <c r="J1932" s="109"/>
      <c r="K1932" s="109"/>
      <c r="L1932" s="109" t="str">
        <f t="shared" si="30"/>
        <v>95-956200362</v>
      </c>
      <c r="M1932" s="114">
        <v>956200362</v>
      </c>
      <c r="N1932" s="114" t="s">
        <v>7292</v>
      </c>
    </row>
    <row r="1933" spans="1:14" ht="18">
      <c r="A1933" s="8" t="s">
        <v>1647</v>
      </c>
      <c r="B1933" s="5" t="s">
        <v>2681</v>
      </c>
      <c r="I1933" s="109"/>
      <c r="J1933" s="109"/>
      <c r="K1933" s="109"/>
      <c r="L1933" s="109" t="str">
        <f t="shared" si="30"/>
        <v>95-956200359</v>
      </c>
      <c r="M1933" s="114">
        <v>956200359</v>
      </c>
      <c r="N1933" s="114" t="s">
        <v>7292</v>
      </c>
    </row>
    <row r="1934" spans="1:14" ht="18">
      <c r="A1934" s="8" t="s">
        <v>1648</v>
      </c>
      <c r="B1934" s="5" t="s">
        <v>2681</v>
      </c>
      <c r="I1934" s="109"/>
      <c r="J1934" s="109"/>
      <c r="K1934" s="109"/>
      <c r="L1934" s="109" t="str">
        <f t="shared" si="30"/>
        <v>95-956200435</v>
      </c>
      <c r="M1934" s="114">
        <v>956200435</v>
      </c>
      <c r="N1934" s="114" t="s">
        <v>7423</v>
      </c>
    </row>
    <row r="1935" spans="1:14" ht="18">
      <c r="A1935" s="8" t="s">
        <v>1610</v>
      </c>
      <c r="B1935" s="5" t="s">
        <v>2681</v>
      </c>
      <c r="I1935" s="109"/>
      <c r="J1935" s="109"/>
      <c r="K1935" s="109"/>
      <c r="L1935" s="109" t="str">
        <f t="shared" si="30"/>
        <v>96-966200044</v>
      </c>
      <c r="M1935" s="114">
        <v>966200044</v>
      </c>
      <c r="N1935" s="114" t="s">
        <v>7414</v>
      </c>
    </row>
    <row r="1936" spans="1:14" ht="18">
      <c r="A1936" s="8" t="s">
        <v>1649</v>
      </c>
      <c r="B1936" s="5" t="s">
        <v>2681</v>
      </c>
      <c r="I1936" s="109"/>
      <c r="J1936" s="109"/>
      <c r="K1936" s="109"/>
      <c r="L1936" s="109" t="str">
        <f t="shared" si="30"/>
        <v>96-966200067</v>
      </c>
      <c r="M1936" s="114">
        <v>966200067</v>
      </c>
      <c r="N1936" s="114" t="s">
        <v>7441</v>
      </c>
    </row>
    <row r="1937" spans="1:14" ht="18">
      <c r="A1937" s="8" t="s">
        <v>1584</v>
      </c>
      <c r="B1937" s="5" t="s">
        <v>2681</v>
      </c>
      <c r="I1937" s="109"/>
      <c r="J1937" s="109"/>
      <c r="K1937" s="109"/>
      <c r="L1937" s="109" t="str">
        <f t="shared" si="30"/>
        <v>96-966200200</v>
      </c>
      <c r="M1937" s="114">
        <v>966200200</v>
      </c>
      <c r="N1937" s="114" t="s">
        <v>7120</v>
      </c>
    </row>
    <row r="1938" spans="1:14" ht="18">
      <c r="A1938" s="8" t="s">
        <v>1650</v>
      </c>
      <c r="B1938" s="5" t="s">
        <v>2681</v>
      </c>
      <c r="I1938" s="109"/>
      <c r="J1938" s="109"/>
      <c r="K1938" s="109"/>
      <c r="L1938" s="109" t="str">
        <f t="shared" si="30"/>
        <v>96-966200148</v>
      </c>
      <c r="M1938" s="114">
        <v>966200148</v>
      </c>
      <c r="N1938" s="114" t="s">
        <v>7343</v>
      </c>
    </row>
    <row r="1939" spans="1:14" ht="18">
      <c r="A1939" s="8" t="s">
        <v>1651</v>
      </c>
      <c r="B1939" s="5" t="s">
        <v>2681</v>
      </c>
      <c r="I1939" s="109"/>
      <c r="J1939" s="109"/>
      <c r="K1939" s="109"/>
      <c r="L1939" s="109" t="str">
        <f t="shared" si="30"/>
        <v>96-966200236</v>
      </c>
      <c r="M1939" s="114">
        <v>966200236</v>
      </c>
      <c r="N1939" s="114" t="s">
        <v>7442</v>
      </c>
    </row>
    <row r="1940" spans="1:14" ht="18">
      <c r="A1940" s="8" t="s">
        <v>1737</v>
      </c>
      <c r="B1940" s="5" t="s">
        <v>2681</v>
      </c>
      <c r="I1940" s="109"/>
      <c r="J1940" s="109"/>
      <c r="K1940" s="109"/>
      <c r="L1940" s="109" t="str">
        <f t="shared" si="30"/>
        <v>96-966200224</v>
      </c>
      <c r="M1940" s="114">
        <v>966200224</v>
      </c>
      <c r="N1940" s="114" t="s">
        <v>7443</v>
      </c>
    </row>
    <row r="1941" spans="1:14" ht="18">
      <c r="A1941" s="8" t="s">
        <v>1652</v>
      </c>
      <c r="B1941" s="5" t="s">
        <v>2681</v>
      </c>
      <c r="I1941" s="109"/>
      <c r="J1941" s="109"/>
      <c r="K1941" s="109"/>
      <c r="L1941" s="109" t="str">
        <f t="shared" si="30"/>
        <v>96-962000167</v>
      </c>
      <c r="M1941" s="114">
        <v>962000167</v>
      </c>
      <c r="N1941" s="114" t="s">
        <v>7112</v>
      </c>
    </row>
    <row r="1942" spans="1:14" ht="18">
      <c r="A1942" s="8" t="s">
        <v>1734</v>
      </c>
      <c r="B1942" s="5" t="s">
        <v>2681</v>
      </c>
      <c r="I1942" s="109"/>
      <c r="J1942" s="109"/>
      <c r="K1942" s="109"/>
      <c r="L1942" s="109" t="str">
        <f t="shared" si="30"/>
        <v>96-962000179</v>
      </c>
      <c r="M1942" s="114">
        <v>962000179</v>
      </c>
      <c r="N1942" s="114" t="s">
        <v>7112</v>
      </c>
    </row>
    <row r="1943" spans="1:14" ht="18">
      <c r="A1943" s="8" t="s">
        <v>1735</v>
      </c>
      <c r="B1943" s="5" t="s">
        <v>2681</v>
      </c>
      <c r="I1943" s="109"/>
      <c r="J1943" s="109"/>
      <c r="K1943" s="109"/>
      <c r="L1943" s="109" t="str">
        <f t="shared" si="30"/>
        <v>96-962000190</v>
      </c>
      <c r="M1943" s="114">
        <v>962000190</v>
      </c>
      <c r="N1943" s="114" t="s">
        <v>7112</v>
      </c>
    </row>
    <row r="1944" spans="1:14" ht="18">
      <c r="A1944" s="8" t="s">
        <v>1736</v>
      </c>
      <c r="B1944" s="5" t="s">
        <v>2681</v>
      </c>
      <c r="I1944" s="109"/>
      <c r="J1944" s="109"/>
      <c r="K1944" s="109"/>
      <c r="L1944" s="109" t="str">
        <f t="shared" si="30"/>
        <v>95-954100021</v>
      </c>
      <c r="M1944" s="114">
        <v>954100021</v>
      </c>
      <c r="N1944" s="114" t="s">
        <v>5691</v>
      </c>
    </row>
    <row r="1945" spans="1:14" ht="18">
      <c r="A1945" s="8" t="s">
        <v>1596</v>
      </c>
      <c r="B1945" s="5" t="s">
        <v>2681</v>
      </c>
      <c r="I1945" s="109"/>
      <c r="J1945" s="109"/>
      <c r="K1945" s="109"/>
      <c r="L1945" s="109" t="str">
        <f t="shared" si="30"/>
        <v>95-954100027</v>
      </c>
      <c r="M1945" s="114">
        <v>954100027</v>
      </c>
      <c r="N1945" s="114" t="s">
        <v>5626</v>
      </c>
    </row>
    <row r="1946" spans="1:14" ht="18">
      <c r="A1946" s="8" t="s">
        <v>1733</v>
      </c>
      <c r="B1946" s="5" t="s">
        <v>2681</v>
      </c>
      <c r="I1946" s="109"/>
      <c r="J1946" s="109"/>
      <c r="K1946" s="109"/>
      <c r="L1946" s="109" t="str">
        <f t="shared" si="30"/>
        <v>95-954100034</v>
      </c>
      <c r="M1946" s="114">
        <v>954100034</v>
      </c>
      <c r="N1946" s="114" t="s">
        <v>5749</v>
      </c>
    </row>
    <row r="1947" spans="1:14" ht="18">
      <c r="A1947" s="8" t="s">
        <v>1653</v>
      </c>
      <c r="B1947" s="5" t="s">
        <v>2681</v>
      </c>
      <c r="I1947" s="109"/>
      <c r="J1947" s="109"/>
      <c r="K1947" s="109"/>
      <c r="L1947" s="109" t="str">
        <f t="shared" si="30"/>
        <v>95-954100038</v>
      </c>
      <c r="M1947" s="114">
        <v>954100038</v>
      </c>
      <c r="N1947" s="114" t="s">
        <v>5760</v>
      </c>
    </row>
    <row r="1948" spans="1:14" ht="18">
      <c r="A1948" s="8" t="s">
        <v>1569</v>
      </c>
      <c r="B1948" s="5" t="s">
        <v>2681</v>
      </c>
      <c r="I1948" s="109"/>
      <c r="J1948" s="109"/>
      <c r="K1948" s="109"/>
      <c r="L1948" s="109" t="str">
        <f t="shared" si="30"/>
        <v>95-951700268</v>
      </c>
      <c r="M1948" s="114">
        <v>951700268</v>
      </c>
      <c r="N1948" s="114" t="s">
        <v>7177</v>
      </c>
    </row>
    <row r="1949" spans="1:14" ht="18">
      <c r="A1949" s="8" t="s">
        <v>1654</v>
      </c>
      <c r="B1949" s="5" t="s">
        <v>2681</v>
      </c>
      <c r="I1949" s="109"/>
      <c r="J1949" s="109"/>
      <c r="K1949" s="109"/>
      <c r="L1949" s="109" t="str">
        <f t="shared" si="30"/>
        <v>95-951700295</v>
      </c>
      <c r="M1949" s="114">
        <v>951700295</v>
      </c>
      <c r="N1949" s="114" t="s">
        <v>7177</v>
      </c>
    </row>
    <row r="1950" spans="1:14" ht="18">
      <c r="A1950" s="8" t="s">
        <v>1655</v>
      </c>
      <c r="B1950" s="5" t="s">
        <v>2681</v>
      </c>
      <c r="I1950" s="109"/>
      <c r="J1950" s="109"/>
      <c r="K1950" s="109"/>
      <c r="L1950" s="109" t="str">
        <f t="shared" si="30"/>
        <v>96-961700034</v>
      </c>
      <c r="M1950" s="114">
        <v>961700034</v>
      </c>
      <c r="N1950" s="114" t="s">
        <v>8173</v>
      </c>
    </row>
    <row r="1951" spans="1:14" ht="18">
      <c r="A1951" s="8" t="s">
        <v>1656</v>
      </c>
      <c r="B1951" s="5" t="s">
        <v>2681</v>
      </c>
      <c r="I1951" s="109"/>
      <c r="J1951" s="109"/>
      <c r="K1951" s="109"/>
      <c r="L1951" s="109" t="str">
        <f t="shared" si="30"/>
        <v>96-961700043</v>
      </c>
      <c r="M1951" s="114">
        <v>961700043</v>
      </c>
      <c r="N1951" s="114" t="s">
        <v>8174</v>
      </c>
    </row>
    <row r="1952" spans="1:14" ht="18">
      <c r="A1952" s="8" t="s">
        <v>1570</v>
      </c>
      <c r="B1952" s="5" t="s">
        <v>2681</v>
      </c>
      <c r="I1952" s="109"/>
      <c r="J1952" s="109"/>
      <c r="K1952" s="109"/>
      <c r="L1952" s="109" t="str">
        <f t="shared" si="30"/>
        <v>96-961700050</v>
      </c>
      <c r="M1952" s="114">
        <v>961700050</v>
      </c>
      <c r="N1952" s="114" t="s">
        <v>7698</v>
      </c>
    </row>
    <row r="1953" spans="1:14" ht="18">
      <c r="A1953" s="8" t="s">
        <v>1657</v>
      </c>
      <c r="B1953" s="5" t="s">
        <v>2681</v>
      </c>
      <c r="I1953" s="109"/>
      <c r="J1953" s="109"/>
      <c r="K1953" s="109"/>
      <c r="L1953" s="109" t="str">
        <f t="shared" si="30"/>
        <v>95-951800146</v>
      </c>
      <c r="M1953" s="114">
        <v>951800146</v>
      </c>
      <c r="N1953" s="114" t="s">
        <v>7611</v>
      </c>
    </row>
    <row r="1954" spans="1:14" ht="18">
      <c r="A1954" s="8" t="s">
        <v>1658</v>
      </c>
      <c r="B1954" s="5" t="s">
        <v>2681</v>
      </c>
      <c r="I1954" s="109"/>
      <c r="J1954" s="109"/>
      <c r="K1954" s="109"/>
      <c r="L1954" s="109" t="str">
        <f t="shared" si="30"/>
        <v>96-961800032</v>
      </c>
      <c r="M1954" s="114">
        <v>961800032</v>
      </c>
      <c r="N1954" s="114" t="s">
        <v>7544</v>
      </c>
    </row>
    <row r="1955" spans="1:14" ht="18">
      <c r="A1955" s="8" t="s">
        <v>1571</v>
      </c>
      <c r="B1955" s="5" t="s">
        <v>2681</v>
      </c>
      <c r="I1955" s="109"/>
      <c r="J1955" s="109"/>
      <c r="K1955" s="109"/>
      <c r="L1955" s="109" t="str">
        <f t="shared" si="30"/>
        <v>95-951900041</v>
      </c>
      <c r="M1955" s="114">
        <v>951900041</v>
      </c>
      <c r="N1955" s="114" t="s">
        <v>7502</v>
      </c>
    </row>
    <row r="1956" spans="1:14" ht="18">
      <c r="A1956" s="8" t="s">
        <v>1688</v>
      </c>
      <c r="B1956" s="5" t="s">
        <v>2681</v>
      </c>
      <c r="I1956" s="109"/>
      <c r="J1956" s="109"/>
      <c r="K1956" s="109"/>
      <c r="L1956" s="109" t="str">
        <f t="shared" si="30"/>
        <v>95-951800138</v>
      </c>
      <c r="M1956" s="114">
        <v>951800138</v>
      </c>
      <c r="N1956" s="114" t="s">
        <v>8178</v>
      </c>
    </row>
    <row r="1957" spans="1:14" ht="18">
      <c r="A1957" s="8" t="s">
        <v>1689</v>
      </c>
      <c r="B1957" s="5" t="s">
        <v>2681</v>
      </c>
      <c r="I1957" s="109"/>
      <c r="J1957" s="109"/>
      <c r="K1957" s="109"/>
      <c r="L1957" s="109" t="str">
        <f t="shared" si="30"/>
        <v>95-954100041</v>
      </c>
      <c r="M1957" s="114">
        <v>954100041</v>
      </c>
      <c r="N1957" s="114" t="s">
        <v>5761</v>
      </c>
    </row>
    <row r="1958" spans="1:14" ht="18">
      <c r="A1958" s="8" t="s">
        <v>1751</v>
      </c>
      <c r="B1958" s="5" t="s">
        <v>2681</v>
      </c>
      <c r="I1958" s="109"/>
      <c r="J1958" s="109"/>
      <c r="K1958" s="109"/>
      <c r="L1958" s="109" t="str">
        <f t="shared" si="30"/>
        <v>95-954100042</v>
      </c>
      <c r="M1958" s="114">
        <v>954100042</v>
      </c>
      <c r="N1958" s="114" t="s">
        <v>5761</v>
      </c>
    </row>
    <row r="1959" spans="1:14" ht="18">
      <c r="A1959" s="8" t="s">
        <v>1659</v>
      </c>
      <c r="B1959" s="5" t="s">
        <v>2681</v>
      </c>
      <c r="I1959" s="109"/>
      <c r="J1959" s="109"/>
      <c r="K1959" s="109"/>
      <c r="L1959" s="109" t="str">
        <f t="shared" si="30"/>
        <v>96-964100001</v>
      </c>
      <c r="M1959" s="114">
        <v>964100001</v>
      </c>
      <c r="N1959" s="114" t="s">
        <v>5761</v>
      </c>
    </row>
    <row r="1960" spans="1:14" ht="18">
      <c r="A1960" s="8" t="s">
        <v>1660</v>
      </c>
      <c r="B1960" s="5" t="s">
        <v>2681</v>
      </c>
      <c r="I1960" s="109"/>
      <c r="J1960" s="109"/>
      <c r="K1960" s="109"/>
      <c r="L1960" s="109" t="str">
        <f t="shared" si="30"/>
        <v>96-964100003</v>
      </c>
      <c r="M1960" s="114">
        <v>964100003</v>
      </c>
      <c r="N1960" s="114" t="s">
        <v>5760</v>
      </c>
    </row>
    <row r="1961" spans="1:14" ht="18">
      <c r="A1961" s="8" t="s">
        <v>1661</v>
      </c>
      <c r="B1961" s="5" t="s">
        <v>2681</v>
      </c>
      <c r="I1961" s="109"/>
      <c r="J1961" s="109"/>
      <c r="K1961" s="109"/>
      <c r="L1961" s="109" t="str">
        <f t="shared" si="30"/>
        <v>96-964100035</v>
      </c>
      <c r="M1961" s="114">
        <v>964100035</v>
      </c>
      <c r="N1961" s="114" t="s">
        <v>5824</v>
      </c>
    </row>
    <row r="1962" spans="1:14" ht="18">
      <c r="A1962" s="8" t="s">
        <v>1662</v>
      </c>
      <c r="B1962" s="5" t="s">
        <v>2681</v>
      </c>
      <c r="I1962" s="109"/>
      <c r="J1962" s="109"/>
      <c r="K1962" s="109"/>
      <c r="L1962" s="109" t="str">
        <f t="shared" si="30"/>
        <v>96-964100013</v>
      </c>
      <c r="M1962" s="114">
        <v>964100013</v>
      </c>
      <c r="N1962" s="114" t="s">
        <v>5797</v>
      </c>
    </row>
    <row r="1963" spans="1:14" ht="18">
      <c r="A1963" s="8" t="s">
        <v>1663</v>
      </c>
      <c r="B1963" s="5" t="s">
        <v>2681</v>
      </c>
      <c r="I1963" s="109"/>
      <c r="J1963" s="109"/>
      <c r="K1963" s="109"/>
      <c r="L1963" s="109" t="str">
        <f t="shared" si="30"/>
        <v>96-964100014</v>
      </c>
      <c r="M1963" s="114">
        <v>964100014</v>
      </c>
      <c r="N1963" s="114" t="s">
        <v>5797</v>
      </c>
    </row>
    <row r="1964" spans="1:14" ht="18">
      <c r="A1964" s="8" t="s">
        <v>1664</v>
      </c>
      <c r="B1964" s="5" t="s">
        <v>2681</v>
      </c>
      <c r="I1964" s="109"/>
      <c r="J1964" s="109"/>
      <c r="K1964" s="109"/>
      <c r="L1964" s="109" t="str">
        <f t="shared" si="30"/>
        <v>96-964100015</v>
      </c>
      <c r="M1964" s="114">
        <v>964100015</v>
      </c>
      <c r="N1964" s="114" t="s">
        <v>5797</v>
      </c>
    </row>
    <row r="1965" spans="1:14" ht="18">
      <c r="A1965" s="8" t="s">
        <v>1665</v>
      </c>
      <c r="B1965" s="5" t="s">
        <v>2681</v>
      </c>
      <c r="I1965" s="109"/>
      <c r="J1965" s="109"/>
      <c r="K1965" s="109"/>
      <c r="L1965" s="109" t="str">
        <f t="shared" si="30"/>
        <v>96-964100016</v>
      </c>
      <c r="M1965" s="114">
        <v>964100016</v>
      </c>
      <c r="N1965" s="114" t="s">
        <v>5804</v>
      </c>
    </row>
    <row r="1966" spans="1:14" ht="18">
      <c r="A1966" s="8" t="s">
        <v>1666</v>
      </c>
      <c r="B1966" s="5" t="s">
        <v>2681</v>
      </c>
      <c r="I1966" s="109"/>
      <c r="J1966" s="109"/>
      <c r="K1966" s="109"/>
      <c r="L1966" s="109" t="str">
        <f t="shared" si="30"/>
        <v>96-964100022</v>
      </c>
      <c r="M1966" s="114">
        <v>964100022</v>
      </c>
      <c r="N1966" s="114" t="s">
        <v>5783</v>
      </c>
    </row>
    <row r="1967" spans="1:14" ht="18">
      <c r="A1967" s="8" t="s">
        <v>1667</v>
      </c>
      <c r="B1967" s="5" t="s">
        <v>2681</v>
      </c>
      <c r="I1967" s="109"/>
      <c r="J1967" s="109"/>
      <c r="K1967" s="109"/>
      <c r="L1967" s="109" t="str">
        <f t="shared" si="30"/>
        <v>96-964100028</v>
      </c>
      <c r="M1967" s="114">
        <v>964100028</v>
      </c>
      <c r="N1967" s="114" t="s">
        <v>5782</v>
      </c>
    </row>
    <row r="1968" spans="1:14" ht="18">
      <c r="A1968" s="8" t="s">
        <v>1732</v>
      </c>
      <c r="B1968" s="5" t="s">
        <v>2681</v>
      </c>
      <c r="I1968" s="109"/>
      <c r="J1968" s="109"/>
      <c r="K1968" s="109"/>
      <c r="L1968" s="109" t="str">
        <f t="shared" si="30"/>
        <v>96-964100031</v>
      </c>
      <c r="M1968" s="114">
        <v>964100031</v>
      </c>
      <c r="N1968" s="114" t="s">
        <v>5817</v>
      </c>
    </row>
    <row r="1969" spans="1:14" ht="18">
      <c r="A1969" s="8" t="s">
        <v>1668</v>
      </c>
      <c r="B1969" s="5" t="s">
        <v>2681</v>
      </c>
      <c r="I1969" s="109"/>
      <c r="J1969" s="109"/>
      <c r="K1969" s="109"/>
      <c r="L1969" s="109" t="str">
        <f t="shared" si="30"/>
        <v>96-964100030</v>
      </c>
      <c r="M1969" s="114">
        <v>964100030</v>
      </c>
      <c r="N1969" s="114" t="s">
        <v>5817</v>
      </c>
    </row>
    <row r="1970" spans="1:14" ht="18">
      <c r="A1970" s="8" t="s">
        <v>1669</v>
      </c>
      <c r="B1970" s="5" t="s">
        <v>2681</v>
      </c>
      <c r="I1970" s="109"/>
      <c r="J1970" s="109"/>
      <c r="K1970" s="109"/>
      <c r="L1970" s="109" t="str">
        <f t="shared" si="30"/>
        <v>96-964100039</v>
      </c>
      <c r="M1970" s="114">
        <v>964100039</v>
      </c>
      <c r="N1970" s="114" t="s">
        <v>5817</v>
      </c>
    </row>
    <row r="1971" spans="1:14" ht="18">
      <c r="A1971" s="8" t="s">
        <v>1670</v>
      </c>
      <c r="B1971" s="5" t="s">
        <v>2681</v>
      </c>
      <c r="I1971" s="109"/>
      <c r="J1971" s="109"/>
      <c r="K1971" s="109"/>
      <c r="L1971" s="109" t="str">
        <f t="shared" si="30"/>
        <v>96-964100043</v>
      </c>
      <c r="M1971" s="114">
        <v>964100043</v>
      </c>
      <c r="N1971" s="114" t="s">
        <v>5844</v>
      </c>
    </row>
    <row r="1972" spans="1:14" ht="18">
      <c r="A1972" s="8" t="s">
        <v>1728</v>
      </c>
      <c r="B1972" s="5" t="s">
        <v>2681</v>
      </c>
      <c r="I1972" s="109"/>
      <c r="J1972" s="109"/>
      <c r="K1972" s="109"/>
      <c r="L1972" s="109" t="str">
        <f t="shared" si="30"/>
        <v>96-964100058</v>
      </c>
      <c r="M1972" s="114">
        <v>964100058</v>
      </c>
      <c r="N1972" s="114" t="s">
        <v>7124</v>
      </c>
    </row>
    <row r="1973" spans="1:14" ht="18">
      <c r="A1973" s="8" t="s">
        <v>1754</v>
      </c>
      <c r="B1973" s="5" t="s">
        <v>2681</v>
      </c>
      <c r="I1973" s="109"/>
      <c r="J1973" s="109"/>
      <c r="K1973" s="109"/>
      <c r="L1973" s="109" t="str">
        <f t="shared" si="30"/>
        <v>95-951700008</v>
      </c>
      <c r="M1973" s="114">
        <v>951700008</v>
      </c>
      <c r="N1973" s="114" t="s">
        <v>7517</v>
      </c>
    </row>
    <row r="1974" spans="1:14" ht="18">
      <c r="A1974" s="8" t="s">
        <v>1157</v>
      </c>
      <c r="B1974" s="5" t="s">
        <v>2682</v>
      </c>
      <c r="I1974" s="109"/>
      <c r="J1974" s="109"/>
      <c r="K1974" s="109"/>
      <c r="L1974" s="109" t="str">
        <f t="shared" si="30"/>
        <v>95-951400012</v>
      </c>
      <c r="M1974" s="114">
        <v>951400012</v>
      </c>
      <c r="N1974" s="114" t="s">
        <v>7517</v>
      </c>
    </row>
    <row r="1975" spans="1:14" ht="18">
      <c r="A1975" s="8" t="s">
        <v>1164</v>
      </c>
      <c r="B1975" s="5" t="s">
        <v>2682</v>
      </c>
      <c r="I1975" s="109"/>
      <c r="J1975" s="109"/>
      <c r="K1975" s="109"/>
      <c r="L1975" s="109" t="str">
        <f t="shared" si="30"/>
        <v>95-951700010</v>
      </c>
      <c r="M1975" s="114">
        <v>951700010</v>
      </c>
      <c r="N1975" s="114" t="s">
        <v>7517</v>
      </c>
    </row>
    <row r="1976" spans="1:14" ht="18">
      <c r="A1976" s="8" t="s">
        <v>1173</v>
      </c>
      <c r="B1976" s="5" t="s">
        <v>2682</v>
      </c>
      <c r="I1976" s="109"/>
      <c r="J1976" s="109"/>
      <c r="K1976" s="109"/>
      <c r="L1976" s="109" t="str">
        <f t="shared" si="30"/>
        <v>95-951700090</v>
      </c>
      <c r="M1976" s="114">
        <v>951700090</v>
      </c>
      <c r="N1976" s="114" t="s">
        <v>7633</v>
      </c>
    </row>
    <row r="1977" spans="1:14" ht="18">
      <c r="A1977" s="8" t="s">
        <v>1275</v>
      </c>
      <c r="B1977" s="5" t="s">
        <v>2682</v>
      </c>
      <c r="I1977" s="109"/>
      <c r="J1977" s="109"/>
      <c r="K1977" s="109"/>
      <c r="L1977" s="109" t="str">
        <f t="shared" si="30"/>
        <v>95-951700119</v>
      </c>
      <c r="M1977" s="114">
        <v>951700119</v>
      </c>
      <c r="N1977" s="114" t="s">
        <v>7525</v>
      </c>
    </row>
    <row r="1978" spans="1:14" ht="18">
      <c r="A1978" s="41" t="s">
        <v>1598</v>
      </c>
      <c r="B1978" s="5" t="s">
        <v>2816</v>
      </c>
      <c r="I1978" s="109"/>
      <c r="J1978" s="109"/>
      <c r="K1978" s="109"/>
      <c r="L1978" s="109" t="str">
        <f t="shared" si="30"/>
        <v>95-951700124</v>
      </c>
      <c r="M1978" s="114">
        <v>951700124</v>
      </c>
      <c r="N1978" s="114" t="s">
        <v>7525</v>
      </c>
    </row>
    <row r="1979" spans="1:14" ht="18">
      <c r="A1979" s="42" t="s">
        <v>124</v>
      </c>
      <c r="B1979" s="5" t="s">
        <v>2898</v>
      </c>
      <c r="I1979" s="109"/>
      <c r="J1979" s="109"/>
      <c r="K1979" s="109"/>
      <c r="L1979" s="109" t="str">
        <f t="shared" si="30"/>
        <v>95-951700154</v>
      </c>
      <c r="M1979" s="114">
        <v>951700154</v>
      </c>
      <c r="N1979" s="114" t="s">
        <v>7639</v>
      </c>
    </row>
    <row r="1980" spans="1:14" ht="18">
      <c r="A1980" s="42" t="s">
        <v>815</v>
      </c>
      <c r="B1980" s="5" t="s">
        <v>2898</v>
      </c>
      <c r="I1980" s="109"/>
      <c r="J1980" s="109"/>
      <c r="K1980" s="109"/>
      <c r="L1980" s="109" t="str">
        <f t="shared" si="30"/>
        <v>95-951700178</v>
      </c>
      <c r="M1980" s="114">
        <v>951700178</v>
      </c>
      <c r="N1980" s="114" t="s">
        <v>7528</v>
      </c>
    </row>
    <row r="1981" spans="1:14" ht="18">
      <c r="A1981" s="42" t="s">
        <v>345</v>
      </c>
      <c r="B1981" s="5" t="s">
        <v>2898</v>
      </c>
      <c r="I1981" s="109"/>
      <c r="J1981" s="109"/>
      <c r="K1981" s="109"/>
      <c r="L1981" s="109" t="str">
        <f t="shared" si="30"/>
        <v>95-951700187</v>
      </c>
      <c r="M1981" s="114">
        <v>951700187</v>
      </c>
      <c r="N1981" s="114" t="s">
        <v>7528</v>
      </c>
    </row>
    <row r="1982" spans="1:14" ht="18">
      <c r="A1982" s="42" t="s">
        <v>370</v>
      </c>
      <c r="B1982" s="5" t="s">
        <v>2898</v>
      </c>
      <c r="I1982" s="109"/>
      <c r="J1982" s="109"/>
      <c r="K1982" s="109"/>
      <c r="L1982" s="109" t="str">
        <f t="shared" si="30"/>
        <v>95-951700100</v>
      </c>
      <c r="M1982" s="114">
        <v>951700100</v>
      </c>
      <c r="N1982" s="114" t="s">
        <v>7701</v>
      </c>
    </row>
    <row r="1983" spans="1:14" ht="18">
      <c r="A1983" s="42" t="s">
        <v>214</v>
      </c>
      <c r="B1983" s="5" t="s">
        <v>2898</v>
      </c>
      <c r="I1983" s="109"/>
      <c r="J1983" s="109"/>
      <c r="K1983" s="109"/>
      <c r="L1983" s="109" t="str">
        <f t="shared" si="30"/>
        <v>95-951700136</v>
      </c>
      <c r="M1983" s="114">
        <v>951700136</v>
      </c>
      <c r="N1983" s="114" t="s">
        <v>8179</v>
      </c>
    </row>
    <row r="1984" spans="1:14" ht="18">
      <c r="A1984" s="42" t="s">
        <v>2896</v>
      </c>
      <c r="B1984" s="5" t="s">
        <v>2898</v>
      </c>
      <c r="I1984" s="109"/>
      <c r="J1984" s="109"/>
      <c r="K1984" s="109"/>
      <c r="L1984" s="109" t="str">
        <f t="shared" si="30"/>
        <v>95-951400135</v>
      </c>
      <c r="M1984" s="114">
        <v>951400135</v>
      </c>
      <c r="N1984" s="114" t="s">
        <v>7150</v>
      </c>
    </row>
    <row r="1985" spans="1:14" ht="18">
      <c r="A1985" s="42" t="s">
        <v>121</v>
      </c>
      <c r="B1985" s="5" t="s">
        <v>2898</v>
      </c>
      <c r="I1985" s="109"/>
      <c r="J1985" s="109"/>
      <c r="K1985" s="109"/>
      <c r="L1985" s="109" t="str">
        <f t="shared" si="30"/>
        <v>95-951400182</v>
      </c>
      <c r="M1985" s="114">
        <v>951400182</v>
      </c>
      <c r="N1985" s="114" t="s">
        <v>7514</v>
      </c>
    </row>
    <row r="1986" spans="1:14" ht="18">
      <c r="A1986" s="42" t="s">
        <v>776</v>
      </c>
      <c r="B1986" s="5" t="s">
        <v>2898</v>
      </c>
      <c r="I1986" s="109"/>
      <c r="J1986" s="109"/>
      <c r="K1986" s="109"/>
      <c r="L1986" s="109" t="str">
        <f t="shared" si="30"/>
        <v>95-951700194</v>
      </c>
      <c r="M1986" s="114">
        <v>951700194</v>
      </c>
      <c r="N1986" s="114" t="s">
        <v>7640</v>
      </c>
    </row>
    <row r="1987" spans="1:14" ht="18">
      <c r="A1987" s="42" t="s">
        <v>2897</v>
      </c>
      <c r="B1987" s="5" t="s">
        <v>2898</v>
      </c>
      <c r="I1987" s="109"/>
      <c r="J1987" s="109"/>
      <c r="K1987" s="109"/>
      <c r="L1987" s="109" t="str">
        <f t="shared" ref="L1987:L2050" si="31">MID(M1987,1,2)&amp;"-"&amp;M1987</f>
        <v>95-951700192</v>
      </c>
      <c r="M1987" s="114">
        <v>951700192</v>
      </c>
      <c r="N1987" s="114" t="s">
        <v>7528</v>
      </c>
    </row>
    <row r="1988" spans="1:14" ht="18">
      <c r="A1988" s="42" t="s">
        <v>362</v>
      </c>
      <c r="B1988" s="5" t="s">
        <v>2898</v>
      </c>
      <c r="I1988" s="109"/>
      <c r="J1988" s="109"/>
      <c r="K1988" s="109"/>
      <c r="L1988" s="109" t="str">
        <f t="shared" si="31"/>
        <v>95-951700253</v>
      </c>
      <c r="M1988" s="114">
        <v>951700253</v>
      </c>
      <c r="N1988" s="114" t="s">
        <v>7153</v>
      </c>
    </row>
    <row r="1989" spans="1:14" ht="18">
      <c r="A1989" s="42" t="s">
        <v>129</v>
      </c>
      <c r="B1989" s="5" t="s">
        <v>2898</v>
      </c>
      <c r="I1989" s="109"/>
      <c r="J1989" s="109"/>
      <c r="K1989" s="109"/>
      <c r="L1989" s="109" t="str">
        <f t="shared" si="31"/>
        <v>96-961700063</v>
      </c>
      <c r="M1989" s="114">
        <v>961700063</v>
      </c>
      <c r="N1989" s="114" t="s">
        <v>7529</v>
      </c>
    </row>
    <row r="1990" spans="1:14" ht="18">
      <c r="A1990" s="42" t="s">
        <v>775</v>
      </c>
      <c r="B1990" s="5" t="s">
        <v>2898</v>
      </c>
      <c r="I1990" s="109"/>
      <c r="J1990" s="109"/>
      <c r="K1990" s="109"/>
      <c r="L1990" s="109" t="str">
        <f t="shared" si="31"/>
        <v>95-951900005</v>
      </c>
      <c r="M1990" s="114">
        <v>951900005</v>
      </c>
      <c r="N1990" s="114" t="s">
        <v>7641</v>
      </c>
    </row>
    <row r="1991" spans="1:14" ht="18">
      <c r="A1991" s="42" t="s">
        <v>855</v>
      </c>
      <c r="B1991" s="5" t="s">
        <v>2898</v>
      </c>
      <c r="I1991" s="109"/>
      <c r="J1991" s="109"/>
      <c r="K1991" s="109"/>
      <c r="L1991" s="109" t="str">
        <f t="shared" si="31"/>
        <v>95-951700067</v>
      </c>
      <c r="M1991" s="114">
        <v>951700067</v>
      </c>
      <c r="N1991" s="114" t="s">
        <v>7518</v>
      </c>
    </row>
    <row r="1992" spans="1:14" ht="18">
      <c r="A1992" s="42" t="s">
        <v>1198</v>
      </c>
      <c r="B1992" s="5" t="s">
        <v>2898</v>
      </c>
      <c r="I1992" s="109"/>
      <c r="J1992" s="109"/>
      <c r="K1992" s="109"/>
      <c r="L1992" s="109" t="str">
        <f t="shared" si="31"/>
        <v>95-951700121</v>
      </c>
      <c r="M1992" s="114">
        <v>951700121</v>
      </c>
      <c r="N1992" s="114" t="s">
        <v>7525</v>
      </c>
    </row>
    <row r="1993" spans="1:14" ht="18">
      <c r="A1993" s="42" t="s">
        <v>24</v>
      </c>
      <c r="B1993" s="5" t="s">
        <v>2898</v>
      </c>
      <c r="I1993" s="109"/>
      <c r="J1993" s="109"/>
      <c r="K1993" s="109"/>
      <c r="L1993" s="109" t="str">
        <f t="shared" si="31"/>
        <v>95-951700191</v>
      </c>
      <c r="M1993" s="114">
        <v>951700191</v>
      </c>
      <c r="N1993" s="114" t="s">
        <v>7528</v>
      </c>
    </row>
    <row r="1994" spans="1:14" ht="18">
      <c r="A1994" s="42" t="s">
        <v>48</v>
      </c>
      <c r="B1994" s="5" t="s">
        <v>2898</v>
      </c>
      <c r="I1994" s="109"/>
      <c r="J1994" s="109"/>
      <c r="K1994" s="109"/>
      <c r="L1994" s="109" t="str">
        <f t="shared" si="31"/>
        <v>95-951600005</v>
      </c>
      <c r="M1994" s="114">
        <v>951600005</v>
      </c>
      <c r="N1994" s="114" t="s">
        <v>7650</v>
      </c>
    </row>
    <row r="1995" spans="1:14" ht="18">
      <c r="A1995" s="42" t="s">
        <v>105</v>
      </c>
      <c r="B1995" s="5" t="s">
        <v>2898</v>
      </c>
      <c r="I1995" s="109"/>
      <c r="J1995" s="109"/>
      <c r="K1995" s="109"/>
      <c r="L1995" s="109" t="str">
        <f t="shared" si="31"/>
        <v>95-951400098</v>
      </c>
      <c r="M1995" s="114">
        <v>951400098</v>
      </c>
      <c r="N1995" s="114" t="s">
        <v>7533</v>
      </c>
    </row>
    <row r="1996" spans="1:14">
      <c r="A1996" t="s">
        <v>422</v>
      </c>
      <c r="B1996" s="5" t="s">
        <v>3212</v>
      </c>
      <c r="I1996" s="109"/>
      <c r="J1996" s="109"/>
      <c r="K1996" s="109"/>
      <c r="L1996" s="109" t="str">
        <f t="shared" si="31"/>
        <v>95-951400154</v>
      </c>
      <c r="M1996" s="114">
        <v>951400154</v>
      </c>
      <c r="N1996" s="114" t="s">
        <v>7535</v>
      </c>
    </row>
    <row r="1997" spans="1:14">
      <c r="A1997" t="s">
        <v>400</v>
      </c>
      <c r="B1997" s="5" t="s">
        <v>3212</v>
      </c>
      <c r="I1997" s="109"/>
      <c r="J1997" s="109"/>
      <c r="K1997" s="109"/>
      <c r="L1997" s="109" t="str">
        <f t="shared" si="31"/>
        <v>95-951400157</v>
      </c>
      <c r="M1997" s="114">
        <v>951400157</v>
      </c>
      <c r="N1997" s="114" t="s">
        <v>7535</v>
      </c>
    </row>
    <row r="1998" spans="1:14">
      <c r="A1998" t="s">
        <v>429</v>
      </c>
      <c r="B1998" s="5" t="s">
        <v>3212</v>
      </c>
      <c r="I1998" s="109"/>
      <c r="J1998" s="109"/>
      <c r="K1998" s="109"/>
      <c r="L1998" s="109" t="str">
        <f t="shared" si="31"/>
        <v>95-951400165</v>
      </c>
      <c r="M1998" s="114">
        <v>951400165</v>
      </c>
      <c r="N1998" s="114" t="s">
        <v>7535</v>
      </c>
    </row>
    <row r="1999" spans="1:14">
      <c r="A1999" t="s">
        <v>430</v>
      </c>
      <c r="B1999" s="5" t="s">
        <v>3212</v>
      </c>
      <c r="I1999" s="109"/>
      <c r="J1999" s="109"/>
      <c r="K1999" s="109"/>
      <c r="L1999" s="109" t="str">
        <f t="shared" si="31"/>
        <v>95-951700126</v>
      </c>
      <c r="M1999" s="114">
        <v>951700126</v>
      </c>
      <c r="N1999" s="114" t="s">
        <v>7537</v>
      </c>
    </row>
    <row r="2000" spans="1:14">
      <c r="A2000" t="s">
        <v>434</v>
      </c>
      <c r="B2000" s="5" t="s">
        <v>3212</v>
      </c>
      <c r="I2000" s="109"/>
      <c r="J2000" s="109"/>
      <c r="K2000" s="109"/>
      <c r="L2000" s="109" t="str">
        <f t="shared" si="31"/>
        <v>95-951700263</v>
      </c>
      <c r="M2000" s="114">
        <v>951700263</v>
      </c>
      <c r="N2000" s="114" t="s">
        <v>7539</v>
      </c>
    </row>
    <row r="2001" spans="1:14">
      <c r="A2001" t="s">
        <v>441</v>
      </c>
      <c r="B2001" s="5" t="s">
        <v>3212</v>
      </c>
      <c r="I2001" s="109"/>
      <c r="J2001" s="109"/>
      <c r="K2001" s="109"/>
      <c r="L2001" s="109" t="str">
        <f t="shared" si="31"/>
        <v>95-951700271</v>
      </c>
      <c r="M2001" s="114">
        <v>951700271</v>
      </c>
      <c r="N2001" s="114" t="s">
        <v>7651</v>
      </c>
    </row>
    <row r="2002" spans="1:14">
      <c r="A2002" t="s">
        <v>409</v>
      </c>
      <c r="B2002" s="5" t="s">
        <v>3212</v>
      </c>
      <c r="I2002" s="109"/>
      <c r="J2002" s="109"/>
      <c r="K2002" s="109"/>
      <c r="L2002" s="109" t="str">
        <f t="shared" si="31"/>
        <v>95-951700284</v>
      </c>
      <c r="M2002" s="114">
        <v>951700284</v>
      </c>
      <c r="N2002" s="114" t="s">
        <v>7204</v>
      </c>
    </row>
    <row r="2003" spans="1:14">
      <c r="A2003" t="s">
        <v>3213</v>
      </c>
      <c r="B2003" s="5" t="s">
        <v>3212</v>
      </c>
      <c r="I2003" s="109"/>
      <c r="J2003" s="109"/>
      <c r="K2003" s="109"/>
      <c r="L2003" s="109" t="str">
        <f t="shared" si="31"/>
        <v>96-961700008</v>
      </c>
      <c r="M2003" s="114">
        <v>961700008</v>
      </c>
      <c r="N2003" s="114" t="s">
        <v>7540</v>
      </c>
    </row>
    <row r="2004" spans="1:14">
      <c r="A2004" t="s">
        <v>475</v>
      </c>
      <c r="B2004" s="5" t="s">
        <v>3212</v>
      </c>
      <c r="I2004" s="109"/>
      <c r="J2004" s="109"/>
      <c r="K2004" s="109"/>
      <c r="L2004" s="109" t="str">
        <f t="shared" si="31"/>
        <v>96-961700021</v>
      </c>
      <c r="M2004" s="114">
        <v>961700021</v>
      </c>
      <c r="N2004" s="114" t="s">
        <v>7541</v>
      </c>
    </row>
    <row r="2005" spans="1:14">
      <c r="A2005" t="s">
        <v>476</v>
      </c>
      <c r="B2005" s="5" t="s">
        <v>3212</v>
      </c>
      <c r="I2005" s="109"/>
      <c r="J2005" s="109"/>
      <c r="K2005" s="109"/>
      <c r="L2005" s="109" t="str">
        <f t="shared" si="31"/>
        <v>95-951900225</v>
      </c>
      <c r="M2005" s="114">
        <v>951900225</v>
      </c>
      <c r="N2005" s="114" t="s">
        <v>7657</v>
      </c>
    </row>
    <row r="2006" spans="1:14">
      <c r="A2006" t="s">
        <v>477</v>
      </c>
      <c r="B2006" s="5" t="s">
        <v>3212</v>
      </c>
      <c r="I2006" s="109"/>
      <c r="J2006" s="109"/>
      <c r="K2006" s="109"/>
      <c r="L2006" s="109" t="str">
        <f t="shared" si="31"/>
        <v>95-954300001</v>
      </c>
      <c r="M2006" s="114">
        <v>954300001</v>
      </c>
      <c r="N2006" s="114" t="s">
        <v>7218</v>
      </c>
    </row>
    <row r="2007" spans="1:14">
      <c r="A2007" t="s">
        <v>479</v>
      </c>
      <c r="B2007" s="5" t="s">
        <v>3212</v>
      </c>
      <c r="I2007" s="109"/>
      <c r="J2007" s="109"/>
      <c r="K2007" s="109"/>
      <c r="L2007" s="109" t="str">
        <f t="shared" si="31"/>
        <v>96-964300008</v>
      </c>
      <c r="M2007" s="114">
        <v>964300008</v>
      </c>
      <c r="N2007" s="114" t="s">
        <v>7450</v>
      </c>
    </row>
    <row r="2008" spans="1:14">
      <c r="A2008" t="s">
        <v>3214</v>
      </c>
      <c r="B2008" s="5" t="s">
        <v>3212</v>
      </c>
      <c r="I2008" s="109"/>
      <c r="J2008" s="109"/>
      <c r="K2008" s="109"/>
      <c r="L2008" s="109" t="str">
        <f t="shared" si="31"/>
        <v>95-951700222</v>
      </c>
      <c r="M2008" s="114">
        <v>951700222</v>
      </c>
      <c r="N2008" s="114" t="s">
        <v>7185</v>
      </c>
    </row>
    <row r="2009" spans="1:14">
      <c r="A2009" t="s">
        <v>3215</v>
      </c>
      <c r="B2009" s="5" t="s">
        <v>3212</v>
      </c>
      <c r="I2009" s="109"/>
      <c r="J2009" s="109"/>
      <c r="K2009" s="109"/>
      <c r="L2009" s="109" t="str">
        <f t="shared" si="31"/>
        <v>95-951700225</v>
      </c>
      <c r="M2009" s="114">
        <v>951700225</v>
      </c>
      <c r="N2009" s="114" t="s">
        <v>7153</v>
      </c>
    </row>
    <row r="2010" spans="1:14">
      <c r="A2010" t="s">
        <v>478</v>
      </c>
      <c r="B2010" s="5" t="s">
        <v>3212</v>
      </c>
      <c r="I2010" s="109"/>
      <c r="J2010" s="109"/>
      <c r="K2010" s="109"/>
      <c r="L2010" s="109" t="str">
        <f t="shared" si="31"/>
        <v>95-951700247</v>
      </c>
      <c r="M2010" s="114">
        <v>951700247</v>
      </c>
      <c r="N2010" s="114" t="s">
        <v>7153</v>
      </c>
    </row>
    <row r="2011" spans="1:14">
      <c r="A2011" t="s">
        <v>480</v>
      </c>
      <c r="B2011" s="5" t="s">
        <v>3212</v>
      </c>
      <c r="I2011" s="109"/>
      <c r="J2011" s="109"/>
      <c r="K2011" s="109"/>
      <c r="L2011" s="109" t="str">
        <f t="shared" si="31"/>
        <v>95-951700249</v>
      </c>
      <c r="M2011" s="114">
        <v>951700249</v>
      </c>
      <c r="N2011" s="114" t="s">
        <v>7153</v>
      </c>
    </row>
    <row r="2012" spans="1:14">
      <c r="A2012" t="s">
        <v>482</v>
      </c>
      <c r="B2012" s="5" t="s">
        <v>3212</v>
      </c>
      <c r="I2012" s="109"/>
      <c r="J2012" s="109"/>
      <c r="K2012" s="109"/>
      <c r="L2012" s="109" t="str">
        <f t="shared" si="31"/>
        <v>95-951700277</v>
      </c>
      <c r="M2012" s="114">
        <v>951700277</v>
      </c>
      <c r="N2012" s="114" t="s">
        <v>7528</v>
      </c>
    </row>
    <row r="2013" spans="1:14">
      <c r="A2013" t="s">
        <v>481</v>
      </c>
      <c r="B2013" s="5" t="s">
        <v>3212</v>
      </c>
      <c r="I2013" s="109"/>
      <c r="J2013" s="109"/>
      <c r="K2013" s="109"/>
      <c r="L2013" s="109" t="str">
        <f t="shared" si="31"/>
        <v>95-951700311</v>
      </c>
      <c r="M2013" s="114">
        <v>951700311</v>
      </c>
      <c r="N2013" s="114" t="s">
        <v>7198</v>
      </c>
    </row>
    <row r="2014" spans="1:14">
      <c r="A2014" t="s">
        <v>3216</v>
      </c>
      <c r="B2014" s="5" t="s">
        <v>3212</v>
      </c>
      <c r="I2014" s="109"/>
      <c r="J2014" s="109"/>
      <c r="K2014" s="109"/>
      <c r="L2014" s="109" t="str">
        <f t="shared" si="31"/>
        <v>95-951800037</v>
      </c>
      <c r="M2014" s="114">
        <v>951800037</v>
      </c>
      <c r="N2014" s="114" t="s">
        <v>8192</v>
      </c>
    </row>
    <row r="2015" spans="1:14">
      <c r="A2015" t="s">
        <v>3217</v>
      </c>
      <c r="B2015" s="5" t="s">
        <v>3212</v>
      </c>
      <c r="I2015" s="109"/>
      <c r="J2015" s="109"/>
      <c r="K2015" s="109"/>
      <c r="L2015" s="109" t="str">
        <f t="shared" si="31"/>
        <v>96-966100001</v>
      </c>
      <c r="M2015" s="114">
        <v>966100001</v>
      </c>
      <c r="N2015" s="114" t="s">
        <v>7598</v>
      </c>
    </row>
    <row r="2016" spans="1:14">
      <c r="A2016" t="s">
        <v>495</v>
      </c>
      <c r="B2016" s="5" t="s">
        <v>3212</v>
      </c>
      <c r="I2016" s="109"/>
      <c r="J2016" s="109"/>
      <c r="K2016" s="109"/>
      <c r="L2016" s="109" t="str">
        <f t="shared" si="31"/>
        <v>95-951800078</v>
      </c>
      <c r="M2016" s="114">
        <v>951800078</v>
      </c>
      <c r="N2016" s="114" t="s">
        <v>7658</v>
      </c>
    </row>
    <row r="2017" spans="1:14">
      <c r="A2017" t="s">
        <v>3218</v>
      </c>
      <c r="B2017" s="5" t="s">
        <v>3212</v>
      </c>
      <c r="I2017" s="109"/>
      <c r="J2017" s="109"/>
      <c r="K2017" s="109"/>
      <c r="L2017" s="109" t="str">
        <f t="shared" si="31"/>
        <v>95-951800074</v>
      </c>
      <c r="M2017" s="114">
        <v>951800074</v>
      </c>
      <c r="N2017" s="114" t="s">
        <v>7659</v>
      </c>
    </row>
    <row r="2018" spans="1:14">
      <c r="A2018" t="s">
        <v>419</v>
      </c>
      <c r="B2018" s="5" t="s">
        <v>3212</v>
      </c>
      <c r="I2018" s="109"/>
      <c r="J2018" s="109"/>
      <c r="K2018" s="109"/>
      <c r="L2018" s="109" t="str">
        <f t="shared" si="31"/>
        <v>95-951900124</v>
      </c>
      <c r="M2018" s="114">
        <v>951900124</v>
      </c>
      <c r="N2018" s="114" t="s">
        <v>7660</v>
      </c>
    </row>
    <row r="2019" spans="1:14">
      <c r="A2019" t="s">
        <v>68</v>
      </c>
      <c r="B2019" s="5" t="s">
        <v>3212</v>
      </c>
      <c r="I2019" s="109"/>
      <c r="J2019" s="109"/>
      <c r="K2019" s="109"/>
      <c r="L2019" s="109" t="str">
        <f t="shared" si="31"/>
        <v>95-951600030</v>
      </c>
      <c r="M2019" s="114">
        <v>951600030</v>
      </c>
      <c r="N2019" s="114" t="s">
        <v>7738</v>
      </c>
    </row>
    <row r="2020" spans="1:14">
      <c r="A2020" t="s">
        <v>1391</v>
      </c>
      <c r="B2020" s="5" t="s">
        <v>3212</v>
      </c>
      <c r="I2020" s="109"/>
      <c r="J2020" s="109"/>
      <c r="K2020" s="109"/>
      <c r="L2020" s="109" t="str">
        <f t="shared" si="31"/>
        <v>95-951600043</v>
      </c>
      <c r="M2020" s="114">
        <v>951600043</v>
      </c>
      <c r="N2020" s="114" t="s">
        <v>7738</v>
      </c>
    </row>
    <row r="2021" spans="1:14">
      <c r="A2021" t="s">
        <v>69</v>
      </c>
      <c r="B2021" s="5" t="s">
        <v>3212</v>
      </c>
      <c r="I2021" s="109"/>
      <c r="J2021" s="109"/>
      <c r="K2021" s="109"/>
      <c r="L2021" s="109" t="str">
        <f t="shared" si="31"/>
        <v>95-951400158</v>
      </c>
      <c r="M2021" s="114">
        <v>951400158</v>
      </c>
      <c r="N2021" s="114" t="s">
        <v>7535</v>
      </c>
    </row>
    <row r="2022" spans="1:14">
      <c r="A2022" t="s">
        <v>344</v>
      </c>
      <c r="B2022" s="5" t="s">
        <v>3212</v>
      </c>
      <c r="I2022" s="109"/>
      <c r="J2022" s="109"/>
      <c r="K2022" s="109"/>
      <c r="L2022" s="109" t="str">
        <f t="shared" si="31"/>
        <v>95-951700245</v>
      </c>
      <c r="M2022" s="114">
        <v>951700245</v>
      </c>
      <c r="N2022" s="114" t="s">
        <v>7739</v>
      </c>
    </row>
    <row r="2023" spans="1:14">
      <c r="A2023" t="s">
        <v>205</v>
      </c>
      <c r="B2023" s="5" t="s">
        <v>3212</v>
      </c>
      <c r="I2023" s="109"/>
      <c r="J2023" s="109"/>
      <c r="K2023" s="109"/>
      <c r="L2023" s="109" t="str">
        <f t="shared" si="31"/>
        <v>95-951700128</v>
      </c>
      <c r="M2023" s="114">
        <v>951700128</v>
      </c>
      <c r="N2023" s="114" t="s">
        <v>7537</v>
      </c>
    </row>
    <row r="2024" spans="1:14">
      <c r="A2024" t="s">
        <v>213</v>
      </c>
      <c r="B2024" s="5" t="s">
        <v>3212</v>
      </c>
      <c r="I2024" s="109"/>
      <c r="J2024" s="109"/>
      <c r="K2024" s="109"/>
      <c r="L2024" s="109" t="str">
        <f t="shared" si="31"/>
        <v>95-951700169</v>
      </c>
      <c r="M2024" s="114">
        <v>951700169</v>
      </c>
      <c r="N2024" s="114" t="s">
        <v>7742</v>
      </c>
    </row>
    <row r="2025" spans="1:14">
      <c r="A2025" t="s">
        <v>206</v>
      </c>
      <c r="B2025" s="5" t="s">
        <v>3212</v>
      </c>
      <c r="I2025" s="109"/>
      <c r="J2025" s="109"/>
      <c r="K2025" s="109"/>
      <c r="L2025" s="109" t="str">
        <f t="shared" si="31"/>
        <v>95-951700230</v>
      </c>
      <c r="M2025" s="114">
        <v>951700230</v>
      </c>
      <c r="N2025" s="114" t="s">
        <v>7743</v>
      </c>
    </row>
    <row r="2026" spans="1:14">
      <c r="A2026" s="43" t="s">
        <v>860</v>
      </c>
      <c r="B2026" s="5" t="s">
        <v>3219</v>
      </c>
      <c r="I2026" s="109"/>
      <c r="J2026" s="109"/>
      <c r="K2026" s="109"/>
      <c r="L2026" s="109" t="str">
        <f t="shared" si="31"/>
        <v>95-951700257</v>
      </c>
      <c r="M2026" s="114">
        <v>951700257</v>
      </c>
      <c r="N2026" s="114" t="s">
        <v>7180</v>
      </c>
    </row>
    <row r="2027" spans="1:14">
      <c r="A2027" s="43" t="s">
        <v>1237</v>
      </c>
      <c r="B2027" s="5" t="s">
        <v>3219</v>
      </c>
      <c r="I2027" s="109"/>
      <c r="J2027" s="109"/>
      <c r="K2027" s="109"/>
      <c r="L2027" s="109" t="str">
        <f t="shared" si="31"/>
        <v>95-951700292</v>
      </c>
      <c r="M2027" s="114">
        <v>951700292</v>
      </c>
      <c r="N2027" s="114" t="s">
        <v>7539</v>
      </c>
    </row>
    <row r="2028" spans="1:14">
      <c r="A2028" s="43" t="s">
        <v>859</v>
      </c>
      <c r="B2028" s="5" t="s">
        <v>3219</v>
      </c>
      <c r="I2028" s="109"/>
      <c r="J2028" s="109"/>
      <c r="K2028" s="109"/>
      <c r="L2028" s="109" t="str">
        <f t="shared" si="31"/>
        <v>95-951600013</v>
      </c>
      <c r="M2028" s="114">
        <v>951600013</v>
      </c>
      <c r="N2028" s="114" t="s">
        <v>7671</v>
      </c>
    </row>
    <row r="2029" spans="1:14">
      <c r="A2029" s="43" t="s">
        <v>976</v>
      </c>
      <c r="B2029" s="5" t="s">
        <v>3219</v>
      </c>
      <c r="I2029" s="109"/>
      <c r="J2029" s="109"/>
      <c r="K2029" s="109"/>
      <c r="L2029" s="109" t="str">
        <f t="shared" si="31"/>
        <v>95-951600065</v>
      </c>
      <c r="M2029" s="114">
        <v>951600065</v>
      </c>
      <c r="N2029" s="114" t="s">
        <v>7545</v>
      </c>
    </row>
    <row r="2030" spans="1:14" ht="18">
      <c r="A2030" s="31" t="s">
        <v>561</v>
      </c>
      <c r="B2030" s="5" t="s">
        <v>3222</v>
      </c>
      <c r="I2030" s="109"/>
      <c r="J2030" s="109"/>
      <c r="K2030" s="109"/>
      <c r="L2030" s="109" t="str">
        <f t="shared" si="31"/>
        <v>95-951800099</v>
      </c>
      <c r="M2030" s="114">
        <v>951800099</v>
      </c>
      <c r="N2030" s="114" t="s">
        <v>7672</v>
      </c>
    </row>
    <row r="2031" spans="1:14" ht="18">
      <c r="A2031" s="31" t="s">
        <v>3220</v>
      </c>
      <c r="B2031" s="5" t="s">
        <v>3222</v>
      </c>
      <c r="I2031" s="109"/>
      <c r="J2031" s="109"/>
      <c r="K2031" s="109"/>
      <c r="L2031" s="109" t="str">
        <f t="shared" si="31"/>
        <v>95-951700094</v>
      </c>
      <c r="M2031" s="114">
        <v>951700094</v>
      </c>
      <c r="N2031" s="114" t="s">
        <v>7673</v>
      </c>
    </row>
    <row r="2032" spans="1:14" ht="18">
      <c r="A2032" s="31" t="s">
        <v>3221</v>
      </c>
      <c r="B2032" s="5" t="s">
        <v>3222</v>
      </c>
      <c r="I2032" s="109"/>
      <c r="J2032" s="109"/>
      <c r="K2032" s="109"/>
      <c r="L2032" s="109" t="str">
        <f t="shared" si="31"/>
        <v>95-951700209</v>
      </c>
      <c r="M2032" s="114">
        <v>951700209</v>
      </c>
      <c r="N2032" s="114" t="s">
        <v>7674</v>
      </c>
    </row>
    <row r="2033" spans="1:14" ht="18">
      <c r="A2033" s="31" t="s">
        <v>520</v>
      </c>
      <c r="B2033" s="5" t="s">
        <v>3222</v>
      </c>
      <c r="I2033" s="109"/>
      <c r="J2033" s="109"/>
      <c r="K2033" s="109"/>
      <c r="L2033" s="109" t="str">
        <f t="shared" si="31"/>
        <v>96-961700102</v>
      </c>
      <c r="M2033" s="114">
        <v>961700102</v>
      </c>
      <c r="N2033" s="114" t="s">
        <v>7553</v>
      </c>
    </row>
    <row r="2034" spans="1:14" ht="18">
      <c r="A2034" s="31" t="s">
        <v>568</v>
      </c>
      <c r="B2034" s="5" t="s">
        <v>3222</v>
      </c>
      <c r="I2034" s="109"/>
      <c r="J2034" s="109"/>
      <c r="K2034" s="109"/>
      <c r="L2034" s="109" t="str">
        <f t="shared" si="31"/>
        <v>95-951900022</v>
      </c>
      <c r="M2034" s="114">
        <v>951900022</v>
      </c>
      <c r="N2034" s="114" t="s">
        <v>7675</v>
      </c>
    </row>
    <row r="2035" spans="1:14" ht="18">
      <c r="A2035" s="31" t="s">
        <v>648</v>
      </c>
      <c r="B2035" s="5" t="s">
        <v>3222</v>
      </c>
      <c r="I2035" s="109"/>
      <c r="J2035" s="109"/>
      <c r="K2035" s="109"/>
      <c r="L2035" s="109" t="str">
        <f t="shared" si="31"/>
        <v>95-951100084</v>
      </c>
      <c r="M2035" s="114">
        <v>951100084</v>
      </c>
      <c r="N2035" s="114" t="s">
        <v>7684</v>
      </c>
    </row>
    <row r="2036" spans="1:14" ht="18">
      <c r="A2036" s="31" t="s">
        <v>615</v>
      </c>
      <c r="B2036" s="5" t="s">
        <v>3222</v>
      </c>
      <c r="I2036" s="109"/>
      <c r="J2036" s="109"/>
      <c r="K2036" s="109"/>
      <c r="L2036" s="109" t="str">
        <f t="shared" si="31"/>
        <v>96-961700018</v>
      </c>
      <c r="M2036" s="114">
        <v>961700018</v>
      </c>
      <c r="N2036" s="114" t="s">
        <v>7541</v>
      </c>
    </row>
    <row r="2037" spans="1:14" ht="18">
      <c r="A2037" s="31" t="s">
        <v>1075</v>
      </c>
      <c r="B2037" s="5" t="s">
        <v>3222</v>
      </c>
      <c r="I2037" s="109"/>
      <c r="J2037" s="109"/>
      <c r="K2037" s="109"/>
      <c r="L2037" s="109" t="str">
        <f t="shared" si="31"/>
        <v>96-961800046</v>
      </c>
      <c r="M2037" s="114">
        <v>961800046</v>
      </c>
      <c r="N2037" s="114" t="s">
        <v>8204</v>
      </c>
    </row>
    <row r="2038" spans="1:14" ht="18">
      <c r="A2038" s="31" t="s">
        <v>1076</v>
      </c>
      <c r="B2038" s="5" t="s">
        <v>3222</v>
      </c>
      <c r="I2038" s="109"/>
      <c r="J2038" s="109"/>
      <c r="K2038" s="109"/>
      <c r="L2038" s="109" t="str">
        <f t="shared" si="31"/>
        <v>95-951800080</v>
      </c>
      <c r="M2038" s="114">
        <v>951800080</v>
      </c>
      <c r="N2038" s="114" t="s">
        <v>7658</v>
      </c>
    </row>
    <row r="2039" spans="1:14" ht="18">
      <c r="A2039" s="31" t="s">
        <v>563</v>
      </c>
      <c r="B2039" s="5" t="s">
        <v>3222</v>
      </c>
      <c r="I2039" s="109"/>
      <c r="J2039" s="109"/>
      <c r="K2039" s="109"/>
      <c r="L2039" s="109" t="str">
        <f t="shared" si="31"/>
        <v>96-961900004</v>
      </c>
      <c r="M2039" s="114">
        <v>961900004</v>
      </c>
      <c r="N2039" s="114" t="s">
        <v>8205</v>
      </c>
    </row>
    <row r="2040" spans="1:14" ht="18">
      <c r="A2040" s="44" t="s">
        <v>1074</v>
      </c>
      <c r="B2040" s="5" t="s">
        <v>3222</v>
      </c>
      <c r="I2040" s="109"/>
      <c r="J2040" s="109"/>
      <c r="K2040" s="109"/>
      <c r="L2040" s="109" t="str">
        <f t="shared" si="31"/>
        <v>95-952200073</v>
      </c>
      <c r="M2040" s="114">
        <v>952200073</v>
      </c>
      <c r="N2040" s="114" t="s">
        <v>7151</v>
      </c>
    </row>
    <row r="2041" spans="1:14" ht="18">
      <c r="A2041" s="45" t="s">
        <v>274</v>
      </c>
      <c r="B2041" s="5" t="s">
        <v>3224</v>
      </c>
      <c r="I2041" s="109"/>
      <c r="J2041" s="109"/>
      <c r="K2041" s="109"/>
      <c r="L2041" s="109" t="str">
        <f t="shared" si="31"/>
        <v>95-951800073</v>
      </c>
      <c r="M2041" s="114">
        <v>951800073</v>
      </c>
      <c r="N2041" s="114" t="s">
        <v>7546</v>
      </c>
    </row>
    <row r="2042" spans="1:14" ht="18">
      <c r="A2042" s="45" t="s">
        <v>260</v>
      </c>
      <c r="B2042" s="5" t="s">
        <v>3224</v>
      </c>
      <c r="I2042" s="109"/>
      <c r="J2042" s="109"/>
      <c r="K2042" s="109"/>
      <c r="L2042" s="109" t="str">
        <f t="shared" si="31"/>
        <v>95-952200001</v>
      </c>
      <c r="M2042" s="114">
        <v>952200001</v>
      </c>
      <c r="N2042" s="114" t="s">
        <v>7227</v>
      </c>
    </row>
    <row r="2043" spans="1:14" ht="18">
      <c r="A2043" s="45" t="s">
        <v>280</v>
      </c>
      <c r="B2043" s="5" t="s">
        <v>3224</v>
      </c>
      <c r="I2043" s="109"/>
      <c r="J2043" s="109"/>
      <c r="K2043" s="109"/>
      <c r="L2043" s="109" t="str">
        <f t="shared" si="31"/>
        <v>95-952200047</v>
      </c>
      <c r="M2043" s="114">
        <v>952200047</v>
      </c>
      <c r="N2043" s="114" t="s">
        <v>7174</v>
      </c>
    </row>
    <row r="2044" spans="1:14" ht="18">
      <c r="A2044" s="45" t="s">
        <v>296</v>
      </c>
      <c r="B2044" s="5" t="s">
        <v>3224</v>
      </c>
      <c r="I2044" s="109"/>
      <c r="J2044" s="109"/>
      <c r="K2044" s="109"/>
      <c r="L2044" s="109" t="str">
        <f t="shared" si="31"/>
        <v>95-952200054</v>
      </c>
      <c r="M2044" s="114">
        <v>952200054</v>
      </c>
      <c r="N2044" s="114" t="s">
        <v>7126</v>
      </c>
    </row>
    <row r="2045" spans="1:14" ht="18">
      <c r="A2045" s="45" t="s">
        <v>298</v>
      </c>
      <c r="B2045" s="5" t="s">
        <v>3224</v>
      </c>
      <c r="I2045" s="109"/>
      <c r="J2045" s="109"/>
      <c r="K2045" s="109"/>
      <c r="L2045" s="109" t="str">
        <f t="shared" si="31"/>
        <v>95-952200065</v>
      </c>
      <c r="M2045" s="114">
        <v>952200065</v>
      </c>
      <c r="N2045" s="114" t="s">
        <v>7451</v>
      </c>
    </row>
    <row r="2046" spans="1:14" ht="18">
      <c r="A2046" s="45" t="s">
        <v>325</v>
      </c>
      <c r="B2046" s="5" t="s">
        <v>3224</v>
      </c>
      <c r="I2046" s="109"/>
      <c r="J2046" s="109"/>
      <c r="K2046" s="109"/>
      <c r="L2046" s="109" t="str">
        <f t="shared" si="31"/>
        <v>95-952200083</v>
      </c>
      <c r="M2046" s="114">
        <v>952200083</v>
      </c>
      <c r="N2046" s="114" t="s">
        <v>7239</v>
      </c>
    </row>
    <row r="2047" spans="1:14" ht="18">
      <c r="A2047" s="45" t="s">
        <v>1077</v>
      </c>
      <c r="B2047" s="5" t="s">
        <v>3224</v>
      </c>
      <c r="I2047" s="109"/>
      <c r="J2047" s="109"/>
      <c r="K2047" s="109"/>
      <c r="L2047" s="109" t="str">
        <f t="shared" si="31"/>
        <v>96-962200006</v>
      </c>
      <c r="M2047" s="114">
        <v>962200006</v>
      </c>
      <c r="N2047" s="114" t="s">
        <v>7239</v>
      </c>
    </row>
    <row r="2048" spans="1:14" ht="18">
      <c r="A2048" s="45" t="s">
        <v>317</v>
      </c>
      <c r="B2048" s="5" t="s">
        <v>3224</v>
      </c>
      <c r="I2048" s="109"/>
      <c r="J2048" s="109"/>
      <c r="K2048" s="109"/>
      <c r="L2048" s="109" t="str">
        <f t="shared" si="31"/>
        <v>95-951600001</v>
      </c>
      <c r="M2048" s="114">
        <v>951600001</v>
      </c>
      <c r="N2048" s="114" t="s">
        <v>8209</v>
      </c>
    </row>
    <row r="2049" spans="1:14" ht="18">
      <c r="A2049" s="45" t="s">
        <v>3223</v>
      </c>
      <c r="B2049" s="5" t="s">
        <v>3224</v>
      </c>
      <c r="I2049" s="109"/>
      <c r="J2049" s="109"/>
      <c r="K2049" s="109"/>
      <c r="L2049" s="109" t="str">
        <f t="shared" si="31"/>
        <v>95-951100074</v>
      </c>
      <c r="M2049" s="114">
        <v>951100074</v>
      </c>
      <c r="N2049" s="114" t="s">
        <v>8210</v>
      </c>
    </row>
    <row r="2050" spans="1:14" ht="18">
      <c r="A2050" s="45" t="s">
        <v>1421</v>
      </c>
      <c r="B2050" s="5" t="s">
        <v>3224</v>
      </c>
      <c r="I2050" s="109"/>
      <c r="J2050" s="109"/>
      <c r="K2050" s="109"/>
      <c r="L2050" s="109" t="str">
        <f t="shared" si="31"/>
        <v>95-951100115</v>
      </c>
      <c r="M2050" s="114">
        <v>951100115</v>
      </c>
      <c r="N2050" s="114" t="s">
        <v>8211</v>
      </c>
    </row>
    <row r="2051" spans="1:14" ht="18">
      <c r="A2051" s="45" t="s">
        <v>1422</v>
      </c>
      <c r="B2051" s="5" t="s">
        <v>3224</v>
      </c>
      <c r="I2051" s="109"/>
      <c r="J2051" s="109"/>
      <c r="K2051" s="109"/>
      <c r="L2051" s="109" t="str">
        <f t="shared" ref="L2051:L2114" si="32">MID(M2051,1,2)&amp;"-"&amp;M2051</f>
        <v>96-961100052</v>
      </c>
      <c r="M2051" s="114">
        <v>961100052</v>
      </c>
      <c r="N2051" s="114" t="s">
        <v>8212</v>
      </c>
    </row>
    <row r="2052" spans="1:14" ht="18">
      <c r="A2052" s="45" t="s">
        <v>1599</v>
      </c>
      <c r="B2052" s="5" t="s">
        <v>3224</v>
      </c>
      <c r="I2052" s="109"/>
      <c r="J2052" s="109"/>
      <c r="K2052" s="109"/>
      <c r="L2052" s="109" t="str">
        <f t="shared" si="32"/>
        <v>96-961100054</v>
      </c>
      <c r="M2052" s="114">
        <v>961100054</v>
      </c>
      <c r="N2052" s="114" t="s">
        <v>8213</v>
      </c>
    </row>
    <row r="2053" spans="1:14" ht="18">
      <c r="A2053" s="45" t="s">
        <v>1605</v>
      </c>
      <c r="B2053" s="5" t="s">
        <v>3224</v>
      </c>
      <c r="I2053" s="109"/>
      <c r="J2053" s="109"/>
      <c r="K2053" s="109"/>
      <c r="L2053" s="109" t="str">
        <f t="shared" si="32"/>
        <v>95-951600034</v>
      </c>
      <c r="M2053" s="114">
        <v>951600034</v>
      </c>
      <c r="N2053" s="114" t="s">
        <v>8214</v>
      </c>
    </row>
    <row r="2054" spans="1:14" ht="18">
      <c r="A2054" s="45" t="s">
        <v>1803</v>
      </c>
      <c r="B2054" s="5" t="s">
        <v>3224</v>
      </c>
      <c r="I2054" s="109"/>
      <c r="J2054" s="109"/>
      <c r="K2054" s="109"/>
      <c r="L2054" s="109" t="str">
        <f t="shared" si="32"/>
        <v>96-961700079</v>
      </c>
      <c r="M2054" s="114">
        <v>961700079</v>
      </c>
      <c r="N2054" s="114" t="s">
        <v>8215</v>
      </c>
    </row>
    <row r="2055" spans="1:14">
      <c r="A2055" s="21" t="s">
        <v>1809</v>
      </c>
      <c r="B2055" s="5" t="s">
        <v>3225</v>
      </c>
      <c r="I2055" s="109"/>
      <c r="J2055" s="109"/>
      <c r="K2055" s="109"/>
      <c r="L2055" s="109" t="str">
        <f t="shared" si="32"/>
        <v>95-951800132</v>
      </c>
      <c r="M2055" s="114">
        <v>951800132</v>
      </c>
      <c r="N2055" s="114" t="s">
        <v>7688</v>
      </c>
    </row>
    <row r="2056" spans="1:14">
      <c r="A2056" s="21" t="s">
        <v>1757</v>
      </c>
      <c r="B2056" s="5" t="s">
        <v>3225</v>
      </c>
      <c r="I2056" s="109"/>
      <c r="J2056" s="109"/>
      <c r="K2056" s="109"/>
      <c r="L2056" s="109" t="str">
        <f t="shared" si="32"/>
        <v>96-961800061</v>
      </c>
      <c r="M2056" s="114">
        <v>961800061</v>
      </c>
      <c r="N2056" s="114" t="s">
        <v>7139</v>
      </c>
    </row>
    <row r="2057" spans="1:14">
      <c r="A2057" s="21" t="s">
        <v>1758</v>
      </c>
      <c r="B2057" s="5" t="s">
        <v>3225</v>
      </c>
      <c r="I2057" s="109"/>
      <c r="J2057" s="109"/>
      <c r="K2057" s="109"/>
      <c r="L2057" s="109" t="str">
        <f t="shared" si="32"/>
        <v>95-951700105</v>
      </c>
      <c r="M2057" s="114">
        <v>951700105</v>
      </c>
      <c r="N2057" s="114" t="s">
        <v>8218</v>
      </c>
    </row>
    <row r="2058" spans="1:14">
      <c r="A2058" s="46" t="s">
        <v>1830</v>
      </c>
      <c r="B2058" s="5" t="s">
        <v>3225</v>
      </c>
      <c r="I2058" s="109"/>
      <c r="J2058" s="109"/>
      <c r="K2058" s="109"/>
      <c r="L2058" s="109" t="str">
        <f t="shared" si="32"/>
        <v>95-951100142</v>
      </c>
      <c r="M2058" s="114">
        <v>951100142</v>
      </c>
      <c r="N2058" s="114" t="s">
        <v>7685</v>
      </c>
    </row>
    <row r="2059" spans="1:14">
      <c r="A2059" s="21" t="s">
        <v>1806</v>
      </c>
      <c r="B2059" s="5" t="s">
        <v>3225</v>
      </c>
      <c r="I2059" s="109"/>
      <c r="J2059" s="109"/>
      <c r="K2059" s="109"/>
      <c r="L2059" s="109" t="str">
        <f t="shared" si="32"/>
        <v>95-951900109</v>
      </c>
      <c r="M2059" s="114">
        <v>951900109</v>
      </c>
      <c r="N2059" s="114" t="s">
        <v>7686</v>
      </c>
    </row>
    <row r="2060" spans="1:14">
      <c r="A2060" s="46" t="s">
        <v>2140</v>
      </c>
      <c r="B2060" s="5" t="s">
        <v>3225</v>
      </c>
      <c r="I2060" s="109"/>
      <c r="J2060" s="109"/>
      <c r="K2060" s="109"/>
      <c r="L2060" s="109" t="str">
        <f t="shared" si="32"/>
        <v>95-951100179</v>
      </c>
      <c r="M2060" s="114">
        <v>951100179</v>
      </c>
      <c r="N2060" s="114" t="s">
        <v>7687</v>
      </c>
    </row>
    <row r="2061" spans="1:14">
      <c r="A2061" s="46" t="s">
        <v>1814</v>
      </c>
      <c r="B2061" s="5" t="s">
        <v>3225</v>
      </c>
      <c r="I2061" s="109"/>
      <c r="J2061" s="109"/>
      <c r="K2061" s="109"/>
      <c r="L2061" s="109" t="str">
        <f t="shared" si="32"/>
        <v>95-951800120</v>
      </c>
      <c r="M2061" s="114">
        <v>951800120</v>
      </c>
      <c r="N2061" s="114" t="s">
        <v>7688</v>
      </c>
    </row>
    <row r="2062" spans="1:14">
      <c r="A2062" s="21" t="s">
        <v>1815</v>
      </c>
      <c r="B2062" s="5" t="s">
        <v>3225</v>
      </c>
      <c r="I2062" s="109"/>
      <c r="J2062" s="109"/>
      <c r="K2062" s="109"/>
      <c r="L2062" s="109" t="str">
        <f t="shared" si="32"/>
        <v>95-951100138</v>
      </c>
      <c r="M2062" s="114">
        <v>951100138</v>
      </c>
      <c r="N2062" s="114" t="s">
        <v>7925</v>
      </c>
    </row>
    <row r="2063" spans="1:14">
      <c r="A2063" s="46" t="s">
        <v>1858</v>
      </c>
      <c r="B2063" s="5" t="s">
        <v>3225</v>
      </c>
      <c r="I2063" s="109"/>
      <c r="J2063" s="109"/>
      <c r="K2063" s="109"/>
      <c r="L2063" s="109" t="str">
        <f t="shared" si="32"/>
        <v>95-951100162</v>
      </c>
      <c r="M2063" s="114">
        <v>951100162</v>
      </c>
      <c r="N2063" s="114" t="s">
        <v>7329</v>
      </c>
    </row>
    <row r="2064" spans="1:14">
      <c r="A2064" s="21" t="s">
        <v>2206</v>
      </c>
      <c r="B2064" s="5" t="s">
        <v>3225</v>
      </c>
      <c r="I2064" s="109"/>
      <c r="J2064" s="109"/>
      <c r="K2064" s="109"/>
      <c r="L2064" s="109" t="str">
        <f t="shared" si="32"/>
        <v>95-956300012</v>
      </c>
      <c r="M2064" s="114">
        <v>956300012</v>
      </c>
      <c r="N2064" s="114" t="s">
        <v>7926</v>
      </c>
    </row>
    <row r="2065" spans="1:14">
      <c r="A2065" s="21" t="s">
        <v>1813</v>
      </c>
      <c r="B2065" s="5" t="s">
        <v>3225</v>
      </c>
      <c r="I2065" s="109"/>
      <c r="J2065" s="109"/>
      <c r="K2065" s="109"/>
      <c r="L2065" s="109" t="str">
        <f t="shared" si="32"/>
        <v>95-951600064</v>
      </c>
      <c r="M2065" s="114">
        <v>951600064</v>
      </c>
      <c r="N2065" s="114" t="s">
        <v>7758</v>
      </c>
    </row>
    <row r="2066" spans="1:14">
      <c r="A2066" s="21" t="s">
        <v>2207</v>
      </c>
      <c r="B2066" s="5" t="s">
        <v>3225</v>
      </c>
      <c r="I2066" s="109"/>
      <c r="J2066" s="109"/>
      <c r="K2066" s="109"/>
      <c r="L2066" s="109" t="str">
        <f t="shared" si="32"/>
        <v>95-951800115</v>
      </c>
      <c r="M2066" s="114">
        <v>951800115</v>
      </c>
      <c r="N2066" s="114" t="s">
        <v>7711</v>
      </c>
    </row>
    <row r="2067" spans="1:14">
      <c r="A2067" s="21" t="s">
        <v>2060</v>
      </c>
      <c r="B2067" s="5" t="s">
        <v>3225</v>
      </c>
      <c r="I2067" s="109"/>
      <c r="J2067" s="109"/>
      <c r="K2067" s="109"/>
      <c r="L2067" s="109" t="str">
        <f t="shared" si="32"/>
        <v>96-961600012</v>
      </c>
      <c r="M2067" s="114">
        <v>961600012</v>
      </c>
      <c r="N2067" s="114" t="s">
        <v>8219</v>
      </c>
    </row>
    <row r="2068" spans="1:14">
      <c r="A2068" s="21" t="s">
        <v>1836</v>
      </c>
      <c r="B2068" s="5" t="s">
        <v>3225</v>
      </c>
      <c r="I2068" s="109"/>
      <c r="J2068" s="109"/>
      <c r="K2068" s="109"/>
      <c r="L2068" s="109" t="str">
        <f t="shared" si="32"/>
        <v>95-951900217</v>
      </c>
      <c r="M2068" s="114">
        <v>951900217</v>
      </c>
      <c r="N2068" s="114" t="s">
        <v>8188</v>
      </c>
    </row>
    <row r="2069" spans="1:14">
      <c r="A2069" s="21" t="s">
        <v>1857</v>
      </c>
      <c r="B2069" s="5" t="s">
        <v>3225</v>
      </c>
      <c r="I2069" s="109"/>
      <c r="J2069" s="109"/>
      <c r="K2069" s="109"/>
      <c r="L2069" s="109" t="str">
        <f t="shared" si="32"/>
        <v>95-951600006</v>
      </c>
      <c r="M2069" s="114">
        <v>951600006</v>
      </c>
      <c r="N2069" s="114" t="s">
        <v>8220</v>
      </c>
    </row>
    <row r="2070" spans="1:14">
      <c r="A2070" s="21" t="s">
        <v>1838</v>
      </c>
      <c r="B2070" s="5" t="s">
        <v>3225</v>
      </c>
      <c r="I2070" s="109"/>
      <c r="J2070" s="109"/>
      <c r="K2070" s="109"/>
      <c r="L2070" s="109" t="str">
        <f t="shared" si="32"/>
        <v>95-951900082</v>
      </c>
      <c r="M2070" s="114">
        <v>951900082</v>
      </c>
      <c r="N2070" s="114" t="s">
        <v>8230</v>
      </c>
    </row>
    <row r="2071" spans="1:14">
      <c r="A2071" s="21" t="s">
        <v>1832</v>
      </c>
      <c r="B2071" s="5" t="s">
        <v>3225</v>
      </c>
      <c r="I2071" s="109"/>
      <c r="J2071" s="109"/>
      <c r="K2071" s="109"/>
      <c r="L2071" s="109" t="str">
        <f t="shared" si="32"/>
        <v>96-962200007</v>
      </c>
      <c r="M2071" s="114">
        <v>962200007</v>
      </c>
      <c r="N2071" s="114" t="s">
        <v>7236</v>
      </c>
    </row>
    <row r="2072" spans="1:14">
      <c r="A2072" s="21" t="s">
        <v>1957</v>
      </c>
      <c r="B2072" s="5" t="s">
        <v>3225</v>
      </c>
      <c r="I2072" s="109"/>
      <c r="J2072" s="109"/>
      <c r="K2072" s="109"/>
      <c r="L2072" s="109" t="str">
        <f t="shared" si="32"/>
        <v>96-962200028</v>
      </c>
      <c r="M2072" s="114">
        <v>962200028</v>
      </c>
      <c r="N2072" s="114" t="s">
        <v>7230</v>
      </c>
    </row>
    <row r="2073" spans="1:14">
      <c r="A2073" s="21" t="s">
        <v>2139</v>
      </c>
      <c r="B2073" s="5" t="s">
        <v>3225</v>
      </c>
      <c r="I2073" s="109"/>
      <c r="J2073" s="109"/>
      <c r="K2073" s="109"/>
      <c r="L2073" s="109" t="str">
        <f t="shared" si="32"/>
        <v>96-962200054</v>
      </c>
      <c r="M2073" s="114">
        <v>962200054</v>
      </c>
      <c r="N2073" s="114" t="s">
        <v>7452</v>
      </c>
    </row>
    <row r="2074" spans="1:14">
      <c r="A2074" s="21" t="s">
        <v>2063</v>
      </c>
      <c r="B2074" s="5" t="s">
        <v>3225</v>
      </c>
      <c r="I2074" s="109"/>
      <c r="J2074" s="109"/>
      <c r="K2074" s="109"/>
      <c r="L2074" s="109" t="str">
        <f t="shared" si="32"/>
        <v>96-962200071</v>
      </c>
      <c r="M2074" s="114">
        <v>962200071</v>
      </c>
      <c r="N2074" s="114" t="s">
        <v>7244</v>
      </c>
    </row>
    <row r="2075" spans="1:14">
      <c r="A2075" s="21" t="s">
        <v>2312</v>
      </c>
      <c r="B2075" s="5" t="s">
        <v>3225</v>
      </c>
      <c r="I2075" s="109"/>
      <c r="J2075" s="109"/>
      <c r="K2075" s="109"/>
      <c r="L2075" s="109" t="str">
        <f t="shared" si="32"/>
        <v>95-951400104</v>
      </c>
      <c r="M2075" s="114">
        <v>951400104</v>
      </c>
      <c r="N2075" s="114" t="s">
        <v>7711</v>
      </c>
    </row>
    <row r="2076" spans="1:14">
      <c r="A2076" s="21" t="s">
        <v>2222</v>
      </c>
      <c r="B2076" s="5" t="s">
        <v>3225</v>
      </c>
      <c r="I2076" s="109"/>
      <c r="J2076" s="109"/>
      <c r="K2076" s="109"/>
      <c r="L2076" s="109" t="str">
        <f t="shared" si="32"/>
        <v>95-951400127</v>
      </c>
      <c r="M2076" s="114">
        <v>951400127</v>
      </c>
      <c r="N2076" s="114" t="s">
        <v>7711</v>
      </c>
    </row>
    <row r="2077" spans="1:14">
      <c r="A2077" s="21" t="s">
        <v>2270</v>
      </c>
      <c r="B2077" s="5" t="s">
        <v>3225</v>
      </c>
      <c r="I2077" s="109"/>
      <c r="J2077" s="109"/>
      <c r="K2077" s="109"/>
      <c r="L2077" s="109" t="str">
        <f t="shared" si="32"/>
        <v>95-951100052</v>
      </c>
      <c r="M2077" s="114">
        <v>951100052</v>
      </c>
      <c r="N2077" s="114" t="s">
        <v>8231</v>
      </c>
    </row>
    <row r="2078" spans="1:14">
      <c r="A2078" s="21" t="s">
        <v>1970</v>
      </c>
      <c r="B2078" s="5" t="s">
        <v>3225</v>
      </c>
      <c r="I2078" s="109"/>
      <c r="J2078" s="109"/>
      <c r="K2078" s="109"/>
      <c r="L2078" s="109" t="str">
        <f t="shared" si="32"/>
        <v>95-951100103</v>
      </c>
      <c r="M2078" s="114">
        <v>951100103</v>
      </c>
      <c r="N2078" s="114" t="s">
        <v>8232</v>
      </c>
    </row>
    <row r="2079" spans="1:14">
      <c r="A2079" s="21" t="s">
        <v>2135</v>
      </c>
      <c r="B2079" s="5" t="s">
        <v>3225</v>
      </c>
      <c r="I2079" s="109"/>
      <c r="J2079" s="109"/>
      <c r="K2079" s="109"/>
      <c r="L2079" s="109" t="str">
        <f t="shared" si="32"/>
        <v>96-961900132</v>
      </c>
      <c r="M2079" s="114">
        <v>961900132</v>
      </c>
      <c r="N2079" s="114" t="s">
        <v>8233</v>
      </c>
    </row>
    <row r="2080" spans="1:14">
      <c r="A2080" s="21" t="s">
        <v>2223</v>
      </c>
      <c r="B2080" s="5" t="s">
        <v>3225</v>
      </c>
      <c r="I2080" s="109"/>
      <c r="J2080" s="109"/>
      <c r="K2080" s="109"/>
      <c r="L2080" s="109" t="str">
        <f t="shared" si="32"/>
        <v>95-951600037</v>
      </c>
      <c r="M2080" s="114">
        <v>951600037</v>
      </c>
      <c r="N2080" s="114" t="s">
        <v>7770</v>
      </c>
    </row>
    <row r="2081" spans="1:14">
      <c r="A2081" s="21" t="s">
        <v>2068</v>
      </c>
      <c r="B2081" s="5" t="s">
        <v>3225</v>
      </c>
      <c r="I2081" s="109"/>
      <c r="J2081" s="109"/>
      <c r="K2081" s="109"/>
      <c r="L2081" s="109" t="str">
        <f t="shared" si="32"/>
        <v>95-951900157</v>
      </c>
      <c r="M2081" s="114">
        <v>951900157</v>
      </c>
      <c r="N2081" s="114" t="s">
        <v>7729</v>
      </c>
    </row>
    <row r="2082" spans="1:14">
      <c r="A2082" s="21" t="s">
        <v>2065</v>
      </c>
      <c r="B2082" s="5" t="s">
        <v>3225</v>
      </c>
      <c r="I2082" s="109"/>
      <c r="J2082" s="109"/>
      <c r="K2082" s="109"/>
      <c r="L2082" s="109" t="str">
        <f t="shared" si="32"/>
        <v>95-951800027</v>
      </c>
      <c r="M2082" s="114">
        <v>951800027</v>
      </c>
      <c r="N2082" s="114" t="s">
        <v>7712</v>
      </c>
    </row>
    <row r="2083" spans="1:14">
      <c r="A2083" s="21" t="s">
        <v>2074</v>
      </c>
      <c r="B2083" s="5" t="s">
        <v>3225</v>
      </c>
      <c r="I2083" s="109"/>
      <c r="J2083" s="109"/>
      <c r="K2083" s="109"/>
      <c r="L2083" s="109" t="str">
        <f t="shared" si="32"/>
        <v>96-961900094</v>
      </c>
      <c r="M2083" s="114">
        <v>961900094</v>
      </c>
      <c r="N2083" s="114" t="s">
        <v>7713</v>
      </c>
    </row>
    <row r="2084" spans="1:14">
      <c r="A2084" s="21" t="s">
        <v>2062</v>
      </c>
      <c r="B2084" s="5" t="s">
        <v>3225</v>
      </c>
      <c r="I2084" s="109"/>
      <c r="J2084" s="109"/>
      <c r="K2084" s="109"/>
      <c r="L2084" s="109" t="str">
        <f t="shared" si="32"/>
        <v>95-951700362</v>
      </c>
      <c r="M2084" s="114">
        <v>951700362</v>
      </c>
      <c r="N2084" s="114" t="s">
        <v>7714</v>
      </c>
    </row>
    <row r="2085" spans="1:14">
      <c r="A2085" s="21" t="s">
        <v>1967</v>
      </c>
      <c r="B2085" s="5" t="s">
        <v>3225</v>
      </c>
      <c r="I2085" s="109"/>
      <c r="J2085" s="109"/>
      <c r="K2085" s="109"/>
      <c r="L2085" s="109" t="str">
        <f t="shared" si="32"/>
        <v>95-951400062</v>
      </c>
      <c r="M2085" s="114">
        <v>951400062</v>
      </c>
      <c r="N2085" s="114" t="s">
        <v>7725</v>
      </c>
    </row>
    <row r="2086" spans="1:14">
      <c r="A2086" s="21" t="s">
        <v>2064</v>
      </c>
      <c r="B2086" s="5" t="s">
        <v>3225</v>
      </c>
      <c r="I2086" s="109"/>
      <c r="J2086" s="109"/>
      <c r="K2086" s="109"/>
      <c r="L2086" s="109" t="str">
        <f t="shared" si="32"/>
        <v>95-956200336</v>
      </c>
      <c r="M2086" s="114">
        <v>956200336</v>
      </c>
      <c r="N2086" s="114" t="s">
        <v>8245</v>
      </c>
    </row>
    <row r="2087" spans="1:14">
      <c r="A2087" s="21" t="s">
        <v>1968</v>
      </c>
      <c r="B2087" s="5" t="s">
        <v>3225</v>
      </c>
      <c r="I2087" s="109"/>
      <c r="J2087" s="109"/>
      <c r="K2087" s="109"/>
      <c r="L2087" s="109" t="str">
        <f t="shared" si="32"/>
        <v>95-951900079</v>
      </c>
      <c r="M2087" s="114">
        <v>951900079</v>
      </c>
      <c r="N2087" s="114" t="s">
        <v>8246</v>
      </c>
    </row>
    <row r="2088" spans="1:14">
      <c r="A2088" s="21" t="s">
        <v>2009</v>
      </c>
      <c r="B2088" s="5" t="s">
        <v>3225</v>
      </c>
      <c r="I2088" s="109"/>
      <c r="J2088" s="109"/>
      <c r="K2088" s="109"/>
      <c r="L2088" s="109" t="str">
        <f t="shared" si="32"/>
        <v>95-951800060</v>
      </c>
      <c r="M2088" s="114">
        <v>951800060</v>
      </c>
      <c r="N2088" s="114" t="s">
        <v>8247</v>
      </c>
    </row>
    <row r="2089" spans="1:14">
      <c r="A2089" s="21" t="s">
        <v>1969</v>
      </c>
      <c r="B2089" s="5" t="s">
        <v>3225</v>
      </c>
      <c r="I2089" s="109"/>
      <c r="J2089" s="109"/>
      <c r="K2089" s="109"/>
      <c r="L2089" s="109" t="str">
        <f t="shared" si="32"/>
        <v>96-962500015</v>
      </c>
      <c r="M2089" s="114">
        <v>962500015</v>
      </c>
      <c r="N2089" s="114" t="s">
        <v>5781</v>
      </c>
    </row>
    <row r="2090" spans="1:14">
      <c r="A2090" s="21" t="s">
        <v>1932</v>
      </c>
      <c r="B2090" s="5" t="s">
        <v>3225</v>
      </c>
      <c r="I2090" s="109"/>
      <c r="J2090" s="109"/>
      <c r="K2090" s="109"/>
      <c r="L2090" s="109" t="str">
        <f t="shared" si="32"/>
        <v>96-962500020</v>
      </c>
      <c r="M2090" s="114">
        <v>962500020</v>
      </c>
      <c r="N2090" s="114" t="s">
        <v>5781</v>
      </c>
    </row>
    <row r="2091" spans="1:14">
      <c r="A2091" s="21" t="s">
        <v>2224</v>
      </c>
      <c r="B2091" s="5" t="s">
        <v>3225</v>
      </c>
      <c r="I2091" s="109"/>
      <c r="J2091" s="109"/>
      <c r="K2091" s="109"/>
      <c r="L2091" s="109" t="str">
        <f t="shared" si="32"/>
        <v>95-951800008</v>
      </c>
      <c r="M2091" s="114">
        <v>951800008</v>
      </c>
      <c r="N2091" s="114" t="s">
        <v>7726</v>
      </c>
    </row>
    <row r="2092" spans="1:14">
      <c r="A2092" s="21" t="s">
        <v>1933</v>
      </c>
      <c r="B2092" s="5" t="s">
        <v>3225</v>
      </c>
      <c r="I2092" s="109"/>
      <c r="J2092" s="109"/>
      <c r="K2092" s="109"/>
      <c r="L2092" s="109" t="str">
        <f t="shared" si="32"/>
        <v>95-951800016</v>
      </c>
      <c r="M2092" s="114">
        <v>951800016</v>
      </c>
      <c r="N2092" s="114" t="s">
        <v>7727</v>
      </c>
    </row>
    <row r="2093" spans="1:14">
      <c r="A2093" s="21" t="s">
        <v>2072</v>
      </c>
      <c r="B2093" s="5" t="s">
        <v>3225</v>
      </c>
      <c r="I2093" s="109"/>
      <c r="J2093" s="109"/>
      <c r="K2093" s="109"/>
      <c r="L2093" s="109" t="str">
        <f t="shared" si="32"/>
        <v>95-951800097</v>
      </c>
      <c r="M2093" s="114">
        <v>951800097</v>
      </c>
      <c r="N2093" s="114" t="s">
        <v>7728</v>
      </c>
    </row>
    <row r="2094" spans="1:14">
      <c r="A2094" s="21" t="s">
        <v>1940</v>
      </c>
      <c r="B2094" s="5" t="s">
        <v>3225</v>
      </c>
      <c r="I2094" s="109"/>
      <c r="J2094" s="109"/>
      <c r="K2094" s="109"/>
      <c r="L2094" s="109" t="str">
        <f t="shared" si="32"/>
        <v>95-951800094</v>
      </c>
      <c r="M2094" s="114">
        <v>951800094</v>
      </c>
      <c r="N2094" s="114" t="s">
        <v>7729</v>
      </c>
    </row>
    <row r="2095" spans="1:14">
      <c r="A2095" s="21" t="s">
        <v>2225</v>
      </c>
      <c r="B2095" s="5" t="s">
        <v>3225</v>
      </c>
      <c r="I2095" s="109"/>
      <c r="J2095" s="109"/>
      <c r="K2095" s="109"/>
      <c r="L2095" s="109" t="str">
        <f t="shared" si="32"/>
        <v>95-951600010</v>
      </c>
      <c r="M2095" s="114">
        <v>951600010</v>
      </c>
      <c r="N2095" s="114" t="s">
        <v>7837</v>
      </c>
    </row>
    <row r="2096" spans="1:14">
      <c r="A2096" s="21" t="s">
        <v>2226</v>
      </c>
      <c r="B2096" s="5" t="s">
        <v>3225</v>
      </c>
      <c r="I2096" s="109"/>
      <c r="J2096" s="109"/>
      <c r="K2096" s="109"/>
      <c r="L2096" s="109" t="str">
        <f t="shared" si="32"/>
        <v>95-951900045</v>
      </c>
      <c r="M2096" s="114">
        <v>951900045</v>
      </c>
      <c r="N2096" s="114" t="s">
        <v>8255</v>
      </c>
    </row>
    <row r="2097" spans="1:14">
      <c r="A2097" s="21" t="s">
        <v>1941</v>
      </c>
      <c r="B2097" s="5" t="s">
        <v>3225</v>
      </c>
      <c r="I2097" s="109"/>
      <c r="J2097" s="109"/>
      <c r="K2097" s="109"/>
      <c r="L2097" s="109" t="str">
        <f t="shared" si="32"/>
        <v>95-956200304</v>
      </c>
      <c r="M2097" s="114">
        <v>956200304</v>
      </c>
      <c r="N2097" s="114" t="s">
        <v>8275</v>
      </c>
    </row>
    <row r="2098" spans="1:14">
      <c r="A2098" s="21" t="s">
        <v>2073</v>
      </c>
      <c r="B2098" s="5" t="s">
        <v>3225</v>
      </c>
      <c r="I2098" s="109"/>
      <c r="J2098" s="109"/>
      <c r="K2098" s="109"/>
      <c r="L2098" s="109" t="str">
        <f t="shared" si="32"/>
        <v>95-952500054</v>
      </c>
      <c r="M2098" s="114">
        <v>952500054</v>
      </c>
      <c r="N2098" s="114" t="s">
        <v>5649</v>
      </c>
    </row>
    <row r="2099" spans="1:14">
      <c r="A2099" s="21" t="s">
        <v>2116</v>
      </c>
      <c r="B2099" s="5" t="s">
        <v>3225</v>
      </c>
      <c r="I2099" s="109"/>
      <c r="J2099" s="109"/>
      <c r="K2099" s="109"/>
      <c r="L2099" s="109" t="str">
        <f t="shared" si="32"/>
        <v>95-952500078</v>
      </c>
      <c r="M2099" s="114">
        <v>952500078</v>
      </c>
      <c r="N2099" s="114" t="s">
        <v>5740</v>
      </c>
    </row>
    <row r="2100" spans="1:14">
      <c r="A2100" s="21" t="s">
        <v>2117</v>
      </c>
      <c r="B2100" s="5" t="s">
        <v>3225</v>
      </c>
      <c r="I2100" s="109"/>
      <c r="J2100" s="109"/>
      <c r="K2100" s="109"/>
      <c r="L2100" s="109" t="str">
        <f t="shared" si="32"/>
        <v>95-952500025</v>
      </c>
      <c r="M2100" s="114">
        <v>952500025</v>
      </c>
      <c r="N2100" s="114" t="s">
        <v>5630</v>
      </c>
    </row>
    <row r="2101" spans="1:14">
      <c r="A2101" s="21" t="s">
        <v>1916</v>
      </c>
      <c r="B2101" s="5" t="s">
        <v>3225</v>
      </c>
      <c r="I2101" s="109"/>
      <c r="J2101" s="109"/>
      <c r="K2101" s="109"/>
      <c r="L2101" s="109" t="str">
        <f t="shared" si="32"/>
        <v>95-952500050</v>
      </c>
      <c r="M2101" s="114">
        <v>952500050</v>
      </c>
      <c r="N2101" s="114" t="s">
        <v>5675</v>
      </c>
    </row>
    <row r="2102" spans="1:14">
      <c r="A2102" s="21" t="s">
        <v>2067</v>
      </c>
      <c r="B2102" s="5" t="s">
        <v>3225</v>
      </c>
      <c r="I2102" s="109"/>
      <c r="J2102" s="109"/>
      <c r="K2102" s="109"/>
      <c r="L2102" s="109" t="str">
        <f t="shared" si="32"/>
        <v>95-952500056</v>
      </c>
      <c r="M2102" s="114">
        <v>952500056</v>
      </c>
      <c r="N2102" s="114" t="s">
        <v>5675</v>
      </c>
    </row>
    <row r="2103" spans="1:14">
      <c r="A2103" s="21" t="s">
        <v>2075</v>
      </c>
      <c r="B2103" s="5" t="s">
        <v>3225</v>
      </c>
      <c r="I2103" s="109"/>
      <c r="J2103" s="109"/>
      <c r="K2103" s="109"/>
      <c r="L2103" s="109" t="str">
        <f t="shared" si="32"/>
        <v>96-962500040</v>
      </c>
      <c r="M2103" s="114">
        <v>962500040</v>
      </c>
      <c r="N2103" s="114" t="s">
        <v>5814</v>
      </c>
    </row>
    <row r="2104" spans="1:14">
      <c r="A2104" s="21" t="s">
        <v>1934</v>
      </c>
      <c r="B2104" s="5" t="s">
        <v>3225</v>
      </c>
      <c r="I2104" s="109"/>
      <c r="J2104" s="109"/>
      <c r="K2104" s="109"/>
      <c r="L2104" s="109" t="str">
        <f t="shared" si="32"/>
        <v>96-962500109</v>
      </c>
      <c r="M2104" s="114">
        <v>962500109</v>
      </c>
      <c r="N2104" s="114" t="s">
        <v>7175</v>
      </c>
    </row>
    <row r="2105" spans="1:14">
      <c r="A2105" t="s">
        <v>1369</v>
      </c>
      <c r="B2105" s="5" t="s">
        <v>3292</v>
      </c>
      <c r="I2105" s="109"/>
      <c r="J2105" s="109"/>
      <c r="K2105" s="109"/>
      <c r="L2105" s="109" t="str">
        <f t="shared" si="32"/>
        <v>95-951800095</v>
      </c>
      <c r="M2105" s="114">
        <v>951800095</v>
      </c>
      <c r="N2105" s="114" t="s">
        <v>7140</v>
      </c>
    </row>
    <row r="2106" spans="1:14">
      <c r="A2106" t="s">
        <v>1414</v>
      </c>
      <c r="B2106" s="5" t="s">
        <v>3292</v>
      </c>
      <c r="I2106" s="109"/>
      <c r="J2106" s="109"/>
      <c r="K2106" s="109"/>
      <c r="L2106" s="109" t="str">
        <f t="shared" si="32"/>
        <v>95-951600051</v>
      </c>
      <c r="M2106" s="114">
        <v>951600051</v>
      </c>
      <c r="N2106" s="114" t="s">
        <v>7748</v>
      </c>
    </row>
    <row r="2107" spans="1:14">
      <c r="A2107" t="s">
        <v>1542</v>
      </c>
      <c r="B2107" s="5" t="s">
        <v>3292</v>
      </c>
      <c r="I2107" s="109"/>
      <c r="J2107" s="109"/>
      <c r="K2107" s="109"/>
      <c r="L2107" s="109" t="str">
        <f t="shared" si="32"/>
        <v>95-951400009</v>
      </c>
      <c r="M2107" s="114">
        <v>951400009</v>
      </c>
      <c r="N2107" s="114" t="s">
        <v>8176</v>
      </c>
    </row>
    <row r="2108" spans="1:14">
      <c r="A2108" t="s">
        <v>1548</v>
      </c>
      <c r="B2108" s="5" t="s">
        <v>3292</v>
      </c>
      <c r="I2108" s="109"/>
      <c r="J2108" s="109"/>
      <c r="K2108" s="109"/>
      <c r="L2108" s="109" t="str">
        <f t="shared" si="32"/>
        <v>96-962000087</v>
      </c>
      <c r="M2108" s="114">
        <v>962000087</v>
      </c>
      <c r="N2108" s="114" t="s">
        <v>7112</v>
      </c>
    </row>
    <row r="2109" spans="1:14">
      <c r="A2109" t="s">
        <v>2044</v>
      </c>
      <c r="B2109" s="5" t="s">
        <v>3292</v>
      </c>
      <c r="I2109" s="109"/>
      <c r="J2109" s="109"/>
      <c r="K2109" s="109"/>
      <c r="L2109" s="109" t="str">
        <f t="shared" si="32"/>
        <v>96-962500119</v>
      </c>
      <c r="M2109" s="114">
        <v>962500119</v>
      </c>
      <c r="N2109" s="114" t="s">
        <v>7175</v>
      </c>
    </row>
    <row r="2110" spans="1:14">
      <c r="A2110" t="s">
        <v>2026</v>
      </c>
      <c r="B2110" s="5" t="s">
        <v>3292</v>
      </c>
      <c r="I2110" s="109"/>
      <c r="J2110" s="109"/>
      <c r="K2110" s="109"/>
      <c r="L2110" s="109" t="str">
        <f t="shared" si="32"/>
        <v>96-962500073</v>
      </c>
      <c r="M2110" s="114">
        <v>962500073</v>
      </c>
      <c r="N2110" s="114" t="s">
        <v>5842</v>
      </c>
    </row>
    <row r="2111" spans="1:14">
      <c r="A2111" t="s">
        <v>2043</v>
      </c>
      <c r="B2111" s="5" t="s">
        <v>3292</v>
      </c>
      <c r="I2111" s="109"/>
      <c r="J2111" s="109"/>
      <c r="K2111" s="109"/>
      <c r="L2111" s="109" t="str">
        <f t="shared" si="32"/>
        <v>96-962500120</v>
      </c>
      <c r="M2111" s="114">
        <v>962500120</v>
      </c>
      <c r="N2111" s="114" t="s">
        <v>7145</v>
      </c>
    </row>
    <row r="2112" spans="1:14">
      <c r="A2112" t="s">
        <v>1935</v>
      </c>
      <c r="B2112" s="5" t="s">
        <v>3292</v>
      </c>
      <c r="I2112" s="109"/>
      <c r="J2112" s="109"/>
      <c r="K2112" s="109"/>
      <c r="L2112" s="109" t="str">
        <f t="shared" si="32"/>
        <v>96-962500010</v>
      </c>
      <c r="M2112" s="114">
        <v>962500010</v>
      </c>
      <c r="N2112" s="114" t="s">
        <v>5778</v>
      </c>
    </row>
    <row r="2113" spans="1:14">
      <c r="A2113" t="s">
        <v>2120</v>
      </c>
      <c r="B2113" s="5" t="s">
        <v>3292</v>
      </c>
      <c r="I2113" s="109"/>
      <c r="J2113" s="109"/>
      <c r="K2113" s="109"/>
      <c r="L2113" s="109" t="str">
        <f t="shared" si="32"/>
        <v>96-962500023</v>
      </c>
      <c r="M2113" s="114">
        <v>962500023</v>
      </c>
      <c r="N2113" s="114" t="s">
        <v>5780</v>
      </c>
    </row>
    <row r="2114" spans="1:14">
      <c r="A2114" t="s">
        <v>2163</v>
      </c>
      <c r="B2114" s="5" t="s">
        <v>3292</v>
      </c>
      <c r="I2114" s="109"/>
      <c r="J2114" s="109"/>
      <c r="K2114" s="109"/>
      <c r="L2114" s="109" t="str">
        <f t="shared" si="32"/>
        <v>96-962500026</v>
      </c>
      <c r="M2114" s="114">
        <v>962500026</v>
      </c>
      <c r="N2114" s="114" t="s">
        <v>5780</v>
      </c>
    </row>
    <row r="2115" spans="1:14">
      <c r="A2115" t="s">
        <v>2078</v>
      </c>
      <c r="B2115" s="5" t="s">
        <v>3292</v>
      </c>
      <c r="I2115" s="109"/>
      <c r="J2115" s="109"/>
      <c r="K2115" s="109"/>
      <c r="L2115" s="109" t="str">
        <f t="shared" ref="L2115:L2178" si="33">MID(M2115,1,2)&amp;"-"&amp;M2115</f>
        <v>96-962500027</v>
      </c>
      <c r="M2115" s="114">
        <v>962500027</v>
      </c>
      <c r="N2115" s="114" t="s">
        <v>5780</v>
      </c>
    </row>
    <row r="2116" spans="1:14">
      <c r="A2116" t="s">
        <v>2086</v>
      </c>
      <c r="B2116" s="5" t="s">
        <v>3292</v>
      </c>
      <c r="I2116" s="109"/>
      <c r="J2116" s="109"/>
      <c r="K2116" s="109"/>
      <c r="L2116" s="109" t="str">
        <f t="shared" si="33"/>
        <v>96-962500034</v>
      </c>
      <c r="M2116" s="114">
        <v>962500034</v>
      </c>
      <c r="N2116" s="114" t="s">
        <v>5780</v>
      </c>
    </row>
    <row r="2117" spans="1:14">
      <c r="A2117" t="s">
        <v>2017</v>
      </c>
      <c r="B2117" s="5" t="s">
        <v>3292</v>
      </c>
      <c r="I2117" s="109"/>
      <c r="J2117" s="109"/>
      <c r="K2117" s="109"/>
      <c r="L2117" s="109" t="str">
        <f t="shared" si="33"/>
        <v>96-962500068</v>
      </c>
      <c r="M2117" s="114">
        <v>962500068</v>
      </c>
      <c r="N2117" s="114" t="s">
        <v>5841</v>
      </c>
    </row>
    <row r="2118" spans="1:14">
      <c r="A2118" t="s">
        <v>2301</v>
      </c>
      <c r="B2118" s="5" t="s">
        <v>3292</v>
      </c>
      <c r="I2118" s="109"/>
      <c r="J2118" s="109"/>
      <c r="K2118" s="109"/>
      <c r="L2118" s="109" t="str">
        <f t="shared" si="33"/>
        <v>95-954200007</v>
      </c>
      <c r="M2118" s="114">
        <v>954200007</v>
      </c>
      <c r="N2118" s="114" t="s">
        <v>5637</v>
      </c>
    </row>
    <row r="2119" spans="1:14">
      <c r="A2119" t="s">
        <v>2273</v>
      </c>
      <c r="B2119" s="5" t="s">
        <v>3292</v>
      </c>
      <c r="I2119" s="109"/>
      <c r="J2119" s="109"/>
      <c r="K2119" s="109"/>
      <c r="L2119" s="109" t="str">
        <f t="shared" si="33"/>
        <v>95-951100137</v>
      </c>
      <c r="M2119" s="114">
        <v>951100137</v>
      </c>
      <c r="N2119" s="114" t="s">
        <v>7930</v>
      </c>
    </row>
    <row r="2120" spans="1:14">
      <c r="A2120" t="s">
        <v>2036</v>
      </c>
      <c r="B2120" s="5" t="s">
        <v>3292</v>
      </c>
      <c r="I2120" s="109"/>
      <c r="J2120" s="109"/>
      <c r="K2120" s="109"/>
      <c r="L2120" s="109" t="str">
        <f t="shared" si="33"/>
        <v>95-951100170</v>
      </c>
      <c r="M2120" s="114">
        <v>951100170</v>
      </c>
      <c r="N2120" s="114" t="s">
        <v>7931</v>
      </c>
    </row>
    <row r="2121" spans="1:14">
      <c r="A2121" t="s">
        <v>2284</v>
      </c>
      <c r="B2121" s="5" t="s">
        <v>3292</v>
      </c>
      <c r="I2121" s="109"/>
      <c r="J2121" s="109"/>
      <c r="K2121" s="109"/>
      <c r="L2121" s="109" t="str">
        <f t="shared" si="33"/>
        <v>95-951900150</v>
      </c>
      <c r="M2121" s="114">
        <v>951900150</v>
      </c>
      <c r="N2121" s="114" t="s">
        <v>8282</v>
      </c>
    </row>
    <row r="2122" spans="1:14">
      <c r="A2122" t="s">
        <v>2318</v>
      </c>
      <c r="B2122" s="5" t="s">
        <v>3292</v>
      </c>
      <c r="I2122" s="109"/>
      <c r="J2122" s="109"/>
      <c r="K2122" s="109"/>
      <c r="L2122" s="109" t="str">
        <f t="shared" si="33"/>
        <v>95-951900061</v>
      </c>
      <c r="M2122" s="114">
        <v>951900061</v>
      </c>
      <c r="N2122" s="114" t="s">
        <v>8284</v>
      </c>
    </row>
    <row r="2123" spans="1:14">
      <c r="A2123" t="s">
        <v>2019</v>
      </c>
      <c r="B2123" s="5" t="s">
        <v>3292</v>
      </c>
      <c r="I2123" s="109"/>
      <c r="J2123" s="109"/>
      <c r="K2123" s="109"/>
      <c r="L2123" s="109" t="str">
        <f t="shared" si="33"/>
        <v>95-954200031</v>
      </c>
      <c r="M2123" s="114">
        <v>954200031</v>
      </c>
      <c r="N2123" s="114" t="s">
        <v>5641</v>
      </c>
    </row>
    <row r="2124" spans="1:14">
      <c r="A2124" t="s">
        <v>2020</v>
      </c>
      <c r="B2124" s="5" t="s">
        <v>3292</v>
      </c>
      <c r="I2124" s="109"/>
      <c r="J2124" s="109"/>
      <c r="K2124" s="109"/>
      <c r="L2124" s="109" t="str">
        <f t="shared" si="33"/>
        <v>95-954200005</v>
      </c>
      <c r="M2124" s="114">
        <v>954200005</v>
      </c>
      <c r="N2124" s="114" t="s">
        <v>5628</v>
      </c>
    </row>
    <row r="2125" spans="1:14">
      <c r="A2125" t="s">
        <v>2083</v>
      </c>
      <c r="B2125" s="5" t="s">
        <v>3292</v>
      </c>
      <c r="I2125" s="109"/>
      <c r="J2125" s="109"/>
      <c r="K2125" s="109"/>
      <c r="L2125" s="109" t="str">
        <f t="shared" si="33"/>
        <v>95-954200026</v>
      </c>
      <c r="M2125" s="114">
        <v>954200026</v>
      </c>
      <c r="N2125" s="114" t="s">
        <v>5643</v>
      </c>
    </row>
    <row r="2126" spans="1:14">
      <c r="A2126" t="s">
        <v>2113</v>
      </c>
      <c r="B2126" s="5" t="s">
        <v>3292</v>
      </c>
      <c r="I2126" s="109"/>
      <c r="J2126" s="109"/>
      <c r="K2126" s="109"/>
      <c r="L2126" s="109" t="str">
        <f t="shared" si="33"/>
        <v>95-954200004</v>
      </c>
      <c r="M2126" s="114">
        <v>954200004</v>
      </c>
      <c r="N2126" s="114" t="s">
        <v>5629</v>
      </c>
    </row>
    <row r="2127" spans="1:14">
      <c r="A2127" t="s">
        <v>2157</v>
      </c>
      <c r="B2127" s="5" t="s">
        <v>3292</v>
      </c>
      <c r="I2127" s="109"/>
      <c r="J2127" s="109"/>
      <c r="K2127" s="109"/>
      <c r="L2127" s="109" t="str">
        <f t="shared" si="33"/>
        <v>95-951800002</v>
      </c>
      <c r="M2127" s="114">
        <v>951800002</v>
      </c>
      <c r="N2127" s="114" t="s">
        <v>7749</v>
      </c>
    </row>
    <row r="2128" spans="1:14">
      <c r="A2128" t="s">
        <v>2108</v>
      </c>
      <c r="B2128" s="5" t="s">
        <v>3292</v>
      </c>
      <c r="I2128" s="109"/>
      <c r="J2128" s="109"/>
      <c r="K2128" s="109"/>
      <c r="L2128" s="109" t="str">
        <f t="shared" si="33"/>
        <v>95-951400123</v>
      </c>
      <c r="M2128" s="114">
        <v>951400123</v>
      </c>
      <c r="N2128" s="114" t="s">
        <v>7750</v>
      </c>
    </row>
    <row r="2129" spans="1:14">
      <c r="A2129" t="s">
        <v>2109</v>
      </c>
      <c r="B2129" s="5" t="s">
        <v>3292</v>
      </c>
      <c r="I2129" s="109"/>
      <c r="J2129" s="109"/>
      <c r="K2129" s="109"/>
      <c r="L2129" s="109" t="str">
        <f t="shared" si="33"/>
        <v>95-951900033</v>
      </c>
      <c r="M2129" s="114">
        <v>951900033</v>
      </c>
      <c r="N2129" s="114" t="s">
        <v>7712</v>
      </c>
    </row>
    <row r="2130" spans="1:14">
      <c r="A2130" t="s">
        <v>2118</v>
      </c>
      <c r="B2130" s="5" t="s">
        <v>3292</v>
      </c>
      <c r="I2130" s="109"/>
      <c r="J2130" s="109"/>
      <c r="K2130" s="109"/>
      <c r="L2130" s="109" t="str">
        <f t="shared" si="33"/>
        <v>95-951400052</v>
      </c>
      <c r="M2130" s="114">
        <v>951400052</v>
      </c>
      <c r="N2130" s="114" t="s">
        <v>7766</v>
      </c>
    </row>
    <row r="2131" spans="1:14">
      <c r="A2131" t="s">
        <v>2156</v>
      </c>
      <c r="B2131" s="5" t="s">
        <v>3292</v>
      </c>
      <c r="I2131" s="109"/>
      <c r="J2131" s="109"/>
      <c r="K2131" s="109"/>
      <c r="L2131" s="109" t="str">
        <f t="shared" si="33"/>
        <v>96-961700001</v>
      </c>
      <c r="M2131" s="114">
        <v>961700001</v>
      </c>
      <c r="N2131" s="114" t="s">
        <v>7598</v>
      </c>
    </row>
    <row r="2132" spans="1:14">
      <c r="A2132" t="s">
        <v>2246</v>
      </c>
      <c r="B2132" s="5" t="s">
        <v>3292</v>
      </c>
      <c r="I2132" s="109"/>
      <c r="J2132" s="109"/>
      <c r="K2132" s="109"/>
      <c r="L2132" s="109" t="str">
        <f t="shared" si="33"/>
        <v>96-961900179</v>
      </c>
      <c r="M2132" s="114">
        <v>961900179</v>
      </c>
      <c r="N2132" s="114" t="s">
        <v>8711</v>
      </c>
    </row>
    <row r="2133" spans="1:14">
      <c r="A2133" t="s">
        <v>2170</v>
      </c>
      <c r="B2133" s="5" t="s">
        <v>3292</v>
      </c>
      <c r="I2133" s="109"/>
      <c r="J2133" s="109"/>
      <c r="K2133" s="109"/>
      <c r="L2133" s="109" t="str">
        <f t="shared" si="33"/>
        <v>96-961900142</v>
      </c>
      <c r="M2133" s="114">
        <v>961900142</v>
      </c>
      <c r="N2133" s="114" t="s">
        <v>8219</v>
      </c>
    </row>
    <row r="2134" spans="1:14">
      <c r="A2134" t="s">
        <v>2052</v>
      </c>
      <c r="B2134" s="5" t="s">
        <v>3292</v>
      </c>
      <c r="I2134" s="109"/>
      <c r="J2134" s="109"/>
      <c r="K2134" s="109"/>
      <c r="L2134" s="109" t="str">
        <f t="shared" si="33"/>
        <v>95-951400125</v>
      </c>
      <c r="M2134" s="114">
        <v>951400125</v>
      </c>
      <c r="N2134" s="114" t="s">
        <v>8294</v>
      </c>
    </row>
    <row r="2135" spans="1:14">
      <c r="A2135" t="s">
        <v>2053</v>
      </c>
      <c r="B2135" s="5" t="s">
        <v>3292</v>
      </c>
      <c r="I2135" s="109"/>
      <c r="J2135" s="109"/>
      <c r="K2135" s="109"/>
      <c r="L2135" s="109" t="str">
        <f t="shared" si="33"/>
        <v>95-951400021</v>
      </c>
      <c r="M2135" s="114">
        <v>951400021</v>
      </c>
      <c r="N2135" s="114" t="s">
        <v>7608</v>
      </c>
    </row>
    <row r="2136" spans="1:14">
      <c r="A2136" t="s">
        <v>2176</v>
      </c>
      <c r="B2136" s="5" t="s">
        <v>3292</v>
      </c>
      <c r="I2136" s="109"/>
      <c r="J2136" s="109"/>
      <c r="K2136" s="109"/>
      <c r="L2136" s="109" t="str">
        <f t="shared" si="33"/>
        <v>95-951900144</v>
      </c>
      <c r="M2136" s="114">
        <v>951900144</v>
      </c>
      <c r="N2136" s="114" t="s">
        <v>8295</v>
      </c>
    </row>
    <row r="2137" spans="1:14">
      <c r="A2137" t="s">
        <v>2277</v>
      </c>
      <c r="B2137" s="5" t="s">
        <v>3292</v>
      </c>
      <c r="I2137" s="109"/>
      <c r="J2137" s="109"/>
      <c r="K2137" s="109"/>
      <c r="L2137" s="109" t="str">
        <f t="shared" si="33"/>
        <v>96-964200003</v>
      </c>
      <c r="M2137" s="114">
        <v>964200003</v>
      </c>
      <c r="N2137" s="114" t="s">
        <v>5798</v>
      </c>
    </row>
    <row r="2138" spans="1:14">
      <c r="A2138" t="s">
        <v>2248</v>
      </c>
      <c r="B2138" s="5" t="s">
        <v>3292</v>
      </c>
      <c r="I2138" s="109"/>
      <c r="J2138" s="109"/>
      <c r="K2138" s="109"/>
      <c r="L2138" s="109" t="str">
        <f t="shared" si="33"/>
        <v>96-964200004</v>
      </c>
      <c r="M2138" s="114">
        <v>964200004</v>
      </c>
      <c r="N2138" s="114" t="s">
        <v>5778</v>
      </c>
    </row>
    <row r="2139" spans="1:14">
      <c r="A2139" t="s">
        <v>2247</v>
      </c>
      <c r="B2139" s="5" t="s">
        <v>3292</v>
      </c>
      <c r="I2139" s="109"/>
      <c r="J2139" s="109"/>
      <c r="K2139" s="109"/>
      <c r="L2139" s="109" t="str">
        <f t="shared" si="33"/>
        <v>95-956000003</v>
      </c>
      <c r="M2139" s="114">
        <v>956000003</v>
      </c>
      <c r="N2139" s="114" t="s">
        <v>7146</v>
      </c>
    </row>
    <row r="2140" spans="1:14">
      <c r="A2140" t="s">
        <v>2263</v>
      </c>
      <c r="B2140" s="5" t="s">
        <v>3292</v>
      </c>
      <c r="I2140" s="109"/>
      <c r="J2140" s="109"/>
      <c r="K2140" s="109"/>
      <c r="L2140" s="109" t="str">
        <f t="shared" si="33"/>
        <v>95-959000001</v>
      </c>
      <c r="M2140" s="114">
        <v>959000001</v>
      </c>
      <c r="N2140" s="114" t="s">
        <v>5625</v>
      </c>
    </row>
    <row r="2141" spans="1:14">
      <c r="A2141" t="s">
        <v>2338</v>
      </c>
      <c r="B2141" s="5" t="s">
        <v>3292</v>
      </c>
      <c r="I2141" s="109"/>
      <c r="J2141" s="109"/>
      <c r="K2141" s="109"/>
      <c r="L2141" s="109" t="str">
        <f t="shared" si="33"/>
        <v>95-959000007</v>
      </c>
      <c r="M2141" s="114">
        <v>959000007</v>
      </c>
      <c r="N2141" s="114" t="s">
        <v>5763</v>
      </c>
    </row>
    <row r="2142" spans="1:14">
      <c r="A2142" t="s">
        <v>2272</v>
      </c>
      <c r="B2142" s="5" t="s">
        <v>3292</v>
      </c>
      <c r="I2142" s="109"/>
      <c r="J2142" s="109"/>
      <c r="K2142" s="109"/>
      <c r="L2142" s="109" t="str">
        <f t="shared" si="33"/>
        <v>96-961900147</v>
      </c>
      <c r="M2142" s="114">
        <v>961900147</v>
      </c>
      <c r="N2142" s="114" t="s">
        <v>7754</v>
      </c>
    </row>
    <row r="2143" spans="1:14">
      <c r="A2143" t="s">
        <v>2281</v>
      </c>
      <c r="B2143" s="5" t="s">
        <v>3292</v>
      </c>
      <c r="I2143" s="109"/>
      <c r="J2143" s="109"/>
      <c r="K2143" s="109"/>
      <c r="L2143" s="109" t="str">
        <f t="shared" si="33"/>
        <v>95-951900094</v>
      </c>
      <c r="M2143" s="114">
        <v>951900094</v>
      </c>
      <c r="N2143" s="114" t="s">
        <v>7755</v>
      </c>
    </row>
    <row r="2144" spans="1:14">
      <c r="A2144" t="s">
        <v>2279</v>
      </c>
      <c r="B2144" s="5" t="s">
        <v>3292</v>
      </c>
      <c r="I2144" s="109"/>
      <c r="J2144" s="109"/>
      <c r="K2144" s="109"/>
      <c r="L2144" s="109" t="str">
        <f t="shared" si="33"/>
        <v>95-951900211</v>
      </c>
      <c r="M2144" s="114">
        <v>951900211</v>
      </c>
      <c r="N2144" s="114" t="s">
        <v>7760</v>
      </c>
    </row>
    <row r="2145" spans="1:14">
      <c r="A2145" t="s">
        <v>2280</v>
      </c>
      <c r="B2145" s="5" t="s">
        <v>3292</v>
      </c>
      <c r="I2145" s="109"/>
      <c r="J2145" s="109"/>
      <c r="K2145" s="109"/>
      <c r="L2145" s="109" t="str">
        <f t="shared" si="33"/>
        <v>95-951700049</v>
      </c>
      <c r="M2145" s="114">
        <v>951700049</v>
      </c>
      <c r="N2145" s="114" t="s">
        <v>8296</v>
      </c>
    </row>
    <row r="2146" spans="1:14">
      <c r="A2146" t="s">
        <v>2291</v>
      </c>
      <c r="B2146" s="5" t="s">
        <v>3292</v>
      </c>
      <c r="I2146" s="109"/>
      <c r="J2146" s="109"/>
      <c r="K2146" s="109"/>
      <c r="L2146" s="109" t="str">
        <f t="shared" si="33"/>
        <v>95-951700163</v>
      </c>
      <c r="M2146" s="114">
        <v>951700163</v>
      </c>
      <c r="N2146" s="114" t="s">
        <v>8297</v>
      </c>
    </row>
    <row r="2147" spans="1:14">
      <c r="A2147" t="s">
        <v>2304</v>
      </c>
      <c r="B2147" s="5" t="s">
        <v>3292</v>
      </c>
      <c r="I2147" s="109"/>
      <c r="J2147" s="109"/>
      <c r="K2147" s="109"/>
      <c r="L2147" s="109" t="str">
        <f t="shared" si="33"/>
        <v>95-951900032</v>
      </c>
      <c r="M2147" s="114">
        <v>951900032</v>
      </c>
      <c r="N2147" s="114" t="s">
        <v>7194</v>
      </c>
    </row>
    <row r="2148" spans="1:14">
      <c r="A2148" t="s">
        <v>2304</v>
      </c>
      <c r="B2148" s="5" t="s">
        <v>3292</v>
      </c>
      <c r="I2148" s="109"/>
      <c r="J2148" s="109"/>
      <c r="K2148" s="109"/>
      <c r="L2148" s="109" t="str">
        <f t="shared" si="33"/>
        <v>95-951400040</v>
      </c>
      <c r="M2148" s="114">
        <v>951400040</v>
      </c>
      <c r="N2148" s="114" t="s">
        <v>7858</v>
      </c>
    </row>
    <row r="2149" spans="1:14">
      <c r="A2149" t="s">
        <v>2308</v>
      </c>
      <c r="B2149" s="5" t="s">
        <v>3292</v>
      </c>
      <c r="I2149" s="109"/>
      <c r="J2149" s="109"/>
      <c r="K2149" s="109"/>
      <c r="L2149" s="109" t="str">
        <f t="shared" si="33"/>
        <v>95-951900213</v>
      </c>
      <c r="M2149" s="114">
        <v>951900213</v>
      </c>
      <c r="N2149" s="114" t="s">
        <v>7693</v>
      </c>
    </row>
    <row r="2150" spans="1:14">
      <c r="A2150" t="s">
        <v>2289</v>
      </c>
      <c r="B2150" s="5" t="s">
        <v>3292</v>
      </c>
      <c r="I2150" s="109"/>
      <c r="J2150" s="109"/>
      <c r="K2150" s="109"/>
      <c r="L2150" s="109" t="str">
        <f t="shared" si="33"/>
        <v>95-951900282</v>
      </c>
      <c r="M2150" s="114">
        <v>951900282</v>
      </c>
      <c r="N2150" s="114" t="s">
        <v>7611</v>
      </c>
    </row>
    <row r="2151" spans="1:14">
      <c r="A2151" t="s">
        <v>2289</v>
      </c>
      <c r="B2151" s="5" t="s">
        <v>3292</v>
      </c>
      <c r="I2151" s="109"/>
      <c r="J2151" s="109"/>
      <c r="K2151" s="109"/>
      <c r="L2151" s="109" t="str">
        <f t="shared" si="33"/>
        <v>96-961900162</v>
      </c>
      <c r="M2151" s="114">
        <v>961900162</v>
      </c>
      <c r="N2151" s="114" t="s">
        <v>7212</v>
      </c>
    </row>
    <row r="2152" spans="1:14">
      <c r="A2152" t="s">
        <v>2292</v>
      </c>
      <c r="B2152" s="5" t="s">
        <v>3292</v>
      </c>
      <c r="I2152" s="109"/>
      <c r="J2152" s="109"/>
      <c r="K2152" s="109"/>
      <c r="L2152" s="109" t="str">
        <f t="shared" si="33"/>
        <v>96-961900165</v>
      </c>
      <c r="M2152" s="114">
        <v>961900165</v>
      </c>
      <c r="N2152" s="114" t="s">
        <v>7212</v>
      </c>
    </row>
    <row r="2153" spans="1:14">
      <c r="A2153" t="s">
        <v>2292</v>
      </c>
      <c r="B2153" s="5" t="s">
        <v>3292</v>
      </c>
      <c r="I2153" s="109"/>
      <c r="J2153" s="109"/>
      <c r="K2153" s="109"/>
      <c r="L2153" s="109" t="str">
        <f t="shared" si="33"/>
        <v>96-961900019</v>
      </c>
      <c r="M2153" s="114">
        <v>961900019</v>
      </c>
      <c r="N2153" s="114" t="s">
        <v>7613</v>
      </c>
    </row>
    <row r="2154" spans="1:14">
      <c r="A2154" t="s">
        <v>2297</v>
      </c>
      <c r="B2154" s="5" t="s">
        <v>3292</v>
      </c>
      <c r="I2154" s="109"/>
      <c r="J2154" s="109"/>
      <c r="K2154" s="109"/>
      <c r="L2154" s="109" t="str">
        <f t="shared" si="33"/>
        <v>96-961900022</v>
      </c>
      <c r="M2154" s="114">
        <v>961900022</v>
      </c>
      <c r="N2154" s="114" t="s">
        <v>7613</v>
      </c>
    </row>
    <row r="2155" spans="1:14">
      <c r="A2155" t="s">
        <v>2285</v>
      </c>
      <c r="B2155" s="5" t="s">
        <v>3292</v>
      </c>
      <c r="I2155" s="109"/>
      <c r="J2155" s="109"/>
      <c r="K2155" s="109"/>
      <c r="L2155" s="109" t="str">
        <f t="shared" si="33"/>
        <v>96-961900030</v>
      </c>
      <c r="M2155" s="114">
        <v>961900030</v>
      </c>
      <c r="N2155" s="114" t="s">
        <v>7614</v>
      </c>
    </row>
    <row r="2156" spans="1:14">
      <c r="A2156" t="s">
        <v>2298</v>
      </c>
      <c r="B2156" s="5" t="s">
        <v>3292</v>
      </c>
      <c r="I2156" s="109"/>
      <c r="J2156" s="109"/>
      <c r="K2156" s="109"/>
      <c r="L2156" s="109" t="str">
        <f t="shared" si="33"/>
        <v>96-961900031</v>
      </c>
      <c r="M2156" s="114">
        <v>961900031</v>
      </c>
      <c r="N2156" s="114" t="s">
        <v>7614</v>
      </c>
    </row>
    <row r="2157" spans="1:14">
      <c r="A2157" t="s">
        <v>2306</v>
      </c>
      <c r="B2157" s="5" t="s">
        <v>3292</v>
      </c>
      <c r="I2157" s="109"/>
      <c r="J2157" s="109"/>
      <c r="K2157" s="109"/>
      <c r="L2157" s="109" t="str">
        <f t="shared" si="33"/>
        <v>96-961900081</v>
      </c>
      <c r="M2157" s="114">
        <v>961900081</v>
      </c>
      <c r="N2157" s="114" t="s">
        <v>7471</v>
      </c>
    </row>
    <row r="2158" spans="1:14">
      <c r="A2158" t="s">
        <v>2305</v>
      </c>
      <c r="B2158" s="5" t="s">
        <v>3292</v>
      </c>
      <c r="I2158" s="109"/>
      <c r="J2158" s="109"/>
      <c r="K2158" s="109"/>
      <c r="L2158" s="109" t="str">
        <f t="shared" si="33"/>
        <v>95-951700164</v>
      </c>
      <c r="M2158" s="114">
        <v>951700164</v>
      </c>
      <c r="N2158" s="114" t="s">
        <v>7472</v>
      </c>
    </row>
    <row r="2159" spans="1:14">
      <c r="A2159" t="s">
        <v>2282</v>
      </c>
      <c r="B2159" s="5" t="s">
        <v>3292</v>
      </c>
      <c r="I2159" s="109"/>
      <c r="J2159" s="109"/>
      <c r="K2159" s="109"/>
      <c r="L2159" s="109" t="str">
        <f t="shared" si="33"/>
        <v>95-951800034</v>
      </c>
      <c r="M2159" s="114">
        <v>951800034</v>
      </c>
      <c r="N2159" s="114" t="s">
        <v>7473</v>
      </c>
    </row>
    <row r="2160" spans="1:14">
      <c r="A2160" t="s">
        <v>2297</v>
      </c>
      <c r="B2160" s="5" t="s">
        <v>3292</v>
      </c>
      <c r="I2160" s="109"/>
      <c r="J2160" s="109"/>
      <c r="K2160" s="109"/>
      <c r="L2160" s="109" t="str">
        <f t="shared" si="33"/>
        <v>96-961100040</v>
      </c>
      <c r="M2160" s="114">
        <v>961100040</v>
      </c>
      <c r="N2160" s="114" t="s">
        <v>7474</v>
      </c>
    </row>
    <row r="2161" spans="1:14">
      <c r="A2161" t="s">
        <v>2299</v>
      </c>
      <c r="B2161" s="5" t="s">
        <v>3292</v>
      </c>
      <c r="I2161" s="109"/>
      <c r="J2161" s="109"/>
      <c r="K2161" s="109"/>
      <c r="L2161" s="109" t="str">
        <f t="shared" si="33"/>
        <v>95-951900249</v>
      </c>
      <c r="M2161" s="114">
        <v>951900249</v>
      </c>
      <c r="N2161" s="114" t="s">
        <v>7186</v>
      </c>
    </row>
    <row r="2162" spans="1:14">
      <c r="A2162" t="s">
        <v>2295</v>
      </c>
      <c r="B2162" s="5" t="s">
        <v>3292</v>
      </c>
      <c r="I2162" s="109"/>
      <c r="J2162" s="109"/>
      <c r="K2162" s="109"/>
      <c r="L2162" s="109" t="str">
        <f t="shared" si="33"/>
        <v>95-951800028</v>
      </c>
      <c r="M2162" s="114">
        <v>951800028</v>
      </c>
      <c r="N2162" s="114" t="s">
        <v>7765</v>
      </c>
    </row>
    <row r="2163" spans="1:14">
      <c r="A2163" t="s">
        <v>2302</v>
      </c>
      <c r="B2163" s="5" t="s">
        <v>3292</v>
      </c>
      <c r="I2163" s="109"/>
      <c r="J2163" s="109"/>
      <c r="K2163" s="109"/>
      <c r="L2163" s="109" t="str">
        <f t="shared" si="33"/>
        <v>96-961900052</v>
      </c>
      <c r="M2163" s="114">
        <v>961900052</v>
      </c>
      <c r="N2163" s="114" t="s">
        <v>7615</v>
      </c>
    </row>
    <row r="2164" spans="1:14">
      <c r="A2164" t="s">
        <v>2315</v>
      </c>
      <c r="B2164" s="5" t="s">
        <v>3292</v>
      </c>
      <c r="I2164" s="109"/>
      <c r="J2164" s="109"/>
      <c r="K2164" s="109"/>
      <c r="L2164" s="109" t="str">
        <f t="shared" si="33"/>
        <v>96-961900055</v>
      </c>
      <c r="M2164" s="114">
        <v>961900055</v>
      </c>
      <c r="N2164" s="114" t="s">
        <v>7812</v>
      </c>
    </row>
    <row r="2165" spans="1:14">
      <c r="A2165" t="s">
        <v>2288</v>
      </c>
      <c r="B2165" s="5" t="s">
        <v>3292</v>
      </c>
      <c r="I2165" s="109"/>
      <c r="J2165" s="109"/>
      <c r="K2165" s="109"/>
      <c r="L2165" s="109" t="str">
        <f t="shared" si="33"/>
        <v>96-961900095</v>
      </c>
      <c r="M2165" s="114">
        <v>961900095</v>
      </c>
      <c r="N2165" s="114" t="s">
        <v>7787</v>
      </c>
    </row>
    <row r="2166" spans="1:14">
      <c r="A2166" t="s">
        <v>2300</v>
      </c>
      <c r="B2166" s="5" t="s">
        <v>3292</v>
      </c>
      <c r="I2166" s="109"/>
      <c r="J2166" s="109"/>
      <c r="K2166" s="109"/>
      <c r="L2166" s="109" t="str">
        <f t="shared" si="33"/>
        <v>96-961900096</v>
      </c>
      <c r="M2166" s="114">
        <v>961900096</v>
      </c>
      <c r="N2166" s="114" t="s">
        <v>7787</v>
      </c>
    </row>
    <row r="2167" spans="1:14">
      <c r="A2167" t="s">
        <v>2319</v>
      </c>
      <c r="B2167" s="5" t="s">
        <v>3292</v>
      </c>
      <c r="I2167" s="109"/>
      <c r="J2167" s="109"/>
      <c r="K2167" s="109"/>
      <c r="L2167" s="109" t="str">
        <f t="shared" si="33"/>
        <v>96-961900097</v>
      </c>
      <c r="M2167" s="114">
        <v>961900097</v>
      </c>
      <c r="N2167" s="114" t="s">
        <v>7787</v>
      </c>
    </row>
    <row r="2168" spans="1:14">
      <c r="A2168" t="s">
        <v>2294</v>
      </c>
      <c r="B2168" s="5" t="s">
        <v>3292</v>
      </c>
      <c r="I2168" s="109"/>
      <c r="J2168" s="109"/>
      <c r="K2168" s="109"/>
      <c r="L2168" s="109" t="str">
        <f t="shared" si="33"/>
        <v>96-961600008</v>
      </c>
      <c r="M2168" s="114">
        <v>961600008</v>
      </c>
      <c r="N2168" s="114" t="s">
        <v>7845</v>
      </c>
    </row>
    <row r="2169" spans="1:14">
      <c r="A2169" t="s">
        <v>2339</v>
      </c>
      <c r="B2169" s="5" t="s">
        <v>3292</v>
      </c>
      <c r="I2169" s="109"/>
      <c r="J2169" s="109"/>
      <c r="K2169" s="109"/>
      <c r="L2169" s="109" t="str">
        <f t="shared" si="33"/>
        <v>96-961900135</v>
      </c>
      <c r="M2169" s="114">
        <v>961900135</v>
      </c>
      <c r="N2169" s="114" t="s">
        <v>7544</v>
      </c>
    </row>
    <row r="2170" spans="1:14">
      <c r="A2170" t="s">
        <v>2283</v>
      </c>
      <c r="B2170" s="5" t="s">
        <v>3292</v>
      </c>
      <c r="I2170" s="109"/>
      <c r="J2170" s="109"/>
      <c r="K2170" s="109"/>
      <c r="L2170" s="109" t="str">
        <f t="shared" si="33"/>
        <v>95-951700087</v>
      </c>
      <c r="M2170" s="114">
        <v>951700087</v>
      </c>
      <c r="N2170" s="114" t="s">
        <v>8310</v>
      </c>
    </row>
    <row r="2171" spans="1:14">
      <c r="A2171" t="s">
        <v>2320</v>
      </c>
      <c r="B2171" s="5" t="s">
        <v>3292</v>
      </c>
      <c r="I2171" s="109"/>
      <c r="J2171" s="109"/>
      <c r="K2171" s="109"/>
      <c r="L2171" s="109" t="str">
        <f t="shared" si="33"/>
        <v>95-951800018</v>
      </c>
      <c r="M2171" s="114">
        <v>951800018</v>
      </c>
      <c r="N2171" s="114" t="s">
        <v>8311</v>
      </c>
    </row>
    <row r="2172" spans="1:14">
      <c r="A2172" t="s">
        <v>2325</v>
      </c>
      <c r="B2172" s="5" t="s">
        <v>3292</v>
      </c>
      <c r="I2172" s="109"/>
      <c r="J2172" s="109"/>
      <c r="K2172" s="109"/>
      <c r="L2172" s="109" t="str">
        <f t="shared" si="33"/>
        <v>96-961800037</v>
      </c>
      <c r="M2172" s="114">
        <v>961800037</v>
      </c>
      <c r="N2172" s="114" t="s">
        <v>8312</v>
      </c>
    </row>
    <row r="2173" spans="1:14">
      <c r="A2173" t="s">
        <v>2322</v>
      </c>
      <c r="B2173" s="5" t="s">
        <v>3292</v>
      </c>
      <c r="I2173" s="109"/>
      <c r="J2173" s="109"/>
      <c r="K2173" s="109"/>
      <c r="L2173" s="109" t="str">
        <f t="shared" si="33"/>
        <v>96-962000132</v>
      </c>
      <c r="M2173" s="114">
        <v>962000132</v>
      </c>
      <c r="N2173" s="114" t="s">
        <v>7112</v>
      </c>
    </row>
    <row r="2174" spans="1:14">
      <c r="A2174" t="s">
        <v>2336</v>
      </c>
      <c r="B2174" s="5" t="s">
        <v>3292</v>
      </c>
      <c r="I2174" s="109"/>
      <c r="J2174" s="109"/>
      <c r="K2174" s="109"/>
      <c r="L2174" s="109" t="str">
        <f t="shared" si="33"/>
        <v>95-951700319</v>
      </c>
      <c r="M2174" s="114">
        <v>951700319</v>
      </c>
      <c r="N2174" s="114" t="s">
        <v>7481</v>
      </c>
    </row>
    <row r="2175" spans="1:14">
      <c r="A2175" t="s">
        <v>2327</v>
      </c>
      <c r="B2175" s="5" t="s">
        <v>3292</v>
      </c>
      <c r="I2175" s="109"/>
      <c r="J2175" s="109"/>
      <c r="K2175" s="109"/>
      <c r="L2175" s="109" t="str">
        <f t="shared" si="33"/>
        <v>95-951700364</v>
      </c>
      <c r="M2175" s="114">
        <v>951700364</v>
      </c>
      <c r="N2175" s="114" t="s">
        <v>7481</v>
      </c>
    </row>
    <row r="2176" spans="1:14">
      <c r="A2176" t="s">
        <v>2323</v>
      </c>
      <c r="B2176" s="5" t="s">
        <v>3292</v>
      </c>
      <c r="I2176" s="109"/>
      <c r="J2176" s="109"/>
      <c r="K2176" s="109"/>
      <c r="L2176" s="109" t="str">
        <f t="shared" si="33"/>
        <v>95-951600048</v>
      </c>
      <c r="M2176" s="114">
        <v>951600048</v>
      </c>
      <c r="N2176" s="114" t="s">
        <v>7482</v>
      </c>
    </row>
    <row r="2177" spans="1:14">
      <c r="A2177" t="s">
        <v>2328</v>
      </c>
      <c r="B2177" s="5" t="s">
        <v>3292</v>
      </c>
      <c r="I2177" s="109"/>
      <c r="J2177" s="109"/>
      <c r="K2177" s="109"/>
      <c r="L2177" s="109" t="str">
        <f t="shared" si="33"/>
        <v>95-951400179</v>
      </c>
      <c r="M2177" s="114">
        <v>951400179</v>
      </c>
      <c r="N2177" s="114" t="s">
        <v>7485</v>
      </c>
    </row>
    <row r="2178" spans="1:14">
      <c r="A2178" t="s">
        <v>2326</v>
      </c>
      <c r="B2178" s="5" t="s">
        <v>3292</v>
      </c>
      <c r="I2178" s="109"/>
      <c r="J2178" s="109"/>
      <c r="K2178" s="109"/>
      <c r="L2178" s="109" t="str">
        <f t="shared" si="33"/>
        <v>95-951400051</v>
      </c>
      <c r="M2178" s="114">
        <v>951400051</v>
      </c>
      <c r="N2178" s="114" t="s">
        <v>7766</v>
      </c>
    </row>
    <row r="2179" spans="1:14">
      <c r="A2179" t="s">
        <v>2335</v>
      </c>
      <c r="B2179" s="5" t="s">
        <v>3292</v>
      </c>
      <c r="I2179" s="109"/>
      <c r="J2179" s="109"/>
      <c r="K2179" s="109"/>
      <c r="L2179" s="109" t="str">
        <f t="shared" ref="L2179:L2242" si="34">MID(M2179,1,2)&amp;"-"&amp;M2179</f>
        <v>95-951700195</v>
      </c>
      <c r="M2179" s="114">
        <v>951700195</v>
      </c>
      <c r="N2179" s="114" t="s">
        <v>7601</v>
      </c>
    </row>
    <row r="2180" spans="1:14">
      <c r="A2180" t="s">
        <v>2470</v>
      </c>
      <c r="B2180" s="5" t="s">
        <v>3292</v>
      </c>
      <c r="I2180" s="109"/>
      <c r="J2180" s="109"/>
      <c r="K2180" s="109"/>
      <c r="L2180" s="109" t="str">
        <f t="shared" si="34"/>
        <v>96-961900152</v>
      </c>
      <c r="M2180" s="114">
        <v>961900152</v>
      </c>
      <c r="N2180" s="114" t="s">
        <v>7767</v>
      </c>
    </row>
    <row r="2181" spans="1:14">
      <c r="A2181" t="s">
        <v>3287</v>
      </c>
      <c r="B2181" s="5" t="s">
        <v>3292</v>
      </c>
      <c r="I2181" s="109"/>
      <c r="J2181" s="109"/>
      <c r="K2181" s="109"/>
      <c r="L2181" s="109" t="str">
        <f t="shared" si="34"/>
        <v>95-951700143</v>
      </c>
      <c r="M2181" s="114">
        <v>951700143</v>
      </c>
      <c r="N2181" s="114" t="s">
        <v>7755</v>
      </c>
    </row>
    <row r="2182" spans="1:14">
      <c r="A2182" t="s">
        <v>3288</v>
      </c>
      <c r="B2182" s="5" t="s">
        <v>3292</v>
      </c>
      <c r="I2182" s="109"/>
      <c r="J2182" s="109"/>
      <c r="K2182" s="109"/>
      <c r="L2182" s="109" t="str">
        <f t="shared" si="34"/>
        <v>95-951900093</v>
      </c>
      <c r="M2182" s="114">
        <v>951900093</v>
      </c>
      <c r="N2182" s="114" t="s">
        <v>7755</v>
      </c>
    </row>
    <row r="2183" spans="1:14">
      <c r="A2183" t="s">
        <v>2346</v>
      </c>
      <c r="B2183" s="5" t="s">
        <v>3292</v>
      </c>
      <c r="I2183" s="109"/>
      <c r="J2183" s="109"/>
      <c r="K2183" s="109"/>
      <c r="L2183" s="109" t="str">
        <f t="shared" si="34"/>
        <v>95-951400014</v>
      </c>
      <c r="M2183" s="114">
        <v>951400014</v>
      </c>
      <c r="N2183" s="114" t="s">
        <v>7773</v>
      </c>
    </row>
    <row r="2184" spans="1:14">
      <c r="A2184" t="s">
        <v>2345</v>
      </c>
      <c r="B2184" s="5" t="s">
        <v>3292</v>
      </c>
      <c r="I2184" s="109"/>
      <c r="J2184" s="109"/>
      <c r="K2184" s="109"/>
      <c r="L2184" s="109" t="str">
        <f t="shared" si="34"/>
        <v>96-961900091</v>
      </c>
      <c r="M2184" s="114">
        <v>961900091</v>
      </c>
      <c r="N2184" s="114" t="s">
        <v>7774</v>
      </c>
    </row>
    <row r="2185" spans="1:14">
      <c r="A2185" t="s">
        <v>3289</v>
      </c>
      <c r="B2185" s="5" t="s">
        <v>3292</v>
      </c>
      <c r="I2185" s="109"/>
      <c r="J2185" s="109"/>
      <c r="K2185" s="109"/>
      <c r="L2185" s="109" t="str">
        <f t="shared" si="34"/>
        <v>95-951400041</v>
      </c>
      <c r="M2185" s="114">
        <v>951400041</v>
      </c>
      <c r="N2185" s="114" t="s">
        <v>7775</v>
      </c>
    </row>
    <row r="2186" spans="1:14">
      <c r="A2186" t="s">
        <v>3290</v>
      </c>
      <c r="B2186" s="5" t="s">
        <v>3292</v>
      </c>
      <c r="I2186" s="109"/>
      <c r="J2186" s="109"/>
      <c r="K2186" s="109"/>
      <c r="L2186" s="109" t="str">
        <f t="shared" si="34"/>
        <v>95-951900095</v>
      </c>
      <c r="M2186" s="114">
        <v>951900095</v>
      </c>
      <c r="N2186" s="114" t="s">
        <v>7776</v>
      </c>
    </row>
    <row r="2187" spans="1:14">
      <c r="A2187" t="s">
        <v>3291</v>
      </c>
      <c r="B2187" s="5" t="s">
        <v>3292</v>
      </c>
      <c r="I2187" s="109"/>
      <c r="J2187" s="109"/>
      <c r="K2187" s="109"/>
      <c r="L2187" s="109" t="str">
        <f t="shared" si="34"/>
        <v>95-951900221</v>
      </c>
      <c r="M2187" s="114">
        <v>951900221</v>
      </c>
      <c r="N2187" s="114" t="s">
        <v>7693</v>
      </c>
    </row>
    <row r="2188" spans="1:14">
      <c r="A2188" t="s">
        <v>2471</v>
      </c>
      <c r="B2188" s="5" t="s">
        <v>3292</v>
      </c>
      <c r="I2188" s="109"/>
      <c r="J2188" s="109"/>
      <c r="K2188" s="109"/>
      <c r="L2188" s="109" t="str">
        <f t="shared" si="34"/>
        <v>95-951800067</v>
      </c>
      <c r="M2188" s="114">
        <v>951800067</v>
      </c>
      <c r="N2188" s="114" t="s">
        <v>7777</v>
      </c>
    </row>
    <row r="2189" spans="1:14">
      <c r="A2189" t="s">
        <v>2480</v>
      </c>
      <c r="B2189" s="5" t="s">
        <v>3389</v>
      </c>
      <c r="I2189" s="109"/>
      <c r="J2189" s="109"/>
      <c r="K2189" s="109"/>
      <c r="L2189" s="109" t="str">
        <f t="shared" si="34"/>
        <v>95-956100008</v>
      </c>
      <c r="M2189" s="114">
        <v>956100008</v>
      </c>
      <c r="N2189" s="114" t="s">
        <v>7778</v>
      </c>
    </row>
    <row r="2190" spans="1:14">
      <c r="A2190" t="s">
        <v>2479</v>
      </c>
      <c r="B2190" s="5" t="s">
        <v>3389</v>
      </c>
      <c r="I2190" s="109"/>
      <c r="J2190" s="109"/>
      <c r="K2190" s="109"/>
      <c r="L2190" s="109" t="str">
        <f t="shared" si="34"/>
        <v>95-951700335</v>
      </c>
      <c r="M2190" s="114">
        <v>951700335</v>
      </c>
      <c r="N2190" s="114" t="s">
        <v>7779</v>
      </c>
    </row>
    <row r="2191" spans="1:14">
      <c r="A2191" t="s">
        <v>2482</v>
      </c>
      <c r="B2191" s="5" t="s">
        <v>3389</v>
      </c>
      <c r="I2191" s="109"/>
      <c r="J2191" s="109"/>
      <c r="K2191" s="109"/>
      <c r="L2191" s="109" t="str">
        <f t="shared" si="34"/>
        <v>95-951900264</v>
      </c>
      <c r="M2191" s="114">
        <v>951900264</v>
      </c>
      <c r="N2191" s="114" t="s">
        <v>7780</v>
      </c>
    </row>
    <row r="2192" spans="1:14">
      <c r="A2192" t="s">
        <v>2495</v>
      </c>
      <c r="B2192" s="5" t="s">
        <v>3389</v>
      </c>
      <c r="I2192" s="109"/>
      <c r="J2192" s="109"/>
      <c r="K2192" s="109"/>
      <c r="L2192" s="109" t="str">
        <f t="shared" si="34"/>
        <v>96-961900015</v>
      </c>
      <c r="M2192" s="114">
        <v>961900015</v>
      </c>
      <c r="N2192" s="114" t="s">
        <v>7613</v>
      </c>
    </row>
    <row r="2193" spans="1:14">
      <c r="A2193" t="s">
        <v>2483</v>
      </c>
      <c r="B2193" s="5" t="s">
        <v>3389</v>
      </c>
      <c r="I2193" s="109"/>
      <c r="J2193" s="109"/>
      <c r="K2193" s="109"/>
      <c r="L2193" s="109" t="str">
        <f t="shared" si="34"/>
        <v>96-961900016</v>
      </c>
      <c r="M2193" s="114">
        <v>961900016</v>
      </c>
      <c r="N2193" s="114" t="s">
        <v>7613</v>
      </c>
    </row>
    <row r="2194" spans="1:14">
      <c r="A2194" t="s">
        <v>2484</v>
      </c>
      <c r="B2194" s="5" t="s">
        <v>3389</v>
      </c>
      <c r="I2194" s="109"/>
      <c r="J2194" s="109"/>
      <c r="K2194" s="109"/>
      <c r="L2194" s="109" t="str">
        <f t="shared" si="34"/>
        <v>96-961900028</v>
      </c>
      <c r="M2194" s="114">
        <v>961900028</v>
      </c>
      <c r="N2194" s="114" t="s">
        <v>7786</v>
      </c>
    </row>
    <row r="2195" spans="1:14">
      <c r="A2195" t="s">
        <v>2485</v>
      </c>
      <c r="B2195" s="5" t="s">
        <v>3389</v>
      </c>
      <c r="I2195" s="109"/>
      <c r="J2195" s="109"/>
      <c r="K2195" s="109"/>
      <c r="L2195" s="109" t="str">
        <f t="shared" si="34"/>
        <v>96-961900032</v>
      </c>
      <c r="M2195" s="114">
        <v>961900032</v>
      </c>
      <c r="N2195" s="114" t="s">
        <v>7614</v>
      </c>
    </row>
    <row r="2196" spans="1:14">
      <c r="A2196" t="s">
        <v>2496</v>
      </c>
      <c r="B2196" s="5" t="s">
        <v>3389</v>
      </c>
      <c r="I2196" s="109"/>
      <c r="J2196" s="109"/>
      <c r="K2196" s="109"/>
      <c r="L2196" s="109" t="str">
        <f t="shared" si="34"/>
        <v>96-961900053</v>
      </c>
      <c r="M2196" s="114">
        <v>961900053</v>
      </c>
      <c r="N2196" s="114" t="s">
        <v>7615</v>
      </c>
    </row>
    <row r="2197" spans="1:14">
      <c r="A2197" t="s">
        <v>2487</v>
      </c>
      <c r="B2197" s="5" t="s">
        <v>3389</v>
      </c>
      <c r="I2197" s="109"/>
      <c r="J2197" s="109"/>
      <c r="K2197" s="109"/>
      <c r="L2197" s="109" t="str">
        <f t="shared" si="34"/>
        <v>96-961700029</v>
      </c>
      <c r="M2197" s="114">
        <v>961700029</v>
      </c>
      <c r="N2197" s="114" t="s">
        <v>8254</v>
      </c>
    </row>
    <row r="2198" spans="1:14">
      <c r="A2198" t="s">
        <v>2486</v>
      </c>
      <c r="B2198" s="5" t="s">
        <v>3389</v>
      </c>
      <c r="I2198" s="109"/>
      <c r="J2198" s="109"/>
      <c r="K2198" s="109"/>
      <c r="L2198" s="109" t="str">
        <f t="shared" si="34"/>
        <v>96-961700078</v>
      </c>
      <c r="M2198" s="114">
        <v>961700078</v>
      </c>
      <c r="N2198" s="114" t="s">
        <v>7159</v>
      </c>
    </row>
    <row r="2199" spans="1:14">
      <c r="A2199" t="s">
        <v>2488</v>
      </c>
      <c r="B2199" s="5" t="s">
        <v>3389</v>
      </c>
      <c r="I2199" s="109"/>
      <c r="J2199" s="109"/>
      <c r="K2199" s="109"/>
      <c r="L2199" s="109" t="str">
        <f t="shared" si="34"/>
        <v>95-951300002</v>
      </c>
      <c r="M2199" s="114">
        <v>951300002</v>
      </c>
      <c r="N2199" s="114" t="s">
        <v>8288</v>
      </c>
    </row>
    <row r="2200" spans="1:14">
      <c r="A2200" t="s">
        <v>2489</v>
      </c>
      <c r="B2200" s="5" t="s">
        <v>3389</v>
      </c>
      <c r="I2200" s="109"/>
      <c r="J2200" s="109"/>
      <c r="K2200" s="109"/>
      <c r="L2200" s="109" t="str">
        <f t="shared" si="34"/>
        <v>95-951400078</v>
      </c>
      <c r="M2200" s="114">
        <v>951400078</v>
      </c>
      <c r="N2200" s="114" t="s">
        <v>7793</v>
      </c>
    </row>
    <row r="2201" spans="1:14">
      <c r="A2201" t="s">
        <v>2473</v>
      </c>
      <c r="B2201" s="5" t="s">
        <v>3389</v>
      </c>
      <c r="I2201" s="109"/>
      <c r="J2201" s="109"/>
      <c r="K2201" s="109"/>
      <c r="L2201" s="109" t="str">
        <f t="shared" si="34"/>
        <v>95-951600021</v>
      </c>
      <c r="M2201" s="114">
        <v>951600021</v>
      </c>
      <c r="N2201" s="114" t="s">
        <v>7631</v>
      </c>
    </row>
    <row r="2202" spans="1:14">
      <c r="A2202" t="s">
        <v>2474</v>
      </c>
      <c r="B2202" s="5" t="s">
        <v>3389</v>
      </c>
      <c r="I2202" s="109"/>
      <c r="J2202" s="109"/>
      <c r="K2202" s="109"/>
      <c r="L2202" s="109" t="str">
        <f t="shared" si="34"/>
        <v>95-951900062</v>
      </c>
      <c r="M2202" s="114">
        <v>951900062</v>
      </c>
      <c r="N2202" s="114" t="s">
        <v>8331</v>
      </c>
    </row>
    <row r="2203" spans="1:14">
      <c r="A2203" t="s">
        <v>2491</v>
      </c>
      <c r="B2203" s="5" t="s">
        <v>3389</v>
      </c>
      <c r="I2203" s="109"/>
      <c r="J2203" s="109"/>
      <c r="K2203" s="109"/>
      <c r="L2203" s="109" t="str">
        <f t="shared" si="34"/>
        <v>95-951900189</v>
      </c>
      <c r="M2203" s="114">
        <v>951900189</v>
      </c>
      <c r="N2203" s="114" t="s">
        <v>7630</v>
      </c>
    </row>
    <row r="2204" spans="1:14">
      <c r="A2204" t="s">
        <v>2492</v>
      </c>
      <c r="B2204" s="5" t="s">
        <v>3389</v>
      </c>
      <c r="I2204" s="109"/>
      <c r="J2204" s="109"/>
      <c r="K2204" s="109"/>
      <c r="L2204" s="109" t="str">
        <f t="shared" si="34"/>
        <v>96-961900071</v>
      </c>
      <c r="M2204" s="114">
        <v>961900071</v>
      </c>
      <c r="N2204" s="114" t="s">
        <v>8332</v>
      </c>
    </row>
    <row r="2205" spans="1:14">
      <c r="A2205" t="s">
        <v>2494</v>
      </c>
      <c r="B2205" s="5" t="s">
        <v>3389</v>
      </c>
      <c r="I2205" s="109"/>
      <c r="J2205" s="109"/>
      <c r="K2205" s="109"/>
      <c r="L2205" s="109" t="str">
        <f t="shared" si="34"/>
        <v>95-951800045</v>
      </c>
      <c r="M2205" s="114">
        <v>951800045</v>
      </c>
      <c r="N2205" s="114" t="s">
        <v>8333</v>
      </c>
    </row>
    <row r="2206" spans="1:14">
      <c r="A2206" t="s">
        <v>2493</v>
      </c>
      <c r="B2206" s="5" t="s">
        <v>3389</v>
      </c>
      <c r="I2206" s="109"/>
      <c r="J2206" s="109"/>
      <c r="K2206" s="109"/>
      <c r="L2206" s="109" t="str">
        <f t="shared" si="34"/>
        <v>95-951800088</v>
      </c>
      <c r="M2206" s="114">
        <v>951800088</v>
      </c>
      <c r="N2206" s="114" t="s">
        <v>7834</v>
      </c>
    </row>
    <row r="2207" spans="1:14">
      <c r="A2207" t="s">
        <v>1923</v>
      </c>
      <c r="B2207" s="5" t="s">
        <v>3484</v>
      </c>
      <c r="I2207" s="109"/>
      <c r="J2207" s="109"/>
      <c r="K2207" s="109"/>
      <c r="L2207" s="109" t="str">
        <f t="shared" si="34"/>
        <v>96-961900067</v>
      </c>
      <c r="M2207" s="114">
        <v>961900067</v>
      </c>
      <c r="N2207" s="114" t="s">
        <v>7616</v>
      </c>
    </row>
    <row r="2208" spans="1:14">
      <c r="A2208" t="s">
        <v>2382</v>
      </c>
      <c r="B2208" s="5" t="s">
        <v>3484</v>
      </c>
      <c r="I2208" s="109"/>
      <c r="J2208" s="109"/>
      <c r="K2208" s="109"/>
      <c r="L2208" s="109" t="str">
        <f t="shared" si="34"/>
        <v>96-961900099</v>
      </c>
      <c r="M2208" s="114">
        <v>961900099</v>
      </c>
      <c r="N2208" s="114" t="s">
        <v>7787</v>
      </c>
    </row>
    <row r="2209" spans="1:14">
      <c r="A2209" t="s">
        <v>1907</v>
      </c>
      <c r="B2209" s="5" t="s">
        <v>3484</v>
      </c>
      <c r="I2209" s="109"/>
      <c r="J2209" s="109"/>
      <c r="K2209" s="109"/>
      <c r="L2209" s="109" t="str">
        <f t="shared" si="34"/>
        <v>96-961900101</v>
      </c>
      <c r="M2209" s="114">
        <v>961900101</v>
      </c>
      <c r="N2209" s="114" t="s">
        <v>7787</v>
      </c>
    </row>
    <row r="2210" spans="1:14">
      <c r="A2210" t="s">
        <v>2490</v>
      </c>
      <c r="B2210" s="5" t="s">
        <v>3484</v>
      </c>
      <c r="I2210" s="109"/>
      <c r="J2210" s="109"/>
      <c r="K2210" s="109"/>
      <c r="L2210" s="109" t="str">
        <f t="shared" si="34"/>
        <v>96-961800002</v>
      </c>
      <c r="M2210" s="114">
        <v>961800002</v>
      </c>
      <c r="N2210" s="114" t="s">
        <v>7788</v>
      </c>
    </row>
    <row r="2211" spans="1:14">
      <c r="A2211" t="s">
        <v>1924</v>
      </c>
      <c r="B2211" s="5" t="s">
        <v>3484</v>
      </c>
      <c r="I2211" s="109"/>
      <c r="J2211" s="109"/>
      <c r="K2211" s="109"/>
      <c r="L2211" s="109" t="str">
        <f t="shared" si="34"/>
        <v>95-956100013</v>
      </c>
      <c r="M2211" s="114">
        <v>956100013</v>
      </c>
      <c r="N2211" s="114" t="s">
        <v>7789</v>
      </c>
    </row>
    <row r="2212" spans="1:14">
      <c r="A2212" t="s">
        <v>1908</v>
      </c>
      <c r="B2212" s="5" t="s">
        <v>3484</v>
      </c>
      <c r="I2212" s="109"/>
      <c r="J2212" s="109"/>
      <c r="K2212" s="109"/>
      <c r="L2212" s="109" t="str">
        <f t="shared" si="34"/>
        <v>95-951700353</v>
      </c>
      <c r="M2212" s="114">
        <v>951700353</v>
      </c>
      <c r="N2212" s="114" t="s">
        <v>7486</v>
      </c>
    </row>
    <row r="2213" spans="1:14">
      <c r="A2213" t="s">
        <v>1942</v>
      </c>
      <c r="B2213" s="5" t="s">
        <v>3484</v>
      </c>
      <c r="I2213" s="109"/>
      <c r="J2213" s="109"/>
      <c r="K2213" s="109"/>
      <c r="L2213" s="109" t="str">
        <f t="shared" si="34"/>
        <v>95-951800030</v>
      </c>
      <c r="M2213" s="114">
        <v>951800030</v>
      </c>
      <c r="N2213" s="114" t="s">
        <v>7487</v>
      </c>
    </row>
    <row r="2214" spans="1:14">
      <c r="A2214" t="s">
        <v>2242</v>
      </c>
      <c r="B2214" s="5" t="s">
        <v>3484</v>
      </c>
      <c r="I2214" s="109"/>
      <c r="J2214" s="109"/>
      <c r="K2214" s="109"/>
      <c r="L2214" s="109" t="str">
        <f t="shared" si="34"/>
        <v>95-956100021</v>
      </c>
      <c r="M2214" s="114">
        <v>956100021</v>
      </c>
      <c r="N2214" s="114" t="s">
        <v>7488</v>
      </c>
    </row>
    <row r="2215" spans="1:14">
      <c r="A2215" t="s">
        <v>2241</v>
      </c>
      <c r="B2215" s="5" t="s">
        <v>3484</v>
      </c>
      <c r="I2215" s="109"/>
      <c r="J2215" s="109"/>
      <c r="K2215" s="109"/>
      <c r="L2215" s="109" t="str">
        <f t="shared" si="34"/>
        <v>96-961700041</v>
      </c>
      <c r="M2215" s="114">
        <v>961700041</v>
      </c>
      <c r="N2215" s="114" t="s">
        <v>7691</v>
      </c>
    </row>
    <row r="2216" spans="1:14">
      <c r="A2216" t="s">
        <v>2127</v>
      </c>
      <c r="B2216" s="5" t="s">
        <v>3484</v>
      </c>
      <c r="I2216" s="109"/>
      <c r="J2216" s="109"/>
      <c r="K2216" s="109"/>
      <c r="L2216" s="109" t="str">
        <f t="shared" si="34"/>
        <v>95-951700181</v>
      </c>
      <c r="M2216" s="114">
        <v>951700181</v>
      </c>
      <c r="N2216" s="114" t="s">
        <v>7643</v>
      </c>
    </row>
    <row r="2217" spans="1:14">
      <c r="A2217" t="s">
        <v>2089</v>
      </c>
      <c r="B2217" s="5" t="s">
        <v>3484</v>
      </c>
      <c r="I2217" s="109"/>
      <c r="J2217" s="109"/>
      <c r="K2217" s="109"/>
      <c r="L2217" s="109" t="str">
        <f t="shared" si="34"/>
        <v>95-951700183</v>
      </c>
      <c r="M2217" s="114">
        <v>951700183</v>
      </c>
      <c r="N2217" s="114" t="s">
        <v>7643</v>
      </c>
    </row>
    <row r="2218" spans="1:14">
      <c r="A2218" t="s">
        <v>2373</v>
      </c>
      <c r="B2218" s="5" t="s">
        <v>3484</v>
      </c>
      <c r="I2218" s="109"/>
      <c r="J2218" s="109"/>
      <c r="K2218" s="109"/>
      <c r="L2218" s="109" t="str">
        <f t="shared" si="34"/>
        <v>95-951700198</v>
      </c>
      <c r="M2218" s="114">
        <v>951700198</v>
      </c>
      <c r="N2218" s="114" t="s">
        <v>7642</v>
      </c>
    </row>
    <row r="2219" spans="1:14">
      <c r="A2219" t="s">
        <v>1918</v>
      </c>
      <c r="B2219" s="5" t="s">
        <v>3484</v>
      </c>
      <c r="I2219" s="109"/>
      <c r="J2219" s="109"/>
      <c r="K2219" s="109"/>
      <c r="L2219" s="109" t="str">
        <f t="shared" si="34"/>
        <v>95-951700200</v>
      </c>
      <c r="M2219" s="114">
        <v>951700200</v>
      </c>
      <c r="N2219" s="114" t="s">
        <v>8346</v>
      </c>
    </row>
    <row r="2220" spans="1:14">
      <c r="A2220" t="s">
        <v>2126</v>
      </c>
      <c r="B2220" s="5" t="s">
        <v>3484</v>
      </c>
      <c r="I2220" s="109"/>
      <c r="J2220" s="109"/>
      <c r="K2220" s="109"/>
      <c r="L2220" s="109" t="str">
        <f t="shared" si="34"/>
        <v>96-961700076</v>
      </c>
      <c r="M2220" s="114">
        <v>961700076</v>
      </c>
      <c r="N2220" s="114" t="s">
        <v>7159</v>
      </c>
    </row>
    <row r="2221" spans="1:14">
      <c r="A2221" t="s">
        <v>2122</v>
      </c>
      <c r="B2221" s="5" t="s">
        <v>3484</v>
      </c>
      <c r="I2221" s="109"/>
      <c r="J2221" s="109"/>
      <c r="K2221" s="109"/>
      <c r="L2221" s="109" t="str">
        <f t="shared" si="34"/>
        <v>95-951400076</v>
      </c>
      <c r="M2221" s="114">
        <v>951400076</v>
      </c>
      <c r="N2221" s="114" t="s">
        <v>7793</v>
      </c>
    </row>
    <row r="2222" spans="1:14">
      <c r="A2222" t="s">
        <v>2143</v>
      </c>
      <c r="B2222" s="5" t="s">
        <v>3484</v>
      </c>
      <c r="I2222" s="109"/>
      <c r="J2222" s="109"/>
      <c r="K2222" s="109"/>
      <c r="L2222" s="109" t="str">
        <f t="shared" si="34"/>
        <v>95-951400094</v>
      </c>
      <c r="M2222" s="114">
        <v>951400094</v>
      </c>
      <c r="N2222" s="114" t="s">
        <v>7492</v>
      </c>
    </row>
    <row r="2223" spans="1:14">
      <c r="A2223" t="s">
        <v>2264</v>
      </c>
      <c r="B2223" s="5" t="s">
        <v>3484</v>
      </c>
      <c r="I2223" s="109"/>
      <c r="J2223" s="109"/>
      <c r="K2223" s="109"/>
      <c r="L2223" s="109" t="str">
        <f t="shared" si="34"/>
        <v>95-951700165</v>
      </c>
      <c r="M2223" s="114">
        <v>951700165</v>
      </c>
      <c r="N2223" s="114" t="s">
        <v>7493</v>
      </c>
    </row>
    <row r="2224" spans="1:14">
      <c r="A2224" t="s">
        <v>2144</v>
      </c>
      <c r="B2224" s="5" t="s">
        <v>3484</v>
      </c>
      <c r="I2224" s="109"/>
      <c r="J2224" s="109"/>
      <c r="K2224" s="109"/>
      <c r="L2224" s="109" t="str">
        <f t="shared" si="34"/>
        <v>95-951400034</v>
      </c>
      <c r="M2224" s="114">
        <v>951400034</v>
      </c>
      <c r="N2224" s="114" t="s">
        <v>7494</v>
      </c>
    </row>
    <row r="2225" spans="1:14">
      <c r="A2225" t="s">
        <v>1910</v>
      </c>
      <c r="B2225" s="5" t="s">
        <v>3484</v>
      </c>
      <c r="I2225" s="109"/>
      <c r="J2225" s="109"/>
      <c r="K2225" s="109"/>
      <c r="L2225" s="109" t="str">
        <f t="shared" si="34"/>
        <v>95-956200236</v>
      </c>
      <c r="M2225" s="114">
        <v>956200236</v>
      </c>
      <c r="N2225" s="114" t="s">
        <v>7495</v>
      </c>
    </row>
    <row r="2226" spans="1:14">
      <c r="A2226" t="s">
        <v>1909</v>
      </c>
      <c r="B2226" s="5" t="s">
        <v>3484</v>
      </c>
      <c r="I2226" s="109"/>
      <c r="J2226" s="109"/>
      <c r="K2226" s="109"/>
      <c r="L2226" s="109" t="str">
        <f t="shared" si="34"/>
        <v>95-951700275</v>
      </c>
      <c r="M2226" s="114">
        <v>951700275</v>
      </c>
      <c r="N2226" s="114" t="s">
        <v>7843</v>
      </c>
    </row>
    <row r="2227" spans="1:14">
      <c r="A2227" t="s">
        <v>1911</v>
      </c>
      <c r="B2227" s="5" t="s">
        <v>3484</v>
      </c>
      <c r="I2227" s="109"/>
      <c r="J2227" s="109"/>
      <c r="K2227" s="109"/>
      <c r="L2227" s="109" t="str">
        <f t="shared" si="34"/>
        <v>95-951700296</v>
      </c>
      <c r="M2227" s="114">
        <v>951700296</v>
      </c>
      <c r="N2227" s="114" t="s">
        <v>8262</v>
      </c>
    </row>
    <row r="2228" spans="1:14">
      <c r="A2228" t="s">
        <v>2125</v>
      </c>
      <c r="B2228" s="5" t="s">
        <v>3484</v>
      </c>
      <c r="I2228" s="109"/>
      <c r="J2228" s="109"/>
      <c r="K2228" s="109"/>
      <c r="L2228" s="109" t="str">
        <f t="shared" si="34"/>
        <v>96-966100016</v>
      </c>
      <c r="M2228" s="114">
        <v>966100016</v>
      </c>
      <c r="N2228" s="114" t="s">
        <v>7644</v>
      </c>
    </row>
    <row r="2229" spans="1:14">
      <c r="A2229" t="s">
        <v>2146</v>
      </c>
      <c r="B2229" s="5" t="s">
        <v>3484</v>
      </c>
      <c r="I2229" s="109"/>
      <c r="J2229" s="109"/>
      <c r="K2229" s="109"/>
      <c r="L2229" s="109" t="str">
        <f t="shared" si="34"/>
        <v>95-951800066</v>
      </c>
      <c r="M2229" s="114">
        <v>951800066</v>
      </c>
      <c r="N2229" s="114" t="s">
        <v>8350</v>
      </c>
    </row>
    <row r="2230" spans="1:14">
      <c r="A2230" t="s">
        <v>1919</v>
      </c>
      <c r="B2230" s="5" t="s">
        <v>3484</v>
      </c>
      <c r="I2230" s="109"/>
      <c r="J2230" s="109"/>
      <c r="K2230" s="109"/>
      <c r="L2230" s="109" t="str">
        <f t="shared" si="34"/>
        <v>96-961800005</v>
      </c>
      <c r="M2230" s="114">
        <v>961800005</v>
      </c>
      <c r="N2230" s="114" t="s">
        <v>8351</v>
      </c>
    </row>
    <row r="2231" spans="1:14">
      <c r="A2231" t="s">
        <v>2463</v>
      </c>
      <c r="B2231" s="5" t="s">
        <v>3484</v>
      </c>
      <c r="I2231" s="109"/>
      <c r="J2231" s="109"/>
      <c r="K2231" s="109"/>
      <c r="L2231" s="109" t="str">
        <f t="shared" si="34"/>
        <v>95-951900235</v>
      </c>
      <c r="M2231" s="114">
        <v>951900235</v>
      </c>
      <c r="N2231" s="114" t="s">
        <v>8352</v>
      </c>
    </row>
    <row r="2232" spans="1:14">
      <c r="A2232" t="s">
        <v>2233</v>
      </c>
      <c r="B2232" s="5" t="s">
        <v>3484</v>
      </c>
      <c r="I2232" s="109"/>
      <c r="J2232" s="109"/>
      <c r="K2232" s="109"/>
      <c r="L2232" s="109" t="str">
        <f t="shared" si="34"/>
        <v>96-961900154</v>
      </c>
      <c r="M2232" s="114">
        <v>961900154</v>
      </c>
      <c r="N2232" s="114" t="s">
        <v>8353</v>
      </c>
    </row>
    <row r="2233" spans="1:14">
      <c r="A2233" t="s">
        <v>1903</v>
      </c>
      <c r="B2233" s="5" t="s">
        <v>3484</v>
      </c>
      <c r="I2233" s="109"/>
      <c r="J2233" s="109"/>
      <c r="K2233" s="109"/>
      <c r="L2233" s="109" t="str">
        <f t="shared" si="34"/>
        <v>95-951800143</v>
      </c>
      <c r="M2233" s="114">
        <v>951800143</v>
      </c>
      <c r="N2233" s="114" t="s">
        <v>7496</v>
      </c>
    </row>
    <row r="2234" spans="1:14">
      <c r="A2234" t="s">
        <v>2333</v>
      </c>
      <c r="B2234" s="5" t="s">
        <v>3484</v>
      </c>
      <c r="I2234" s="109"/>
      <c r="J2234" s="109"/>
      <c r="K2234" s="109"/>
      <c r="L2234" s="109" t="str">
        <f t="shared" si="34"/>
        <v>95-951900203</v>
      </c>
      <c r="M2234" s="114">
        <v>951900203</v>
      </c>
      <c r="N2234" s="114" t="s">
        <v>7176</v>
      </c>
    </row>
    <row r="2235" spans="1:14">
      <c r="A2235" t="s">
        <v>2464</v>
      </c>
      <c r="B2235" s="5" t="s">
        <v>3484</v>
      </c>
      <c r="I2235" s="109"/>
      <c r="J2235" s="109"/>
      <c r="K2235" s="109"/>
      <c r="L2235" s="109" t="str">
        <f t="shared" si="34"/>
        <v>95-951800106</v>
      </c>
      <c r="M2235" s="114">
        <v>951800106</v>
      </c>
      <c r="N2235" s="114" t="s">
        <v>7626</v>
      </c>
    </row>
    <row r="2236" spans="1:14">
      <c r="A2236" t="s">
        <v>2256</v>
      </c>
      <c r="B2236" s="5" t="s">
        <v>3484</v>
      </c>
      <c r="I2236" s="109"/>
      <c r="J2236" s="109"/>
      <c r="K2236" s="109"/>
      <c r="L2236" s="109" t="str">
        <f t="shared" si="34"/>
        <v>96-961900151</v>
      </c>
      <c r="M2236" s="114">
        <v>961900151</v>
      </c>
      <c r="N2236" s="114" t="s">
        <v>7794</v>
      </c>
    </row>
    <row r="2237" spans="1:14">
      <c r="A2237" t="s">
        <v>2384</v>
      </c>
      <c r="B2237" s="5" t="s">
        <v>3484</v>
      </c>
      <c r="I2237" s="109"/>
      <c r="J2237" s="109"/>
      <c r="K2237" s="109"/>
      <c r="L2237" s="109" t="str">
        <f t="shared" si="34"/>
        <v>95-951700025</v>
      </c>
      <c r="M2237" s="114">
        <v>951700025</v>
      </c>
      <c r="N2237" s="114" t="s">
        <v>7795</v>
      </c>
    </row>
    <row r="2238" spans="1:14">
      <c r="A2238" t="s">
        <v>2162</v>
      </c>
      <c r="B2238" s="5" t="s">
        <v>3484</v>
      </c>
      <c r="I2238" s="109"/>
      <c r="J2238" s="109"/>
      <c r="K2238" s="109"/>
      <c r="L2238" s="109" t="str">
        <f t="shared" si="34"/>
        <v>95-951700048</v>
      </c>
      <c r="M2238" s="114">
        <v>951700048</v>
      </c>
      <c r="N2238" s="114" t="s">
        <v>7796</v>
      </c>
    </row>
    <row r="2239" spans="1:14">
      <c r="A2239" t="s">
        <v>2239</v>
      </c>
      <c r="B2239" s="5" t="s">
        <v>3484</v>
      </c>
      <c r="I2239" s="109"/>
      <c r="J2239" s="109"/>
      <c r="K2239" s="109"/>
      <c r="L2239" s="109" t="str">
        <f t="shared" si="34"/>
        <v>95-951900086</v>
      </c>
      <c r="M2239" s="114">
        <v>951900086</v>
      </c>
      <c r="N2239" s="114" t="s">
        <v>7848</v>
      </c>
    </row>
    <row r="2240" spans="1:14">
      <c r="A2240" t="s">
        <v>2141</v>
      </c>
      <c r="B2240" s="5" t="s">
        <v>3484</v>
      </c>
      <c r="I2240" s="109"/>
      <c r="J2240" s="109"/>
      <c r="K2240" s="109"/>
      <c r="L2240" s="109" t="str">
        <f t="shared" si="34"/>
        <v>95-951700140</v>
      </c>
      <c r="M2240" s="114">
        <v>951700140</v>
      </c>
      <c r="N2240" s="114" t="s">
        <v>7809</v>
      </c>
    </row>
    <row r="2241" spans="1:14">
      <c r="A2241" t="s">
        <v>1914</v>
      </c>
      <c r="B2241" s="5" t="s">
        <v>3484</v>
      </c>
      <c r="I2241" s="109"/>
      <c r="J2241" s="109"/>
      <c r="K2241" s="109"/>
      <c r="L2241" s="109" t="str">
        <f t="shared" si="34"/>
        <v>96-966200291</v>
      </c>
      <c r="M2241" s="114">
        <v>966200291</v>
      </c>
      <c r="N2241" s="114" t="s">
        <v>8362</v>
      </c>
    </row>
    <row r="2242" spans="1:14">
      <c r="A2242" t="s">
        <v>1917</v>
      </c>
      <c r="B2242" s="5" t="s">
        <v>3484</v>
      </c>
      <c r="I2242" s="109"/>
      <c r="J2242" s="109"/>
      <c r="K2242" s="109"/>
      <c r="L2242" s="109" t="str">
        <f t="shared" si="34"/>
        <v>95-951900026</v>
      </c>
      <c r="M2242" s="114">
        <v>951900026</v>
      </c>
      <c r="N2242" s="114" t="s">
        <v>8363</v>
      </c>
    </row>
    <row r="2243" spans="1:14">
      <c r="A2243" t="s">
        <v>2266</v>
      </c>
      <c r="B2243" s="5" t="s">
        <v>3484</v>
      </c>
      <c r="I2243" s="109"/>
      <c r="J2243" s="109"/>
      <c r="K2243" s="109"/>
      <c r="L2243" s="109" t="str">
        <f t="shared" ref="L2243:L2306" si="35">MID(M2243,1,2)&amp;"-"&amp;M2243</f>
        <v>95-951800057</v>
      </c>
      <c r="M2243" s="114">
        <v>951800057</v>
      </c>
      <c r="N2243" s="114" t="s">
        <v>8364</v>
      </c>
    </row>
    <row r="2244" spans="1:14">
      <c r="A2244" t="s">
        <v>2268</v>
      </c>
      <c r="B2244" s="5" t="s">
        <v>3484</v>
      </c>
      <c r="I2244" s="109"/>
      <c r="J2244" s="109"/>
      <c r="K2244" s="109"/>
      <c r="L2244" s="109" t="str">
        <f t="shared" si="35"/>
        <v>95-951300007</v>
      </c>
      <c r="M2244" s="114">
        <v>951300007</v>
      </c>
      <c r="N2244" s="114" t="s">
        <v>8283</v>
      </c>
    </row>
    <row r="2245" spans="1:14">
      <c r="A2245" t="s">
        <v>2175</v>
      </c>
      <c r="B2245" s="5" t="s">
        <v>3484</v>
      </c>
      <c r="I2245" s="109"/>
      <c r="J2245" s="109"/>
      <c r="K2245" s="109"/>
      <c r="L2245" s="109" t="str">
        <f t="shared" si="35"/>
        <v>96-966200135</v>
      </c>
      <c r="M2245" s="114">
        <v>966200135</v>
      </c>
      <c r="N2245" s="114" t="s">
        <v>8369</v>
      </c>
    </row>
    <row r="2246" spans="1:14">
      <c r="A2246" t="s">
        <v>2174</v>
      </c>
      <c r="B2246" s="5" t="s">
        <v>3484</v>
      </c>
      <c r="I2246" s="109"/>
      <c r="J2246" s="109"/>
      <c r="K2246" s="109"/>
      <c r="L2246" s="109" t="str">
        <f t="shared" si="35"/>
        <v>95-951700110</v>
      </c>
      <c r="M2246" s="114">
        <v>951700110</v>
      </c>
      <c r="N2246" s="114" t="s">
        <v>7858</v>
      </c>
    </row>
    <row r="2247" spans="1:14">
      <c r="A2247" t="s">
        <v>2261</v>
      </c>
      <c r="B2247" s="5" t="s">
        <v>3484</v>
      </c>
      <c r="I2247" s="109"/>
      <c r="J2247" s="109"/>
      <c r="K2247" s="109"/>
      <c r="L2247" s="109" t="str">
        <f t="shared" si="35"/>
        <v>95-951600066</v>
      </c>
      <c r="M2247" s="114">
        <v>951600066</v>
      </c>
      <c r="N2247" s="114" t="s">
        <v>7874</v>
      </c>
    </row>
    <row r="2248" spans="1:14">
      <c r="A2248" t="s">
        <v>2234</v>
      </c>
      <c r="B2248" s="5" t="s">
        <v>3484</v>
      </c>
      <c r="I2248" s="109"/>
      <c r="J2248" s="109"/>
      <c r="K2248" s="109"/>
      <c r="L2248" s="109" t="str">
        <f t="shared" si="35"/>
        <v>95-951900197</v>
      </c>
      <c r="M2248" s="114">
        <v>951900197</v>
      </c>
      <c r="N2248" s="114" t="s">
        <v>7497</v>
      </c>
    </row>
    <row r="2249" spans="1:14">
      <c r="A2249" t="s">
        <v>1912</v>
      </c>
      <c r="B2249" s="5" t="s">
        <v>3484</v>
      </c>
      <c r="I2249" s="109"/>
      <c r="J2249" s="109"/>
      <c r="K2249" s="109"/>
      <c r="L2249" s="109" t="str">
        <f t="shared" si="35"/>
        <v>96-961400001</v>
      </c>
      <c r="M2249" s="114">
        <v>961400001</v>
      </c>
      <c r="N2249" s="114" t="s">
        <v>7500</v>
      </c>
    </row>
    <row r="2250" spans="1:14">
      <c r="A2250" t="s">
        <v>2269</v>
      </c>
      <c r="B2250" s="5" t="s">
        <v>3484</v>
      </c>
      <c r="I2250" s="109"/>
      <c r="J2250" s="109"/>
      <c r="K2250" s="109"/>
      <c r="L2250" s="109" t="str">
        <f t="shared" si="35"/>
        <v>96-961400015</v>
      </c>
      <c r="M2250" s="114">
        <v>961400015</v>
      </c>
      <c r="N2250" s="114" t="s">
        <v>7501</v>
      </c>
    </row>
    <row r="2251" spans="1:14">
      <c r="A2251" t="s">
        <v>2267</v>
      </c>
      <c r="B2251" s="5" t="s">
        <v>3484</v>
      </c>
      <c r="I2251" s="109"/>
      <c r="J2251" s="109"/>
      <c r="K2251" s="109"/>
      <c r="L2251" s="109" t="str">
        <f t="shared" si="35"/>
        <v>96-961800007</v>
      </c>
      <c r="M2251" s="114">
        <v>961800007</v>
      </c>
      <c r="N2251" s="114" t="s">
        <v>7753</v>
      </c>
    </row>
    <row r="2252" spans="1:14">
      <c r="A2252" t="s">
        <v>2257</v>
      </c>
      <c r="B2252" s="5" t="s">
        <v>3484</v>
      </c>
      <c r="I2252" s="109"/>
      <c r="J2252" s="109"/>
      <c r="K2252" s="109"/>
      <c r="L2252" s="109" t="str">
        <f t="shared" si="35"/>
        <v>95-951800047</v>
      </c>
      <c r="M2252" s="114">
        <v>951800047</v>
      </c>
      <c r="N2252" s="114" t="s">
        <v>7802</v>
      </c>
    </row>
    <row r="2253" spans="1:14">
      <c r="A2253" t="s">
        <v>2244</v>
      </c>
      <c r="B2253" s="5" t="s">
        <v>3484</v>
      </c>
      <c r="I2253" s="109"/>
      <c r="J2253" s="109"/>
      <c r="K2253" s="109"/>
      <c r="L2253" s="109" t="str">
        <f t="shared" si="35"/>
        <v>95-951700184</v>
      </c>
      <c r="M2253" s="114">
        <v>951700184</v>
      </c>
      <c r="N2253" s="114" t="s">
        <v>7643</v>
      </c>
    </row>
    <row r="2254" spans="1:14">
      <c r="A2254" t="s">
        <v>2259</v>
      </c>
      <c r="B2254" s="5" t="s">
        <v>3484</v>
      </c>
      <c r="I2254" s="109"/>
      <c r="J2254" s="109"/>
      <c r="K2254" s="109"/>
      <c r="L2254" s="109" t="str">
        <f t="shared" si="35"/>
        <v>95-951700278</v>
      </c>
      <c r="M2254" s="114">
        <v>951700278</v>
      </c>
      <c r="N2254" s="114" t="s">
        <v>7643</v>
      </c>
    </row>
    <row r="2255" spans="1:14">
      <c r="A2255" t="s">
        <v>2243</v>
      </c>
      <c r="B2255" s="5" t="s">
        <v>3484</v>
      </c>
      <c r="I2255" s="109"/>
      <c r="J2255" s="109"/>
      <c r="K2255" s="109"/>
      <c r="L2255" s="109" t="str">
        <f t="shared" si="35"/>
        <v>96-966100006</v>
      </c>
      <c r="M2255" s="114">
        <v>966100006</v>
      </c>
      <c r="N2255" s="114" t="s">
        <v>7644</v>
      </c>
    </row>
    <row r="2256" spans="1:14">
      <c r="A2256" t="s">
        <v>2311</v>
      </c>
      <c r="B2256" s="5" t="s">
        <v>3484</v>
      </c>
      <c r="I2256" s="109"/>
      <c r="J2256" s="109"/>
      <c r="K2256" s="109"/>
      <c r="L2256" s="109" t="str">
        <f t="shared" si="35"/>
        <v>95-952000059</v>
      </c>
      <c r="M2256" s="114">
        <v>952000059</v>
      </c>
      <c r="N2256" s="114" t="s">
        <v>7331</v>
      </c>
    </row>
    <row r="2257" spans="1:14">
      <c r="A2257" t="s">
        <v>2236</v>
      </c>
      <c r="B2257" s="5" t="s">
        <v>3484</v>
      </c>
      <c r="I2257" s="109"/>
      <c r="J2257" s="109"/>
      <c r="K2257" s="109"/>
      <c r="L2257" s="109" t="str">
        <f t="shared" si="35"/>
        <v>95-951300018</v>
      </c>
      <c r="M2257" s="114">
        <v>951300018</v>
      </c>
      <c r="N2257" s="114" t="s">
        <v>8227</v>
      </c>
    </row>
    <row r="2258" spans="1:14">
      <c r="A2258" t="s">
        <v>2332</v>
      </c>
      <c r="B2258" s="5" t="s">
        <v>3484</v>
      </c>
      <c r="I2258" s="109"/>
      <c r="J2258" s="109"/>
      <c r="K2258" s="109"/>
      <c r="L2258" s="109" t="str">
        <f t="shared" si="35"/>
        <v>95-951300020</v>
      </c>
      <c r="M2258" s="114">
        <v>951300020</v>
      </c>
      <c r="N2258" s="114" t="s">
        <v>7818</v>
      </c>
    </row>
    <row r="2259" spans="1:14">
      <c r="A2259" t="s">
        <v>1913</v>
      </c>
      <c r="B2259" s="5" t="s">
        <v>3484</v>
      </c>
      <c r="I2259" s="109"/>
      <c r="J2259" s="109"/>
      <c r="K2259" s="109"/>
      <c r="L2259" s="109" t="str">
        <f t="shared" si="35"/>
        <v>95-951300033</v>
      </c>
      <c r="M2259" s="114">
        <v>951300033</v>
      </c>
      <c r="N2259" s="114" t="s">
        <v>7665</v>
      </c>
    </row>
    <row r="2260" spans="1:14">
      <c r="A2260" t="s">
        <v>2275</v>
      </c>
      <c r="B2260" s="5" t="s">
        <v>3484</v>
      </c>
      <c r="I2260" s="109"/>
      <c r="J2260" s="109"/>
      <c r="K2260" s="109"/>
      <c r="L2260" s="109" t="str">
        <f t="shared" si="35"/>
        <v>95-951900120</v>
      </c>
      <c r="M2260" s="114">
        <v>951900120</v>
      </c>
      <c r="N2260" s="114" t="s">
        <v>7808</v>
      </c>
    </row>
    <row r="2261" spans="1:14">
      <c r="A2261" t="s">
        <v>2260</v>
      </c>
      <c r="B2261" s="5" t="s">
        <v>3484</v>
      </c>
      <c r="I2261" s="109"/>
      <c r="J2261" s="109"/>
      <c r="K2261" s="109"/>
      <c r="L2261" s="109" t="str">
        <f t="shared" si="35"/>
        <v>95-951600028</v>
      </c>
      <c r="M2261" s="114">
        <v>951600028</v>
      </c>
      <c r="N2261" s="114" t="s">
        <v>8377</v>
      </c>
    </row>
    <row r="2262" spans="1:14">
      <c r="A2262" t="s">
        <v>2153</v>
      </c>
      <c r="B2262" s="5" t="s">
        <v>3484</v>
      </c>
      <c r="I2262" s="109"/>
      <c r="J2262" s="109"/>
      <c r="K2262" s="109"/>
      <c r="L2262" s="109" t="str">
        <f t="shared" si="35"/>
        <v>95-951700144</v>
      </c>
      <c r="M2262" s="114">
        <v>951700144</v>
      </c>
      <c r="N2262" s="114" t="s">
        <v>7582</v>
      </c>
    </row>
    <row r="2263" spans="1:14">
      <c r="A2263" t="s">
        <v>2238</v>
      </c>
      <c r="B2263" s="5" t="s">
        <v>3484</v>
      </c>
      <c r="I2263" s="109"/>
      <c r="J2263" s="109"/>
      <c r="K2263" s="109"/>
      <c r="L2263" s="109" t="str">
        <f t="shared" si="35"/>
        <v>96-961700025</v>
      </c>
      <c r="M2263" s="114">
        <v>961700025</v>
      </c>
      <c r="N2263" s="114" t="s">
        <v>7846</v>
      </c>
    </row>
    <row r="2264" spans="1:14">
      <c r="A2264" t="s">
        <v>2348</v>
      </c>
      <c r="B2264" s="5" t="s">
        <v>3484</v>
      </c>
      <c r="I2264" s="109"/>
      <c r="J2264" s="109"/>
      <c r="K2264" s="109"/>
      <c r="L2264" s="109" t="str">
        <f t="shared" si="35"/>
        <v>96-966100010</v>
      </c>
      <c r="M2264" s="114">
        <v>966100010</v>
      </c>
      <c r="N2264" s="114" t="s">
        <v>7644</v>
      </c>
    </row>
    <row r="2265" spans="1:14">
      <c r="A2265" t="s">
        <v>2148</v>
      </c>
      <c r="B2265" s="5" t="s">
        <v>3484</v>
      </c>
      <c r="I2265" s="109"/>
      <c r="J2265" s="109"/>
      <c r="K2265" s="109"/>
      <c r="L2265" s="109" t="str">
        <f t="shared" si="35"/>
        <v>95-951800012</v>
      </c>
      <c r="M2265" s="114">
        <v>951800012</v>
      </c>
      <c r="N2265" s="114" t="s">
        <v>7807</v>
      </c>
    </row>
    <row r="2266" spans="1:14">
      <c r="A2266" t="s">
        <v>2271</v>
      </c>
      <c r="B2266" s="5" t="s">
        <v>3484</v>
      </c>
      <c r="I2266" s="109"/>
      <c r="J2266" s="109"/>
      <c r="K2266" s="109"/>
      <c r="L2266" s="109" t="str">
        <f t="shared" si="35"/>
        <v>95-951900242</v>
      </c>
      <c r="M2266" s="114">
        <v>951900242</v>
      </c>
      <c r="N2266" s="114" t="s">
        <v>7645</v>
      </c>
    </row>
    <row r="2267" spans="1:14">
      <c r="A2267" t="s">
        <v>2150</v>
      </c>
      <c r="B2267" s="5" t="s">
        <v>3484</v>
      </c>
      <c r="I2267" s="109"/>
      <c r="J2267" s="109"/>
      <c r="K2267" s="109"/>
      <c r="L2267" s="109" t="str">
        <f t="shared" si="35"/>
        <v>95-951600018</v>
      </c>
      <c r="M2267" s="114">
        <v>951600018</v>
      </c>
      <c r="N2267" s="114" t="s">
        <v>7808</v>
      </c>
    </row>
    <row r="2268" spans="1:14">
      <c r="A2268" t="s">
        <v>2237</v>
      </c>
      <c r="B2268" s="5" t="s">
        <v>3484</v>
      </c>
      <c r="I2268" s="109"/>
      <c r="J2268" s="109"/>
      <c r="K2268" s="109"/>
      <c r="L2268" s="109" t="str">
        <f t="shared" si="35"/>
        <v>95-951700139</v>
      </c>
      <c r="M2268" s="114">
        <v>951700139</v>
      </c>
      <c r="N2268" s="114" t="s">
        <v>7809</v>
      </c>
    </row>
    <row r="2269" spans="1:14">
      <c r="A2269" t="s">
        <v>2265</v>
      </c>
      <c r="B2269" s="5" t="s">
        <v>3484</v>
      </c>
      <c r="I2269" s="109"/>
      <c r="J2269" s="109"/>
      <c r="K2269" s="109"/>
      <c r="L2269" s="109" t="str">
        <f t="shared" si="35"/>
        <v>95-951900164</v>
      </c>
      <c r="M2269" s="114">
        <v>951900164</v>
      </c>
      <c r="N2269" s="114" t="s">
        <v>7502</v>
      </c>
    </row>
    <row r="2270" spans="1:14">
      <c r="A2270" t="s">
        <v>2151</v>
      </c>
      <c r="B2270" s="5" t="s">
        <v>3484</v>
      </c>
      <c r="I2270" s="109"/>
      <c r="J2270" s="109"/>
      <c r="K2270" s="109"/>
      <c r="L2270" s="109" t="str">
        <f t="shared" si="35"/>
        <v>96-961800054</v>
      </c>
      <c r="M2270" s="114">
        <v>961800054</v>
      </c>
      <c r="N2270" s="114" t="s">
        <v>7135</v>
      </c>
    </row>
    <row r="2271" spans="1:14">
      <c r="A2271" t="s">
        <v>2152</v>
      </c>
      <c r="B2271" s="5" t="s">
        <v>3484</v>
      </c>
      <c r="I2271" s="109"/>
      <c r="J2271" s="109"/>
      <c r="K2271" s="109"/>
      <c r="L2271" s="109" t="str">
        <f t="shared" si="35"/>
        <v>95-951900214</v>
      </c>
      <c r="M2271" s="114">
        <v>951900214</v>
      </c>
      <c r="N2271" s="114" t="s">
        <v>7503</v>
      </c>
    </row>
    <row r="2272" spans="1:14">
      <c r="A2272" t="s">
        <v>2240</v>
      </c>
      <c r="B2272" s="5" t="s">
        <v>3484</v>
      </c>
      <c r="I2272" s="109"/>
      <c r="J2272" s="109"/>
      <c r="K2272" s="109"/>
      <c r="L2272" s="109" t="str">
        <f t="shared" si="35"/>
        <v>95-951700029</v>
      </c>
      <c r="M2272" s="114">
        <v>951700029</v>
      </c>
      <c r="N2272" s="114" t="s">
        <v>7504</v>
      </c>
    </row>
    <row r="2273" spans="1:14">
      <c r="A2273" t="s">
        <v>2276</v>
      </c>
      <c r="B2273" s="5" t="s">
        <v>3484</v>
      </c>
      <c r="I2273" s="109"/>
      <c r="J2273" s="109"/>
      <c r="K2273" s="109"/>
      <c r="L2273" s="109" t="str">
        <f t="shared" si="35"/>
        <v>95-951700148</v>
      </c>
      <c r="M2273" s="114">
        <v>951700148</v>
      </c>
      <c r="N2273" s="114" t="s">
        <v>7505</v>
      </c>
    </row>
    <row r="2274" spans="1:14">
      <c r="A2274" t="s">
        <v>2331</v>
      </c>
      <c r="B2274" s="5" t="s">
        <v>3484</v>
      </c>
      <c r="I2274" s="109"/>
      <c r="J2274" s="109"/>
      <c r="K2274" s="109"/>
      <c r="L2274" s="109" t="str">
        <f t="shared" si="35"/>
        <v>95-951700149</v>
      </c>
      <c r="M2274" s="114">
        <v>951700149</v>
      </c>
      <c r="N2274" s="114" t="s">
        <v>7505</v>
      </c>
    </row>
    <row r="2275" spans="1:14">
      <c r="A2275" t="s">
        <v>2347</v>
      </c>
      <c r="B2275" s="5" t="s">
        <v>3484</v>
      </c>
      <c r="I2275" s="109"/>
      <c r="J2275" s="109"/>
      <c r="K2275" s="109"/>
      <c r="L2275" s="109" t="str">
        <f t="shared" si="35"/>
        <v>95-951700161</v>
      </c>
      <c r="M2275" s="114">
        <v>951700161</v>
      </c>
      <c r="N2275" s="114" t="s">
        <v>7506</v>
      </c>
    </row>
    <row r="2276" spans="1:14">
      <c r="A2276" t="s">
        <v>2343</v>
      </c>
      <c r="B2276" s="5" t="s">
        <v>3484</v>
      </c>
      <c r="I2276" s="109"/>
      <c r="J2276" s="109"/>
      <c r="K2276" s="109"/>
      <c r="L2276" s="109" t="str">
        <f t="shared" si="35"/>
        <v>95-951700213</v>
      </c>
      <c r="M2276" s="114">
        <v>951700213</v>
      </c>
      <c r="N2276" s="114" t="s">
        <v>7507</v>
      </c>
    </row>
    <row r="2277" spans="1:14">
      <c r="A2277" t="s">
        <v>2375</v>
      </c>
      <c r="B2277" s="5" t="s">
        <v>3484</v>
      </c>
      <c r="I2277" s="109"/>
      <c r="J2277" s="109"/>
      <c r="K2277" s="109"/>
      <c r="L2277" s="109" t="str">
        <f t="shared" si="35"/>
        <v>95-951700241</v>
      </c>
      <c r="M2277" s="114">
        <v>951700241</v>
      </c>
      <c r="N2277" s="114" t="s">
        <v>7508</v>
      </c>
    </row>
    <row r="2278" spans="1:14">
      <c r="A2278" t="s">
        <v>2357</v>
      </c>
      <c r="B2278" s="5" t="s">
        <v>3484</v>
      </c>
      <c r="I2278" s="109"/>
      <c r="J2278" s="109"/>
      <c r="K2278" s="109"/>
      <c r="L2278" s="109" t="str">
        <f t="shared" si="35"/>
        <v>95-951700273</v>
      </c>
      <c r="M2278" s="114">
        <v>951700273</v>
      </c>
      <c r="N2278" s="114" t="s">
        <v>7507</v>
      </c>
    </row>
    <row r="2279" spans="1:14">
      <c r="A2279" t="s">
        <v>2351</v>
      </c>
      <c r="B2279" s="5" t="s">
        <v>3484</v>
      </c>
      <c r="I2279" s="109"/>
      <c r="J2279" s="109"/>
      <c r="K2279" s="109"/>
      <c r="L2279" s="109" t="str">
        <f t="shared" si="35"/>
        <v>95-951900119</v>
      </c>
      <c r="M2279" s="114">
        <v>951900119</v>
      </c>
      <c r="N2279" s="114" t="s">
        <v>7133</v>
      </c>
    </row>
    <row r="2280" spans="1:14">
      <c r="A2280" t="s">
        <v>2377</v>
      </c>
      <c r="B2280" s="5" t="s">
        <v>3484</v>
      </c>
      <c r="I2280" s="109"/>
      <c r="J2280" s="109"/>
      <c r="K2280" s="109"/>
      <c r="L2280" s="109" t="str">
        <f t="shared" si="35"/>
        <v>95-951600050</v>
      </c>
      <c r="M2280" s="114">
        <v>951600050</v>
      </c>
      <c r="N2280" s="114" t="s">
        <v>8380</v>
      </c>
    </row>
    <row r="2281" spans="1:14">
      <c r="A2281" t="s">
        <v>2385</v>
      </c>
      <c r="B2281" s="5" t="s">
        <v>3484</v>
      </c>
      <c r="I2281" s="109"/>
      <c r="J2281" s="109"/>
      <c r="K2281" s="109"/>
      <c r="L2281" s="109" t="str">
        <f t="shared" si="35"/>
        <v>95-951700211</v>
      </c>
      <c r="M2281" s="114">
        <v>951700211</v>
      </c>
      <c r="N2281" s="114" t="s">
        <v>8381</v>
      </c>
    </row>
    <row r="2282" spans="1:14">
      <c r="A2282" t="s">
        <v>2376</v>
      </c>
      <c r="B2282" s="5" t="s">
        <v>3484</v>
      </c>
      <c r="I2282" s="109"/>
      <c r="J2282" s="109"/>
      <c r="K2282" s="109"/>
      <c r="L2282" s="109" t="str">
        <f t="shared" si="35"/>
        <v>95-951900204</v>
      </c>
      <c r="M2282" s="114">
        <v>951900204</v>
      </c>
      <c r="N2282" s="114" t="s">
        <v>8318</v>
      </c>
    </row>
    <row r="2283" spans="1:14">
      <c r="A2283" t="s">
        <v>2356</v>
      </c>
      <c r="B2283" s="5" t="s">
        <v>3484</v>
      </c>
      <c r="I2283" s="109"/>
      <c r="J2283" s="109"/>
      <c r="K2283" s="109"/>
      <c r="L2283" s="109" t="str">
        <f t="shared" si="35"/>
        <v>95-951400066</v>
      </c>
      <c r="M2283" s="114">
        <v>951400066</v>
      </c>
      <c r="N2283" s="114" t="s">
        <v>8382</v>
      </c>
    </row>
    <row r="2284" spans="1:14">
      <c r="A2284" t="s">
        <v>2379</v>
      </c>
      <c r="B2284" s="5" t="s">
        <v>3484</v>
      </c>
      <c r="I2284" s="109"/>
      <c r="J2284" s="109"/>
      <c r="K2284" s="109"/>
      <c r="L2284" s="109" t="str">
        <f t="shared" si="35"/>
        <v>95-951900263</v>
      </c>
      <c r="M2284" s="114">
        <v>951900263</v>
      </c>
      <c r="N2284" s="114" t="s">
        <v>7670</v>
      </c>
    </row>
    <row r="2285" spans="1:14">
      <c r="A2285" t="s">
        <v>2330</v>
      </c>
      <c r="B2285" s="5" t="s">
        <v>3484</v>
      </c>
      <c r="I2285" s="109"/>
      <c r="J2285" s="109"/>
      <c r="K2285" s="109"/>
      <c r="L2285" s="109" t="str">
        <f t="shared" si="35"/>
        <v>95-951400183</v>
      </c>
      <c r="M2285" s="114">
        <v>951400183</v>
      </c>
      <c r="N2285" s="114" t="s">
        <v>7514</v>
      </c>
    </row>
    <row r="2286" spans="1:14">
      <c r="A2286" t="s">
        <v>2329</v>
      </c>
      <c r="B2286" s="5" t="s">
        <v>3484</v>
      </c>
      <c r="I2286" s="109"/>
      <c r="J2286" s="109"/>
      <c r="K2286" s="109"/>
      <c r="L2286" s="109" t="str">
        <f t="shared" si="35"/>
        <v>96-961400002</v>
      </c>
      <c r="M2286" s="114">
        <v>961400002</v>
      </c>
      <c r="N2286" s="114" t="s">
        <v>7515</v>
      </c>
    </row>
    <row r="2287" spans="1:14">
      <c r="A2287" t="s">
        <v>2350</v>
      </c>
      <c r="B2287" s="5" t="s">
        <v>3484</v>
      </c>
      <c r="I2287" s="109"/>
      <c r="J2287" s="109"/>
      <c r="K2287" s="109"/>
      <c r="L2287" s="109" t="str">
        <f t="shared" si="35"/>
        <v>95-951600092</v>
      </c>
      <c r="M2287" s="114">
        <v>951600092</v>
      </c>
      <c r="N2287" s="114" t="s">
        <v>8385</v>
      </c>
    </row>
    <row r="2288" spans="1:14">
      <c r="A2288" t="s">
        <v>2358</v>
      </c>
      <c r="B2288" s="5" t="s">
        <v>3484</v>
      </c>
      <c r="I2288" s="109"/>
      <c r="J2288" s="109"/>
      <c r="K2288" s="109"/>
      <c r="L2288" s="109" t="str">
        <f t="shared" si="35"/>
        <v>96-961700058</v>
      </c>
      <c r="M2288" s="114">
        <v>961700058</v>
      </c>
      <c r="N2288" s="114" t="s">
        <v>8386</v>
      </c>
    </row>
    <row r="2289" spans="1:14">
      <c r="A2289" t="s">
        <v>2378</v>
      </c>
      <c r="B2289" s="5" t="s">
        <v>3484</v>
      </c>
      <c r="I2289" s="109"/>
      <c r="J2289" s="109"/>
      <c r="K2289" s="109"/>
      <c r="L2289" s="109" t="str">
        <f t="shared" si="35"/>
        <v>96-961700117</v>
      </c>
      <c r="M2289" s="114">
        <v>961700117</v>
      </c>
      <c r="N2289" s="114" t="s">
        <v>7160</v>
      </c>
    </row>
    <row r="2290" spans="1:14">
      <c r="A2290" t="s">
        <v>2359</v>
      </c>
      <c r="B2290" s="5" t="s">
        <v>3484</v>
      </c>
      <c r="I2290" s="109"/>
      <c r="J2290" s="109"/>
      <c r="K2290" s="109"/>
      <c r="L2290" s="109" t="str">
        <f t="shared" si="35"/>
        <v>95-951900152</v>
      </c>
      <c r="M2290" s="114">
        <v>951900152</v>
      </c>
      <c r="N2290" s="114" t="s">
        <v>8387</v>
      </c>
    </row>
    <row r="2291" spans="1:14">
      <c r="A2291" t="s">
        <v>2337</v>
      </c>
      <c r="B2291" s="5" t="s">
        <v>3484</v>
      </c>
      <c r="I2291" s="109"/>
      <c r="J2291" s="109"/>
      <c r="K2291" s="109"/>
      <c r="L2291" s="109" t="str">
        <f t="shared" si="35"/>
        <v>95-951300014</v>
      </c>
      <c r="M2291" s="114">
        <v>951300014</v>
      </c>
      <c r="N2291" s="114" t="s">
        <v>7804</v>
      </c>
    </row>
    <row r="2292" spans="1:14">
      <c r="A2292" t="s">
        <v>2355</v>
      </c>
      <c r="B2292" s="5" t="s">
        <v>3484</v>
      </c>
      <c r="I2292" s="109"/>
      <c r="J2292" s="109"/>
      <c r="K2292" s="109"/>
      <c r="L2292" s="109" t="str">
        <f t="shared" si="35"/>
        <v>95-951400148</v>
      </c>
      <c r="M2292" s="114">
        <v>951400148</v>
      </c>
      <c r="N2292" s="114" t="s">
        <v>7832</v>
      </c>
    </row>
    <row r="2293" spans="1:14">
      <c r="A2293" t="s">
        <v>2349</v>
      </c>
      <c r="B2293" s="5" t="s">
        <v>3484</v>
      </c>
      <c r="I2293" s="109"/>
      <c r="J2293" s="109"/>
      <c r="K2293" s="109"/>
      <c r="L2293" s="109" t="str">
        <f t="shared" si="35"/>
        <v>96-966100003</v>
      </c>
      <c r="M2293" s="114">
        <v>966100003</v>
      </c>
      <c r="N2293" s="114" t="s">
        <v>7810</v>
      </c>
    </row>
    <row r="2294" spans="1:14">
      <c r="A2294" t="s">
        <v>2374</v>
      </c>
      <c r="B2294" s="5" t="s">
        <v>3484</v>
      </c>
      <c r="I2294" s="109"/>
      <c r="J2294" s="109"/>
      <c r="K2294" s="109"/>
      <c r="L2294" s="109" t="str">
        <f t="shared" si="35"/>
        <v>95-951900283</v>
      </c>
      <c r="M2294" s="114">
        <v>951900283</v>
      </c>
      <c r="N2294" s="114" t="s">
        <v>7811</v>
      </c>
    </row>
    <row r="2295" spans="1:14">
      <c r="A2295" t="s">
        <v>2380</v>
      </c>
      <c r="B2295" s="5" t="s">
        <v>3484</v>
      </c>
      <c r="I2295" s="109"/>
      <c r="J2295" s="109"/>
      <c r="K2295" s="109"/>
      <c r="L2295" s="109" t="str">
        <f t="shared" si="35"/>
        <v>95-951800032</v>
      </c>
      <c r="M2295" s="114">
        <v>951800032</v>
      </c>
      <c r="N2295" s="114" t="s">
        <v>7814</v>
      </c>
    </row>
    <row r="2296" spans="1:14">
      <c r="A2296" t="s">
        <v>2353</v>
      </c>
      <c r="B2296" s="5" t="s">
        <v>3484</v>
      </c>
      <c r="I2296" s="109"/>
      <c r="J2296" s="109"/>
      <c r="K2296" s="109"/>
      <c r="L2296" s="109" t="str">
        <f t="shared" si="35"/>
        <v>96-961800003</v>
      </c>
      <c r="M2296" s="114">
        <v>961800003</v>
      </c>
      <c r="N2296" s="114" t="s">
        <v>7815</v>
      </c>
    </row>
    <row r="2297" spans="1:14">
      <c r="A2297" t="s">
        <v>2334</v>
      </c>
      <c r="B2297" s="5" t="s">
        <v>3484</v>
      </c>
      <c r="I2297" s="109"/>
      <c r="J2297" s="109"/>
      <c r="K2297" s="109"/>
      <c r="L2297" s="109" t="str">
        <f t="shared" si="35"/>
        <v>96-966200083</v>
      </c>
      <c r="M2297" s="114">
        <v>966200083</v>
      </c>
      <c r="N2297" s="114" t="s">
        <v>7448</v>
      </c>
    </row>
    <row r="2298" spans="1:14">
      <c r="A2298" t="s">
        <v>2460</v>
      </c>
      <c r="B2298" s="5" t="s">
        <v>3484</v>
      </c>
      <c r="I2298" s="109"/>
      <c r="J2298" s="109"/>
      <c r="K2298" s="109"/>
      <c r="L2298" s="109" t="str">
        <f t="shared" si="35"/>
        <v>95-951400013</v>
      </c>
      <c r="M2298" s="114">
        <v>951400013</v>
      </c>
      <c r="N2298" s="114" t="s">
        <v>7517</v>
      </c>
    </row>
    <row r="2299" spans="1:14">
      <c r="A2299" t="s">
        <v>2462</v>
      </c>
      <c r="B2299" s="5" t="s">
        <v>3484</v>
      </c>
      <c r="I2299" s="109"/>
      <c r="J2299" s="109"/>
      <c r="K2299" s="109"/>
      <c r="L2299" s="109" t="str">
        <f t="shared" si="35"/>
        <v>95-951700012</v>
      </c>
      <c r="M2299" s="114">
        <v>951700012</v>
      </c>
      <c r="N2299" s="114" t="s">
        <v>7517</v>
      </c>
    </row>
    <row r="2300" spans="1:14">
      <c r="A2300" t="s">
        <v>2461</v>
      </c>
      <c r="B2300" s="5" t="s">
        <v>3484</v>
      </c>
      <c r="I2300" s="109"/>
      <c r="J2300" s="109"/>
      <c r="K2300" s="109"/>
      <c r="L2300" s="109" t="str">
        <f t="shared" si="35"/>
        <v>95-951700016</v>
      </c>
      <c r="M2300" s="114">
        <v>951700016</v>
      </c>
      <c r="N2300" s="114" t="s">
        <v>7517</v>
      </c>
    </row>
    <row r="2301" spans="1:14">
      <c r="A2301" t="s">
        <v>2383</v>
      </c>
      <c r="B2301" s="5" t="s">
        <v>3484</v>
      </c>
      <c r="I2301" s="109"/>
      <c r="J2301" s="109"/>
      <c r="K2301" s="109"/>
      <c r="L2301" s="109" t="str">
        <f t="shared" si="35"/>
        <v>95-951700018</v>
      </c>
      <c r="M2301" s="114">
        <v>951700018</v>
      </c>
      <c r="N2301" s="114" t="s">
        <v>7517</v>
      </c>
    </row>
    <row r="2302" spans="1:14">
      <c r="A2302" t="s">
        <v>2381</v>
      </c>
      <c r="B2302" s="5" t="s">
        <v>3484</v>
      </c>
      <c r="I2302" s="109"/>
      <c r="J2302" s="109"/>
      <c r="K2302" s="109"/>
      <c r="L2302" s="109" t="str">
        <f t="shared" si="35"/>
        <v>95-951700020</v>
      </c>
      <c r="M2302" s="114">
        <v>951700020</v>
      </c>
      <c r="N2302" s="114" t="s">
        <v>7517</v>
      </c>
    </row>
    <row r="2303" spans="1:14">
      <c r="A2303" t="s">
        <v>2371</v>
      </c>
      <c r="B2303" s="5" t="s">
        <v>3484</v>
      </c>
      <c r="I2303" s="109"/>
      <c r="J2303" s="109"/>
      <c r="K2303" s="109"/>
      <c r="L2303" s="109" t="str">
        <f t="shared" si="35"/>
        <v>95-951700066</v>
      </c>
      <c r="M2303" s="114">
        <v>951700066</v>
      </c>
      <c r="N2303" s="114" t="s">
        <v>7518</v>
      </c>
    </row>
    <row r="2304" spans="1:14">
      <c r="A2304" t="s">
        <v>2465</v>
      </c>
      <c r="B2304" s="5" t="s">
        <v>3484</v>
      </c>
      <c r="I2304" s="109"/>
      <c r="J2304" s="109"/>
      <c r="K2304" s="109"/>
      <c r="L2304" s="109" t="str">
        <f t="shared" si="35"/>
        <v>95-951400035</v>
      </c>
      <c r="M2304" s="114">
        <v>951400035</v>
      </c>
      <c r="N2304" s="114" t="s">
        <v>7519</v>
      </c>
    </row>
    <row r="2305" spans="1:14">
      <c r="A2305" t="s">
        <v>2370</v>
      </c>
      <c r="B2305" s="5" t="s">
        <v>3484</v>
      </c>
      <c r="I2305" s="109"/>
      <c r="J2305" s="109"/>
      <c r="K2305" s="109"/>
      <c r="L2305" s="109" t="str">
        <f t="shared" si="35"/>
        <v>95-951400036</v>
      </c>
      <c r="M2305" s="114">
        <v>951400036</v>
      </c>
      <c r="N2305" s="114" t="s">
        <v>7519</v>
      </c>
    </row>
    <row r="2306" spans="1:14">
      <c r="A2306" t="s">
        <v>2574</v>
      </c>
      <c r="B2306" s="5" t="s">
        <v>3484</v>
      </c>
      <c r="I2306" s="109"/>
      <c r="J2306" s="109"/>
      <c r="K2306" s="109"/>
      <c r="L2306" s="109" t="str">
        <f t="shared" si="35"/>
        <v>95-951700097</v>
      </c>
      <c r="M2306" s="114">
        <v>951700097</v>
      </c>
      <c r="N2306" s="114" t="s">
        <v>7520</v>
      </c>
    </row>
    <row r="2307" spans="1:14">
      <c r="A2307" t="s">
        <v>2372</v>
      </c>
      <c r="B2307" s="5" t="s">
        <v>3484</v>
      </c>
      <c r="I2307" s="109"/>
      <c r="J2307" s="109"/>
      <c r="K2307" s="109"/>
      <c r="L2307" s="109" t="str">
        <f t="shared" ref="L2307:L2370" si="36">MID(M2307,1,2)&amp;"-"&amp;M2307</f>
        <v>95-951700101</v>
      </c>
      <c r="M2307" s="114">
        <v>951700101</v>
      </c>
      <c r="N2307" s="114" t="s">
        <v>7521</v>
      </c>
    </row>
    <row r="2308" spans="1:14">
      <c r="A2308" t="s">
        <v>2475</v>
      </c>
      <c r="B2308" s="5" t="s">
        <v>3484</v>
      </c>
      <c r="I2308" s="109"/>
      <c r="J2308" s="109"/>
      <c r="K2308" s="109"/>
      <c r="L2308" s="109" t="str">
        <f t="shared" si="36"/>
        <v>95-951700109</v>
      </c>
      <c r="M2308" s="114">
        <v>951700109</v>
      </c>
      <c r="N2308" s="114" t="s">
        <v>7524</v>
      </c>
    </row>
    <row r="2309" spans="1:14">
      <c r="A2309" t="s">
        <v>2477</v>
      </c>
      <c r="B2309" s="5" t="s">
        <v>3484</v>
      </c>
      <c r="I2309" s="109"/>
      <c r="J2309" s="109"/>
      <c r="K2309" s="109"/>
      <c r="L2309" s="109" t="str">
        <f t="shared" si="36"/>
        <v>96-961900090</v>
      </c>
      <c r="M2309" s="114">
        <v>961900090</v>
      </c>
      <c r="N2309" s="114" t="s">
        <v>8388</v>
      </c>
    </row>
    <row r="2310" spans="1:14">
      <c r="A2310" t="s">
        <v>2476</v>
      </c>
      <c r="B2310" s="5" t="s">
        <v>3484</v>
      </c>
      <c r="I2310" s="109"/>
      <c r="J2310" s="109"/>
      <c r="K2310" s="109"/>
      <c r="L2310" s="109" t="str">
        <f t="shared" si="36"/>
        <v>96-961900059</v>
      </c>
      <c r="M2310" s="114">
        <v>961900059</v>
      </c>
      <c r="N2310" s="114" t="s">
        <v>7854</v>
      </c>
    </row>
    <row r="2311" spans="1:14">
      <c r="A2311" t="s">
        <v>2478</v>
      </c>
      <c r="B2311" s="5" t="s">
        <v>3484</v>
      </c>
      <c r="I2311" s="109"/>
      <c r="J2311" s="109"/>
      <c r="K2311" s="109"/>
      <c r="L2311" s="109" t="str">
        <f t="shared" si="36"/>
        <v>95-951900106</v>
      </c>
      <c r="M2311" s="114">
        <v>951900106</v>
      </c>
      <c r="N2311" s="114" t="s">
        <v>8389</v>
      </c>
    </row>
    <row r="2312" spans="1:14">
      <c r="A2312" t="s">
        <v>2481</v>
      </c>
      <c r="B2312" s="5" t="s">
        <v>3484</v>
      </c>
      <c r="I2312" s="109"/>
      <c r="J2312" s="109"/>
      <c r="K2312" s="109"/>
      <c r="L2312" s="109" t="str">
        <f t="shared" si="36"/>
        <v>95-951900028</v>
      </c>
      <c r="M2312" s="114">
        <v>951900028</v>
      </c>
      <c r="N2312" s="114" t="s">
        <v>8390</v>
      </c>
    </row>
    <row r="2313" spans="1:14">
      <c r="A2313" t="s">
        <v>2388</v>
      </c>
      <c r="B2313" s="5" t="s">
        <v>3484</v>
      </c>
      <c r="I2313" s="109"/>
      <c r="J2313" s="109"/>
      <c r="K2313" s="109"/>
      <c r="L2313" s="109" t="str">
        <f t="shared" si="36"/>
        <v>95-951800142</v>
      </c>
      <c r="M2313" s="114">
        <v>951800142</v>
      </c>
      <c r="N2313" s="114" t="s">
        <v>7780</v>
      </c>
    </row>
    <row r="2314" spans="1:14">
      <c r="A2314" t="s">
        <v>2392</v>
      </c>
      <c r="B2314" s="5" t="s">
        <v>3484</v>
      </c>
      <c r="I2314" s="109"/>
      <c r="J2314" s="109"/>
      <c r="K2314" s="109"/>
      <c r="L2314" s="109" t="str">
        <f t="shared" si="36"/>
        <v>95-951600089</v>
      </c>
      <c r="M2314" s="114">
        <v>951600089</v>
      </c>
      <c r="N2314" s="114" t="s">
        <v>8200</v>
      </c>
    </row>
    <row r="2315" spans="1:14">
      <c r="A2315" t="s">
        <v>2386</v>
      </c>
      <c r="B2315" s="5" t="s">
        <v>3484</v>
      </c>
      <c r="I2315" s="109"/>
      <c r="J2315" s="109"/>
      <c r="K2315" s="109"/>
      <c r="L2315" s="109" t="str">
        <f t="shared" si="36"/>
        <v>95-951900267</v>
      </c>
      <c r="M2315" s="114">
        <v>951900267</v>
      </c>
      <c r="N2315" s="114" t="s">
        <v>7610</v>
      </c>
    </row>
    <row r="2316" spans="1:14">
      <c r="A2316" t="s">
        <v>2467</v>
      </c>
      <c r="B2316" s="5" t="s">
        <v>3484</v>
      </c>
      <c r="I2316" s="109"/>
      <c r="J2316" s="109"/>
      <c r="K2316" s="109"/>
      <c r="L2316" s="109" t="str">
        <f t="shared" si="36"/>
        <v>96-961800010</v>
      </c>
      <c r="M2316" s="114">
        <v>961800010</v>
      </c>
      <c r="N2316" s="114" t="s">
        <v>7690</v>
      </c>
    </row>
    <row r="2317" spans="1:14">
      <c r="A2317" t="s">
        <v>2466</v>
      </c>
      <c r="B2317" s="5" t="s">
        <v>3484</v>
      </c>
      <c r="I2317" s="109"/>
      <c r="J2317" s="109"/>
      <c r="K2317" s="109"/>
      <c r="L2317" s="109" t="str">
        <f t="shared" si="36"/>
        <v>96-961700055</v>
      </c>
      <c r="M2317" s="114">
        <v>961700055</v>
      </c>
      <c r="N2317" s="114" t="s">
        <v>7717</v>
      </c>
    </row>
    <row r="2318" spans="1:14">
      <c r="A2318" t="s">
        <v>2497</v>
      </c>
      <c r="B2318" s="5" t="s">
        <v>3484</v>
      </c>
      <c r="I2318" s="109"/>
      <c r="J2318" s="109"/>
      <c r="K2318" s="109"/>
      <c r="L2318" s="109" t="str">
        <f t="shared" si="36"/>
        <v>95-951700158</v>
      </c>
      <c r="M2318" s="114">
        <v>951700158</v>
      </c>
      <c r="N2318" s="114" t="s">
        <v>7808</v>
      </c>
    </row>
    <row r="2319" spans="1:14">
      <c r="A2319" t="s">
        <v>2620</v>
      </c>
      <c r="B2319" s="5" t="s">
        <v>3484</v>
      </c>
      <c r="I2319" s="109"/>
      <c r="J2319" s="109"/>
      <c r="K2319" s="109"/>
      <c r="L2319" s="109" t="str">
        <f t="shared" si="36"/>
        <v>95-951700125</v>
      </c>
      <c r="M2319" s="114">
        <v>951700125</v>
      </c>
      <c r="N2319" s="114" t="s">
        <v>7525</v>
      </c>
    </row>
    <row r="2320" spans="1:14">
      <c r="A2320" t="s">
        <v>2472</v>
      </c>
      <c r="B2320" s="5" t="s">
        <v>3484</v>
      </c>
      <c r="I2320" s="109"/>
      <c r="J2320" s="109"/>
      <c r="K2320" s="109"/>
      <c r="L2320" s="109" t="str">
        <f t="shared" si="36"/>
        <v>95-951700141</v>
      </c>
      <c r="M2320" s="114">
        <v>951700141</v>
      </c>
      <c r="N2320" s="114" t="s">
        <v>7526</v>
      </c>
    </row>
    <row r="2321" spans="1:14">
      <c r="A2321" t="s">
        <v>2391</v>
      </c>
      <c r="B2321" s="5" t="s">
        <v>3484</v>
      </c>
      <c r="I2321" s="109"/>
      <c r="J2321" s="109"/>
      <c r="K2321" s="109"/>
      <c r="L2321" s="109" t="str">
        <f t="shared" si="36"/>
        <v>95-951700176</v>
      </c>
      <c r="M2321" s="114">
        <v>951700176</v>
      </c>
      <c r="N2321" s="114" t="s">
        <v>7527</v>
      </c>
    </row>
    <row r="2322" spans="1:14">
      <c r="A2322" t="s">
        <v>2468</v>
      </c>
      <c r="B2322" s="5" t="s">
        <v>3484</v>
      </c>
      <c r="I2322" s="109"/>
      <c r="J2322" s="109"/>
      <c r="K2322" s="109"/>
      <c r="L2322" s="109" t="str">
        <f t="shared" si="36"/>
        <v>95-951700179</v>
      </c>
      <c r="M2322" s="114">
        <v>951700179</v>
      </c>
      <c r="N2322" s="114" t="s">
        <v>7528</v>
      </c>
    </row>
    <row r="2323" spans="1:14">
      <c r="A2323" t="s">
        <v>2469</v>
      </c>
      <c r="B2323" s="5" t="s">
        <v>3484</v>
      </c>
      <c r="I2323" s="109"/>
      <c r="J2323" s="109"/>
      <c r="K2323" s="109"/>
      <c r="L2323" s="109" t="str">
        <f t="shared" si="36"/>
        <v>95-951700116</v>
      </c>
      <c r="M2323" s="114">
        <v>951700116</v>
      </c>
      <c r="N2323" s="114" t="s">
        <v>7525</v>
      </c>
    </row>
    <row r="2324" spans="1:14">
      <c r="A2324" t="s">
        <v>2501</v>
      </c>
      <c r="B2324" s="5" t="s">
        <v>3484</v>
      </c>
      <c r="I2324" s="109"/>
      <c r="J2324" s="109"/>
      <c r="K2324" s="109"/>
      <c r="L2324" s="109" t="str">
        <f t="shared" si="36"/>
        <v>95-951400071</v>
      </c>
      <c r="M2324" s="114">
        <v>951400071</v>
      </c>
      <c r="N2324" s="114" t="s">
        <v>7185</v>
      </c>
    </row>
    <row r="2325" spans="1:14">
      <c r="A2325" t="s">
        <v>2513</v>
      </c>
      <c r="B2325" s="5" t="s">
        <v>3484</v>
      </c>
      <c r="I2325" s="109"/>
      <c r="J2325" s="109"/>
      <c r="K2325" s="109"/>
      <c r="L2325" s="109" t="str">
        <f t="shared" si="36"/>
        <v>95-951700229</v>
      </c>
      <c r="M2325" s="114">
        <v>951700229</v>
      </c>
      <c r="N2325" s="114" t="s">
        <v>7153</v>
      </c>
    </row>
    <row r="2326" spans="1:14">
      <c r="A2326" t="s">
        <v>2541</v>
      </c>
      <c r="B2326" s="5" t="s">
        <v>3484</v>
      </c>
      <c r="I2326" s="109"/>
      <c r="J2326" s="109"/>
      <c r="K2326" s="109"/>
      <c r="L2326" s="109" t="str">
        <f t="shared" si="36"/>
        <v>95-951400089</v>
      </c>
      <c r="M2326" s="114">
        <v>951400089</v>
      </c>
      <c r="N2326" s="114" t="s">
        <v>7185</v>
      </c>
    </row>
    <row r="2327" spans="1:14">
      <c r="A2327" t="s">
        <v>2623</v>
      </c>
      <c r="B2327" s="5" t="s">
        <v>3484</v>
      </c>
      <c r="I2327" s="109"/>
      <c r="J2327" s="109"/>
      <c r="K2327" s="109"/>
      <c r="L2327" s="109" t="str">
        <f t="shared" si="36"/>
        <v>95-951700281</v>
      </c>
      <c r="M2327" s="114">
        <v>951700281</v>
      </c>
      <c r="N2327" s="114" t="s">
        <v>7528</v>
      </c>
    </row>
    <row r="2328" spans="1:14">
      <c r="A2328" t="s">
        <v>2540</v>
      </c>
      <c r="B2328" s="5" t="s">
        <v>3484</v>
      </c>
      <c r="I2328" s="109"/>
      <c r="J2328" s="109"/>
      <c r="K2328" s="109"/>
      <c r="L2328" s="109" t="str">
        <f t="shared" si="36"/>
        <v>96-961700062</v>
      </c>
      <c r="M2328" s="114">
        <v>961700062</v>
      </c>
      <c r="N2328" s="114" t="s">
        <v>7529</v>
      </c>
    </row>
    <row r="2329" spans="1:14">
      <c r="A2329" t="s">
        <v>2509</v>
      </c>
      <c r="B2329" s="5" t="s">
        <v>3484</v>
      </c>
      <c r="I2329" s="109"/>
      <c r="J2329" s="109"/>
      <c r="K2329" s="109"/>
      <c r="L2329" s="109" t="str">
        <f t="shared" si="36"/>
        <v>95-951800007</v>
      </c>
      <c r="M2329" s="114">
        <v>951800007</v>
      </c>
      <c r="N2329" s="114" t="s">
        <v>7530</v>
      </c>
    </row>
    <row r="2330" spans="1:14">
      <c r="A2330" t="s">
        <v>2542</v>
      </c>
      <c r="B2330" s="5" t="s">
        <v>3484</v>
      </c>
      <c r="I2330" s="109"/>
      <c r="J2330" s="109"/>
      <c r="K2330" s="109"/>
      <c r="L2330" s="109" t="str">
        <f t="shared" si="36"/>
        <v>95-951100136</v>
      </c>
      <c r="M2330" s="114">
        <v>951100136</v>
      </c>
      <c r="N2330" s="114" t="s">
        <v>7531</v>
      </c>
    </row>
    <row r="2331" spans="1:14">
      <c r="A2331" t="s">
        <v>2502</v>
      </c>
      <c r="B2331" s="5" t="s">
        <v>3484</v>
      </c>
      <c r="I2331" s="109"/>
      <c r="J2331" s="109"/>
      <c r="K2331" s="109"/>
      <c r="L2331" s="109" t="str">
        <f t="shared" si="36"/>
        <v>95-951900320</v>
      </c>
      <c r="M2331" s="114">
        <v>951900320</v>
      </c>
      <c r="N2331" s="114" t="s">
        <v>7888</v>
      </c>
    </row>
    <row r="2332" spans="1:14">
      <c r="A2332" t="s">
        <v>2504</v>
      </c>
      <c r="B2332" s="5" t="s">
        <v>3484</v>
      </c>
      <c r="I2332" s="109"/>
      <c r="J2332" s="109"/>
      <c r="K2332" s="109"/>
      <c r="L2332" s="109" t="str">
        <f t="shared" si="36"/>
        <v>95-951700363</v>
      </c>
      <c r="M2332" s="114">
        <v>951700363</v>
      </c>
      <c r="N2332" s="114" t="s">
        <v>7888</v>
      </c>
    </row>
    <row r="2333" spans="1:14">
      <c r="A2333" t="s">
        <v>2586</v>
      </c>
      <c r="B2333" s="5" t="s">
        <v>3484</v>
      </c>
      <c r="I2333" s="109"/>
      <c r="J2333" s="109"/>
      <c r="K2333" s="109"/>
      <c r="L2333" s="109" t="str">
        <f t="shared" si="36"/>
        <v>96-961700023</v>
      </c>
      <c r="M2333" s="114">
        <v>961700023</v>
      </c>
      <c r="N2333" s="114" t="s">
        <v>7846</v>
      </c>
    </row>
    <row r="2334" spans="1:14">
      <c r="A2334" t="s">
        <v>2507</v>
      </c>
      <c r="B2334" s="5" t="s">
        <v>3484</v>
      </c>
      <c r="I2334" s="109"/>
      <c r="J2334" s="109"/>
      <c r="K2334" s="109"/>
      <c r="L2334" s="109" t="str">
        <f t="shared" si="36"/>
        <v>95-951700052</v>
      </c>
      <c r="M2334" s="114">
        <v>951700052</v>
      </c>
      <c r="N2334" s="114" t="s">
        <v>7826</v>
      </c>
    </row>
    <row r="2335" spans="1:14">
      <c r="A2335" t="s">
        <v>2510</v>
      </c>
      <c r="B2335" s="5" t="s">
        <v>3484</v>
      </c>
      <c r="I2335" s="109"/>
      <c r="J2335" s="109"/>
      <c r="K2335" s="109"/>
      <c r="L2335" s="109" t="str">
        <f t="shared" si="36"/>
        <v>95-951700054</v>
      </c>
      <c r="M2335" s="114">
        <v>951700054</v>
      </c>
      <c r="N2335" s="114" t="s">
        <v>7826</v>
      </c>
    </row>
    <row r="2336" spans="1:14">
      <c r="A2336" t="s">
        <v>2505</v>
      </c>
      <c r="B2336" s="5" t="s">
        <v>3484</v>
      </c>
      <c r="I2336" s="109"/>
      <c r="J2336" s="109"/>
      <c r="K2336" s="109"/>
      <c r="L2336" s="109" t="str">
        <f t="shared" si="36"/>
        <v>96-966200072</v>
      </c>
      <c r="M2336" s="114">
        <v>966200072</v>
      </c>
      <c r="N2336" s="114" t="s">
        <v>8391</v>
      </c>
    </row>
    <row r="2337" spans="1:14">
      <c r="A2337" t="s">
        <v>2514</v>
      </c>
      <c r="B2337" s="5" t="s">
        <v>3484</v>
      </c>
      <c r="I2337" s="109"/>
      <c r="J2337" s="109"/>
      <c r="K2337" s="109"/>
      <c r="L2337" s="109" t="str">
        <f t="shared" si="36"/>
        <v>96-961900148</v>
      </c>
      <c r="M2337" s="114">
        <v>961900148</v>
      </c>
      <c r="N2337" s="114" t="s">
        <v>7532</v>
      </c>
    </row>
    <row r="2338" spans="1:14">
      <c r="A2338" t="s">
        <v>2498</v>
      </c>
      <c r="B2338" s="5" t="s">
        <v>3484</v>
      </c>
      <c r="I2338" s="109"/>
      <c r="J2338" s="109"/>
      <c r="K2338" s="109"/>
      <c r="L2338" s="109" t="str">
        <f t="shared" si="36"/>
        <v>95-951400029</v>
      </c>
      <c r="M2338" s="114">
        <v>951400029</v>
      </c>
      <c r="N2338" s="114" t="s">
        <v>7533</v>
      </c>
    </row>
    <row r="2339" spans="1:14">
      <c r="A2339" t="s">
        <v>2577</v>
      </c>
      <c r="B2339" s="5" t="s">
        <v>3484</v>
      </c>
      <c r="I2339" s="109"/>
      <c r="J2339" s="109"/>
      <c r="K2339" s="109"/>
      <c r="L2339" s="109" t="str">
        <f t="shared" si="36"/>
        <v>95-951700162</v>
      </c>
      <c r="M2339" s="114">
        <v>951700162</v>
      </c>
      <c r="N2339" s="114" t="s">
        <v>7534</v>
      </c>
    </row>
    <row r="2340" spans="1:14">
      <c r="A2340" t="s">
        <v>2517</v>
      </c>
      <c r="B2340" s="5" t="s">
        <v>3484</v>
      </c>
      <c r="I2340" s="109"/>
      <c r="J2340" s="109"/>
      <c r="K2340" s="109"/>
      <c r="L2340" s="109" t="str">
        <f t="shared" si="36"/>
        <v>95-951400152</v>
      </c>
      <c r="M2340" s="114">
        <v>951400152</v>
      </c>
      <c r="N2340" s="114" t="s">
        <v>7535</v>
      </c>
    </row>
    <row r="2341" spans="1:14">
      <c r="A2341" t="s">
        <v>2543</v>
      </c>
      <c r="B2341" s="5" t="s">
        <v>3484</v>
      </c>
      <c r="I2341" s="109"/>
      <c r="J2341" s="109"/>
      <c r="K2341" s="109"/>
      <c r="L2341" s="109" t="str">
        <f t="shared" si="36"/>
        <v>95-951400153</v>
      </c>
      <c r="M2341" s="114">
        <v>951400153</v>
      </c>
      <c r="N2341" s="114" t="s">
        <v>7535</v>
      </c>
    </row>
    <row r="2342" spans="1:14">
      <c r="A2342" t="s">
        <v>2503</v>
      </c>
      <c r="B2342" s="5" t="s">
        <v>3484</v>
      </c>
      <c r="I2342" s="109"/>
      <c r="J2342" s="109"/>
      <c r="K2342" s="109"/>
      <c r="L2342" s="109" t="str">
        <f t="shared" si="36"/>
        <v>95-951400159</v>
      </c>
      <c r="M2342" s="114">
        <v>951400159</v>
      </c>
      <c r="N2342" s="114" t="s">
        <v>7535</v>
      </c>
    </row>
    <row r="2343" spans="1:14">
      <c r="A2343" t="s">
        <v>2584</v>
      </c>
      <c r="B2343" s="5" t="s">
        <v>3484</v>
      </c>
      <c r="I2343" s="109"/>
      <c r="J2343" s="109"/>
      <c r="K2343" s="109"/>
      <c r="L2343" s="109" t="str">
        <f t="shared" si="36"/>
        <v>95-951400163</v>
      </c>
      <c r="M2343" s="114">
        <v>951400163</v>
      </c>
      <c r="N2343" s="114" t="s">
        <v>7535</v>
      </c>
    </row>
    <row r="2344" spans="1:14">
      <c r="A2344" t="s">
        <v>2500</v>
      </c>
      <c r="B2344" s="5" t="s">
        <v>3484</v>
      </c>
      <c r="I2344" s="109"/>
      <c r="J2344" s="109"/>
      <c r="K2344" s="109"/>
      <c r="L2344" s="109" t="str">
        <f t="shared" si="36"/>
        <v>95-951400166</v>
      </c>
      <c r="M2344" s="114">
        <v>951400166</v>
      </c>
      <c r="N2344" s="114" t="s">
        <v>7535</v>
      </c>
    </row>
    <row r="2345" spans="1:14">
      <c r="A2345" t="s">
        <v>2512</v>
      </c>
      <c r="B2345" s="5" t="s">
        <v>3484</v>
      </c>
      <c r="I2345" s="109"/>
      <c r="J2345" s="109"/>
      <c r="K2345" s="109"/>
      <c r="L2345" s="109" t="str">
        <f t="shared" si="36"/>
        <v>95-951400015</v>
      </c>
      <c r="M2345" s="114">
        <v>951400015</v>
      </c>
      <c r="N2345" s="114" t="s">
        <v>7816</v>
      </c>
    </row>
    <row r="2346" spans="1:14">
      <c r="A2346" t="s">
        <v>2508</v>
      </c>
      <c r="B2346" s="5" t="s">
        <v>3484</v>
      </c>
      <c r="I2346" s="109"/>
      <c r="J2346" s="109"/>
      <c r="K2346" s="109"/>
      <c r="L2346" s="109" t="str">
        <f t="shared" si="36"/>
        <v>95-951800069</v>
      </c>
      <c r="M2346" s="114">
        <v>951800069</v>
      </c>
      <c r="N2346" s="114" t="s">
        <v>7817</v>
      </c>
    </row>
    <row r="2347" spans="1:14">
      <c r="A2347" t="s">
        <v>2515</v>
      </c>
      <c r="B2347" s="5" t="s">
        <v>3484</v>
      </c>
      <c r="I2347" s="109"/>
      <c r="J2347" s="109"/>
      <c r="K2347" s="109"/>
      <c r="L2347" s="109" t="str">
        <f t="shared" si="36"/>
        <v>95-951300012</v>
      </c>
      <c r="M2347" s="114">
        <v>951300012</v>
      </c>
      <c r="N2347" s="114" t="s">
        <v>7680</v>
      </c>
    </row>
    <row r="2348" spans="1:14">
      <c r="A2348" t="s">
        <v>2622</v>
      </c>
      <c r="B2348" s="5" t="s">
        <v>3484</v>
      </c>
      <c r="I2348" s="109"/>
      <c r="J2348" s="109"/>
      <c r="K2348" s="109"/>
      <c r="L2348" s="109" t="str">
        <f t="shared" si="36"/>
        <v>95-951300023</v>
      </c>
      <c r="M2348" s="114">
        <v>951300023</v>
      </c>
      <c r="N2348" s="114" t="s">
        <v>7818</v>
      </c>
    </row>
    <row r="2349" spans="1:14">
      <c r="A2349" t="s">
        <v>2578</v>
      </c>
      <c r="B2349" s="5" t="s">
        <v>3484</v>
      </c>
      <c r="I2349" s="109"/>
      <c r="J2349" s="109"/>
      <c r="K2349" s="109"/>
      <c r="L2349" s="109" t="str">
        <f t="shared" si="36"/>
        <v>95-951300030</v>
      </c>
      <c r="M2349" s="114">
        <v>951300030</v>
      </c>
      <c r="N2349" s="114" t="s">
        <v>7819</v>
      </c>
    </row>
    <row r="2350" spans="1:14">
      <c r="A2350" t="s">
        <v>2621</v>
      </c>
      <c r="B2350" s="5" t="s">
        <v>3484</v>
      </c>
      <c r="I2350" s="109"/>
      <c r="J2350" s="109"/>
      <c r="K2350" s="109"/>
      <c r="L2350" s="109" t="str">
        <f t="shared" si="36"/>
        <v>95-951700344</v>
      </c>
      <c r="M2350" s="114">
        <v>951700344</v>
      </c>
      <c r="N2350" s="114" t="s">
        <v>7610</v>
      </c>
    </row>
    <row r="2351" spans="1:14">
      <c r="A2351" t="s">
        <v>2516</v>
      </c>
      <c r="B2351" s="5" t="s">
        <v>3484</v>
      </c>
      <c r="I2351" s="109"/>
      <c r="J2351" s="109"/>
      <c r="K2351" s="109"/>
      <c r="L2351" s="109" t="str">
        <f t="shared" si="36"/>
        <v>96-961800049</v>
      </c>
      <c r="M2351" s="114">
        <v>961800049</v>
      </c>
      <c r="N2351" s="114" t="s">
        <v>8392</v>
      </c>
    </row>
    <row r="2352" spans="1:14">
      <c r="A2352" t="s">
        <v>2511</v>
      </c>
      <c r="B2352" s="5" t="s">
        <v>3484</v>
      </c>
      <c r="I2352" s="109"/>
      <c r="J2352" s="109"/>
      <c r="K2352" s="109"/>
      <c r="L2352" s="109" t="str">
        <f t="shared" si="36"/>
        <v>95-951800026</v>
      </c>
      <c r="M2352" s="114">
        <v>951800026</v>
      </c>
      <c r="N2352" s="114" t="s">
        <v>7194</v>
      </c>
    </row>
    <row r="2353" spans="1:14">
      <c r="A2353" t="s">
        <v>2506</v>
      </c>
      <c r="B2353" s="5" t="s">
        <v>3484</v>
      </c>
      <c r="I2353" s="109"/>
      <c r="J2353" s="109"/>
      <c r="K2353" s="109"/>
      <c r="L2353" s="109" t="str">
        <f t="shared" si="36"/>
        <v>95-951800140</v>
      </c>
      <c r="M2353" s="114">
        <v>951800140</v>
      </c>
      <c r="N2353" s="114" t="s">
        <v>8393</v>
      </c>
    </row>
    <row r="2354" spans="1:14">
      <c r="A2354" t="s">
        <v>2590</v>
      </c>
      <c r="B2354" s="5" t="s">
        <v>3484</v>
      </c>
      <c r="I2354" s="109"/>
      <c r="J2354" s="109"/>
      <c r="K2354" s="109"/>
      <c r="L2354" s="109" t="str">
        <f t="shared" si="36"/>
        <v>95-951400142</v>
      </c>
      <c r="M2354" s="114">
        <v>951400142</v>
      </c>
      <c r="N2354" s="114" t="s">
        <v>8394</v>
      </c>
    </row>
    <row r="2355" spans="1:14">
      <c r="A2355" t="s">
        <v>2589</v>
      </c>
      <c r="B2355" s="5" t="s">
        <v>3484</v>
      </c>
      <c r="I2355" s="109"/>
      <c r="J2355" s="109"/>
      <c r="K2355" s="109"/>
      <c r="L2355" s="109" t="str">
        <f t="shared" si="36"/>
        <v>96-961700014</v>
      </c>
      <c r="M2355" s="114">
        <v>961700014</v>
      </c>
      <c r="N2355" s="114" t="s">
        <v>8395</v>
      </c>
    </row>
    <row r="2356" spans="1:14">
      <c r="A2356" t="s">
        <v>2537</v>
      </c>
      <c r="B2356" s="5" t="s">
        <v>3484</v>
      </c>
      <c r="I2356" s="109"/>
      <c r="J2356" s="109"/>
      <c r="K2356" s="109"/>
      <c r="L2356" s="109" t="str">
        <f t="shared" si="36"/>
        <v>96-966200221</v>
      </c>
      <c r="M2356" s="114">
        <v>966200221</v>
      </c>
      <c r="N2356" s="114" t="s">
        <v>7707</v>
      </c>
    </row>
    <row r="2357" spans="1:14">
      <c r="A2357" t="s">
        <v>2536</v>
      </c>
      <c r="B2357" s="5" t="s">
        <v>3484</v>
      </c>
      <c r="I2357" s="109"/>
      <c r="J2357" s="109"/>
      <c r="K2357" s="109"/>
      <c r="L2357" s="109" t="str">
        <f t="shared" si="36"/>
        <v>96-966200251</v>
      </c>
      <c r="M2357" s="114">
        <v>966200251</v>
      </c>
      <c r="N2357" s="114" t="s">
        <v>7715</v>
      </c>
    </row>
    <row r="2358" spans="1:14">
      <c r="A2358" t="s">
        <v>2553</v>
      </c>
      <c r="B2358" s="5" t="s">
        <v>3484</v>
      </c>
      <c r="I2358" s="109"/>
      <c r="J2358" s="109"/>
      <c r="K2358" s="109"/>
      <c r="L2358" s="109" t="str">
        <f t="shared" si="36"/>
        <v>96-961700097</v>
      </c>
      <c r="M2358" s="114">
        <v>961700097</v>
      </c>
      <c r="N2358" s="114" t="s">
        <v>8219</v>
      </c>
    </row>
    <row r="2359" spans="1:14">
      <c r="A2359" t="s">
        <v>2532</v>
      </c>
      <c r="B2359" s="5" t="s">
        <v>3484</v>
      </c>
      <c r="I2359" s="109"/>
      <c r="J2359" s="109"/>
      <c r="K2359" s="109"/>
      <c r="L2359" s="109" t="str">
        <f t="shared" si="36"/>
        <v>96-966100004</v>
      </c>
      <c r="M2359" s="114">
        <v>966100004</v>
      </c>
      <c r="N2359" s="114" t="s">
        <v>7536</v>
      </c>
    </row>
    <row r="2360" spans="1:14">
      <c r="A2360" t="s">
        <v>2531</v>
      </c>
      <c r="B2360" s="5" t="s">
        <v>3484</v>
      </c>
      <c r="I2360" s="109"/>
      <c r="J2360" s="109"/>
      <c r="K2360" s="109"/>
      <c r="L2360" s="109" t="str">
        <f t="shared" si="36"/>
        <v>95-951700129</v>
      </c>
      <c r="M2360" s="114">
        <v>951700129</v>
      </c>
      <c r="N2360" s="114" t="s">
        <v>7537</v>
      </c>
    </row>
    <row r="2361" spans="1:14">
      <c r="A2361" t="s">
        <v>2539</v>
      </c>
      <c r="B2361" s="5" t="s">
        <v>3484</v>
      </c>
      <c r="I2361" s="109"/>
      <c r="J2361" s="109"/>
      <c r="K2361" s="109"/>
      <c r="L2361" s="109" t="str">
        <f t="shared" si="36"/>
        <v>95-951700272</v>
      </c>
      <c r="M2361" s="114">
        <v>951700272</v>
      </c>
      <c r="N2361" s="114" t="s">
        <v>7538</v>
      </c>
    </row>
    <row r="2362" spans="1:14">
      <c r="A2362" t="s">
        <v>2588</v>
      </c>
      <c r="B2362" s="5" t="s">
        <v>3484</v>
      </c>
      <c r="I2362" s="109"/>
      <c r="J2362" s="109"/>
      <c r="K2362" s="109"/>
      <c r="L2362" s="109" t="str">
        <f t="shared" si="36"/>
        <v>95-951700309</v>
      </c>
      <c r="M2362" s="114">
        <v>951700309</v>
      </c>
      <c r="N2362" s="114" t="s">
        <v>7539</v>
      </c>
    </row>
    <row r="2363" spans="1:14">
      <c r="A2363" t="s">
        <v>2499</v>
      </c>
      <c r="B2363" s="5" t="s">
        <v>3484</v>
      </c>
      <c r="I2363" s="109"/>
      <c r="J2363" s="109"/>
      <c r="K2363" s="109"/>
      <c r="L2363" s="109" t="str">
        <f t="shared" si="36"/>
        <v>96-961700005</v>
      </c>
      <c r="M2363" s="114">
        <v>961700005</v>
      </c>
      <c r="N2363" s="114" t="s">
        <v>7540</v>
      </c>
    </row>
    <row r="2364" spans="1:14">
      <c r="A2364" t="s">
        <v>2528</v>
      </c>
      <c r="B2364" s="5" t="s">
        <v>3484</v>
      </c>
      <c r="I2364" s="109"/>
      <c r="J2364" s="109"/>
      <c r="K2364" s="109"/>
      <c r="L2364" s="109" t="str">
        <f t="shared" si="36"/>
        <v>96-961700006</v>
      </c>
      <c r="M2364" s="114">
        <v>961700006</v>
      </c>
      <c r="N2364" s="114" t="s">
        <v>7540</v>
      </c>
    </row>
    <row r="2365" spans="1:14">
      <c r="A2365" t="s">
        <v>2529</v>
      </c>
      <c r="B2365" s="5" t="s">
        <v>3484</v>
      </c>
      <c r="I2365" s="109"/>
      <c r="J2365" s="109"/>
      <c r="K2365" s="109"/>
      <c r="L2365" s="109" t="str">
        <f t="shared" si="36"/>
        <v>96-961700007</v>
      </c>
      <c r="M2365" s="114">
        <v>961700007</v>
      </c>
      <c r="N2365" s="114" t="s">
        <v>7540</v>
      </c>
    </row>
    <row r="2366" spans="1:14">
      <c r="A2366" t="s">
        <v>2533</v>
      </c>
      <c r="B2366" s="5" t="s">
        <v>3484</v>
      </c>
      <c r="I2366" s="109"/>
      <c r="J2366" s="109"/>
      <c r="K2366" s="109"/>
      <c r="L2366" s="109" t="str">
        <f t="shared" si="36"/>
        <v>96-961700019</v>
      </c>
      <c r="M2366" s="114">
        <v>961700019</v>
      </c>
      <c r="N2366" s="114" t="s">
        <v>7541</v>
      </c>
    </row>
    <row r="2367" spans="1:14">
      <c r="A2367" t="s">
        <v>2538</v>
      </c>
      <c r="B2367" s="5" t="s">
        <v>3484</v>
      </c>
      <c r="I2367" s="109"/>
      <c r="J2367" s="109"/>
      <c r="K2367" s="109"/>
      <c r="L2367" s="109" t="str">
        <f t="shared" si="36"/>
        <v>96-961700098</v>
      </c>
      <c r="M2367" s="114">
        <v>961700098</v>
      </c>
      <c r="N2367" s="114" t="s">
        <v>7542</v>
      </c>
    </row>
    <row r="2368" spans="1:14">
      <c r="A2368" t="s">
        <v>2534</v>
      </c>
      <c r="B2368" s="5" t="s">
        <v>3484</v>
      </c>
      <c r="I2368" s="109"/>
      <c r="J2368" s="109"/>
      <c r="K2368" s="109"/>
      <c r="L2368" s="109" t="str">
        <f t="shared" si="36"/>
        <v>96-961700135</v>
      </c>
      <c r="M2368" s="114">
        <v>961700135</v>
      </c>
      <c r="N2368" s="114" t="s">
        <v>7199</v>
      </c>
    </row>
    <row r="2369" spans="1:14">
      <c r="A2369" t="s">
        <v>2535</v>
      </c>
      <c r="B2369" s="5" t="s">
        <v>3484</v>
      </c>
      <c r="I2369" s="109"/>
      <c r="J2369" s="109"/>
      <c r="K2369" s="109"/>
      <c r="L2369" s="109" t="str">
        <f t="shared" si="36"/>
        <v>95-956200420</v>
      </c>
      <c r="M2369" s="114">
        <v>956200420</v>
      </c>
      <c r="N2369" s="114" t="s">
        <v>7419</v>
      </c>
    </row>
    <row r="2370" spans="1:14">
      <c r="A2370" t="s">
        <v>2530</v>
      </c>
      <c r="B2370" s="5" t="s">
        <v>3484</v>
      </c>
      <c r="I2370" s="109"/>
      <c r="J2370" s="109"/>
      <c r="K2370" s="109"/>
      <c r="L2370" s="109" t="str">
        <f t="shared" si="36"/>
        <v>95-951100193</v>
      </c>
      <c r="M2370" s="114">
        <v>951100193</v>
      </c>
      <c r="N2370" s="114" t="s">
        <v>7781</v>
      </c>
    </row>
    <row r="2371" spans="1:14">
      <c r="A2371" t="s">
        <v>2527</v>
      </c>
      <c r="B2371" s="5" t="s">
        <v>3484</v>
      </c>
      <c r="I2371" s="109"/>
      <c r="J2371" s="109"/>
      <c r="K2371" s="109"/>
      <c r="L2371" s="109" t="str">
        <f t="shared" ref="L2371:L2434" si="37">MID(M2371,1,2)&amp;"-"&amp;M2371</f>
        <v>95-951600060</v>
      </c>
      <c r="M2371" s="114">
        <v>951600060</v>
      </c>
      <c r="N2371" s="114" t="s">
        <v>7207</v>
      </c>
    </row>
    <row r="2372" spans="1:14">
      <c r="A2372" t="s">
        <v>2567</v>
      </c>
      <c r="B2372" s="5" t="s">
        <v>3484</v>
      </c>
      <c r="I2372" s="109"/>
      <c r="J2372" s="109"/>
      <c r="K2372" s="109"/>
      <c r="L2372" s="109" t="str">
        <f t="shared" si="37"/>
        <v>95-951700113</v>
      </c>
      <c r="M2372" s="114">
        <v>951700113</v>
      </c>
      <c r="N2372" s="114" t="s">
        <v>8396</v>
      </c>
    </row>
    <row r="2373" spans="1:14">
      <c r="A2373" t="s">
        <v>2582</v>
      </c>
      <c r="B2373" s="5" t="s">
        <v>3484</v>
      </c>
      <c r="I2373" s="109"/>
      <c r="J2373" s="109"/>
      <c r="K2373" s="109"/>
      <c r="L2373" s="109" t="str">
        <f t="shared" si="37"/>
        <v>95-951700251</v>
      </c>
      <c r="M2373" s="114">
        <v>951700251</v>
      </c>
      <c r="N2373" s="114" t="s">
        <v>8334</v>
      </c>
    </row>
    <row r="2374" spans="1:14">
      <c r="A2374" t="s">
        <v>2526</v>
      </c>
      <c r="B2374" s="5" t="s">
        <v>3484</v>
      </c>
      <c r="I2374" s="109"/>
      <c r="J2374" s="109"/>
      <c r="K2374" s="109"/>
      <c r="L2374" s="109" t="str">
        <f t="shared" si="37"/>
        <v>95-951700306</v>
      </c>
      <c r="M2374" s="114">
        <v>951700306</v>
      </c>
      <c r="N2374" s="114" t="s">
        <v>8334</v>
      </c>
    </row>
    <row r="2375" spans="1:14">
      <c r="A2375" t="s">
        <v>2558</v>
      </c>
      <c r="B2375" s="5" t="s">
        <v>3484</v>
      </c>
      <c r="I2375" s="109"/>
      <c r="J2375" s="109"/>
      <c r="K2375" s="109"/>
      <c r="L2375" s="109" t="str">
        <f t="shared" si="37"/>
        <v>95-951600019</v>
      </c>
      <c r="M2375" s="114">
        <v>951600019</v>
      </c>
      <c r="N2375" s="114" t="s">
        <v>7722</v>
      </c>
    </row>
    <row r="2376" spans="1:14">
      <c r="A2376" t="s">
        <v>2559</v>
      </c>
      <c r="B2376" s="5" t="s">
        <v>3484</v>
      </c>
      <c r="I2376" s="109"/>
      <c r="J2376" s="109"/>
      <c r="K2376" s="109"/>
      <c r="L2376" s="109" t="str">
        <f t="shared" si="37"/>
        <v>95-956100004</v>
      </c>
      <c r="M2376" s="114">
        <v>956100004</v>
      </c>
      <c r="N2376" s="114" t="s">
        <v>7826</v>
      </c>
    </row>
    <row r="2377" spans="1:14">
      <c r="A2377" t="s">
        <v>2525</v>
      </c>
      <c r="B2377" s="5" t="s">
        <v>3484</v>
      </c>
      <c r="I2377" s="109"/>
      <c r="J2377" s="109"/>
      <c r="K2377" s="109"/>
      <c r="L2377" s="109" t="str">
        <f t="shared" si="37"/>
        <v>95-951900158</v>
      </c>
      <c r="M2377" s="114">
        <v>951900158</v>
      </c>
      <c r="N2377" s="114" t="s">
        <v>7729</v>
      </c>
    </row>
    <row r="2378" spans="1:14">
      <c r="A2378" t="s">
        <v>2520</v>
      </c>
      <c r="B2378" s="5" t="s">
        <v>3484</v>
      </c>
      <c r="I2378" s="109"/>
      <c r="J2378" s="109"/>
      <c r="K2378" s="109"/>
      <c r="L2378" s="109" t="str">
        <f t="shared" si="37"/>
        <v>96-966200256</v>
      </c>
      <c r="M2378" s="114">
        <v>966200256</v>
      </c>
      <c r="N2378" s="114" t="s">
        <v>7730</v>
      </c>
    </row>
    <row r="2379" spans="1:14">
      <c r="A2379" t="s">
        <v>2518</v>
      </c>
      <c r="B2379" s="5" t="s">
        <v>3484</v>
      </c>
      <c r="I2379" s="109"/>
      <c r="J2379" s="109"/>
      <c r="K2379" s="109"/>
      <c r="L2379" s="109" t="str">
        <f t="shared" si="37"/>
        <v>96-966200258</v>
      </c>
      <c r="M2379" s="114">
        <v>966200258</v>
      </c>
      <c r="N2379" s="114" t="s">
        <v>7730</v>
      </c>
    </row>
    <row r="2380" spans="1:14">
      <c r="A2380" t="s">
        <v>2521</v>
      </c>
      <c r="B2380" s="5" t="s">
        <v>3484</v>
      </c>
      <c r="I2380" s="109"/>
      <c r="J2380" s="109"/>
      <c r="K2380" s="109"/>
      <c r="L2380" s="109" t="str">
        <f t="shared" si="37"/>
        <v>95-951900181</v>
      </c>
      <c r="M2380" s="114">
        <v>951900181</v>
      </c>
      <c r="N2380" s="114" t="s">
        <v>7825</v>
      </c>
    </row>
    <row r="2381" spans="1:14">
      <c r="A2381" t="s">
        <v>2523</v>
      </c>
      <c r="B2381" s="5" t="s">
        <v>3484</v>
      </c>
      <c r="I2381" s="109"/>
      <c r="J2381" s="109"/>
      <c r="K2381" s="109"/>
      <c r="L2381" s="109" t="str">
        <f t="shared" si="37"/>
        <v>95-951400027</v>
      </c>
      <c r="M2381" s="114">
        <v>951400027</v>
      </c>
      <c r="N2381" s="114" t="s">
        <v>7826</v>
      </c>
    </row>
    <row r="2382" spans="1:14">
      <c r="A2382" t="s">
        <v>2564</v>
      </c>
      <c r="B2382" s="5" t="s">
        <v>3484</v>
      </c>
      <c r="I2382" s="109"/>
      <c r="J2382" s="109"/>
      <c r="K2382" s="109"/>
      <c r="L2382" s="109" t="str">
        <f t="shared" si="37"/>
        <v>95-951600067</v>
      </c>
      <c r="M2382" s="114">
        <v>951600067</v>
      </c>
      <c r="N2382" s="114" t="s">
        <v>7829</v>
      </c>
    </row>
    <row r="2383" spans="1:14">
      <c r="A2383" t="s">
        <v>2522</v>
      </c>
      <c r="B2383" s="5" t="s">
        <v>3484</v>
      </c>
      <c r="I2383" s="109"/>
      <c r="J2383" s="109"/>
      <c r="K2383" s="109"/>
      <c r="L2383" s="109" t="str">
        <f t="shared" si="37"/>
        <v>95-951600079</v>
      </c>
      <c r="M2383" s="114">
        <v>951600079</v>
      </c>
      <c r="N2383" s="114" t="s">
        <v>7829</v>
      </c>
    </row>
    <row r="2384" spans="1:14">
      <c r="A2384" t="s">
        <v>2519</v>
      </c>
      <c r="B2384" s="5" t="s">
        <v>3484</v>
      </c>
      <c r="I2384" s="109"/>
      <c r="J2384" s="109"/>
      <c r="K2384" s="109"/>
      <c r="L2384" s="109" t="str">
        <f t="shared" si="37"/>
        <v>95-951600085</v>
      </c>
      <c r="M2384" s="114">
        <v>951600085</v>
      </c>
      <c r="N2384" s="114" t="s">
        <v>7830</v>
      </c>
    </row>
    <row r="2385" spans="1:14">
      <c r="A2385" t="s">
        <v>2591</v>
      </c>
      <c r="B2385" s="5" t="s">
        <v>3484</v>
      </c>
      <c r="I2385" s="109"/>
      <c r="J2385" s="109"/>
      <c r="K2385" s="109"/>
      <c r="L2385" s="109" t="str">
        <f t="shared" si="37"/>
        <v>95-951600094</v>
      </c>
      <c r="M2385" s="114">
        <v>951600094</v>
      </c>
      <c r="N2385" s="114" t="s">
        <v>7831</v>
      </c>
    </row>
    <row r="2386" spans="1:14">
      <c r="A2386" t="s">
        <v>2556</v>
      </c>
      <c r="B2386" s="5" t="s">
        <v>3484</v>
      </c>
      <c r="I2386" s="109"/>
      <c r="J2386" s="109"/>
      <c r="K2386" s="109"/>
      <c r="L2386" s="109" t="str">
        <f t="shared" si="37"/>
        <v>95-951900105</v>
      </c>
      <c r="M2386" s="114">
        <v>951900105</v>
      </c>
      <c r="N2386" s="114" t="s">
        <v>7543</v>
      </c>
    </row>
    <row r="2387" spans="1:14">
      <c r="A2387" t="s">
        <v>2565</v>
      </c>
      <c r="B2387" s="5" t="s">
        <v>3484</v>
      </c>
      <c r="I2387" s="109"/>
      <c r="J2387" s="109"/>
      <c r="K2387" s="109"/>
      <c r="L2387" s="109" t="str">
        <f t="shared" si="37"/>
        <v>96-961900134</v>
      </c>
      <c r="M2387" s="114">
        <v>961900134</v>
      </c>
      <c r="N2387" s="114" t="s">
        <v>7544</v>
      </c>
    </row>
    <row r="2388" spans="1:14">
      <c r="A2388" t="s">
        <v>2524</v>
      </c>
      <c r="B2388" s="5" t="s">
        <v>3484</v>
      </c>
      <c r="I2388" s="109"/>
      <c r="J2388" s="109"/>
      <c r="K2388" s="109"/>
      <c r="L2388" s="109" t="str">
        <f t="shared" si="37"/>
        <v>95-951600056</v>
      </c>
      <c r="M2388" s="114">
        <v>951600056</v>
      </c>
      <c r="N2388" s="114" t="s">
        <v>7545</v>
      </c>
    </row>
    <row r="2389" spans="1:14">
      <c r="A2389" t="s">
        <v>2569</v>
      </c>
      <c r="B2389" s="5" t="s">
        <v>3484</v>
      </c>
      <c r="I2389" s="109"/>
      <c r="J2389" s="109"/>
      <c r="K2389" s="109"/>
      <c r="L2389" s="109" t="str">
        <f t="shared" si="37"/>
        <v>95-951600078</v>
      </c>
      <c r="M2389" s="114">
        <v>951600078</v>
      </c>
      <c r="N2389" s="114" t="s">
        <v>7545</v>
      </c>
    </row>
    <row r="2390" spans="1:14">
      <c r="A2390" t="s">
        <v>2585</v>
      </c>
      <c r="B2390" s="5" t="s">
        <v>3484</v>
      </c>
      <c r="I2390" s="109"/>
      <c r="J2390" s="109"/>
      <c r="K2390" s="109"/>
      <c r="L2390" s="109" t="str">
        <f t="shared" si="37"/>
        <v>95-951800092</v>
      </c>
      <c r="M2390" s="114">
        <v>951800092</v>
      </c>
      <c r="N2390" s="114" t="s">
        <v>7546</v>
      </c>
    </row>
    <row r="2391" spans="1:14">
      <c r="A2391" t="s">
        <v>2561</v>
      </c>
      <c r="B2391" s="5" t="s">
        <v>3484</v>
      </c>
      <c r="I2391" s="109"/>
      <c r="J2391" s="109"/>
      <c r="K2391" s="109"/>
      <c r="L2391" s="109" t="str">
        <f t="shared" si="37"/>
        <v>96-961800013</v>
      </c>
      <c r="M2391" s="114">
        <v>961800013</v>
      </c>
      <c r="N2391" s="114" t="s">
        <v>7547</v>
      </c>
    </row>
    <row r="2392" spans="1:14">
      <c r="A2392" t="s">
        <v>2548</v>
      </c>
      <c r="B2392" s="5" t="s">
        <v>3484</v>
      </c>
      <c r="I2392" s="109"/>
      <c r="J2392" s="109"/>
      <c r="K2392" s="109"/>
      <c r="L2392" s="109" t="str">
        <f t="shared" si="37"/>
        <v>95-951900228</v>
      </c>
      <c r="M2392" s="114">
        <v>951900228</v>
      </c>
      <c r="N2392" s="114" t="s">
        <v>7548</v>
      </c>
    </row>
    <row r="2393" spans="1:14">
      <c r="A2393" t="s">
        <v>2583</v>
      </c>
      <c r="B2393" s="5" t="s">
        <v>3484</v>
      </c>
      <c r="I2393" s="109"/>
      <c r="J2393" s="109"/>
      <c r="K2393" s="109"/>
      <c r="L2393" s="109" t="str">
        <f t="shared" si="37"/>
        <v>95-951900250</v>
      </c>
      <c r="M2393" s="114">
        <v>951900250</v>
      </c>
      <c r="N2393" s="114" t="s">
        <v>7548</v>
      </c>
    </row>
    <row r="2394" spans="1:14">
      <c r="A2394" t="s">
        <v>2566</v>
      </c>
      <c r="B2394" s="5" t="s">
        <v>3484</v>
      </c>
      <c r="I2394" s="109"/>
      <c r="J2394" s="109"/>
      <c r="K2394" s="109"/>
      <c r="L2394" s="109" t="str">
        <f t="shared" si="37"/>
        <v>95-951700219</v>
      </c>
      <c r="M2394" s="114">
        <v>951700219</v>
      </c>
      <c r="N2394" s="114" t="s">
        <v>7549</v>
      </c>
    </row>
    <row r="2395" spans="1:14">
      <c r="A2395" t="s">
        <v>2568</v>
      </c>
      <c r="B2395" s="5" t="s">
        <v>3484</v>
      </c>
      <c r="I2395" s="109"/>
      <c r="J2395" s="109"/>
      <c r="K2395" s="109"/>
      <c r="L2395" s="109" t="str">
        <f t="shared" si="37"/>
        <v>95-951700270</v>
      </c>
      <c r="M2395" s="114">
        <v>951700270</v>
      </c>
      <c r="N2395" s="114" t="s">
        <v>7549</v>
      </c>
    </row>
    <row r="2396" spans="1:14">
      <c r="A2396" t="s">
        <v>2545</v>
      </c>
      <c r="B2396" s="5" t="s">
        <v>3484</v>
      </c>
      <c r="I2396" s="109"/>
      <c r="J2396" s="109"/>
      <c r="K2396" s="109"/>
      <c r="L2396" s="109" t="str">
        <f t="shared" si="37"/>
        <v>96-966200166</v>
      </c>
      <c r="M2396" s="114">
        <v>966200166</v>
      </c>
      <c r="N2396" s="114" t="s">
        <v>7859</v>
      </c>
    </row>
    <row r="2397" spans="1:14">
      <c r="A2397" t="s">
        <v>2557</v>
      </c>
      <c r="B2397" s="5" t="s">
        <v>3484</v>
      </c>
      <c r="I2397" s="109"/>
      <c r="J2397" s="109"/>
      <c r="K2397" s="109"/>
      <c r="L2397" s="109" t="str">
        <f t="shared" si="37"/>
        <v>96-966200247</v>
      </c>
      <c r="M2397" s="114">
        <v>966200247</v>
      </c>
      <c r="N2397" s="114" t="s">
        <v>8400</v>
      </c>
    </row>
    <row r="2398" spans="1:14">
      <c r="A2398" t="s">
        <v>2546</v>
      </c>
      <c r="B2398" s="5" t="s">
        <v>3484</v>
      </c>
      <c r="I2398" s="109"/>
      <c r="J2398" s="109"/>
      <c r="K2398" s="109"/>
      <c r="L2398" s="109" t="str">
        <f t="shared" si="37"/>
        <v>96-966200259</v>
      </c>
      <c r="M2398" s="114">
        <v>966200259</v>
      </c>
      <c r="N2398" s="114" t="s">
        <v>7730</v>
      </c>
    </row>
    <row r="2399" spans="1:14">
      <c r="A2399" t="s">
        <v>2551</v>
      </c>
      <c r="B2399" s="5" t="s">
        <v>3484</v>
      </c>
      <c r="I2399" s="109"/>
      <c r="J2399" s="109"/>
      <c r="K2399" s="109"/>
      <c r="L2399" s="109" t="str">
        <f t="shared" si="37"/>
        <v>95-951600039</v>
      </c>
      <c r="M2399" s="114">
        <v>951600039</v>
      </c>
      <c r="N2399" s="114" t="s">
        <v>8401</v>
      </c>
    </row>
    <row r="2400" spans="1:14">
      <c r="A2400" t="s">
        <v>2580</v>
      </c>
      <c r="B2400" s="5" t="s">
        <v>3484</v>
      </c>
      <c r="I2400" s="109"/>
      <c r="J2400" s="109"/>
      <c r="K2400" s="109"/>
      <c r="L2400" s="109" t="str">
        <f t="shared" si="37"/>
        <v>96-961900038</v>
      </c>
      <c r="M2400" s="114">
        <v>961900038</v>
      </c>
      <c r="N2400" s="114" t="s">
        <v>8402</v>
      </c>
    </row>
    <row r="2401" spans="1:14">
      <c r="A2401" t="s">
        <v>2634</v>
      </c>
      <c r="B2401" s="5" t="s">
        <v>3484</v>
      </c>
      <c r="I2401" s="109"/>
      <c r="J2401" s="109"/>
      <c r="K2401" s="109"/>
      <c r="L2401" s="109" t="str">
        <f t="shared" si="37"/>
        <v>95-951600045</v>
      </c>
      <c r="M2401" s="114">
        <v>951600045</v>
      </c>
      <c r="N2401" s="114" t="s">
        <v>7901</v>
      </c>
    </row>
    <row r="2402" spans="1:14">
      <c r="A2402" t="s">
        <v>2581</v>
      </c>
      <c r="B2402" s="5" t="s">
        <v>3484</v>
      </c>
      <c r="I2402" s="109"/>
      <c r="J2402" s="109"/>
      <c r="K2402" s="109"/>
      <c r="L2402" s="109" t="str">
        <f t="shared" si="37"/>
        <v>96-961900064</v>
      </c>
      <c r="M2402" s="114">
        <v>961900064</v>
      </c>
      <c r="N2402" s="114" t="s">
        <v>8403</v>
      </c>
    </row>
    <row r="2403" spans="1:14">
      <c r="A2403" t="s">
        <v>2645</v>
      </c>
      <c r="B2403" s="5" t="s">
        <v>3484</v>
      </c>
      <c r="I2403" s="109"/>
      <c r="J2403" s="109"/>
      <c r="K2403" s="109"/>
      <c r="L2403" s="109" t="str">
        <f t="shared" si="37"/>
        <v>95-951600025</v>
      </c>
      <c r="M2403" s="114">
        <v>951600025</v>
      </c>
      <c r="N2403" s="114" t="s">
        <v>8404</v>
      </c>
    </row>
    <row r="2404" spans="1:14">
      <c r="A2404" t="s">
        <v>2572</v>
      </c>
      <c r="B2404" s="5" t="s">
        <v>3484</v>
      </c>
      <c r="I2404" s="109"/>
      <c r="J2404" s="109"/>
      <c r="K2404" s="109"/>
      <c r="L2404" s="109" t="str">
        <f t="shared" si="37"/>
        <v>95-951600024</v>
      </c>
      <c r="M2404" s="114">
        <v>951600024</v>
      </c>
      <c r="N2404" s="114" t="s">
        <v>8405</v>
      </c>
    </row>
    <row r="2405" spans="1:14">
      <c r="A2405" t="s">
        <v>2560</v>
      </c>
      <c r="B2405" s="5" t="s">
        <v>3484</v>
      </c>
      <c r="I2405" s="109"/>
      <c r="J2405" s="109"/>
      <c r="K2405" s="109"/>
      <c r="L2405" s="109" t="str">
        <f t="shared" si="37"/>
        <v>96-961700113</v>
      </c>
      <c r="M2405" s="114">
        <v>961700113</v>
      </c>
      <c r="N2405" s="114" t="s">
        <v>7160</v>
      </c>
    </row>
    <row r="2406" spans="1:14">
      <c r="A2406" t="s">
        <v>2877</v>
      </c>
      <c r="B2406" s="5" t="s">
        <v>3484</v>
      </c>
      <c r="I2406" s="109"/>
      <c r="J2406" s="109"/>
      <c r="K2406" s="109"/>
      <c r="L2406" s="109" t="str">
        <f t="shared" si="37"/>
        <v>95-951700346</v>
      </c>
      <c r="M2406" s="114">
        <v>951700346</v>
      </c>
      <c r="N2406" s="114" t="s">
        <v>7682</v>
      </c>
    </row>
    <row r="2407" spans="1:14">
      <c r="A2407" t="s">
        <v>2547</v>
      </c>
      <c r="B2407" s="5" t="s">
        <v>3484</v>
      </c>
      <c r="I2407" s="109"/>
      <c r="J2407" s="109"/>
      <c r="K2407" s="109"/>
      <c r="L2407" s="109" t="str">
        <f t="shared" si="37"/>
        <v>95-951400095</v>
      </c>
      <c r="M2407" s="114">
        <v>951400095</v>
      </c>
      <c r="N2407" s="114" t="s">
        <v>7188</v>
      </c>
    </row>
    <row r="2408" spans="1:14">
      <c r="A2408" t="s">
        <v>2562</v>
      </c>
      <c r="B2408" s="5" t="s">
        <v>3484</v>
      </c>
      <c r="I2408" s="109"/>
      <c r="J2408" s="109"/>
      <c r="K2408" s="109"/>
      <c r="L2408" s="109" t="str">
        <f t="shared" si="37"/>
        <v>95-951400150</v>
      </c>
      <c r="M2408" s="114">
        <v>951400150</v>
      </c>
      <c r="N2408" s="114" t="s">
        <v>7832</v>
      </c>
    </row>
    <row r="2409" spans="1:14">
      <c r="A2409" t="s">
        <v>2771</v>
      </c>
      <c r="B2409" s="5" t="s">
        <v>3484</v>
      </c>
      <c r="I2409" s="109"/>
      <c r="J2409" s="109"/>
      <c r="K2409" s="109"/>
      <c r="L2409" s="109" t="str">
        <f t="shared" si="37"/>
        <v>95-951300017</v>
      </c>
      <c r="M2409" s="114">
        <v>951300017</v>
      </c>
      <c r="N2409" s="114" t="s">
        <v>7833</v>
      </c>
    </row>
    <row r="2410" spans="1:14">
      <c r="A2410" t="s">
        <v>2763</v>
      </c>
      <c r="B2410" s="5" t="s">
        <v>3484</v>
      </c>
      <c r="I2410" s="109"/>
      <c r="J2410" s="109"/>
      <c r="K2410" s="109"/>
      <c r="L2410" s="109" t="str">
        <f t="shared" si="37"/>
        <v>96-961700103</v>
      </c>
      <c r="M2410" s="114">
        <v>961700103</v>
      </c>
      <c r="N2410" s="114" t="s">
        <v>7553</v>
      </c>
    </row>
    <row r="2411" spans="1:14">
      <c r="A2411" t="s">
        <v>2768</v>
      </c>
      <c r="B2411" s="5" t="s">
        <v>3484</v>
      </c>
      <c r="I2411" s="109"/>
      <c r="J2411" s="109"/>
      <c r="K2411" s="109"/>
      <c r="L2411" s="109" t="str">
        <f t="shared" si="37"/>
        <v>96-961800047</v>
      </c>
      <c r="M2411" s="114">
        <v>961800047</v>
      </c>
      <c r="N2411" s="114" t="s">
        <v>7554</v>
      </c>
    </row>
    <row r="2412" spans="1:14">
      <c r="A2412" t="s">
        <v>2873</v>
      </c>
      <c r="B2412" s="5" t="s">
        <v>3484</v>
      </c>
      <c r="I2412" s="109"/>
      <c r="J2412" s="109"/>
      <c r="K2412" s="109"/>
      <c r="L2412" s="109" t="str">
        <f t="shared" si="37"/>
        <v>95-951100088</v>
      </c>
      <c r="M2412" s="114">
        <v>951100088</v>
      </c>
      <c r="N2412" s="114" t="s">
        <v>7555</v>
      </c>
    </row>
    <row r="2413" spans="1:14">
      <c r="A2413" t="s">
        <v>2767</v>
      </c>
      <c r="B2413" s="5" t="s">
        <v>3484</v>
      </c>
      <c r="I2413" s="109"/>
      <c r="J2413" s="109"/>
      <c r="K2413" s="109"/>
      <c r="L2413" s="109" t="str">
        <f t="shared" si="37"/>
        <v>95-951600087</v>
      </c>
      <c r="M2413" s="114">
        <v>951600087</v>
      </c>
      <c r="N2413" s="114" t="s">
        <v>7556</v>
      </c>
    </row>
    <row r="2414" spans="1:14">
      <c r="A2414" t="s">
        <v>2765</v>
      </c>
      <c r="B2414" s="5" t="s">
        <v>3484</v>
      </c>
      <c r="I2414" s="109"/>
      <c r="J2414" s="109"/>
      <c r="K2414" s="109"/>
      <c r="L2414" s="109" t="str">
        <f t="shared" si="37"/>
        <v>96-961100059</v>
      </c>
      <c r="M2414" s="114">
        <v>961100059</v>
      </c>
      <c r="N2414" s="114" t="s">
        <v>7557</v>
      </c>
    </row>
    <row r="2415" spans="1:14">
      <c r="A2415" t="s">
        <v>2871</v>
      </c>
      <c r="B2415" s="5" t="s">
        <v>3484</v>
      </c>
      <c r="I2415" s="109"/>
      <c r="J2415" s="109"/>
      <c r="K2415" s="109"/>
      <c r="L2415" s="109" t="str">
        <f t="shared" si="37"/>
        <v>95-951700085</v>
      </c>
      <c r="M2415" s="114">
        <v>951700085</v>
      </c>
      <c r="N2415" s="114" t="s">
        <v>7558</v>
      </c>
    </row>
    <row r="2416" spans="1:14">
      <c r="A2416" t="s">
        <v>2587</v>
      </c>
      <c r="B2416" s="5" t="s">
        <v>3484</v>
      </c>
      <c r="I2416" s="109"/>
      <c r="J2416" s="109"/>
      <c r="K2416" s="109"/>
      <c r="L2416" s="109" t="str">
        <f t="shared" si="37"/>
        <v>95-951200080</v>
      </c>
      <c r="M2416" s="114">
        <v>951200080</v>
      </c>
      <c r="N2416" s="114" t="s">
        <v>7226</v>
      </c>
    </row>
    <row r="2417" spans="1:14">
      <c r="A2417" t="s">
        <v>2579</v>
      </c>
      <c r="B2417" s="5" t="s">
        <v>3484</v>
      </c>
      <c r="I2417" s="109"/>
      <c r="J2417" s="109"/>
      <c r="K2417" s="109"/>
      <c r="L2417" s="109" t="str">
        <f t="shared" si="37"/>
        <v>95-951200091</v>
      </c>
      <c r="M2417" s="114">
        <v>951200091</v>
      </c>
      <c r="N2417" s="114" t="s">
        <v>7151</v>
      </c>
    </row>
    <row r="2418" spans="1:14">
      <c r="A2418" t="s">
        <v>2762</v>
      </c>
      <c r="B2418" s="5" t="s">
        <v>3484</v>
      </c>
      <c r="I2418" s="109"/>
      <c r="J2418" s="109"/>
      <c r="K2418" s="109"/>
      <c r="L2418" s="109" t="str">
        <f t="shared" si="37"/>
        <v>95-951500101</v>
      </c>
      <c r="M2418" s="114">
        <v>951500101</v>
      </c>
      <c r="N2418" s="114" t="s">
        <v>5618</v>
      </c>
    </row>
    <row r="2419" spans="1:14">
      <c r="A2419" t="s">
        <v>3107</v>
      </c>
      <c r="B2419" s="5" t="s">
        <v>3484</v>
      </c>
      <c r="I2419" s="109"/>
      <c r="J2419" s="109"/>
      <c r="K2419" s="109"/>
      <c r="L2419" s="109" t="str">
        <f t="shared" si="37"/>
        <v>95-952200017</v>
      </c>
      <c r="M2419" s="114">
        <v>952200017</v>
      </c>
      <c r="N2419" s="114" t="s">
        <v>7174</v>
      </c>
    </row>
    <row r="2420" spans="1:14">
      <c r="A2420" t="s">
        <v>3054</v>
      </c>
      <c r="B2420" s="5" t="s">
        <v>3484</v>
      </c>
      <c r="I2420" s="109"/>
      <c r="J2420" s="109"/>
      <c r="K2420" s="109"/>
      <c r="L2420" s="109" t="str">
        <f t="shared" si="37"/>
        <v>95-952200029</v>
      </c>
      <c r="M2420" s="114">
        <v>952200029</v>
      </c>
      <c r="N2420" s="114" t="s">
        <v>7174</v>
      </c>
    </row>
    <row r="2421" spans="1:14">
      <c r="A2421" t="s">
        <v>2770</v>
      </c>
      <c r="B2421" s="5" t="s">
        <v>3484</v>
      </c>
      <c r="I2421" s="109"/>
      <c r="J2421" s="109"/>
      <c r="K2421" s="109"/>
      <c r="L2421" s="109" t="str">
        <f t="shared" si="37"/>
        <v>95-951900070</v>
      </c>
      <c r="M2421" s="114">
        <v>951900070</v>
      </c>
      <c r="N2421" s="114" t="s">
        <v>7837</v>
      </c>
    </row>
    <row r="2422" spans="1:14">
      <c r="A2422" t="s">
        <v>2891</v>
      </c>
      <c r="B2422" s="5" t="s">
        <v>3484</v>
      </c>
      <c r="I2422" s="109"/>
      <c r="J2422" s="109"/>
      <c r="K2422" s="109"/>
      <c r="L2422" s="109" t="str">
        <f t="shared" si="37"/>
        <v>96-961900042</v>
      </c>
      <c r="M2422" s="114">
        <v>961900042</v>
      </c>
      <c r="N2422" s="114" t="s">
        <v>7838</v>
      </c>
    </row>
    <row r="2423" spans="1:14">
      <c r="A2423" t="s">
        <v>2636</v>
      </c>
      <c r="B2423" s="5" t="s">
        <v>3484</v>
      </c>
      <c r="I2423" s="109"/>
      <c r="J2423" s="109"/>
      <c r="K2423" s="109"/>
      <c r="L2423" s="109" t="str">
        <f t="shared" si="37"/>
        <v>95-951600082</v>
      </c>
      <c r="M2423" s="114">
        <v>951600082</v>
      </c>
      <c r="N2423" s="114" t="s">
        <v>7839</v>
      </c>
    </row>
    <row r="2424" spans="1:14">
      <c r="A2424" t="s">
        <v>2575</v>
      </c>
      <c r="B2424" s="5" t="s">
        <v>3484</v>
      </c>
      <c r="I2424" s="109"/>
      <c r="J2424" s="109"/>
      <c r="K2424" s="109"/>
      <c r="L2424" s="109" t="str">
        <f t="shared" si="37"/>
        <v>96-961900173</v>
      </c>
      <c r="M2424" s="114">
        <v>961900173</v>
      </c>
      <c r="N2424" s="114" t="s">
        <v>8735</v>
      </c>
    </row>
    <row r="2425" spans="1:14">
      <c r="A2425" t="s">
        <v>2655</v>
      </c>
      <c r="B2425" s="5" t="s">
        <v>3484</v>
      </c>
      <c r="I2425" s="109"/>
      <c r="J2425" s="109"/>
      <c r="K2425" s="109"/>
      <c r="L2425" s="109" t="str">
        <f t="shared" si="37"/>
        <v>95-951900063</v>
      </c>
      <c r="M2425" s="114">
        <v>951900063</v>
      </c>
      <c r="N2425" s="114" t="s">
        <v>7840</v>
      </c>
    </row>
    <row r="2426" spans="1:14">
      <c r="A2426" t="s">
        <v>2631</v>
      </c>
      <c r="B2426" s="5" t="s">
        <v>3484</v>
      </c>
      <c r="I2426" s="109"/>
      <c r="J2426" s="109"/>
      <c r="K2426" s="109"/>
      <c r="L2426" s="109" t="str">
        <f t="shared" si="37"/>
        <v>95-951900273</v>
      </c>
      <c r="M2426" s="114">
        <v>951900273</v>
      </c>
      <c r="N2426" s="114" t="s">
        <v>7611</v>
      </c>
    </row>
    <row r="2427" spans="1:14">
      <c r="A2427" t="s">
        <v>2628</v>
      </c>
      <c r="B2427" s="5" t="s">
        <v>3484</v>
      </c>
      <c r="I2427" s="109"/>
      <c r="J2427" s="109"/>
      <c r="K2427" s="109"/>
      <c r="L2427" s="109" t="str">
        <f t="shared" si="37"/>
        <v>95-951600098</v>
      </c>
      <c r="M2427" s="114">
        <v>951600098</v>
      </c>
      <c r="N2427" s="114" t="s">
        <v>7800</v>
      </c>
    </row>
    <row r="2428" spans="1:14">
      <c r="A2428" t="s">
        <v>2632</v>
      </c>
      <c r="B2428" s="5" t="s">
        <v>3484</v>
      </c>
      <c r="I2428" s="109"/>
      <c r="J2428" s="109"/>
      <c r="K2428" s="109"/>
      <c r="L2428" s="109" t="str">
        <f t="shared" si="37"/>
        <v>96-961800021</v>
      </c>
      <c r="M2428" s="114">
        <v>961800021</v>
      </c>
      <c r="N2428" s="114" t="s">
        <v>7845</v>
      </c>
    </row>
    <row r="2429" spans="1:14">
      <c r="A2429" t="s">
        <v>2637</v>
      </c>
      <c r="B2429" s="5" t="s">
        <v>3484</v>
      </c>
      <c r="I2429" s="109"/>
      <c r="J2429" s="109"/>
      <c r="K2429" s="109"/>
      <c r="L2429" s="109" t="str">
        <f t="shared" si="37"/>
        <v>95-956100024</v>
      </c>
      <c r="M2429" s="114">
        <v>956100024</v>
      </c>
      <c r="N2429" s="114" t="s">
        <v>7610</v>
      </c>
    </row>
    <row r="2430" spans="1:14">
      <c r="A2430" t="s">
        <v>2550</v>
      </c>
      <c r="B2430" s="5" t="s">
        <v>3484</v>
      </c>
      <c r="I2430" s="109"/>
      <c r="J2430" s="109"/>
      <c r="K2430" s="109"/>
      <c r="L2430" s="109" t="str">
        <f t="shared" si="37"/>
        <v>95-951100135</v>
      </c>
      <c r="M2430" s="114">
        <v>951100135</v>
      </c>
      <c r="N2430" s="114" t="s">
        <v>7803</v>
      </c>
    </row>
    <row r="2431" spans="1:14">
      <c r="A2431" t="s">
        <v>2555</v>
      </c>
      <c r="B2431" s="5" t="s">
        <v>3484</v>
      </c>
      <c r="I2431" s="109"/>
      <c r="J2431" s="109"/>
      <c r="K2431" s="109"/>
      <c r="L2431" s="109" t="str">
        <f t="shared" si="37"/>
        <v>96-961700035</v>
      </c>
      <c r="M2431" s="114">
        <v>961700035</v>
      </c>
      <c r="N2431" s="114" t="s">
        <v>7562</v>
      </c>
    </row>
    <row r="2432" spans="1:14">
      <c r="A2432" t="s">
        <v>2554</v>
      </c>
      <c r="B2432" s="5" t="s">
        <v>3484</v>
      </c>
      <c r="I2432" s="109"/>
      <c r="J2432" s="109"/>
      <c r="K2432" s="109"/>
      <c r="L2432" s="109" t="str">
        <f t="shared" si="37"/>
        <v>95-951100018</v>
      </c>
      <c r="M2432" s="114">
        <v>951100018</v>
      </c>
      <c r="N2432" s="114" t="s">
        <v>7563</v>
      </c>
    </row>
    <row r="2433" spans="1:14">
      <c r="A2433" t="s">
        <v>2552</v>
      </c>
      <c r="B2433" s="5" t="s">
        <v>3484</v>
      </c>
      <c r="I2433" s="109"/>
      <c r="J2433" s="109"/>
      <c r="K2433" s="109"/>
      <c r="L2433" s="109" t="str">
        <f t="shared" si="37"/>
        <v>95-951900140</v>
      </c>
      <c r="M2433" s="114">
        <v>951900140</v>
      </c>
      <c r="N2433" s="114" t="s">
        <v>7564</v>
      </c>
    </row>
    <row r="2434" spans="1:14">
      <c r="A2434" t="s">
        <v>2571</v>
      </c>
      <c r="B2434" s="5" t="s">
        <v>3484</v>
      </c>
      <c r="I2434" s="109"/>
      <c r="J2434" s="109"/>
      <c r="K2434" s="109"/>
      <c r="L2434" s="109" t="str">
        <f t="shared" si="37"/>
        <v>95-956200207</v>
      </c>
      <c r="M2434" s="114">
        <v>956200207</v>
      </c>
      <c r="N2434" s="114" t="s">
        <v>7357</v>
      </c>
    </row>
    <row r="2435" spans="1:14">
      <c r="A2435" t="s">
        <v>2885</v>
      </c>
      <c r="B2435" s="5" t="s">
        <v>3484</v>
      </c>
      <c r="I2435" s="109"/>
      <c r="J2435" s="109"/>
      <c r="K2435" s="109"/>
      <c r="L2435" s="109" t="str">
        <f t="shared" ref="L2435:L2498" si="38">MID(M2435,1,2)&amp;"-"&amp;M2435</f>
        <v>95-952200027</v>
      </c>
      <c r="M2435" s="114">
        <v>952200027</v>
      </c>
      <c r="N2435" s="114" t="s">
        <v>7126</v>
      </c>
    </row>
    <row r="2436" spans="1:14">
      <c r="A2436" t="s">
        <v>2570</v>
      </c>
      <c r="B2436" s="5" t="s">
        <v>3484</v>
      </c>
      <c r="I2436" s="109"/>
      <c r="J2436" s="109"/>
      <c r="K2436" s="109"/>
      <c r="L2436" s="109" t="str">
        <f t="shared" si="38"/>
        <v>95-952200055</v>
      </c>
      <c r="M2436" s="114">
        <v>952200055</v>
      </c>
      <c r="N2436" s="114" t="s">
        <v>7226</v>
      </c>
    </row>
    <row r="2437" spans="1:14">
      <c r="A2437" t="s">
        <v>2760</v>
      </c>
      <c r="B2437" s="5" t="s">
        <v>3484</v>
      </c>
      <c r="I2437" s="109"/>
      <c r="J2437" s="109"/>
      <c r="K2437" s="109"/>
      <c r="L2437" s="109" t="str">
        <f t="shared" si="38"/>
        <v>96-962200062</v>
      </c>
      <c r="M2437" s="114">
        <v>962200062</v>
      </c>
      <c r="N2437" s="114" t="s">
        <v>7452</v>
      </c>
    </row>
    <row r="2438" spans="1:14">
      <c r="A2438" t="s">
        <v>2878</v>
      </c>
      <c r="B2438" s="5" t="s">
        <v>3484</v>
      </c>
      <c r="I2438" s="109"/>
      <c r="J2438" s="109"/>
      <c r="K2438" s="109"/>
      <c r="L2438" s="109" t="str">
        <f t="shared" si="38"/>
        <v>95-951900295</v>
      </c>
      <c r="M2438" s="114">
        <v>951900295</v>
      </c>
      <c r="N2438" s="114" t="s">
        <v>7612</v>
      </c>
    </row>
    <row r="2439" spans="1:14">
      <c r="A2439" t="s">
        <v>3058</v>
      </c>
      <c r="B2439" s="5" t="s">
        <v>3484</v>
      </c>
      <c r="I2439" s="109"/>
      <c r="J2439" s="109"/>
      <c r="K2439" s="109"/>
      <c r="L2439" s="109" t="str">
        <f t="shared" si="38"/>
        <v>96-961700024</v>
      </c>
      <c r="M2439" s="114">
        <v>961700024</v>
      </c>
      <c r="N2439" s="114" t="s">
        <v>7846</v>
      </c>
    </row>
    <row r="2440" spans="1:14">
      <c r="A2440" t="s">
        <v>2549</v>
      </c>
      <c r="B2440" s="5" t="s">
        <v>3484</v>
      </c>
      <c r="I2440" s="109"/>
      <c r="J2440" s="109"/>
      <c r="K2440" s="109"/>
      <c r="L2440" s="109" t="str">
        <f t="shared" si="38"/>
        <v>96-961700056</v>
      </c>
      <c r="M2440" s="114">
        <v>961700056</v>
      </c>
      <c r="N2440" s="114" t="s">
        <v>7706</v>
      </c>
    </row>
    <row r="2441" spans="1:14">
      <c r="A2441" t="s">
        <v>2573</v>
      </c>
      <c r="B2441" s="5" t="s">
        <v>3484</v>
      </c>
      <c r="I2441" s="109"/>
      <c r="J2441" s="109"/>
      <c r="K2441" s="109"/>
      <c r="L2441" s="109" t="str">
        <f t="shared" si="38"/>
        <v>95-951900314</v>
      </c>
      <c r="M2441" s="114">
        <v>951900314</v>
      </c>
      <c r="N2441" s="114" t="s">
        <v>7847</v>
      </c>
    </row>
    <row r="2442" spans="1:14">
      <c r="A2442" t="s">
        <v>2563</v>
      </c>
      <c r="B2442" s="5" t="s">
        <v>3484</v>
      </c>
      <c r="I2442" s="109"/>
      <c r="J2442" s="109"/>
      <c r="K2442" s="109"/>
      <c r="L2442" s="109" t="str">
        <f t="shared" si="38"/>
        <v>96-966200069</v>
      </c>
      <c r="M2442" s="114">
        <v>966200069</v>
      </c>
      <c r="N2442" s="114" t="s">
        <v>7709</v>
      </c>
    </row>
    <row r="2443" spans="1:14">
      <c r="A2443" t="s">
        <v>3059</v>
      </c>
      <c r="B2443" s="5" t="s">
        <v>3484</v>
      </c>
      <c r="I2443" s="109"/>
      <c r="J2443" s="109"/>
      <c r="K2443" s="109"/>
      <c r="L2443" s="109" t="str">
        <f t="shared" si="38"/>
        <v>96-966200288</v>
      </c>
      <c r="M2443" s="114">
        <v>966200288</v>
      </c>
      <c r="N2443" s="114" t="s">
        <v>7210</v>
      </c>
    </row>
    <row r="2444" spans="1:14">
      <c r="A2444" t="s">
        <v>2761</v>
      </c>
      <c r="B2444" s="5" t="s">
        <v>3484</v>
      </c>
      <c r="I2444" s="109"/>
      <c r="J2444" s="109"/>
      <c r="K2444" s="109"/>
      <c r="L2444" s="109" t="str">
        <f t="shared" si="38"/>
        <v>95-951800042</v>
      </c>
      <c r="M2444" s="114">
        <v>951800042</v>
      </c>
      <c r="N2444" s="114" t="s">
        <v>7568</v>
      </c>
    </row>
    <row r="2445" spans="1:14">
      <c r="A2445" t="s">
        <v>2627</v>
      </c>
      <c r="B2445" s="5" t="s">
        <v>3484</v>
      </c>
      <c r="I2445" s="109"/>
      <c r="J2445" s="109"/>
      <c r="K2445" s="109"/>
      <c r="L2445" s="109" t="str">
        <f t="shared" si="38"/>
        <v>96-961800057</v>
      </c>
      <c r="M2445" s="114">
        <v>961800057</v>
      </c>
      <c r="N2445" s="114" t="s">
        <v>7569</v>
      </c>
    </row>
    <row r="2446" spans="1:14">
      <c r="A2446" t="s">
        <v>2879</v>
      </c>
      <c r="B2446" s="5" t="s">
        <v>3484</v>
      </c>
      <c r="I2446" s="109"/>
      <c r="J2446" s="109"/>
      <c r="K2446" s="109"/>
      <c r="L2446" s="109" t="str">
        <f t="shared" si="38"/>
        <v>95-951100106</v>
      </c>
      <c r="M2446" s="114">
        <v>951100106</v>
      </c>
      <c r="N2446" s="114" t="s">
        <v>7570</v>
      </c>
    </row>
    <row r="2447" spans="1:14">
      <c r="A2447" t="s">
        <v>2633</v>
      </c>
      <c r="B2447" s="5" t="s">
        <v>3484</v>
      </c>
      <c r="I2447" s="109"/>
      <c r="J2447" s="109"/>
      <c r="K2447" s="109"/>
      <c r="L2447" s="109" t="str">
        <f t="shared" si="38"/>
        <v>95-951900148</v>
      </c>
      <c r="M2447" s="114">
        <v>951900148</v>
      </c>
      <c r="N2447" s="114" t="s">
        <v>7571</v>
      </c>
    </row>
    <row r="2448" spans="1:14">
      <c r="A2448" t="s">
        <v>2630</v>
      </c>
      <c r="B2448" s="5" t="s">
        <v>3484</v>
      </c>
      <c r="I2448" s="109"/>
      <c r="J2448" s="109"/>
      <c r="K2448" s="109"/>
      <c r="L2448" s="109" t="str">
        <f t="shared" si="38"/>
        <v>96-961900137</v>
      </c>
      <c r="M2448" s="114">
        <v>961900137</v>
      </c>
      <c r="N2448" s="114" t="s">
        <v>7572</v>
      </c>
    </row>
    <row r="2449" spans="1:14">
      <c r="A2449" t="s">
        <v>2625</v>
      </c>
      <c r="B2449" s="5" t="s">
        <v>3484</v>
      </c>
      <c r="I2449" s="109"/>
      <c r="J2449" s="109"/>
      <c r="K2449" s="109"/>
      <c r="L2449" s="109" t="str">
        <f t="shared" si="38"/>
        <v>95-952500065</v>
      </c>
      <c r="M2449" s="114">
        <v>952500065</v>
      </c>
      <c r="N2449" s="114" t="s">
        <v>5642</v>
      </c>
    </row>
    <row r="2450" spans="1:14">
      <c r="A2450" t="s">
        <v>2638</v>
      </c>
      <c r="B2450" s="5" t="s">
        <v>3484</v>
      </c>
      <c r="I2450" s="109"/>
      <c r="J2450" s="109"/>
      <c r="K2450" s="109"/>
      <c r="L2450" s="109" t="str">
        <f t="shared" si="38"/>
        <v>95-952500073</v>
      </c>
      <c r="M2450" s="114">
        <v>952500073</v>
      </c>
      <c r="N2450" s="114" t="s">
        <v>5726</v>
      </c>
    </row>
    <row r="2451" spans="1:14">
      <c r="A2451" t="s">
        <v>2624</v>
      </c>
      <c r="B2451" s="5" t="s">
        <v>3484</v>
      </c>
      <c r="I2451" s="109"/>
      <c r="J2451" s="109"/>
      <c r="K2451" s="109"/>
      <c r="L2451" s="109" t="str">
        <f t="shared" si="38"/>
        <v>96-962500008</v>
      </c>
      <c r="M2451" s="114">
        <v>962500008</v>
      </c>
      <c r="N2451" s="114" t="s">
        <v>5758</v>
      </c>
    </row>
    <row r="2452" spans="1:14">
      <c r="A2452" t="s">
        <v>2639</v>
      </c>
      <c r="B2452" s="5" t="s">
        <v>3484</v>
      </c>
      <c r="I2452" s="109"/>
      <c r="J2452" s="109"/>
      <c r="K2452" s="109"/>
      <c r="L2452" s="109" t="str">
        <f t="shared" si="38"/>
        <v>96-962500091</v>
      </c>
      <c r="M2452" s="114">
        <v>962500091</v>
      </c>
      <c r="N2452" s="114" t="s">
        <v>7231</v>
      </c>
    </row>
    <row r="2453" spans="1:14">
      <c r="A2453" t="s">
        <v>2888</v>
      </c>
      <c r="B2453" s="5" t="s">
        <v>3484</v>
      </c>
      <c r="I2453" s="109"/>
      <c r="J2453" s="109"/>
      <c r="K2453" s="109"/>
      <c r="L2453" s="109" t="str">
        <f t="shared" si="38"/>
        <v>96-962500118</v>
      </c>
      <c r="M2453" s="114">
        <v>962500118</v>
      </c>
      <c r="N2453" s="114" t="s">
        <v>7175</v>
      </c>
    </row>
    <row r="2454" spans="1:14">
      <c r="A2454" t="s">
        <v>2652</v>
      </c>
      <c r="B2454" s="5" t="s">
        <v>3484</v>
      </c>
      <c r="I2454" s="109"/>
      <c r="J2454" s="109"/>
      <c r="K2454" s="109"/>
      <c r="L2454" s="109" t="str">
        <f t="shared" si="38"/>
        <v>96-962500021</v>
      </c>
      <c r="M2454" s="114">
        <v>962500021</v>
      </c>
      <c r="N2454" s="114" t="s">
        <v>5780</v>
      </c>
    </row>
    <row r="2455" spans="1:14">
      <c r="A2455" t="s">
        <v>2805</v>
      </c>
      <c r="B2455" s="5" t="s">
        <v>3484</v>
      </c>
      <c r="I2455" s="109"/>
      <c r="J2455" s="109"/>
      <c r="K2455" s="109"/>
      <c r="L2455" s="109" t="str">
        <f t="shared" si="38"/>
        <v>96-962500066</v>
      </c>
      <c r="M2455" s="114">
        <v>962500066</v>
      </c>
      <c r="N2455" s="114" t="s">
        <v>5841</v>
      </c>
    </row>
    <row r="2456" spans="1:14">
      <c r="A2456" t="s">
        <v>2887</v>
      </c>
      <c r="B2456" s="5" t="s">
        <v>3484</v>
      </c>
      <c r="I2456" s="109"/>
      <c r="J2456" s="109"/>
      <c r="K2456" s="109"/>
      <c r="L2456" s="109" t="str">
        <f t="shared" si="38"/>
        <v>96-962500129</v>
      </c>
      <c r="M2456" s="114">
        <v>962500129</v>
      </c>
      <c r="N2456" s="114" t="s">
        <v>7211</v>
      </c>
    </row>
    <row r="2457" spans="1:14">
      <c r="A2457" t="s">
        <v>2894</v>
      </c>
      <c r="B2457" s="5" t="s">
        <v>3484</v>
      </c>
      <c r="I2457" s="109"/>
      <c r="J2457" s="109"/>
      <c r="K2457" s="109"/>
      <c r="L2457" s="109" t="str">
        <f t="shared" si="38"/>
        <v>96-962500090</v>
      </c>
      <c r="M2457" s="114">
        <v>962500090</v>
      </c>
      <c r="N2457" s="114" t="s">
        <v>5856</v>
      </c>
    </row>
    <row r="2458" spans="1:14">
      <c r="A2458" t="s">
        <v>2874</v>
      </c>
      <c r="B2458" s="5" t="s">
        <v>3484</v>
      </c>
      <c r="I2458" s="109"/>
      <c r="J2458" s="109"/>
      <c r="K2458" s="109"/>
      <c r="L2458" s="109" t="str">
        <f t="shared" si="38"/>
        <v>95-954200027</v>
      </c>
      <c r="M2458" s="114">
        <v>954200027</v>
      </c>
      <c r="N2458" s="114" t="s">
        <v>5643</v>
      </c>
    </row>
    <row r="2459" spans="1:14">
      <c r="A2459" t="s">
        <v>2893</v>
      </c>
      <c r="B2459" s="5" t="s">
        <v>3484</v>
      </c>
      <c r="I2459" s="109"/>
      <c r="J2459" s="109"/>
      <c r="K2459" s="109"/>
      <c r="L2459" s="109" t="str">
        <f t="shared" si="38"/>
        <v>95-956200189</v>
      </c>
      <c r="M2459" s="114">
        <v>956200189</v>
      </c>
      <c r="N2459" s="114" t="s">
        <v>7852</v>
      </c>
    </row>
    <row r="2460" spans="1:14">
      <c r="A2460" t="s">
        <v>2775</v>
      </c>
      <c r="B2460" s="5" t="s">
        <v>3484</v>
      </c>
      <c r="I2460" s="109"/>
      <c r="J2460" s="109"/>
      <c r="K2460" s="109"/>
      <c r="L2460" s="109" t="str">
        <f t="shared" si="38"/>
        <v>96-966200283</v>
      </c>
      <c r="M2460" s="114">
        <v>966200283</v>
      </c>
      <c r="N2460" s="114" t="s">
        <v>7210</v>
      </c>
    </row>
    <row r="2461" spans="1:14">
      <c r="A2461" t="s">
        <v>3056</v>
      </c>
      <c r="B2461" s="5" t="s">
        <v>3484</v>
      </c>
      <c r="I2461" s="109"/>
      <c r="J2461" s="109"/>
      <c r="K2461" s="109"/>
      <c r="L2461" s="109" t="str">
        <f t="shared" si="38"/>
        <v>95-951400064</v>
      </c>
      <c r="M2461" s="114">
        <v>951400064</v>
      </c>
      <c r="N2461" s="114" t="s">
        <v>7853</v>
      </c>
    </row>
    <row r="2462" spans="1:14">
      <c r="A2462" t="s">
        <v>3211</v>
      </c>
      <c r="B2462" s="5" t="s">
        <v>3484</v>
      </c>
      <c r="I2462" s="109"/>
      <c r="J2462" s="109"/>
      <c r="K2462" s="109"/>
      <c r="L2462" s="109" t="str">
        <f t="shared" si="38"/>
        <v>96-961400008</v>
      </c>
      <c r="M2462" s="114">
        <v>961400008</v>
      </c>
      <c r="N2462" s="114" t="s">
        <v>7854</v>
      </c>
    </row>
    <row r="2463" spans="1:14">
      <c r="A2463" t="s">
        <v>2759</v>
      </c>
      <c r="B2463" s="5" t="s">
        <v>3484</v>
      </c>
      <c r="I2463" s="109"/>
      <c r="J2463" s="109"/>
      <c r="K2463" s="109"/>
      <c r="L2463" s="109" t="str">
        <f t="shared" si="38"/>
        <v>95-951400048</v>
      </c>
      <c r="M2463" s="114">
        <v>951400048</v>
      </c>
      <c r="N2463" s="114" t="s">
        <v>7856</v>
      </c>
    </row>
    <row r="2464" spans="1:14">
      <c r="A2464" t="s">
        <v>2641</v>
      </c>
      <c r="B2464" s="5" t="s">
        <v>3484</v>
      </c>
      <c r="I2464" s="109"/>
      <c r="J2464" s="109"/>
      <c r="K2464" s="109"/>
      <c r="L2464" s="109" t="str">
        <f t="shared" si="38"/>
        <v>95-951400171</v>
      </c>
      <c r="M2464" s="114">
        <v>951400171</v>
      </c>
      <c r="N2464" s="114" t="s">
        <v>7857</v>
      </c>
    </row>
    <row r="2465" spans="1:14">
      <c r="A2465" t="s">
        <v>2884</v>
      </c>
      <c r="B2465" s="5" t="s">
        <v>3484</v>
      </c>
      <c r="I2465" s="109"/>
      <c r="J2465" s="109"/>
      <c r="K2465" s="109"/>
      <c r="L2465" s="109" t="str">
        <f t="shared" si="38"/>
        <v>95-951900276</v>
      </c>
      <c r="M2465" s="114">
        <v>951900276</v>
      </c>
      <c r="N2465" s="114" t="s">
        <v>7578</v>
      </c>
    </row>
    <row r="2466" spans="1:14">
      <c r="A2466" t="s">
        <v>2882</v>
      </c>
      <c r="B2466" s="5" t="s">
        <v>3484</v>
      </c>
      <c r="I2466" s="109"/>
      <c r="J2466" s="109"/>
      <c r="K2466" s="109"/>
      <c r="L2466" s="109" t="str">
        <f t="shared" si="38"/>
        <v>95-951600042</v>
      </c>
      <c r="M2466" s="114">
        <v>951600042</v>
      </c>
      <c r="N2466" s="114" t="s">
        <v>7579</v>
      </c>
    </row>
    <row r="2467" spans="1:14">
      <c r="A2467" t="s">
        <v>2892</v>
      </c>
      <c r="B2467" s="5" t="s">
        <v>3484</v>
      </c>
      <c r="I2467" s="109"/>
      <c r="J2467" s="109"/>
      <c r="K2467" s="109"/>
      <c r="L2467" s="109" t="str">
        <f t="shared" si="38"/>
        <v>96-961800035</v>
      </c>
      <c r="M2467" s="114">
        <v>961800035</v>
      </c>
      <c r="N2467" s="114" t="s">
        <v>7585</v>
      </c>
    </row>
    <row r="2468" spans="1:14">
      <c r="A2468" t="s">
        <v>2663</v>
      </c>
      <c r="B2468" s="5" t="s">
        <v>3484</v>
      </c>
      <c r="I2468" s="109"/>
      <c r="J2468" s="109"/>
      <c r="K2468" s="109"/>
      <c r="L2468" s="109" t="str">
        <f t="shared" si="38"/>
        <v>95-951900007</v>
      </c>
      <c r="M2468" s="114">
        <v>951900007</v>
      </c>
      <c r="N2468" s="114" t="s">
        <v>7586</v>
      </c>
    </row>
    <row r="2469" spans="1:14">
      <c r="A2469" t="s">
        <v>2654</v>
      </c>
      <c r="B2469" s="5" t="s">
        <v>3484</v>
      </c>
      <c r="I2469" s="109"/>
      <c r="J2469" s="109"/>
      <c r="K2469" s="109"/>
      <c r="L2469" s="109" t="str">
        <f t="shared" si="38"/>
        <v>95-951600083</v>
      </c>
      <c r="M2469" s="114">
        <v>951600083</v>
      </c>
      <c r="N2469" s="114" t="s">
        <v>7587</v>
      </c>
    </row>
    <row r="2470" spans="1:14">
      <c r="A2470" t="s">
        <v>2640</v>
      </c>
      <c r="B2470" s="5" t="s">
        <v>3484</v>
      </c>
      <c r="I2470" s="109"/>
      <c r="J2470" s="109"/>
      <c r="K2470" s="109"/>
      <c r="L2470" s="109" t="str">
        <f t="shared" si="38"/>
        <v>95-951900051</v>
      </c>
      <c r="M2470" s="114">
        <v>951900051</v>
      </c>
      <c r="N2470" s="114" t="s">
        <v>7858</v>
      </c>
    </row>
    <row r="2471" spans="1:14">
      <c r="A2471" t="s">
        <v>2626</v>
      </c>
      <c r="B2471" s="5" t="s">
        <v>3484</v>
      </c>
      <c r="I2471" s="109"/>
      <c r="J2471" s="109"/>
      <c r="K2471" s="109"/>
      <c r="L2471" s="109" t="str">
        <f t="shared" si="38"/>
        <v>96-966200255</v>
      </c>
      <c r="M2471" s="114">
        <v>966200255</v>
      </c>
      <c r="N2471" s="114" t="s">
        <v>7730</v>
      </c>
    </row>
    <row r="2472" spans="1:14">
      <c r="A2472" t="s">
        <v>3057</v>
      </c>
      <c r="B2472" s="5" t="s">
        <v>3484</v>
      </c>
      <c r="I2472" s="109"/>
      <c r="J2472" s="109"/>
      <c r="K2472" s="109"/>
      <c r="L2472" s="109" t="str">
        <f t="shared" si="38"/>
        <v>96-966200163</v>
      </c>
      <c r="M2472" s="114">
        <v>966200163</v>
      </c>
      <c r="N2472" s="114" t="s">
        <v>7859</v>
      </c>
    </row>
    <row r="2473" spans="1:14">
      <c r="A2473" t="s">
        <v>3055</v>
      </c>
      <c r="B2473" s="5" t="s">
        <v>3484</v>
      </c>
      <c r="I2473" s="109"/>
      <c r="J2473" s="109"/>
      <c r="K2473" s="109"/>
      <c r="L2473" s="109" t="str">
        <f t="shared" si="38"/>
        <v>96-961700087</v>
      </c>
      <c r="M2473" s="114">
        <v>961700087</v>
      </c>
      <c r="N2473" s="114" t="s">
        <v>7860</v>
      </c>
    </row>
    <row r="2474" spans="1:14">
      <c r="A2474" t="s">
        <v>2776</v>
      </c>
      <c r="B2474" s="5" t="s">
        <v>3484</v>
      </c>
      <c r="I2474" s="109"/>
      <c r="J2474" s="109"/>
      <c r="K2474" s="109"/>
      <c r="L2474" s="109" t="str">
        <f t="shared" si="38"/>
        <v>96-966200279</v>
      </c>
      <c r="M2474" s="114">
        <v>966200279</v>
      </c>
      <c r="N2474" s="114" t="s">
        <v>7167</v>
      </c>
    </row>
    <row r="2475" spans="1:14">
      <c r="A2475" t="s">
        <v>3285</v>
      </c>
      <c r="B2475" s="5" t="s">
        <v>3484</v>
      </c>
      <c r="I2475" s="109"/>
      <c r="J2475" s="109"/>
      <c r="K2475" s="109"/>
      <c r="L2475" s="109" t="str">
        <f t="shared" si="38"/>
        <v>96-966200280</v>
      </c>
      <c r="M2475" s="114">
        <v>966200280</v>
      </c>
      <c r="N2475" s="114" t="s">
        <v>7167</v>
      </c>
    </row>
    <row r="2476" spans="1:14">
      <c r="A2476" t="s">
        <v>2764</v>
      </c>
      <c r="B2476" s="5" t="s">
        <v>3484</v>
      </c>
      <c r="I2476" s="109"/>
      <c r="J2476" s="109"/>
      <c r="K2476" s="109"/>
      <c r="L2476" s="109" t="str">
        <f t="shared" si="38"/>
        <v>96-966200278</v>
      </c>
      <c r="M2476" s="114">
        <v>966200278</v>
      </c>
      <c r="N2476" s="114" t="s">
        <v>7167</v>
      </c>
    </row>
    <row r="2477" spans="1:14">
      <c r="A2477" t="s">
        <v>2658</v>
      </c>
      <c r="B2477" s="5" t="s">
        <v>3484</v>
      </c>
      <c r="I2477" s="109"/>
      <c r="J2477" s="109"/>
      <c r="K2477" s="109"/>
      <c r="L2477" s="109" t="str">
        <f t="shared" si="38"/>
        <v>95-951900171</v>
      </c>
      <c r="M2477" s="114">
        <v>951900171</v>
      </c>
      <c r="N2477" s="114" t="s">
        <v>7861</v>
      </c>
    </row>
    <row r="2478" spans="1:14">
      <c r="A2478" t="s">
        <v>3062</v>
      </c>
      <c r="B2478" s="5" t="s">
        <v>3484</v>
      </c>
      <c r="I2478" s="109"/>
      <c r="J2478" s="109"/>
      <c r="K2478" s="109"/>
      <c r="L2478" s="109" t="str">
        <f t="shared" si="38"/>
        <v>95-951800144</v>
      </c>
      <c r="M2478" s="114">
        <v>951800144</v>
      </c>
      <c r="N2478" s="114" t="s">
        <v>7862</v>
      </c>
    </row>
    <row r="2479" spans="1:14">
      <c r="A2479" t="s">
        <v>2644</v>
      </c>
      <c r="B2479" s="5" t="s">
        <v>3484</v>
      </c>
      <c r="I2479" s="109"/>
      <c r="J2479" s="109"/>
      <c r="K2479" s="109"/>
      <c r="L2479" s="109" t="str">
        <f t="shared" si="38"/>
        <v>96-961800056</v>
      </c>
      <c r="M2479" s="114">
        <v>961800056</v>
      </c>
      <c r="N2479" s="114" t="s">
        <v>7863</v>
      </c>
    </row>
    <row r="2480" spans="1:14">
      <c r="A2480" t="s">
        <v>2876</v>
      </c>
      <c r="B2480" s="5" t="s">
        <v>3484</v>
      </c>
      <c r="I2480" s="109"/>
      <c r="J2480" s="109"/>
      <c r="K2480" s="109"/>
      <c r="L2480" s="109" t="str">
        <f t="shared" si="38"/>
        <v>96-966200263</v>
      </c>
      <c r="M2480" s="114">
        <v>966200263</v>
      </c>
      <c r="N2480" s="114" t="s">
        <v>7864</v>
      </c>
    </row>
    <row r="2481" spans="1:14">
      <c r="A2481" t="s">
        <v>2653</v>
      </c>
      <c r="B2481" s="5" t="s">
        <v>3484</v>
      </c>
      <c r="I2481" s="109"/>
      <c r="J2481" s="109"/>
      <c r="K2481" s="109"/>
      <c r="L2481" s="109" t="str">
        <f t="shared" si="38"/>
        <v>95-951600055</v>
      </c>
      <c r="M2481" s="114">
        <v>951600055</v>
      </c>
      <c r="N2481" s="114" t="s">
        <v>7865</v>
      </c>
    </row>
    <row r="2482" spans="1:14">
      <c r="A2482" t="s">
        <v>2772</v>
      </c>
      <c r="B2482" s="5" t="s">
        <v>3484</v>
      </c>
      <c r="I2482" s="109"/>
      <c r="J2482" s="109"/>
      <c r="K2482" s="109"/>
      <c r="L2482" s="109" t="str">
        <f t="shared" si="38"/>
        <v>96-966200295</v>
      </c>
      <c r="M2482" s="114">
        <v>966200295</v>
      </c>
      <c r="N2482" s="114" t="s">
        <v>7171</v>
      </c>
    </row>
    <row r="2483" spans="1:14">
      <c r="A2483" t="s">
        <v>3408</v>
      </c>
      <c r="B2483" s="5" t="s">
        <v>3484</v>
      </c>
      <c r="I2483" s="109"/>
      <c r="J2483" s="109"/>
      <c r="K2483" s="109"/>
      <c r="L2483" s="109" t="str">
        <f t="shared" si="38"/>
        <v>95-951900077</v>
      </c>
      <c r="M2483" s="114">
        <v>951900077</v>
      </c>
      <c r="N2483" s="114" t="s">
        <v>7588</v>
      </c>
    </row>
    <row r="2484" spans="1:14">
      <c r="A2484" t="s">
        <v>2777</v>
      </c>
      <c r="B2484" s="5" t="s">
        <v>3484</v>
      </c>
      <c r="I2484" s="109"/>
      <c r="J2484" s="109"/>
      <c r="K2484" s="109"/>
      <c r="L2484" s="109" t="str">
        <f t="shared" si="38"/>
        <v>96-961700010</v>
      </c>
      <c r="M2484" s="114">
        <v>961700010</v>
      </c>
      <c r="N2484" s="114" t="s">
        <v>7594</v>
      </c>
    </row>
    <row r="2485" spans="1:14">
      <c r="A2485" t="s">
        <v>3411</v>
      </c>
      <c r="B2485" s="5" t="s">
        <v>3484</v>
      </c>
      <c r="I2485" s="109"/>
      <c r="J2485" s="109"/>
      <c r="K2485" s="109"/>
      <c r="L2485" s="109" t="str">
        <f t="shared" si="38"/>
        <v>96-961700026</v>
      </c>
      <c r="M2485" s="114">
        <v>961700026</v>
      </c>
      <c r="N2485" s="114" t="s">
        <v>7595</v>
      </c>
    </row>
    <row r="2486" spans="1:14">
      <c r="A2486" t="s">
        <v>3383</v>
      </c>
      <c r="B2486" s="5" t="s">
        <v>3484</v>
      </c>
      <c r="I2486" s="109"/>
      <c r="J2486" s="109"/>
      <c r="K2486" s="109"/>
      <c r="L2486" s="109" t="str">
        <f t="shared" si="38"/>
        <v>96-961900153</v>
      </c>
      <c r="M2486" s="114">
        <v>961900153</v>
      </c>
      <c r="N2486" s="114" t="s">
        <v>7596</v>
      </c>
    </row>
    <row r="2487" spans="1:14">
      <c r="A2487" t="s">
        <v>2883</v>
      </c>
      <c r="B2487" s="5" t="s">
        <v>3484</v>
      </c>
      <c r="I2487" s="109"/>
      <c r="J2487" s="109"/>
      <c r="K2487" s="109"/>
      <c r="L2487" s="109" t="str">
        <f t="shared" si="38"/>
        <v>96-961900122</v>
      </c>
      <c r="M2487" s="114">
        <v>961900122</v>
      </c>
      <c r="N2487" s="114" t="s">
        <v>7597</v>
      </c>
    </row>
    <row r="2488" spans="1:14">
      <c r="A2488" t="s">
        <v>2774</v>
      </c>
      <c r="B2488" s="5" t="s">
        <v>3484</v>
      </c>
      <c r="I2488" s="109"/>
      <c r="J2488" s="109"/>
      <c r="K2488" s="109"/>
      <c r="L2488" s="109" t="str">
        <f t="shared" si="38"/>
        <v>96-961900040</v>
      </c>
      <c r="M2488" s="114">
        <v>961900040</v>
      </c>
      <c r="N2488" s="114" t="s">
        <v>7598</v>
      </c>
    </row>
    <row r="2489" spans="1:14">
      <c r="A2489" t="s">
        <v>2659</v>
      </c>
      <c r="B2489" s="5" t="s">
        <v>3484</v>
      </c>
      <c r="I2489" s="109"/>
      <c r="J2489" s="109"/>
      <c r="K2489" s="109"/>
      <c r="L2489" s="109" t="str">
        <f t="shared" si="38"/>
        <v>95-951400063</v>
      </c>
      <c r="M2489" s="114">
        <v>951400063</v>
      </c>
      <c r="N2489" s="114" t="s">
        <v>7601</v>
      </c>
    </row>
    <row r="2490" spans="1:14">
      <c r="A2490" t="s">
        <v>3136</v>
      </c>
      <c r="B2490" s="5" t="s">
        <v>3484</v>
      </c>
      <c r="I2490" s="109"/>
      <c r="J2490" s="109"/>
      <c r="K2490" s="109"/>
      <c r="L2490" s="109" t="str">
        <f t="shared" si="38"/>
        <v>95-956000010</v>
      </c>
      <c r="M2490" s="114">
        <v>956000010</v>
      </c>
      <c r="N2490" s="114" t="s">
        <v>7146</v>
      </c>
    </row>
    <row r="2491" spans="1:14">
      <c r="A2491" t="s">
        <v>2780</v>
      </c>
      <c r="B2491" s="5" t="s">
        <v>3484</v>
      </c>
      <c r="I2491" s="109"/>
      <c r="J2491" s="109"/>
      <c r="K2491" s="109"/>
      <c r="L2491" s="109" t="str">
        <f t="shared" si="38"/>
        <v>95-951200069</v>
      </c>
      <c r="M2491" s="114">
        <v>951200069</v>
      </c>
      <c r="N2491" s="114" t="s">
        <v>7866</v>
      </c>
    </row>
    <row r="2492" spans="1:14">
      <c r="A2492" t="s">
        <v>2875</v>
      </c>
      <c r="B2492" s="5" t="s">
        <v>3484</v>
      </c>
      <c r="I2492" s="109"/>
      <c r="J2492" s="109"/>
      <c r="K2492" s="109"/>
      <c r="L2492" s="109" t="str">
        <f t="shared" si="38"/>
        <v>95-951200074</v>
      </c>
      <c r="M2492" s="114">
        <v>951200074</v>
      </c>
      <c r="N2492" s="114" t="s">
        <v>7451</v>
      </c>
    </row>
    <row r="2493" spans="1:14">
      <c r="A2493" t="s">
        <v>3284</v>
      </c>
      <c r="B2493" s="5" t="s">
        <v>3484</v>
      </c>
      <c r="I2493" s="109"/>
      <c r="J2493" s="109"/>
      <c r="K2493" s="109"/>
      <c r="L2493" s="109" t="str">
        <f t="shared" si="38"/>
        <v>95-951200085</v>
      </c>
      <c r="M2493" s="114">
        <v>951200085</v>
      </c>
      <c r="N2493" s="114" t="s">
        <v>7172</v>
      </c>
    </row>
    <row r="2494" spans="1:14">
      <c r="A2494" s="21" t="s">
        <v>2635</v>
      </c>
      <c r="B2494" s="5" t="s">
        <v>3485</v>
      </c>
      <c r="I2494" s="109"/>
      <c r="J2494" s="109"/>
      <c r="K2494" s="109"/>
      <c r="L2494" s="109" t="str">
        <f t="shared" si="38"/>
        <v>95-952200014</v>
      </c>
      <c r="M2494" s="114">
        <v>952200014</v>
      </c>
      <c r="N2494" s="114" t="s">
        <v>7172</v>
      </c>
    </row>
    <row r="2495" spans="1:14">
      <c r="A2495" s="21" t="s">
        <v>2786</v>
      </c>
      <c r="B2495" s="5" t="s">
        <v>3485</v>
      </c>
      <c r="I2495" s="109"/>
      <c r="J2495" s="109"/>
      <c r="K2495" s="109"/>
      <c r="L2495" s="109" t="str">
        <f t="shared" si="38"/>
        <v>95-952200037</v>
      </c>
      <c r="M2495" s="114">
        <v>952200037</v>
      </c>
      <c r="N2495" s="114" t="s">
        <v>7174</v>
      </c>
    </row>
    <row r="2496" spans="1:14">
      <c r="A2496" s="21" t="s">
        <v>2787</v>
      </c>
      <c r="B2496" s="5" t="s">
        <v>3485</v>
      </c>
      <c r="I2496" s="109"/>
      <c r="J2496" s="109"/>
      <c r="K2496" s="109"/>
      <c r="L2496" s="109" t="str">
        <f t="shared" si="38"/>
        <v>96-962200037</v>
      </c>
      <c r="M2496" s="114">
        <v>962200037</v>
      </c>
      <c r="N2496" s="114" t="s">
        <v>7173</v>
      </c>
    </row>
    <row r="2497" spans="1:14">
      <c r="A2497" s="21" t="s">
        <v>2646</v>
      </c>
      <c r="B2497" s="5" t="s">
        <v>3485</v>
      </c>
      <c r="I2497" s="109"/>
      <c r="J2497" s="109"/>
      <c r="K2497" s="109"/>
      <c r="L2497" s="109" t="str">
        <f t="shared" si="38"/>
        <v>95-951200028</v>
      </c>
      <c r="M2497" s="114">
        <v>951200028</v>
      </c>
      <c r="N2497" s="114" t="s">
        <v>7172</v>
      </c>
    </row>
    <row r="2498" spans="1:14">
      <c r="A2498" s="21" t="s">
        <v>3075</v>
      </c>
      <c r="B2498" s="5" t="s">
        <v>3485</v>
      </c>
      <c r="I2498" s="109"/>
      <c r="J2498" s="109"/>
      <c r="K2498" s="109"/>
      <c r="L2498" s="109" t="str">
        <f t="shared" si="38"/>
        <v>95-951200065</v>
      </c>
      <c r="M2498" s="114">
        <v>951200065</v>
      </c>
      <c r="N2498" s="114" t="s">
        <v>7235</v>
      </c>
    </row>
    <row r="2499" spans="1:14">
      <c r="A2499" s="21" t="s">
        <v>2769</v>
      </c>
      <c r="B2499" s="5" t="s">
        <v>3485</v>
      </c>
      <c r="I2499" s="109"/>
      <c r="J2499" s="109"/>
      <c r="K2499" s="109"/>
      <c r="L2499" s="109" t="str">
        <f t="shared" ref="L2499:L2562" si="39">MID(M2499,1,2)&amp;"-"&amp;M2499</f>
        <v>95-951200073</v>
      </c>
      <c r="M2499" s="114">
        <v>951200073</v>
      </c>
      <c r="N2499" s="114" t="s">
        <v>7226</v>
      </c>
    </row>
    <row r="2500" spans="1:14">
      <c r="A2500" s="21" t="s">
        <v>3283</v>
      </c>
      <c r="B2500" s="5" t="s">
        <v>3485</v>
      </c>
      <c r="I2500" s="109"/>
      <c r="J2500" s="109"/>
      <c r="K2500" s="109"/>
      <c r="L2500" s="109" t="str">
        <f t="shared" si="39"/>
        <v>95-951200089</v>
      </c>
      <c r="M2500" s="114">
        <v>951200089</v>
      </c>
      <c r="N2500" s="114" t="s">
        <v>7172</v>
      </c>
    </row>
    <row r="2501" spans="1:14">
      <c r="A2501" s="48" t="s">
        <v>1443</v>
      </c>
      <c r="B2501" s="5" t="s">
        <v>3582</v>
      </c>
      <c r="I2501" s="109"/>
      <c r="J2501" s="109"/>
      <c r="K2501" s="109"/>
      <c r="L2501" s="109" t="str">
        <f t="shared" si="39"/>
        <v>95-952200076</v>
      </c>
      <c r="M2501" s="114">
        <v>952200076</v>
      </c>
      <c r="N2501" s="114" t="s">
        <v>7151</v>
      </c>
    </row>
    <row r="2502" spans="1:14">
      <c r="A2502" s="48" t="s">
        <v>1455</v>
      </c>
      <c r="B2502" s="5" t="s">
        <v>3582</v>
      </c>
      <c r="I2502" s="109"/>
      <c r="J2502" s="109"/>
      <c r="K2502" s="109"/>
      <c r="L2502" s="109" t="str">
        <f t="shared" si="39"/>
        <v>96-962200003</v>
      </c>
      <c r="M2502" s="114">
        <v>962200003</v>
      </c>
      <c r="N2502" s="114" t="s">
        <v>7151</v>
      </c>
    </row>
    <row r="2503" spans="1:14">
      <c r="A2503" s="48" t="s">
        <v>1456</v>
      </c>
      <c r="B2503" s="5" t="s">
        <v>3582</v>
      </c>
      <c r="I2503" s="109"/>
      <c r="J2503" s="109"/>
      <c r="K2503" s="109"/>
      <c r="L2503" s="109" t="str">
        <f t="shared" si="39"/>
        <v>95-951700240</v>
      </c>
      <c r="M2503" s="114">
        <v>951700240</v>
      </c>
      <c r="N2503" s="114" t="s">
        <v>7601</v>
      </c>
    </row>
    <row r="2504" spans="1:14">
      <c r="A2504" s="48" t="s">
        <v>1178</v>
      </c>
      <c r="B2504" s="5" t="s">
        <v>3582</v>
      </c>
      <c r="I2504" s="109"/>
      <c r="J2504" s="109"/>
      <c r="K2504" s="109"/>
      <c r="L2504" s="109" t="str">
        <f t="shared" si="39"/>
        <v>95-951600053</v>
      </c>
      <c r="M2504" s="114">
        <v>951600053</v>
      </c>
      <c r="N2504" s="114" t="s">
        <v>7137</v>
      </c>
    </row>
    <row r="2505" spans="1:14">
      <c r="A2505" s="48" t="s">
        <v>1389</v>
      </c>
      <c r="B2505" s="5" t="s">
        <v>3582</v>
      </c>
      <c r="I2505" s="109"/>
      <c r="J2505" s="109"/>
      <c r="K2505" s="109"/>
      <c r="L2505" s="109" t="str">
        <f t="shared" si="39"/>
        <v>95-951900308</v>
      </c>
      <c r="M2505" s="114">
        <v>951900308</v>
      </c>
      <c r="N2505" s="114" t="s">
        <v>7605</v>
      </c>
    </row>
    <row r="2506" spans="1:14">
      <c r="A2506" s="48" t="s">
        <v>1562</v>
      </c>
      <c r="B2506" s="5" t="s">
        <v>3582</v>
      </c>
      <c r="I2506" s="109"/>
      <c r="J2506" s="109"/>
      <c r="K2506" s="109"/>
      <c r="L2506" s="109" t="str">
        <f t="shared" si="39"/>
        <v>95-951700035</v>
      </c>
      <c r="M2506" s="114">
        <v>951700035</v>
      </c>
      <c r="N2506" s="114" t="s">
        <v>7606</v>
      </c>
    </row>
    <row r="2507" spans="1:14">
      <c r="A2507" s="48" t="s">
        <v>1961</v>
      </c>
      <c r="B2507" s="5" t="s">
        <v>3582</v>
      </c>
      <c r="I2507" s="109"/>
      <c r="J2507" s="109"/>
      <c r="K2507" s="109"/>
      <c r="L2507" s="109" t="str">
        <f t="shared" si="39"/>
        <v>96-961900146</v>
      </c>
      <c r="M2507" s="114">
        <v>961900146</v>
      </c>
      <c r="N2507" s="114" t="s">
        <v>7607</v>
      </c>
    </row>
    <row r="2508" spans="1:14">
      <c r="A2508" s="48" t="s">
        <v>1565</v>
      </c>
      <c r="B2508" s="5" t="s">
        <v>3582</v>
      </c>
      <c r="I2508" s="109"/>
      <c r="J2508" s="109"/>
      <c r="K2508" s="109"/>
      <c r="L2508" s="109" t="str">
        <f t="shared" si="39"/>
        <v>95-951400023</v>
      </c>
      <c r="M2508" s="114">
        <v>951400023</v>
      </c>
      <c r="N2508" s="114" t="s">
        <v>7608</v>
      </c>
    </row>
    <row r="2509" spans="1:14">
      <c r="A2509" s="48" t="s">
        <v>1566</v>
      </c>
      <c r="B2509" s="5" t="s">
        <v>3582</v>
      </c>
      <c r="I2509" s="109"/>
      <c r="J2509" s="109"/>
      <c r="K2509" s="109"/>
      <c r="L2509" s="109" t="str">
        <f t="shared" si="39"/>
        <v>95-951400081</v>
      </c>
      <c r="M2509" s="114">
        <v>951400081</v>
      </c>
      <c r="N2509" s="114" t="s">
        <v>7206</v>
      </c>
    </row>
    <row r="2510" spans="1:14">
      <c r="A2510" s="48" t="s">
        <v>1257</v>
      </c>
      <c r="B2510" s="5" t="s">
        <v>3582</v>
      </c>
      <c r="I2510" s="109"/>
      <c r="J2510" s="109"/>
      <c r="K2510" s="109"/>
      <c r="L2510" s="109" t="str">
        <f t="shared" si="39"/>
        <v>95-951800108</v>
      </c>
      <c r="M2510" s="114">
        <v>951800108</v>
      </c>
      <c r="N2510" s="114" t="s">
        <v>7609</v>
      </c>
    </row>
    <row r="2511" spans="1:14">
      <c r="A2511" s="48" t="s">
        <v>1099</v>
      </c>
      <c r="B2511" s="5" t="s">
        <v>3582</v>
      </c>
      <c r="I2511" s="109"/>
      <c r="J2511" s="109"/>
      <c r="K2511" s="109"/>
      <c r="L2511" s="109" t="str">
        <f t="shared" si="39"/>
        <v>95-951900269</v>
      </c>
      <c r="M2511" s="114">
        <v>951900269</v>
      </c>
      <c r="N2511" s="114" t="s">
        <v>7610</v>
      </c>
    </row>
    <row r="2512" spans="1:14">
      <c r="A2512" s="48" t="s">
        <v>1182</v>
      </c>
      <c r="B2512" s="5" t="s">
        <v>3582</v>
      </c>
      <c r="I2512" s="109"/>
      <c r="J2512" s="109"/>
      <c r="K2512" s="109"/>
      <c r="L2512" s="109" t="str">
        <f t="shared" si="39"/>
        <v>95-951900281</v>
      </c>
      <c r="M2512" s="114">
        <v>951900281</v>
      </c>
      <c r="N2512" s="114" t="s">
        <v>7611</v>
      </c>
    </row>
    <row r="2513" spans="1:14">
      <c r="A2513" s="48" t="s">
        <v>1334</v>
      </c>
      <c r="B2513" s="5" t="s">
        <v>3582</v>
      </c>
      <c r="I2513" s="109"/>
      <c r="J2513" s="109"/>
      <c r="K2513" s="109"/>
      <c r="L2513" s="109" t="str">
        <f t="shared" si="39"/>
        <v>95-951900291</v>
      </c>
      <c r="M2513" s="114">
        <v>951900291</v>
      </c>
      <c r="N2513" s="114" t="s">
        <v>7612</v>
      </c>
    </row>
    <row r="2514" spans="1:14">
      <c r="A2514" s="48" t="s">
        <v>1091</v>
      </c>
      <c r="B2514" s="5" t="s">
        <v>3582</v>
      </c>
      <c r="I2514" s="109"/>
      <c r="J2514" s="109"/>
      <c r="K2514" s="109"/>
      <c r="L2514" s="109" t="str">
        <f t="shared" si="39"/>
        <v>96-961900164</v>
      </c>
      <c r="M2514" s="114">
        <v>961900164</v>
      </c>
      <c r="N2514" s="114" t="s">
        <v>7212</v>
      </c>
    </row>
    <row r="2515" spans="1:14">
      <c r="A2515" s="48" t="s">
        <v>1471</v>
      </c>
      <c r="B2515" s="5" t="s">
        <v>3582</v>
      </c>
      <c r="I2515" s="109"/>
      <c r="J2515" s="109"/>
      <c r="K2515" s="109"/>
      <c r="L2515" s="109" t="str">
        <f t="shared" si="39"/>
        <v>96-961900017</v>
      </c>
      <c r="M2515" s="114">
        <v>961900017</v>
      </c>
      <c r="N2515" s="114" t="s">
        <v>7613</v>
      </c>
    </row>
    <row r="2516" spans="1:14">
      <c r="A2516" s="48" t="s">
        <v>1470</v>
      </c>
      <c r="B2516" s="5" t="s">
        <v>3582</v>
      </c>
      <c r="I2516" s="109"/>
      <c r="J2516" s="109"/>
      <c r="K2516" s="109"/>
      <c r="L2516" s="109" t="str">
        <f t="shared" si="39"/>
        <v>96-962200064</v>
      </c>
      <c r="M2516" s="114">
        <v>962200064</v>
      </c>
      <c r="N2516" s="114" t="s">
        <v>7450</v>
      </c>
    </row>
    <row r="2517" spans="1:14">
      <c r="A2517" s="48" t="s">
        <v>3579</v>
      </c>
      <c r="B2517" s="5" t="s">
        <v>3582</v>
      </c>
      <c r="I2517" s="109"/>
      <c r="J2517" s="109"/>
      <c r="K2517" s="109"/>
      <c r="L2517" s="109" t="str">
        <f t="shared" si="39"/>
        <v>95-952000060</v>
      </c>
      <c r="M2517" s="114">
        <v>952000060</v>
      </c>
      <c r="N2517" s="114" t="s">
        <v>7431</v>
      </c>
    </row>
    <row r="2518" spans="1:14">
      <c r="A2518" s="48" t="s">
        <v>1336</v>
      </c>
      <c r="B2518" s="5" t="s">
        <v>3582</v>
      </c>
      <c r="I2518" s="109"/>
      <c r="J2518" s="109"/>
      <c r="K2518" s="109"/>
      <c r="L2518" s="109" t="str">
        <f t="shared" si="39"/>
        <v>96-961900033</v>
      </c>
      <c r="M2518" s="114">
        <v>961900033</v>
      </c>
      <c r="N2518" s="114" t="s">
        <v>7614</v>
      </c>
    </row>
    <row r="2519" spans="1:14">
      <c r="A2519" s="48" t="s">
        <v>1551</v>
      </c>
      <c r="B2519" s="5" t="s">
        <v>3582</v>
      </c>
      <c r="I2519" s="109"/>
      <c r="J2519" s="109"/>
      <c r="K2519" s="109"/>
      <c r="L2519" s="109" t="str">
        <f t="shared" si="39"/>
        <v>96-961900051</v>
      </c>
      <c r="M2519" s="114">
        <v>961900051</v>
      </c>
      <c r="N2519" s="114" t="s">
        <v>7615</v>
      </c>
    </row>
    <row r="2520" spans="1:14">
      <c r="A2520" s="48" t="s">
        <v>1058</v>
      </c>
      <c r="B2520" s="5" t="s">
        <v>3582</v>
      </c>
      <c r="I2520" s="109"/>
      <c r="J2520" s="109"/>
      <c r="K2520" s="109"/>
      <c r="L2520" s="109" t="str">
        <f t="shared" si="39"/>
        <v>96-961900066</v>
      </c>
      <c r="M2520" s="114">
        <v>961900066</v>
      </c>
      <c r="N2520" s="114" t="s">
        <v>7616</v>
      </c>
    </row>
    <row r="2521" spans="1:14">
      <c r="A2521" s="48" t="s">
        <v>1221</v>
      </c>
      <c r="B2521" s="5" t="s">
        <v>3582</v>
      </c>
      <c r="I2521" s="109"/>
      <c r="J2521" s="109"/>
      <c r="K2521" s="109"/>
      <c r="L2521" s="109" t="str">
        <f t="shared" si="39"/>
        <v>95-951800058</v>
      </c>
      <c r="M2521" s="114">
        <v>951800058</v>
      </c>
      <c r="N2521" s="114" t="s">
        <v>7617</v>
      </c>
    </row>
    <row r="2522" spans="1:14">
      <c r="A2522" s="48" t="s">
        <v>1096</v>
      </c>
      <c r="B2522" s="5" t="s">
        <v>3582</v>
      </c>
      <c r="I2522" s="109"/>
      <c r="J2522" s="109"/>
      <c r="K2522" s="109"/>
      <c r="L2522" s="109" t="str">
        <f t="shared" si="39"/>
        <v>95-951700160</v>
      </c>
      <c r="M2522" s="114">
        <v>951700160</v>
      </c>
      <c r="N2522" s="114" t="s">
        <v>7618</v>
      </c>
    </row>
    <row r="2523" spans="1:14">
      <c r="A2523" s="48" t="s">
        <v>1847</v>
      </c>
      <c r="B2523" s="5" t="s">
        <v>3582</v>
      </c>
      <c r="I2523" s="109"/>
      <c r="J2523" s="109"/>
      <c r="K2523" s="109"/>
      <c r="L2523" s="109" t="str">
        <f t="shared" si="39"/>
        <v>95-951700312</v>
      </c>
      <c r="M2523" s="114">
        <v>951700312</v>
      </c>
      <c r="N2523" s="114" t="s">
        <v>7202</v>
      </c>
    </row>
    <row r="2524" spans="1:14">
      <c r="A2524" s="48" t="s">
        <v>1095</v>
      </c>
      <c r="B2524" s="5" t="s">
        <v>3582</v>
      </c>
      <c r="I2524" s="109"/>
      <c r="J2524" s="109"/>
      <c r="K2524" s="109"/>
      <c r="L2524" s="109" t="str">
        <f t="shared" si="39"/>
        <v>95-951800035</v>
      </c>
      <c r="M2524" s="114">
        <v>951800035</v>
      </c>
      <c r="N2524" s="114" t="s">
        <v>7619</v>
      </c>
    </row>
    <row r="2525" spans="1:14">
      <c r="A2525" s="48" t="s">
        <v>1097</v>
      </c>
      <c r="B2525" s="5" t="s">
        <v>3582</v>
      </c>
      <c r="I2525" s="109"/>
      <c r="J2525" s="109"/>
      <c r="K2525" s="109"/>
      <c r="L2525" s="109" t="str">
        <f t="shared" si="39"/>
        <v>95-952500047</v>
      </c>
      <c r="M2525" s="114">
        <v>952500047</v>
      </c>
      <c r="N2525" s="114" t="s">
        <v>5661</v>
      </c>
    </row>
    <row r="2526" spans="1:14">
      <c r="A2526" s="48" t="s">
        <v>1098</v>
      </c>
      <c r="B2526" s="5" t="s">
        <v>3582</v>
      </c>
      <c r="I2526" s="109"/>
      <c r="J2526" s="109"/>
      <c r="K2526" s="109"/>
      <c r="L2526" s="109" t="str">
        <f t="shared" si="39"/>
        <v>95-952500035</v>
      </c>
      <c r="M2526" s="114">
        <v>952500035</v>
      </c>
      <c r="N2526" s="114" t="s">
        <v>5658</v>
      </c>
    </row>
    <row r="2527" spans="1:14">
      <c r="A2527" s="48" t="s">
        <v>1260</v>
      </c>
      <c r="B2527" s="5" t="s">
        <v>3582</v>
      </c>
      <c r="I2527" s="109"/>
      <c r="J2527" s="109"/>
      <c r="K2527" s="109"/>
      <c r="L2527" s="109" t="str">
        <f t="shared" si="39"/>
        <v>96-962500063</v>
      </c>
      <c r="M2527" s="114">
        <v>962500063</v>
      </c>
      <c r="N2527" s="114" t="s">
        <v>5842</v>
      </c>
    </row>
    <row r="2528" spans="1:14">
      <c r="A2528" s="48" t="s">
        <v>1207</v>
      </c>
      <c r="B2528" s="5" t="s">
        <v>3582</v>
      </c>
      <c r="I2528" s="109"/>
      <c r="J2528" s="109"/>
      <c r="K2528" s="109"/>
      <c r="L2528" s="109" t="str">
        <f t="shared" si="39"/>
        <v>96-962500070</v>
      </c>
      <c r="M2528" s="114">
        <v>962500070</v>
      </c>
      <c r="N2528" s="114" t="s">
        <v>5842</v>
      </c>
    </row>
    <row r="2529" spans="1:14">
      <c r="A2529" s="48" t="s">
        <v>1958</v>
      </c>
      <c r="B2529" s="5" t="s">
        <v>3582</v>
      </c>
      <c r="I2529" s="109"/>
      <c r="J2529" s="109"/>
      <c r="K2529" s="109"/>
      <c r="L2529" s="109" t="str">
        <f t="shared" si="39"/>
        <v>96-962500096</v>
      </c>
      <c r="M2529" s="114">
        <v>962500096</v>
      </c>
      <c r="N2529" s="114" t="s">
        <v>5842</v>
      </c>
    </row>
    <row r="2530" spans="1:14">
      <c r="A2530" s="48" t="s">
        <v>1297</v>
      </c>
      <c r="B2530" s="5" t="s">
        <v>3582</v>
      </c>
      <c r="I2530" s="109"/>
      <c r="J2530" s="109"/>
      <c r="K2530" s="109"/>
      <c r="L2530" s="109" t="str">
        <f t="shared" si="39"/>
        <v>95-952500074</v>
      </c>
      <c r="M2530" s="114">
        <v>952500074</v>
      </c>
      <c r="N2530" s="114" t="s">
        <v>5731</v>
      </c>
    </row>
    <row r="2531" spans="1:14">
      <c r="A2531" s="48" t="s">
        <v>1388</v>
      </c>
      <c r="B2531" s="5" t="s">
        <v>3582</v>
      </c>
      <c r="I2531" s="109"/>
      <c r="J2531" s="109"/>
      <c r="K2531" s="109"/>
      <c r="L2531" s="109" t="str">
        <f t="shared" si="39"/>
        <v>95-952500101</v>
      </c>
      <c r="M2531" s="114">
        <v>952500101</v>
      </c>
      <c r="N2531" s="114" t="s">
        <v>5757</v>
      </c>
    </row>
    <row r="2532" spans="1:14">
      <c r="A2532" s="48" t="s">
        <v>1553</v>
      </c>
      <c r="B2532" s="5" t="s">
        <v>3582</v>
      </c>
      <c r="I2532" s="109"/>
      <c r="J2532" s="109"/>
      <c r="K2532" s="109"/>
      <c r="L2532" s="109" t="str">
        <f t="shared" si="39"/>
        <v>95-951800123</v>
      </c>
      <c r="M2532" s="114">
        <v>951800123</v>
      </c>
      <c r="N2532" s="114" t="s">
        <v>7626</v>
      </c>
    </row>
    <row r="2533" spans="1:14">
      <c r="A2533" s="48" t="s">
        <v>1800</v>
      </c>
      <c r="B2533" s="5" t="s">
        <v>3582</v>
      </c>
      <c r="I2533" s="109"/>
      <c r="J2533" s="109"/>
      <c r="K2533" s="109"/>
      <c r="L2533" s="109" t="str">
        <f t="shared" si="39"/>
        <v>95-951800068</v>
      </c>
      <c r="M2533" s="114">
        <v>951800068</v>
      </c>
      <c r="N2533" s="114" t="s">
        <v>7627</v>
      </c>
    </row>
    <row r="2534" spans="1:14">
      <c r="A2534" s="48" t="s">
        <v>1270</v>
      </c>
      <c r="B2534" s="5" t="s">
        <v>3582</v>
      </c>
      <c r="I2534" s="109"/>
      <c r="J2534" s="109"/>
      <c r="K2534" s="109"/>
      <c r="L2534" s="109" t="str">
        <f t="shared" si="39"/>
        <v>96-961800059</v>
      </c>
      <c r="M2534" s="114">
        <v>961800059</v>
      </c>
      <c r="N2534" s="114" t="s">
        <v>7628</v>
      </c>
    </row>
    <row r="2535" spans="1:14">
      <c r="A2535" s="48" t="s">
        <v>1125</v>
      </c>
      <c r="B2535" s="5" t="s">
        <v>3582</v>
      </c>
      <c r="I2535" s="109"/>
      <c r="J2535" s="109"/>
      <c r="K2535" s="109"/>
      <c r="L2535" s="109" t="str">
        <f t="shared" si="39"/>
        <v>95-954200040</v>
      </c>
      <c r="M2535" s="114">
        <v>954200040</v>
      </c>
      <c r="N2535" s="114" t="s">
        <v>5676</v>
      </c>
    </row>
    <row r="2536" spans="1:14">
      <c r="A2536" s="48" t="s">
        <v>1126</v>
      </c>
      <c r="B2536" s="5" t="s">
        <v>3582</v>
      </c>
      <c r="I2536" s="109"/>
      <c r="J2536" s="109"/>
      <c r="K2536" s="109"/>
      <c r="L2536" s="109" t="str">
        <f t="shared" si="39"/>
        <v>95-951900127</v>
      </c>
      <c r="M2536" s="114">
        <v>951900127</v>
      </c>
      <c r="N2536" s="114" t="s">
        <v>7629</v>
      </c>
    </row>
    <row r="2537" spans="1:14">
      <c r="A2537" s="48" t="s">
        <v>1135</v>
      </c>
      <c r="B2537" s="5" t="s">
        <v>3582</v>
      </c>
      <c r="I2537" s="109"/>
      <c r="J2537" s="109"/>
      <c r="K2537" s="109"/>
      <c r="L2537" s="109" t="str">
        <f t="shared" si="39"/>
        <v>95-951900247</v>
      </c>
      <c r="M2537" s="114">
        <v>951900247</v>
      </c>
      <c r="N2537" s="114" t="s">
        <v>7630</v>
      </c>
    </row>
    <row r="2538" spans="1:14">
      <c r="A2538" s="48" t="s">
        <v>1261</v>
      </c>
      <c r="B2538" s="5" t="s">
        <v>3582</v>
      </c>
      <c r="I2538" s="109"/>
      <c r="J2538" s="109"/>
      <c r="K2538" s="109"/>
      <c r="L2538" s="109" t="str">
        <f t="shared" si="39"/>
        <v>95-951800086</v>
      </c>
      <c r="M2538" s="114">
        <v>951800086</v>
      </c>
      <c r="N2538" s="114" t="s">
        <v>7631</v>
      </c>
    </row>
    <row r="2539" spans="1:14">
      <c r="A2539" s="48" t="s">
        <v>1798</v>
      </c>
      <c r="B2539" s="5" t="s">
        <v>3582</v>
      </c>
      <c r="I2539" s="109"/>
      <c r="J2539" s="109"/>
      <c r="K2539" s="109"/>
      <c r="L2539" s="109" t="str">
        <f t="shared" si="39"/>
        <v>96-961800036</v>
      </c>
      <c r="M2539" s="114">
        <v>961800036</v>
      </c>
      <c r="N2539" s="114" t="s">
        <v>7632</v>
      </c>
    </row>
    <row r="2540" spans="1:14">
      <c r="A2540" s="48" t="s">
        <v>1449</v>
      </c>
      <c r="B2540" s="5" t="s">
        <v>3582</v>
      </c>
      <c r="I2540" s="109"/>
      <c r="J2540" s="109"/>
      <c r="K2540" s="109"/>
      <c r="L2540" s="109" t="str">
        <f t="shared" si="39"/>
        <v>95-951700197</v>
      </c>
      <c r="M2540" s="114">
        <v>951700197</v>
      </c>
      <c r="N2540" s="114" t="s">
        <v>7642</v>
      </c>
    </row>
    <row r="2541" spans="1:14">
      <c r="A2541" s="48" t="s">
        <v>1120</v>
      </c>
      <c r="B2541" s="5" t="s">
        <v>3582</v>
      </c>
      <c r="I2541" s="109"/>
      <c r="J2541" s="109"/>
      <c r="K2541" s="109"/>
      <c r="L2541" s="109" t="str">
        <f t="shared" si="39"/>
        <v>95-951700280</v>
      </c>
      <c r="M2541" s="114">
        <v>951700280</v>
      </c>
      <c r="N2541" s="114" t="s">
        <v>7643</v>
      </c>
    </row>
    <row r="2542" spans="1:14">
      <c r="A2542" s="48" t="s">
        <v>3580</v>
      </c>
      <c r="B2542" s="5" t="s">
        <v>3582</v>
      </c>
      <c r="I2542" s="109"/>
      <c r="J2542" s="109"/>
      <c r="K2542" s="109"/>
      <c r="L2542" s="109" t="str">
        <f t="shared" si="39"/>
        <v>96-966100007</v>
      </c>
      <c r="M2542" s="114">
        <v>966100007</v>
      </c>
      <c r="N2542" s="114" t="s">
        <v>7644</v>
      </c>
    </row>
    <row r="2543" spans="1:14">
      <c r="A2543" s="48" t="s">
        <v>1080</v>
      </c>
      <c r="B2543" s="5" t="s">
        <v>3582</v>
      </c>
      <c r="I2543" s="109"/>
      <c r="J2543" s="109"/>
      <c r="K2543" s="109"/>
      <c r="L2543" s="109" t="str">
        <f t="shared" si="39"/>
        <v>95-951900256</v>
      </c>
      <c r="M2543" s="114">
        <v>951900256</v>
      </c>
      <c r="N2543" s="114" t="s">
        <v>7645</v>
      </c>
    </row>
    <row r="2544" spans="1:14">
      <c r="A2544" s="48" t="s">
        <v>1134</v>
      </c>
      <c r="B2544" s="5" t="s">
        <v>3582</v>
      </c>
      <c r="I2544" s="109"/>
      <c r="J2544" s="109"/>
      <c r="K2544" s="109"/>
      <c r="L2544" s="109" t="str">
        <f t="shared" si="39"/>
        <v>95-951900304</v>
      </c>
      <c r="M2544" s="114">
        <v>951900304</v>
      </c>
      <c r="N2544" s="114" t="s">
        <v>7646</v>
      </c>
    </row>
    <row r="2545" spans="1:14">
      <c r="A2545" s="48" t="s">
        <v>1321</v>
      </c>
      <c r="B2545" s="5" t="s">
        <v>3582</v>
      </c>
      <c r="I2545" s="109"/>
      <c r="J2545" s="109"/>
      <c r="K2545" s="109"/>
      <c r="L2545" s="109" t="str">
        <f t="shared" si="39"/>
        <v>96-961800017</v>
      </c>
      <c r="M2545" s="114">
        <v>961800017</v>
      </c>
      <c r="N2545" s="114" t="s">
        <v>7647</v>
      </c>
    </row>
    <row r="2546" spans="1:14">
      <c r="A2546" s="48" t="s">
        <v>1266</v>
      </c>
      <c r="B2546" s="5" t="s">
        <v>3582</v>
      </c>
      <c r="I2546" s="109"/>
      <c r="J2546" s="109"/>
      <c r="K2546" s="109"/>
      <c r="L2546" s="109" t="str">
        <f t="shared" si="39"/>
        <v>95-951100011</v>
      </c>
      <c r="M2546" s="114">
        <v>951100011</v>
      </c>
      <c r="N2546" s="114" t="s">
        <v>7967</v>
      </c>
    </row>
    <row r="2547" spans="1:14">
      <c r="A2547" s="48" t="s">
        <v>1296</v>
      </c>
      <c r="B2547" s="5" t="s">
        <v>3582</v>
      </c>
      <c r="I2547" s="109"/>
      <c r="J2547" s="109"/>
      <c r="K2547" s="109"/>
      <c r="L2547" s="109" t="str">
        <f t="shared" si="39"/>
        <v>95-951900286</v>
      </c>
      <c r="M2547" s="114">
        <v>951900286</v>
      </c>
      <c r="N2547" s="114" t="s">
        <v>7652</v>
      </c>
    </row>
    <row r="2548" spans="1:14">
      <c r="A2548" s="48" t="s">
        <v>1109</v>
      </c>
      <c r="B2548" s="5" t="s">
        <v>3582</v>
      </c>
      <c r="I2548" s="109"/>
      <c r="J2548" s="109"/>
      <c r="K2548" s="109"/>
      <c r="L2548" s="109" t="str">
        <f t="shared" si="39"/>
        <v>95-951900036</v>
      </c>
      <c r="M2548" s="114">
        <v>951900036</v>
      </c>
      <c r="N2548" s="114" t="s">
        <v>7653</v>
      </c>
    </row>
    <row r="2549" spans="1:14">
      <c r="A2549" s="48" t="s">
        <v>1395</v>
      </c>
      <c r="B2549" s="5" t="s">
        <v>3582</v>
      </c>
      <c r="I2549" s="109"/>
      <c r="J2549" s="109"/>
      <c r="K2549" s="109"/>
      <c r="L2549" s="109" t="str">
        <f t="shared" si="39"/>
        <v>95-951900261</v>
      </c>
      <c r="M2549" s="114">
        <v>951900261</v>
      </c>
      <c r="N2549" s="114" t="s">
        <v>7654</v>
      </c>
    </row>
    <row r="2550" spans="1:14">
      <c r="A2550" s="48" t="s">
        <v>1959</v>
      </c>
      <c r="B2550" s="5" t="s">
        <v>3582</v>
      </c>
      <c r="I2550" s="109"/>
      <c r="J2550" s="109"/>
      <c r="K2550" s="109"/>
      <c r="L2550" s="109" t="str">
        <f t="shared" si="39"/>
        <v>96-961700046</v>
      </c>
      <c r="M2550" s="114">
        <v>961700046</v>
      </c>
      <c r="N2550" s="114" t="s">
        <v>7655</v>
      </c>
    </row>
    <row r="2551" spans="1:14">
      <c r="A2551" s="48" t="s">
        <v>1318</v>
      </c>
      <c r="B2551" s="5" t="s">
        <v>3582</v>
      </c>
      <c r="I2551" s="109"/>
      <c r="J2551" s="109"/>
      <c r="K2551" s="109"/>
      <c r="L2551" s="109" t="str">
        <f t="shared" si="39"/>
        <v>95-956300009</v>
      </c>
      <c r="M2551" s="114">
        <v>956300009</v>
      </c>
      <c r="N2551" s="114" t="s">
        <v>8021</v>
      </c>
    </row>
    <row r="2552" spans="1:14">
      <c r="A2552" s="48" t="s">
        <v>1317</v>
      </c>
      <c r="B2552" s="5" t="s">
        <v>3582</v>
      </c>
      <c r="I2552" s="109"/>
      <c r="J2552" s="109"/>
      <c r="K2552" s="109"/>
      <c r="L2552" s="109" t="str">
        <f t="shared" si="39"/>
        <v>95-951900270</v>
      </c>
      <c r="M2552" s="114">
        <v>951900270</v>
      </c>
      <c r="N2552" s="114" t="s">
        <v>7661</v>
      </c>
    </row>
    <row r="2553" spans="1:14">
      <c r="A2553" s="48" t="s">
        <v>1561</v>
      </c>
      <c r="B2553" s="5" t="s">
        <v>3582</v>
      </c>
      <c r="I2553" s="109"/>
      <c r="J2553" s="109"/>
      <c r="K2553" s="109"/>
      <c r="L2553" s="109" t="str">
        <f t="shared" si="39"/>
        <v>95-951600095</v>
      </c>
      <c r="M2553" s="114">
        <v>951600095</v>
      </c>
      <c r="N2553" s="114" t="s">
        <v>7652</v>
      </c>
    </row>
    <row r="2554" spans="1:14">
      <c r="A2554" s="48" t="s">
        <v>1136</v>
      </c>
      <c r="B2554" s="5" t="s">
        <v>3582</v>
      </c>
      <c r="I2554" s="109"/>
      <c r="J2554" s="109"/>
      <c r="K2554" s="109"/>
      <c r="L2554" s="109" t="str">
        <f t="shared" si="39"/>
        <v>95-951900081</v>
      </c>
      <c r="M2554" s="114">
        <v>951900081</v>
      </c>
      <c r="N2554" s="114" t="s">
        <v>7662</v>
      </c>
    </row>
    <row r="2555" spans="1:14">
      <c r="A2555" s="48" t="s">
        <v>1137</v>
      </c>
      <c r="B2555" s="5" t="s">
        <v>3582</v>
      </c>
      <c r="I2555" s="109"/>
      <c r="J2555" s="109"/>
      <c r="K2555" s="109"/>
      <c r="L2555" s="109" t="str">
        <f t="shared" si="39"/>
        <v>95-951900193</v>
      </c>
      <c r="M2555" s="114">
        <v>951900193</v>
      </c>
      <c r="N2555" s="114" t="s">
        <v>7663</v>
      </c>
    </row>
    <row r="2556" spans="1:14">
      <c r="A2556" s="48" t="s">
        <v>1343</v>
      </c>
      <c r="B2556" s="5" t="s">
        <v>3582</v>
      </c>
      <c r="I2556" s="109"/>
      <c r="J2556" s="109"/>
      <c r="K2556" s="109"/>
      <c r="L2556" s="109" t="str">
        <f t="shared" si="39"/>
        <v>95-951800064</v>
      </c>
      <c r="M2556" s="114">
        <v>951800064</v>
      </c>
      <c r="N2556" s="114" t="s">
        <v>7664</v>
      </c>
    </row>
    <row r="2557" spans="1:14">
      <c r="A2557" s="48" t="s">
        <v>1345</v>
      </c>
      <c r="B2557" s="5" t="s">
        <v>3582</v>
      </c>
      <c r="I2557" s="109"/>
      <c r="J2557" s="109"/>
      <c r="K2557" s="109"/>
      <c r="L2557" s="109" t="str">
        <f t="shared" si="39"/>
        <v>95-951300031</v>
      </c>
      <c r="M2557" s="114">
        <v>951300031</v>
      </c>
      <c r="N2557" s="114" t="s">
        <v>7665</v>
      </c>
    </row>
    <row r="2558" spans="1:14">
      <c r="A2558" s="48" t="s">
        <v>1133</v>
      </c>
      <c r="B2558" s="5" t="s">
        <v>3582</v>
      </c>
      <c r="I2558" s="109"/>
      <c r="J2558" s="109"/>
      <c r="K2558" s="109"/>
      <c r="L2558" s="109" t="str">
        <f t="shared" si="39"/>
        <v>96-961700112</v>
      </c>
      <c r="M2558" s="114">
        <v>961700112</v>
      </c>
      <c r="N2558" s="114" t="s">
        <v>7215</v>
      </c>
    </row>
    <row r="2559" spans="1:14">
      <c r="A2559" s="48" t="s">
        <v>1081</v>
      </c>
      <c r="B2559" s="5" t="s">
        <v>3582</v>
      </c>
      <c r="I2559" s="109"/>
      <c r="J2559" s="109"/>
      <c r="K2559" s="109"/>
      <c r="L2559" s="109" t="str">
        <f t="shared" si="39"/>
        <v>95-951400018</v>
      </c>
      <c r="M2559" s="114">
        <v>951400018</v>
      </c>
      <c r="N2559" s="114" t="s">
        <v>7667</v>
      </c>
    </row>
    <row r="2560" spans="1:14">
      <c r="A2560" s="48" t="s">
        <v>1119</v>
      </c>
      <c r="B2560" s="5" t="s">
        <v>3582</v>
      </c>
      <c r="I2560" s="109"/>
      <c r="J2560" s="109"/>
      <c r="K2560" s="109"/>
      <c r="L2560" s="109" t="str">
        <f t="shared" si="39"/>
        <v>96-966100005</v>
      </c>
      <c r="M2560" s="114">
        <v>966100005</v>
      </c>
      <c r="N2560" s="114" t="s">
        <v>7668</v>
      </c>
    </row>
    <row r="2561" spans="1:14">
      <c r="A2561" s="48" t="s">
        <v>1338</v>
      </c>
      <c r="B2561" s="5" t="s">
        <v>3582</v>
      </c>
      <c r="I2561" s="109"/>
      <c r="J2561" s="109"/>
      <c r="K2561" s="109"/>
      <c r="L2561" s="109" t="str">
        <f t="shared" si="39"/>
        <v>95-951900039</v>
      </c>
      <c r="M2561" s="114">
        <v>951900039</v>
      </c>
      <c r="N2561" s="114" t="s">
        <v>7669</v>
      </c>
    </row>
    <row r="2562" spans="1:14">
      <c r="A2562" s="48" t="s">
        <v>1350</v>
      </c>
      <c r="B2562" s="5" t="s">
        <v>3582</v>
      </c>
      <c r="I2562" s="109"/>
      <c r="J2562" s="109"/>
      <c r="K2562" s="109"/>
      <c r="L2562" s="109" t="str">
        <f t="shared" si="39"/>
        <v>95-951900262</v>
      </c>
      <c r="M2562" s="114">
        <v>951900262</v>
      </c>
      <c r="N2562" s="114" t="s">
        <v>7670</v>
      </c>
    </row>
    <row r="2563" spans="1:14">
      <c r="A2563" s="48" t="s">
        <v>1451</v>
      </c>
      <c r="B2563" s="5" t="s">
        <v>3582</v>
      </c>
      <c r="I2563" s="109"/>
      <c r="J2563" s="109"/>
      <c r="K2563" s="109"/>
      <c r="L2563" s="109" t="str">
        <f t="shared" ref="L2563:L2626" si="40">MID(M2563,1,2)&amp;"-"&amp;M2563</f>
        <v>95-951900309</v>
      </c>
      <c r="M2563" s="114">
        <v>951900309</v>
      </c>
      <c r="N2563" s="114" t="s">
        <v>7676</v>
      </c>
    </row>
    <row r="2564" spans="1:14">
      <c r="A2564" s="48" t="s">
        <v>1271</v>
      </c>
      <c r="B2564" s="5" t="s">
        <v>3582</v>
      </c>
      <c r="I2564" s="109"/>
      <c r="J2564" s="109"/>
      <c r="K2564" s="109"/>
      <c r="L2564" s="109" t="str">
        <f t="shared" si="40"/>
        <v>95-951900313</v>
      </c>
      <c r="M2564" s="114">
        <v>951900313</v>
      </c>
      <c r="N2564" s="114" t="s">
        <v>7677</v>
      </c>
    </row>
    <row r="2565" spans="1:14">
      <c r="A2565" s="48" t="s">
        <v>1094</v>
      </c>
      <c r="B2565" s="5" t="s">
        <v>3582</v>
      </c>
      <c r="I2565" s="109"/>
      <c r="J2565" s="109"/>
      <c r="K2565" s="109"/>
      <c r="L2565" s="109" t="str">
        <f t="shared" si="40"/>
        <v>96-961700089</v>
      </c>
      <c r="M2565" s="114">
        <v>961700089</v>
      </c>
      <c r="N2565" s="114" t="s">
        <v>7678</v>
      </c>
    </row>
    <row r="2566" spans="1:14">
      <c r="A2566" s="48" t="s">
        <v>1774</v>
      </c>
      <c r="B2566" s="5" t="s">
        <v>3582</v>
      </c>
      <c r="I2566" s="109"/>
      <c r="J2566" s="109"/>
      <c r="K2566" s="109"/>
      <c r="L2566" s="109" t="str">
        <f t="shared" si="40"/>
        <v>95-951900198</v>
      </c>
      <c r="M2566" s="114">
        <v>951900198</v>
      </c>
      <c r="N2566" s="114" t="s">
        <v>7679</v>
      </c>
    </row>
    <row r="2567" spans="1:14">
      <c r="A2567" s="48" t="s">
        <v>1269</v>
      </c>
      <c r="B2567" s="5" t="s">
        <v>3582</v>
      </c>
      <c r="I2567" s="109"/>
      <c r="J2567" s="109"/>
      <c r="K2567" s="109"/>
      <c r="L2567" s="109" t="str">
        <f t="shared" si="40"/>
        <v>95-951300009</v>
      </c>
      <c r="M2567" s="114">
        <v>951300009</v>
      </c>
      <c r="N2567" s="114" t="s">
        <v>7680</v>
      </c>
    </row>
    <row r="2568" spans="1:14">
      <c r="A2568" s="48" t="s">
        <v>1112</v>
      </c>
      <c r="B2568" s="5" t="s">
        <v>3582</v>
      </c>
      <c r="I2568" s="109"/>
      <c r="J2568" s="109"/>
      <c r="K2568" s="109"/>
      <c r="L2568" s="109" t="str">
        <f t="shared" si="40"/>
        <v>95-951900027</v>
      </c>
      <c r="M2568" s="114">
        <v>951900027</v>
      </c>
      <c r="N2568" s="114" t="s">
        <v>7681</v>
      </c>
    </row>
    <row r="2569" spans="1:14">
      <c r="A2569" s="48" t="s">
        <v>1922</v>
      </c>
      <c r="B2569" s="5" t="s">
        <v>3582</v>
      </c>
      <c r="I2569" s="109"/>
      <c r="J2569" s="109"/>
      <c r="K2569" s="109"/>
      <c r="L2569" s="109" t="str">
        <f t="shared" si="40"/>
        <v>95-951700345</v>
      </c>
      <c r="M2569" s="114">
        <v>951700345</v>
      </c>
      <c r="N2569" s="114" t="s">
        <v>7682</v>
      </c>
    </row>
    <row r="2570" spans="1:14">
      <c r="A2570" s="48" t="s">
        <v>1846</v>
      </c>
      <c r="B2570" s="5" t="s">
        <v>3582</v>
      </c>
      <c r="I2570" s="109"/>
      <c r="J2570" s="109"/>
      <c r="K2570" s="109"/>
      <c r="L2570" s="109" t="str">
        <f t="shared" si="40"/>
        <v>95-951100026</v>
      </c>
      <c r="M2570" s="114">
        <v>951100026</v>
      </c>
      <c r="N2570" s="114" t="s">
        <v>7971</v>
      </c>
    </row>
    <row r="2571" spans="1:14">
      <c r="A2571" s="48" t="s">
        <v>1426</v>
      </c>
      <c r="B2571" s="5" t="s">
        <v>3582</v>
      </c>
      <c r="I2571" s="109"/>
      <c r="J2571" s="109"/>
      <c r="K2571" s="109"/>
      <c r="L2571" s="109" t="str">
        <f t="shared" si="40"/>
        <v>96-961200006</v>
      </c>
      <c r="M2571" s="114">
        <v>961200006</v>
      </c>
      <c r="N2571" s="114" t="s">
        <v>7972</v>
      </c>
    </row>
    <row r="2572" spans="1:14">
      <c r="A2572" s="48" t="s">
        <v>1398</v>
      </c>
      <c r="B2572" s="5" t="s">
        <v>3582</v>
      </c>
      <c r="I2572" s="109"/>
      <c r="J2572" s="109"/>
      <c r="K2572" s="109"/>
      <c r="L2572" s="109" t="str">
        <f t="shared" si="40"/>
        <v>96-961100016</v>
      </c>
      <c r="M2572" s="114">
        <v>961100016</v>
      </c>
      <c r="N2572" s="114" t="s">
        <v>7973</v>
      </c>
    </row>
    <row r="2573" spans="1:14">
      <c r="A2573" s="48" t="s">
        <v>1268</v>
      </c>
      <c r="B2573" s="5" t="s">
        <v>3582</v>
      </c>
      <c r="I2573" s="109"/>
      <c r="J2573" s="109"/>
      <c r="K2573" s="109"/>
      <c r="L2573" s="109" t="str">
        <f t="shared" si="40"/>
        <v>96-961200035</v>
      </c>
      <c r="M2573" s="114">
        <v>961200035</v>
      </c>
      <c r="N2573" s="114" t="s">
        <v>7974</v>
      </c>
    </row>
    <row r="2574" spans="1:14">
      <c r="A2574" s="48" t="s">
        <v>1533</v>
      </c>
      <c r="B2574" s="5" t="s">
        <v>3582</v>
      </c>
      <c r="I2574" s="109"/>
      <c r="J2574" s="109"/>
      <c r="K2574" s="109"/>
      <c r="L2574" s="109" t="str">
        <f t="shared" si="40"/>
        <v>96-961200039</v>
      </c>
      <c r="M2574" s="114">
        <v>961200039</v>
      </c>
      <c r="N2574" s="114" t="s">
        <v>7975</v>
      </c>
    </row>
    <row r="2575" spans="1:14">
      <c r="A2575" s="48" t="s">
        <v>1494</v>
      </c>
      <c r="B2575" s="5" t="s">
        <v>3582</v>
      </c>
      <c r="I2575" s="109"/>
      <c r="J2575" s="109"/>
      <c r="K2575" s="109"/>
      <c r="L2575" s="109" t="str">
        <f t="shared" si="40"/>
        <v>96-961200055</v>
      </c>
      <c r="M2575" s="114">
        <v>961200055</v>
      </c>
      <c r="N2575" s="114" t="s">
        <v>7976</v>
      </c>
    </row>
    <row r="2576" spans="1:14">
      <c r="A2576" s="48" t="s">
        <v>1273</v>
      </c>
      <c r="B2576" s="5" t="s">
        <v>3582</v>
      </c>
      <c r="I2576" s="109"/>
      <c r="J2576" s="109"/>
      <c r="K2576" s="109"/>
      <c r="L2576" s="109" t="str">
        <f t="shared" si="40"/>
        <v>95-951400129</v>
      </c>
      <c r="M2576" s="114">
        <v>951400129</v>
      </c>
      <c r="N2576" s="114" t="s">
        <v>7164</v>
      </c>
    </row>
    <row r="2577" spans="1:14">
      <c r="A2577" s="48" t="s">
        <v>1359</v>
      </c>
      <c r="B2577" s="5" t="s">
        <v>3582</v>
      </c>
      <c r="I2577" s="109"/>
      <c r="J2577" s="109"/>
      <c r="K2577" s="109"/>
      <c r="L2577" s="109" t="str">
        <f t="shared" si="40"/>
        <v>95-951900153</v>
      </c>
      <c r="M2577" s="114">
        <v>951900153</v>
      </c>
      <c r="N2577" s="114" t="s">
        <v>7683</v>
      </c>
    </row>
    <row r="2578" spans="1:14">
      <c r="A2578" s="48" t="s">
        <v>1364</v>
      </c>
      <c r="B2578" s="5" t="s">
        <v>3582</v>
      </c>
      <c r="I2578" s="109"/>
      <c r="J2578" s="109"/>
      <c r="K2578" s="109"/>
      <c r="L2578" s="109" t="str">
        <f t="shared" si="40"/>
        <v>96-961600006</v>
      </c>
      <c r="M2578" s="114">
        <v>961600006</v>
      </c>
      <c r="N2578" s="114" t="s">
        <v>7690</v>
      </c>
    </row>
    <row r="2579" spans="1:14">
      <c r="A2579" s="48" t="s">
        <v>1532</v>
      </c>
      <c r="B2579" s="5" t="s">
        <v>3582</v>
      </c>
      <c r="I2579" s="109"/>
      <c r="J2579" s="109"/>
      <c r="K2579" s="109"/>
      <c r="L2579" s="109" t="str">
        <f t="shared" si="40"/>
        <v>95-951400091</v>
      </c>
      <c r="M2579" s="114">
        <v>951400091</v>
      </c>
      <c r="N2579" s="114" t="s">
        <v>7165</v>
      </c>
    </row>
    <row r="2580" spans="1:14">
      <c r="A2580" s="48" t="s">
        <v>1463</v>
      </c>
      <c r="B2580" s="5" t="s">
        <v>3582</v>
      </c>
      <c r="I2580" s="109"/>
      <c r="J2580" s="109"/>
      <c r="K2580" s="109"/>
      <c r="L2580" s="109" t="str">
        <f t="shared" si="40"/>
        <v>96-961900098</v>
      </c>
      <c r="M2580" s="114">
        <v>961900098</v>
      </c>
      <c r="N2580" s="114" t="s">
        <v>7691</v>
      </c>
    </row>
    <row r="2581" spans="1:14">
      <c r="A2581" s="48" t="s">
        <v>1534</v>
      </c>
      <c r="B2581" s="5" t="s">
        <v>3582</v>
      </c>
      <c r="I2581" s="109"/>
      <c r="J2581" s="109"/>
      <c r="K2581" s="109"/>
      <c r="L2581" s="109" t="str">
        <f t="shared" si="40"/>
        <v>95-951000002</v>
      </c>
      <c r="M2581" s="114">
        <v>951000002</v>
      </c>
      <c r="N2581" s="114" t="s">
        <v>7692</v>
      </c>
    </row>
    <row r="2582" spans="1:14">
      <c r="A2582" s="48" t="s">
        <v>1464</v>
      </c>
      <c r="B2582" s="5" t="s">
        <v>3582</v>
      </c>
      <c r="I2582" s="109"/>
      <c r="J2582" s="109"/>
      <c r="K2582" s="109"/>
      <c r="L2582" s="109" t="str">
        <f t="shared" si="40"/>
        <v>95-951800082</v>
      </c>
      <c r="M2582" s="114">
        <v>951800082</v>
      </c>
      <c r="N2582" s="114" t="s">
        <v>7619</v>
      </c>
    </row>
    <row r="2583" spans="1:14">
      <c r="A2583" s="48" t="s">
        <v>1363</v>
      </c>
      <c r="B2583" s="5" t="s">
        <v>3582</v>
      </c>
      <c r="I2583" s="109"/>
      <c r="J2583" s="109"/>
      <c r="K2583" s="109"/>
      <c r="L2583" s="109" t="str">
        <f t="shared" si="40"/>
        <v>96-961700111</v>
      </c>
      <c r="M2583" s="114">
        <v>961700111</v>
      </c>
      <c r="N2583" s="114" t="s">
        <v>7209</v>
      </c>
    </row>
    <row r="2584" spans="1:14">
      <c r="A2584" s="48" t="s">
        <v>3581</v>
      </c>
      <c r="B2584" s="5" t="s">
        <v>3582</v>
      </c>
      <c r="I2584" s="109"/>
      <c r="J2584" s="109"/>
      <c r="K2584" s="109"/>
      <c r="L2584" s="109" t="str">
        <f t="shared" si="40"/>
        <v>95-951600054</v>
      </c>
      <c r="M2584" s="114">
        <v>951600054</v>
      </c>
      <c r="N2584" s="114" t="s">
        <v>7693</v>
      </c>
    </row>
    <row r="2585" spans="1:14">
      <c r="A2585" s="48" t="s">
        <v>1799</v>
      </c>
      <c r="B2585" s="5" t="s">
        <v>3582</v>
      </c>
      <c r="I2585" s="109"/>
      <c r="J2585" s="109"/>
      <c r="K2585" s="109"/>
      <c r="L2585" s="109" t="str">
        <f t="shared" si="40"/>
        <v>95-951600074</v>
      </c>
      <c r="M2585" s="114">
        <v>951600074</v>
      </c>
      <c r="N2585" s="114" t="s">
        <v>7694</v>
      </c>
    </row>
    <row r="2586" spans="1:14">
      <c r="A2586" s="48" t="s">
        <v>1115</v>
      </c>
      <c r="B2586" s="5" t="s">
        <v>3582</v>
      </c>
      <c r="I2586" s="109"/>
      <c r="J2586" s="109"/>
      <c r="K2586" s="109"/>
      <c r="L2586" s="109" t="str">
        <f t="shared" si="40"/>
        <v>95-951400114</v>
      </c>
      <c r="M2586" s="114">
        <v>951400114</v>
      </c>
      <c r="N2586" s="114" t="s">
        <v>7695</v>
      </c>
    </row>
    <row r="2587" spans="1:14" ht="18">
      <c r="A2587" s="52" t="s">
        <v>3120</v>
      </c>
      <c r="B2587" s="5" t="s">
        <v>3672</v>
      </c>
      <c r="I2587" s="109"/>
      <c r="J2587" s="109"/>
      <c r="K2587" s="109"/>
      <c r="L2587" s="109" t="str">
        <f t="shared" si="40"/>
        <v>95-951400124</v>
      </c>
      <c r="M2587" s="114">
        <v>951400124</v>
      </c>
      <c r="N2587" s="114" t="s">
        <v>7587</v>
      </c>
    </row>
    <row r="2588" spans="1:14" ht="18">
      <c r="A2588" s="52" t="s">
        <v>2629</v>
      </c>
      <c r="B2588" s="5" t="s">
        <v>3672</v>
      </c>
      <c r="I2588" s="109"/>
      <c r="J2588" s="109"/>
      <c r="K2588" s="109"/>
      <c r="L2588" s="109" t="str">
        <f t="shared" si="40"/>
        <v>96-961700057</v>
      </c>
      <c r="M2588" s="114">
        <v>961700057</v>
      </c>
      <c r="N2588" s="114" t="s">
        <v>7706</v>
      </c>
    </row>
    <row r="2589" spans="1:14" ht="18">
      <c r="A2589" s="52" t="s">
        <v>3073</v>
      </c>
      <c r="B2589" s="5" t="s">
        <v>3672</v>
      </c>
      <c r="I2589" s="109"/>
      <c r="J2589" s="109"/>
      <c r="K2589" s="109"/>
      <c r="L2589" s="109" t="str">
        <f t="shared" si="40"/>
        <v>96-966200225</v>
      </c>
      <c r="M2589" s="114">
        <v>966200225</v>
      </c>
      <c r="N2589" s="114" t="s">
        <v>7707</v>
      </c>
    </row>
    <row r="2590" spans="1:14" ht="18">
      <c r="A2590" s="52" t="s">
        <v>3097</v>
      </c>
      <c r="B2590" s="5" t="s">
        <v>3672</v>
      </c>
      <c r="I2590" s="109"/>
      <c r="J2590" s="109"/>
      <c r="K2590" s="109"/>
      <c r="L2590" s="109" t="str">
        <f t="shared" si="40"/>
        <v>96-966200307</v>
      </c>
      <c r="M2590" s="114">
        <v>966200307</v>
      </c>
      <c r="N2590" s="114" t="s">
        <v>8736</v>
      </c>
    </row>
    <row r="2591" spans="1:14" ht="18">
      <c r="A2591" s="52" t="s">
        <v>2576</v>
      </c>
      <c r="B2591" s="5" t="s">
        <v>3672</v>
      </c>
      <c r="I2591" s="109"/>
      <c r="J2591" s="109"/>
      <c r="K2591" s="109"/>
      <c r="L2591" s="109" t="str">
        <f t="shared" si="40"/>
        <v>96-966200286</v>
      </c>
      <c r="M2591" s="114">
        <v>966200286</v>
      </c>
      <c r="N2591" s="114" t="s">
        <v>7210</v>
      </c>
    </row>
    <row r="2592" spans="1:14" ht="18">
      <c r="A2592" s="52" t="s">
        <v>3106</v>
      </c>
      <c r="B2592" s="5" t="s">
        <v>3672</v>
      </c>
      <c r="I2592" s="109"/>
      <c r="J2592" s="109"/>
      <c r="K2592" s="109"/>
      <c r="L2592" s="109" t="str">
        <f t="shared" si="40"/>
        <v>95-951300028</v>
      </c>
      <c r="M2592" s="114">
        <v>951300028</v>
      </c>
      <c r="N2592" s="114" t="s">
        <v>7708</v>
      </c>
    </row>
    <row r="2593" spans="1:14" ht="18">
      <c r="A2593" s="52" t="s">
        <v>3252</v>
      </c>
      <c r="B2593" s="5" t="s">
        <v>3672</v>
      </c>
      <c r="I2593" s="109"/>
      <c r="J2593" s="109"/>
      <c r="K2593" s="109"/>
      <c r="L2593" s="109" t="str">
        <f t="shared" si="40"/>
        <v>96-966200070</v>
      </c>
      <c r="M2593" s="114">
        <v>966200070</v>
      </c>
      <c r="N2593" s="114" t="s">
        <v>7709</v>
      </c>
    </row>
    <row r="2594" spans="1:14" ht="18">
      <c r="A2594" s="53" t="s">
        <v>3522</v>
      </c>
      <c r="B2594" s="5" t="s">
        <v>3678</v>
      </c>
      <c r="I2594" s="109"/>
      <c r="J2594" s="109"/>
      <c r="K2594" s="109"/>
      <c r="L2594" s="109" t="str">
        <f t="shared" si="40"/>
        <v>96-966200250</v>
      </c>
      <c r="M2594" s="114">
        <v>966200250</v>
      </c>
      <c r="N2594" s="114" t="s">
        <v>7715</v>
      </c>
    </row>
    <row r="2595" spans="1:14" ht="18">
      <c r="A2595" s="53" t="s">
        <v>3568</v>
      </c>
      <c r="B2595" s="5" t="s">
        <v>3678</v>
      </c>
      <c r="I2595" s="109"/>
      <c r="J2595" s="109"/>
      <c r="K2595" s="109"/>
      <c r="L2595" s="109" t="str">
        <f t="shared" si="40"/>
        <v>96-966200272</v>
      </c>
      <c r="M2595" s="114">
        <v>966200272</v>
      </c>
      <c r="N2595" s="114" t="s">
        <v>7167</v>
      </c>
    </row>
    <row r="2596" spans="1:14" ht="18">
      <c r="A2596" s="53" t="s">
        <v>3564</v>
      </c>
      <c r="B2596" s="5" t="s">
        <v>3678</v>
      </c>
      <c r="I2596" s="109"/>
      <c r="J2596" s="109"/>
      <c r="K2596" s="109"/>
      <c r="L2596" s="109" t="str">
        <f t="shared" si="40"/>
        <v>96-966200167</v>
      </c>
      <c r="M2596" s="114">
        <v>966200167</v>
      </c>
      <c r="N2596" s="114" t="s">
        <v>7716</v>
      </c>
    </row>
    <row r="2597" spans="1:14" ht="18">
      <c r="A2597" s="53" t="s">
        <v>3673</v>
      </c>
      <c r="B2597" s="5" t="s">
        <v>3678</v>
      </c>
      <c r="I2597" s="109"/>
      <c r="J2597" s="109"/>
      <c r="K2597" s="109"/>
      <c r="L2597" s="109" t="str">
        <f t="shared" si="40"/>
        <v>96-961700054</v>
      </c>
      <c r="M2597" s="114">
        <v>961700054</v>
      </c>
      <c r="N2597" s="114" t="s">
        <v>7717</v>
      </c>
    </row>
    <row r="2598" spans="1:14" ht="18">
      <c r="A2598" s="53" t="s">
        <v>3674</v>
      </c>
      <c r="B2598" s="5" t="s">
        <v>3678</v>
      </c>
      <c r="I2598" s="109"/>
      <c r="J2598" s="109"/>
      <c r="K2598" s="109"/>
      <c r="L2598" s="109" t="str">
        <f t="shared" si="40"/>
        <v>95-951700167</v>
      </c>
      <c r="M2598" s="114">
        <v>951700167</v>
      </c>
      <c r="N2598" s="114" t="s">
        <v>7718</v>
      </c>
    </row>
    <row r="2599" spans="1:14" ht="18">
      <c r="A2599" s="53" t="s">
        <v>3525</v>
      </c>
      <c r="B2599" s="5" t="s">
        <v>3678</v>
      </c>
      <c r="I2599" s="109"/>
      <c r="J2599" s="109"/>
      <c r="K2599" s="109"/>
      <c r="L2599" s="109" t="str">
        <f t="shared" si="40"/>
        <v>96-961200075</v>
      </c>
      <c r="M2599" s="114">
        <v>961200075</v>
      </c>
      <c r="N2599" s="114" t="s">
        <v>8737</v>
      </c>
    </row>
    <row r="2600" spans="1:14" ht="18">
      <c r="A2600" s="53" t="s">
        <v>3572</v>
      </c>
      <c r="B2600" s="5" t="s">
        <v>3678</v>
      </c>
      <c r="I2600" s="109"/>
      <c r="J2600" s="109"/>
      <c r="K2600" s="109"/>
      <c r="L2600" s="109" t="str">
        <f t="shared" si="40"/>
        <v>96-966200071</v>
      </c>
      <c r="M2600" s="114">
        <v>966200071</v>
      </c>
      <c r="N2600" s="114" t="s">
        <v>7709</v>
      </c>
    </row>
    <row r="2601" spans="1:14" ht="18">
      <c r="A2601" s="53" t="s">
        <v>3675</v>
      </c>
      <c r="B2601" s="5" t="s">
        <v>3678</v>
      </c>
      <c r="I2601" s="109"/>
      <c r="J2601" s="109"/>
      <c r="K2601" s="109"/>
      <c r="L2601" s="109" t="str">
        <f t="shared" si="40"/>
        <v>95-951600040</v>
      </c>
      <c r="M2601" s="114">
        <v>951600040</v>
      </c>
      <c r="N2601" s="114" t="s">
        <v>7719</v>
      </c>
    </row>
    <row r="2602" spans="1:14" ht="18">
      <c r="A2602" s="53" t="s">
        <v>3676</v>
      </c>
      <c r="B2602" s="5" t="s">
        <v>3678</v>
      </c>
      <c r="I2602" s="109"/>
      <c r="J2602" s="109"/>
      <c r="K2602" s="109"/>
      <c r="L2602" s="109" t="str">
        <f t="shared" si="40"/>
        <v>95-951600038</v>
      </c>
      <c r="M2602" s="114">
        <v>951600038</v>
      </c>
      <c r="N2602" s="114" t="s">
        <v>7720</v>
      </c>
    </row>
    <row r="2603" spans="1:14" ht="18">
      <c r="A2603" s="53" t="s">
        <v>3677</v>
      </c>
      <c r="B2603" s="5" t="s">
        <v>3678</v>
      </c>
      <c r="I2603" s="109"/>
      <c r="J2603" s="109"/>
      <c r="K2603" s="109"/>
      <c r="L2603" s="109" t="str">
        <f t="shared" si="40"/>
        <v>95-951600011</v>
      </c>
      <c r="M2603" s="114">
        <v>951600011</v>
      </c>
      <c r="N2603" s="114" t="s">
        <v>7721</v>
      </c>
    </row>
    <row r="2604" spans="1:14">
      <c r="A2604" t="s">
        <v>2801</v>
      </c>
      <c r="B2604" s="5" t="s">
        <v>3905</v>
      </c>
      <c r="I2604" s="109"/>
      <c r="J2604" s="109"/>
      <c r="K2604" s="109"/>
      <c r="L2604" s="109" t="str">
        <f t="shared" si="40"/>
        <v>95-951900128</v>
      </c>
      <c r="M2604" s="114">
        <v>951900128</v>
      </c>
      <c r="N2604" s="114" t="s">
        <v>7722</v>
      </c>
    </row>
    <row r="2605" spans="1:14">
      <c r="A2605" t="s">
        <v>2784</v>
      </c>
      <c r="B2605" s="5" t="s">
        <v>3905</v>
      </c>
      <c r="I2605" s="109"/>
      <c r="J2605" s="109"/>
      <c r="K2605" s="109"/>
      <c r="L2605" s="109" t="str">
        <f t="shared" si="40"/>
        <v>95-956200437</v>
      </c>
      <c r="M2605" s="114">
        <v>956200437</v>
      </c>
      <c r="N2605" s="114" t="s">
        <v>7723</v>
      </c>
    </row>
    <row r="2606" spans="1:14">
      <c r="A2606" t="s">
        <v>2814</v>
      </c>
      <c r="B2606" s="5" t="s">
        <v>3905</v>
      </c>
      <c r="I2606" s="109"/>
      <c r="J2606" s="109"/>
      <c r="K2606" s="109"/>
      <c r="L2606" s="109" t="str">
        <f t="shared" si="40"/>
        <v>96-966200269</v>
      </c>
      <c r="M2606" s="114">
        <v>966200269</v>
      </c>
      <c r="N2606" s="114" t="s">
        <v>7730</v>
      </c>
    </row>
    <row r="2607" spans="1:14">
      <c r="A2607" t="s">
        <v>2802</v>
      </c>
      <c r="B2607" s="5" t="s">
        <v>3905</v>
      </c>
      <c r="I2607" s="109"/>
      <c r="J2607" s="109"/>
      <c r="K2607" s="109"/>
      <c r="L2607" s="109" t="str">
        <f t="shared" si="40"/>
        <v>96-966200266</v>
      </c>
      <c r="M2607" s="114">
        <v>966200266</v>
      </c>
      <c r="N2607" s="114" t="s">
        <v>7208</v>
      </c>
    </row>
    <row r="2608" spans="1:14">
      <c r="A2608" t="s">
        <v>3069</v>
      </c>
      <c r="B2608" s="5" t="s">
        <v>3905</v>
      </c>
      <c r="I2608" s="109"/>
      <c r="J2608" s="109"/>
      <c r="K2608" s="109"/>
      <c r="L2608" s="109" t="str">
        <f t="shared" si="40"/>
        <v>96-961900112</v>
      </c>
      <c r="M2608" s="114">
        <v>961900112</v>
      </c>
      <c r="N2608" s="114" t="s">
        <v>7731</v>
      </c>
    </row>
    <row r="2609" spans="1:14">
      <c r="A2609" t="s">
        <v>2785</v>
      </c>
      <c r="B2609" s="5" t="s">
        <v>3905</v>
      </c>
      <c r="I2609" s="109"/>
      <c r="J2609" s="109"/>
      <c r="K2609" s="109"/>
      <c r="L2609" s="109" t="str">
        <f t="shared" si="40"/>
        <v>95-951700342</v>
      </c>
      <c r="M2609" s="114">
        <v>951700342</v>
      </c>
      <c r="N2609" s="114" t="s">
        <v>7732</v>
      </c>
    </row>
    <row r="2610" spans="1:14">
      <c r="A2610" t="s">
        <v>3083</v>
      </c>
      <c r="B2610" s="5" t="s">
        <v>3905</v>
      </c>
      <c r="I2610" s="109"/>
      <c r="J2610" s="109"/>
      <c r="K2610" s="109"/>
      <c r="L2610" s="109" t="str">
        <f t="shared" si="40"/>
        <v>96-961900176</v>
      </c>
      <c r="M2610" s="114">
        <v>961900176</v>
      </c>
      <c r="N2610" s="114" t="s">
        <v>8738</v>
      </c>
    </row>
    <row r="2611" spans="1:14">
      <c r="A2611" t="s">
        <v>3210</v>
      </c>
      <c r="B2611" s="5" t="s">
        <v>3905</v>
      </c>
      <c r="I2611" s="109"/>
      <c r="J2611" s="109"/>
      <c r="K2611" s="109"/>
      <c r="L2611" s="109" t="str">
        <f t="shared" si="40"/>
        <v>96-966200141</v>
      </c>
      <c r="M2611" s="114">
        <v>966200141</v>
      </c>
      <c r="N2611" s="114" t="s">
        <v>7343</v>
      </c>
    </row>
    <row r="2612" spans="1:14">
      <c r="A2612" t="s">
        <v>3064</v>
      </c>
      <c r="B2612" s="5" t="s">
        <v>3905</v>
      </c>
      <c r="I2612" s="109"/>
      <c r="J2612" s="109"/>
      <c r="K2612" s="109"/>
      <c r="L2612" s="109" t="str">
        <f t="shared" si="40"/>
        <v>95-951900087</v>
      </c>
      <c r="M2612" s="114">
        <v>951900087</v>
      </c>
      <c r="N2612" s="114" t="s">
        <v>7733</v>
      </c>
    </row>
    <row r="2613" spans="1:14">
      <c r="A2613" t="s">
        <v>2889</v>
      </c>
      <c r="B2613" s="5" t="s">
        <v>3905</v>
      </c>
      <c r="I2613" s="109"/>
      <c r="J2613" s="109"/>
      <c r="K2613" s="109"/>
      <c r="L2613" s="109" t="str">
        <f t="shared" si="40"/>
        <v>95-951900146</v>
      </c>
      <c r="M2613" s="114">
        <v>951900146</v>
      </c>
      <c r="N2613" s="114" t="s">
        <v>7734</v>
      </c>
    </row>
    <row r="2614" spans="1:14">
      <c r="A2614" t="s">
        <v>3181</v>
      </c>
      <c r="B2614" s="5" t="s">
        <v>3905</v>
      </c>
      <c r="I2614" s="109"/>
      <c r="J2614" s="109"/>
      <c r="K2614" s="109"/>
      <c r="L2614" s="109" t="str">
        <f t="shared" si="40"/>
        <v>96-961700096</v>
      </c>
      <c r="M2614" s="114">
        <v>961700096</v>
      </c>
      <c r="N2614" s="114" t="s">
        <v>7735</v>
      </c>
    </row>
    <row r="2615" spans="1:14">
      <c r="A2615" t="s">
        <v>3259</v>
      </c>
      <c r="B2615" s="5" t="s">
        <v>3905</v>
      </c>
      <c r="I2615" s="109"/>
      <c r="J2615" s="109"/>
      <c r="K2615" s="109"/>
      <c r="L2615" s="109" t="str">
        <f t="shared" si="40"/>
        <v>96-961800031</v>
      </c>
      <c r="M2615" s="114">
        <v>961800031</v>
      </c>
      <c r="N2615" s="114" t="s">
        <v>7736</v>
      </c>
    </row>
    <row r="2616" spans="1:14">
      <c r="A2616" t="s">
        <v>3182</v>
      </c>
      <c r="B2616" s="5" t="s">
        <v>3905</v>
      </c>
      <c r="I2616" s="109"/>
      <c r="J2616" s="109"/>
      <c r="K2616" s="109"/>
      <c r="L2616" s="109" t="str">
        <f t="shared" si="40"/>
        <v>95-951200070</v>
      </c>
      <c r="M2616" s="114">
        <v>951200070</v>
      </c>
      <c r="N2616" s="114" t="s">
        <v>7226</v>
      </c>
    </row>
    <row r="2617" spans="1:14">
      <c r="A2617" t="s">
        <v>3066</v>
      </c>
      <c r="B2617" s="5" t="s">
        <v>3905</v>
      </c>
      <c r="I2617" s="109"/>
      <c r="J2617" s="109"/>
      <c r="K2617" s="109"/>
      <c r="L2617" s="109" t="str">
        <f t="shared" si="40"/>
        <v>95-951200079</v>
      </c>
      <c r="M2617" s="114">
        <v>951200079</v>
      </c>
      <c r="N2617" s="114" t="s">
        <v>7226</v>
      </c>
    </row>
    <row r="2618" spans="1:14">
      <c r="A2618" t="s">
        <v>3060</v>
      </c>
      <c r="B2618" s="5" t="s">
        <v>3905</v>
      </c>
      <c r="I2618" s="109"/>
      <c r="J2618" s="109"/>
      <c r="K2618" s="109"/>
      <c r="L2618" s="109" t="str">
        <f t="shared" si="40"/>
        <v>95-951200094</v>
      </c>
      <c r="M2618" s="114">
        <v>951200094</v>
      </c>
      <c r="N2618" s="114" t="s">
        <v>7151</v>
      </c>
    </row>
    <row r="2619" spans="1:14">
      <c r="A2619" t="s">
        <v>3070</v>
      </c>
      <c r="B2619" s="5" t="s">
        <v>3905</v>
      </c>
      <c r="I2619" s="109"/>
      <c r="J2619" s="109"/>
      <c r="K2619" s="109"/>
      <c r="L2619" s="109" t="str">
        <f t="shared" si="40"/>
        <v>96-962200019</v>
      </c>
      <c r="M2619" s="114">
        <v>962200019</v>
      </c>
      <c r="N2619" s="114" t="s">
        <v>7229</v>
      </c>
    </row>
    <row r="2620" spans="1:14">
      <c r="A2620" t="s">
        <v>3098</v>
      </c>
      <c r="B2620" s="5" t="s">
        <v>3905</v>
      </c>
      <c r="I2620" s="109"/>
      <c r="J2620" s="109"/>
      <c r="K2620" s="109"/>
      <c r="L2620" s="109" t="str">
        <f t="shared" si="40"/>
        <v>95-952200028</v>
      </c>
      <c r="M2620" s="114">
        <v>952200028</v>
      </c>
      <c r="N2620" s="114" t="s">
        <v>7174</v>
      </c>
    </row>
    <row r="2621" spans="1:14">
      <c r="A2621" t="s">
        <v>3114</v>
      </c>
      <c r="B2621" s="5" t="s">
        <v>3905</v>
      </c>
      <c r="I2621" s="109"/>
      <c r="J2621" s="109"/>
      <c r="K2621" s="109"/>
      <c r="L2621" s="109" t="str">
        <f t="shared" si="40"/>
        <v>95-952200075</v>
      </c>
      <c r="M2621" s="114">
        <v>952200075</v>
      </c>
      <c r="N2621" s="114" t="s">
        <v>7151</v>
      </c>
    </row>
    <row r="2622" spans="1:14">
      <c r="A2622" t="s">
        <v>2881</v>
      </c>
      <c r="B2622" s="5" t="s">
        <v>3905</v>
      </c>
      <c r="I2622" s="109"/>
      <c r="J2622" s="109"/>
      <c r="K2622" s="109"/>
      <c r="L2622" s="109" t="str">
        <f t="shared" si="40"/>
        <v>96-962200002</v>
      </c>
      <c r="M2622" s="114">
        <v>962200002</v>
      </c>
      <c r="N2622" s="114" t="s">
        <v>7151</v>
      </c>
    </row>
    <row r="2623" spans="1:14">
      <c r="A2623" t="s">
        <v>2880</v>
      </c>
      <c r="B2623" s="5" t="s">
        <v>3905</v>
      </c>
      <c r="I2623" s="109"/>
      <c r="J2623" s="109"/>
      <c r="K2623" s="109"/>
      <c r="L2623" s="109" t="str">
        <f t="shared" si="40"/>
        <v>95-952500057</v>
      </c>
      <c r="M2623" s="114">
        <v>952500057</v>
      </c>
      <c r="N2623" s="114" t="s">
        <v>5697</v>
      </c>
    </row>
    <row r="2624" spans="1:14">
      <c r="A2624" t="s">
        <v>3466</v>
      </c>
      <c r="B2624" s="5" t="s">
        <v>3905</v>
      </c>
      <c r="I2624" s="109"/>
      <c r="J2624" s="109"/>
      <c r="K2624" s="109"/>
      <c r="L2624" s="109" t="str">
        <f t="shared" si="40"/>
        <v>95-951200026</v>
      </c>
      <c r="M2624" s="114">
        <v>951200026</v>
      </c>
      <c r="N2624" s="114" t="s">
        <v>7172</v>
      </c>
    </row>
    <row r="2625" spans="1:14">
      <c r="A2625" t="s">
        <v>3099</v>
      </c>
      <c r="B2625" s="5" t="s">
        <v>3905</v>
      </c>
      <c r="I2625" s="109"/>
      <c r="J2625" s="109"/>
      <c r="K2625" s="109"/>
      <c r="L2625" s="109" t="str">
        <f t="shared" si="40"/>
        <v>95-951200063</v>
      </c>
      <c r="M2625" s="114">
        <v>951200063</v>
      </c>
      <c r="N2625" s="114" t="s">
        <v>7226</v>
      </c>
    </row>
    <row r="2626" spans="1:14">
      <c r="A2626" t="s">
        <v>3100</v>
      </c>
      <c r="B2626" s="5" t="s">
        <v>3905</v>
      </c>
      <c r="I2626" s="109"/>
      <c r="J2626" s="109"/>
      <c r="K2626" s="109"/>
      <c r="L2626" s="109" t="str">
        <f t="shared" si="40"/>
        <v>95-951500034</v>
      </c>
      <c r="M2626" s="114">
        <v>951500034</v>
      </c>
      <c r="N2626" s="114" t="s">
        <v>5605</v>
      </c>
    </row>
    <row r="2627" spans="1:14">
      <c r="A2627" t="s">
        <v>2895</v>
      </c>
      <c r="B2627" s="5" t="s">
        <v>3905</v>
      </c>
      <c r="I2627" s="109"/>
      <c r="J2627" s="109"/>
      <c r="K2627" s="109"/>
      <c r="L2627" s="109" t="str">
        <f t="shared" ref="L2627:L2690" si="41">MID(M2627,1,2)&amp;"-"&amp;M2627</f>
        <v>95-952200024</v>
      </c>
      <c r="M2627" s="114">
        <v>952200024</v>
      </c>
      <c r="N2627" s="114" t="s">
        <v>7126</v>
      </c>
    </row>
    <row r="2628" spans="1:14">
      <c r="A2628" t="s">
        <v>3257</v>
      </c>
      <c r="B2628" s="5" t="s">
        <v>3905</v>
      </c>
      <c r="I2628" s="109"/>
      <c r="J2628" s="109"/>
      <c r="K2628" s="109"/>
      <c r="L2628" s="109" t="str">
        <f t="shared" si="41"/>
        <v>96-962200024</v>
      </c>
      <c r="M2628" s="114">
        <v>962200024</v>
      </c>
      <c r="N2628" s="114" t="s">
        <v>7230</v>
      </c>
    </row>
    <row r="2629" spans="1:14">
      <c r="A2629" t="s">
        <v>3653</v>
      </c>
      <c r="B2629" s="5" t="s">
        <v>3905</v>
      </c>
      <c r="I2629" s="109"/>
      <c r="J2629" s="109"/>
      <c r="K2629" s="109"/>
      <c r="L2629" s="109" t="str">
        <f t="shared" si="41"/>
        <v>95-951500229</v>
      </c>
      <c r="M2629" s="114">
        <v>951500229</v>
      </c>
      <c r="N2629" s="114" t="s">
        <v>5640</v>
      </c>
    </row>
    <row r="2630" spans="1:14">
      <c r="A2630" t="s">
        <v>3381</v>
      </c>
      <c r="B2630" s="5" t="s">
        <v>3905</v>
      </c>
      <c r="I2630" s="109"/>
      <c r="J2630" s="109"/>
      <c r="K2630" s="109"/>
      <c r="L2630" s="109" t="str">
        <f t="shared" si="41"/>
        <v>95-951500472</v>
      </c>
      <c r="M2630" s="114">
        <v>951500472</v>
      </c>
      <c r="N2630" s="114" t="s">
        <v>5708</v>
      </c>
    </row>
    <row r="2631" spans="1:14">
      <c r="A2631" t="s">
        <v>3071</v>
      </c>
      <c r="B2631" s="5" t="s">
        <v>3905</v>
      </c>
      <c r="I2631" s="109"/>
      <c r="J2631" s="109"/>
      <c r="K2631" s="109"/>
      <c r="L2631" s="109" t="str">
        <f t="shared" si="41"/>
        <v>96-961500084</v>
      </c>
      <c r="M2631" s="114">
        <v>961500084</v>
      </c>
      <c r="N2631" s="114" t="s">
        <v>5762</v>
      </c>
    </row>
    <row r="2632" spans="1:14">
      <c r="A2632" t="s">
        <v>3074</v>
      </c>
      <c r="B2632" s="5" t="s">
        <v>3905</v>
      </c>
      <c r="I2632" s="109"/>
      <c r="J2632" s="109"/>
      <c r="K2632" s="109"/>
      <c r="L2632" s="109" t="str">
        <f t="shared" si="41"/>
        <v>96-961500234</v>
      </c>
      <c r="M2632" s="114">
        <v>961500234</v>
      </c>
      <c r="N2632" s="114" t="s">
        <v>5813</v>
      </c>
    </row>
    <row r="2633" spans="1:14">
      <c r="A2633" t="s">
        <v>3180</v>
      </c>
      <c r="B2633" s="5" t="s">
        <v>3905</v>
      </c>
      <c r="I2633" s="109"/>
      <c r="J2633" s="109"/>
      <c r="K2633" s="109"/>
      <c r="L2633" s="109" t="str">
        <f t="shared" si="41"/>
        <v>95-951500501</v>
      </c>
      <c r="M2633" s="114">
        <v>951500501</v>
      </c>
      <c r="N2633" s="114" t="s">
        <v>5690</v>
      </c>
    </row>
    <row r="2634" spans="1:14">
      <c r="A2634" t="s">
        <v>3176</v>
      </c>
      <c r="B2634" s="5" t="s">
        <v>3905</v>
      </c>
      <c r="I2634" s="109"/>
      <c r="J2634" s="109"/>
      <c r="K2634" s="109"/>
      <c r="L2634" s="109" t="str">
        <f t="shared" si="41"/>
        <v>96-961500370</v>
      </c>
      <c r="M2634" s="114">
        <v>961500370</v>
      </c>
      <c r="N2634" s="114" t="s">
        <v>7233</v>
      </c>
    </row>
    <row r="2635" spans="1:14">
      <c r="A2635" t="s">
        <v>3178</v>
      </c>
      <c r="B2635" s="5" t="s">
        <v>3905</v>
      </c>
      <c r="I2635" s="109"/>
      <c r="J2635" s="109"/>
      <c r="K2635" s="109"/>
      <c r="L2635" s="109" t="str">
        <f t="shared" si="41"/>
        <v>96-961500541</v>
      </c>
      <c r="M2635" s="114">
        <v>961500541</v>
      </c>
      <c r="N2635" s="114" t="s">
        <v>8497</v>
      </c>
    </row>
    <row r="2636" spans="1:14">
      <c r="A2636" t="s">
        <v>3175</v>
      </c>
      <c r="B2636" s="5" t="s">
        <v>3905</v>
      </c>
      <c r="I2636" s="109"/>
      <c r="J2636" s="109"/>
      <c r="K2636" s="109"/>
      <c r="L2636" s="109" t="str">
        <f t="shared" si="41"/>
        <v>96-961500493</v>
      </c>
      <c r="M2636" s="114">
        <v>961500493</v>
      </c>
      <c r="N2636" s="114" t="s">
        <v>7234</v>
      </c>
    </row>
    <row r="2637" spans="1:14">
      <c r="A2637" t="s">
        <v>3253</v>
      </c>
      <c r="B2637" s="5" t="s">
        <v>3905</v>
      </c>
      <c r="I2637" s="109"/>
      <c r="J2637" s="109"/>
      <c r="K2637" s="109"/>
      <c r="L2637" s="109" t="str">
        <f t="shared" si="41"/>
        <v>95-951500230</v>
      </c>
      <c r="M2637" s="114">
        <v>951500230</v>
      </c>
      <c r="N2637" s="114" t="s">
        <v>5632</v>
      </c>
    </row>
    <row r="2638" spans="1:14">
      <c r="A2638" t="s">
        <v>3174</v>
      </c>
      <c r="B2638" s="5" t="s">
        <v>3905</v>
      </c>
      <c r="I2638" s="109"/>
      <c r="J2638" s="109"/>
      <c r="K2638" s="109"/>
      <c r="L2638" s="109" t="str">
        <f t="shared" si="41"/>
        <v>95-951500257</v>
      </c>
      <c r="M2638" s="114">
        <v>951500257</v>
      </c>
      <c r="N2638" s="114" t="s">
        <v>5646</v>
      </c>
    </row>
    <row r="2639" spans="1:14">
      <c r="A2639" t="s">
        <v>3352</v>
      </c>
      <c r="B2639" s="5" t="s">
        <v>3905</v>
      </c>
      <c r="I2639" s="109"/>
      <c r="J2639" s="109"/>
      <c r="K2639" s="109"/>
      <c r="L2639" s="109" t="str">
        <f t="shared" si="41"/>
        <v>96-962200025</v>
      </c>
      <c r="M2639" s="114">
        <v>962200025</v>
      </c>
      <c r="N2639" s="114" t="s">
        <v>7230</v>
      </c>
    </row>
    <row r="2640" spans="1:14">
      <c r="A2640" t="s">
        <v>3419</v>
      </c>
      <c r="B2640" s="5" t="s">
        <v>3905</v>
      </c>
      <c r="I2640" s="109"/>
      <c r="J2640" s="109"/>
      <c r="K2640" s="109"/>
      <c r="L2640" s="109" t="str">
        <f t="shared" si="41"/>
        <v>96-962200061</v>
      </c>
      <c r="M2640" s="114">
        <v>962200061</v>
      </c>
      <c r="N2640" s="114" t="s">
        <v>7452</v>
      </c>
    </row>
    <row r="2641" spans="1:14">
      <c r="A2641" t="s">
        <v>3353</v>
      </c>
      <c r="B2641" s="5" t="s">
        <v>3905</v>
      </c>
      <c r="I2641" s="109"/>
      <c r="J2641" s="109"/>
      <c r="K2641" s="109"/>
      <c r="L2641" s="109" t="str">
        <f t="shared" si="41"/>
        <v>96-962500050</v>
      </c>
      <c r="M2641" s="114">
        <v>962500050</v>
      </c>
      <c r="N2641" s="114" t="s">
        <v>5814</v>
      </c>
    </row>
    <row r="2642" spans="1:14">
      <c r="A2642" t="s">
        <v>3256</v>
      </c>
      <c r="B2642" s="5" t="s">
        <v>3905</v>
      </c>
      <c r="I2642" s="109"/>
      <c r="J2642" s="109"/>
      <c r="K2642" s="109"/>
      <c r="L2642" s="109" t="str">
        <f t="shared" si="41"/>
        <v>96-962500065</v>
      </c>
      <c r="M2642" s="114">
        <v>962500065</v>
      </c>
      <c r="N2642" s="114" t="s">
        <v>5841</v>
      </c>
    </row>
    <row r="2643" spans="1:14">
      <c r="A2643" t="s">
        <v>3255</v>
      </c>
      <c r="B2643" s="5" t="s">
        <v>3905</v>
      </c>
      <c r="I2643" s="109"/>
      <c r="J2643" s="109"/>
      <c r="K2643" s="109"/>
      <c r="L2643" s="109" t="str">
        <f t="shared" si="41"/>
        <v>96-962500110</v>
      </c>
      <c r="M2643" s="114">
        <v>962500110</v>
      </c>
      <c r="N2643" s="114" t="s">
        <v>7211</v>
      </c>
    </row>
    <row r="2644" spans="1:14">
      <c r="A2644" t="s">
        <v>3348</v>
      </c>
      <c r="B2644" s="5" t="s">
        <v>3905</v>
      </c>
      <c r="I2644" s="109"/>
      <c r="J2644" s="109"/>
      <c r="K2644" s="109"/>
      <c r="L2644" s="109" t="str">
        <f t="shared" si="41"/>
        <v>96-962500117</v>
      </c>
      <c r="M2644" s="114">
        <v>962500117</v>
      </c>
      <c r="N2644" s="114" t="s">
        <v>7211</v>
      </c>
    </row>
    <row r="2645" spans="1:14">
      <c r="A2645" t="s">
        <v>3111</v>
      </c>
      <c r="B2645" s="5" t="s">
        <v>3905</v>
      </c>
      <c r="I2645" s="109"/>
      <c r="J2645" s="109"/>
      <c r="K2645" s="109"/>
      <c r="L2645" s="109" t="str">
        <f t="shared" si="41"/>
        <v>95-954200028</v>
      </c>
      <c r="M2645" s="114">
        <v>954200028</v>
      </c>
      <c r="N2645" s="114" t="s">
        <v>5642</v>
      </c>
    </row>
    <row r="2646" spans="1:14">
      <c r="A2646" t="s">
        <v>3052</v>
      </c>
      <c r="B2646" s="5" t="s">
        <v>3905</v>
      </c>
      <c r="I2646" s="109"/>
      <c r="J2646" s="109"/>
      <c r="K2646" s="109"/>
      <c r="L2646" s="109" t="str">
        <f t="shared" si="41"/>
        <v>96-961500088</v>
      </c>
      <c r="M2646" s="114">
        <v>961500088</v>
      </c>
      <c r="N2646" s="114" t="s">
        <v>5789</v>
      </c>
    </row>
    <row r="2647" spans="1:14">
      <c r="A2647" t="s">
        <v>2890</v>
      </c>
      <c r="B2647" s="5" t="s">
        <v>3905</v>
      </c>
      <c r="I2647" s="109"/>
      <c r="J2647" s="109"/>
      <c r="K2647" s="109"/>
      <c r="L2647" s="109" t="str">
        <f t="shared" si="41"/>
        <v>96-961500404</v>
      </c>
      <c r="M2647" s="114">
        <v>961500404</v>
      </c>
      <c r="N2647" s="114" t="s">
        <v>5836</v>
      </c>
    </row>
    <row r="2648" spans="1:14">
      <c r="A2648" t="s">
        <v>3329</v>
      </c>
      <c r="B2648" s="5" t="s">
        <v>3905</v>
      </c>
      <c r="I2648" s="109"/>
      <c r="J2648" s="109"/>
      <c r="K2648" s="109"/>
      <c r="L2648" s="109" t="str">
        <f t="shared" si="41"/>
        <v>95-951500537</v>
      </c>
      <c r="M2648" s="114">
        <v>951500537</v>
      </c>
      <c r="N2648" s="114" t="s">
        <v>5715</v>
      </c>
    </row>
    <row r="2649" spans="1:14">
      <c r="A2649" t="s">
        <v>3384</v>
      </c>
      <c r="B2649" s="5" t="s">
        <v>3905</v>
      </c>
      <c r="I2649" s="109"/>
      <c r="J2649" s="109"/>
      <c r="K2649" s="109"/>
      <c r="L2649" s="109" t="str">
        <f t="shared" si="41"/>
        <v>95-952000209</v>
      </c>
      <c r="M2649" s="114">
        <v>952000209</v>
      </c>
      <c r="N2649" s="114" t="s">
        <v>7909</v>
      </c>
    </row>
    <row r="2650" spans="1:14">
      <c r="A2650" t="s">
        <v>3354</v>
      </c>
      <c r="B2650" s="5" t="s">
        <v>3905</v>
      </c>
      <c r="I2650" s="109"/>
      <c r="J2650" s="109"/>
      <c r="K2650" s="109"/>
      <c r="L2650" s="109" t="str">
        <f t="shared" si="41"/>
        <v>96-966200161</v>
      </c>
      <c r="M2650" s="114">
        <v>966200161</v>
      </c>
      <c r="N2650" s="114" t="s">
        <v>7362</v>
      </c>
    </row>
    <row r="2651" spans="1:14">
      <c r="A2651" t="s">
        <v>3355</v>
      </c>
      <c r="B2651" s="5" t="s">
        <v>3905</v>
      </c>
      <c r="I2651" s="109"/>
      <c r="J2651" s="109"/>
      <c r="K2651" s="109"/>
      <c r="L2651" s="109" t="str">
        <f t="shared" si="41"/>
        <v>96-966200180</v>
      </c>
      <c r="M2651" s="114">
        <v>966200180</v>
      </c>
      <c r="N2651" s="114" t="s">
        <v>7986</v>
      </c>
    </row>
    <row r="2652" spans="1:14">
      <c r="A2652" t="s">
        <v>3185</v>
      </c>
      <c r="B2652" s="5" t="s">
        <v>3905</v>
      </c>
      <c r="I2652" s="109"/>
      <c r="J2652" s="109"/>
      <c r="K2652" s="109"/>
      <c r="L2652" s="109" t="str">
        <f t="shared" si="41"/>
        <v>96-966200228</v>
      </c>
      <c r="M2652" s="114">
        <v>966200228</v>
      </c>
      <c r="N2652" s="114" t="s">
        <v>7116</v>
      </c>
    </row>
    <row r="2653" spans="1:14">
      <c r="A2653" t="s">
        <v>3177</v>
      </c>
      <c r="B2653" s="5" t="s">
        <v>3905</v>
      </c>
      <c r="I2653" s="109"/>
      <c r="J2653" s="109"/>
      <c r="K2653" s="109"/>
      <c r="L2653" s="109" t="str">
        <f t="shared" si="41"/>
        <v>96-966200229</v>
      </c>
      <c r="M2653" s="114">
        <v>966200229</v>
      </c>
      <c r="N2653" s="114" t="s">
        <v>7116</v>
      </c>
    </row>
    <row r="2654" spans="1:14">
      <c r="A2654" t="s">
        <v>3179</v>
      </c>
      <c r="B2654" s="5" t="s">
        <v>3905</v>
      </c>
      <c r="I2654" s="109"/>
      <c r="J2654" s="109"/>
      <c r="K2654" s="109"/>
      <c r="L2654" s="109" t="str">
        <f t="shared" si="41"/>
        <v>95-956200329</v>
      </c>
      <c r="M2654" s="114">
        <v>956200329</v>
      </c>
      <c r="N2654" s="114" t="s">
        <v>7911</v>
      </c>
    </row>
    <row r="2655" spans="1:14">
      <c r="A2655" t="s">
        <v>3188</v>
      </c>
      <c r="B2655" s="5" t="s">
        <v>3905</v>
      </c>
      <c r="I2655" s="109"/>
      <c r="J2655" s="109"/>
      <c r="K2655" s="109"/>
      <c r="L2655" s="109" t="str">
        <f t="shared" si="41"/>
        <v>95-956200353</v>
      </c>
      <c r="M2655" s="114">
        <v>956200353</v>
      </c>
      <c r="N2655" s="114" t="s">
        <v>7949</v>
      </c>
    </row>
    <row r="2656" spans="1:14">
      <c r="A2656" t="s">
        <v>3254</v>
      </c>
      <c r="B2656" s="5" t="s">
        <v>3905</v>
      </c>
      <c r="I2656" s="109"/>
      <c r="J2656" s="109"/>
      <c r="K2656" s="109"/>
      <c r="L2656" s="109" t="str">
        <f t="shared" si="41"/>
        <v>95-951500114</v>
      </c>
      <c r="M2656" s="114">
        <v>951500114</v>
      </c>
      <c r="N2656" s="114" t="s">
        <v>5617</v>
      </c>
    </row>
    <row r="2657" spans="1:14">
      <c r="A2657" s="21" t="s">
        <v>3332</v>
      </c>
      <c r="B2657" s="5" t="s">
        <v>3906</v>
      </c>
      <c r="I2657" s="109"/>
      <c r="J2657" s="109"/>
      <c r="K2657" s="109"/>
      <c r="L2657" s="109" t="str">
        <f t="shared" si="41"/>
        <v>95-951500158</v>
      </c>
      <c r="M2657" s="114">
        <v>951500158</v>
      </c>
      <c r="N2657" s="114" t="s">
        <v>5617</v>
      </c>
    </row>
    <row r="2658" spans="1:14">
      <c r="A2658" s="21" t="s">
        <v>3334</v>
      </c>
      <c r="B2658" s="5" t="s">
        <v>3906</v>
      </c>
      <c r="I2658" s="109"/>
      <c r="J2658" s="109"/>
      <c r="K2658" s="109"/>
      <c r="L2658" s="109" t="str">
        <f t="shared" si="41"/>
        <v>95-956200256</v>
      </c>
      <c r="M2658" s="114">
        <v>956200256</v>
      </c>
      <c r="N2658" s="114" t="s">
        <v>8027</v>
      </c>
    </row>
    <row r="2659" spans="1:14">
      <c r="A2659" s="21" t="s">
        <v>3345</v>
      </c>
      <c r="B2659" s="5" t="s">
        <v>3906</v>
      </c>
      <c r="I2659" s="109"/>
      <c r="J2659" s="109"/>
      <c r="K2659" s="109"/>
      <c r="L2659" s="109" t="str">
        <f t="shared" si="41"/>
        <v>95-951500203</v>
      </c>
      <c r="M2659" s="114">
        <v>951500203</v>
      </c>
      <c r="N2659" s="114" t="s">
        <v>5618</v>
      </c>
    </row>
    <row r="2660" spans="1:14">
      <c r="A2660" s="21" t="s">
        <v>3341</v>
      </c>
      <c r="B2660" s="5" t="s">
        <v>3906</v>
      </c>
      <c r="I2660" s="109"/>
      <c r="J2660" s="109"/>
      <c r="K2660" s="109"/>
      <c r="L2660" s="109" t="str">
        <f t="shared" si="41"/>
        <v>95-951500303</v>
      </c>
      <c r="M2660" s="114">
        <v>951500303</v>
      </c>
      <c r="N2660" s="114" t="s">
        <v>5618</v>
      </c>
    </row>
    <row r="2661" spans="1:14">
      <c r="A2661" s="21" t="s">
        <v>3340</v>
      </c>
      <c r="B2661" s="5" t="s">
        <v>3906</v>
      </c>
      <c r="I2661" s="109"/>
      <c r="J2661" s="109"/>
      <c r="K2661" s="109"/>
      <c r="L2661" s="109" t="str">
        <f t="shared" si="41"/>
        <v>95-951500135</v>
      </c>
      <c r="M2661" s="114">
        <v>951500135</v>
      </c>
      <c r="N2661" s="114" t="s">
        <v>5612</v>
      </c>
    </row>
    <row r="2662" spans="1:14">
      <c r="A2662" s="21" t="s">
        <v>3342</v>
      </c>
      <c r="B2662" s="5" t="s">
        <v>3906</v>
      </c>
      <c r="I2662" s="109"/>
      <c r="J2662" s="109"/>
      <c r="K2662" s="109"/>
      <c r="L2662" s="109" t="str">
        <f t="shared" si="41"/>
        <v>95-951500212</v>
      </c>
      <c r="M2662" s="114">
        <v>951500212</v>
      </c>
      <c r="N2662" s="114" t="s">
        <v>5630</v>
      </c>
    </row>
    <row r="2663" spans="1:14">
      <c r="A2663" s="21" t="s">
        <v>3344</v>
      </c>
      <c r="B2663" s="5" t="s">
        <v>3906</v>
      </c>
      <c r="I2663" s="109"/>
      <c r="J2663" s="109"/>
      <c r="K2663" s="109"/>
      <c r="L2663" s="109" t="str">
        <f t="shared" si="41"/>
        <v>95-951500234</v>
      </c>
      <c r="M2663" s="114">
        <v>951500234</v>
      </c>
      <c r="N2663" s="114" t="s">
        <v>5630</v>
      </c>
    </row>
    <row r="2664" spans="1:14">
      <c r="A2664" s="21" t="s">
        <v>3349</v>
      </c>
      <c r="B2664" s="5" t="s">
        <v>3906</v>
      </c>
      <c r="I2664" s="109"/>
      <c r="J2664" s="109"/>
      <c r="K2664" s="109"/>
      <c r="L2664" s="109" t="str">
        <f t="shared" si="41"/>
        <v>95-951500264</v>
      </c>
      <c r="M2664" s="114">
        <v>951500264</v>
      </c>
      <c r="N2664" s="114" t="s">
        <v>5645</v>
      </c>
    </row>
    <row r="2665" spans="1:14">
      <c r="A2665" s="21" t="s">
        <v>3337</v>
      </c>
      <c r="B2665" s="5" t="s">
        <v>3906</v>
      </c>
      <c r="I2665" s="109"/>
      <c r="J2665" s="109"/>
      <c r="K2665" s="109"/>
      <c r="L2665" s="109" t="str">
        <f t="shared" si="41"/>
        <v>96-961500073</v>
      </c>
      <c r="M2665" s="114">
        <v>961500073</v>
      </c>
      <c r="N2665" s="114" t="s">
        <v>5762</v>
      </c>
    </row>
    <row r="2666" spans="1:14">
      <c r="A2666" s="21" t="s">
        <v>3471</v>
      </c>
      <c r="B2666" s="5" t="s">
        <v>3906</v>
      </c>
      <c r="I2666" s="109"/>
      <c r="J2666" s="109"/>
      <c r="K2666" s="109"/>
      <c r="L2666" s="109" t="str">
        <f t="shared" si="41"/>
        <v>96-961500074</v>
      </c>
      <c r="M2666" s="114">
        <v>961500074</v>
      </c>
      <c r="N2666" s="114" t="s">
        <v>5762</v>
      </c>
    </row>
    <row r="2667" spans="1:14">
      <c r="A2667" s="21" t="s">
        <v>3338</v>
      </c>
      <c r="B2667" s="5" t="s">
        <v>3906</v>
      </c>
      <c r="I2667" s="109"/>
      <c r="J2667" s="109"/>
      <c r="K2667" s="109"/>
      <c r="L2667" s="109" t="str">
        <f t="shared" si="41"/>
        <v>96-961500091</v>
      </c>
      <c r="M2667" s="114">
        <v>961500091</v>
      </c>
      <c r="N2667" s="114" t="s">
        <v>5762</v>
      </c>
    </row>
    <row r="2668" spans="1:14">
      <c r="A2668" s="21" t="s">
        <v>3189</v>
      </c>
      <c r="B2668" s="5" t="s">
        <v>3906</v>
      </c>
      <c r="I2668" s="109"/>
      <c r="J2668" s="109"/>
      <c r="K2668" s="109"/>
      <c r="L2668" s="109" t="str">
        <f t="shared" si="41"/>
        <v>95-951500115</v>
      </c>
      <c r="M2668" s="114">
        <v>951500115</v>
      </c>
      <c r="N2668" s="114" t="s">
        <v>5608</v>
      </c>
    </row>
    <row r="2669" spans="1:14">
      <c r="A2669" s="21" t="s">
        <v>3339</v>
      </c>
      <c r="B2669" s="5" t="s">
        <v>3906</v>
      </c>
      <c r="I2669" s="109"/>
      <c r="J2669" s="109"/>
      <c r="K2669" s="109"/>
      <c r="L2669" s="109" t="str">
        <f t="shared" si="41"/>
        <v>95-951500088</v>
      </c>
      <c r="M2669" s="114">
        <v>951500088</v>
      </c>
      <c r="N2669" s="114" t="s">
        <v>5608</v>
      </c>
    </row>
    <row r="2670" spans="1:14">
      <c r="A2670" s="21" t="s">
        <v>3402</v>
      </c>
      <c r="B2670" s="5" t="s">
        <v>3906</v>
      </c>
      <c r="I2670" s="109"/>
      <c r="J2670" s="109"/>
      <c r="K2670" s="109"/>
      <c r="L2670" s="109" t="str">
        <f t="shared" si="41"/>
        <v>95-951500089</v>
      </c>
      <c r="M2670" s="114">
        <v>951500089</v>
      </c>
      <c r="N2670" s="114" t="s">
        <v>5608</v>
      </c>
    </row>
    <row r="2671" spans="1:14">
      <c r="A2671" s="21" t="s">
        <v>3403</v>
      </c>
      <c r="B2671" s="5" t="s">
        <v>3906</v>
      </c>
      <c r="I2671" s="109"/>
      <c r="J2671" s="109"/>
      <c r="K2671" s="109"/>
      <c r="L2671" s="109" t="str">
        <f t="shared" si="41"/>
        <v>95-951500176</v>
      </c>
      <c r="M2671" s="114">
        <v>951500176</v>
      </c>
      <c r="N2671" s="114" t="s">
        <v>5622</v>
      </c>
    </row>
    <row r="2672" spans="1:14">
      <c r="A2672" s="21" t="s">
        <v>3405</v>
      </c>
      <c r="B2672" s="5" t="s">
        <v>3906</v>
      </c>
      <c r="I2672" s="109"/>
      <c r="J2672" s="109"/>
      <c r="K2672" s="109"/>
      <c r="L2672" s="109" t="str">
        <f t="shared" si="41"/>
        <v>95-951500460</v>
      </c>
      <c r="M2672" s="114">
        <v>951500460</v>
      </c>
      <c r="N2672" s="114" t="s">
        <v>5690</v>
      </c>
    </row>
    <row r="2673" spans="1:14">
      <c r="A2673" s="58" t="s">
        <v>3468</v>
      </c>
      <c r="B2673" s="5" t="s">
        <v>3907</v>
      </c>
      <c r="I2673" s="109"/>
      <c r="J2673" s="109"/>
      <c r="K2673" s="109"/>
      <c r="L2673" s="109" t="str">
        <f t="shared" si="41"/>
        <v>95-951500464</v>
      </c>
      <c r="M2673" s="114">
        <v>951500464</v>
      </c>
      <c r="N2673" s="114" t="s">
        <v>5690</v>
      </c>
    </row>
    <row r="2674" spans="1:14">
      <c r="A2674" s="58" t="s">
        <v>3645</v>
      </c>
      <c r="B2674" s="5" t="s">
        <v>3908</v>
      </c>
      <c r="I2674" s="109"/>
      <c r="J2674" s="109"/>
      <c r="K2674" s="109"/>
      <c r="L2674" s="109" t="str">
        <f t="shared" si="41"/>
        <v>95-951500466</v>
      </c>
      <c r="M2674" s="114">
        <v>951500466</v>
      </c>
      <c r="N2674" s="114" t="s">
        <v>5690</v>
      </c>
    </row>
    <row r="2675" spans="1:14">
      <c r="A2675" s="58" t="s">
        <v>3851</v>
      </c>
      <c r="B2675" s="5" t="s">
        <v>3908</v>
      </c>
      <c r="I2675" s="109"/>
      <c r="J2675" s="109"/>
      <c r="K2675" s="109"/>
      <c r="L2675" s="109" t="str">
        <f t="shared" si="41"/>
        <v>95-951500500</v>
      </c>
      <c r="M2675" s="114">
        <v>951500500</v>
      </c>
      <c r="N2675" s="114" t="s">
        <v>5690</v>
      </c>
    </row>
    <row r="2676" spans="1:14">
      <c r="A2676" s="58" t="s">
        <v>3480</v>
      </c>
      <c r="B2676" s="5" t="s">
        <v>3909</v>
      </c>
      <c r="I2676" s="109"/>
      <c r="J2676" s="109"/>
      <c r="K2676" s="109"/>
      <c r="L2676" s="109" t="str">
        <f t="shared" si="41"/>
        <v>95-951500533</v>
      </c>
      <c r="M2676" s="114">
        <v>951500533</v>
      </c>
      <c r="N2676" s="114" t="s">
        <v>5690</v>
      </c>
    </row>
    <row r="2677" spans="1:14">
      <c r="A2677" s="59" t="s">
        <v>2766</v>
      </c>
      <c r="B2677" s="5" t="s">
        <v>3968</v>
      </c>
      <c r="I2677" s="109"/>
      <c r="J2677" s="109"/>
      <c r="K2677" s="109"/>
      <c r="L2677" s="109" t="str">
        <f t="shared" si="41"/>
        <v>96-961500572</v>
      </c>
      <c r="M2677" s="114">
        <v>961500572</v>
      </c>
      <c r="N2677" s="114" t="s">
        <v>8497</v>
      </c>
    </row>
    <row r="2678" spans="1:14">
      <c r="A2678" s="59" t="s">
        <v>3513</v>
      </c>
      <c r="B2678" s="5" t="s">
        <v>3968</v>
      </c>
      <c r="I2678" s="109"/>
      <c r="J2678" s="109"/>
      <c r="K2678" s="109"/>
      <c r="L2678" s="109" t="str">
        <f t="shared" si="41"/>
        <v>96-961500030</v>
      </c>
      <c r="M2678" s="114">
        <v>961500030</v>
      </c>
      <c r="N2678" s="114" t="s">
        <v>5775</v>
      </c>
    </row>
    <row r="2679" spans="1:14">
      <c r="A2679" s="59" t="s">
        <v>3118</v>
      </c>
      <c r="B2679" s="5" t="s">
        <v>3968</v>
      </c>
      <c r="I2679" s="109"/>
      <c r="J2679" s="109"/>
      <c r="K2679" s="109"/>
      <c r="L2679" s="109" t="str">
        <f t="shared" si="41"/>
        <v>95-951500310</v>
      </c>
      <c r="M2679" s="114">
        <v>951500310</v>
      </c>
      <c r="N2679" s="114" t="s">
        <v>5653</v>
      </c>
    </row>
    <row r="2680" spans="1:14">
      <c r="A2680" s="59" t="s">
        <v>3467</v>
      </c>
      <c r="B2680" s="5" t="s">
        <v>3968</v>
      </c>
      <c r="I2680" s="109"/>
      <c r="J2680" s="109"/>
      <c r="K2680" s="109"/>
      <c r="L2680" s="109" t="str">
        <f t="shared" si="41"/>
        <v>95-952000002</v>
      </c>
      <c r="M2680" s="114">
        <v>952000002</v>
      </c>
      <c r="N2680" s="114" t="s">
        <v>7904</v>
      </c>
    </row>
    <row r="2681" spans="1:14">
      <c r="A2681" s="59" t="s">
        <v>3343</v>
      </c>
      <c r="B2681" s="5" t="s">
        <v>3968</v>
      </c>
      <c r="I2681" s="109"/>
      <c r="J2681" s="109"/>
      <c r="K2681" s="109"/>
      <c r="L2681" s="109" t="str">
        <f t="shared" si="41"/>
        <v>96-961100001</v>
      </c>
      <c r="M2681" s="114">
        <v>961100001</v>
      </c>
      <c r="N2681" s="114" t="s">
        <v>7907</v>
      </c>
    </row>
    <row r="2682" spans="1:14">
      <c r="A2682" s="59" t="s">
        <v>2886</v>
      </c>
      <c r="B2682" s="5" t="s">
        <v>3968</v>
      </c>
      <c r="I2682" s="109"/>
      <c r="J2682" s="109"/>
      <c r="K2682" s="109"/>
      <c r="L2682" s="109" t="str">
        <f t="shared" si="41"/>
        <v>96-966200239</v>
      </c>
      <c r="M2682" s="114">
        <v>966200239</v>
      </c>
      <c r="N2682" s="114" t="s">
        <v>7116</v>
      </c>
    </row>
    <row r="2683" spans="1:14">
      <c r="A2683" s="59" t="s">
        <v>2872</v>
      </c>
      <c r="B2683" s="5" t="s">
        <v>3968</v>
      </c>
      <c r="I2683" s="109"/>
      <c r="J2683" s="109"/>
      <c r="K2683" s="109"/>
      <c r="L2683" s="109" t="str">
        <f t="shared" si="41"/>
        <v>95-956200153</v>
      </c>
      <c r="M2683" s="114">
        <v>956200153</v>
      </c>
      <c r="N2683" s="114" t="s">
        <v>7268</v>
      </c>
    </row>
    <row r="2684" spans="1:14">
      <c r="A2684" s="59" t="s">
        <v>3401</v>
      </c>
      <c r="B2684" s="5" t="s">
        <v>3968</v>
      </c>
      <c r="I2684" s="109"/>
      <c r="J2684" s="109"/>
      <c r="K2684" s="109"/>
      <c r="L2684" s="109" t="str">
        <f t="shared" si="41"/>
        <v>95-951200009</v>
      </c>
      <c r="M2684" s="114">
        <v>951200009</v>
      </c>
      <c r="N2684" s="114" t="s">
        <v>7172</v>
      </c>
    </row>
    <row r="2685" spans="1:14">
      <c r="A2685" s="59" t="s">
        <v>3081</v>
      </c>
      <c r="B2685" s="5" t="s">
        <v>3968</v>
      </c>
      <c r="I2685" s="109"/>
      <c r="J2685" s="109"/>
      <c r="K2685" s="109"/>
      <c r="L2685" s="109" t="str">
        <f t="shared" si="41"/>
        <v>95-952000223</v>
      </c>
      <c r="M2685" s="114">
        <v>952000223</v>
      </c>
      <c r="N2685" s="114" t="s">
        <v>7905</v>
      </c>
    </row>
    <row r="2686" spans="1:14">
      <c r="A2686" s="59" t="s">
        <v>3516</v>
      </c>
      <c r="B2686" s="5" t="s">
        <v>3968</v>
      </c>
      <c r="I2686" s="109"/>
      <c r="J2686" s="109"/>
      <c r="K2686" s="109"/>
      <c r="L2686" s="109" t="str">
        <f t="shared" si="41"/>
        <v>96-961100078</v>
      </c>
      <c r="M2686" s="114">
        <v>961100078</v>
      </c>
      <c r="N2686" s="114" t="s">
        <v>8739</v>
      </c>
    </row>
    <row r="2687" spans="1:14">
      <c r="A2687" s="59" t="s">
        <v>3413</v>
      </c>
      <c r="B2687" s="5" t="s">
        <v>3968</v>
      </c>
      <c r="I2687" s="109"/>
      <c r="J2687" s="109"/>
      <c r="K2687" s="109"/>
      <c r="L2687" s="109" t="str">
        <f t="shared" si="41"/>
        <v>96-961100068</v>
      </c>
      <c r="M2687" s="114">
        <v>961100068</v>
      </c>
      <c r="N2687" s="114" t="s">
        <v>8028</v>
      </c>
    </row>
    <row r="2688" spans="1:14">
      <c r="A2688" s="59" t="s">
        <v>3472</v>
      </c>
      <c r="B2688" s="5" t="s">
        <v>3968</v>
      </c>
      <c r="I2688" s="109"/>
      <c r="J2688" s="109"/>
      <c r="K2688" s="109"/>
      <c r="L2688" s="109" t="str">
        <f t="shared" si="41"/>
        <v>95-951500167</v>
      </c>
      <c r="M2688" s="114">
        <v>951500167</v>
      </c>
      <c r="N2688" s="114" t="s">
        <v>5617</v>
      </c>
    </row>
    <row r="2689" spans="1:14">
      <c r="A2689" s="59" t="s">
        <v>3524</v>
      </c>
      <c r="B2689" s="5" t="s">
        <v>3968</v>
      </c>
      <c r="I2689" s="109"/>
      <c r="J2689" s="109"/>
      <c r="K2689" s="109"/>
      <c r="L2689" s="109" t="str">
        <f t="shared" si="41"/>
        <v>95-952000339</v>
      </c>
      <c r="M2689" s="114">
        <v>952000339</v>
      </c>
      <c r="N2689" s="114" t="s">
        <v>7912</v>
      </c>
    </row>
    <row r="2690" spans="1:14">
      <c r="A2690" s="59" t="s">
        <v>3483</v>
      </c>
      <c r="B2690" s="5" t="s">
        <v>3968</v>
      </c>
      <c r="I2690" s="109"/>
      <c r="J2690" s="109"/>
      <c r="K2690" s="109"/>
      <c r="L2690" s="109" t="str">
        <f t="shared" si="41"/>
        <v>95-951500002</v>
      </c>
      <c r="M2690" s="114">
        <v>951500002</v>
      </c>
      <c r="N2690" s="114" t="s">
        <v>5605</v>
      </c>
    </row>
    <row r="2691" spans="1:14">
      <c r="A2691" s="59" t="s">
        <v>3523</v>
      </c>
      <c r="B2691" s="5" t="s">
        <v>3968</v>
      </c>
      <c r="I2691" s="109"/>
      <c r="J2691" s="109"/>
      <c r="K2691" s="109"/>
      <c r="L2691" s="109" t="str">
        <f t="shared" ref="L2691:L2754" si="42">MID(M2691,1,2)&amp;"-"&amp;M2691</f>
        <v>95-951500251</v>
      </c>
      <c r="M2691" s="114">
        <v>951500251</v>
      </c>
      <c r="N2691" s="114" t="s">
        <v>5635</v>
      </c>
    </row>
    <row r="2692" spans="1:14">
      <c r="A2692" s="59" t="s">
        <v>3474</v>
      </c>
      <c r="B2692" s="5" t="s">
        <v>3968</v>
      </c>
      <c r="I2692" s="109"/>
      <c r="J2692" s="109"/>
      <c r="K2692" s="109"/>
      <c r="L2692" s="109" t="str">
        <f t="shared" si="42"/>
        <v>95-951500299</v>
      </c>
      <c r="M2692" s="114">
        <v>951500299</v>
      </c>
      <c r="N2692" s="114" t="s">
        <v>5659</v>
      </c>
    </row>
    <row r="2693" spans="1:14">
      <c r="A2693" s="59" t="s">
        <v>3481</v>
      </c>
      <c r="B2693" s="5" t="s">
        <v>3968</v>
      </c>
      <c r="I2693" s="109"/>
      <c r="J2693" s="109"/>
      <c r="K2693" s="109"/>
      <c r="L2693" s="109" t="str">
        <f t="shared" si="42"/>
        <v>96-961500086</v>
      </c>
      <c r="M2693" s="114">
        <v>961500086</v>
      </c>
      <c r="N2693" s="114" t="s">
        <v>5762</v>
      </c>
    </row>
    <row r="2694" spans="1:14">
      <c r="A2694" s="59" t="s">
        <v>3473</v>
      </c>
      <c r="B2694" s="5" t="s">
        <v>3968</v>
      </c>
      <c r="I2694" s="109"/>
      <c r="J2694" s="109"/>
      <c r="K2694" s="109"/>
      <c r="L2694" s="109" t="str">
        <f t="shared" si="42"/>
        <v>96-961500093</v>
      </c>
      <c r="M2694" s="114">
        <v>961500093</v>
      </c>
      <c r="N2694" s="114" t="s">
        <v>5762</v>
      </c>
    </row>
    <row r="2695" spans="1:14">
      <c r="A2695" s="59" t="s">
        <v>3476</v>
      </c>
      <c r="B2695" s="5" t="s">
        <v>3968</v>
      </c>
      <c r="I2695" s="109"/>
      <c r="J2695" s="109"/>
      <c r="K2695" s="109"/>
      <c r="L2695" s="109" t="str">
        <f t="shared" si="42"/>
        <v>96-961500092</v>
      </c>
      <c r="M2695" s="114">
        <v>961500092</v>
      </c>
      <c r="N2695" s="114" t="s">
        <v>5762</v>
      </c>
    </row>
    <row r="2696" spans="1:14">
      <c r="A2696" s="59" t="s">
        <v>3764</v>
      </c>
      <c r="B2696" s="5" t="s">
        <v>3968</v>
      </c>
      <c r="I2696" s="109"/>
      <c r="J2696" s="109"/>
      <c r="K2696" s="109"/>
      <c r="L2696" s="109" t="str">
        <f t="shared" si="42"/>
        <v>95-951500067</v>
      </c>
      <c r="M2696" s="114">
        <v>951500067</v>
      </c>
      <c r="N2696" s="114" t="s">
        <v>5608</v>
      </c>
    </row>
    <row r="2697" spans="1:14">
      <c r="A2697" s="59" t="s">
        <v>3560</v>
      </c>
      <c r="B2697" s="5" t="s">
        <v>3968</v>
      </c>
      <c r="I2697" s="109"/>
      <c r="J2697" s="109"/>
      <c r="K2697" s="109"/>
      <c r="L2697" s="109" t="str">
        <f t="shared" si="42"/>
        <v>95-951500461</v>
      </c>
      <c r="M2697" s="114">
        <v>951500461</v>
      </c>
      <c r="N2697" s="114" t="s">
        <v>5690</v>
      </c>
    </row>
    <row r="2698" spans="1:14" ht="18">
      <c r="A2698" s="53" t="s">
        <v>3760</v>
      </c>
      <c r="B2698" s="5" t="s">
        <v>3969</v>
      </c>
      <c r="I2698" s="109"/>
      <c r="J2698" s="109"/>
      <c r="K2698" s="109"/>
      <c r="L2698" s="109" t="str">
        <f t="shared" si="42"/>
        <v>95-951500499</v>
      </c>
      <c r="M2698" s="114">
        <v>951500499</v>
      </c>
      <c r="N2698" s="114" t="s">
        <v>5690</v>
      </c>
    </row>
    <row r="2699" spans="1:14" ht="18">
      <c r="A2699" s="53" t="s">
        <v>3737</v>
      </c>
      <c r="B2699" s="5" t="s">
        <v>3969</v>
      </c>
      <c r="I2699" s="109"/>
      <c r="J2699" s="109"/>
      <c r="K2699" s="109"/>
      <c r="L2699" s="109" t="str">
        <f t="shared" si="42"/>
        <v>96-961500427</v>
      </c>
      <c r="M2699" s="114">
        <v>961500427</v>
      </c>
      <c r="N2699" s="114" t="s">
        <v>7233</v>
      </c>
    </row>
    <row r="2700" spans="1:14" ht="18">
      <c r="A2700" s="53" t="s">
        <v>3756</v>
      </c>
      <c r="B2700" s="5" t="s">
        <v>3969</v>
      </c>
      <c r="I2700" s="109"/>
      <c r="J2700" s="109"/>
      <c r="K2700" s="109"/>
      <c r="L2700" s="109" t="str">
        <f t="shared" si="42"/>
        <v>96-961500552</v>
      </c>
      <c r="M2700" s="114">
        <v>961500552</v>
      </c>
      <c r="N2700" s="114" t="s">
        <v>8497</v>
      </c>
    </row>
    <row r="2701" spans="1:14" ht="18">
      <c r="A2701" s="53" t="s">
        <v>3741</v>
      </c>
      <c r="B2701" s="5" t="s">
        <v>3969</v>
      </c>
      <c r="I2701" s="109"/>
      <c r="J2701" s="109"/>
      <c r="K2701" s="109"/>
      <c r="L2701" s="109" t="str">
        <f t="shared" si="42"/>
        <v>96-961500401</v>
      </c>
      <c r="M2701" s="114">
        <v>961500401</v>
      </c>
      <c r="N2701" s="114" t="s">
        <v>5852</v>
      </c>
    </row>
    <row r="2702" spans="1:14" ht="18">
      <c r="A2702" s="53" t="s">
        <v>3759</v>
      </c>
      <c r="B2702" s="5" t="s">
        <v>3969</v>
      </c>
      <c r="I2702" s="109"/>
      <c r="J2702" s="109"/>
      <c r="K2702" s="109"/>
      <c r="L2702" s="109" t="str">
        <f t="shared" si="42"/>
        <v>96-961500499</v>
      </c>
      <c r="M2702" s="114">
        <v>961500499</v>
      </c>
      <c r="N2702" s="114" t="s">
        <v>7121</v>
      </c>
    </row>
    <row r="2703" spans="1:14" ht="18">
      <c r="A2703" s="53" t="s">
        <v>3761</v>
      </c>
      <c r="B2703" s="5" t="s">
        <v>3969</v>
      </c>
      <c r="I2703" s="109"/>
      <c r="J2703" s="109"/>
      <c r="K2703" s="109"/>
      <c r="L2703" s="109" t="str">
        <f t="shared" si="42"/>
        <v>95-951500521</v>
      </c>
      <c r="M2703" s="114">
        <v>951500521</v>
      </c>
      <c r="N2703" s="114" t="s">
        <v>5712</v>
      </c>
    </row>
    <row r="2704" spans="1:14" ht="18">
      <c r="A2704" s="53" t="s">
        <v>3755</v>
      </c>
      <c r="B2704" s="5" t="s">
        <v>3969</v>
      </c>
      <c r="I2704" s="109"/>
      <c r="J2704" s="109"/>
      <c r="K2704" s="109"/>
      <c r="L2704" s="109" t="str">
        <f t="shared" si="42"/>
        <v>95-956200194</v>
      </c>
      <c r="M2704" s="114">
        <v>956200194</v>
      </c>
      <c r="N2704" s="114" t="s">
        <v>7879</v>
      </c>
    </row>
    <row r="2705" spans="1:14" ht="18">
      <c r="A2705" s="53" t="s">
        <v>3944</v>
      </c>
      <c r="B2705" s="5" t="s">
        <v>3969</v>
      </c>
      <c r="I2705" s="109"/>
      <c r="J2705" s="109"/>
      <c r="K2705" s="109"/>
      <c r="L2705" s="109" t="str">
        <f t="shared" si="42"/>
        <v>95-956200318</v>
      </c>
      <c r="M2705" s="114">
        <v>956200318</v>
      </c>
      <c r="N2705" s="114" t="s">
        <v>7880</v>
      </c>
    </row>
    <row r="2706" spans="1:14" ht="18">
      <c r="A2706" s="53" t="s">
        <v>3946</v>
      </c>
      <c r="B2706" s="5" t="s">
        <v>3969</v>
      </c>
      <c r="I2706" s="109"/>
      <c r="J2706" s="109"/>
      <c r="K2706" s="109"/>
      <c r="L2706" s="109" t="str">
        <f t="shared" si="42"/>
        <v>95-956200273</v>
      </c>
      <c r="M2706" s="114">
        <v>956200273</v>
      </c>
      <c r="N2706" s="114" t="s">
        <v>7918</v>
      </c>
    </row>
    <row r="2707" spans="1:14" ht="18">
      <c r="A2707" s="53" t="s">
        <v>3948</v>
      </c>
      <c r="B2707" s="5" t="s">
        <v>3969</v>
      </c>
      <c r="I2707" s="109"/>
      <c r="J2707" s="109"/>
      <c r="K2707" s="109"/>
      <c r="L2707" s="109" t="str">
        <f t="shared" si="42"/>
        <v>95-951100119</v>
      </c>
      <c r="M2707" s="114">
        <v>951100119</v>
      </c>
      <c r="N2707" s="114" t="s">
        <v>7897</v>
      </c>
    </row>
    <row r="2708" spans="1:14" ht="18">
      <c r="A2708" s="53" t="s">
        <v>3943</v>
      </c>
      <c r="B2708" s="5" t="s">
        <v>3969</v>
      </c>
      <c r="I2708" s="109"/>
      <c r="J2708" s="109"/>
      <c r="K2708" s="109"/>
      <c r="L2708" s="109" t="str">
        <f t="shared" si="42"/>
        <v>95-952000016</v>
      </c>
      <c r="M2708" s="114">
        <v>952000016</v>
      </c>
      <c r="N2708" s="114" t="s">
        <v>7904</v>
      </c>
    </row>
    <row r="2709" spans="1:14">
      <c r="A2709" s="1" t="s">
        <v>3942</v>
      </c>
      <c r="B2709" s="5" t="s">
        <v>3970</v>
      </c>
      <c r="I2709" s="109"/>
      <c r="J2709" s="109"/>
      <c r="K2709" s="109"/>
      <c r="L2709" s="109" t="str">
        <f t="shared" si="42"/>
        <v>95-952000256</v>
      </c>
      <c r="M2709" s="114">
        <v>952000256</v>
      </c>
      <c r="N2709" s="114" t="s">
        <v>8432</v>
      </c>
    </row>
    <row r="2710" spans="1:14">
      <c r="A2710" s="1" t="s">
        <v>3649</v>
      </c>
      <c r="B2710" s="5" t="s">
        <v>3908</v>
      </c>
      <c r="I2710" s="109"/>
      <c r="J2710" s="109"/>
      <c r="K2710" s="109"/>
      <c r="L2710" s="109" t="str">
        <f t="shared" si="42"/>
        <v>95-952000020</v>
      </c>
      <c r="M2710" s="114">
        <v>952000020</v>
      </c>
      <c r="N2710" s="114" t="s">
        <v>7904</v>
      </c>
    </row>
    <row r="2711" spans="1:14">
      <c r="A2711" t="s">
        <v>3482</v>
      </c>
      <c r="B2711" s="5" t="s">
        <v>3971</v>
      </c>
      <c r="I2711" s="109"/>
      <c r="J2711" s="109"/>
      <c r="K2711" s="109"/>
      <c r="L2711" s="109" t="str">
        <f t="shared" si="42"/>
        <v>95-952000234</v>
      </c>
      <c r="M2711" s="114">
        <v>952000234</v>
      </c>
      <c r="N2711" s="114" t="s">
        <v>7903</v>
      </c>
    </row>
    <row r="2712" spans="1:14">
      <c r="A2712" t="s">
        <v>3477</v>
      </c>
      <c r="B2712" s="5" t="s">
        <v>3971</v>
      </c>
      <c r="I2712" s="109"/>
      <c r="J2712" s="109"/>
      <c r="K2712" s="109"/>
      <c r="L2712" s="109" t="str">
        <f t="shared" si="42"/>
        <v>96-966200218</v>
      </c>
      <c r="M2712" s="114">
        <v>966200218</v>
      </c>
      <c r="N2712" s="114" t="s">
        <v>7479</v>
      </c>
    </row>
    <row r="2713" spans="1:14">
      <c r="A2713" t="s">
        <v>3414</v>
      </c>
      <c r="B2713" s="5" t="s">
        <v>3971</v>
      </c>
      <c r="I2713" s="109"/>
      <c r="J2713" s="109"/>
      <c r="K2713" s="109"/>
      <c r="L2713" s="109" t="str">
        <f t="shared" si="42"/>
        <v>96-966200156</v>
      </c>
      <c r="M2713" s="114">
        <v>966200156</v>
      </c>
      <c r="N2713" s="114" t="s">
        <v>7362</v>
      </c>
    </row>
    <row r="2714" spans="1:14">
      <c r="A2714" t="s">
        <v>3416</v>
      </c>
      <c r="B2714" s="5" t="s">
        <v>3971</v>
      </c>
      <c r="I2714" s="109"/>
      <c r="J2714" s="109"/>
      <c r="K2714" s="109"/>
      <c r="L2714" s="109" t="str">
        <f t="shared" si="42"/>
        <v>96-966200176</v>
      </c>
      <c r="M2714" s="114">
        <v>966200176</v>
      </c>
      <c r="N2714" s="114" t="s">
        <v>7363</v>
      </c>
    </row>
    <row r="2715" spans="1:14">
      <c r="A2715" t="s">
        <v>3766</v>
      </c>
      <c r="B2715" s="5" t="s">
        <v>3971</v>
      </c>
      <c r="I2715" s="109"/>
      <c r="J2715" s="109"/>
      <c r="K2715" s="109"/>
      <c r="L2715" s="109" t="str">
        <f t="shared" si="42"/>
        <v>95-952000014</v>
      </c>
      <c r="M2715" s="114">
        <v>952000014</v>
      </c>
      <c r="N2715" s="114" t="s">
        <v>7904</v>
      </c>
    </row>
    <row r="2716" spans="1:14">
      <c r="A2716" t="s">
        <v>3475</v>
      </c>
      <c r="B2716" s="5" t="s">
        <v>3971</v>
      </c>
      <c r="I2716" s="109"/>
      <c r="J2716" s="109"/>
      <c r="K2716" s="109"/>
      <c r="L2716" s="109" t="str">
        <f t="shared" si="42"/>
        <v>95-952000217</v>
      </c>
      <c r="M2716" s="114">
        <v>952000217</v>
      </c>
      <c r="N2716" s="114" t="s">
        <v>7905</v>
      </c>
    </row>
    <row r="2717" spans="1:14">
      <c r="A2717" t="s">
        <v>3743</v>
      </c>
      <c r="B2717" s="5" t="s">
        <v>3971</v>
      </c>
      <c r="I2717" s="109"/>
      <c r="J2717" s="109"/>
      <c r="K2717" s="109"/>
      <c r="L2717" s="109" t="str">
        <f t="shared" si="42"/>
        <v>95-952000011</v>
      </c>
      <c r="M2717" s="114">
        <v>952000011</v>
      </c>
      <c r="N2717" s="114" t="s">
        <v>7904</v>
      </c>
    </row>
    <row r="2718" spans="1:14">
      <c r="A2718" t="s">
        <v>3874</v>
      </c>
      <c r="B2718" s="5" t="s">
        <v>3971</v>
      </c>
      <c r="I2718" s="109"/>
      <c r="J2718" s="109"/>
      <c r="K2718" s="109"/>
      <c r="L2718" s="109" t="str">
        <f t="shared" si="42"/>
        <v>95-952000167</v>
      </c>
      <c r="M2718" s="114">
        <v>952000167</v>
      </c>
      <c r="N2718" s="114" t="s">
        <v>8444</v>
      </c>
    </row>
    <row r="2719" spans="1:14">
      <c r="A2719" t="s">
        <v>3875</v>
      </c>
      <c r="B2719" s="5" t="s">
        <v>3971</v>
      </c>
      <c r="I2719" s="109"/>
      <c r="J2719" s="109"/>
      <c r="K2719" s="109"/>
      <c r="L2719" s="109" t="str">
        <f t="shared" si="42"/>
        <v>95-952000017</v>
      </c>
      <c r="M2719" s="114">
        <v>952000017</v>
      </c>
      <c r="N2719" s="114" t="s">
        <v>7904</v>
      </c>
    </row>
    <row r="2720" spans="1:14">
      <c r="A2720" t="s">
        <v>3644</v>
      </c>
      <c r="B2720" s="5" t="s">
        <v>3971</v>
      </c>
      <c r="I2720" s="109"/>
      <c r="J2720" s="109"/>
      <c r="K2720" s="109"/>
      <c r="L2720" s="109" t="str">
        <f t="shared" si="42"/>
        <v>95-956200023</v>
      </c>
      <c r="M2720" s="114">
        <v>956200023</v>
      </c>
      <c r="N2720" s="114" t="s">
        <v>8442</v>
      </c>
    </row>
    <row r="2721" spans="1:14">
      <c r="A2721" s="32" t="s">
        <v>3465</v>
      </c>
      <c r="B2721" s="5" t="s">
        <v>3972</v>
      </c>
      <c r="I2721" s="109"/>
      <c r="J2721" s="109"/>
      <c r="K2721" s="109"/>
      <c r="L2721" s="109" t="str">
        <f t="shared" si="42"/>
        <v>95-956200022</v>
      </c>
      <c r="M2721" s="114">
        <v>956200022</v>
      </c>
      <c r="N2721" s="114" t="s">
        <v>8449</v>
      </c>
    </row>
    <row r="2722" spans="1:14">
      <c r="A2722" s="32" t="s">
        <v>3643</v>
      </c>
      <c r="B2722" s="5" t="s">
        <v>3972</v>
      </c>
      <c r="I2722" s="109"/>
      <c r="J2722" s="109"/>
      <c r="K2722" s="109"/>
      <c r="L2722" s="109" t="str">
        <f t="shared" si="42"/>
        <v>95-956200052</v>
      </c>
      <c r="M2722" s="114">
        <v>956200052</v>
      </c>
      <c r="N2722" s="114" t="s">
        <v>7916</v>
      </c>
    </row>
    <row r="2723" spans="1:14">
      <c r="A2723" s="32" t="s">
        <v>3836</v>
      </c>
      <c r="B2723" s="5" t="s">
        <v>3972</v>
      </c>
      <c r="I2723" s="109"/>
      <c r="J2723" s="109"/>
      <c r="K2723" s="109"/>
      <c r="L2723" s="109" t="str">
        <f t="shared" si="42"/>
        <v>95-956200033</v>
      </c>
      <c r="M2723" s="114">
        <v>956200033</v>
      </c>
      <c r="N2723" s="114" t="s">
        <v>7915</v>
      </c>
    </row>
    <row r="2724" spans="1:14">
      <c r="A2724" t="s">
        <v>98</v>
      </c>
      <c r="B2724" s="5" t="s">
        <v>3974</v>
      </c>
      <c r="I2724" s="109"/>
      <c r="J2724" s="109"/>
      <c r="K2724" s="109"/>
      <c r="L2724" s="109" t="str">
        <f t="shared" si="42"/>
        <v>96-966200336</v>
      </c>
      <c r="M2724" s="114">
        <v>966200336</v>
      </c>
      <c r="N2724" s="114" t="s">
        <v>8740</v>
      </c>
    </row>
    <row r="2725" spans="1:14">
      <c r="A2725" t="s">
        <v>218</v>
      </c>
      <c r="B2725" t="s">
        <v>3974</v>
      </c>
      <c r="I2725" s="109"/>
      <c r="J2725" s="109"/>
      <c r="K2725" s="109"/>
      <c r="L2725" s="109" t="str">
        <f t="shared" si="42"/>
        <v>95-952000208</v>
      </c>
      <c r="M2725" s="114">
        <v>952000208</v>
      </c>
      <c r="N2725" s="114" t="s">
        <v>7909</v>
      </c>
    </row>
    <row r="2726" spans="1:14">
      <c r="A2726" t="s">
        <v>80</v>
      </c>
      <c r="B2726" t="s">
        <v>3974</v>
      </c>
      <c r="I2726" s="109"/>
      <c r="J2726" s="109"/>
      <c r="K2726" s="109"/>
      <c r="L2726" s="109" t="str">
        <f t="shared" si="42"/>
        <v>95-952000028</v>
      </c>
      <c r="M2726" s="114">
        <v>952000028</v>
      </c>
      <c r="N2726" s="114" t="s">
        <v>7904</v>
      </c>
    </row>
    <row r="2727" spans="1:14">
      <c r="A2727" t="s">
        <v>81</v>
      </c>
      <c r="B2727" t="s">
        <v>3974</v>
      </c>
      <c r="I2727" s="109"/>
      <c r="J2727" s="109"/>
      <c r="K2727" s="109"/>
      <c r="L2727" s="109" t="str">
        <f t="shared" si="42"/>
        <v>95-952000224</v>
      </c>
      <c r="M2727" s="114">
        <v>952000224</v>
      </c>
      <c r="N2727" s="114" t="s">
        <v>7905</v>
      </c>
    </row>
    <row r="2728" spans="1:14">
      <c r="A2728" t="s">
        <v>224</v>
      </c>
      <c r="B2728" t="s">
        <v>3974</v>
      </c>
      <c r="I2728" s="109"/>
      <c r="J2728" s="109"/>
      <c r="K2728" s="109"/>
      <c r="L2728" s="109" t="str">
        <f t="shared" si="42"/>
        <v>95-956200067</v>
      </c>
      <c r="M2728" s="114">
        <v>956200067</v>
      </c>
      <c r="N2728" s="114" t="s">
        <v>8433</v>
      </c>
    </row>
    <row r="2729" spans="1:14">
      <c r="A2729" t="s">
        <v>30</v>
      </c>
      <c r="B2729" t="s">
        <v>3974</v>
      </c>
      <c r="I2729" s="109"/>
      <c r="J2729" s="109"/>
      <c r="K2729" s="109"/>
      <c r="L2729" s="109" t="str">
        <f t="shared" si="42"/>
        <v>95-956200187</v>
      </c>
      <c r="M2729" s="114">
        <v>956200187</v>
      </c>
      <c r="N2729" s="114" t="s">
        <v>7941</v>
      </c>
    </row>
    <row r="2730" spans="1:14">
      <c r="A2730" t="s">
        <v>242</v>
      </c>
      <c r="B2730" t="s">
        <v>3974</v>
      </c>
      <c r="I2730" s="109"/>
      <c r="J2730" s="109"/>
      <c r="K2730" s="109"/>
      <c r="L2730" s="109" t="str">
        <f t="shared" si="42"/>
        <v>96-966200185</v>
      </c>
      <c r="M2730" s="114">
        <v>966200185</v>
      </c>
      <c r="N2730" s="114" t="s">
        <v>7942</v>
      </c>
    </row>
    <row r="2731" spans="1:14">
      <c r="A2731" t="s">
        <v>243</v>
      </c>
      <c r="B2731" t="s">
        <v>3974</v>
      </c>
      <c r="I2731" s="109"/>
      <c r="J2731" s="109"/>
      <c r="K2731" s="109"/>
      <c r="L2731" s="109" t="str">
        <f t="shared" si="42"/>
        <v>96-966200189</v>
      </c>
      <c r="M2731" s="114">
        <v>966200189</v>
      </c>
      <c r="N2731" s="114" t="s">
        <v>8435</v>
      </c>
    </row>
    <row r="2732" spans="1:14">
      <c r="A2732" t="s">
        <v>240</v>
      </c>
      <c r="B2732" t="s">
        <v>3974</v>
      </c>
      <c r="I2732" s="109"/>
      <c r="J2732" s="109"/>
      <c r="K2732" s="109"/>
      <c r="L2732" s="109" t="str">
        <f t="shared" si="42"/>
        <v>95-956200214</v>
      </c>
      <c r="M2732" s="114">
        <v>956200214</v>
      </c>
      <c r="N2732" s="114" t="s">
        <v>7919</v>
      </c>
    </row>
    <row r="2733" spans="1:14">
      <c r="A2733" t="s">
        <v>239</v>
      </c>
      <c r="B2733" t="s">
        <v>3974</v>
      </c>
      <c r="I2733" s="109"/>
      <c r="J2733" s="109"/>
      <c r="K2733" s="109"/>
      <c r="L2733" s="109" t="str">
        <f t="shared" si="42"/>
        <v>95-956200220</v>
      </c>
      <c r="M2733" s="114">
        <v>956200220</v>
      </c>
      <c r="N2733" s="114" t="s">
        <v>7919</v>
      </c>
    </row>
    <row r="2734" spans="1:14">
      <c r="A2734" t="s">
        <v>241</v>
      </c>
      <c r="B2734" t="s">
        <v>3974</v>
      </c>
      <c r="I2734" s="109"/>
      <c r="J2734" s="109"/>
      <c r="K2734" s="109"/>
      <c r="L2734" s="109" t="str">
        <f t="shared" si="42"/>
        <v>95-956200265</v>
      </c>
      <c r="M2734" s="114">
        <v>956200265</v>
      </c>
      <c r="N2734" s="114" t="s">
        <v>7918</v>
      </c>
    </row>
    <row r="2735" spans="1:14">
      <c r="A2735" t="s">
        <v>97</v>
      </c>
      <c r="B2735" t="s">
        <v>3974</v>
      </c>
      <c r="I2735" s="109"/>
      <c r="J2735" s="109"/>
      <c r="K2735" s="109"/>
      <c r="L2735" s="109" t="str">
        <f t="shared" si="42"/>
        <v>95-956200234</v>
      </c>
      <c r="M2735" s="114">
        <v>956200234</v>
      </c>
      <c r="N2735" s="114" t="s">
        <v>8451</v>
      </c>
    </row>
    <row r="2736" spans="1:14">
      <c r="A2736" t="s">
        <v>247</v>
      </c>
      <c r="B2736" t="s">
        <v>3974</v>
      </c>
      <c r="I2736" s="109"/>
      <c r="J2736" s="109"/>
      <c r="K2736" s="109"/>
      <c r="L2736" s="109" t="str">
        <f t="shared" si="42"/>
        <v>95-956200275</v>
      </c>
      <c r="M2736" s="114">
        <v>956200275</v>
      </c>
      <c r="N2736" s="114" t="s">
        <v>7918</v>
      </c>
    </row>
    <row r="2737" spans="1:14">
      <c r="A2737" t="s">
        <v>244</v>
      </c>
      <c r="B2737" t="s">
        <v>3974</v>
      </c>
      <c r="I2737" s="109"/>
      <c r="J2737" s="109"/>
      <c r="K2737" s="109"/>
      <c r="L2737" s="109" t="str">
        <f t="shared" si="42"/>
        <v>95-956200303</v>
      </c>
      <c r="M2737" s="114">
        <v>956200303</v>
      </c>
      <c r="N2737" s="114" t="s">
        <v>7922</v>
      </c>
    </row>
    <row r="2738" spans="1:14">
      <c r="A2738" t="s">
        <v>249</v>
      </c>
      <c r="B2738" t="s">
        <v>3974</v>
      </c>
      <c r="I2738" s="109"/>
      <c r="J2738" s="109"/>
      <c r="K2738" s="109"/>
      <c r="L2738" s="109" t="str">
        <f t="shared" si="42"/>
        <v>95-956200312</v>
      </c>
      <c r="M2738" s="114">
        <v>956200312</v>
      </c>
      <c r="N2738" s="114" t="s">
        <v>7951</v>
      </c>
    </row>
    <row r="2739" spans="1:14">
      <c r="A2739" t="s">
        <v>246</v>
      </c>
      <c r="B2739" t="s">
        <v>3974</v>
      </c>
      <c r="I2739" s="109"/>
      <c r="J2739" s="109"/>
      <c r="K2739" s="109"/>
      <c r="L2739" s="109" t="str">
        <f t="shared" si="42"/>
        <v>95-952000233</v>
      </c>
      <c r="M2739" s="114">
        <v>952000233</v>
      </c>
      <c r="N2739" s="114" t="s">
        <v>7903</v>
      </c>
    </row>
    <row r="2740" spans="1:14">
      <c r="A2740" t="s">
        <v>251</v>
      </c>
      <c r="B2740" t="s">
        <v>3974</v>
      </c>
      <c r="I2740" s="109"/>
      <c r="J2740" s="109"/>
      <c r="K2740" s="109"/>
      <c r="L2740" s="109" t="str">
        <f t="shared" si="42"/>
        <v>96-962000124</v>
      </c>
      <c r="M2740" s="114">
        <v>962000124</v>
      </c>
      <c r="N2740" s="114" t="s">
        <v>7936</v>
      </c>
    </row>
    <row r="2741" spans="1:14">
      <c r="A2741" t="s">
        <v>93</v>
      </c>
      <c r="B2741" t="s">
        <v>3974</v>
      </c>
      <c r="I2741" s="109"/>
      <c r="J2741" s="109"/>
      <c r="K2741" s="109"/>
      <c r="L2741" s="109" t="str">
        <f t="shared" si="42"/>
        <v>95-952000226</v>
      </c>
      <c r="M2741" s="114">
        <v>952000226</v>
      </c>
      <c r="N2741" s="114" t="s">
        <v>7905</v>
      </c>
    </row>
    <row r="2742" spans="1:14">
      <c r="A2742" t="s">
        <v>253</v>
      </c>
      <c r="B2742" t="s">
        <v>3974</v>
      </c>
      <c r="I2742" s="109"/>
      <c r="J2742" s="109"/>
      <c r="K2742" s="109"/>
      <c r="L2742" s="109" t="str">
        <f t="shared" si="42"/>
        <v>95-956200073</v>
      </c>
      <c r="M2742" s="114">
        <v>956200073</v>
      </c>
      <c r="N2742" s="114" t="s">
        <v>7937</v>
      </c>
    </row>
    <row r="2743" spans="1:14">
      <c r="A2743" t="s">
        <v>248</v>
      </c>
      <c r="B2743" t="s">
        <v>3974</v>
      </c>
      <c r="I2743" s="109"/>
      <c r="J2743" s="109"/>
      <c r="K2743" s="109"/>
      <c r="L2743" s="109" t="str">
        <f t="shared" si="42"/>
        <v>95-956200168</v>
      </c>
      <c r="M2743" s="114">
        <v>956200168</v>
      </c>
      <c r="N2743" s="114" t="s">
        <v>7938</v>
      </c>
    </row>
    <row r="2744" spans="1:14">
      <c r="A2744" t="s">
        <v>252</v>
      </c>
      <c r="B2744" t="s">
        <v>3974</v>
      </c>
      <c r="I2744" s="109"/>
      <c r="J2744" s="109"/>
      <c r="K2744" s="109"/>
      <c r="L2744" s="109" t="str">
        <f t="shared" si="42"/>
        <v>96-966200227</v>
      </c>
      <c r="M2744" s="114">
        <v>966200227</v>
      </c>
      <c r="N2744" s="114" t="s">
        <v>7116</v>
      </c>
    </row>
    <row r="2745" spans="1:14">
      <c r="A2745" t="s">
        <v>236</v>
      </c>
      <c r="B2745" t="s">
        <v>3974</v>
      </c>
      <c r="I2745" s="109"/>
      <c r="J2745" s="109"/>
      <c r="K2745" s="109"/>
      <c r="L2745" s="109" t="str">
        <f t="shared" si="42"/>
        <v>95-952000033</v>
      </c>
      <c r="M2745" s="114">
        <v>952000033</v>
      </c>
      <c r="N2745" s="114" t="s">
        <v>7904</v>
      </c>
    </row>
    <row r="2746" spans="1:14">
      <c r="A2746" t="s">
        <v>234</v>
      </c>
      <c r="B2746" t="s">
        <v>3974</v>
      </c>
      <c r="I2746" s="109"/>
      <c r="J2746" s="109"/>
      <c r="K2746" s="109"/>
      <c r="L2746" s="109" t="str">
        <f t="shared" si="42"/>
        <v>95-951100043</v>
      </c>
      <c r="M2746" s="114">
        <v>951100043</v>
      </c>
      <c r="N2746" s="114" t="s">
        <v>8453</v>
      </c>
    </row>
    <row r="2747" spans="1:14">
      <c r="A2747" t="s">
        <v>237</v>
      </c>
      <c r="B2747" t="s">
        <v>3974</v>
      </c>
      <c r="I2747" s="109"/>
      <c r="J2747" s="109"/>
      <c r="K2747" s="109"/>
      <c r="L2747" s="109" t="str">
        <f t="shared" si="42"/>
        <v>96-966200014</v>
      </c>
      <c r="M2747" s="114">
        <v>966200014</v>
      </c>
      <c r="N2747" s="114" t="s">
        <v>7370</v>
      </c>
    </row>
    <row r="2748" spans="1:14">
      <c r="A2748" t="s">
        <v>235</v>
      </c>
      <c r="B2748" t="s">
        <v>3974</v>
      </c>
      <c r="I2748" s="109"/>
      <c r="J2748" s="109"/>
      <c r="K2748" s="109"/>
      <c r="L2748" s="109" t="str">
        <f t="shared" si="42"/>
        <v>95-951400059</v>
      </c>
      <c r="M2748" s="114">
        <v>951400059</v>
      </c>
      <c r="N2748" s="114" t="s">
        <v>8454</v>
      </c>
    </row>
    <row r="2749" spans="1:14">
      <c r="A2749" t="s">
        <v>92</v>
      </c>
      <c r="B2749" t="s">
        <v>3974</v>
      </c>
      <c r="I2749" s="109"/>
      <c r="J2749" s="109"/>
      <c r="K2749" s="109"/>
      <c r="L2749" s="109" t="str">
        <f t="shared" si="42"/>
        <v>95-952000222</v>
      </c>
      <c r="M2749" s="114">
        <v>952000222</v>
      </c>
      <c r="N2749" s="114" t="s">
        <v>7905</v>
      </c>
    </row>
    <row r="2750" spans="1:14">
      <c r="A2750" t="s">
        <v>232</v>
      </c>
      <c r="B2750" t="s">
        <v>3974</v>
      </c>
      <c r="I2750" s="109"/>
      <c r="J2750" s="109"/>
      <c r="K2750" s="109"/>
      <c r="L2750" s="109" t="str">
        <f t="shared" si="42"/>
        <v>95-952000062</v>
      </c>
      <c r="M2750" s="114">
        <v>952000062</v>
      </c>
      <c r="N2750" s="114" t="s">
        <v>7939</v>
      </c>
    </row>
    <row r="2751" spans="1:14">
      <c r="A2751" t="s">
        <v>229</v>
      </c>
      <c r="B2751" t="s">
        <v>3974</v>
      </c>
      <c r="I2751" s="109"/>
      <c r="J2751" s="109"/>
      <c r="K2751" s="109"/>
      <c r="L2751" s="109" t="str">
        <f t="shared" si="42"/>
        <v>95-952000023</v>
      </c>
      <c r="M2751" s="114">
        <v>952000023</v>
      </c>
      <c r="N2751" s="114" t="s">
        <v>7904</v>
      </c>
    </row>
    <row r="2752" spans="1:14">
      <c r="A2752" t="s">
        <v>230</v>
      </c>
      <c r="B2752" t="s">
        <v>3974</v>
      </c>
      <c r="I2752" s="109"/>
      <c r="J2752" s="109"/>
      <c r="K2752" s="109"/>
      <c r="L2752" s="109" t="str">
        <f t="shared" si="42"/>
        <v>96-962000125</v>
      </c>
      <c r="M2752" s="114">
        <v>962000125</v>
      </c>
      <c r="N2752" s="114" t="s">
        <v>7936</v>
      </c>
    </row>
    <row r="2753" spans="1:14">
      <c r="A2753" t="s">
        <v>90</v>
      </c>
      <c r="B2753" t="s">
        <v>3974</v>
      </c>
      <c r="I2753" s="109"/>
      <c r="J2753" s="109"/>
      <c r="K2753" s="109"/>
      <c r="L2753" s="109" t="str">
        <f t="shared" si="42"/>
        <v>95-956200238</v>
      </c>
      <c r="M2753" s="114">
        <v>956200238</v>
      </c>
      <c r="N2753" s="114" t="s">
        <v>7940</v>
      </c>
    </row>
    <row r="2754" spans="1:14">
      <c r="A2754" t="s">
        <v>233</v>
      </c>
      <c r="B2754" t="s">
        <v>3974</v>
      </c>
      <c r="I2754" s="109"/>
      <c r="J2754" s="109"/>
      <c r="K2754" s="109"/>
      <c r="L2754" s="109" t="str">
        <f t="shared" si="42"/>
        <v>95-956200239</v>
      </c>
      <c r="M2754" s="114">
        <v>956200239</v>
      </c>
      <c r="N2754" s="114" t="s">
        <v>7940</v>
      </c>
    </row>
    <row r="2755" spans="1:14">
      <c r="A2755" t="s">
        <v>87</v>
      </c>
      <c r="B2755" t="s">
        <v>3974</v>
      </c>
      <c r="I2755" s="109"/>
      <c r="J2755" s="109"/>
      <c r="K2755" s="109"/>
      <c r="L2755" s="109" t="str">
        <f t="shared" ref="L2755:L2818" si="43">MID(M2755,1,2)&amp;"-"&amp;M2755</f>
        <v>95-956200051</v>
      </c>
      <c r="M2755" s="114">
        <v>956200051</v>
      </c>
      <c r="N2755" s="114" t="s">
        <v>7916</v>
      </c>
    </row>
    <row r="2756" spans="1:14">
      <c r="A2756" t="s">
        <v>227</v>
      </c>
      <c r="B2756" t="s">
        <v>3974</v>
      </c>
      <c r="I2756" s="109"/>
      <c r="J2756" s="109"/>
      <c r="K2756" s="109"/>
      <c r="L2756" s="109" t="str">
        <f t="shared" si="43"/>
        <v>95-952000031</v>
      </c>
      <c r="M2756" s="114">
        <v>952000031</v>
      </c>
      <c r="N2756" s="114" t="s">
        <v>7904</v>
      </c>
    </row>
    <row r="2757" spans="1:14">
      <c r="A2757" t="s">
        <v>367</v>
      </c>
      <c r="B2757" t="s">
        <v>3974</v>
      </c>
      <c r="I2757" s="109"/>
      <c r="J2757" s="109"/>
      <c r="K2757" s="109"/>
      <c r="L2757" s="109" t="str">
        <f t="shared" si="43"/>
        <v>95-956200174</v>
      </c>
      <c r="M2757" s="114">
        <v>956200174</v>
      </c>
      <c r="N2757" s="114" t="s">
        <v>7938</v>
      </c>
    </row>
    <row r="2758" spans="1:14">
      <c r="A2758" t="s">
        <v>35</v>
      </c>
      <c r="B2758" t="s">
        <v>3974</v>
      </c>
      <c r="I2758" s="109"/>
      <c r="J2758" s="109"/>
      <c r="K2758" s="109"/>
      <c r="L2758" s="109" t="str">
        <f t="shared" si="43"/>
        <v>95-956200186</v>
      </c>
      <c r="M2758" s="114">
        <v>956200186</v>
      </c>
      <c r="N2758" s="114" t="s">
        <v>7941</v>
      </c>
    </row>
    <row r="2759" spans="1:14">
      <c r="A2759" t="s">
        <v>36</v>
      </c>
      <c r="B2759" t="s">
        <v>3974</v>
      </c>
      <c r="I2759" s="109"/>
      <c r="J2759" s="109"/>
      <c r="K2759" s="109"/>
      <c r="L2759" s="109" t="str">
        <f t="shared" si="43"/>
        <v>96-966200184</v>
      </c>
      <c r="M2759" s="114">
        <v>966200184</v>
      </c>
      <c r="N2759" s="114" t="s">
        <v>7942</v>
      </c>
    </row>
    <row r="2760" spans="1:14">
      <c r="A2760" t="s">
        <v>364</v>
      </c>
      <c r="B2760" t="s">
        <v>3974</v>
      </c>
      <c r="I2760" s="109"/>
      <c r="J2760" s="109"/>
      <c r="K2760" s="109"/>
      <c r="L2760" s="109" t="str">
        <f t="shared" si="43"/>
        <v>96-966200337</v>
      </c>
      <c r="M2760" s="114">
        <v>966200337</v>
      </c>
      <c r="N2760" s="114" t="s">
        <v>8741</v>
      </c>
    </row>
    <row r="2761" spans="1:14">
      <c r="A2761" t="s">
        <v>33</v>
      </c>
      <c r="B2761" t="s">
        <v>3974</v>
      </c>
      <c r="I2761" s="109"/>
      <c r="J2761" s="109"/>
      <c r="K2761" s="109"/>
      <c r="L2761" s="109" t="str">
        <f t="shared" si="43"/>
        <v>95-956200247</v>
      </c>
      <c r="M2761" s="114">
        <v>956200247</v>
      </c>
      <c r="N2761" s="114" t="s">
        <v>7943</v>
      </c>
    </row>
    <row r="2762" spans="1:14">
      <c r="A2762" t="s">
        <v>37</v>
      </c>
      <c r="B2762" t="s">
        <v>3974</v>
      </c>
      <c r="I2762" s="109"/>
      <c r="J2762" s="109"/>
      <c r="K2762" s="109"/>
      <c r="L2762" s="109" t="str">
        <f t="shared" si="43"/>
        <v>95-956200202</v>
      </c>
      <c r="M2762" s="114">
        <v>956200202</v>
      </c>
      <c r="N2762" s="114" t="s">
        <v>7879</v>
      </c>
    </row>
    <row r="2763" spans="1:14">
      <c r="A2763" t="s">
        <v>41</v>
      </c>
      <c r="B2763" t="s">
        <v>3974</v>
      </c>
      <c r="I2763" s="109"/>
      <c r="J2763" s="109"/>
      <c r="K2763" s="109"/>
      <c r="L2763" s="109" t="str">
        <f t="shared" si="43"/>
        <v>95-956200253</v>
      </c>
      <c r="M2763" s="114">
        <v>956200253</v>
      </c>
      <c r="N2763" s="114" t="s">
        <v>7943</v>
      </c>
    </row>
    <row r="2764" spans="1:14">
      <c r="A2764" t="s">
        <v>3973</v>
      </c>
      <c r="B2764" t="s">
        <v>3974</v>
      </c>
      <c r="I2764" s="109"/>
      <c r="J2764" s="109"/>
      <c r="K2764" s="109"/>
      <c r="L2764" s="109" t="str">
        <f t="shared" si="43"/>
        <v>96-966200312</v>
      </c>
      <c r="M2764" s="114">
        <v>966200312</v>
      </c>
      <c r="N2764" s="114" t="s">
        <v>8742</v>
      </c>
    </row>
    <row r="2765" spans="1:14">
      <c r="A2765" t="s">
        <v>273</v>
      </c>
      <c r="B2765" t="s">
        <v>3974</v>
      </c>
      <c r="I2765" s="109"/>
      <c r="J2765" s="109"/>
      <c r="K2765" s="109"/>
      <c r="L2765" s="109" t="str">
        <f t="shared" si="43"/>
        <v>96-961100011</v>
      </c>
      <c r="M2765" s="114">
        <v>961100011</v>
      </c>
      <c r="N2765" s="114" t="s">
        <v>8456</v>
      </c>
    </row>
    <row r="2766" spans="1:14">
      <c r="A2766" t="s">
        <v>284</v>
      </c>
      <c r="B2766" t="s">
        <v>3974</v>
      </c>
      <c r="I2766" s="109"/>
      <c r="J2766" s="109"/>
      <c r="K2766" s="109"/>
      <c r="L2766" s="109" t="str">
        <f t="shared" si="43"/>
        <v>95-951100118</v>
      </c>
      <c r="M2766" s="114">
        <v>951100118</v>
      </c>
      <c r="N2766" s="114" t="s">
        <v>8038</v>
      </c>
    </row>
    <row r="2767" spans="1:14">
      <c r="A2767" t="s">
        <v>65</v>
      </c>
      <c r="B2767" t="s">
        <v>3974</v>
      </c>
      <c r="I2767" s="109"/>
      <c r="J2767" s="109"/>
      <c r="K2767" s="109"/>
      <c r="L2767" s="109" t="str">
        <f t="shared" si="43"/>
        <v>96-961100047</v>
      </c>
      <c r="M2767" s="114">
        <v>961100047</v>
      </c>
      <c r="N2767" s="114" t="s">
        <v>7944</v>
      </c>
    </row>
    <row r="2768" spans="1:14">
      <c r="A2768" t="s">
        <v>67</v>
      </c>
      <c r="B2768" t="s">
        <v>3974</v>
      </c>
      <c r="I2768" s="109"/>
      <c r="J2768" s="109"/>
      <c r="K2768" s="109"/>
      <c r="L2768" s="109" t="str">
        <f t="shared" si="43"/>
        <v>95-951100051</v>
      </c>
      <c r="M2768" s="114">
        <v>951100051</v>
      </c>
      <c r="N2768" s="114" t="s">
        <v>8457</v>
      </c>
    </row>
    <row r="2769" spans="1:14">
      <c r="A2769" t="s">
        <v>154</v>
      </c>
      <c r="B2769" t="s">
        <v>3974</v>
      </c>
      <c r="I2769" s="109"/>
      <c r="J2769" s="109"/>
      <c r="K2769" s="109"/>
      <c r="L2769" s="109" t="str">
        <f t="shared" si="43"/>
        <v>95-951100067</v>
      </c>
      <c r="M2769" s="114">
        <v>951100067</v>
      </c>
      <c r="N2769" s="114" t="s">
        <v>7364</v>
      </c>
    </row>
    <row r="2770" spans="1:14">
      <c r="A2770" t="s">
        <v>301</v>
      </c>
      <c r="B2770" t="s">
        <v>3974</v>
      </c>
      <c r="I2770" s="109"/>
      <c r="J2770" s="109"/>
      <c r="K2770" s="109"/>
      <c r="L2770" s="109" t="str">
        <f t="shared" si="43"/>
        <v>95-951100110</v>
      </c>
      <c r="M2770" s="114">
        <v>951100110</v>
      </c>
      <c r="N2770" s="114" t="s">
        <v>7945</v>
      </c>
    </row>
    <row r="2771" spans="1:14">
      <c r="A2771" t="s">
        <v>52</v>
      </c>
      <c r="B2771" t="s">
        <v>3974</v>
      </c>
      <c r="I2771" s="109"/>
      <c r="J2771" s="109"/>
      <c r="K2771" s="109"/>
      <c r="L2771" s="109" t="str">
        <f t="shared" si="43"/>
        <v>95-951700045</v>
      </c>
      <c r="M2771" s="114">
        <v>951700045</v>
      </c>
      <c r="N2771" s="114" t="s">
        <v>7946</v>
      </c>
    </row>
    <row r="2772" spans="1:14">
      <c r="A2772" t="s">
        <v>297</v>
      </c>
      <c r="B2772" t="s">
        <v>3974</v>
      </c>
      <c r="I2772" s="109"/>
      <c r="J2772" s="109"/>
      <c r="K2772" s="109"/>
      <c r="L2772" s="109" t="str">
        <f t="shared" si="43"/>
        <v>95-956200398</v>
      </c>
      <c r="M2772" s="114">
        <v>956200398</v>
      </c>
      <c r="N2772" s="114" t="s">
        <v>7269</v>
      </c>
    </row>
    <row r="2773" spans="1:14">
      <c r="A2773" t="s">
        <v>120</v>
      </c>
      <c r="B2773" t="s">
        <v>3974</v>
      </c>
      <c r="I2773" s="109"/>
      <c r="J2773" s="109"/>
      <c r="K2773" s="109"/>
      <c r="L2773" s="109" t="str">
        <f t="shared" si="43"/>
        <v>95-956200261</v>
      </c>
      <c r="M2773" s="114">
        <v>956200261</v>
      </c>
      <c r="N2773" s="114" t="s">
        <v>7347</v>
      </c>
    </row>
    <row r="2774" spans="1:14">
      <c r="A2774" t="s">
        <v>285</v>
      </c>
      <c r="B2774" t="s">
        <v>3974</v>
      </c>
      <c r="I2774" s="109"/>
      <c r="J2774" s="109"/>
      <c r="K2774" s="109"/>
      <c r="L2774" s="109" t="str">
        <f t="shared" si="43"/>
        <v>96-962000092</v>
      </c>
      <c r="M2774" s="114">
        <v>962000092</v>
      </c>
      <c r="N2774" s="114" t="s">
        <v>7112</v>
      </c>
    </row>
    <row r="2775" spans="1:14">
      <c r="A2775" t="s">
        <v>118</v>
      </c>
      <c r="B2775" t="s">
        <v>3974</v>
      </c>
      <c r="I2775" s="109"/>
      <c r="J2775" s="109"/>
      <c r="K2775" s="109"/>
      <c r="L2775" s="109" t="str">
        <f t="shared" si="43"/>
        <v>95-951400080</v>
      </c>
      <c r="M2775" s="114">
        <v>951400080</v>
      </c>
      <c r="N2775" s="114" t="s">
        <v>7948</v>
      </c>
    </row>
    <row r="2776" spans="1:14">
      <c r="A2776" t="s">
        <v>174</v>
      </c>
      <c r="B2776" t="s">
        <v>3974</v>
      </c>
      <c r="I2776" s="109"/>
      <c r="J2776" s="109"/>
      <c r="K2776" s="109"/>
      <c r="L2776" s="109" t="str">
        <f t="shared" si="43"/>
        <v>95-956200410</v>
      </c>
      <c r="M2776" s="114">
        <v>956200410</v>
      </c>
      <c r="N2776" s="114" t="s">
        <v>8006</v>
      </c>
    </row>
    <row r="2777" spans="1:14">
      <c r="A2777" t="s">
        <v>175</v>
      </c>
      <c r="B2777" t="s">
        <v>3974</v>
      </c>
      <c r="I2777" s="109"/>
      <c r="J2777" s="109"/>
      <c r="K2777" s="109"/>
      <c r="L2777" s="109" t="str">
        <f t="shared" si="43"/>
        <v>95-952000079</v>
      </c>
      <c r="M2777" s="114">
        <v>952000079</v>
      </c>
      <c r="N2777" s="114" t="s">
        <v>7152</v>
      </c>
    </row>
    <row r="2778" spans="1:14">
      <c r="A2778" t="s">
        <v>311</v>
      </c>
      <c r="B2778" t="s">
        <v>3974</v>
      </c>
      <c r="I2778" s="109"/>
      <c r="J2778" s="109"/>
      <c r="K2778" s="109"/>
      <c r="L2778" s="109" t="str">
        <f t="shared" si="43"/>
        <v>95-956200180</v>
      </c>
      <c r="M2778" s="114">
        <v>956200180</v>
      </c>
      <c r="N2778" s="114" t="s">
        <v>7369</v>
      </c>
    </row>
    <row r="2779" spans="1:14">
      <c r="A2779" t="s">
        <v>2657</v>
      </c>
      <c r="B2779" s="1" t="s">
        <v>3975</v>
      </c>
      <c r="I2779" s="109"/>
      <c r="J2779" s="109"/>
      <c r="K2779" s="109"/>
      <c r="L2779" s="109" t="str">
        <f t="shared" si="43"/>
        <v>95-951100152</v>
      </c>
      <c r="M2779" s="114">
        <v>951100152</v>
      </c>
      <c r="N2779" s="114" t="s">
        <v>8047</v>
      </c>
    </row>
    <row r="2780" spans="1:14">
      <c r="A2780" t="s">
        <v>2662</v>
      </c>
      <c r="B2780" t="s">
        <v>3975</v>
      </c>
      <c r="I2780" s="109"/>
      <c r="J2780" s="109"/>
      <c r="K2780" s="109"/>
      <c r="L2780" s="109" t="str">
        <f t="shared" si="43"/>
        <v>95-952000292</v>
      </c>
      <c r="M2780" s="114">
        <v>952000292</v>
      </c>
      <c r="N2780" s="114" t="s">
        <v>7329</v>
      </c>
    </row>
    <row r="2781" spans="1:14">
      <c r="A2781" t="s">
        <v>2794</v>
      </c>
      <c r="B2781" t="s">
        <v>3975</v>
      </c>
      <c r="I2781" s="109"/>
      <c r="J2781" s="109"/>
      <c r="K2781" s="109"/>
      <c r="L2781" s="109" t="str">
        <f t="shared" si="43"/>
        <v>96-962000038</v>
      </c>
      <c r="M2781" s="114">
        <v>962000038</v>
      </c>
      <c r="N2781" s="114" t="s">
        <v>7112</v>
      </c>
    </row>
    <row r="2782" spans="1:14">
      <c r="A2782" t="s">
        <v>2789</v>
      </c>
      <c r="B2782" t="s">
        <v>3975</v>
      </c>
      <c r="I2782" s="109"/>
      <c r="J2782" s="109"/>
      <c r="K2782" s="109"/>
      <c r="L2782" s="109" t="str">
        <f t="shared" si="43"/>
        <v>96-966200019</v>
      </c>
      <c r="M2782" s="114">
        <v>966200019</v>
      </c>
      <c r="N2782" s="114" t="s">
        <v>7370</v>
      </c>
    </row>
    <row r="2783" spans="1:14">
      <c r="A2783" t="s">
        <v>2799</v>
      </c>
      <c r="B2783" t="s">
        <v>3975</v>
      </c>
      <c r="I2783" s="109"/>
      <c r="J2783" s="109"/>
      <c r="K2783" s="109"/>
      <c r="L2783" s="109" t="str">
        <f t="shared" si="43"/>
        <v>95-956200126</v>
      </c>
      <c r="M2783" s="114">
        <v>956200126</v>
      </c>
      <c r="N2783" s="114" t="s">
        <v>7390</v>
      </c>
    </row>
    <row r="2784" spans="1:14">
      <c r="A2784" t="s">
        <v>2790</v>
      </c>
      <c r="B2784" t="s">
        <v>3975</v>
      </c>
      <c r="I2784" s="109"/>
      <c r="J2784" s="109"/>
      <c r="K2784" s="109"/>
      <c r="L2784" s="109" t="str">
        <f t="shared" si="43"/>
        <v>95-956200216</v>
      </c>
      <c r="M2784" s="114">
        <v>956200216</v>
      </c>
      <c r="N2784" s="114" t="s">
        <v>7357</v>
      </c>
    </row>
    <row r="2785" spans="1:14">
      <c r="A2785" t="s">
        <v>2778</v>
      </c>
      <c r="B2785" t="s">
        <v>3975</v>
      </c>
      <c r="I2785" s="109"/>
      <c r="J2785" s="109"/>
      <c r="K2785" s="109"/>
      <c r="L2785" s="109" t="str">
        <f t="shared" si="43"/>
        <v>95-956200064</v>
      </c>
      <c r="M2785" s="114">
        <v>956200064</v>
      </c>
      <c r="N2785" s="114" t="s">
        <v>8017</v>
      </c>
    </row>
    <row r="2786" spans="1:14">
      <c r="A2786" t="s">
        <v>3112</v>
      </c>
      <c r="B2786" t="s">
        <v>3975</v>
      </c>
      <c r="I2786" s="109"/>
      <c r="J2786" s="109"/>
      <c r="K2786" s="109"/>
      <c r="L2786" s="109" t="str">
        <f t="shared" si="43"/>
        <v>95-952000051</v>
      </c>
      <c r="M2786" s="114">
        <v>952000051</v>
      </c>
      <c r="N2786" s="114" t="s">
        <v>7908</v>
      </c>
    </row>
    <row r="2787" spans="1:14">
      <c r="A2787" t="s">
        <v>3053</v>
      </c>
      <c r="B2787" t="s">
        <v>3975</v>
      </c>
      <c r="I2787" s="109"/>
      <c r="J2787" s="109"/>
      <c r="K2787" s="109"/>
      <c r="L2787" s="109" t="str">
        <f t="shared" si="43"/>
        <v>95-952000212</v>
      </c>
      <c r="M2787" s="114">
        <v>952000212</v>
      </c>
      <c r="N2787" s="114" t="s">
        <v>7909</v>
      </c>
    </row>
    <row r="2788" spans="1:14">
      <c r="A2788" t="s">
        <v>2791</v>
      </c>
      <c r="B2788" t="s">
        <v>3975</v>
      </c>
      <c r="I2788" s="109"/>
      <c r="J2788" s="109"/>
      <c r="K2788" s="109"/>
      <c r="L2788" s="109" t="str">
        <f t="shared" si="43"/>
        <v>96-966200109</v>
      </c>
      <c r="M2788" s="114">
        <v>966200109</v>
      </c>
      <c r="N2788" s="114" t="s">
        <v>7361</v>
      </c>
    </row>
    <row r="2789" spans="1:14">
      <c r="A2789" t="s">
        <v>2788</v>
      </c>
      <c r="B2789" t="s">
        <v>3975</v>
      </c>
      <c r="I2789" s="109"/>
      <c r="J2789" s="109"/>
      <c r="K2789" s="109"/>
      <c r="L2789" s="109" t="str">
        <f t="shared" si="43"/>
        <v>95-956200139</v>
      </c>
      <c r="M2789" s="114">
        <v>956200139</v>
      </c>
      <c r="N2789" s="114" t="s">
        <v>7978</v>
      </c>
    </row>
    <row r="2790" spans="1:14">
      <c r="A2790" t="s">
        <v>2798</v>
      </c>
      <c r="B2790" t="s">
        <v>3975</v>
      </c>
      <c r="I2790" s="109"/>
      <c r="J2790" s="109"/>
      <c r="K2790" s="109"/>
      <c r="L2790" s="109" t="str">
        <f t="shared" si="43"/>
        <v>96-966200057</v>
      </c>
      <c r="M2790" s="114">
        <v>966200057</v>
      </c>
      <c r="N2790" s="114" t="s">
        <v>7345</v>
      </c>
    </row>
    <row r="2791" spans="1:14">
      <c r="A2791" t="s">
        <v>2803</v>
      </c>
      <c r="B2791" t="s">
        <v>3975</v>
      </c>
      <c r="I2791" s="109"/>
      <c r="J2791" s="109"/>
      <c r="K2791" s="109"/>
      <c r="L2791" s="109" t="str">
        <f t="shared" si="43"/>
        <v>96-966200303</v>
      </c>
      <c r="M2791" s="114">
        <v>966200303</v>
      </c>
      <c r="N2791" s="114" t="s">
        <v>8700</v>
      </c>
    </row>
    <row r="2792" spans="1:14">
      <c r="A2792" t="s">
        <v>2661</v>
      </c>
      <c r="B2792" t="s">
        <v>3975</v>
      </c>
      <c r="I2792" s="109"/>
      <c r="J2792" s="109"/>
      <c r="K2792" s="109"/>
      <c r="L2792" s="109" t="str">
        <f t="shared" si="43"/>
        <v>96-966200329</v>
      </c>
      <c r="M2792" s="114">
        <v>966200329</v>
      </c>
      <c r="N2792" s="114" t="s">
        <v>8697</v>
      </c>
    </row>
    <row r="2793" spans="1:14">
      <c r="A2793" t="s">
        <v>3382</v>
      </c>
      <c r="B2793" t="s">
        <v>3975</v>
      </c>
      <c r="I2793" s="109"/>
      <c r="J2793" s="109"/>
      <c r="K2793" s="109"/>
      <c r="L2793" s="109" t="str">
        <f t="shared" si="43"/>
        <v>95-952000181</v>
      </c>
      <c r="M2793" s="114">
        <v>952000181</v>
      </c>
      <c r="N2793" s="114" t="s">
        <v>7392</v>
      </c>
    </row>
    <row r="2794" spans="1:14">
      <c r="A2794" t="s">
        <v>2779</v>
      </c>
      <c r="B2794" t="s">
        <v>3975</v>
      </c>
      <c r="I2794" s="109"/>
      <c r="J2794" s="109"/>
      <c r="K2794" s="109"/>
      <c r="L2794" s="109" t="str">
        <f t="shared" si="43"/>
        <v>95-951100070</v>
      </c>
      <c r="M2794" s="114">
        <v>951100070</v>
      </c>
      <c r="N2794" s="114" t="s">
        <v>7374</v>
      </c>
    </row>
    <row r="2795" spans="1:14">
      <c r="A2795" t="s">
        <v>2781</v>
      </c>
      <c r="B2795" t="s">
        <v>3975</v>
      </c>
      <c r="I2795" s="109"/>
      <c r="J2795" s="109"/>
      <c r="K2795" s="109"/>
      <c r="L2795" s="109" t="str">
        <f t="shared" si="43"/>
        <v>95-951100121</v>
      </c>
      <c r="M2795" s="114">
        <v>951100121</v>
      </c>
      <c r="N2795" s="114" t="s">
        <v>7375</v>
      </c>
    </row>
    <row r="2796" spans="1:14">
      <c r="A2796" t="s">
        <v>3092</v>
      </c>
      <c r="B2796" t="s">
        <v>3975</v>
      </c>
      <c r="I2796" s="109"/>
      <c r="J2796" s="109"/>
      <c r="K2796" s="109"/>
      <c r="L2796" s="109" t="str">
        <f t="shared" si="43"/>
        <v>96-961200068</v>
      </c>
      <c r="M2796" s="114">
        <v>961200068</v>
      </c>
      <c r="N2796" s="114" t="s">
        <v>8743</v>
      </c>
    </row>
    <row r="2797" spans="1:14">
      <c r="A2797" t="s">
        <v>3519</v>
      </c>
      <c r="B2797" t="s">
        <v>3975</v>
      </c>
      <c r="I2797" s="109"/>
      <c r="J2797" s="109"/>
      <c r="K2797" s="109"/>
      <c r="L2797" s="109" t="str">
        <f t="shared" si="43"/>
        <v>96-961200069</v>
      </c>
      <c r="M2797" s="114">
        <v>961200069</v>
      </c>
      <c r="N2797" s="114" t="s">
        <v>8744</v>
      </c>
    </row>
    <row r="2798" spans="1:14">
      <c r="A2798" t="s">
        <v>2806</v>
      </c>
      <c r="B2798" t="s">
        <v>3975</v>
      </c>
      <c r="I2798" s="109"/>
      <c r="J2798" s="109"/>
      <c r="K2798" s="109"/>
      <c r="L2798" s="109" t="str">
        <f t="shared" si="43"/>
        <v>95-952000306</v>
      </c>
      <c r="M2798" s="114">
        <v>952000306</v>
      </c>
      <c r="N2798" s="114" t="s">
        <v>7329</v>
      </c>
    </row>
    <row r="2799" spans="1:14">
      <c r="A2799" t="s">
        <v>2807</v>
      </c>
      <c r="B2799" t="s">
        <v>3975</v>
      </c>
      <c r="I2799" s="109"/>
      <c r="J2799" s="109"/>
      <c r="K2799" s="109"/>
      <c r="L2799" s="109" t="str">
        <f t="shared" si="43"/>
        <v>95-952000247</v>
      </c>
      <c r="M2799" s="114">
        <v>952000247</v>
      </c>
      <c r="N2799" s="114" t="s">
        <v>7327</v>
      </c>
    </row>
    <row r="2800" spans="1:14">
      <c r="A2800" t="s">
        <v>3076</v>
      </c>
      <c r="B2800" t="s">
        <v>3975</v>
      </c>
      <c r="I2800" s="109"/>
      <c r="J2800" s="109"/>
      <c r="K2800" s="109"/>
      <c r="L2800" s="109" t="str">
        <f t="shared" si="43"/>
        <v>96-962000183</v>
      </c>
      <c r="M2800" s="114">
        <v>962000183</v>
      </c>
      <c r="N2800" s="114" t="s">
        <v>7112</v>
      </c>
    </row>
    <row r="2801" spans="1:14">
      <c r="A2801" t="s">
        <v>3086</v>
      </c>
      <c r="B2801" t="s">
        <v>3975</v>
      </c>
      <c r="I2801" s="109"/>
      <c r="J2801" s="109"/>
      <c r="K2801" s="109"/>
      <c r="L2801" s="109" t="str">
        <f t="shared" si="43"/>
        <v>95-956200112</v>
      </c>
      <c r="M2801" s="114">
        <v>956200112</v>
      </c>
      <c r="N2801" s="114" t="s">
        <v>7358</v>
      </c>
    </row>
    <row r="2802" spans="1:14">
      <c r="A2802" t="s">
        <v>2810</v>
      </c>
      <c r="B2802" t="s">
        <v>3975</v>
      </c>
      <c r="I2802" s="109"/>
      <c r="J2802" s="109"/>
      <c r="K2802" s="109"/>
      <c r="L2802" s="109" t="str">
        <f t="shared" si="43"/>
        <v>96-966200171</v>
      </c>
      <c r="M2802" s="114">
        <v>966200171</v>
      </c>
      <c r="N2802" s="114" t="s">
        <v>7363</v>
      </c>
    </row>
    <row r="2803" spans="1:14">
      <c r="A2803" t="s">
        <v>3085</v>
      </c>
      <c r="B2803" t="s">
        <v>3975</v>
      </c>
      <c r="I2803" s="109"/>
      <c r="J2803" s="109"/>
      <c r="K2803" s="109"/>
      <c r="L2803" s="109" t="str">
        <f t="shared" si="43"/>
        <v>96-966200175</v>
      </c>
      <c r="M2803" s="114">
        <v>966200175</v>
      </c>
      <c r="N2803" s="114" t="s">
        <v>7363</v>
      </c>
    </row>
    <row r="2804" spans="1:14">
      <c r="A2804" t="s">
        <v>3067</v>
      </c>
      <c r="B2804" t="s">
        <v>3975</v>
      </c>
      <c r="I2804" s="109"/>
      <c r="J2804" s="109"/>
      <c r="K2804" s="109"/>
      <c r="L2804" s="109" t="str">
        <f t="shared" si="43"/>
        <v>96-961200037</v>
      </c>
      <c r="M2804" s="114">
        <v>961200037</v>
      </c>
      <c r="N2804" s="114" t="s">
        <v>7989</v>
      </c>
    </row>
    <row r="2805" spans="1:14">
      <c r="A2805" t="s">
        <v>3065</v>
      </c>
      <c r="B2805" t="s">
        <v>3975</v>
      </c>
      <c r="I2805" s="109"/>
      <c r="J2805" s="109"/>
      <c r="K2805" s="109"/>
      <c r="L2805" s="109" t="str">
        <f t="shared" si="43"/>
        <v>96-966200024</v>
      </c>
      <c r="M2805" s="114">
        <v>966200024</v>
      </c>
      <c r="N2805" s="114" t="s">
        <v>7360</v>
      </c>
    </row>
    <row r="2806" spans="1:14">
      <c r="A2806" t="s">
        <v>3108</v>
      </c>
      <c r="B2806" t="s">
        <v>3975</v>
      </c>
      <c r="I2806" s="109"/>
      <c r="J2806" s="109"/>
      <c r="K2806" s="109"/>
      <c r="L2806" s="109" t="str">
        <f t="shared" si="43"/>
        <v>95-956200037</v>
      </c>
      <c r="M2806" s="114">
        <v>956200037</v>
      </c>
      <c r="N2806" s="114" t="s">
        <v>7910</v>
      </c>
    </row>
    <row r="2807" spans="1:14">
      <c r="A2807" t="s">
        <v>2795</v>
      </c>
      <c r="B2807" t="s">
        <v>3975</v>
      </c>
      <c r="I2807" s="109"/>
      <c r="J2807" s="109"/>
      <c r="K2807" s="109"/>
      <c r="L2807" s="109" t="str">
        <f t="shared" si="43"/>
        <v>95-956200327</v>
      </c>
      <c r="M2807" s="114">
        <v>956200327</v>
      </c>
      <c r="N2807" s="114" t="s">
        <v>7911</v>
      </c>
    </row>
    <row r="2808" spans="1:14">
      <c r="A2808" t="s">
        <v>3104</v>
      </c>
      <c r="B2808" t="s">
        <v>3975</v>
      </c>
      <c r="I2808" s="109"/>
      <c r="J2808" s="109"/>
      <c r="K2808" s="109"/>
      <c r="L2808" s="109" t="str">
        <f t="shared" si="43"/>
        <v>95-951100045</v>
      </c>
      <c r="M2808" s="114">
        <v>951100045</v>
      </c>
      <c r="N2808" s="114" t="s">
        <v>8004</v>
      </c>
    </row>
    <row r="2809" spans="1:14">
      <c r="A2809" t="s">
        <v>3128</v>
      </c>
      <c r="B2809" t="s">
        <v>3975</v>
      </c>
      <c r="I2809" s="109"/>
      <c r="J2809" s="109"/>
      <c r="K2809" s="109"/>
      <c r="L2809" s="109" t="str">
        <f t="shared" si="43"/>
        <v>95-952000216</v>
      </c>
      <c r="M2809" s="114">
        <v>952000216</v>
      </c>
      <c r="N2809" s="114" t="s">
        <v>7905</v>
      </c>
    </row>
    <row r="2810" spans="1:14">
      <c r="A2810" t="s">
        <v>3103</v>
      </c>
      <c r="B2810" t="s">
        <v>3975</v>
      </c>
      <c r="I2810" s="109"/>
      <c r="J2810" s="109"/>
      <c r="K2810" s="109"/>
      <c r="L2810" s="109" t="str">
        <f t="shared" si="43"/>
        <v>95-952000219</v>
      </c>
      <c r="M2810" s="114">
        <v>952000219</v>
      </c>
      <c r="N2810" s="114" t="s">
        <v>7905</v>
      </c>
    </row>
    <row r="2811" spans="1:14">
      <c r="A2811" t="s">
        <v>3116</v>
      </c>
      <c r="B2811" t="s">
        <v>3975</v>
      </c>
      <c r="I2811" s="109"/>
      <c r="J2811" s="109"/>
      <c r="K2811" s="109"/>
      <c r="L2811" s="109" t="str">
        <f t="shared" si="43"/>
        <v>95-951100002</v>
      </c>
      <c r="M2811" s="114">
        <v>951100002</v>
      </c>
      <c r="N2811" s="114" t="s">
        <v>8464</v>
      </c>
    </row>
    <row r="2812" spans="1:14">
      <c r="A2812" t="s">
        <v>3137</v>
      </c>
      <c r="B2812" t="s">
        <v>3975</v>
      </c>
      <c r="I2812" s="109"/>
      <c r="J2812" s="109"/>
      <c r="K2812" s="109"/>
      <c r="L2812" s="109" t="str">
        <f t="shared" si="43"/>
        <v>95-952000058</v>
      </c>
      <c r="M2812" s="114">
        <v>952000058</v>
      </c>
      <c r="N2812" s="114" t="s">
        <v>7278</v>
      </c>
    </row>
    <row r="2813" spans="1:14">
      <c r="A2813" t="s">
        <v>3072</v>
      </c>
      <c r="B2813" t="s">
        <v>3975</v>
      </c>
      <c r="I2813" s="109"/>
      <c r="J2813" s="109"/>
      <c r="K2813" s="109"/>
      <c r="L2813" s="109" t="str">
        <f t="shared" si="43"/>
        <v>95-952000210</v>
      </c>
      <c r="M2813" s="114">
        <v>952000210</v>
      </c>
      <c r="N2813" s="114" t="s">
        <v>7909</v>
      </c>
    </row>
    <row r="2814" spans="1:14">
      <c r="A2814" t="s">
        <v>3138</v>
      </c>
      <c r="B2814" t="s">
        <v>3975</v>
      </c>
      <c r="I2814" s="109"/>
      <c r="J2814" s="109"/>
      <c r="K2814" s="109"/>
      <c r="L2814" s="109" t="str">
        <f t="shared" si="43"/>
        <v>95-952000078</v>
      </c>
      <c r="M2814" s="114">
        <v>952000078</v>
      </c>
      <c r="N2814" s="114" t="s">
        <v>7913</v>
      </c>
    </row>
    <row r="2815" spans="1:14">
      <c r="A2815" t="s">
        <v>3078</v>
      </c>
      <c r="B2815" t="s">
        <v>3975</v>
      </c>
      <c r="I2815" s="109"/>
      <c r="J2815" s="109"/>
      <c r="K2815" s="109"/>
      <c r="L2815" s="109" t="str">
        <f t="shared" si="43"/>
        <v>96-966200183</v>
      </c>
      <c r="M2815" s="114">
        <v>966200183</v>
      </c>
      <c r="N2815" s="114" t="s">
        <v>7914</v>
      </c>
    </row>
    <row r="2816" spans="1:14">
      <c r="A2816" t="s">
        <v>3143</v>
      </c>
      <c r="B2816" t="s">
        <v>3975</v>
      </c>
      <c r="I2816" s="109"/>
      <c r="J2816" s="109"/>
      <c r="K2816" s="109"/>
      <c r="L2816" s="109" t="str">
        <f t="shared" si="43"/>
        <v>95-956200030</v>
      </c>
      <c r="M2816" s="114">
        <v>956200030</v>
      </c>
      <c r="N2816" s="114" t="s">
        <v>7915</v>
      </c>
    </row>
    <row r="2817" spans="1:14">
      <c r="A2817" t="s">
        <v>3090</v>
      </c>
      <c r="B2817" t="s">
        <v>3975</v>
      </c>
      <c r="I2817" s="109"/>
      <c r="J2817" s="109"/>
      <c r="K2817" s="109"/>
      <c r="L2817" s="109" t="str">
        <f t="shared" si="43"/>
        <v>95-956200032</v>
      </c>
      <c r="M2817" s="114">
        <v>956200032</v>
      </c>
      <c r="N2817" s="114" t="s">
        <v>7915</v>
      </c>
    </row>
    <row r="2818" spans="1:14">
      <c r="A2818" t="s">
        <v>3091</v>
      </c>
      <c r="B2818" t="s">
        <v>3975</v>
      </c>
      <c r="I2818" s="109"/>
      <c r="J2818" s="109"/>
      <c r="K2818" s="109"/>
      <c r="L2818" s="109" t="str">
        <f t="shared" si="43"/>
        <v>95-956200053</v>
      </c>
      <c r="M2818" s="114">
        <v>956200053</v>
      </c>
      <c r="N2818" s="114" t="s">
        <v>7916</v>
      </c>
    </row>
    <row r="2819" spans="1:14">
      <c r="A2819" t="s">
        <v>3187</v>
      </c>
      <c r="B2819" t="s">
        <v>3975</v>
      </c>
      <c r="I2819" s="109"/>
      <c r="J2819" s="109"/>
      <c r="K2819" s="109"/>
      <c r="L2819" s="109" t="str">
        <f t="shared" ref="L2819:L2882" si="44">MID(M2819,1,2)&amp;"-"&amp;M2819</f>
        <v>95-956200056</v>
      </c>
      <c r="M2819" s="114">
        <v>956200056</v>
      </c>
      <c r="N2819" s="114" t="s">
        <v>7917</v>
      </c>
    </row>
    <row r="2820" spans="1:14">
      <c r="A2820" t="s">
        <v>3123</v>
      </c>
      <c r="B2820" t="s">
        <v>3975</v>
      </c>
      <c r="I2820" s="109"/>
      <c r="J2820" s="109"/>
      <c r="K2820" s="109"/>
      <c r="L2820" s="109" t="str">
        <f t="shared" si="44"/>
        <v>95-952000225</v>
      </c>
      <c r="M2820" s="114">
        <v>952000225</v>
      </c>
      <c r="N2820" s="114" t="s">
        <v>7905</v>
      </c>
    </row>
    <row r="2821" spans="1:14">
      <c r="A2821" t="s">
        <v>3125</v>
      </c>
      <c r="B2821" t="s">
        <v>3975</v>
      </c>
      <c r="I2821" s="109"/>
      <c r="J2821" s="109"/>
      <c r="K2821" s="109"/>
      <c r="L2821" s="109" t="str">
        <f t="shared" si="44"/>
        <v>95-951100157</v>
      </c>
      <c r="M2821" s="114">
        <v>951100157</v>
      </c>
      <c r="N2821" s="114" t="s">
        <v>7395</v>
      </c>
    </row>
    <row r="2822" spans="1:14">
      <c r="A2822" t="s">
        <v>3113</v>
      </c>
      <c r="B2822" t="s">
        <v>3975</v>
      </c>
      <c r="I2822" s="109"/>
      <c r="J2822" s="109"/>
      <c r="K2822" s="109"/>
      <c r="L2822" s="109" t="str">
        <f t="shared" si="44"/>
        <v>95-951100056</v>
      </c>
      <c r="M2822" s="114">
        <v>951100056</v>
      </c>
      <c r="N2822" s="114" t="s">
        <v>8013</v>
      </c>
    </row>
    <row r="2823" spans="1:14">
      <c r="A2823" t="s">
        <v>3124</v>
      </c>
      <c r="B2823" t="s">
        <v>3975</v>
      </c>
      <c r="I2823" s="109"/>
      <c r="J2823" s="109"/>
      <c r="K2823" s="109"/>
      <c r="L2823" s="109" t="str">
        <f t="shared" si="44"/>
        <v>95-951100058</v>
      </c>
      <c r="M2823" s="114">
        <v>951100058</v>
      </c>
      <c r="N2823" s="114" t="s">
        <v>8014</v>
      </c>
    </row>
    <row r="2824" spans="1:14">
      <c r="A2824" t="s">
        <v>3139</v>
      </c>
      <c r="B2824" t="s">
        <v>3975</v>
      </c>
      <c r="I2824" s="109"/>
      <c r="J2824" s="109"/>
      <c r="K2824" s="109"/>
      <c r="L2824" s="109" t="str">
        <f t="shared" si="44"/>
        <v>95-952000252</v>
      </c>
      <c r="M2824" s="114">
        <v>952000252</v>
      </c>
      <c r="N2824" s="114" t="s">
        <v>7327</v>
      </c>
    </row>
    <row r="2825" spans="1:14">
      <c r="A2825" t="s">
        <v>3410</v>
      </c>
      <c r="B2825" t="s">
        <v>3975</v>
      </c>
      <c r="I2825" s="109"/>
      <c r="J2825" s="109"/>
      <c r="K2825" s="109"/>
      <c r="L2825" s="109" t="str">
        <f t="shared" si="44"/>
        <v>96-962000037</v>
      </c>
      <c r="M2825" s="114">
        <v>962000037</v>
      </c>
      <c r="N2825" s="114" t="s">
        <v>7112</v>
      </c>
    </row>
    <row r="2826" spans="1:14">
      <c r="A2826" t="s">
        <v>3094</v>
      </c>
      <c r="B2826" t="s">
        <v>3975</v>
      </c>
      <c r="I2826" s="109"/>
      <c r="J2826" s="109"/>
      <c r="K2826" s="109"/>
      <c r="L2826" s="109" t="str">
        <f t="shared" si="44"/>
        <v>95-956200272</v>
      </c>
      <c r="M2826" s="114">
        <v>956200272</v>
      </c>
      <c r="N2826" s="114" t="s">
        <v>7918</v>
      </c>
    </row>
    <row r="2827" spans="1:14">
      <c r="A2827" t="s">
        <v>3105</v>
      </c>
      <c r="B2827" t="s">
        <v>3975</v>
      </c>
      <c r="I2827" s="109"/>
      <c r="J2827" s="109"/>
      <c r="K2827" s="109"/>
      <c r="L2827" s="109" t="str">
        <f t="shared" si="44"/>
        <v>95-956200222</v>
      </c>
      <c r="M2827" s="114">
        <v>956200222</v>
      </c>
      <c r="N2827" s="114" t="s">
        <v>7919</v>
      </c>
    </row>
    <row r="2828" spans="1:14">
      <c r="A2828" t="s">
        <v>3082</v>
      </c>
      <c r="B2828" t="s">
        <v>3975</v>
      </c>
      <c r="I2828" s="109"/>
      <c r="J2828" s="109"/>
      <c r="K2828" s="109"/>
      <c r="L2828" s="109" t="str">
        <f t="shared" si="44"/>
        <v>95-956200224</v>
      </c>
      <c r="M2828" s="114">
        <v>956200224</v>
      </c>
      <c r="N2828" s="114" t="s">
        <v>7919</v>
      </c>
    </row>
    <row r="2829" spans="1:14">
      <c r="A2829" t="s">
        <v>3258</v>
      </c>
      <c r="B2829" t="s">
        <v>3975</v>
      </c>
      <c r="I2829" s="109"/>
      <c r="J2829" s="109"/>
      <c r="K2829" s="109"/>
      <c r="L2829" s="109" t="str">
        <f t="shared" si="44"/>
        <v>95-952000093</v>
      </c>
      <c r="M2829" s="114">
        <v>952000093</v>
      </c>
      <c r="N2829" s="114" t="s">
        <v>8015</v>
      </c>
    </row>
    <row r="2830" spans="1:14">
      <c r="A2830" t="s">
        <v>3087</v>
      </c>
      <c r="B2830" t="s">
        <v>3975</v>
      </c>
      <c r="I2830" s="109"/>
      <c r="J2830" s="109"/>
      <c r="K2830" s="109"/>
      <c r="L2830" s="109" t="str">
        <f t="shared" si="44"/>
        <v>96-962000028</v>
      </c>
      <c r="M2830" s="114">
        <v>962000028</v>
      </c>
      <c r="N2830" s="114" t="s">
        <v>7112</v>
      </c>
    </row>
    <row r="2831" spans="1:14">
      <c r="A2831" t="s">
        <v>3346</v>
      </c>
      <c r="B2831" t="s">
        <v>3975</v>
      </c>
      <c r="I2831" s="109"/>
      <c r="J2831" s="109"/>
      <c r="K2831" s="109"/>
      <c r="L2831" s="109" t="str">
        <f t="shared" si="44"/>
        <v>95-952000108</v>
      </c>
      <c r="M2831" s="114">
        <v>952000108</v>
      </c>
      <c r="N2831" s="114" t="s">
        <v>7321</v>
      </c>
    </row>
    <row r="2832" spans="1:14">
      <c r="A2832" t="s">
        <v>3333</v>
      </c>
      <c r="B2832" t="s">
        <v>3975</v>
      </c>
      <c r="I2832" s="109"/>
      <c r="J2832" s="109"/>
      <c r="K2832" s="109"/>
      <c r="L2832" s="109" t="str">
        <f t="shared" si="44"/>
        <v>95-952000275</v>
      </c>
      <c r="M2832" s="114">
        <v>952000275</v>
      </c>
      <c r="N2832" s="114" t="s">
        <v>7280</v>
      </c>
    </row>
    <row r="2833" spans="1:14">
      <c r="A2833" t="s">
        <v>3563</v>
      </c>
      <c r="B2833" s="1" t="s">
        <v>4309</v>
      </c>
      <c r="I2833" s="109"/>
      <c r="J2833" s="109"/>
      <c r="K2833" s="109"/>
      <c r="L2833" s="109" t="str">
        <f t="shared" si="44"/>
        <v>96-962000220</v>
      </c>
      <c r="M2833" s="114">
        <v>962000220</v>
      </c>
      <c r="N2833" s="114" t="s">
        <v>7112</v>
      </c>
    </row>
    <row r="2834" spans="1:14">
      <c r="A2834" t="s">
        <v>3561</v>
      </c>
      <c r="B2834" s="1" t="s">
        <v>4309</v>
      </c>
      <c r="I2834" s="109"/>
      <c r="J2834" s="109"/>
      <c r="K2834" s="109"/>
      <c r="L2834" s="109" t="str">
        <f t="shared" si="44"/>
        <v>95-951100151</v>
      </c>
      <c r="M2834" s="114">
        <v>951100151</v>
      </c>
      <c r="N2834" s="114" t="s">
        <v>7401</v>
      </c>
    </row>
    <row r="2835" spans="1:14">
      <c r="A2835" t="s">
        <v>4308</v>
      </c>
      <c r="B2835" s="1" t="s">
        <v>4309</v>
      </c>
      <c r="I2835" s="109"/>
      <c r="J2835" s="109"/>
      <c r="K2835" s="109"/>
      <c r="L2835" s="109" t="str">
        <f t="shared" si="44"/>
        <v>96-962000088</v>
      </c>
      <c r="M2835" s="114">
        <v>962000088</v>
      </c>
      <c r="N2835" s="114" t="s">
        <v>7112</v>
      </c>
    </row>
    <row r="2836" spans="1:14">
      <c r="A2836" t="s">
        <v>4255</v>
      </c>
      <c r="B2836" s="1" t="s">
        <v>4309</v>
      </c>
      <c r="I2836" s="109"/>
      <c r="J2836" s="109"/>
      <c r="K2836" s="109"/>
      <c r="L2836" s="109" t="str">
        <f t="shared" si="44"/>
        <v>96-962000041</v>
      </c>
      <c r="M2836" s="114">
        <v>962000041</v>
      </c>
      <c r="N2836" s="114" t="s">
        <v>7112</v>
      </c>
    </row>
    <row r="2837" spans="1:14">
      <c r="A2837" t="s">
        <v>3569</v>
      </c>
      <c r="B2837" s="1" t="s">
        <v>4309</v>
      </c>
      <c r="I2837" s="109"/>
      <c r="J2837" s="109"/>
      <c r="K2837" s="109"/>
      <c r="L2837" s="109" t="str">
        <f t="shared" si="44"/>
        <v>95-952000101</v>
      </c>
      <c r="M2837" s="114">
        <v>952000101</v>
      </c>
      <c r="N2837" s="114" t="s">
        <v>7321</v>
      </c>
    </row>
    <row r="2838" spans="1:14">
      <c r="A2838" t="s">
        <v>3639</v>
      </c>
      <c r="B2838" s="1" t="s">
        <v>4309</v>
      </c>
      <c r="I2838" s="109"/>
      <c r="J2838" s="109"/>
      <c r="K2838" s="109"/>
      <c r="L2838" s="109" t="str">
        <f t="shared" si="44"/>
        <v>95-952000159</v>
      </c>
      <c r="M2838" s="114">
        <v>952000159</v>
      </c>
      <c r="N2838" s="114" t="s">
        <v>8026</v>
      </c>
    </row>
    <row r="2839" spans="1:14">
      <c r="A2839" t="s">
        <v>3765</v>
      </c>
      <c r="B2839" s="1" t="s">
        <v>4309</v>
      </c>
      <c r="I2839" s="109"/>
      <c r="J2839" s="109"/>
      <c r="K2839" s="109"/>
      <c r="L2839" s="109" t="str">
        <f t="shared" si="44"/>
        <v>96-962000199</v>
      </c>
      <c r="M2839" s="114">
        <v>962000199</v>
      </c>
      <c r="N2839" s="114" t="s">
        <v>7112</v>
      </c>
    </row>
    <row r="2840" spans="1:14">
      <c r="A2840" t="s">
        <v>3742</v>
      </c>
      <c r="B2840" s="1" t="s">
        <v>4309</v>
      </c>
      <c r="I2840" s="109"/>
      <c r="J2840" s="109"/>
      <c r="K2840" s="109"/>
      <c r="L2840" s="109" t="str">
        <f t="shared" si="44"/>
        <v>95-952000354</v>
      </c>
      <c r="M2840" s="114">
        <v>952000354</v>
      </c>
      <c r="N2840" s="114" t="s">
        <v>8076</v>
      </c>
    </row>
    <row r="2841" spans="1:14">
      <c r="A2841" t="s">
        <v>3567</v>
      </c>
      <c r="B2841" s="1" t="s">
        <v>4309</v>
      </c>
      <c r="I2841" s="109"/>
      <c r="J2841" s="109"/>
      <c r="K2841" s="109"/>
      <c r="L2841" s="109" t="str">
        <f t="shared" si="44"/>
        <v>95-952000155</v>
      </c>
      <c r="M2841" s="114">
        <v>952000155</v>
      </c>
      <c r="N2841" s="114" t="s">
        <v>7332</v>
      </c>
    </row>
    <row r="2842" spans="1:14">
      <c r="A2842" t="s">
        <v>3751</v>
      </c>
      <c r="B2842" s="1" t="s">
        <v>4309</v>
      </c>
      <c r="I2842" s="109"/>
      <c r="J2842" s="109"/>
      <c r="K2842" s="109"/>
      <c r="L2842" s="109" t="str">
        <f t="shared" si="44"/>
        <v>95-952000140</v>
      </c>
      <c r="M2842" s="114">
        <v>952000140</v>
      </c>
      <c r="N2842" s="114" t="s">
        <v>7332</v>
      </c>
    </row>
    <row r="2843" spans="1:14">
      <c r="A2843" t="s">
        <v>3753</v>
      </c>
      <c r="B2843" s="1" t="s">
        <v>4309</v>
      </c>
      <c r="I2843" s="109"/>
      <c r="J2843" s="109"/>
      <c r="K2843" s="109"/>
      <c r="L2843" s="109" t="str">
        <f t="shared" si="44"/>
        <v>95-951100091</v>
      </c>
      <c r="M2843" s="114">
        <v>951100091</v>
      </c>
      <c r="N2843" s="114" t="s">
        <v>7920</v>
      </c>
    </row>
    <row r="2844" spans="1:14">
      <c r="A2844" t="s">
        <v>3734</v>
      </c>
      <c r="B2844" s="1" t="s">
        <v>4309</v>
      </c>
      <c r="I2844" s="109"/>
      <c r="J2844" s="109"/>
      <c r="K2844" s="109"/>
      <c r="L2844" s="109" t="str">
        <f t="shared" si="44"/>
        <v>95-951100126</v>
      </c>
      <c r="M2844" s="114">
        <v>951100126</v>
      </c>
      <c r="N2844" s="114" t="s">
        <v>7921</v>
      </c>
    </row>
    <row r="2845" spans="1:14">
      <c r="A2845" t="s">
        <v>3739</v>
      </c>
      <c r="B2845" s="1" t="s">
        <v>4309</v>
      </c>
      <c r="I2845" s="109"/>
      <c r="J2845" s="109"/>
      <c r="K2845" s="109"/>
      <c r="L2845" s="109" t="str">
        <f t="shared" si="44"/>
        <v>95-951100033</v>
      </c>
      <c r="M2845" s="114">
        <v>951100033</v>
      </c>
      <c r="N2845" s="114" t="s">
        <v>8018</v>
      </c>
    </row>
    <row r="2846" spans="1:14">
      <c r="A2846" t="s">
        <v>3893</v>
      </c>
      <c r="B2846" s="1" t="s">
        <v>4309</v>
      </c>
      <c r="I2846" s="109"/>
      <c r="J2846" s="109"/>
      <c r="K2846" s="109"/>
      <c r="L2846" s="109" t="str">
        <f t="shared" si="44"/>
        <v>95-951700031</v>
      </c>
      <c r="M2846" s="114">
        <v>951700031</v>
      </c>
      <c r="N2846" s="114" t="s">
        <v>7924</v>
      </c>
    </row>
    <row r="2847" spans="1:14">
      <c r="A2847" t="s">
        <v>3749</v>
      </c>
      <c r="B2847" s="1" t="s">
        <v>4309</v>
      </c>
      <c r="I2847" s="109"/>
      <c r="J2847" s="109"/>
      <c r="K2847" s="109"/>
      <c r="L2847" s="109" t="str">
        <f t="shared" si="44"/>
        <v>95-951400044</v>
      </c>
      <c r="M2847" s="114">
        <v>951400044</v>
      </c>
      <c r="N2847" s="114" t="s">
        <v>7196</v>
      </c>
    </row>
    <row r="2848" spans="1:14">
      <c r="A2848" t="s">
        <v>3750</v>
      </c>
      <c r="B2848" s="1" t="s">
        <v>4309</v>
      </c>
      <c r="I2848" s="109"/>
      <c r="J2848" s="109"/>
      <c r="K2848" s="109"/>
      <c r="L2848" s="109" t="str">
        <f t="shared" si="44"/>
        <v>95-956200011</v>
      </c>
      <c r="M2848" s="114">
        <v>956200011</v>
      </c>
      <c r="N2848" s="114" t="s">
        <v>7376</v>
      </c>
    </row>
    <row r="2849" spans="1:14">
      <c r="A2849" t="s">
        <v>3726</v>
      </c>
      <c r="B2849" s="1" t="s">
        <v>4309</v>
      </c>
      <c r="I2849" s="109"/>
      <c r="J2849" s="109"/>
      <c r="K2849" s="109"/>
      <c r="L2849" s="109" t="str">
        <f t="shared" si="44"/>
        <v>95-956200055</v>
      </c>
      <c r="M2849" s="114">
        <v>956200055</v>
      </c>
      <c r="N2849" s="114" t="s">
        <v>8019</v>
      </c>
    </row>
    <row r="2850" spans="1:14">
      <c r="A2850" t="s">
        <v>3514</v>
      </c>
      <c r="B2850" s="1" t="s">
        <v>4309</v>
      </c>
      <c r="I2850" s="109"/>
      <c r="J2850" s="109"/>
      <c r="K2850" s="109"/>
      <c r="L2850" s="109" t="str">
        <f t="shared" si="44"/>
        <v>95-952000047</v>
      </c>
      <c r="M2850" s="114">
        <v>952000047</v>
      </c>
      <c r="N2850" s="114" t="s">
        <v>7331</v>
      </c>
    </row>
    <row r="2851" spans="1:14">
      <c r="A2851" t="s">
        <v>3521</v>
      </c>
      <c r="B2851" s="1" t="s">
        <v>4309</v>
      </c>
      <c r="I2851" s="109"/>
      <c r="J2851" s="109"/>
      <c r="K2851" s="109"/>
      <c r="L2851" s="109" t="str">
        <f t="shared" si="44"/>
        <v>95-951100096</v>
      </c>
      <c r="M2851" s="114">
        <v>951100096</v>
      </c>
      <c r="N2851" s="114" t="s">
        <v>8466</v>
      </c>
    </row>
    <row r="2852" spans="1:14">
      <c r="A2852" t="s">
        <v>3728</v>
      </c>
      <c r="B2852" s="1" t="s">
        <v>4309</v>
      </c>
      <c r="I2852" s="109"/>
      <c r="J2852" s="109"/>
      <c r="K2852" s="109"/>
      <c r="L2852" s="109" t="str">
        <f t="shared" si="44"/>
        <v>96-961200038</v>
      </c>
      <c r="M2852" s="114">
        <v>961200038</v>
      </c>
      <c r="N2852" s="114" t="s">
        <v>7387</v>
      </c>
    </row>
    <row r="2853" spans="1:14">
      <c r="A2853" t="s">
        <v>3655</v>
      </c>
      <c r="B2853" s="1" t="s">
        <v>4309</v>
      </c>
      <c r="I2853" s="109"/>
      <c r="J2853" s="109"/>
      <c r="K2853" s="109"/>
      <c r="L2853" s="109" t="str">
        <f t="shared" si="44"/>
        <v>96-961200040</v>
      </c>
      <c r="M2853" s="114">
        <v>961200040</v>
      </c>
      <c r="N2853" s="114" t="s">
        <v>7387</v>
      </c>
    </row>
    <row r="2854" spans="1:14">
      <c r="A2854" t="s">
        <v>3725</v>
      </c>
      <c r="B2854" s="1" t="s">
        <v>4309</v>
      </c>
      <c r="I2854" s="109"/>
      <c r="J2854" s="109"/>
      <c r="K2854" s="109"/>
      <c r="L2854" s="109" t="str">
        <f t="shared" si="44"/>
        <v>96-961200051</v>
      </c>
      <c r="M2854" s="114">
        <v>961200051</v>
      </c>
      <c r="N2854" s="114" t="s">
        <v>7404</v>
      </c>
    </row>
    <row r="2855" spans="1:14">
      <c r="A2855" t="s">
        <v>3571</v>
      </c>
      <c r="B2855" s="1" t="s">
        <v>4309</v>
      </c>
      <c r="I2855" s="109"/>
      <c r="J2855" s="109"/>
      <c r="K2855" s="109"/>
      <c r="L2855" s="109" t="str">
        <f t="shared" si="44"/>
        <v>96-961200054</v>
      </c>
      <c r="M2855" s="114">
        <v>961200054</v>
      </c>
      <c r="N2855" s="114" t="s">
        <v>7404</v>
      </c>
    </row>
    <row r="2856" spans="1:14">
      <c r="A2856" t="s">
        <v>3570</v>
      </c>
      <c r="B2856" s="1" t="s">
        <v>4309</v>
      </c>
      <c r="I2856" s="109"/>
      <c r="J2856" s="109"/>
      <c r="K2856" s="109"/>
      <c r="L2856" s="109" t="str">
        <f t="shared" si="44"/>
        <v>96-961200067</v>
      </c>
      <c r="M2856" s="114">
        <v>961200067</v>
      </c>
      <c r="N2856" s="114" t="s">
        <v>7117</v>
      </c>
    </row>
    <row r="2857" spans="1:14">
      <c r="A2857" t="s">
        <v>3735</v>
      </c>
      <c r="B2857" s="1" t="s">
        <v>4309</v>
      </c>
      <c r="I2857" s="109"/>
      <c r="J2857" s="109"/>
      <c r="K2857" s="109"/>
      <c r="L2857" s="109" t="str">
        <f t="shared" si="44"/>
        <v>95-951100022</v>
      </c>
      <c r="M2857" s="114">
        <v>951100022</v>
      </c>
      <c r="N2857" s="114" t="s">
        <v>7927</v>
      </c>
    </row>
    <row r="2858" spans="1:14">
      <c r="A2858" t="s">
        <v>3565</v>
      </c>
      <c r="B2858" s="1" t="s">
        <v>4309</v>
      </c>
      <c r="I2858" s="109"/>
      <c r="J2858" s="109"/>
      <c r="K2858" s="109"/>
      <c r="L2858" s="109" t="str">
        <f t="shared" si="44"/>
        <v>96-961100082</v>
      </c>
      <c r="M2858" s="114">
        <v>961100082</v>
      </c>
      <c r="N2858" s="114" t="s">
        <v>8745</v>
      </c>
    </row>
    <row r="2859" spans="1:14">
      <c r="A2859" t="s">
        <v>3892</v>
      </c>
      <c r="B2859" s="1" t="s">
        <v>4309</v>
      </c>
      <c r="I2859" s="109"/>
      <c r="J2859" s="109"/>
      <c r="K2859" s="109"/>
      <c r="L2859" s="109" t="str">
        <f t="shared" si="44"/>
        <v>95-951100153</v>
      </c>
      <c r="M2859" s="114">
        <v>951100153</v>
      </c>
      <c r="N2859" s="114" t="s">
        <v>8077</v>
      </c>
    </row>
    <row r="2860" spans="1:14">
      <c r="A2860" t="s">
        <v>3650</v>
      </c>
      <c r="B2860" s="1" t="s">
        <v>4309</v>
      </c>
      <c r="I2860" s="109"/>
      <c r="J2860" s="109"/>
      <c r="K2860" s="109"/>
      <c r="L2860" s="109" t="str">
        <f t="shared" si="44"/>
        <v>95-956200107</v>
      </c>
      <c r="M2860" s="114">
        <v>956200107</v>
      </c>
      <c r="N2860" s="114" t="s">
        <v>7984</v>
      </c>
    </row>
    <row r="2861" spans="1:14">
      <c r="A2861" t="s">
        <v>3748</v>
      </c>
      <c r="B2861" s="1" t="s">
        <v>4309</v>
      </c>
      <c r="I2861" s="109"/>
      <c r="J2861" s="109"/>
      <c r="K2861" s="109"/>
      <c r="L2861" s="109" t="str">
        <f t="shared" si="44"/>
        <v>95-952000125</v>
      </c>
      <c r="M2861" s="114">
        <v>952000125</v>
      </c>
      <c r="N2861" s="114" t="s">
        <v>7405</v>
      </c>
    </row>
    <row r="2862" spans="1:14">
      <c r="A2862" t="s">
        <v>3877</v>
      </c>
      <c r="B2862" s="1" t="s">
        <v>4309</v>
      </c>
      <c r="I2862" s="109"/>
      <c r="J2862" s="109"/>
      <c r="K2862" s="109"/>
      <c r="L2862" s="109" t="str">
        <f t="shared" si="44"/>
        <v>95-951100172</v>
      </c>
      <c r="M2862" s="114">
        <v>951100172</v>
      </c>
      <c r="N2862" s="114" t="s">
        <v>7928</v>
      </c>
    </row>
    <row r="2863" spans="1:14">
      <c r="A2863" t="s">
        <v>3648</v>
      </c>
      <c r="B2863" s="1" t="s">
        <v>4309</v>
      </c>
      <c r="I2863" s="109"/>
      <c r="J2863" s="109"/>
      <c r="K2863" s="109"/>
      <c r="L2863" s="109" t="str">
        <f t="shared" si="44"/>
        <v>95-952000147</v>
      </c>
      <c r="M2863" s="114">
        <v>952000147</v>
      </c>
      <c r="N2863" s="114" t="s">
        <v>7332</v>
      </c>
    </row>
    <row r="2864" spans="1:14">
      <c r="A2864" t="s">
        <v>3876</v>
      </c>
      <c r="B2864" s="1" t="s">
        <v>4309</v>
      </c>
      <c r="I2864" s="109"/>
      <c r="J2864" s="109"/>
      <c r="K2864" s="109"/>
      <c r="L2864" s="109" t="str">
        <f t="shared" si="44"/>
        <v>96-962000227</v>
      </c>
      <c r="M2864" s="114">
        <v>962000227</v>
      </c>
      <c r="N2864" s="114" t="s">
        <v>7112</v>
      </c>
    </row>
    <row r="2865" spans="1:14">
      <c r="A2865" t="s">
        <v>3897</v>
      </c>
      <c r="B2865" s="1" t="s">
        <v>4309</v>
      </c>
      <c r="I2865" s="109"/>
      <c r="J2865" s="109"/>
      <c r="K2865" s="109"/>
      <c r="L2865" s="109" t="str">
        <f t="shared" si="44"/>
        <v>95-952000084</v>
      </c>
      <c r="M2865" s="114">
        <v>952000084</v>
      </c>
      <c r="N2865" s="114" t="s">
        <v>8011</v>
      </c>
    </row>
    <row r="2866" spans="1:14">
      <c r="A2866" t="s">
        <v>3658</v>
      </c>
      <c r="B2866" s="1" t="s">
        <v>4309</v>
      </c>
      <c r="I2866" s="109"/>
      <c r="J2866" s="109"/>
      <c r="K2866" s="109"/>
      <c r="L2866" s="109" t="str">
        <f t="shared" si="44"/>
        <v>96-966200038</v>
      </c>
      <c r="M2866" s="114">
        <v>966200038</v>
      </c>
      <c r="N2866" s="114" t="s">
        <v>7288</v>
      </c>
    </row>
    <row r="2867" spans="1:14">
      <c r="A2867" t="s">
        <v>3660</v>
      </c>
      <c r="B2867" s="1" t="s">
        <v>4309</v>
      </c>
      <c r="I2867" s="109"/>
      <c r="J2867" s="109"/>
      <c r="K2867" s="109"/>
      <c r="L2867" s="109" t="str">
        <f t="shared" si="44"/>
        <v>96-962000063</v>
      </c>
      <c r="M2867" s="114">
        <v>962000063</v>
      </c>
      <c r="N2867" s="114" t="s">
        <v>7112</v>
      </c>
    </row>
    <row r="2868" spans="1:14">
      <c r="A2868" t="s">
        <v>3878</v>
      </c>
      <c r="B2868" s="1" t="s">
        <v>4309</v>
      </c>
      <c r="I2868" s="109"/>
      <c r="J2868" s="109"/>
      <c r="K2868" s="109"/>
      <c r="L2868" s="109" t="str">
        <f t="shared" si="44"/>
        <v>95-952000262</v>
      </c>
      <c r="M2868" s="114">
        <v>952000262</v>
      </c>
      <c r="N2868" s="114" t="s">
        <v>7280</v>
      </c>
    </row>
    <row r="2869" spans="1:14">
      <c r="A2869" t="s">
        <v>3884</v>
      </c>
      <c r="B2869" s="1" t="s">
        <v>4309</v>
      </c>
      <c r="I2869" s="109"/>
      <c r="J2869" s="109"/>
      <c r="K2869" s="109"/>
      <c r="L2869" s="109" t="str">
        <f t="shared" si="44"/>
        <v>95-952000085</v>
      </c>
      <c r="M2869" s="114">
        <v>952000085</v>
      </c>
      <c r="N2869" s="114" t="s">
        <v>8011</v>
      </c>
    </row>
    <row r="2870" spans="1:14">
      <c r="A2870" t="s">
        <v>3883</v>
      </c>
      <c r="B2870" s="1" t="s">
        <v>4309</v>
      </c>
      <c r="I2870" s="109"/>
      <c r="J2870" s="109"/>
      <c r="K2870" s="109"/>
      <c r="L2870" s="109" t="str">
        <f t="shared" si="44"/>
        <v>95-952000298</v>
      </c>
      <c r="M2870" s="114">
        <v>952000298</v>
      </c>
      <c r="N2870" s="114" t="s">
        <v>7329</v>
      </c>
    </row>
    <row r="2871" spans="1:14">
      <c r="A2871" t="s">
        <v>3740</v>
      </c>
      <c r="B2871" s="1" t="s">
        <v>4309</v>
      </c>
      <c r="I2871" s="109"/>
      <c r="J2871" s="109"/>
      <c r="K2871" s="109"/>
      <c r="L2871" s="109" t="str">
        <f t="shared" si="44"/>
        <v>95-951100027</v>
      </c>
      <c r="M2871" s="114">
        <v>951100027</v>
      </c>
      <c r="N2871" s="114" t="s">
        <v>8078</v>
      </c>
    </row>
    <row r="2872" spans="1:14">
      <c r="A2872" t="s">
        <v>3647</v>
      </c>
      <c r="B2872" s="1" t="s">
        <v>4309</v>
      </c>
      <c r="I2872" s="109"/>
      <c r="J2872" s="109"/>
      <c r="K2872" s="109"/>
      <c r="L2872" s="109" t="str">
        <f t="shared" si="44"/>
        <v>96-961100003</v>
      </c>
      <c r="M2872" s="114">
        <v>961100003</v>
      </c>
      <c r="N2872" s="114" t="s">
        <v>8079</v>
      </c>
    </row>
    <row r="2873" spans="1:14">
      <c r="A2873" t="s">
        <v>3724</v>
      </c>
      <c r="B2873" s="1" t="s">
        <v>4309</v>
      </c>
      <c r="I2873" s="109"/>
      <c r="J2873" s="109"/>
      <c r="K2873" s="109"/>
      <c r="L2873" s="109" t="str">
        <f t="shared" si="44"/>
        <v>95-956200230</v>
      </c>
      <c r="M2873" s="114">
        <v>956200230</v>
      </c>
      <c r="N2873" s="114" t="s">
        <v>8032</v>
      </c>
    </row>
    <row r="2874" spans="1:14">
      <c r="A2874" t="s">
        <v>3896</v>
      </c>
      <c r="B2874" s="1" t="s">
        <v>4309</v>
      </c>
      <c r="I2874" s="109"/>
      <c r="J2874" s="109"/>
      <c r="K2874" s="109"/>
      <c r="L2874" s="109" t="str">
        <f t="shared" si="44"/>
        <v>96-962000030</v>
      </c>
      <c r="M2874" s="114">
        <v>962000030</v>
      </c>
      <c r="N2874" s="114" t="s">
        <v>7112</v>
      </c>
    </row>
    <row r="2875" spans="1:14">
      <c r="A2875" t="s">
        <v>3652</v>
      </c>
      <c r="B2875" s="1" t="s">
        <v>4309</v>
      </c>
      <c r="I2875" s="109"/>
      <c r="J2875" s="109"/>
      <c r="K2875" s="109"/>
      <c r="L2875" s="109" t="str">
        <f t="shared" si="44"/>
        <v>95-951100149</v>
      </c>
      <c r="M2875" s="114">
        <v>951100149</v>
      </c>
      <c r="N2875" s="114" t="s">
        <v>8024</v>
      </c>
    </row>
    <row r="2876" spans="1:14">
      <c r="A2876" t="s">
        <v>3754</v>
      </c>
      <c r="B2876" s="1" t="s">
        <v>4309</v>
      </c>
      <c r="I2876" s="109"/>
      <c r="J2876" s="109"/>
      <c r="K2876" s="109"/>
      <c r="L2876" s="109" t="str">
        <f t="shared" si="44"/>
        <v>95-956300001</v>
      </c>
      <c r="M2876" s="114">
        <v>956300001</v>
      </c>
      <c r="N2876" s="114" t="s">
        <v>8025</v>
      </c>
    </row>
    <row r="2877" spans="1:14">
      <c r="A2877" t="s">
        <v>3651</v>
      </c>
      <c r="B2877" s="1" t="s">
        <v>4309</v>
      </c>
      <c r="I2877" s="109"/>
      <c r="J2877" s="109"/>
      <c r="K2877" s="109"/>
      <c r="L2877" s="109" t="str">
        <f t="shared" si="44"/>
        <v>95-952000129</v>
      </c>
      <c r="M2877" s="114">
        <v>952000129</v>
      </c>
      <c r="N2877" s="114" t="s">
        <v>7405</v>
      </c>
    </row>
    <row r="2878" spans="1:14">
      <c r="A2878" t="s">
        <v>3882</v>
      </c>
      <c r="B2878" s="1" t="s">
        <v>4309</v>
      </c>
      <c r="I2878" s="109"/>
      <c r="J2878" s="109"/>
      <c r="K2878" s="109"/>
      <c r="L2878" s="109" t="str">
        <f t="shared" si="44"/>
        <v>95-952000115</v>
      </c>
      <c r="M2878" s="114">
        <v>952000115</v>
      </c>
      <c r="N2878" s="114" t="s">
        <v>7411</v>
      </c>
    </row>
    <row r="2879" spans="1:14">
      <c r="A2879" t="s">
        <v>3881</v>
      </c>
      <c r="B2879" s="1" t="s">
        <v>4309</v>
      </c>
      <c r="I2879" s="109"/>
      <c r="J2879" s="109"/>
      <c r="K2879" s="109"/>
      <c r="L2879" s="109" t="str">
        <f t="shared" si="44"/>
        <v>95-952000307</v>
      </c>
      <c r="M2879" s="114">
        <v>952000307</v>
      </c>
      <c r="N2879" s="114" t="s">
        <v>7329</v>
      </c>
    </row>
    <row r="2880" spans="1:14">
      <c r="A2880" t="s">
        <v>3659</v>
      </c>
      <c r="B2880" s="1" t="s">
        <v>4309</v>
      </c>
      <c r="I2880" s="109"/>
      <c r="J2880" s="109"/>
      <c r="K2880" s="109"/>
      <c r="L2880" s="109" t="str">
        <f t="shared" si="44"/>
        <v>95-956200228</v>
      </c>
      <c r="M2880" s="114">
        <v>956200228</v>
      </c>
      <c r="N2880" s="114" t="s">
        <v>8032</v>
      </c>
    </row>
    <row r="2881" spans="1:14">
      <c r="A2881" t="s">
        <v>3727</v>
      </c>
      <c r="B2881" s="1" t="s">
        <v>4309</v>
      </c>
      <c r="I2881" s="109"/>
      <c r="J2881" s="109"/>
      <c r="K2881" s="109"/>
      <c r="L2881" s="109" t="str">
        <f t="shared" si="44"/>
        <v>96-962000224</v>
      </c>
      <c r="M2881" s="114">
        <v>962000224</v>
      </c>
      <c r="N2881" s="114" t="s">
        <v>7112</v>
      </c>
    </row>
    <row r="2882" spans="1:14">
      <c r="A2882" t="s">
        <v>3731</v>
      </c>
      <c r="B2882" s="1" t="s">
        <v>4309</v>
      </c>
      <c r="I2882" s="109"/>
      <c r="J2882" s="109"/>
      <c r="K2882" s="109"/>
      <c r="L2882" s="109" t="str">
        <f t="shared" si="44"/>
        <v>95-951400005</v>
      </c>
      <c r="M2882" s="114">
        <v>951400005</v>
      </c>
      <c r="N2882" s="114" t="s">
        <v>7929</v>
      </c>
    </row>
    <row r="2883" spans="1:14">
      <c r="A2883" t="s">
        <v>3903</v>
      </c>
      <c r="B2883" s="1" t="s">
        <v>4309</v>
      </c>
      <c r="I2883" s="109"/>
      <c r="J2883" s="109"/>
      <c r="K2883" s="109"/>
      <c r="L2883" s="109" t="str">
        <f t="shared" ref="L2883:L2946" si="45">MID(M2883,1,2)&amp;"-"&amp;M2883</f>
        <v>95-951100042</v>
      </c>
      <c r="M2883" s="114">
        <v>951100042</v>
      </c>
      <c r="N2883" s="114" t="s">
        <v>7412</v>
      </c>
    </row>
    <row r="2884" spans="1:14">
      <c r="A2884" t="s">
        <v>3844</v>
      </c>
      <c r="B2884" s="1" t="s">
        <v>4309</v>
      </c>
      <c r="I2884" s="109"/>
      <c r="J2884" s="109"/>
      <c r="K2884" s="109"/>
      <c r="L2884" s="109" t="str">
        <f t="shared" si="45"/>
        <v>95-951100101</v>
      </c>
      <c r="M2884" s="114">
        <v>951100101</v>
      </c>
      <c r="N2884" s="114" t="s">
        <v>7416</v>
      </c>
    </row>
    <row r="2885" spans="1:14">
      <c r="A2885" t="s">
        <v>3745</v>
      </c>
      <c r="B2885" s="1" t="s">
        <v>4309</v>
      </c>
      <c r="I2885" s="109"/>
      <c r="J2885" s="109"/>
      <c r="K2885" s="109"/>
      <c r="L2885" s="109" t="str">
        <f t="shared" si="45"/>
        <v>96-966300001</v>
      </c>
      <c r="M2885" s="114">
        <v>966300001</v>
      </c>
      <c r="N2885" s="114" t="s">
        <v>7417</v>
      </c>
    </row>
    <row r="2886" spans="1:14">
      <c r="A2886" t="s">
        <v>3888</v>
      </c>
      <c r="B2886" s="1" t="s">
        <v>4309</v>
      </c>
      <c r="I2886" s="109"/>
      <c r="J2886" s="109"/>
      <c r="K2886" s="109"/>
      <c r="L2886" s="109" t="str">
        <f t="shared" si="45"/>
        <v>95-951400006</v>
      </c>
      <c r="M2886" s="114">
        <v>951400006</v>
      </c>
      <c r="N2886" s="114" t="s">
        <v>7929</v>
      </c>
    </row>
    <row r="2887" spans="1:14">
      <c r="A2887" t="s">
        <v>3841</v>
      </c>
      <c r="B2887" s="1" t="s">
        <v>4309</v>
      </c>
      <c r="I2887" s="109"/>
      <c r="J2887" s="109"/>
      <c r="K2887" s="109"/>
      <c r="L2887" s="109" t="str">
        <f t="shared" si="45"/>
        <v>95-952000300</v>
      </c>
      <c r="M2887" s="114">
        <v>952000300</v>
      </c>
      <c r="N2887" s="114" t="s">
        <v>7329</v>
      </c>
    </row>
    <row r="2888" spans="1:14">
      <c r="A2888" t="s">
        <v>3849</v>
      </c>
      <c r="B2888" s="1" t="s">
        <v>4309</v>
      </c>
      <c r="I2888" s="109"/>
      <c r="J2888" s="109"/>
      <c r="K2888" s="109"/>
      <c r="L2888" s="109" t="str">
        <f t="shared" si="45"/>
        <v>96-962000203</v>
      </c>
      <c r="M2888" s="114">
        <v>962000203</v>
      </c>
      <c r="N2888" s="114" t="s">
        <v>7112</v>
      </c>
    </row>
    <row r="2889" spans="1:14">
      <c r="A2889" t="s">
        <v>3885</v>
      </c>
      <c r="B2889" s="1" t="s">
        <v>4361</v>
      </c>
      <c r="I2889" s="109"/>
      <c r="J2889" s="109"/>
      <c r="K2889" s="109"/>
      <c r="L2889" s="109" t="str">
        <f t="shared" si="45"/>
        <v>95-956200046</v>
      </c>
      <c r="M2889" s="114">
        <v>956200046</v>
      </c>
      <c r="N2889" s="114" t="s">
        <v>7418</v>
      </c>
    </row>
    <row r="2890" spans="1:14">
      <c r="A2890" t="s">
        <v>3846</v>
      </c>
      <c r="B2890" s="1" t="s">
        <v>4361</v>
      </c>
      <c r="I2890" s="109"/>
      <c r="J2890" s="109"/>
      <c r="K2890" s="109"/>
      <c r="L2890" s="109" t="str">
        <f t="shared" si="45"/>
        <v>96-962000142</v>
      </c>
      <c r="M2890" s="114">
        <v>962000142</v>
      </c>
      <c r="N2890" s="114" t="s">
        <v>7112</v>
      </c>
    </row>
    <row r="2891" spans="1:14">
      <c r="A2891" t="s">
        <v>3837</v>
      </c>
      <c r="B2891" s="1" t="s">
        <v>4361</v>
      </c>
      <c r="I2891" s="109"/>
      <c r="J2891" s="109"/>
      <c r="K2891" s="109"/>
      <c r="L2891" s="109" t="str">
        <f t="shared" si="45"/>
        <v>95-951100144</v>
      </c>
      <c r="M2891" s="114">
        <v>951100144</v>
      </c>
      <c r="N2891" s="114" t="s">
        <v>7932</v>
      </c>
    </row>
    <row r="2892" spans="1:14">
      <c r="A2892" t="s">
        <v>3958</v>
      </c>
      <c r="B2892" s="1" t="s">
        <v>4361</v>
      </c>
      <c r="I2892" s="109"/>
      <c r="J2892" s="109"/>
      <c r="K2892" s="109"/>
      <c r="L2892" s="109" t="str">
        <f t="shared" si="45"/>
        <v>95-952000143</v>
      </c>
      <c r="M2892" s="114">
        <v>952000143</v>
      </c>
      <c r="N2892" s="114" t="s">
        <v>7332</v>
      </c>
    </row>
    <row r="2893" spans="1:14">
      <c r="A2893" t="s">
        <v>4267</v>
      </c>
      <c r="B2893" s="1" t="s">
        <v>4361</v>
      </c>
      <c r="I2893" s="109"/>
      <c r="J2893" s="109"/>
      <c r="K2893" s="109"/>
      <c r="L2893" s="109" t="str">
        <f t="shared" si="45"/>
        <v>95-956200244</v>
      </c>
      <c r="M2893" s="114">
        <v>956200244</v>
      </c>
      <c r="N2893" s="114" t="s">
        <v>7428</v>
      </c>
    </row>
    <row r="2894" spans="1:14">
      <c r="A2894" t="s">
        <v>4273</v>
      </c>
      <c r="B2894" s="1" t="s">
        <v>4361</v>
      </c>
      <c r="I2894" s="109"/>
      <c r="J2894" s="109"/>
      <c r="K2894" s="109"/>
      <c r="L2894" s="109" t="str">
        <f t="shared" si="45"/>
        <v>96-961200047</v>
      </c>
      <c r="M2894" s="114">
        <v>961200047</v>
      </c>
      <c r="N2894" s="114" t="s">
        <v>7404</v>
      </c>
    </row>
    <row r="2895" spans="1:14">
      <c r="A2895" t="s">
        <v>3959</v>
      </c>
      <c r="B2895" s="1" t="s">
        <v>4361</v>
      </c>
      <c r="I2895" s="109"/>
      <c r="J2895" s="109"/>
      <c r="K2895" s="109"/>
      <c r="L2895" s="109" t="str">
        <f t="shared" si="45"/>
        <v>96-961200062</v>
      </c>
      <c r="M2895" s="114">
        <v>961200062</v>
      </c>
      <c r="N2895" s="114" t="s">
        <v>7404</v>
      </c>
    </row>
    <row r="2896" spans="1:14">
      <c r="A2896" t="s">
        <v>4246</v>
      </c>
      <c r="B2896" s="1" t="s">
        <v>4361</v>
      </c>
      <c r="I2896" s="109"/>
      <c r="J2896" s="109"/>
      <c r="K2896" s="109"/>
      <c r="L2896" s="109" t="str">
        <f t="shared" si="45"/>
        <v>95-951100081</v>
      </c>
      <c r="M2896" s="114">
        <v>951100081</v>
      </c>
      <c r="N2896" s="114" t="s">
        <v>7982</v>
      </c>
    </row>
    <row r="2897" spans="1:14">
      <c r="A2897" t="s">
        <v>4358</v>
      </c>
      <c r="B2897" s="1" t="s">
        <v>4361</v>
      </c>
      <c r="I2897" s="109"/>
      <c r="J2897" s="109"/>
      <c r="K2897" s="109"/>
      <c r="L2897" s="109" t="str">
        <f t="shared" si="45"/>
        <v>95-951100100</v>
      </c>
      <c r="M2897" s="114">
        <v>951100100</v>
      </c>
      <c r="N2897" s="114" t="s">
        <v>7933</v>
      </c>
    </row>
    <row r="2898" spans="1:14">
      <c r="A2898" t="s">
        <v>4305</v>
      </c>
      <c r="B2898" s="1" t="s">
        <v>4361</v>
      </c>
      <c r="I2898" s="109"/>
      <c r="J2898" s="109"/>
      <c r="K2898" s="109"/>
      <c r="L2898" s="109" t="str">
        <f t="shared" si="45"/>
        <v>95-951100129</v>
      </c>
      <c r="M2898" s="114">
        <v>951100129</v>
      </c>
      <c r="N2898" s="114" t="s">
        <v>8030</v>
      </c>
    </row>
    <row r="2899" spans="1:14">
      <c r="A2899" t="s">
        <v>4195</v>
      </c>
      <c r="B2899" s="1" t="s">
        <v>4361</v>
      </c>
      <c r="I2899" s="109"/>
      <c r="J2899" s="109"/>
      <c r="K2899" s="109"/>
      <c r="L2899" s="109" t="str">
        <f t="shared" si="45"/>
        <v>95-956200142</v>
      </c>
      <c r="M2899" s="114">
        <v>956200142</v>
      </c>
      <c r="N2899" s="114" t="s">
        <v>7978</v>
      </c>
    </row>
    <row r="2900" spans="1:14">
      <c r="A2900" t="s">
        <v>4218</v>
      </c>
      <c r="B2900" s="1" t="s">
        <v>4501</v>
      </c>
      <c r="I2900" s="109"/>
      <c r="J2900" s="109"/>
      <c r="K2900" s="109"/>
      <c r="L2900" s="109" t="str">
        <f t="shared" si="45"/>
        <v>95-956200169</v>
      </c>
      <c r="M2900" s="114">
        <v>956200169</v>
      </c>
      <c r="N2900" s="114" t="s">
        <v>7369</v>
      </c>
    </row>
    <row r="2901" spans="1:14">
      <c r="A2901" t="s">
        <v>4220</v>
      </c>
      <c r="B2901" s="1" t="s">
        <v>4501</v>
      </c>
      <c r="I2901" s="109"/>
      <c r="J2901" s="109"/>
      <c r="K2901" s="109"/>
      <c r="L2901" s="109" t="str">
        <f t="shared" si="45"/>
        <v>96-962000093</v>
      </c>
      <c r="M2901" s="114">
        <v>962000093</v>
      </c>
      <c r="N2901" s="114" t="s">
        <v>7112</v>
      </c>
    </row>
    <row r="2902" spans="1:14">
      <c r="A2902" t="s">
        <v>4221</v>
      </c>
      <c r="B2902" s="1" t="s">
        <v>4510</v>
      </c>
      <c r="I2902" s="109"/>
      <c r="J2902" s="109"/>
      <c r="K2902" s="109"/>
      <c r="L2902" s="109" t="str">
        <f t="shared" si="45"/>
        <v>95-952000127</v>
      </c>
      <c r="M2902" s="114">
        <v>952000127</v>
      </c>
      <c r="N2902" s="114" t="s">
        <v>7405</v>
      </c>
    </row>
    <row r="2903" spans="1:14">
      <c r="A2903" t="s">
        <v>4250</v>
      </c>
      <c r="B2903" s="1" t="s">
        <v>4510</v>
      </c>
      <c r="I2903" s="109"/>
      <c r="J2903" s="109"/>
      <c r="K2903" s="109"/>
      <c r="L2903" s="109" t="str">
        <f t="shared" si="45"/>
        <v>95-952000323</v>
      </c>
      <c r="M2903" s="114">
        <v>952000323</v>
      </c>
      <c r="N2903" s="114" t="s">
        <v>7420</v>
      </c>
    </row>
    <row r="2904" spans="1:14">
      <c r="A2904" t="s">
        <v>4206</v>
      </c>
      <c r="B2904" s="1" t="s">
        <v>4510</v>
      </c>
      <c r="I2904" s="109"/>
      <c r="J2904" s="109"/>
      <c r="K2904" s="109"/>
      <c r="L2904" s="109" t="str">
        <f t="shared" si="45"/>
        <v>96-962000065</v>
      </c>
      <c r="M2904" s="114">
        <v>962000065</v>
      </c>
      <c r="N2904" s="114" t="s">
        <v>7112</v>
      </c>
    </row>
    <row r="2905" spans="1:14">
      <c r="A2905" t="s">
        <v>4205</v>
      </c>
      <c r="B2905" s="1" t="s">
        <v>4510</v>
      </c>
      <c r="I2905" s="109"/>
      <c r="J2905" s="109"/>
      <c r="K2905" s="109"/>
      <c r="L2905" s="109" t="str">
        <f t="shared" si="45"/>
        <v>96-962000082</v>
      </c>
      <c r="M2905" s="114">
        <v>962000082</v>
      </c>
      <c r="N2905" s="114" t="s">
        <v>7112</v>
      </c>
    </row>
    <row r="2906" spans="1:14">
      <c r="A2906" t="s">
        <v>4223</v>
      </c>
      <c r="B2906" s="1" t="s">
        <v>4510</v>
      </c>
      <c r="I2906" s="109"/>
      <c r="J2906" s="109"/>
      <c r="K2906" s="109"/>
      <c r="L2906" s="109" t="str">
        <f t="shared" si="45"/>
        <v>95-956200229</v>
      </c>
      <c r="M2906" s="114">
        <v>956200229</v>
      </c>
      <c r="N2906" s="114" t="s">
        <v>8032</v>
      </c>
    </row>
    <row r="2907" spans="1:14">
      <c r="A2907" t="s">
        <v>4227</v>
      </c>
      <c r="B2907" s="1" t="s">
        <v>4510</v>
      </c>
      <c r="I2907" s="109"/>
      <c r="J2907" s="109"/>
      <c r="K2907" s="109"/>
      <c r="L2907" s="109" t="str">
        <f t="shared" si="45"/>
        <v>95-951700102</v>
      </c>
      <c r="M2907" s="114">
        <v>951700102</v>
      </c>
      <c r="N2907" s="114" t="s">
        <v>7935</v>
      </c>
    </row>
    <row r="2908" spans="1:14">
      <c r="A2908" t="s">
        <v>4502</v>
      </c>
      <c r="B2908" s="1" t="s">
        <v>4510</v>
      </c>
      <c r="I2908" s="109"/>
      <c r="J2908" s="109"/>
      <c r="K2908" s="109"/>
      <c r="L2908" s="109" t="str">
        <f t="shared" si="45"/>
        <v>95-952000086</v>
      </c>
      <c r="M2908" s="114">
        <v>952000086</v>
      </c>
      <c r="N2908" s="114" t="s">
        <v>8011</v>
      </c>
    </row>
    <row r="2909" spans="1:14">
      <c r="A2909" t="s">
        <v>4503</v>
      </c>
      <c r="B2909" s="1" t="s">
        <v>4510</v>
      </c>
      <c r="I2909" s="109"/>
      <c r="J2909" s="109"/>
      <c r="K2909" s="109"/>
      <c r="L2909" s="109" t="str">
        <f t="shared" si="45"/>
        <v>96-966200145</v>
      </c>
      <c r="M2909" s="114">
        <v>966200145</v>
      </c>
      <c r="N2909" s="114" t="s">
        <v>7343</v>
      </c>
    </row>
    <row r="2910" spans="1:14">
      <c r="A2910" t="s">
        <v>4504</v>
      </c>
      <c r="B2910" s="1" t="s">
        <v>4510</v>
      </c>
      <c r="I2910" s="109"/>
      <c r="J2910" s="109"/>
      <c r="K2910" s="109"/>
      <c r="L2910" s="109" t="str">
        <f t="shared" si="45"/>
        <v>95-951100093</v>
      </c>
      <c r="M2910" s="114">
        <v>951100093</v>
      </c>
      <c r="N2910" s="114" t="s">
        <v>7444</v>
      </c>
    </row>
    <row r="2911" spans="1:14">
      <c r="A2911" t="s">
        <v>4505</v>
      </c>
      <c r="B2911" s="1" t="s">
        <v>4510</v>
      </c>
      <c r="I2911" s="109"/>
      <c r="J2911" s="109"/>
      <c r="K2911" s="109"/>
      <c r="L2911" s="109" t="str">
        <f t="shared" si="45"/>
        <v>96-961100030</v>
      </c>
      <c r="M2911" s="114">
        <v>961100030</v>
      </c>
      <c r="N2911" s="114" t="s">
        <v>7445</v>
      </c>
    </row>
    <row r="2912" spans="1:14">
      <c r="A2912" t="s">
        <v>4506</v>
      </c>
      <c r="B2912" s="1" t="s">
        <v>4510</v>
      </c>
      <c r="I2912" s="109"/>
      <c r="J2912" s="109"/>
      <c r="K2912" s="109"/>
      <c r="L2912" s="109" t="str">
        <f t="shared" si="45"/>
        <v>96-961100048</v>
      </c>
      <c r="M2912" s="114">
        <v>961100048</v>
      </c>
      <c r="N2912" s="114" t="s">
        <v>7446</v>
      </c>
    </row>
    <row r="2913" spans="1:14">
      <c r="A2913" t="s">
        <v>4507</v>
      </c>
      <c r="B2913" s="1" t="s">
        <v>4510</v>
      </c>
      <c r="I2913" s="109"/>
      <c r="J2913" s="109"/>
      <c r="K2913" s="109"/>
      <c r="L2913" s="109" t="str">
        <f t="shared" si="45"/>
        <v>96-961100058</v>
      </c>
      <c r="M2913" s="114">
        <v>961100058</v>
      </c>
      <c r="N2913" s="114" t="s">
        <v>8012</v>
      </c>
    </row>
    <row r="2914" spans="1:14">
      <c r="A2914" t="s">
        <v>4508</v>
      </c>
      <c r="B2914" s="1" t="s">
        <v>4510</v>
      </c>
      <c r="I2914" s="109"/>
      <c r="J2914" s="109"/>
      <c r="K2914" s="109"/>
      <c r="L2914" s="109" t="str">
        <f t="shared" si="45"/>
        <v>95-951100031</v>
      </c>
      <c r="M2914" s="114">
        <v>951100031</v>
      </c>
      <c r="N2914" s="114" t="s">
        <v>8118</v>
      </c>
    </row>
    <row r="2915" spans="1:14">
      <c r="A2915" t="s">
        <v>4509</v>
      </c>
      <c r="B2915" s="1" t="s">
        <v>4510</v>
      </c>
      <c r="I2915" s="109"/>
      <c r="J2915" s="109"/>
      <c r="K2915" s="109"/>
      <c r="L2915" s="109" t="str">
        <f t="shared" si="45"/>
        <v>95-956200298</v>
      </c>
      <c r="M2915" s="114">
        <v>956200298</v>
      </c>
      <c r="N2915" s="114" t="s">
        <v>7344</v>
      </c>
    </row>
    <row r="2916" spans="1:14" ht="18">
      <c r="A2916" s="60" t="s">
        <v>3904</v>
      </c>
      <c r="B2916" s="1" t="s">
        <v>4513</v>
      </c>
      <c r="I2916" s="109"/>
      <c r="J2916" s="109"/>
      <c r="K2916" s="109"/>
      <c r="L2916" s="109" t="str">
        <f t="shared" si="45"/>
        <v>96-966200056</v>
      </c>
      <c r="M2916" s="114">
        <v>966200056</v>
      </c>
      <c r="N2916" s="114" t="s">
        <v>7345</v>
      </c>
    </row>
    <row r="2917" spans="1:14" ht="18">
      <c r="A2917" s="60" t="s">
        <v>3955</v>
      </c>
      <c r="B2917" s="1" t="s">
        <v>4513</v>
      </c>
      <c r="I2917" s="109"/>
      <c r="J2917" s="109"/>
      <c r="K2917" s="109"/>
      <c r="L2917" s="109" t="str">
        <f t="shared" si="45"/>
        <v>96-966200128</v>
      </c>
      <c r="M2917" s="114">
        <v>966200128</v>
      </c>
      <c r="N2917" s="114" t="s">
        <v>7293</v>
      </c>
    </row>
    <row r="2918" spans="1:14" ht="18">
      <c r="A2918" s="60" t="s">
        <v>3886</v>
      </c>
      <c r="B2918" s="1" t="s">
        <v>4513</v>
      </c>
      <c r="I2918" s="109"/>
      <c r="J2918" s="109"/>
      <c r="K2918" s="109"/>
      <c r="L2918" s="109" t="str">
        <f t="shared" si="45"/>
        <v>95-952000150</v>
      </c>
      <c r="M2918" s="114">
        <v>952000150</v>
      </c>
      <c r="N2918" s="114" t="s">
        <v>7332</v>
      </c>
    </row>
    <row r="2919" spans="1:14" ht="18">
      <c r="A2919" s="60" t="s">
        <v>3880</v>
      </c>
      <c r="B2919" s="1" t="s">
        <v>4513</v>
      </c>
      <c r="I2919" s="109"/>
      <c r="J2919" s="109"/>
      <c r="K2919" s="109"/>
      <c r="L2919" s="109" t="str">
        <f t="shared" si="45"/>
        <v>95-952000095</v>
      </c>
      <c r="M2919" s="114">
        <v>952000095</v>
      </c>
      <c r="N2919" s="114" t="s">
        <v>7321</v>
      </c>
    </row>
    <row r="2920" spans="1:14" ht="18">
      <c r="A2920" s="60" t="s">
        <v>4295</v>
      </c>
      <c r="B2920" s="1" t="s">
        <v>4513</v>
      </c>
      <c r="I2920" s="109"/>
      <c r="J2920" s="109"/>
      <c r="K2920" s="109"/>
      <c r="L2920" s="109" t="str">
        <f t="shared" si="45"/>
        <v>95-956200025</v>
      </c>
      <c r="M2920" s="114">
        <v>956200025</v>
      </c>
      <c r="N2920" s="114" t="s">
        <v>7399</v>
      </c>
    </row>
    <row r="2921" spans="1:14" ht="18">
      <c r="A2921" s="60" t="s">
        <v>3950</v>
      </c>
      <c r="B2921" s="1" t="s">
        <v>4513</v>
      </c>
      <c r="I2921" s="109"/>
      <c r="J2921" s="109"/>
      <c r="K2921" s="109"/>
      <c r="L2921" s="109" t="str">
        <f t="shared" si="45"/>
        <v>95-951100066</v>
      </c>
      <c r="M2921" s="114">
        <v>951100066</v>
      </c>
      <c r="N2921" s="114" t="s">
        <v>8477</v>
      </c>
    </row>
    <row r="2922" spans="1:14" ht="18">
      <c r="A2922" s="60" t="s">
        <v>3847</v>
      </c>
      <c r="B2922" s="1" t="s">
        <v>4513</v>
      </c>
      <c r="I2922" s="109"/>
      <c r="J2922" s="109"/>
      <c r="K2922" s="109"/>
      <c r="L2922" s="109" t="str">
        <f t="shared" si="45"/>
        <v>96-966200080</v>
      </c>
      <c r="M2922" s="114">
        <v>966200080</v>
      </c>
      <c r="N2922" s="114" t="s">
        <v>7448</v>
      </c>
    </row>
    <row r="2923" spans="1:14" ht="18">
      <c r="A2923" s="60" t="s">
        <v>4292</v>
      </c>
      <c r="B2923" s="1" t="s">
        <v>4513</v>
      </c>
      <c r="I2923" s="109"/>
      <c r="J2923" s="109"/>
      <c r="K2923" s="109"/>
      <c r="L2923" s="109" t="str">
        <f t="shared" si="45"/>
        <v>95-951100146</v>
      </c>
      <c r="M2923" s="114">
        <v>951100146</v>
      </c>
      <c r="N2923" s="114" t="s">
        <v>7449</v>
      </c>
    </row>
    <row r="2924" spans="1:14" ht="18">
      <c r="A2924" s="60" t="s">
        <v>4275</v>
      </c>
      <c r="B2924" s="1" t="s">
        <v>4513</v>
      </c>
      <c r="I2924" s="109"/>
      <c r="J2924" s="109"/>
      <c r="K2924" s="109"/>
      <c r="L2924" s="109" t="str">
        <f t="shared" si="45"/>
        <v>96-962000021</v>
      </c>
      <c r="M2924" s="114">
        <v>962000021</v>
      </c>
      <c r="N2924" s="114" t="s">
        <v>7112</v>
      </c>
    </row>
    <row r="2925" spans="1:14" ht="18">
      <c r="A2925" s="60" t="s">
        <v>4449</v>
      </c>
      <c r="B2925" s="1" t="s">
        <v>4513</v>
      </c>
      <c r="I2925" s="109"/>
      <c r="J2925" s="109"/>
      <c r="K2925" s="109"/>
      <c r="L2925" s="109" t="str">
        <f t="shared" si="45"/>
        <v>95-952000276</v>
      </c>
      <c r="M2925" s="114">
        <v>952000276</v>
      </c>
      <c r="N2925" s="114" t="s">
        <v>7280</v>
      </c>
    </row>
    <row r="2926" spans="1:14" ht="18">
      <c r="A2926" s="60" t="s">
        <v>4303</v>
      </c>
      <c r="B2926" s="1" t="s">
        <v>4513</v>
      </c>
      <c r="I2926" s="109"/>
      <c r="J2926" s="109"/>
      <c r="K2926" s="109"/>
      <c r="L2926" s="109" t="str">
        <f t="shared" si="45"/>
        <v>96-966200075</v>
      </c>
      <c r="M2926" s="114">
        <v>966200075</v>
      </c>
      <c r="N2926" s="114" t="s">
        <v>7448</v>
      </c>
    </row>
    <row r="2927" spans="1:14" ht="18">
      <c r="A2927" s="60" t="s">
        <v>4357</v>
      </c>
      <c r="B2927" s="1" t="s">
        <v>4513</v>
      </c>
      <c r="I2927" s="109"/>
      <c r="J2927" s="109"/>
      <c r="K2927" s="109"/>
      <c r="L2927" s="109" t="str">
        <f t="shared" si="45"/>
        <v>95-956200227</v>
      </c>
      <c r="M2927" s="114">
        <v>956200227</v>
      </c>
      <c r="N2927" s="114" t="s">
        <v>7357</v>
      </c>
    </row>
    <row r="2928" spans="1:14" ht="18">
      <c r="A2928" s="60" t="s">
        <v>4359</v>
      </c>
      <c r="B2928" s="1" t="s">
        <v>4513</v>
      </c>
      <c r="I2928" s="109"/>
      <c r="J2928" s="109"/>
      <c r="K2928" s="109"/>
      <c r="L2928" s="109" t="str">
        <f t="shared" si="45"/>
        <v>95-956200288</v>
      </c>
      <c r="M2928" s="114">
        <v>956200288</v>
      </c>
      <c r="N2928" s="114" t="s">
        <v>7284</v>
      </c>
    </row>
    <row r="2929" spans="1:14" ht="18">
      <c r="A2929" s="60" t="s">
        <v>4356</v>
      </c>
      <c r="B2929" s="1" t="s">
        <v>4513</v>
      </c>
      <c r="I2929" s="109"/>
      <c r="J2929" s="109"/>
      <c r="K2929" s="109"/>
      <c r="L2929" s="109" t="str">
        <f t="shared" si="45"/>
        <v>95-951100003</v>
      </c>
      <c r="M2929" s="114">
        <v>951100003</v>
      </c>
      <c r="N2929" s="114" t="s">
        <v>8034</v>
      </c>
    </row>
    <row r="2930" spans="1:14" ht="18">
      <c r="A2930" s="60" t="s">
        <v>4188</v>
      </c>
      <c r="B2930" s="1" t="s">
        <v>4513</v>
      </c>
      <c r="I2930" s="109"/>
      <c r="J2930" s="109"/>
      <c r="K2930" s="109"/>
      <c r="L2930" s="109" t="str">
        <f t="shared" si="45"/>
        <v>95-951100050</v>
      </c>
      <c r="M2930" s="114">
        <v>951100050</v>
      </c>
      <c r="N2930" s="114" t="s">
        <v>8035</v>
      </c>
    </row>
    <row r="2931" spans="1:14" ht="18">
      <c r="A2931" s="60" t="s">
        <v>4483</v>
      </c>
      <c r="B2931" s="1" t="s">
        <v>4513</v>
      </c>
      <c r="I2931" s="109"/>
      <c r="J2931" s="109"/>
      <c r="K2931" s="109"/>
      <c r="L2931" s="109" t="str">
        <f t="shared" si="45"/>
        <v>95-952000088</v>
      </c>
      <c r="M2931" s="114">
        <v>952000088</v>
      </c>
      <c r="N2931" s="114" t="s">
        <v>8011</v>
      </c>
    </row>
    <row r="2932" spans="1:14" ht="18">
      <c r="A2932" s="60" t="s">
        <v>4511</v>
      </c>
      <c r="B2932" s="1" t="s">
        <v>4513</v>
      </c>
      <c r="I2932" s="109"/>
      <c r="J2932" s="109"/>
      <c r="K2932" s="109"/>
      <c r="L2932" s="109" t="str">
        <f t="shared" si="45"/>
        <v>95-952000126</v>
      </c>
      <c r="M2932" s="114">
        <v>952000126</v>
      </c>
      <c r="N2932" s="114" t="s">
        <v>7405</v>
      </c>
    </row>
    <row r="2933" spans="1:14" ht="18">
      <c r="A2933" s="60" t="s">
        <v>4512</v>
      </c>
      <c r="B2933" s="1" t="s">
        <v>4513</v>
      </c>
      <c r="I2933" s="109"/>
      <c r="J2933" s="109"/>
      <c r="K2933" s="109"/>
      <c r="L2933" s="109" t="str">
        <f t="shared" si="45"/>
        <v>96-962000096</v>
      </c>
      <c r="M2933" s="114">
        <v>962000096</v>
      </c>
      <c r="N2933" s="114" t="s">
        <v>7112</v>
      </c>
    </row>
    <row r="2934" spans="1:14" ht="18">
      <c r="A2934" s="60" t="s">
        <v>4496</v>
      </c>
      <c r="B2934" s="1" t="s">
        <v>4513</v>
      </c>
      <c r="I2934" s="109"/>
      <c r="J2934" s="109"/>
      <c r="K2934" s="109"/>
      <c r="L2934" s="109" t="str">
        <f t="shared" si="45"/>
        <v>95-952000281</v>
      </c>
      <c r="M2934" s="114">
        <v>952000281</v>
      </c>
      <c r="N2934" s="114" t="s">
        <v>7280</v>
      </c>
    </row>
    <row r="2935" spans="1:14" ht="18">
      <c r="A2935" s="61" t="s">
        <v>4492</v>
      </c>
      <c r="B2935" s="1" t="s">
        <v>4614</v>
      </c>
      <c r="I2935" s="109"/>
      <c r="J2935" s="109"/>
      <c r="K2935" s="109"/>
      <c r="L2935" s="109" t="str">
        <f t="shared" si="45"/>
        <v>95-952000082</v>
      </c>
      <c r="M2935" s="114">
        <v>952000082</v>
      </c>
      <c r="N2935" s="114" t="s">
        <v>8011</v>
      </c>
    </row>
    <row r="2936" spans="1:14" ht="18">
      <c r="A2936" s="61" t="s">
        <v>4606</v>
      </c>
      <c r="B2936" s="1" t="s">
        <v>4614</v>
      </c>
      <c r="I2936" s="109"/>
      <c r="J2936" s="109"/>
      <c r="K2936" s="109"/>
      <c r="L2936" s="109" t="str">
        <f t="shared" si="45"/>
        <v>95-952000328</v>
      </c>
      <c r="M2936" s="114">
        <v>952000328</v>
      </c>
      <c r="N2936" s="114" t="s">
        <v>7420</v>
      </c>
    </row>
    <row r="2937" spans="1:14" ht="18">
      <c r="A2937" s="61" t="s">
        <v>3752</v>
      </c>
      <c r="B2937" s="1" t="s">
        <v>4615</v>
      </c>
      <c r="I2937" s="109"/>
      <c r="J2937" s="109"/>
      <c r="K2937" s="109"/>
      <c r="L2937" s="109" t="str">
        <f t="shared" si="45"/>
        <v>95-952000240</v>
      </c>
      <c r="M2937" s="114">
        <v>952000240</v>
      </c>
      <c r="N2937" s="114" t="s">
        <v>7327</v>
      </c>
    </row>
    <row r="2938" spans="1:14">
      <c r="A2938" t="s">
        <v>4670</v>
      </c>
      <c r="B2938" s="1" t="s">
        <v>4729</v>
      </c>
      <c r="I2938" s="109"/>
      <c r="J2938" s="109"/>
      <c r="K2938" s="109"/>
      <c r="L2938" s="109" t="str">
        <f t="shared" si="45"/>
        <v>96-962000007</v>
      </c>
      <c r="M2938" s="114">
        <v>962000007</v>
      </c>
      <c r="N2938" s="114" t="s">
        <v>7112</v>
      </c>
    </row>
    <row r="2939" spans="1:14">
      <c r="A2939" t="s">
        <v>4669</v>
      </c>
      <c r="B2939" s="1" t="s">
        <v>4729</v>
      </c>
      <c r="I2939" s="109"/>
      <c r="J2939" s="109"/>
      <c r="K2939" s="109"/>
      <c r="L2939" s="109" t="str">
        <f t="shared" si="45"/>
        <v>95-952000304</v>
      </c>
      <c r="M2939" s="114">
        <v>952000304</v>
      </c>
      <c r="N2939" s="114" t="s">
        <v>7329</v>
      </c>
    </row>
    <row r="2940" spans="1:14">
      <c r="A2940" t="s">
        <v>4668</v>
      </c>
      <c r="B2940" s="1" t="s">
        <v>4729</v>
      </c>
      <c r="I2940" s="109"/>
      <c r="J2940" s="109"/>
      <c r="K2940" s="109"/>
      <c r="L2940" s="109" t="str">
        <f t="shared" si="45"/>
        <v>96-962000059</v>
      </c>
      <c r="M2940" s="114">
        <v>962000059</v>
      </c>
      <c r="N2940" s="114" t="s">
        <v>7112</v>
      </c>
    </row>
    <row r="2941" spans="1:14">
      <c r="A2941" t="s">
        <v>4667</v>
      </c>
      <c r="B2941" s="1" t="s">
        <v>4729</v>
      </c>
      <c r="I2941" s="109"/>
      <c r="J2941" s="109"/>
      <c r="K2941" s="109"/>
      <c r="L2941" s="109" t="str">
        <f t="shared" si="45"/>
        <v>95-952000180</v>
      </c>
      <c r="M2941" s="114">
        <v>952000180</v>
      </c>
      <c r="N2941" s="114" t="s">
        <v>7392</v>
      </c>
    </row>
    <row r="2942" spans="1:14" ht="18">
      <c r="A2942" s="31" t="s">
        <v>4272</v>
      </c>
      <c r="B2942" s="5" t="s">
        <v>4732</v>
      </c>
      <c r="I2942" s="109"/>
      <c r="J2942" s="109"/>
      <c r="K2942" s="109"/>
      <c r="L2942" s="109" t="str">
        <f t="shared" si="45"/>
        <v>95-952000314</v>
      </c>
      <c r="M2942" s="114">
        <v>952000314</v>
      </c>
      <c r="N2942" s="114" t="s">
        <v>7420</v>
      </c>
    </row>
    <row r="2943" spans="1:14" ht="18">
      <c r="A2943" s="31" t="s">
        <v>4274</v>
      </c>
      <c r="B2943" s="5" t="s">
        <v>4732</v>
      </c>
      <c r="I2943" s="109"/>
      <c r="J2943" s="109"/>
      <c r="K2943" s="109"/>
      <c r="L2943" s="109" t="str">
        <f t="shared" si="45"/>
        <v>95-951100017</v>
      </c>
      <c r="M2943" s="114">
        <v>951100017</v>
      </c>
      <c r="N2943" s="114" t="s">
        <v>8016</v>
      </c>
    </row>
    <row r="2944" spans="1:14" ht="18">
      <c r="A2944" s="31" t="s">
        <v>4233</v>
      </c>
      <c r="B2944" s="5" t="s">
        <v>4732</v>
      </c>
      <c r="I2944" s="109"/>
      <c r="J2944" s="109"/>
      <c r="K2944" s="109"/>
      <c r="L2944" s="109" t="str">
        <f t="shared" si="45"/>
        <v>95-956200063</v>
      </c>
      <c r="M2944" s="114">
        <v>956200063</v>
      </c>
      <c r="N2944" s="114" t="s">
        <v>8017</v>
      </c>
    </row>
    <row r="2945" spans="1:14" ht="18">
      <c r="A2945" s="62" t="s">
        <v>4684</v>
      </c>
      <c r="B2945" s="5" t="s">
        <v>4733</v>
      </c>
      <c r="I2945" s="109"/>
      <c r="J2945" s="109"/>
      <c r="K2945" s="109"/>
      <c r="L2945" s="109" t="str">
        <f t="shared" si="45"/>
        <v>95-952000295</v>
      </c>
      <c r="M2945" s="114">
        <v>952000295</v>
      </c>
      <c r="N2945" s="114" t="s">
        <v>7329</v>
      </c>
    </row>
    <row r="2946" spans="1:14">
      <c r="A2946" t="s">
        <v>4726</v>
      </c>
      <c r="B2946" s="5" t="s">
        <v>4738</v>
      </c>
      <c r="I2946" s="109"/>
      <c r="J2946" s="109"/>
      <c r="K2946" s="109"/>
      <c r="L2946" s="109" t="str">
        <f t="shared" si="45"/>
        <v>95-951100035</v>
      </c>
      <c r="M2946" s="114">
        <v>951100035</v>
      </c>
      <c r="N2946" s="114" t="s">
        <v>8126</v>
      </c>
    </row>
    <row r="2947" spans="1:14">
      <c r="A2947" t="s">
        <v>4734</v>
      </c>
      <c r="B2947" s="5" t="s">
        <v>4738</v>
      </c>
      <c r="I2947" s="109"/>
      <c r="J2947" s="109"/>
      <c r="K2947" s="109"/>
      <c r="L2947" s="109" t="str">
        <f t="shared" ref="L2947:L3010" si="46">MID(M2947,1,2)&amp;"-"&amp;M2947</f>
        <v>96-961100004</v>
      </c>
      <c r="M2947" s="114">
        <v>961100004</v>
      </c>
      <c r="N2947" s="114" t="s">
        <v>8127</v>
      </c>
    </row>
    <row r="2948" spans="1:14">
      <c r="A2948" t="s">
        <v>4735</v>
      </c>
      <c r="B2948" s="5" t="s">
        <v>4738</v>
      </c>
      <c r="I2948" s="109"/>
      <c r="J2948" s="109"/>
      <c r="K2948" s="109"/>
      <c r="L2948" s="109" t="str">
        <f t="shared" si="46"/>
        <v>96-961100024</v>
      </c>
      <c r="M2948" s="114">
        <v>961100024</v>
      </c>
      <c r="N2948" s="114" t="s">
        <v>8131</v>
      </c>
    </row>
    <row r="2949" spans="1:14">
      <c r="A2949" t="s">
        <v>4736</v>
      </c>
      <c r="B2949" s="5" t="s">
        <v>4738</v>
      </c>
      <c r="I2949" s="109"/>
      <c r="J2949" s="109"/>
      <c r="K2949" s="109"/>
      <c r="L2949" s="109" t="str">
        <f t="shared" si="46"/>
        <v>96-961100026</v>
      </c>
      <c r="M2949" s="114">
        <v>961100026</v>
      </c>
      <c r="N2949" s="114" t="s">
        <v>8132</v>
      </c>
    </row>
    <row r="2950" spans="1:14">
      <c r="A2950" t="s">
        <v>4737</v>
      </c>
      <c r="B2950" s="5" t="s">
        <v>4738</v>
      </c>
      <c r="I2950" s="109"/>
      <c r="J2950" s="109"/>
      <c r="K2950" s="109"/>
      <c r="L2950" s="109" t="str">
        <f t="shared" si="46"/>
        <v>96-961100055</v>
      </c>
      <c r="M2950" s="114">
        <v>961100055</v>
      </c>
      <c r="N2950" s="114" t="s">
        <v>8133</v>
      </c>
    </row>
    <row r="2951" spans="1:14">
      <c r="A2951" t="s">
        <v>4605</v>
      </c>
      <c r="B2951" s="5" t="s">
        <v>4740</v>
      </c>
      <c r="I2951" s="109"/>
      <c r="J2951" s="109"/>
      <c r="K2951" s="109"/>
      <c r="L2951" s="109" t="str">
        <f t="shared" si="46"/>
        <v>95-952000083</v>
      </c>
      <c r="M2951" s="114">
        <v>952000083</v>
      </c>
      <c r="N2951" s="114" t="s">
        <v>8011</v>
      </c>
    </row>
    <row r="2952" spans="1:14">
      <c r="A2952" t="s">
        <v>4693</v>
      </c>
      <c r="B2952" s="5" t="s">
        <v>4740</v>
      </c>
      <c r="I2952" s="109"/>
      <c r="J2952" s="109"/>
      <c r="K2952" s="109"/>
      <c r="L2952" s="109" t="str">
        <f t="shared" si="46"/>
        <v>95-952000090</v>
      </c>
      <c r="M2952" s="114">
        <v>952000090</v>
      </c>
      <c r="N2952" s="114" t="s">
        <v>7326</v>
      </c>
    </row>
    <row r="2953" spans="1:14">
      <c r="A2953" t="s">
        <v>4692</v>
      </c>
      <c r="B2953" s="5" t="s">
        <v>4740</v>
      </c>
      <c r="I2953" s="109"/>
      <c r="J2953" s="109"/>
      <c r="K2953" s="109"/>
      <c r="L2953" s="109" t="str">
        <f t="shared" si="46"/>
        <v>95-952000330</v>
      </c>
      <c r="M2953" s="114">
        <v>952000330</v>
      </c>
      <c r="N2953" s="114" t="s">
        <v>7420</v>
      </c>
    </row>
    <row r="2954" spans="1:14">
      <c r="A2954" t="s">
        <v>4739</v>
      </c>
      <c r="B2954" s="5" t="s">
        <v>4740</v>
      </c>
      <c r="I2954" s="109"/>
      <c r="J2954" s="109"/>
      <c r="K2954" s="109"/>
      <c r="L2954" s="109" t="str">
        <f t="shared" si="46"/>
        <v>95-952000261</v>
      </c>
      <c r="M2954" s="114">
        <v>952000261</v>
      </c>
      <c r="N2954" s="114" t="s">
        <v>7280</v>
      </c>
    </row>
    <row r="2955" spans="1:14">
      <c r="A2955" t="s">
        <v>4674</v>
      </c>
      <c r="B2955" s="5" t="s">
        <v>4973</v>
      </c>
      <c r="I2955" s="109"/>
      <c r="J2955" s="109"/>
      <c r="K2955" s="109"/>
      <c r="L2955" s="109" t="str">
        <f t="shared" si="46"/>
        <v>96-966200150</v>
      </c>
      <c r="M2955" s="114">
        <v>966200150</v>
      </c>
      <c r="N2955" s="114" t="s">
        <v>7394</v>
      </c>
    </row>
    <row r="2956" spans="1:14">
      <c r="A2956" t="s">
        <v>4675</v>
      </c>
      <c r="B2956" s="5" t="s">
        <v>4973</v>
      </c>
      <c r="I2956" s="109"/>
      <c r="J2956" s="109"/>
      <c r="K2956" s="109"/>
      <c r="L2956" s="109" t="str">
        <f t="shared" si="46"/>
        <v>95-952000105</v>
      </c>
      <c r="M2956" s="114">
        <v>952000105</v>
      </c>
      <c r="N2956" s="114" t="s">
        <v>7321</v>
      </c>
    </row>
    <row r="2957" spans="1:14">
      <c r="A2957" t="s">
        <v>4681</v>
      </c>
      <c r="B2957" s="5" t="s">
        <v>4973</v>
      </c>
      <c r="I2957" s="109"/>
      <c r="J2957" s="109"/>
      <c r="K2957" s="109"/>
      <c r="L2957" s="109" t="str">
        <f t="shared" si="46"/>
        <v>95-956200341</v>
      </c>
      <c r="M2957" s="114">
        <v>956200341</v>
      </c>
      <c r="N2957" s="114" t="s">
        <v>7292</v>
      </c>
    </row>
    <row r="2958" spans="1:14" ht="18">
      <c r="A2958" s="53" t="s">
        <v>4231</v>
      </c>
      <c r="B2958" s="5" t="s">
        <v>4974</v>
      </c>
      <c r="I2958" s="109"/>
      <c r="J2958" s="109"/>
      <c r="K2958" s="109"/>
      <c r="L2958" s="109" t="str">
        <f t="shared" si="46"/>
        <v>96-966200082</v>
      </c>
      <c r="M2958" s="114">
        <v>966200082</v>
      </c>
      <c r="N2958" s="114" t="s">
        <v>7448</v>
      </c>
    </row>
    <row r="2959" spans="1:14">
      <c r="A2959" t="s">
        <v>3945</v>
      </c>
      <c r="B2959" s="5" t="s">
        <v>4975</v>
      </c>
      <c r="I2959" s="109"/>
      <c r="J2959" s="109"/>
      <c r="K2959" s="109"/>
      <c r="L2959" s="109" t="str">
        <f t="shared" si="46"/>
        <v>95-952000170</v>
      </c>
      <c r="M2959" s="114">
        <v>952000170</v>
      </c>
      <c r="N2959" s="114" t="s">
        <v>7392</v>
      </c>
    </row>
    <row r="2960" spans="1:14">
      <c r="A2960" t="s">
        <v>4479</v>
      </c>
      <c r="B2960" s="5" t="s">
        <v>4975</v>
      </c>
      <c r="I2960" s="109"/>
      <c r="J2960" s="109"/>
      <c r="K2960" s="109"/>
      <c r="L2960" s="109" t="str">
        <f t="shared" si="46"/>
        <v>96-962000117</v>
      </c>
      <c r="M2960" s="114">
        <v>962000117</v>
      </c>
      <c r="N2960" s="114" t="s">
        <v>7112</v>
      </c>
    </row>
    <row r="2961" spans="1:14">
      <c r="A2961" t="s">
        <v>4484</v>
      </c>
      <c r="B2961" s="5" t="s">
        <v>4975</v>
      </c>
      <c r="I2961" s="109"/>
      <c r="J2961" s="109"/>
      <c r="K2961" s="109"/>
      <c r="L2961" s="109" t="str">
        <f t="shared" si="46"/>
        <v>95-956200049</v>
      </c>
      <c r="M2961" s="114">
        <v>956200049</v>
      </c>
      <c r="N2961" s="114" t="s">
        <v>7418</v>
      </c>
    </row>
    <row r="2962" spans="1:14">
      <c r="A2962" t="s">
        <v>4248</v>
      </c>
      <c r="B2962" s="5" t="s">
        <v>4975</v>
      </c>
      <c r="I2962" s="109"/>
      <c r="J2962" s="109"/>
      <c r="K2962" s="109"/>
      <c r="L2962" s="109" t="str">
        <f t="shared" si="46"/>
        <v>95-952000342</v>
      </c>
      <c r="M2962" s="114">
        <v>952000342</v>
      </c>
      <c r="N2962" s="114" t="s">
        <v>7413</v>
      </c>
    </row>
    <row r="2963" spans="1:14">
      <c r="A2963" t="s">
        <v>4935</v>
      </c>
      <c r="B2963" s="5" t="s">
        <v>4975</v>
      </c>
      <c r="I2963" s="109"/>
      <c r="J2963" s="109"/>
      <c r="K2963" s="109"/>
      <c r="L2963" s="109" t="str">
        <f t="shared" si="46"/>
        <v>96-966200002</v>
      </c>
      <c r="M2963" s="114">
        <v>966200002</v>
      </c>
      <c r="N2963" s="114" t="s">
        <v>7475</v>
      </c>
    </row>
    <row r="2964" spans="1:14">
      <c r="A2964" t="s">
        <v>4467</v>
      </c>
      <c r="B2964" s="5" t="s">
        <v>4975</v>
      </c>
      <c r="I2964" s="109"/>
      <c r="J2964" s="109"/>
      <c r="K2964" s="109"/>
      <c r="L2964" s="109" t="str">
        <f t="shared" si="46"/>
        <v>96-966200007</v>
      </c>
      <c r="M2964" s="114">
        <v>966200007</v>
      </c>
      <c r="N2964" s="114" t="s">
        <v>7370</v>
      </c>
    </row>
    <row r="2965" spans="1:14">
      <c r="A2965" t="s">
        <v>4210</v>
      </c>
      <c r="B2965" s="5" t="s">
        <v>4975</v>
      </c>
      <c r="I2965" s="109"/>
      <c r="J2965" s="109"/>
      <c r="K2965" s="109"/>
      <c r="L2965" s="109" t="str">
        <f t="shared" si="46"/>
        <v>95-956200184</v>
      </c>
      <c r="M2965" s="114">
        <v>956200184</v>
      </c>
      <c r="N2965" s="114" t="s">
        <v>8009</v>
      </c>
    </row>
    <row r="2966" spans="1:14">
      <c r="A2966" t="s">
        <v>4495</v>
      </c>
      <c r="B2966" s="5" t="s">
        <v>4975</v>
      </c>
      <c r="I2966" s="109"/>
      <c r="J2966" s="109"/>
      <c r="K2966" s="109"/>
      <c r="L2966" s="109" t="str">
        <f t="shared" si="46"/>
        <v>95-952000301</v>
      </c>
      <c r="M2966" s="114">
        <v>952000301</v>
      </c>
      <c r="N2966" s="114" t="s">
        <v>7329</v>
      </c>
    </row>
    <row r="2967" spans="1:14">
      <c r="A2967" t="s">
        <v>4461</v>
      </c>
      <c r="B2967" s="5" t="s">
        <v>4975</v>
      </c>
      <c r="I2967" s="109"/>
      <c r="J2967" s="109"/>
      <c r="K2967" s="109"/>
      <c r="L2967" s="109" t="str">
        <f t="shared" si="46"/>
        <v>95-956200177</v>
      </c>
      <c r="M2967" s="114">
        <v>956200177</v>
      </c>
      <c r="N2967" s="114" t="s">
        <v>7369</v>
      </c>
    </row>
    <row r="2968" spans="1:14">
      <c r="A2968" t="s">
        <v>4691</v>
      </c>
      <c r="B2968" s="5" t="s">
        <v>4975</v>
      </c>
      <c r="I2968" s="109"/>
      <c r="J2968" s="109"/>
      <c r="K2968" s="109"/>
      <c r="L2968" s="109" t="str">
        <f t="shared" si="46"/>
        <v>96-966200016</v>
      </c>
      <c r="M2968" s="114">
        <v>966200016</v>
      </c>
      <c r="N2968" s="114" t="s">
        <v>7370</v>
      </c>
    </row>
    <row r="2969" spans="1:14">
      <c r="A2969" t="s">
        <v>4903</v>
      </c>
      <c r="B2969" s="5" t="s">
        <v>4975</v>
      </c>
      <c r="I2969" s="109"/>
      <c r="J2969" s="109"/>
      <c r="K2969" s="109"/>
      <c r="L2969" s="109" t="str">
        <f t="shared" si="46"/>
        <v>95-951100062</v>
      </c>
      <c r="M2969" s="114">
        <v>951100062</v>
      </c>
      <c r="N2969" s="114" t="s">
        <v>8155</v>
      </c>
    </row>
    <row r="2970" spans="1:14">
      <c r="A2970" t="s">
        <v>4920</v>
      </c>
      <c r="B2970" s="5" t="s">
        <v>4975</v>
      </c>
      <c r="I2970" s="109"/>
      <c r="J2970" s="109"/>
      <c r="K2970" s="109"/>
      <c r="L2970" s="109" t="str">
        <f t="shared" si="46"/>
        <v>96-966300004</v>
      </c>
      <c r="M2970" s="114">
        <v>966300004</v>
      </c>
      <c r="N2970" s="114" t="s">
        <v>8746</v>
      </c>
    </row>
    <row r="2971" spans="1:14">
      <c r="A2971" t="s">
        <v>4228</v>
      </c>
      <c r="B2971" s="5" t="s">
        <v>4975</v>
      </c>
      <c r="I2971" s="109"/>
      <c r="J2971" s="109"/>
      <c r="K2971" s="109"/>
      <c r="L2971" s="109" t="str">
        <f t="shared" si="46"/>
        <v>95-956200060</v>
      </c>
      <c r="M2971" s="114">
        <v>956200060</v>
      </c>
      <c r="N2971" s="114" t="s">
        <v>7306</v>
      </c>
    </row>
    <row r="2972" spans="1:14">
      <c r="A2972" t="s">
        <v>4694</v>
      </c>
      <c r="B2972" s="5" t="s">
        <v>4975</v>
      </c>
      <c r="I2972" s="109"/>
      <c r="J2972" s="109"/>
      <c r="K2972" s="109"/>
      <c r="L2972" s="109" t="str">
        <f t="shared" si="46"/>
        <v>96-966200240</v>
      </c>
      <c r="M2972" s="114">
        <v>966200240</v>
      </c>
      <c r="N2972" s="114" t="s">
        <v>7442</v>
      </c>
    </row>
    <row r="2973" spans="1:14">
      <c r="A2973" t="s">
        <v>4918</v>
      </c>
      <c r="B2973" s="5" t="s">
        <v>4975</v>
      </c>
      <c r="I2973" s="109"/>
      <c r="J2973" s="109"/>
      <c r="K2973" s="109"/>
      <c r="L2973" s="109" t="str">
        <f t="shared" si="46"/>
        <v>95-952000230</v>
      </c>
      <c r="M2973" s="114">
        <v>952000230</v>
      </c>
      <c r="N2973" s="114" t="s">
        <v>7385</v>
      </c>
    </row>
    <row r="2974" spans="1:14">
      <c r="A2974" t="s">
        <v>4931</v>
      </c>
      <c r="B2974" s="5" t="s">
        <v>4975</v>
      </c>
      <c r="I2974" s="109"/>
      <c r="J2974" s="109"/>
      <c r="K2974" s="109"/>
      <c r="L2974" s="109" t="str">
        <f t="shared" si="46"/>
        <v>96-962000122</v>
      </c>
      <c r="M2974" s="114">
        <v>962000122</v>
      </c>
      <c r="N2974" s="114" t="s">
        <v>7112</v>
      </c>
    </row>
    <row r="2975" spans="1:14">
      <c r="A2975" t="s">
        <v>3101</v>
      </c>
      <c r="B2975" s="1" t="s">
        <v>5048</v>
      </c>
      <c r="I2975" s="109"/>
      <c r="J2975" s="109"/>
      <c r="K2975" s="109"/>
      <c r="L2975" s="109" t="str">
        <f t="shared" si="46"/>
        <v>95-956200092</v>
      </c>
      <c r="M2975" s="114">
        <v>956200092</v>
      </c>
      <c r="N2975" s="114" t="s">
        <v>8060</v>
      </c>
    </row>
    <row r="2976" spans="1:14">
      <c r="A2976" t="s">
        <v>3131</v>
      </c>
      <c r="B2976" s="1" t="s">
        <v>5048</v>
      </c>
      <c r="I2976" s="109"/>
      <c r="J2976" s="109"/>
      <c r="K2976" s="109"/>
      <c r="L2976" s="109" t="str">
        <f t="shared" si="46"/>
        <v>95-952000130</v>
      </c>
      <c r="M2976" s="114">
        <v>952000130</v>
      </c>
      <c r="N2976" s="114" t="s">
        <v>7405</v>
      </c>
    </row>
    <row r="2977" spans="1:14">
      <c r="A2977" t="s">
        <v>3130</v>
      </c>
      <c r="B2977" s="1" t="s">
        <v>5048</v>
      </c>
      <c r="I2977" s="109"/>
      <c r="J2977" s="109"/>
      <c r="K2977" s="109"/>
      <c r="L2977" s="109" t="str">
        <f t="shared" si="46"/>
        <v>96-962000020</v>
      </c>
      <c r="M2977" s="114">
        <v>962000020</v>
      </c>
      <c r="N2977" s="114" t="s">
        <v>7112</v>
      </c>
    </row>
    <row r="2978" spans="1:14">
      <c r="A2978" t="s">
        <v>3084</v>
      </c>
      <c r="B2978" s="1" t="s">
        <v>5048</v>
      </c>
      <c r="I2978" s="109"/>
      <c r="J2978" s="109"/>
      <c r="K2978" s="109"/>
      <c r="L2978" s="109" t="str">
        <f t="shared" si="46"/>
        <v>95-952000064</v>
      </c>
      <c r="M2978" s="114">
        <v>952000064</v>
      </c>
      <c r="N2978" s="114" t="s">
        <v>7421</v>
      </c>
    </row>
    <row r="2979" spans="1:14">
      <c r="A2979" t="s">
        <v>3350</v>
      </c>
      <c r="B2979" s="1" t="s">
        <v>5048</v>
      </c>
      <c r="I2979" s="109"/>
      <c r="J2979" s="109"/>
      <c r="K2979" s="109"/>
      <c r="L2979" s="109" t="str">
        <f t="shared" si="46"/>
        <v>95-952000077</v>
      </c>
      <c r="M2979" s="114">
        <v>952000077</v>
      </c>
      <c r="N2979" s="114" t="s">
        <v>8156</v>
      </c>
    </row>
    <row r="2980" spans="1:14">
      <c r="A2980" t="s">
        <v>3079</v>
      </c>
      <c r="B2980" s="1" t="s">
        <v>5048</v>
      </c>
      <c r="I2980" s="109"/>
      <c r="J2980" s="109"/>
      <c r="K2980" s="109"/>
      <c r="L2980" s="109" t="str">
        <f t="shared" si="46"/>
        <v>95-952000192</v>
      </c>
      <c r="M2980" s="114">
        <v>952000192</v>
      </c>
      <c r="N2980" s="114" t="s">
        <v>7342</v>
      </c>
    </row>
    <row r="2981" spans="1:14">
      <c r="A2981" t="s">
        <v>3102</v>
      </c>
      <c r="B2981" s="1" t="s">
        <v>5048</v>
      </c>
      <c r="I2981" s="109"/>
      <c r="J2981" s="109"/>
      <c r="K2981" s="109"/>
      <c r="L2981" s="109" t="str">
        <f t="shared" si="46"/>
        <v>95-956200098</v>
      </c>
      <c r="M2981" s="114">
        <v>956200098</v>
      </c>
      <c r="N2981" s="114" t="s">
        <v>7467</v>
      </c>
    </row>
    <row r="2982" spans="1:14">
      <c r="A2982" t="s">
        <v>3121</v>
      </c>
      <c r="B2982" s="1" t="s">
        <v>5048</v>
      </c>
      <c r="I2982" s="109"/>
      <c r="J2982" s="109"/>
      <c r="K2982" s="109"/>
      <c r="L2982" s="109" t="str">
        <f t="shared" si="46"/>
        <v>96-962000014</v>
      </c>
      <c r="M2982" s="114">
        <v>962000014</v>
      </c>
      <c r="N2982" s="114" t="s">
        <v>7112</v>
      </c>
    </row>
    <row r="2983" spans="1:14">
      <c r="A2983" t="s">
        <v>3526</v>
      </c>
      <c r="B2983" s="1" t="s">
        <v>5048</v>
      </c>
      <c r="I2983" s="109"/>
      <c r="J2983" s="109"/>
      <c r="K2983" s="109"/>
      <c r="L2983" s="109" t="str">
        <f t="shared" si="46"/>
        <v>95-956200080</v>
      </c>
      <c r="M2983" s="114">
        <v>956200080</v>
      </c>
      <c r="N2983" s="114" t="s">
        <v>7513</v>
      </c>
    </row>
    <row r="2984" spans="1:14">
      <c r="A2984" t="s">
        <v>3511</v>
      </c>
      <c r="B2984" s="1" t="s">
        <v>5048</v>
      </c>
      <c r="I2984" s="109"/>
      <c r="J2984" s="109"/>
      <c r="K2984" s="109"/>
      <c r="L2984" s="109" t="str">
        <f t="shared" si="46"/>
        <v>95-952000114</v>
      </c>
      <c r="M2984" s="114">
        <v>952000114</v>
      </c>
      <c r="N2984" s="114" t="s">
        <v>7411</v>
      </c>
    </row>
    <row r="2985" spans="1:14">
      <c r="A2985" t="s">
        <v>3573</v>
      </c>
      <c r="B2985" s="1" t="s">
        <v>5048</v>
      </c>
      <c r="I2985" s="109"/>
      <c r="J2985" s="109"/>
      <c r="K2985" s="109"/>
      <c r="L2985" s="109" t="str">
        <f t="shared" si="46"/>
        <v>95-952000324</v>
      </c>
      <c r="M2985" s="114">
        <v>952000324</v>
      </c>
      <c r="N2985" s="114" t="s">
        <v>7420</v>
      </c>
    </row>
    <row r="2986" spans="1:14">
      <c r="A2986" t="s">
        <v>3574</v>
      </c>
      <c r="B2986" s="1" t="s">
        <v>5048</v>
      </c>
      <c r="I2986" s="109"/>
      <c r="J2986" s="109"/>
      <c r="K2986" s="109"/>
      <c r="L2986" s="109" t="str">
        <f t="shared" si="46"/>
        <v>95-952000151</v>
      </c>
      <c r="M2986" s="114">
        <v>952000151</v>
      </c>
      <c r="N2986" s="114" t="s">
        <v>7332</v>
      </c>
    </row>
    <row r="2987" spans="1:14">
      <c r="A2987" t="s">
        <v>3638</v>
      </c>
      <c r="B2987" s="1" t="s">
        <v>5048</v>
      </c>
      <c r="I2987" s="109"/>
      <c r="J2987" s="109"/>
      <c r="K2987" s="109"/>
      <c r="L2987" s="109" t="str">
        <f t="shared" si="46"/>
        <v>95-952000166</v>
      </c>
      <c r="M2987" s="114">
        <v>952000166</v>
      </c>
      <c r="N2987" s="114" t="s">
        <v>7386</v>
      </c>
    </row>
    <row r="2988" spans="1:14">
      <c r="A2988" t="s">
        <v>3636</v>
      </c>
      <c r="B2988" s="1" t="s">
        <v>5048</v>
      </c>
      <c r="I2988" s="109"/>
      <c r="J2988" s="109"/>
      <c r="K2988" s="109"/>
      <c r="L2988" s="109" t="str">
        <f t="shared" si="46"/>
        <v>96-962000209</v>
      </c>
      <c r="M2988" s="114">
        <v>962000209</v>
      </c>
      <c r="N2988" s="114" t="s">
        <v>7112</v>
      </c>
    </row>
    <row r="2989" spans="1:14">
      <c r="A2989" t="s">
        <v>3637</v>
      </c>
      <c r="B2989" s="1" t="s">
        <v>5048</v>
      </c>
      <c r="I2989" s="109"/>
      <c r="J2989" s="109"/>
      <c r="K2989" s="109"/>
      <c r="L2989" s="109" t="str">
        <f t="shared" si="46"/>
        <v>95-952000182</v>
      </c>
      <c r="M2989" s="114">
        <v>952000182</v>
      </c>
      <c r="N2989" s="114" t="s">
        <v>7392</v>
      </c>
    </row>
    <row r="2990" spans="1:14">
      <c r="A2990" t="s">
        <v>3642</v>
      </c>
      <c r="B2990" s="1" t="s">
        <v>5048</v>
      </c>
      <c r="I2990" s="109"/>
      <c r="J2990" s="109"/>
      <c r="K2990" s="109"/>
      <c r="L2990" s="109" t="str">
        <f t="shared" si="46"/>
        <v>95-956200102</v>
      </c>
      <c r="M2990" s="114">
        <v>956200102</v>
      </c>
      <c r="N2990" s="114" t="s">
        <v>7467</v>
      </c>
    </row>
    <row r="2991" spans="1:14">
      <c r="A2991" t="s">
        <v>3634</v>
      </c>
      <c r="B2991" s="1" t="s">
        <v>5048</v>
      </c>
      <c r="I2991" s="109"/>
      <c r="J2991" s="109"/>
      <c r="K2991" s="109"/>
      <c r="L2991" s="109" t="str">
        <f t="shared" si="46"/>
        <v>95-956200047</v>
      </c>
      <c r="M2991" s="114">
        <v>956200047</v>
      </c>
      <c r="N2991" s="114" t="s">
        <v>7418</v>
      </c>
    </row>
    <row r="2992" spans="1:14">
      <c r="A2992" t="s">
        <v>3635</v>
      </c>
      <c r="B2992" s="1" t="s">
        <v>5048</v>
      </c>
      <c r="I2992" s="109"/>
      <c r="J2992" s="109"/>
      <c r="K2992" s="109"/>
      <c r="L2992" s="109" t="str">
        <f t="shared" si="46"/>
        <v>96-962000144</v>
      </c>
      <c r="M2992" s="114">
        <v>962000144</v>
      </c>
      <c r="N2992" s="114" t="s">
        <v>8481</v>
      </c>
    </row>
    <row r="2993" spans="1:14">
      <c r="A2993" t="s">
        <v>3757</v>
      </c>
      <c r="B2993" s="1" t="s">
        <v>5048</v>
      </c>
      <c r="I2993" s="109"/>
      <c r="J2993" s="109"/>
      <c r="K2993" s="109"/>
      <c r="L2993" s="109" t="str">
        <f t="shared" si="46"/>
        <v>95-956200412</v>
      </c>
      <c r="M2993" s="114">
        <v>956200412</v>
      </c>
      <c r="N2993" s="114" t="s">
        <v>7991</v>
      </c>
    </row>
    <row r="2994" spans="1:14">
      <c r="A2994" t="s">
        <v>3758</v>
      </c>
      <c r="B2994" s="1" t="s">
        <v>5048</v>
      </c>
      <c r="I2994" s="109"/>
      <c r="J2994" s="109"/>
      <c r="K2994" s="109"/>
      <c r="L2994" s="109" t="str">
        <f t="shared" si="46"/>
        <v>95-956200143</v>
      </c>
      <c r="M2994" s="114">
        <v>956200143</v>
      </c>
      <c r="N2994" s="114" t="s">
        <v>7978</v>
      </c>
    </row>
    <row r="2995" spans="1:14">
      <c r="A2995" t="s">
        <v>3879</v>
      </c>
      <c r="B2995" s="1" t="s">
        <v>5048</v>
      </c>
      <c r="I2995" s="109"/>
      <c r="J2995" s="109"/>
      <c r="K2995" s="109"/>
      <c r="L2995" s="109" t="str">
        <f t="shared" si="46"/>
        <v>96-966200074</v>
      </c>
      <c r="M2995" s="114">
        <v>966200074</v>
      </c>
      <c r="N2995" s="114" t="s">
        <v>7448</v>
      </c>
    </row>
    <row r="2996" spans="1:14">
      <c r="A2996" t="s">
        <v>4254</v>
      </c>
      <c r="B2996" s="1" t="s">
        <v>5048</v>
      </c>
      <c r="I2996" s="109"/>
      <c r="J2996" s="109"/>
      <c r="K2996" s="109"/>
      <c r="L2996" s="109" t="str">
        <f t="shared" si="46"/>
        <v>96-966200304</v>
      </c>
      <c r="M2996" s="114">
        <v>966200304</v>
      </c>
      <c r="N2996" s="114" t="s">
        <v>8700</v>
      </c>
    </row>
    <row r="2997" spans="1:14">
      <c r="A2997" t="s">
        <v>4482</v>
      </c>
      <c r="B2997" s="1" t="s">
        <v>5048</v>
      </c>
      <c r="I2997" s="109"/>
      <c r="J2997" s="109"/>
      <c r="K2997" s="109"/>
      <c r="L2997" s="109" t="str">
        <f t="shared" si="46"/>
        <v>96-966200217</v>
      </c>
      <c r="M2997" s="114">
        <v>966200217</v>
      </c>
      <c r="N2997" s="114" t="s">
        <v>7479</v>
      </c>
    </row>
    <row r="2998" spans="1:14">
      <c r="A2998" t="s">
        <v>3889</v>
      </c>
      <c r="B2998" s="1" t="s">
        <v>5048</v>
      </c>
      <c r="I2998" s="109"/>
      <c r="J2998" s="109"/>
      <c r="K2998" s="109"/>
      <c r="L2998" s="109" t="str">
        <f t="shared" si="46"/>
        <v>95-956200252</v>
      </c>
      <c r="M2998" s="114">
        <v>956200252</v>
      </c>
      <c r="N2998" s="114" t="s">
        <v>7428</v>
      </c>
    </row>
    <row r="2999" spans="1:14">
      <c r="A2999" t="s">
        <v>4251</v>
      </c>
      <c r="B2999" s="1" t="s">
        <v>5048</v>
      </c>
      <c r="I2999" s="109"/>
      <c r="J2999" s="109"/>
      <c r="K2999" s="109"/>
      <c r="L2999" s="109" t="str">
        <f t="shared" si="46"/>
        <v>96-966200081</v>
      </c>
      <c r="M2999" s="114">
        <v>966200081</v>
      </c>
      <c r="N2999" s="114" t="s">
        <v>7448</v>
      </c>
    </row>
    <row r="3000" spans="1:14">
      <c r="A3000" t="s">
        <v>3939</v>
      </c>
      <c r="B3000" s="1" t="s">
        <v>5048</v>
      </c>
      <c r="I3000" s="109"/>
      <c r="J3000" s="109"/>
      <c r="K3000" s="109"/>
      <c r="L3000" s="109" t="str">
        <f t="shared" si="46"/>
        <v>95-956200295</v>
      </c>
      <c r="M3000" s="114">
        <v>956200295</v>
      </c>
      <c r="N3000" s="114" t="s">
        <v>7438</v>
      </c>
    </row>
    <row r="3001" spans="1:14">
      <c r="A3001" t="s">
        <v>3938</v>
      </c>
      <c r="B3001" s="1" t="s">
        <v>5048</v>
      </c>
      <c r="I3001" s="109"/>
      <c r="J3001" s="109"/>
      <c r="K3001" s="109"/>
      <c r="L3001" s="109" t="str">
        <f t="shared" si="46"/>
        <v>95-956200334</v>
      </c>
      <c r="M3001" s="114">
        <v>956200334</v>
      </c>
      <c r="N3001" s="114" t="s">
        <v>8167</v>
      </c>
    </row>
    <row r="3002" spans="1:14">
      <c r="A3002" t="s">
        <v>3940</v>
      </c>
      <c r="B3002" s="1" t="s">
        <v>5048</v>
      </c>
      <c r="I3002" s="109"/>
      <c r="J3002" s="109"/>
      <c r="K3002" s="109"/>
      <c r="L3002" s="109" t="str">
        <f t="shared" si="46"/>
        <v>95-956200361</v>
      </c>
      <c r="M3002" s="114">
        <v>956200361</v>
      </c>
      <c r="N3002" s="114" t="s">
        <v>7292</v>
      </c>
    </row>
    <row r="3003" spans="1:14">
      <c r="A3003" t="s">
        <v>4244</v>
      </c>
      <c r="B3003" s="1" t="s">
        <v>5048</v>
      </c>
      <c r="I3003" s="109"/>
      <c r="J3003" s="109"/>
      <c r="K3003" s="109"/>
      <c r="L3003" s="109" t="str">
        <f t="shared" si="46"/>
        <v>95-956200401</v>
      </c>
      <c r="M3003" s="114">
        <v>956200401</v>
      </c>
      <c r="N3003" s="114" t="s">
        <v>7269</v>
      </c>
    </row>
    <row r="3004" spans="1:14">
      <c r="A3004" t="s">
        <v>4207</v>
      </c>
      <c r="B3004" s="1" t="s">
        <v>5048</v>
      </c>
      <c r="I3004" s="109"/>
      <c r="J3004" s="109"/>
      <c r="K3004" s="109"/>
      <c r="L3004" s="109" t="str">
        <f t="shared" si="46"/>
        <v>95-956200402</v>
      </c>
      <c r="M3004" s="114">
        <v>956200402</v>
      </c>
      <c r="N3004" s="114" t="s">
        <v>7269</v>
      </c>
    </row>
    <row r="3005" spans="1:14">
      <c r="A3005" t="s">
        <v>4222</v>
      </c>
      <c r="B3005" s="1" t="s">
        <v>5048</v>
      </c>
      <c r="I3005" s="109"/>
      <c r="J3005" s="109"/>
      <c r="K3005" s="109"/>
      <c r="L3005" s="109" t="str">
        <f t="shared" si="46"/>
        <v>95-956200432</v>
      </c>
      <c r="M3005" s="114">
        <v>956200432</v>
      </c>
      <c r="N3005" s="114" t="s">
        <v>7423</v>
      </c>
    </row>
    <row r="3006" spans="1:14">
      <c r="A3006" t="s">
        <v>4247</v>
      </c>
      <c r="B3006" s="1" t="s">
        <v>5048</v>
      </c>
      <c r="I3006" s="109"/>
      <c r="J3006" s="109"/>
      <c r="K3006" s="109"/>
      <c r="L3006" s="109" t="str">
        <f t="shared" si="46"/>
        <v>95-956200430</v>
      </c>
      <c r="M3006" s="114">
        <v>956200430</v>
      </c>
      <c r="N3006" s="114" t="s">
        <v>7419</v>
      </c>
    </row>
    <row r="3007" spans="1:14">
      <c r="A3007" t="s">
        <v>4491</v>
      </c>
      <c r="B3007" s="1" t="s">
        <v>5048</v>
      </c>
      <c r="I3007" s="109"/>
      <c r="J3007" s="109"/>
      <c r="K3007" s="109"/>
      <c r="L3007" s="109" t="str">
        <f t="shared" si="46"/>
        <v>96-966200005</v>
      </c>
      <c r="M3007" s="114">
        <v>966200005</v>
      </c>
      <c r="N3007" s="114" t="s">
        <v>7475</v>
      </c>
    </row>
    <row r="3008" spans="1:14">
      <c r="A3008" t="s">
        <v>4211</v>
      </c>
      <c r="B3008" s="1" t="s">
        <v>5048</v>
      </c>
      <c r="I3008" s="109"/>
      <c r="J3008" s="109"/>
      <c r="K3008" s="109"/>
      <c r="L3008" s="109" t="str">
        <f t="shared" si="46"/>
        <v>96-966200042</v>
      </c>
      <c r="M3008" s="114">
        <v>966200042</v>
      </c>
      <c r="N3008" s="114" t="s">
        <v>7414</v>
      </c>
    </row>
    <row r="3009" spans="1:14">
      <c r="A3009" t="s">
        <v>4212</v>
      </c>
      <c r="B3009" s="1" t="s">
        <v>5048</v>
      </c>
      <c r="I3009" s="109"/>
      <c r="J3009" s="109"/>
      <c r="K3009" s="109"/>
      <c r="L3009" s="109" t="str">
        <f t="shared" si="46"/>
        <v>96-966200048</v>
      </c>
      <c r="M3009" s="114">
        <v>966200048</v>
      </c>
      <c r="N3009" s="114" t="s">
        <v>7414</v>
      </c>
    </row>
    <row r="3010" spans="1:14">
      <c r="A3010" t="s">
        <v>4199</v>
      </c>
      <c r="B3010" s="1" t="s">
        <v>5048</v>
      </c>
      <c r="I3010" s="109"/>
      <c r="J3010" s="109"/>
      <c r="K3010" s="109"/>
      <c r="L3010" s="109" t="str">
        <f t="shared" si="46"/>
        <v>96-966200201</v>
      </c>
      <c r="M3010" s="114">
        <v>966200201</v>
      </c>
      <c r="N3010" s="114" t="s">
        <v>7120</v>
      </c>
    </row>
    <row r="3011" spans="1:14">
      <c r="A3011" t="s">
        <v>4200</v>
      </c>
      <c r="B3011" s="1" t="s">
        <v>5048</v>
      </c>
      <c r="I3011" s="109"/>
      <c r="J3011" s="109"/>
      <c r="K3011" s="109"/>
      <c r="L3011" s="109" t="str">
        <f t="shared" ref="L3011:L3074" si="47">MID(M3011,1,2)&amp;"-"&amp;M3011</f>
        <v>96-966200204</v>
      </c>
      <c r="M3011" s="114">
        <v>966200204</v>
      </c>
      <c r="N3011" s="114" t="s">
        <v>7120</v>
      </c>
    </row>
    <row r="3012" spans="1:14">
      <c r="A3012" t="s">
        <v>4194</v>
      </c>
      <c r="B3012" s="1" t="s">
        <v>5048</v>
      </c>
      <c r="I3012" s="109"/>
      <c r="J3012" s="109"/>
      <c r="K3012" s="109"/>
      <c r="L3012" s="109" t="str">
        <f t="shared" si="47"/>
        <v>96-966200264</v>
      </c>
      <c r="M3012" s="114">
        <v>966200264</v>
      </c>
      <c r="N3012" s="114" t="s">
        <v>7113</v>
      </c>
    </row>
    <row r="3013" spans="1:14">
      <c r="A3013" t="s">
        <v>4591</v>
      </c>
      <c r="B3013" s="1" t="s">
        <v>5049</v>
      </c>
      <c r="I3013" s="109"/>
      <c r="J3013" s="109"/>
      <c r="K3013" s="109"/>
      <c r="L3013" s="109" t="str">
        <f t="shared" si="47"/>
        <v>96-966200245</v>
      </c>
      <c r="M3013" s="114">
        <v>966200245</v>
      </c>
      <c r="N3013" s="114" t="s">
        <v>7333</v>
      </c>
    </row>
    <row r="3014" spans="1:14">
      <c r="A3014" t="s">
        <v>3839</v>
      </c>
      <c r="B3014" s="1" t="s">
        <v>5049</v>
      </c>
      <c r="I3014" s="109"/>
      <c r="J3014" s="109"/>
      <c r="K3014" s="109"/>
      <c r="L3014" s="109" t="str">
        <f t="shared" si="47"/>
        <v>96-962000106</v>
      </c>
      <c r="M3014" s="114">
        <v>962000106</v>
      </c>
      <c r="N3014" s="114" t="s">
        <v>7112</v>
      </c>
    </row>
    <row r="3015" spans="1:14">
      <c r="A3015" t="s">
        <v>4487</v>
      </c>
      <c r="B3015" s="1" t="s">
        <v>5049</v>
      </c>
      <c r="I3015" s="109"/>
      <c r="J3015" s="109"/>
      <c r="K3015" s="109"/>
      <c r="L3015" s="109" t="str">
        <f t="shared" si="47"/>
        <v>96-962000112</v>
      </c>
      <c r="M3015" s="114">
        <v>962000112</v>
      </c>
      <c r="N3015" s="114" t="s">
        <v>7112</v>
      </c>
    </row>
    <row r="3016" spans="1:14">
      <c r="A3016" t="s">
        <v>4486</v>
      </c>
      <c r="B3016" s="1" t="s">
        <v>5049</v>
      </c>
      <c r="I3016" s="109"/>
      <c r="J3016" s="109"/>
      <c r="K3016" s="109"/>
      <c r="L3016" s="109" t="str">
        <f t="shared" si="47"/>
        <v>96-962000120</v>
      </c>
      <c r="M3016" s="114">
        <v>962000120</v>
      </c>
      <c r="N3016" s="114" t="s">
        <v>7112</v>
      </c>
    </row>
    <row r="3017" spans="1:14">
      <c r="A3017" t="s">
        <v>4586</v>
      </c>
      <c r="B3017" s="1" t="s">
        <v>5049</v>
      </c>
      <c r="I3017" s="109"/>
      <c r="J3017" s="109"/>
      <c r="K3017" s="109"/>
      <c r="L3017" s="109" t="str">
        <f t="shared" si="47"/>
        <v>96-962000149</v>
      </c>
      <c r="M3017" s="114">
        <v>962000149</v>
      </c>
      <c r="N3017" s="114" t="s">
        <v>7112</v>
      </c>
    </row>
    <row r="3018" spans="1:14">
      <c r="A3018" t="s">
        <v>4489</v>
      </c>
      <c r="B3018" s="1" t="s">
        <v>5049</v>
      </c>
      <c r="I3018" s="109"/>
      <c r="J3018" s="109"/>
      <c r="K3018" s="109"/>
      <c r="L3018" s="109" t="str">
        <f t="shared" si="47"/>
        <v>96-962000163</v>
      </c>
      <c r="M3018" s="114">
        <v>962000163</v>
      </c>
      <c r="N3018" s="114" t="s">
        <v>7112</v>
      </c>
    </row>
    <row r="3019" spans="1:14">
      <c r="A3019" t="s">
        <v>4608</v>
      </c>
      <c r="B3019" s="1" t="s">
        <v>5049</v>
      </c>
      <c r="I3019" s="109"/>
      <c r="J3019" s="109"/>
      <c r="K3019" s="109"/>
      <c r="L3019" s="109" t="str">
        <f t="shared" si="47"/>
        <v>96-962000196</v>
      </c>
      <c r="M3019" s="114">
        <v>962000196</v>
      </c>
      <c r="N3019" s="114" t="s">
        <v>7112</v>
      </c>
    </row>
    <row r="3020" spans="1:14">
      <c r="A3020" t="s">
        <v>4603</v>
      </c>
      <c r="B3020" s="1" t="s">
        <v>5049</v>
      </c>
      <c r="I3020" s="109"/>
      <c r="J3020" s="109"/>
      <c r="K3020" s="109"/>
      <c r="L3020" s="109" t="str">
        <f t="shared" si="47"/>
        <v>95-952000158</v>
      </c>
      <c r="M3020" s="114">
        <v>952000158</v>
      </c>
      <c r="N3020" s="114" t="s">
        <v>8026</v>
      </c>
    </row>
    <row r="3021" spans="1:14">
      <c r="A3021" t="s">
        <v>4612</v>
      </c>
      <c r="B3021" s="1" t="s">
        <v>5049</v>
      </c>
      <c r="I3021" s="109"/>
      <c r="J3021" s="109"/>
      <c r="K3021" s="109"/>
      <c r="L3021" s="109" t="str">
        <f t="shared" si="47"/>
        <v>95-956200009</v>
      </c>
      <c r="M3021" s="114">
        <v>956200009</v>
      </c>
      <c r="N3021" s="114" t="s">
        <v>8487</v>
      </c>
    </row>
    <row r="3022" spans="1:14">
      <c r="A3022" t="s">
        <v>3842</v>
      </c>
      <c r="B3022" s="1" t="s">
        <v>5049</v>
      </c>
      <c r="I3022" s="109"/>
      <c r="J3022" s="109"/>
      <c r="K3022" s="109"/>
      <c r="L3022" s="109" t="str">
        <f t="shared" si="47"/>
        <v>95-956200132</v>
      </c>
      <c r="M3022" s="114">
        <v>956200132</v>
      </c>
      <c r="N3022" s="114" t="s">
        <v>8008</v>
      </c>
    </row>
    <row r="3023" spans="1:14">
      <c r="A3023" t="s">
        <v>4598</v>
      </c>
      <c r="B3023" s="1" t="s">
        <v>5049</v>
      </c>
      <c r="I3023" s="109"/>
      <c r="J3023" s="109"/>
      <c r="K3023" s="109"/>
      <c r="L3023" s="109" t="str">
        <f t="shared" si="47"/>
        <v>95-956200414</v>
      </c>
      <c r="M3023" s="114">
        <v>956200414</v>
      </c>
      <c r="N3023" s="114" t="s">
        <v>7991</v>
      </c>
    </row>
    <row r="3024" spans="1:14">
      <c r="A3024" t="s">
        <v>4198</v>
      </c>
      <c r="B3024" s="1" t="s">
        <v>5049</v>
      </c>
      <c r="I3024" s="109"/>
      <c r="J3024" s="109"/>
      <c r="K3024" s="109"/>
      <c r="L3024" s="109" t="str">
        <f t="shared" si="47"/>
        <v>95-956200007</v>
      </c>
      <c r="M3024" s="114">
        <v>956200007</v>
      </c>
      <c r="N3024" s="114" t="s">
        <v>8003</v>
      </c>
    </row>
    <row r="3025" spans="1:14">
      <c r="A3025" t="s">
        <v>3963</v>
      </c>
      <c r="B3025" s="1" t="s">
        <v>5049</v>
      </c>
      <c r="I3025" s="109"/>
      <c r="J3025" s="109"/>
      <c r="K3025" s="109"/>
      <c r="L3025" s="109" t="str">
        <f t="shared" si="47"/>
        <v>95-956200018</v>
      </c>
      <c r="M3025" s="114">
        <v>956200018</v>
      </c>
      <c r="N3025" s="114" t="s">
        <v>7993</v>
      </c>
    </row>
    <row r="3026" spans="1:14">
      <c r="A3026" t="s">
        <v>4466</v>
      </c>
      <c r="B3026" s="1" t="s">
        <v>5049</v>
      </c>
      <c r="I3026" s="109"/>
      <c r="J3026" s="109"/>
      <c r="K3026" s="109"/>
      <c r="L3026" s="109" t="str">
        <f t="shared" si="47"/>
        <v>95-956200181</v>
      </c>
      <c r="M3026" s="114">
        <v>956200181</v>
      </c>
      <c r="N3026" s="114" t="s">
        <v>8009</v>
      </c>
    </row>
    <row r="3027" spans="1:14">
      <c r="A3027" t="s">
        <v>4597</v>
      </c>
      <c r="B3027" s="1" t="s">
        <v>5049</v>
      </c>
      <c r="I3027" s="109"/>
      <c r="J3027" s="109"/>
      <c r="K3027" s="109"/>
      <c r="L3027" s="109" t="str">
        <f t="shared" si="47"/>
        <v>96-966200131</v>
      </c>
      <c r="M3027" s="114">
        <v>966200131</v>
      </c>
      <c r="N3027" s="114" t="s">
        <v>8488</v>
      </c>
    </row>
    <row r="3028" spans="1:14">
      <c r="A3028" t="s">
        <v>4724</v>
      </c>
      <c r="B3028" s="1" t="s">
        <v>5049</v>
      </c>
      <c r="I3028" s="109"/>
      <c r="J3028" s="109"/>
      <c r="K3028" s="109"/>
      <c r="L3028" s="109" t="str">
        <f t="shared" si="47"/>
        <v>95-956200299</v>
      </c>
      <c r="M3028" s="114">
        <v>956200299</v>
      </c>
      <c r="N3028" s="114" t="s">
        <v>7344</v>
      </c>
    </row>
    <row r="3029" spans="1:14">
      <c r="A3029" t="s">
        <v>4595</v>
      </c>
      <c r="B3029" s="1" t="s">
        <v>5049</v>
      </c>
      <c r="I3029" s="109"/>
      <c r="J3029" s="109"/>
      <c r="K3029" s="109"/>
      <c r="L3029" s="109" t="str">
        <f t="shared" si="47"/>
        <v>96-966300002</v>
      </c>
      <c r="M3029" s="114">
        <v>966300002</v>
      </c>
      <c r="N3029" s="114" t="s">
        <v>8041</v>
      </c>
    </row>
    <row r="3030" spans="1:14">
      <c r="A3030" t="s">
        <v>4594</v>
      </c>
      <c r="B3030" s="1" t="s">
        <v>5049</v>
      </c>
      <c r="I3030" s="109"/>
      <c r="J3030" s="109"/>
      <c r="K3030" s="109"/>
      <c r="L3030" s="109" t="str">
        <f t="shared" si="47"/>
        <v>95-956200309</v>
      </c>
      <c r="M3030" s="114">
        <v>956200309</v>
      </c>
      <c r="N3030" s="114" t="s">
        <v>8042</v>
      </c>
    </row>
    <row r="3031" spans="1:14">
      <c r="A3031" t="s">
        <v>4261</v>
      </c>
      <c r="B3031" s="1" t="s">
        <v>5049</v>
      </c>
      <c r="I3031" s="109"/>
      <c r="J3031" s="109"/>
      <c r="K3031" s="109"/>
      <c r="L3031" s="109" t="str">
        <f t="shared" si="47"/>
        <v>95-956200416</v>
      </c>
      <c r="M3031" s="114">
        <v>956200416</v>
      </c>
      <c r="N3031" s="114" t="s">
        <v>7991</v>
      </c>
    </row>
    <row r="3032" spans="1:14">
      <c r="A3032" t="s">
        <v>3981</v>
      </c>
      <c r="B3032" s="1" t="s">
        <v>5078</v>
      </c>
      <c r="I3032" s="109"/>
      <c r="J3032" s="109"/>
      <c r="K3032" s="109"/>
      <c r="L3032" s="109" t="str">
        <f t="shared" si="47"/>
        <v>96-966200117</v>
      </c>
      <c r="M3032" s="114">
        <v>966200117</v>
      </c>
      <c r="N3032" s="114" t="s">
        <v>7992</v>
      </c>
    </row>
    <row r="3033" spans="1:14">
      <c r="A3033" t="s">
        <v>4271</v>
      </c>
      <c r="B3033" s="1" t="s">
        <v>5078</v>
      </c>
      <c r="I3033" s="109"/>
      <c r="J3033" s="109"/>
      <c r="K3033" s="109"/>
      <c r="L3033" s="109" t="str">
        <f t="shared" si="47"/>
        <v>95-956200019</v>
      </c>
      <c r="M3033" s="114">
        <v>956200019</v>
      </c>
      <c r="N3033" s="114" t="s">
        <v>7993</v>
      </c>
    </row>
    <row r="3034" spans="1:14">
      <c r="A3034" t="s">
        <v>4298</v>
      </c>
      <c r="B3034" s="1" t="s">
        <v>5078</v>
      </c>
      <c r="I3034" s="109"/>
      <c r="J3034" s="109"/>
      <c r="K3034" s="109"/>
      <c r="L3034" s="109" t="str">
        <f t="shared" si="47"/>
        <v>95-956200065</v>
      </c>
      <c r="M3034" s="114">
        <v>956200065</v>
      </c>
      <c r="N3034" s="114" t="s">
        <v>7994</v>
      </c>
    </row>
    <row r="3035" spans="1:14">
      <c r="A3035" t="s">
        <v>4351</v>
      </c>
      <c r="B3035" s="1" t="s">
        <v>5078</v>
      </c>
      <c r="I3035" s="109"/>
      <c r="J3035" s="109"/>
      <c r="K3035" s="109"/>
      <c r="L3035" s="109" t="str">
        <f t="shared" si="47"/>
        <v>96-966200305</v>
      </c>
      <c r="M3035" s="114">
        <v>966200305</v>
      </c>
      <c r="N3035" s="114" t="s">
        <v>8719</v>
      </c>
    </row>
    <row r="3036" spans="1:14">
      <c r="A3036" t="s">
        <v>4360</v>
      </c>
      <c r="B3036" s="1" t="s">
        <v>5078</v>
      </c>
      <c r="I3036" s="109"/>
      <c r="J3036" s="109"/>
      <c r="K3036" s="109"/>
      <c r="L3036" s="109" t="str">
        <f t="shared" si="47"/>
        <v>96-966200017</v>
      </c>
      <c r="M3036" s="114">
        <v>966200017</v>
      </c>
      <c r="N3036" s="114" t="s">
        <v>7988</v>
      </c>
    </row>
    <row r="3037" spans="1:14">
      <c r="A3037" t="s">
        <v>4701</v>
      </c>
      <c r="B3037" s="1" t="s">
        <v>5078</v>
      </c>
      <c r="I3037" s="109"/>
      <c r="J3037" s="109"/>
      <c r="K3037" s="109"/>
      <c r="L3037" s="109" t="str">
        <f t="shared" si="47"/>
        <v>95-951100111</v>
      </c>
      <c r="M3037" s="114">
        <v>951100111</v>
      </c>
      <c r="N3037" s="114" t="s">
        <v>7995</v>
      </c>
    </row>
    <row r="3038" spans="1:14">
      <c r="A3038" t="s">
        <v>4452</v>
      </c>
      <c r="B3038" s="1" t="s">
        <v>5078</v>
      </c>
      <c r="I3038" s="109"/>
      <c r="J3038" s="109"/>
      <c r="K3038" s="109"/>
      <c r="L3038" s="109" t="str">
        <f t="shared" si="47"/>
        <v>96-961100037</v>
      </c>
      <c r="M3038" s="114">
        <v>961100037</v>
      </c>
      <c r="N3038" s="114" t="s">
        <v>7996</v>
      </c>
    </row>
    <row r="3039" spans="1:14">
      <c r="A3039" s="1" t="s">
        <v>5079</v>
      </c>
      <c r="B3039" s="1" t="s">
        <v>5079</v>
      </c>
      <c r="I3039" s="109"/>
      <c r="J3039" s="109"/>
      <c r="K3039" s="109"/>
      <c r="L3039" s="109" t="str">
        <f t="shared" si="47"/>
        <v>96-961100044</v>
      </c>
      <c r="M3039" s="114">
        <v>961100044</v>
      </c>
      <c r="N3039" s="114" t="s">
        <v>7997</v>
      </c>
    </row>
    <row r="3040" spans="1:14" ht="18">
      <c r="A3040" s="60" t="s">
        <v>4494</v>
      </c>
      <c r="B3040" s="1" t="s">
        <v>5079</v>
      </c>
      <c r="I3040" s="109"/>
      <c r="J3040" s="109"/>
      <c r="K3040" s="109"/>
      <c r="L3040" s="109" t="str">
        <f t="shared" si="47"/>
        <v>96-966200045</v>
      </c>
      <c r="M3040" s="114">
        <v>966200045</v>
      </c>
      <c r="N3040" s="114" t="s">
        <v>7998</v>
      </c>
    </row>
    <row r="3041" spans="1:14" ht="18">
      <c r="A3041" s="60" t="s">
        <v>4353</v>
      </c>
      <c r="B3041" s="1" t="s">
        <v>5079</v>
      </c>
      <c r="I3041" s="109"/>
      <c r="J3041" s="109"/>
      <c r="K3041" s="109"/>
      <c r="L3041" s="109" t="str">
        <f t="shared" si="47"/>
        <v>95-956200106</v>
      </c>
      <c r="M3041" s="114">
        <v>956200106</v>
      </c>
      <c r="N3041" s="114" t="s">
        <v>8489</v>
      </c>
    </row>
    <row r="3042" spans="1:14" ht="18">
      <c r="A3042" s="60" t="s">
        <v>4354</v>
      </c>
      <c r="B3042" s="1" t="s">
        <v>5079</v>
      </c>
      <c r="I3042" s="109"/>
      <c r="J3042" s="109"/>
      <c r="K3042" s="109"/>
      <c r="L3042" s="109" t="str">
        <f t="shared" si="47"/>
        <v>96-966200340</v>
      </c>
      <c r="M3042" s="114">
        <v>966200340</v>
      </c>
      <c r="N3042" s="114" t="s">
        <v>8718</v>
      </c>
    </row>
    <row r="3043" spans="1:14" ht="18">
      <c r="A3043" s="60" t="s">
        <v>4453</v>
      </c>
      <c r="B3043" s="1" t="s">
        <v>5079</v>
      </c>
      <c r="I3043" s="109"/>
      <c r="J3043" s="109"/>
      <c r="K3043" s="109"/>
      <c r="L3043" s="109" t="str">
        <f t="shared" si="47"/>
        <v>96-961100014</v>
      </c>
      <c r="M3043" s="114">
        <v>961100014</v>
      </c>
      <c r="N3043" s="114" t="s">
        <v>8490</v>
      </c>
    </row>
    <row r="3044" spans="1:14" ht="18">
      <c r="A3044" s="60" t="s">
        <v>4473</v>
      </c>
      <c r="B3044" s="1" t="s">
        <v>5079</v>
      </c>
      <c r="I3044" s="109"/>
      <c r="J3044" s="109"/>
      <c r="K3044" s="109"/>
      <c r="L3044" s="109" t="str">
        <f t="shared" si="47"/>
        <v>96-966200090</v>
      </c>
      <c r="M3044" s="114">
        <v>966200090</v>
      </c>
      <c r="N3044" s="114" t="s">
        <v>7999</v>
      </c>
    </row>
    <row r="3045" spans="1:14" ht="18">
      <c r="A3045" s="60" t="s">
        <v>4579</v>
      </c>
      <c r="B3045" s="1" t="s">
        <v>5079</v>
      </c>
      <c r="I3045" s="109"/>
      <c r="J3045" s="109"/>
      <c r="K3045" s="109"/>
      <c r="L3045" s="109" t="str">
        <f t="shared" si="47"/>
        <v>96-966200094</v>
      </c>
      <c r="M3045" s="114">
        <v>966200094</v>
      </c>
      <c r="N3045" s="114" t="s">
        <v>7999</v>
      </c>
    </row>
    <row r="3046" spans="1:14" ht="18">
      <c r="A3046" s="61" t="s">
        <v>4283</v>
      </c>
      <c r="B3046" s="1" t="s">
        <v>5079</v>
      </c>
      <c r="I3046" s="109"/>
      <c r="J3046" s="109"/>
      <c r="K3046" s="109"/>
      <c r="L3046" s="109" t="str">
        <f t="shared" si="47"/>
        <v>96-966200326</v>
      </c>
      <c r="M3046" s="114">
        <v>966200326</v>
      </c>
      <c r="N3046" s="114" t="s">
        <v>8720</v>
      </c>
    </row>
    <row r="3047" spans="1:14">
      <c r="A3047" t="s">
        <v>4219</v>
      </c>
      <c r="B3047" s="1" t="s">
        <v>5080</v>
      </c>
      <c r="I3047" s="109"/>
      <c r="J3047" s="109"/>
      <c r="K3047" s="109"/>
      <c r="L3047" s="109" t="str">
        <f t="shared" si="47"/>
        <v>96-962000229</v>
      </c>
      <c r="M3047" s="114">
        <v>962000229</v>
      </c>
      <c r="N3047" s="114" t="s">
        <v>7112</v>
      </c>
    </row>
    <row r="3048" spans="1:14">
      <c r="A3048" t="s">
        <v>4259</v>
      </c>
      <c r="B3048" s="1" t="s">
        <v>5080</v>
      </c>
      <c r="I3048" s="109"/>
      <c r="J3048" s="109"/>
      <c r="K3048" s="109"/>
      <c r="L3048" s="109" t="str">
        <f t="shared" si="47"/>
        <v>96-962000230</v>
      </c>
      <c r="M3048" s="114">
        <v>962000230</v>
      </c>
      <c r="N3048" s="114" t="s">
        <v>7112</v>
      </c>
    </row>
    <row r="3049" spans="1:14">
      <c r="A3049" t="s">
        <v>4242</v>
      </c>
      <c r="B3049" s="1" t="s">
        <v>5080</v>
      </c>
      <c r="I3049" s="109"/>
      <c r="J3049" s="109"/>
      <c r="K3049" s="109"/>
      <c r="L3049" s="109" t="str">
        <f t="shared" si="47"/>
        <v>96-966200052</v>
      </c>
      <c r="M3049" s="114">
        <v>966200052</v>
      </c>
      <c r="N3049" s="114" t="s">
        <v>7998</v>
      </c>
    </row>
    <row r="3050" spans="1:14">
      <c r="A3050" t="s">
        <v>4243</v>
      </c>
      <c r="B3050" s="1" t="s">
        <v>5080</v>
      </c>
      <c r="I3050" s="109"/>
      <c r="J3050" s="109"/>
      <c r="K3050" s="109"/>
      <c r="L3050" s="109" t="str">
        <f t="shared" si="47"/>
        <v>96-966200091</v>
      </c>
      <c r="M3050" s="114">
        <v>966200091</v>
      </c>
      <c r="N3050" s="114" t="s">
        <v>7999</v>
      </c>
    </row>
    <row r="3051" spans="1:14">
      <c r="A3051" t="s">
        <v>4240</v>
      </c>
      <c r="B3051" s="1" t="s">
        <v>5080</v>
      </c>
      <c r="I3051" s="109"/>
      <c r="J3051" s="109"/>
      <c r="K3051" s="109"/>
      <c r="L3051" s="109" t="str">
        <f t="shared" si="47"/>
        <v>96-966200210</v>
      </c>
      <c r="M3051" s="114">
        <v>966200210</v>
      </c>
      <c r="N3051" s="114" t="s">
        <v>8000</v>
      </c>
    </row>
    <row r="3052" spans="1:14">
      <c r="A3052" t="s">
        <v>4237</v>
      </c>
      <c r="B3052" s="1" t="s">
        <v>5080</v>
      </c>
      <c r="I3052" s="109"/>
      <c r="J3052" s="109"/>
      <c r="K3052" s="109"/>
      <c r="L3052" s="109" t="str">
        <f t="shared" si="47"/>
        <v>96-966200226</v>
      </c>
      <c r="M3052" s="114">
        <v>966200226</v>
      </c>
      <c r="N3052" s="114" t="s">
        <v>8001</v>
      </c>
    </row>
    <row r="3053" spans="1:14">
      <c r="A3053" t="s">
        <v>4238</v>
      </c>
      <c r="B3053" s="1" t="s">
        <v>5080</v>
      </c>
      <c r="I3053" s="109"/>
      <c r="J3053" s="109"/>
      <c r="K3053" s="109"/>
      <c r="L3053" s="109" t="str">
        <f t="shared" si="47"/>
        <v>95-952000092</v>
      </c>
      <c r="M3053" s="114">
        <v>952000092</v>
      </c>
      <c r="N3053" s="114" t="s">
        <v>7326</v>
      </c>
    </row>
    <row r="3054" spans="1:14">
      <c r="A3054" t="s">
        <v>4239</v>
      </c>
      <c r="B3054" s="1" t="s">
        <v>5080</v>
      </c>
      <c r="I3054" s="109"/>
      <c r="J3054" s="109"/>
      <c r="K3054" s="109"/>
      <c r="L3054" s="109" t="str">
        <f t="shared" si="47"/>
        <v>95-952000287</v>
      </c>
      <c r="M3054" s="114">
        <v>952000287</v>
      </c>
      <c r="N3054" s="114" t="s">
        <v>7280</v>
      </c>
    </row>
    <row r="3055" spans="1:14">
      <c r="A3055" t="s">
        <v>4241</v>
      </c>
      <c r="B3055" s="1" t="s">
        <v>5080</v>
      </c>
      <c r="I3055" s="109"/>
      <c r="J3055" s="109"/>
      <c r="K3055" s="109"/>
      <c r="L3055" s="109" t="str">
        <f t="shared" si="47"/>
        <v>95-952000327</v>
      </c>
      <c r="M3055" s="114">
        <v>952000327</v>
      </c>
      <c r="N3055" s="114" t="s">
        <v>7420</v>
      </c>
    </row>
    <row r="3056" spans="1:14">
      <c r="A3056" t="s">
        <v>4236</v>
      </c>
      <c r="B3056" s="1" t="s">
        <v>5080</v>
      </c>
      <c r="I3056" s="109"/>
      <c r="J3056" s="109"/>
      <c r="K3056" s="109"/>
      <c r="L3056" s="109" t="str">
        <f t="shared" si="47"/>
        <v>95-952000111</v>
      </c>
      <c r="M3056" s="114">
        <v>952000111</v>
      </c>
      <c r="N3056" s="114" t="s">
        <v>7321</v>
      </c>
    </row>
    <row r="3057" spans="1:14">
      <c r="A3057" t="s">
        <v>4192</v>
      </c>
      <c r="B3057" s="1" t="s">
        <v>5080</v>
      </c>
      <c r="I3057" s="109"/>
      <c r="J3057" s="109"/>
      <c r="K3057" s="109"/>
      <c r="L3057" s="109" t="str">
        <f t="shared" si="47"/>
        <v>95-952000329</v>
      </c>
      <c r="M3057" s="114">
        <v>952000329</v>
      </c>
      <c r="N3057" s="114" t="s">
        <v>7420</v>
      </c>
    </row>
    <row r="3058" spans="1:14">
      <c r="A3058" t="s">
        <v>4201</v>
      </c>
      <c r="B3058" s="1" t="s">
        <v>5080</v>
      </c>
      <c r="I3058" s="109"/>
      <c r="J3058" s="109"/>
      <c r="K3058" s="109"/>
      <c r="L3058" s="109" t="str">
        <f t="shared" si="47"/>
        <v>95-952000244</v>
      </c>
      <c r="M3058" s="114">
        <v>952000244</v>
      </c>
      <c r="N3058" s="114" t="s">
        <v>7327</v>
      </c>
    </row>
    <row r="3059" spans="1:14">
      <c r="A3059" t="s">
        <v>4209</v>
      </c>
      <c r="B3059" s="1" t="s">
        <v>5080</v>
      </c>
      <c r="I3059" s="109"/>
      <c r="J3059" s="109"/>
      <c r="K3059" s="109"/>
      <c r="L3059" s="109" t="str">
        <f t="shared" si="47"/>
        <v>96-962000035</v>
      </c>
      <c r="M3059" s="114">
        <v>962000035</v>
      </c>
      <c r="N3059" s="114" t="s">
        <v>7112</v>
      </c>
    </row>
    <row r="3060" spans="1:14">
      <c r="A3060" t="s">
        <v>4190</v>
      </c>
      <c r="B3060" s="1" t="s">
        <v>5080</v>
      </c>
      <c r="I3060" s="109"/>
      <c r="J3060" s="109"/>
      <c r="K3060" s="109"/>
      <c r="L3060" s="109" t="str">
        <f t="shared" si="47"/>
        <v>96-962000074</v>
      </c>
      <c r="M3060" s="114">
        <v>962000074</v>
      </c>
      <c r="N3060" s="114" t="s">
        <v>7112</v>
      </c>
    </row>
    <row r="3061" spans="1:14">
      <c r="A3061" t="s">
        <v>4191</v>
      </c>
      <c r="B3061" s="1" t="s">
        <v>5080</v>
      </c>
      <c r="I3061" s="109"/>
      <c r="J3061" s="109"/>
      <c r="K3061" s="109"/>
      <c r="L3061" s="109" t="str">
        <f t="shared" si="47"/>
        <v>96-962000015</v>
      </c>
      <c r="M3061" s="114">
        <v>962000015</v>
      </c>
      <c r="N3061" s="114" t="s">
        <v>7112</v>
      </c>
    </row>
    <row r="3062" spans="1:14">
      <c r="A3062" t="s">
        <v>4260</v>
      </c>
      <c r="B3062" s="1" t="s">
        <v>5080</v>
      </c>
      <c r="I3062" s="109"/>
      <c r="J3062" s="109"/>
      <c r="K3062" s="109"/>
      <c r="L3062" s="109" t="str">
        <f t="shared" si="47"/>
        <v>95-954200001</v>
      </c>
      <c r="M3062" s="114">
        <v>954200001</v>
      </c>
      <c r="N3062" s="114" t="s">
        <v>5628</v>
      </c>
    </row>
    <row r="3063" spans="1:14">
      <c r="A3063" t="s">
        <v>4202</v>
      </c>
      <c r="B3063" s="1" t="s">
        <v>5080</v>
      </c>
      <c r="I3063" s="109"/>
      <c r="J3063" s="109"/>
      <c r="K3063" s="109"/>
      <c r="L3063" s="109" t="str">
        <f t="shared" si="47"/>
        <v>96-966000008</v>
      </c>
      <c r="M3063" s="114">
        <v>966000008</v>
      </c>
      <c r="N3063" s="114" t="s">
        <v>7146</v>
      </c>
    </row>
    <row r="3064" spans="1:14">
      <c r="A3064" t="s">
        <v>4478</v>
      </c>
      <c r="B3064" s="1" t="s">
        <v>5080</v>
      </c>
      <c r="I3064" s="109"/>
      <c r="J3064" s="109"/>
      <c r="K3064" s="109"/>
      <c r="L3064" s="109" t="str">
        <f t="shared" si="47"/>
        <v>95-951100046</v>
      </c>
      <c r="M3064" s="114">
        <v>951100046</v>
      </c>
      <c r="N3064" s="114" t="s">
        <v>7947</v>
      </c>
    </row>
    <row r="3065" spans="1:14">
      <c r="A3065" t="s">
        <v>4225</v>
      </c>
      <c r="B3065" s="1" t="s">
        <v>5080</v>
      </c>
      <c r="I3065" s="109"/>
      <c r="J3065" s="109"/>
      <c r="K3065" s="109"/>
      <c r="L3065" s="109" t="str">
        <f t="shared" si="47"/>
        <v>96-966200294</v>
      </c>
      <c r="M3065" s="114">
        <v>966200294</v>
      </c>
      <c r="N3065" s="114" t="s">
        <v>7130</v>
      </c>
    </row>
    <row r="3066" spans="1:14">
      <c r="A3066" t="s">
        <v>4193</v>
      </c>
      <c r="B3066" s="1" t="s">
        <v>5080</v>
      </c>
      <c r="I3066" s="109"/>
      <c r="J3066" s="109"/>
      <c r="K3066" s="109"/>
      <c r="L3066" s="109" t="str">
        <f t="shared" si="47"/>
        <v>96-966200313</v>
      </c>
      <c r="M3066" s="114">
        <v>966200313</v>
      </c>
      <c r="N3066" s="114" t="s">
        <v>8747</v>
      </c>
    </row>
    <row r="3067" spans="1:14">
      <c r="A3067" t="s">
        <v>4208</v>
      </c>
      <c r="B3067" s="1" t="s">
        <v>5080</v>
      </c>
      <c r="I3067" s="109"/>
      <c r="J3067" s="109"/>
      <c r="K3067" s="109"/>
      <c r="L3067" s="109" t="str">
        <f t="shared" si="47"/>
        <v>96-966200335</v>
      </c>
      <c r="M3067" s="114">
        <v>966200335</v>
      </c>
      <c r="N3067" s="114" t="s">
        <v>8697</v>
      </c>
    </row>
    <row r="3068" spans="1:14">
      <c r="A3068" t="s">
        <v>4592</v>
      </c>
      <c r="B3068" s="1" t="s">
        <v>5080</v>
      </c>
      <c r="I3068" s="109"/>
      <c r="J3068" s="109"/>
      <c r="K3068" s="109"/>
      <c r="L3068" s="109" t="str">
        <f t="shared" si="47"/>
        <v>95-956000009</v>
      </c>
      <c r="M3068" s="114">
        <v>956000009</v>
      </c>
      <c r="N3068" s="114" t="s">
        <v>7146</v>
      </c>
    </row>
    <row r="3069" spans="1:14">
      <c r="A3069" t="s">
        <v>4673</v>
      </c>
      <c r="B3069" s="1" t="s">
        <v>5080</v>
      </c>
      <c r="I3069" s="109"/>
      <c r="J3069" s="109"/>
      <c r="K3069" s="109"/>
      <c r="L3069" s="109" t="str">
        <f t="shared" si="47"/>
        <v>95-954100003</v>
      </c>
      <c r="M3069" s="114">
        <v>954100003</v>
      </c>
      <c r="N3069" s="114" t="s">
        <v>5615</v>
      </c>
    </row>
    <row r="3070" spans="1:14">
      <c r="A3070" t="s">
        <v>4680</v>
      </c>
      <c r="B3070" s="1" t="s">
        <v>5080</v>
      </c>
      <c r="I3070" s="109"/>
      <c r="J3070" s="109"/>
      <c r="K3070" s="109"/>
      <c r="L3070" s="109" t="str">
        <f t="shared" si="47"/>
        <v>95-954100007</v>
      </c>
      <c r="M3070" s="114">
        <v>954100007</v>
      </c>
      <c r="N3070" s="114" t="s">
        <v>5623</v>
      </c>
    </row>
    <row r="3071" spans="1:14">
      <c r="A3071" t="s">
        <v>4224</v>
      </c>
      <c r="B3071" s="1" t="s">
        <v>5080</v>
      </c>
      <c r="I3071" s="109"/>
      <c r="J3071" s="109"/>
      <c r="K3071" s="109"/>
      <c r="L3071" s="109" t="str">
        <f t="shared" si="47"/>
        <v>95-954100014</v>
      </c>
      <c r="M3071" s="114">
        <v>954100014</v>
      </c>
      <c r="N3071" s="114" t="s">
        <v>5626</v>
      </c>
    </row>
    <row r="3072" spans="1:14">
      <c r="A3072" t="s">
        <v>4214</v>
      </c>
      <c r="B3072" s="1" t="s">
        <v>5080</v>
      </c>
      <c r="I3072" s="109"/>
      <c r="J3072" s="109"/>
      <c r="K3072" s="109"/>
      <c r="L3072" s="109" t="str">
        <f t="shared" si="47"/>
        <v>95-954100016</v>
      </c>
      <c r="M3072" s="114">
        <v>954100016</v>
      </c>
      <c r="N3072" s="114" t="s">
        <v>5626</v>
      </c>
    </row>
    <row r="3073" spans="1:14">
      <c r="A3073" t="s">
        <v>4485</v>
      </c>
      <c r="B3073" s="1" t="s">
        <v>5080</v>
      </c>
      <c r="I3073" s="109"/>
      <c r="J3073" s="109"/>
      <c r="K3073" s="109"/>
      <c r="L3073" s="109" t="str">
        <f t="shared" si="47"/>
        <v>95-954100022</v>
      </c>
      <c r="M3073" s="114">
        <v>954100022</v>
      </c>
      <c r="N3073" s="114" t="s">
        <v>5691</v>
      </c>
    </row>
    <row r="3074" spans="1:14">
      <c r="A3074" t="s">
        <v>4604</v>
      </c>
      <c r="B3074" s="1" t="s">
        <v>5080</v>
      </c>
      <c r="I3074" s="109"/>
      <c r="J3074" s="109"/>
      <c r="K3074" s="109"/>
      <c r="L3074" s="109" t="str">
        <f t="shared" si="47"/>
        <v>96-966000014</v>
      </c>
      <c r="M3074" s="114">
        <v>966000014</v>
      </c>
      <c r="N3074" s="114" t="s">
        <v>7146</v>
      </c>
    </row>
    <row r="3075" spans="1:14">
      <c r="A3075" t="s">
        <v>4899</v>
      </c>
      <c r="B3075" s="1" t="s">
        <v>5080</v>
      </c>
      <c r="I3075" s="109"/>
      <c r="J3075" s="109"/>
      <c r="K3075" s="109"/>
      <c r="L3075" s="109" t="str">
        <f t="shared" ref="L3075:L3138" si="48">MID(M3075,1,2)&amp;"-"&amp;M3075</f>
        <v>95-956000004</v>
      </c>
      <c r="M3075" s="114">
        <v>956000004</v>
      </c>
      <c r="N3075" s="114" t="s">
        <v>7146</v>
      </c>
    </row>
    <row r="3076" spans="1:14">
      <c r="A3076" t="s">
        <v>4721</v>
      </c>
      <c r="B3076" s="1" t="s">
        <v>5080</v>
      </c>
      <c r="I3076" s="109"/>
      <c r="J3076" s="109"/>
      <c r="K3076" s="109"/>
      <c r="L3076" s="109" t="str">
        <f t="shared" si="48"/>
        <v>95-952000264</v>
      </c>
      <c r="M3076" s="114">
        <v>952000264</v>
      </c>
      <c r="N3076" s="114" t="s">
        <v>7280</v>
      </c>
    </row>
    <row r="3077" spans="1:14">
      <c r="A3077" t="s">
        <v>4728</v>
      </c>
      <c r="B3077" s="1" t="s">
        <v>5080</v>
      </c>
      <c r="I3077" s="109"/>
      <c r="J3077" s="109"/>
      <c r="K3077" s="109"/>
      <c r="L3077" s="109" t="str">
        <f t="shared" si="48"/>
        <v>95-951100080</v>
      </c>
      <c r="M3077" s="114">
        <v>951100080</v>
      </c>
      <c r="N3077" s="114" t="s">
        <v>8046</v>
      </c>
    </row>
    <row r="3078" spans="1:14">
      <c r="A3078" t="s">
        <v>5031</v>
      </c>
      <c r="B3078" s="1" t="s">
        <v>5080</v>
      </c>
      <c r="I3078" s="109"/>
      <c r="J3078" s="109"/>
      <c r="K3078" s="109"/>
      <c r="L3078" s="109" t="str">
        <f t="shared" si="48"/>
        <v>96-962000049</v>
      </c>
      <c r="M3078" s="114">
        <v>962000049</v>
      </c>
      <c r="N3078" s="114" t="s">
        <v>7112</v>
      </c>
    </row>
    <row r="3079" spans="1:14">
      <c r="A3079" t="s">
        <v>4226</v>
      </c>
      <c r="B3079" s="1" t="s">
        <v>5081</v>
      </c>
      <c r="I3079" s="109"/>
      <c r="J3079" s="109"/>
      <c r="K3079" s="109"/>
      <c r="L3079" s="109" t="str">
        <f t="shared" si="48"/>
        <v>95-952000107</v>
      </c>
      <c r="M3079" s="114">
        <v>952000107</v>
      </c>
      <c r="N3079" s="114" t="s">
        <v>7321</v>
      </c>
    </row>
    <row r="3080" spans="1:14">
      <c r="A3080" t="s">
        <v>3890</v>
      </c>
      <c r="B3080" s="1" t="s">
        <v>5081</v>
      </c>
      <c r="I3080" s="109"/>
      <c r="J3080" s="109"/>
      <c r="K3080" s="109"/>
      <c r="L3080" s="109" t="str">
        <f t="shared" si="48"/>
        <v>95-952000106</v>
      </c>
      <c r="M3080" s="114">
        <v>952000106</v>
      </c>
      <c r="N3080" s="114" t="s">
        <v>7321</v>
      </c>
    </row>
    <row r="3081" spans="1:14">
      <c r="A3081" t="s">
        <v>4456</v>
      </c>
      <c r="B3081" s="1" t="s">
        <v>5081</v>
      </c>
      <c r="I3081" s="109"/>
      <c r="J3081" s="109"/>
      <c r="K3081" s="109"/>
      <c r="L3081" s="109" t="str">
        <f t="shared" si="48"/>
        <v>95-952000279</v>
      </c>
      <c r="M3081" s="114">
        <v>952000279</v>
      </c>
      <c r="N3081" s="114" t="s">
        <v>7280</v>
      </c>
    </row>
    <row r="3082" spans="1:14">
      <c r="A3082" t="s">
        <v>3835</v>
      </c>
      <c r="B3082" s="1" t="s">
        <v>5081</v>
      </c>
      <c r="I3082" s="109"/>
      <c r="J3082" s="109"/>
      <c r="K3082" s="109"/>
      <c r="L3082" s="109" t="str">
        <f t="shared" si="48"/>
        <v>95-952000179</v>
      </c>
      <c r="M3082" s="114">
        <v>952000179</v>
      </c>
      <c r="N3082" s="114" t="s">
        <v>7392</v>
      </c>
    </row>
    <row r="3083" spans="1:14">
      <c r="A3083" t="s">
        <v>3654</v>
      </c>
      <c r="B3083" s="1" t="s">
        <v>5081</v>
      </c>
      <c r="I3083" s="109"/>
      <c r="J3083" s="109"/>
      <c r="K3083" s="109"/>
      <c r="L3083" s="109" t="str">
        <f t="shared" si="48"/>
        <v>95-954100039</v>
      </c>
      <c r="M3083" s="114">
        <v>954100039</v>
      </c>
      <c r="N3083" s="114" t="s">
        <v>5756</v>
      </c>
    </row>
    <row r="3084" spans="1:14">
      <c r="A3084" t="s">
        <v>4475</v>
      </c>
      <c r="B3084" s="1" t="s">
        <v>5081</v>
      </c>
      <c r="I3084" s="109"/>
      <c r="J3084" s="109"/>
      <c r="K3084" s="109"/>
      <c r="L3084" s="109" t="str">
        <f t="shared" si="48"/>
        <v>96-964100006</v>
      </c>
      <c r="M3084" s="114">
        <v>964100006</v>
      </c>
      <c r="N3084" s="114" t="s">
        <v>5782</v>
      </c>
    </row>
    <row r="3085" spans="1:14">
      <c r="A3085" t="s">
        <v>4459</v>
      </c>
      <c r="B3085" s="1" t="s">
        <v>5081</v>
      </c>
      <c r="I3085" s="109"/>
      <c r="J3085" s="109"/>
      <c r="K3085" s="109"/>
      <c r="L3085" s="109" t="str">
        <f t="shared" si="48"/>
        <v>96-964100027</v>
      </c>
      <c r="M3085" s="114">
        <v>964100027</v>
      </c>
      <c r="N3085" s="114" t="s">
        <v>5809</v>
      </c>
    </row>
    <row r="3086" spans="1:14">
      <c r="A3086" t="s">
        <v>4671</v>
      </c>
      <c r="B3086" s="1" t="s">
        <v>5081</v>
      </c>
      <c r="I3086" s="109"/>
      <c r="J3086" s="109"/>
      <c r="K3086" s="109"/>
      <c r="L3086" s="109" t="str">
        <f t="shared" si="48"/>
        <v>96-964100034</v>
      </c>
      <c r="M3086" s="114">
        <v>964100034</v>
      </c>
      <c r="N3086" s="114" t="s">
        <v>5817</v>
      </c>
    </row>
    <row r="3087" spans="1:14">
      <c r="A3087" t="s">
        <v>4896</v>
      </c>
      <c r="B3087" s="1" t="s">
        <v>5081</v>
      </c>
      <c r="I3087" s="109"/>
      <c r="J3087" s="109"/>
      <c r="K3087" s="109"/>
      <c r="L3087" s="109" t="str">
        <f t="shared" si="48"/>
        <v>96-964100038</v>
      </c>
      <c r="M3087" s="114">
        <v>964100038</v>
      </c>
      <c r="N3087" s="114" t="s">
        <v>5834</v>
      </c>
    </row>
    <row r="3088" spans="1:14">
      <c r="A3088" t="s">
        <v>4906</v>
      </c>
      <c r="B3088" s="1" t="s">
        <v>5081</v>
      </c>
      <c r="I3088" s="109"/>
      <c r="J3088" s="109"/>
      <c r="K3088" s="109"/>
      <c r="L3088" s="109" t="str">
        <f t="shared" si="48"/>
        <v>96-964100052</v>
      </c>
      <c r="M3088" s="114">
        <v>964100052</v>
      </c>
      <c r="N3088" s="114" t="s">
        <v>7138</v>
      </c>
    </row>
    <row r="3089" spans="1:14">
      <c r="A3089" t="s">
        <v>4937</v>
      </c>
      <c r="B3089" s="1" t="s">
        <v>5081</v>
      </c>
      <c r="I3089" s="109"/>
      <c r="J3089" s="109"/>
      <c r="K3089" s="109"/>
      <c r="L3089" s="109" t="str">
        <f t="shared" si="48"/>
        <v>96-964100054</v>
      </c>
      <c r="M3089" s="114">
        <v>964100054</v>
      </c>
      <c r="N3089" s="114" t="s">
        <v>7144</v>
      </c>
    </row>
    <row r="3090" spans="1:14">
      <c r="A3090" t="s">
        <v>4580</v>
      </c>
      <c r="B3090" s="1" t="s">
        <v>5082</v>
      </c>
      <c r="I3090" s="109"/>
      <c r="J3090" s="109"/>
      <c r="K3090" s="109"/>
      <c r="L3090" s="109" t="str">
        <f t="shared" si="48"/>
        <v>96-964300001</v>
      </c>
      <c r="M3090" s="114">
        <v>964300001</v>
      </c>
      <c r="N3090" s="114" t="s">
        <v>7483</v>
      </c>
    </row>
    <row r="3091" spans="1:14">
      <c r="A3091" t="s">
        <v>4299</v>
      </c>
      <c r="B3091" s="1" t="s">
        <v>5082</v>
      </c>
      <c r="I3091" s="109"/>
      <c r="J3091" s="109"/>
      <c r="K3091" s="109"/>
      <c r="L3091" s="109" t="str">
        <f t="shared" si="48"/>
        <v>96-964300003</v>
      </c>
      <c r="M3091" s="114">
        <v>964300003</v>
      </c>
      <c r="N3091" s="114" t="s">
        <v>7483</v>
      </c>
    </row>
    <row r="3092" spans="1:14">
      <c r="A3092" t="s">
        <v>4289</v>
      </c>
      <c r="B3092" s="1" t="s">
        <v>5082</v>
      </c>
      <c r="I3092" s="109"/>
      <c r="J3092" s="109"/>
      <c r="K3092" s="109"/>
      <c r="L3092" s="109" t="str">
        <f t="shared" si="48"/>
        <v>96-962000195</v>
      </c>
      <c r="M3092" s="114">
        <v>962000195</v>
      </c>
      <c r="N3092" s="114" t="s">
        <v>7112</v>
      </c>
    </row>
    <row r="3093" spans="1:14">
      <c r="A3093" t="s">
        <v>4268</v>
      </c>
      <c r="B3093" s="1" t="s">
        <v>5082</v>
      </c>
      <c r="I3093" s="109"/>
      <c r="J3093" s="109"/>
      <c r="K3093" s="109"/>
      <c r="L3093" s="109" t="str">
        <f t="shared" si="48"/>
        <v>95-956200208</v>
      </c>
      <c r="M3093" s="114">
        <v>956200208</v>
      </c>
      <c r="N3093" s="114" t="s">
        <v>7357</v>
      </c>
    </row>
    <row r="3094" spans="1:14">
      <c r="A3094" t="s">
        <v>4290</v>
      </c>
      <c r="B3094" s="1" t="s">
        <v>5082</v>
      </c>
      <c r="I3094" s="109"/>
      <c r="J3094" s="109"/>
      <c r="K3094" s="109"/>
      <c r="L3094" s="109" t="str">
        <f t="shared" si="48"/>
        <v>96-966200214</v>
      </c>
      <c r="M3094" s="114">
        <v>966200214</v>
      </c>
      <c r="N3094" s="114" t="s">
        <v>7954</v>
      </c>
    </row>
    <row r="3095" spans="1:14">
      <c r="A3095" t="s">
        <v>4291</v>
      </c>
      <c r="B3095" s="1" t="s">
        <v>5082</v>
      </c>
      <c r="I3095" s="109"/>
      <c r="J3095" s="109"/>
      <c r="K3095" s="109"/>
      <c r="L3095" s="109" t="str">
        <f t="shared" si="48"/>
        <v>95-952000274</v>
      </c>
      <c r="M3095" s="114">
        <v>952000274</v>
      </c>
      <c r="N3095" s="114" t="s">
        <v>7280</v>
      </c>
    </row>
    <row r="3096" spans="1:14">
      <c r="A3096" t="s">
        <v>4203</v>
      </c>
      <c r="B3096" s="1" t="s">
        <v>5082</v>
      </c>
      <c r="I3096" s="109"/>
      <c r="J3096" s="109"/>
      <c r="K3096" s="109"/>
      <c r="L3096" s="109" t="str">
        <f t="shared" si="48"/>
        <v>95-952000302</v>
      </c>
      <c r="M3096" s="114">
        <v>952000302</v>
      </c>
      <c r="N3096" s="114" t="s">
        <v>7329</v>
      </c>
    </row>
    <row r="3097" spans="1:14">
      <c r="A3097" t="s">
        <v>4269</v>
      </c>
      <c r="B3097" s="1" t="s">
        <v>5082</v>
      </c>
      <c r="I3097" s="109"/>
      <c r="J3097" s="109"/>
      <c r="K3097" s="109"/>
      <c r="L3097" s="109" t="str">
        <f t="shared" si="48"/>
        <v>95-952000214</v>
      </c>
      <c r="M3097" s="114">
        <v>952000214</v>
      </c>
      <c r="N3097" s="114" t="s">
        <v>7342</v>
      </c>
    </row>
    <row r="3098" spans="1:14">
      <c r="A3098" t="s">
        <v>4281</v>
      </c>
      <c r="B3098" s="1" t="s">
        <v>5082</v>
      </c>
      <c r="I3098" s="109"/>
      <c r="J3098" s="109"/>
      <c r="K3098" s="109"/>
      <c r="L3098" s="109" t="str">
        <f t="shared" si="48"/>
        <v>95-952000174</v>
      </c>
      <c r="M3098" s="114">
        <v>952000174</v>
      </c>
      <c r="N3098" s="114" t="s">
        <v>7392</v>
      </c>
    </row>
    <row r="3099" spans="1:14">
      <c r="A3099" t="s">
        <v>4294</v>
      </c>
      <c r="B3099" s="1" t="s">
        <v>5082</v>
      </c>
      <c r="I3099" s="109"/>
      <c r="J3099" s="109"/>
      <c r="K3099" s="109"/>
      <c r="L3099" s="109" t="str">
        <f t="shared" si="48"/>
        <v>96-962000207</v>
      </c>
      <c r="M3099" s="114">
        <v>962000207</v>
      </c>
      <c r="N3099" s="114" t="s">
        <v>7112</v>
      </c>
    </row>
    <row r="3100" spans="1:14">
      <c r="A3100" t="s">
        <v>4288</v>
      </c>
      <c r="B3100" s="1" t="s">
        <v>5082</v>
      </c>
      <c r="I3100" s="109"/>
      <c r="J3100" s="109"/>
      <c r="K3100" s="109"/>
      <c r="L3100" s="109" t="str">
        <f t="shared" si="48"/>
        <v>96-961200064</v>
      </c>
      <c r="M3100" s="114">
        <v>961200064</v>
      </c>
      <c r="N3100" s="114" t="s">
        <v>7117</v>
      </c>
    </row>
    <row r="3101" spans="1:14">
      <c r="A3101" t="s">
        <v>4285</v>
      </c>
      <c r="B3101" s="1" t="s">
        <v>5082</v>
      </c>
      <c r="I3101" s="109"/>
      <c r="J3101" s="109"/>
      <c r="K3101" s="109"/>
      <c r="L3101" s="109" t="str">
        <f t="shared" si="48"/>
        <v>96-961100046</v>
      </c>
      <c r="M3101" s="114">
        <v>961100046</v>
      </c>
      <c r="N3101" s="114" t="s">
        <v>7959</v>
      </c>
    </row>
    <row r="3102" spans="1:14">
      <c r="A3102" t="s">
        <v>4265</v>
      </c>
      <c r="B3102" s="1" t="s">
        <v>5082</v>
      </c>
      <c r="I3102" s="109"/>
      <c r="J3102" s="109"/>
      <c r="K3102" s="109"/>
      <c r="L3102" s="109" t="str">
        <f t="shared" si="48"/>
        <v>95-956200340</v>
      </c>
      <c r="M3102" s="114">
        <v>956200340</v>
      </c>
      <c r="N3102" s="114" t="s">
        <v>7292</v>
      </c>
    </row>
    <row r="3103" spans="1:14">
      <c r="A3103" t="s">
        <v>4284</v>
      </c>
      <c r="B3103" s="1" t="s">
        <v>5082</v>
      </c>
      <c r="I3103" s="109"/>
      <c r="J3103" s="109"/>
      <c r="K3103" s="109"/>
      <c r="L3103" s="109" t="str">
        <f t="shared" si="48"/>
        <v>95-956200366</v>
      </c>
      <c r="M3103" s="114">
        <v>956200366</v>
      </c>
      <c r="N3103" s="114" t="s">
        <v>7393</v>
      </c>
    </row>
    <row r="3104" spans="1:14">
      <c r="A3104" t="s">
        <v>4293</v>
      </c>
      <c r="B3104" s="1" t="s">
        <v>5082</v>
      </c>
      <c r="I3104" s="109"/>
      <c r="J3104" s="109"/>
      <c r="K3104" s="109"/>
      <c r="L3104" s="109" t="str">
        <f t="shared" si="48"/>
        <v>95-956200368</v>
      </c>
      <c r="M3104" s="114">
        <v>956200368</v>
      </c>
      <c r="N3104" s="114" t="s">
        <v>7393</v>
      </c>
    </row>
    <row r="3105" spans="1:14">
      <c r="A3105" t="s">
        <v>4277</v>
      </c>
      <c r="B3105" s="1" t="s">
        <v>5082</v>
      </c>
      <c r="I3105" s="109"/>
      <c r="J3105" s="109"/>
      <c r="K3105" s="109"/>
      <c r="L3105" s="109" t="str">
        <f t="shared" si="48"/>
        <v>95-956200373</v>
      </c>
      <c r="M3105" s="114">
        <v>956200373</v>
      </c>
      <c r="N3105" s="114" t="s">
        <v>7393</v>
      </c>
    </row>
    <row r="3106" spans="1:14">
      <c r="A3106" t="s">
        <v>4266</v>
      </c>
      <c r="B3106" s="1" t="s">
        <v>5082</v>
      </c>
      <c r="I3106" s="109"/>
      <c r="J3106" s="109"/>
      <c r="K3106" s="109"/>
      <c r="L3106" s="109" t="str">
        <f t="shared" si="48"/>
        <v>96-961100034</v>
      </c>
      <c r="M3106" s="114">
        <v>961100034</v>
      </c>
      <c r="N3106" s="114" t="s">
        <v>7960</v>
      </c>
    </row>
    <row r="3107" spans="1:14">
      <c r="A3107" t="s">
        <v>4678</v>
      </c>
      <c r="B3107" s="1" t="s">
        <v>5082</v>
      </c>
      <c r="I3107" s="109"/>
      <c r="J3107" s="109"/>
      <c r="K3107" s="109"/>
      <c r="L3107" s="109" t="str">
        <f t="shared" si="48"/>
        <v>95-951100039</v>
      </c>
      <c r="M3107" s="114">
        <v>951100039</v>
      </c>
      <c r="N3107" s="114" t="s">
        <v>8029</v>
      </c>
    </row>
    <row r="3108" spans="1:14">
      <c r="A3108" t="s">
        <v>4296</v>
      </c>
      <c r="B3108" s="1" t="s">
        <v>5082</v>
      </c>
      <c r="I3108" s="109"/>
      <c r="J3108" s="109"/>
      <c r="K3108" s="109"/>
      <c r="L3108" s="109" t="str">
        <f t="shared" si="48"/>
        <v>95-952200002</v>
      </c>
      <c r="M3108" s="114">
        <v>952200002</v>
      </c>
      <c r="N3108" s="114" t="s">
        <v>7227</v>
      </c>
    </row>
    <row r="3109" spans="1:14">
      <c r="A3109" t="s">
        <v>4676</v>
      </c>
      <c r="B3109" s="1" t="s">
        <v>5082</v>
      </c>
      <c r="I3109" s="109"/>
      <c r="J3109" s="109"/>
      <c r="K3109" s="109"/>
      <c r="L3109" s="109" t="str">
        <f t="shared" si="48"/>
        <v>95-956200120</v>
      </c>
      <c r="M3109" s="114">
        <v>956200120</v>
      </c>
      <c r="N3109" s="114" t="s">
        <v>7963</v>
      </c>
    </row>
    <row r="3110" spans="1:14">
      <c r="A3110" t="s">
        <v>4304</v>
      </c>
      <c r="B3110" s="1" t="s">
        <v>5082</v>
      </c>
      <c r="I3110" s="109"/>
      <c r="J3110" s="109"/>
      <c r="K3110" s="109"/>
      <c r="L3110" s="109" t="str">
        <f t="shared" si="48"/>
        <v>96-966200194</v>
      </c>
      <c r="M3110" s="114">
        <v>966200194</v>
      </c>
      <c r="N3110" s="114" t="s">
        <v>7224</v>
      </c>
    </row>
    <row r="3111" spans="1:14">
      <c r="A3111" t="s">
        <v>4197</v>
      </c>
      <c r="B3111" s="1" t="s">
        <v>5082</v>
      </c>
      <c r="I3111" s="109"/>
      <c r="J3111" s="109"/>
      <c r="K3111" s="109"/>
      <c r="L3111" s="109" t="str">
        <f t="shared" si="48"/>
        <v>95-952000006</v>
      </c>
      <c r="M3111" s="114">
        <v>952000006</v>
      </c>
      <c r="N3111" s="114" t="s">
        <v>7384</v>
      </c>
    </row>
    <row r="3112" spans="1:14">
      <c r="A3112" t="s">
        <v>4585</v>
      </c>
      <c r="B3112" s="1" t="s">
        <v>5082</v>
      </c>
      <c r="I3112" s="109"/>
      <c r="J3112" s="109"/>
      <c r="K3112" s="109"/>
      <c r="L3112" s="109" t="str">
        <f t="shared" si="48"/>
        <v>95-952000196</v>
      </c>
      <c r="M3112" s="114">
        <v>952000196</v>
      </c>
      <c r="N3112" s="114" t="s">
        <v>7342</v>
      </c>
    </row>
    <row r="3113" spans="1:14">
      <c r="A3113" t="s">
        <v>4270</v>
      </c>
      <c r="B3113" s="1" t="s">
        <v>5082</v>
      </c>
      <c r="I3113" s="109"/>
      <c r="J3113" s="109"/>
      <c r="K3113" s="109"/>
      <c r="L3113" s="109" t="str">
        <f t="shared" si="48"/>
        <v>95-952000191</v>
      </c>
      <c r="M3113" s="114">
        <v>952000191</v>
      </c>
      <c r="N3113" s="114" t="s">
        <v>7342</v>
      </c>
    </row>
    <row r="3114" spans="1:14">
      <c r="A3114" t="s">
        <v>4280</v>
      </c>
      <c r="B3114" s="1" t="s">
        <v>5082</v>
      </c>
      <c r="I3114" s="109"/>
      <c r="J3114" s="109"/>
      <c r="K3114" s="109"/>
      <c r="L3114" s="109" t="str">
        <f t="shared" si="48"/>
        <v>95-956200045</v>
      </c>
      <c r="M3114" s="114">
        <v>956200045</v>
      </c>
      <c r="N3114" s="114" t="s">
        <v>7418</v>
      </c>
    </row>
    <row r="3115" spans="1:14">
      <c r="A3115" t="s">
        <v>4672</v>
      </c>
      <c r="B3115" s="1" t="s">
        <v>5082</v>
      </c>
      <c r="I3115" s="109"/>
      <c r="J3115" s="109"/>
      <c r="K3115" s="109"/>
      <c r="L3115" s="109" t="str">
        <f t="shared" si="48"/>
        <v>95-956200350</v>
      </c>
      <c r="M3115" s="114">
        <v>956200350</v>
      </c>
      <c r="N3115" s="114" t="s">
        <v>7292</v>
      </c>
    </row>
    <row r="3116" spans="1:14">
      <c r="A3116" t="s">
        <v>4587</v>
      </c>
      <c r="B3116" s="1" t="s">
        <v>5082</v>
      </c>
      <c r="I3116" s="109"/>
      <c r="J3116" s="109"/>
      <c r="K3116" s="109"/>
      <c r="L3116" s="109" t="str">
        <f t="shared" si="48"/>
        <v>95-956200008</v>
      </c>
      <c r="M3116" s="114">
        <v>956200008</v>
      </c>
      <c r="N3116" s="114" t="s">
        <v>7469</v>
      </c>
    </row>
    <row r="3117" spans="1:14">
      <c r="A3117" t="s">
        <v>4682</v>
      </c>
      <c r="B3117" s="1" t="s">
        <v>5082</v>
      </c>
      <c r="I3117" s="109"/>
      <c r="J3117" s="109"/>
      <c r="K3117" s="109"/>
      <c r="L3117" s="109" t="str">
        <f t="shared" si="48"/>
        <v>95-951100130</v>
      </c>
      <c r="M3117" s="114">
        <v>951100130</v>
      </c>
      <c r="N3117" s="114" t="s">
        <v>7470</v>
      </c>
    </row>
    <row r="3118" spans="1:14">
      <c r="A3118" t="s">
        <v>4609</v>
      </c>
      <c r="B3118" s="1" t="s">
        <v>5082</v>
      </c>
      <c r="I3118" s="109"/>
      <c r="J3118" s="109"/>
      <c r="K3118" s="109"/>
      <c r="L3118" s="109" t="str">
        <f t="shared" si="48"/>
        <v>95-951100054</v>
      </c>
      <c r="M3118" s="114">
        <v>951100054</v>
      </c>
      <c r="N3118" s="114" t="s">
        <v>7964</v>
      </c>
    </row>
    <row r="3119" spans="1:14">
      <c r="A3119" t="s">
        <v>4611</v>
      </c>
      <c r="B3119" s="1" t="s">
        <v>5082</v>
      </c>
      <c r="I3119" s="109"/>
      <c r="J3119" s="109"/>
      <c r="K3119" s="109"/>
      <c r="L3119" s="109" t="str">
        <f t="shared" si="48"/>
        <v>95-956200146</v>
      </c>
      <c r="M3119" s="114">
        <v>956200146</v>
      </c>
      <c r="N3119" s="114" t="s">
        <v>7965</v>
      </c>
    </row>
    <row r="3120" spans="1:14">
      <c r="A3120" t="s">
        <v>4685</v>
      </c>
      <c r="B3120" s="1" t="s">
        <v>5082</v>
      </c>
      <c r="I3120" s="109"/>
      <c r="J3120" s="109"/>
      <c r="K3120" s="109"/>
      <c r="L3120" s="109" t="str">
        <f t="shared" si="48"/>
        <v>96-962000040</v>
      </c>
      <c r="M3120" s="114">
        <v>962000040</v>
      </c>
      <c r="N3120" s="114" t="s">
        <v>7112</v>
      </c>
    </row>
    <row r="3121" spans="1:14">
      <c r="A3121" t="s">
        <v>4588</v>
      </c>
      <c r="B3121" s="1" t="s">
        <v>5082</v>
      </c>
      <c r="I3121" s="109"/>
      <c r="J3121" s="109"/>
      <c r="K3121" s="109"/>
      <c r="L3121" s="109" t="str">
        <f t="shared" si="48"/>
        <v>96-966200001</v>
      </c>
      <c r="M3121" s="114">
        <v>966200001</v>
      </c>
      <c r="N3121" s="114" t="s">
        <v>7475</v>
      </c>
    </row>
    <row r="3122" spans="1:14">
      <c r="A3122" t="s">
        <v>4297</v>
      </c>
      <c r="B3122" s="1" t="s">
        <v>5082</v>
      </c>
      <c r="I3122" s="109"/>
      <c r="J3122" s="109"/>
      <c r="K3122" s="109"/>
      <c r="L3122" s="109" t="str">
        <f t="shared" si="48"/>
        <v>95-951100019</v>
      </c>
      <c r="M3122" s="114">
        <v>951100019</v>
      </c>
      <c r="N3122" s="114" t="s">
        <v>8051</v>
      </c>
    </row>
    <row r="3123" spans="1:14">
      <c r="A3123" t="s">
        <v>4725</v>
      </c>
      <c r="B3123" s="1" t="s">
        <v>5082</v>
      </c>
      <c r="I3123" s="109"/>
      <c r="J3123" s="109"/>
      <c r="K3123" s="109"/>
      <c r="L3123" s="109" t="str">
        <f t="shared" si="48"/>
        <v>96-966200118</v>
      </c>
      <c r="M3123" s="114">
        <v>966200118</v>
      </c>
      <c r="N3123" s="114" t="s">
        <v>8052</v>
      </c>
    </row>
    <row r="3124" spans="1:14">
      <c r="A3124" t="s">
        <v>4690</v>
      </c>
      <c r="B3124" s="1" t="s">
        <v>5082</v>
      </c>
      <c r="I3124" s="109"/>
      <c r="J3124" s="109"/>
      <c r="K3124" s="109"/>
      <c r="L3124" s="109" t="str">
        <f t="shared" si="48"/>
        <v>95-956200122</v>
      </c>
      <c r="M3124" s="114">
        <v>956200122</v>
      </c>
      <c r="N3124" s="114" t="s">
        <v>7464</v>
      </c>
    </row>
    <row r="3125" spans="1:14">
      <c r="A3125" t="s">
        <v>4944</v>
      </c>
      <c r="B3125" s="1" t="s">
        <v>5082</v>
      </c>
      <c r="I3125" s="109"/>
      <c r="J3125" s="109"/>
      <c r="K3125" s="109"/>
      <c r="L3125" s="109" t="str">
        <f t="shared" si="48"/>
        <v>95-954200006</v>
      </c>
      <c r="M3125" s="114">
        <v>954200006</v>
      </c>
      <c r="N3125" s="114" t="s">
        <v>5628</v>
      </c>
    </row>
    <row r="3126" spans="1:14">
      <c r="A3126" t="s">
        <v>4276</v>
      </c>
      <c r="B3126" s="1" t="s">
        <v>5082</v>
      </c>
      <c r="I3126" s="109"/>
      <c r="J3126" s="109"/>
      <c r="K3126" s="109"/>
      <c r="L3126" s="109" t="str">
        <f t="shared" si="48"/>
        <v>96-966000013</v>
      </c>
      <c r="M3126" s="114">
        <v>966000013</v>
      </c>
      <c r="N3126" s="114" t="s">
        <v>7968</v>
      </c>
    </row>
    <row r="3127" spans="1:14">
      <c r="A3127" t="s">
        <v>4686</v>
      </c>
      <c r="B3127" s="1" t="s">
        <v>5082</v>
      </c>
      <c r="I3127" s="109"/>
      <c r="J3127" s="109"/>
      <c r="K3127" s="109"/>
      <c r="L3127" s="109" t="str">
        <f t="shared" si="48"/>
        <v>96-966000012</v>
      </c>
      <c r="M3127" s="114">
        <v>966000012</v>
      </c>
      <c r="N3127" s="114" t="s">
        <v>7146</v>
      </c>
    </row>
    <row r="3128" spans="1:14">
      <c r="A3128" t="s">
        <v>4610</v>
      </c>
      <c r="B3128" s="1" t="s">
        <v>5082</v>
      </c>
      <c r="I3128" s="109"/>
      <c r="J3128" s="109"/>
      <c r="K3128" s="109"/>
      <c r="L3128" s="109" t="str">
        <f t="shared" si="48"/>
        <v>96-962200004</v>
      </c>
      <c r="M3128" s="114">
        <v>962200004</v>
      </c>
      <c r="N3128" s="114" t="s">
        <v>7218</v>
      </c>
    </row>
    <row r="3129" spans="1:14">
      <c r="A3129" t="s">
        <v>4455</v>
      </c>
      <c r="B3129" s="1" t="s">
        <v>5082</v>
      </c>
      <c r="I3129" s="109"/>
      <c r="J3129" s="109"/>
      <c r="K3129" s="109"/>
      <c r="L3129" s="109" t="str">
        <f t="shared" si="48"/>
        <v>96-962200015</v>
      </c>
      <c r="M3129" s="114">
        <v>962200015</v>
      </c>
      <c r="N3129" s="114" t="s">
        <v>7484</v>
      </c>
    </row>
    <row r="3130" spans="1:14">
      <c r="A3130" t="s">
        <v>4577</v>
      </c>
      <c r="B3130" s="1" t="s">
        <v>5082</v>
      </c>
      <c r="I3130" s="109"/>
      <c r="J3130" s="109"/>
      <c r="K3130" s="109"/>
      <c r="L3130" s="109" t="str">
        <f t="shared" si="48"/>
        <v>96-962200044</v>
      </c>
      <c r="M3130" s="114">
        <v>962200044</v>
      </c>
      <c r="N3130" s="114" t="s">
        <v>7228</v>
      </c>
    </row>
    <row r="3131" spans="1:14">
      <c r="A3131" t="s">
        <v>4705</v>
      </c>
      <c r="B3131" s="1" t="s">
        <v>5082</v>
      </c>
      <c r="I3131" s="109"/>
      <c r="J3131" s="109"/>
      <c r="K3131" s="109"/>
      <c r="L3131" s="109" t="str">
        <f t="shared" si="48"/>
        <v>96-962200045</v>
      </c>
      <c r="M3131" s="114">
        <v>962200045</v>
      </c>
      <c r="N3131" s="114" t="s">
        <v>7452</v>
      </c>
    </row>
    <row r="3132" spans="1:14">
      <c r="A3132" t="s">
        <v>4448</v>
      </c>
      <c r="B3132" s="1" t="s">
        <v>5082</v>
      </c>
      <c r="I3132" s="109"/>
      <c r="J3132" s="109"/>
      <c r="K3132" s="109"/>
      <c r="L3132" s="109" t="str">
        <f t="shared" si="48"/>
        <v>96-962200056</v>
      </c>
      <c r="M3132" s="114">
        <v>962200056</v>
      </c>
      <c r="N3132" s="114" t="s">
        <v>7452</v>
      </c>
    </row>
    <row r="3133" spans="1:14">
      <c r="A3133" t="s">
        <v>4704</v>
      </c>
      <c r="B3133" s="1" t="s">
        <v>5082</v>
      </c>
      <c r="I3133" s="109"/>
      <c r="J3133" s="109"/>
      <c r="K3133" s="109"/>
      <c r="L3133" s="109" t="str">
        <f t="shared" si="48"/>
        <v>95-956200287</v>
      </c>
      <c r="M3133" s="114">
        <v>956200287</v>
      </c>
      <c r="N3133" s="114" t="s">
        <v>7284</v>
      </c>
    </row>
    <row r="3134" spans="1:14">
      <c r="A3134" t="s">
        <v>4722</v>
      </c>
      <c r="B3134" s="1" t="s">
        <v>5082</v>
      </c>
      <c r="I3134" s="109"/>
      <c r="J3134" s="109"/>
      <c r="K3134" s="109"/>
      <c r="L3134" s="109" t="str">
        <f t="shared" si="48"/>
        <v>96-962000085</v>
      </c>
      <c r="M3134" s="114">
        <v>962000085</v>
      </c>
      <c r="N3134" s="114" t="s">
        <v>7112</v>
      </c>
    </row>
    <row r="3135" spans="1:14">
      <c r="A3135" t="s">
        <v>4923</v>
      </c>
      <c r="B3135" s="1" t="s">
        <v>5082</v>
      </c>
      <c r="I3135" s="109"/>
      <c r="J3135" s="109"/>
      <c r="K3135" s="109"/>
      <c r="L3135" s="109" t="str">
        <f t="shared" si="48"/>
        <v>95-952000171</v>
      </c>
      <c r="M3135" s="114">
        <v>952000171</v>
      </c>
      <c r="N3135" s="114" t="s">
        <v>7392</v>
      </c>
    </row>
    <row r="3136" spans="1:14">
      <c r="A3136" s="1" t="s">
        <v>4902</v>
      </c>
      <c r="B3136" s="1" t="s">
        <v>5082</v>
      </c>
      <c r="I3136" s="109"/>
      <c r="J3136" s="109"/>
      <c r="K3136" s="109"/>
      <c r="L3136" s="109" t="str">
        <f t="shared" si="48"/>
        <v>95-952000055</v>
      </c>
      <c r="M3136" s="114">
        <v>952000055</v>
      </c>
      <c r="N3136" s="114" t="s">
        <v>7278</v>
      </c>
    </row>
    <row r="3137" spans="1:14">
      <c r="A3137" s="1" t="s">
        <v>5058</v>
      </c>
      <c r="B3137" s="1" t="s">
        <v>5083</v>
      </c>
      <c r="I3137" s="109"/>
      <c r="J3137" s="109"/>
      <c r="K3137" s="109"/>
      <c r="L3137" s="109" t="str">
        <f t="shared" si="48"/>
        <v>95-952000040</v>
      </c>
      <c r="M3137" s="114">
        <v>952000040</v>
      </c>
      <c r="N3137" s="114" t="s">
        <v>7331</v>
      </c>
    </row>
    <row r="3138" spans="1:14">
      <c r="A3138" t="s">
        <v>5019</v>
      </c>
      <c r="B3138" s="1" t="s">
        <v>5084</v>
      </c>
      <c r="I3138" s="109"/>
      <c r="J3138" s="109"/>
      <c r="K3138" s="109"/>
      <c r="L3138" s="109" t="str">
        <f t="shared" si="48"/>
        <v>95-951100028</v>
      </c>
      <c r="M3138" s="114">
        <v>951100028</v>
      </c>
      <c r="N3138" s="114" t="s">
        <v>8031</v>
      </c>
    </row>
    <row r="3139" spans="1:14">
      <c r="A3139" t="s">
        <v>5035</v>
      </c>
      <c r="B3139" s="1" t="s">
        <v>5084</v>
      </c>
      <c r="I3139" s="109"/>
      <c r="J3139" s="109"/>
      <c r="K3139" s="109"/>
      <c r="L3139" s="109" t="str">
        <f t="shared" ref="L3139:L3202" si="49">MID(M3139,1,2)&amp;"-"&amp;M3139</f>
        <v>95-956200058</v>
      </c>
      <c r="M3139" s="114">
        <v>956200058</v>
      </c>
      <c r="N3139" s="114" t="s">
        <v>7306</v>
      </c>
    </row>
    <row r="3140" spans="1:14">
      <c r="A3140" t="s">
        <v>5020</v>
      </c>
      <c r="B3140" s="1" t="s">
        <v>5084</v>
      </c>
      <c r="I3140" s="109"/>
      <c r="J3140" s="109"/>
      <c r="K3140" s="109"/>
      <c r="L3140" s="109" t="str">
        <f t="shared" si="49"/>
        <v>95-952000096</v>
      </c>
      <c r="M3140" s="114">
        <v>952000096</v>
      </c>
      <c r="N3140" s="114" t="s">
        <v>7321</v>
      </c>
    </row>
    <row r="3141" spans="1:14">
      <c r="A3141" s="1" t="s">
        <v>4913</v>
      </c>
      <c r="B3141" s="1" t="s">
        <v>5085</v>
      </c>
      <c r="I3141" s="109"/>
      <c r="J3141" s="109"/>
      <c r="K3141" s="109"/>
      <c r="L3141" s="109" t="str">
        <f t="shared" si="49"/>
        <v>95-952000266</v>
      </c>
      <c r="M3141" s="114">
        <v>952000266</v>
      </c>
      <c r="N3141" s="114" t="s">
        <v>7280</v>
      </c>
    </row>
    <row r="3142" spans="1:14">
      <c r="A3142" t="s">
        <v>4355</v>
      </c>
      <c r="B3142" s="1" t="s">
        <v>5088</v>
      </c>
      <c r="I3142" s="109"/>
      <c r="J3142" s="109"/>
      <c r="K3142" s="109"/>
      <c r="L3142" s="109" t="str">
        <f t="shared" si="49"/>
        <v>95-956200082</v>
      </c>
      <c r="M3142" s="114">
        <v>956200082</v>
      </c>
      <c r="N3142" s="114" t="s">
        <v>8053</v>
      </c>
    </row>
    <row r="3143" spans="1:14">
      <c r="A3143" t="s">
        <v>4346</v>
      </c>
      <c r="B3143" s="1" t="s">
        <v>5088</v>
      </c>
      <c r="I3143" s="109"/>
      <c r="J3143" s="109"/>
      <c r="K3143" s="109"/>
      <c r="L3143" s="109" t="str">
        <f t="shared" si="49"/>
        <v>96-966200192</v>
      </c>
      <c r="M3143" s="114">
        <v>966200192</v>
      </c>
      <c r="N3143" s="114" t="s">
        <v>7440</v>
      </c>
    </row>
    <row r="3144" spans="1:14">
      <c r="A3144" t="s">
        <v>4232</v>
      </c>
      <c r="B3144" s="1" t="s">
        <v>5088</v>
      </c>
      <c r="I3144" s="109"/>
      <c r="J3144" s="109"/>
      <c r="K3144" s="109"/>
      <c r="L3144" s="109" t="str">
        <f t="shared" si="49"/>
        <v>95-956300029</v>
      </c>
      <c r="M3144" s="114">
        <v>956300029</v>
      </c>
      <c r="N3144" s="114" t="s">
        <v>7427</v>
      </c>
    </row>
    <row r="3145" spans="1:14">
      <c r="A3145" t="s">
        <v>4348</v>
      </c>
      <c r="B3145" s="1" t="s">
        <v>5088</v>
      </c>
      <c r="I3145" s="109"/>
      <c r="J3145" s="109"/>
      <c r="K3145" s="109"/>
      <c r="L3145" s="109" t="str">
        <f t="shared" si="49"/>
        <v>95-956200040</v>
      </c>
      <c r="M3145" s="114">
        <v>956200040</v>
      </c>
      <c r="N3145" s="114" t="s">
        <v>7429</v>
      </c>
    </row>
    <row r="3146" spans="1:14">
      <c r="A3146" t="s">
        <v>4352</v>
      </c>
      <c r="B3146" s="1" t="s">
        <v>5088</v>
      </c>
      <c r="I3146" s="109"/>
      <c r="J3146" s="109"/>
      <c r="K3146" s="109"/>
      <c r="L3146" s="109" t="str">
        <f t="shared" si="49"/>
        <v>96-962000083</v>
      </c>
      <c r="M3146" s="114">
        <v>962000083</v>
      </c>
      <c r="N3146" s="114" t="s">
        <v>7112</v>
      </c>
    </row>
    <row r="3147" spans="1:14">
      <c r="A3147" t="s">
        <v>5063</v>
      </c>
      <c r="B3147" s="1" t="s">
        <v>5088</v>
      </c>
      <c r="I3147" s="109"/>
      <c r="J3147" s="109"/>
      <c r="K3147" s="109"/>
      <c r="L3147" s="109" t="str">
        <f t="shared" si="49"/>
        <v>95-952000069</v>
      </c>
      <c r="M3147" s="114">
        <v>952000069</v>
      </c>
      <c r="N3147" s="114" t="s">
        <v>7465</v>
      </c>
    </row>
    <row r="3148" spans="1:14">
      <c r="A3148" t="s">
        <v>5059</v>
      </c>
      <c r="B3148" s="1" t="s">
        <v>5088</v>
      </c>
      <c r="I3148" s="109"/>
      <c r="J3148" s="109"/>
      <c r="K3148" s="109"/>
      <c r="L3148" s="109" t="str">
        <f t="shared" si="49"/>
        <v>95-956200076</v>
      </c>
      <c r="M3148" s="114">
        <v>956200076</v>
      </c>
      <c r="N3148" s="114" t="s">
        <v>7459</v>
      </c>
    </row>
    <row r="3149" spans="1:14">
      <c r="A3149" t="s">
        <v>5086</v>
      </c>
      <c r="B3149" s="1" t="s">
        <v>5088</v>
      </c>
      <c r="I3149" s="109"/>
      <c r="J3149" s="109"/>
      <c r="K3149" s="109"/>
      <c r="L3149" s="109" t="str">
        <f t="shared" si="49"/>
        <v>95-952000260</v>
      </c>
      <c r="M3149" s="114">
        <v>952000260</v>
      </c>
      <c r="N3149" s="114" t="s">
        <v>7280</v>
      </c>
    </row>
    <row r="3150" spans="1:14">
      <c r="A3150" t="s">
        <v>5055</v>
      </c>
      <c r="B3150" s="1" t="s">
        <v>5088</v>
      </c>
      <c r="I3150" s="109"/>
      <c r="J3150" s="109"/>
      <c r="K3150" s="109"/>
      <c r="L3150" s="109" t="str">
        <f t="shared" si="49"/>
        <v>95-952000122</v>
      </c>
      <c r="M3150" s="114">
        <v>952000122</v>
      </c>
      <c r="N3150" s="114" t="s">
        <v>7274</v>
      </c>
    </row>
    <row r="3151" spans="1:14">
      <c r="A3151" t="s">
        <v>5064</v>
      </c>
      <c r="B3151" s="1" t="s">
        <v>5088</v>
      </c>
      <c r="I3151" s="109"/>
      <c r="J3151" s="109"/>
      <c r="K3151" s="109"/>
      <c r="L3151" s="109" t="str">
        <f t="shared" si="49"/>
        <v>95-956200087</v>
      </c>
      <c r="M3151" s="114">
        <v>956200087</v>
      </c>
      <c r="N3151" s="114" t="s">
        <v>8056</v>
      </c>
    </row>
    <row r="3152" spans="1:14">
      <c r="A3152" t="s">
        <v>5067</v>
      </c>
      <c r="B3152" s="1" t="s">
        <v>5088</v>
      </c>
      <c r="I3152" s="109"/>
      <c r="J3152" s="109"/>
      <c r="K3152" s="109"/>
      <c r="L3152" s="109" t="str">
        <f t="shared" si="49"/>
        <v>95-956200088</v>
      </c>
      <c r="M3152" s="114">
        <v>956200088</v>
      </c>
      <c r="N3152" s="114" t="s">
        <v>8057</v>
      </c>
    </row>
    <row r="3153" spans="1:14">
      <c r="A3153" t="s">
        <v>5087</v>
      </c>
      <c r="B3153" s="1" t="s">
        <v>5088</v>
      </c>
      <c r="I3153" s="109"/>
      <c r="J3153" s="109"/>
      <c r="K3153" s="109"/>
      <c r="L3153" s="109" t="str">
        <f t="shared" si="49"/>
        <v>96-962000078</v>
      </c>
      <c r="M3153" s="114">
        <v>962000078</v>
      </c>
      <c r="N3153" s="114" t="s">
        <v>7112</v>
      </c>
    </row>
    <row r="3154" spans="1:14">
      <c r="A3154" t="s">
        <v>1399</v>
      </c>
      <c r="B3154" s="1" t="s">
        <v>5089</v>
      </c>
      <c r="I3154" s="109"/>
      <c r="J3154" s="109"/>
      <c r="K3154" s="109"/>
      <c r="L3154" s="109" t="str">
        <f t="shared" si="49"/>
        <v>95-952000056</v>
      </c>
      <c r="M3154" s="114">
        <v>952000056</v>
      </c>
      <c r="N3154" s="114" t="s">
        <v>7278</v>
      </c>
    </row>
    <row r="3155" spans="1:14">
      <c r="A3155" t="s">
        <v>1466</v>
      </c>
      <c r="B3155" s="1" t="s">
        <v>5089</v>
      </c>
      <c r="I3155" s="109"/>
      <c r="J3155" s="109"/>
      <c r="K3155" s="109"/>
      <c r="L3155" s="109" t="str">
        <f t="shared" si="49"/>
        <v>95-952000326</v>
      </c>
      <c r="M3155" s="114">
        <v>952000326</v>
      </c>
      <c r="N3155" s="114" t="s">
        <v>7420</v>
      </c>
    </row>
    <row r="3156" spans="1:14">
      <c r="A3156" t="s">
        <v>1467</v>
      </c>
      <c r="B3156" s="1" t="s">
        <v>5089</v>
      </c>
      <c r="I3156" s="109"/>
      <c r="J3156" s="109"/>
      <c r="K3156" s="109"/>
      <c r="L3156" s="109" t="str">
        <f t="shared" si="49"/>
        <v>96-962000086</v>
      </c>
      <c r="M3156" s="114">
        <v>962000086</v>
      </c>
      <c r="N3156" s="114" t="s">
        <v>7112</v>
      </c>
    </row>
    <row r="3157" spans="1:14">
      <c r="A3157" t="s">
        <v>1461</v>
      </c>
      <c r="B3157" s="1" t="s">
        <v>5089</v>
      </c>
      <c r="I3157" s="109"/>
      <c r="J3157" s="109"/>
      <c r="K3157" s="109"/>
      <c r="L3157" s="109" t="str">
        <f t="shared" si="49"/>
        <v>95-952000050</v>
      </c>
      <c r="M3157" s="114">
        <v>952000050</v>
      </c>
      <c r="N3157" s="114" t="s">
        <v>7331</v>
      </c>
    </row>
    <row r="3158" spans="1:14">
      <c r="A3158" t="s">
        <v>1468</v>
      </c>
      <c r="B3158" s="1" t="s">
        <v>5089</v>
      </c>
      <c r="I3158" s="109"/>
      <c r="J3158" s="109"/>
      <c r="K3158" s="109"/>
      <c r="L3158" s="109" t="str">
        <f t="shared" si="49"/>
        <v>95-951100094</v>
      </c>
      <c r="M3158" s="114">
        <v>951100094</v>
      </c>
      <c r="N3158" s="114" t="s">
        <v>7489</v>
      </c>
    </row>
    <row r="3159" spans="1:14">
      <c r="A3159" t="s">
        <v>1371</v>
      </c>
      <c r="B3159" s="1" t="s">
        <v>5089</v>
      </c>
      <c r="I3159" s="109"/>
      <c r="J3159" s="109"/>
      <c r="K3159" s="109"/>
      <c r="L3159" s="109" t="str">
        <f t="shared" si="49"/>
        <v>95-951100117</v>
      </c>
      <c r="M3159" s="114">
        <v>951100117</v>
      </c>
      <c r="N3159" s="114" t="s">
        <v>7490</v>
      </c>
    </row>
    <row r="3160" spans="1:14">
      <c r="A3160" t="s">
        <v>1358</v>
      </c>
      <c r="B3160" s="1" t="s">
        <v>5089</v>
      </c>
      <c r="I3160" s="109"/>
      <c r="J3160" s="109"/>
      <c r="K3160" s="109"/>
      <c r="L3160" s="109" t="str">
        <f t="shared" si="49"/>
        <v>95-952000049</v>
      </c>
      <c r="M3160" s="114">
        <v>952000049</v>
      </c>
      <c r="N3160" s="114" t="s">
        <v>7331</v>
      </c>
    </row>
    <row r="3161" spans="1:14">
      <c r="A3161" t="s">
        <v>1357</v>
      </c>
      <c r="B3161" s="1" t="s">
        <v>5089</v>
      </c>
      <c r="I3161" s="109"/>
      <c r="J3161" s="109"/>
      <c r="K3161" s="109"/>
      <c r="L3161" s="109" t="str">
        <f t="shared" si="49"/>
        <v>95-952000118</v>
      </c>
      <c r="M3161" s="114">
        <v>952000118</v>
      </c>
      <c r="N3161" s="114" t="s">
        <v>7274</v>
      </c>
    </row>
    <row r="3162" spans="1:14">
      <c r="A3162" t="s">
        <v>1362</v>
      </c>
      <c r="B3162" s="1" t="s">
        <v>5089</v>
      </c>
      <c r="I3162" s="109"/>
      <c r="J3162" s="109"/>
      <c r="K3162" s="109"/>
      <c r="L3162" s="109" t="str">
        <f t="shared" si="49"/>
        <v>96-966200010</v>
      </c>
      <c r="M3162" s="114">
        <v>966200010</v>
      </c>
      <c r="N3162" s="114" t="s">
        <v>7370</v>
      </c>
    </row>
    <row r="3163" spans="1:14">
      <c r="A3163" t="s">
        <v>1478</v>
      </c>
      <c r="B3163" s="1" t="s">
        <v>5089</v>
      </c>
      <c r="I3163" s="109"/>
      <c r="J3163" s="109"/>
      <c r="K3163" s="109"/>
      <c r="L3163" s="109" t="str">
        <f t="shared" si="49"/>
        <v>96-962000218</v>
      </c>
      <c r="M3163" s="114">
        <v>962000218</v>
      </c>
      <c r="N3163" s="114" t="s">
        <v>7112</v>
      </c>
    </row>
    <row r="3164" spans="1:14">
      <c r="A3164" t="s">
        <v>1372</v>
      </c>
      <c r="B3164" s="1" t="s">
        <v>5089</v>
      </c>
      <c r="I3164" s="109"/>
      <c r="J3164" s="109"/>
      <c r="K3164" s="109"/>
      <c r="L3164" s="109" t="str">
        <f t="shared" si="49"/>
        <v>95-956200094</v>
      </c>
      <c r="M3164" s="114">
        <v>956200094</v>
      </c>
      <c r="N3164" s="114" t="s">
        <v>8060</v>
      </c>
    </row>
    <row r="3165" spans="1:14">
      <c r="A3165" t="s">
        <v>1380</v>
      </c>
      <c r="B3165" s="1" t="s">
        <v>5089</v>
      </c>
      <c r="I3165" s="109"/>
      <c r="J3165" s="109"/>
      <c r="K3165" s="109"/>
      <c r="L3165" s="109" t="str">
        <f t="shared" si="49"/>
        <v>95-956300032</v>
      </c>
      <c r="M3165" s="114">
        <v>956300032</v>
      </c>
      <c r="N3165" s="114" t="s">
        <v>8061</v>
      </c>
    </row>
    <row r="3166" spans="1:14">
      <c r="A3166" t="s">
        <v>1381</v>
      </c>
      <c r="B3166" s="1" t="s">
        <v>5089</v>
      </c>
      <c r="I3166" s="109"/>
      <c r="J3166" s="109"/>
      <c r="K3166" s="109"/>
      <c r="L3166" s="109" t="str">
        <f t="shared" si="49"/>
        <v>95-956300033</v>
      </c>
      <c r="M3166" s="114">
        <v>956300033</v>
      </c>
      <c r="N3166" s="114" t="s">
        <v>8061</v>
      </c>
    </row>
    <row r="3167" spans="1:14">
      <c r="A3167" t="s">
        <v>1878</v>
      </c>
      <c r="B3167" s="1" t="s">
        <v>5089</v>
      </c>
      <c r="I3167" s="109"/>
      <c r="J3167" s="109"/>
      <c r="K3167" s="109"/>
      <c r="L3167" s="109" t="str">
        <f t="shared" si="49"/>
        <v>95-956300034</v>
      </c>
      <c r="M3167" s="114">
        <v>956300034</v>
      </c>
      <c r="N3167" s="114" t="s">
        <v>8061</v>
      </c>
    </row>
    <row r="3168" spans="1:14">
      <c r="A3168" t="s">
        <v>2220</v>
      </c>
      <c r="B3168" s="1" t="s">
        <v>5089</v>
      </c>
      <c r="I3168" s="109"/>
      <c r="J3168" s="109"/>
      <c r="K3168" s="109"/>
      <c r="L3168" s="109" t="str">
        <f t="shared" si="49"/>
        <v>95-956300007</v>
      </c>
      <c r="M3168" s="114">
        <v>956300007</v>
      </c>
      <c r="N3168" s="114" t="s">
        <v>8062</v>
      </c>
    </row>
    <row r="3169" spans="1:14">
      <c r="A3169" t="s">
        <v>2221</v>
      </c>
      <c r="B3169" s="1" t="s">
        <v>5089</v>
      </c>
      <c r="I3169" s="109"/>
      <c r="J3169" s="109"/>
      <c r="K3169" s="109"/>
      <c r="L3169" s="109" t="str">
        <f t="shared" si="49"/>
        <v>95-956200145</v>
      </c>
      <c r="M3169" s="114">
        <v>956200145</v>
      </c>
      <c r="N3169" s="114" t="s">
        <v>8040</v>
      </c>
    </row>
    <row r="3170" spans="1:14">
      <c r="A3170" t="s">
        <v>2219</v>
      </c>
      <c r="B3170" s="1" t="s">
        <v>5089</v>
      </c>
      <c r="I3170" s="109"/>
      <c r="J3170" s="109"/>
      <c r="K3170" s="109"/>
      <c r="L3170" s="109" t="str">
        <f t="shared" si="49"/>
        <v>95-956200246</v>
      </c>
      <c r="M3170" s="114">
        <v>956200246</v>
      </c>
      <c r="N3170" s="114" t="s">
        <v>7428</v>
      </c>
    </row>
    <row r="3171" spans="1:14">
      <c r="A3171" t="s">
        <v>1486</v>
      </c>
      <c r="B3171" s="1" t="s">
        <v>5089</v>
      </c>
      <c r="I3171" s="109"/>
      <c r="J3171" s="109"/>
      <c r="K3171" s="109"/>
      <c r="L3171" s="109" t="str">
        <f t="shared" si="49"/>
        <v>95-956200240</v>
      </c>
      <c r="M3171" s="114">
        <v>956200240</v>
      </c>
      <c r="N3171" s="114" t="s">
        <v>7435</v>
      </c>
    </row>
    <row r="3172" spans="1:14">
      <c r="A3172" t="s">
        <v>1764</v>
      </c>
      <c r="B3172" s="1" t="s">
        <v>5089</v>
      </c>
      <c r="I3172" s="109"/>
      <c r="J3172" s="109"/>
      <c r="K3172" s="109"/>
      <c r="L3172" s="109" t="str">
        <f t="shared" si="49"/>
        <v>95-956200249</v>
      </c>
      <c r="M3172" s="114">
        <v>956200249</v>
      </c>
      <c r="N3172" s="114" t="s">
        <v>7428</v>
      </c>
    </row>
    <row r="3173" spans="1:14">
      <c r="A3173" t="s">
        <v>1879</v>
      </c>
      <c r="B3173" s="1" t="s">
        <v>5089</v>
      </c>
      <c r="I3173" s="109"/>
      <c r="J3173" s="109"/>
      <c r="K3173" s="109"/>
      <c r="L3173" s="109" t="str">
        <f t="shared" si="49"/>
        <v>95-956200278</v>
      </c>
      <c r="M3173" s="114">
        <v>956200278</v>
      </c>
      <c r="N3173" s="114" t="s">
        <v>7347</v>
      </c>
    </row>
    <row r="3174" spans="1:14">
      <c r="A3174" t="s">
        <v>1487</v>
      </c>
      <c r="B3174" s="1" t="s">
        <v>5089</v>
      </c>
      <c r="I3174" s="109"/>
      <c r="J3174" s="109"/>
      <c r="K3174" s="109"/>
      <c r="L3174" s="109" t="str">
        <f t="shared" si="49"/>
        <v>95-956300025</v>
      </c>
      <c r="M3174" s="114">
        <v>956300025</v>
      </c>
      <c r="N3174" s="114" t="s">
        <v>8063</v>
      </c>
    </row>
    <row r="3175" spans="1:14">
      <c r="A3175" t="s">
        <v>1420</v>
      </c>
      <c r="B3175" s="1" t="s">
        <v>5089</v>
      </c>
      <c r="I3175" s="109"/>
      <c r="J3175" s="109"/>
      <c r="K3175" s="109"/>
      <c r="L3175" s="109" t="str">
        <f t="shared" si="49"/>
        <v>95-956200315</v>
      </c>
      <c r="M3175" s="114">
        <v>956200315</v>
      </c>
      <c r="N3175" s="114" t="s">
        <v>7436</v>
      </c>
    </row>
    <row r="3176" spans="1:14">
      <c r="A3176" t="s">
        <v>1410</v>
      </c>
      <c r="B3176" s="1" t="s">
        <v>5089</v>
      </c>
      <c r="I3176" s="109"/>
      <c r="J3176" s="109"/>
      <c r="K3176" s="109"/>
      <c r="L3176" s="109" t="str">
        <f t="shared" si="49"/>
        <v>95-952000285</v>
      </c>
      <c r="M3176" s="114">
        <v>952000285</v>
      </c>
      <c r="N3176" s="114" t="s">
        <v>7280</v>
      </c>
    </row>
    <row r="3177" spans="1:14">
      <c r="A3177" t="s">
        <v>1490</v>
      </c>
      <c r="B3177" s="1" t="s">
        <v>5089</v>
      </c>
      <c r="I3177" s="109"/>
      <c r="J3177" s="109"/>
      <c r="K3177" s="109"/>
      <c r="L3177" s="109" t="str">
        <f t="shared" si="49"/>
        <v>96-962000008</v>
      </c>
      <c r="M3177" s="114">
        <v>962000008</v>
      </c>
      <c r="N3177" s="114" t="s">
        <v>7112</v>
      </c>
    </row>
    <row r="3178" spans="1:14">
      <c r="A3178" t="s">
        <v>1541</v>
      </c>
      <c r="B3178" s="1" t="s">
        <v>5089</v>
      </c>
      <c r="I3178" s="109"/>
      <c r="J3178" s="109"/>
      <c r="K3178" s="109"/>
      <c r="L3178" s="109" t="str">
        <f t="shared" si="49"/>
        <v>95-952000117</v>
      </c>
      <c r="M3178" s="114">
        <v>952000117</v>
      </c>
      <c r="N3178" s="114" t="s">
        <v>7491</v>
      </c>
    </row>
    <row r="3179" spans="1:14">
      <c r="A3179" t="s">
        <v>1510</v>
      </c>
      <c r="B3179" s="1" t="s">
        <v>5089</v>
      </c>
      <c r="I3179" s="109"/>
      <c r="J3179" s="109"/>
      <c r="K3179" s="109"/>
      <c r="L3179" s="109" t="str">
        <f t="shared" si="49"/>
        <v>95-952000320</v>
      </c>
      <c r="M3179" s="114">
        <v>952000320</v>
      </c>
      <c r="N3179" s="114" t="s">
        <v>7420</v>
      </c>
    </row>
    <row r="3180" spans="1:14">
      <c r="A3180" t="s">
        <v>1585</v>
      </c>
      <c r="B3180" s="1" t="s">
        <v>5089</v>
      </c>
      <c r="I3180" s="109"/>
      <c r="J3180" s="109"/>
      <c r="K3180" s="109"/>
      <c r="L3180" s="109" t="str">
        <f t="shared" si="49"/>
        <v>96-962000067</v>
      </c>
      <c r="M3180" s="114">
        <v>962000067</v>
      </c>
      <c r="N3180" s="114" t="s">
        <v>7112</v>
      </c>
    </row>
    <row r="3181" spans="1:14">
      <c r="A3181" t="s">
        <v>1792</v>
      </c>
      <c r="B3181" s="1" t="s">
        <v>5089</v>
      </c>
      <c r="I3181" s="109"/>
      <c r="J3181" s="109"/>
      <c r="K3181" s="109"/>
      <c r="L3181" s="109" t="str">
        <f t="shared" si="49"/>
        <v>95-952000134</v>
      </c>
      <c r="M3181" s="114">
        <v>952000134</v>
      </c>
      <c r="N3181" s="114" t="s">
        <v>7432</v>
      </c>
    </row>
    <row r="3182" spans="1:14">
      <c r="A3182" t="s">
        <v>1793</v>
      </c>
      <c r="B3182" s="1" t="s">
        <v>5089</v>
      </c>
      <c r="I3182" s="109"/>
      <c r="J3182" s="109"/>
      <c r="K3182" s="109"/>
      <c r="L3182" s="109" t="str">
        <f t="shared" si="49"/>
        <v>95-952000116</v>
      </c>
      <c r="M3182" s="114">
        <v>952000116</v>
      </c>
      <c r="N3182" s="114" t="s">
        <v>7491</v>
      </c>
    </row>
    <row r="3183" spans="1:14">
      <c r="A3183" t="s">
        <v>1883</v>
      </c>
      <c r="B3183" s="1" t="s">
        <v>5089</v>
      </c>
      <c r="I3183" s="109"/>
      <c r="J3183" s="109"/>
      <c r="K3183" s="109"/>
      <c r="L3183" s="109" t="str">
        <f t="shared" si="49"/>
        <v>95-952000227</v>
      </c>
      <c r="M3183" s="114">
        <v>952000227</v>
      </c>
      <c r="N3183" s="114" t="s">
        <v>7385</v>
      </c>
    </row>
    <row r="3184" spans="1:14">
      <c r="A3184" t="s">
        <v>1882</v>
      </c>
      <c r="B3184" s="1" t="s">
        <v>5089</v>
      </c>
      <c r="I3184" s="109"/>
      <c r="J3184" s="109"/>
      <c r="K3184" s="109"/>
      <c r="L3184" s="109" t="str">
        <f t="shared" si="49"/>
        <v>95-952000043</v>
      </c>
      <c r="M3184" s="114">
        <v>952000043</v>
      </c>
      <c r="N3184" s="114" t="s">
        <v>7331</v>
      </c>
    </row>
    <row r="3185" spans="1:14">
      <c r="A3185" t="s">
        <v>1821</v>
      </c>
      <c r="B3185" s="1" t="s">
        <v>5089</v>
      </c>
      <c r="I3185" s="109"/>
      <c r="J3185" s="109"/>
      <c r="K3185" s="109"/>
      <c r="L3185" s="109" t="str">
        <f t="shared" si="49"/>
        <v>95-952000352</v>
      </c>
      <c r="M3185" s="114">
        <v>952000352</v>
      </c>
      <c r="N3185" s="114" t="s">
        <v>7122</v>
      </c>
    </row>
    <row r="3186" spans="1:14">
      <c r="A3186" t="s">
        <v>1831</v>
      </c>
      <c r="B3186" s="1" t="s">
        <v>5089</v>
      </c>
      <c r="I3186" s="109"/>
      <c r="J3186" s="109"/>
      <c r="K3186" s="109"/>
      <c r="L3186" s="109" t="str">
        <f t="shared" si="49"/>
        <v>96-962000140</v>
      </c>
      <c r="M3186" s="114">
        <v>962000140</v>
      </c>
      <c r="N3186" s="114" t="s">
        <v>7112</v>
      </c>
    </row>
    <row r="3187" spans="1:14">
      <c r="A3187" t="s">
        <v>1884</v>
      </c>
      <c r="B3187" s="1" t="s">
        <v>5089</v>
      </c>
      <c r="I3187" s="109"/>
      <c r="J3187" s="109"/>
      <c r="K3187" s="109"/>
      <c r="L3187" s="109" t="str">
        <f t="shared" si="49"/>
        <v>95-956200290</v>
      </c>
      <c r="M3187" s="114">
        <v>956200290</v>
      </c>
      <c r="N3187" s="114" t="s">
        <v>7438</v>
      </c>
    </row>
    <row r="3188" spans="1:14">
      <c r="A3188" t="s">
        <v>2204</v>
      </c>
      <c r="B3188" s="1" t="s">
        <v>5089</v>
      </c>
      <c r="I3188" s="109"/>
      <c r="J3188" s="109"/>
      <c r="K3188" s="109"/>
      <c r="L3188" s="109" t="str">
        <f t="shared" si="49"/>
        <v>95-956200307</v>
      </c>
      <c r="M3188" s="114">
        <v>956200307</v>
      </c>
      <c r="N3188" s="114" t="s">
        <v>8039</v>
      </c>
    </row>
    <row r="3189" spans="1:14">
      <c r="A3189" t="s">
        <v>1853</v>
      </c>
      <c r="B3189" s="1" t="s">
        <v>5089</v>
      </c>
      <c r="I3189" s="109"/>
      <c r="J3189" s="109"/>
      <c r="K3189" s="109"/>
      <c r="L3189" s="109" t="str">
        <f t="shared" si="49"/>
        <v>95-956200364</v>
      </c>
      <c r="M3189" s="114">
        <v>956200364</v>
      </c>
      <c r="N3189" s="114" t="s">
        <v>7292</v>
      </c>
    </row>
    <row r="3190" spans="1:14">
      <c r="A3190" t="s">
        <v>1865</v>
      </c>
      <c r="B3190" s="1" t="s">
        <v>5089</v>
      </c>
      <c r="I3190" s="109"/>
      <c r="J3190" s="109"/>
      <c r="K3190" s="109"/>
      <c r="L3190" s="109" t="str">
        <f t="shared" si="49"/>
        <v>95-956200379</v>
      </c>
      <c r="M3190" s="114">
        <v>956200379</v>
      </c>
      <c r="N3190" s="114" t="s">
        <v>7393</v>
      </c>
    </row>
    <row r="3191" spans="1:14">
      <c r="A3191" t="s">
        <v>1860</v>
      </c>
      <c r="B3191" s="1" t="s">
        <v>5089</v>
      </c>
      <c r="I3191" s="109"/>
      <c r="J3191" s="109"/>
      <c r="K3191" s="109"/>
      <c r="L3191" s="109" t="str">
        <f t="shared" si="49"/>
        <v>95-956200380</v>
      </c>
      <c r="M3191" s="114">
        <v>956200380</v>
      </c>
      <c r="N3191" s="114" t="s">
        <v>7393</v>
      </c>
    </row>
    <row r="3192" spans="1:14">
      <c r="A3192" t="s">
        <v>2137</v>
      </c>
      <c r="B3192" s="1" t="s">
        <v>5089</v>
      </c>
      <c r="I3192" s="109"/>
      <c r="J3192" s="109"/>
      <c r="K3192" s="109"/>
      <c r="L3192" s="109" t="str">
        <f t="shared" si="49"/>
        <v>95-956200384</v>
      </c>
      <c r="M3192" s="114">
        <v>956200384</v>
      </c>
      <c r="N3192" s="114" t="s">
        <v>7393</v>
      </c>
    </row>
    <row r="3193" spans="1:14">
      <c r="A3193" t="s">
        <v>1864</v>
      </c>
      <c r="B3193" s="1" t="s">
        <v>5089</v>
      </c>
      <c r="I3193" s="109"/>
      <c r="J3193" s="109"/>
      <c r="K3193" s="109"/>
      <c r="L3193" s="109" t="str">
        <f t="shared" si="49"/>
        <v>95-956200386</v>
      </c>
      <c r="M3193" s="114">
        <v>956200386</v>
      </c>
      <c r="N3193" s="114" t="s">
        <v>7393</v>
      </c>
    </row>
    <row r="3194" spans="1:14">
      <c r="A3194" t="s">
        <v>1843</v>
      </c>
      <c r="B3194" s="1" t="s">
        <v>5089</v>
      </c>
      <c r="I3194" s="109"/>
      <c r="J3194" s="109"/>
      <c r="K3194" s="109"/>
      <c r="L3194" s="109" t="str">
        <f t="shared" si="49"/>
        <v>95-956200394</v>
      </c>
      <c r="M3194" s="114">
        <v>956200394</v>
      </c>
      <c r="N3194" s="114" t="s">
        <v>7269</v>
      </c>
    </row>
    <row r="3195" spans="1:14">
      <c r="A3195" t="s">
        <v>2203</v>
      </c>
      <c r="B3195" s="1" t="s">
        <v>5089</v>
      </c>
      <c r="I3195" s="109"/>
      <c r="J3195" s="109"/>
      <c r="K3195" s="109"/>
      <c r="L3195" s="109" t="str">
        <f t="shared" si="49"/>
        <v>95-956200395</v>
      </c>
      <c r="M3195" s="114">
        <v>956200395</v>
      </c>
      <c r="N3195" s="114" t="s">
        <v>7269</v>
      </c>
    </row>
    <row r="3196" spans="1:14">
      <c r="A3196" t="s">
        <v>2057</v>
      </c>
      <c r="B3196" s="1" t="s">
        <v>5089</v>
      </c>
      <c r="I3196" s="109"/>
      <c r="J3196" s="109"/>
      <c r="K3196" s="109"/>
      <c r="L3196" s="109" t="str">
        <f t="shared" si="49"/>
        <v>95-956200431</v>
      </c>
      <c r="M3196" s="114">
        <v>956200431</v>
      </c>
      <c r="N3196" s="114" t="s">
        <v>7419</v>
      </c>
    </row>
    <row r="3197" spans="1:14">
      <c r="A3197" t="s">
        <v>2016</v>
      </c>
      <c r="B3197" s="1" t="s">
        <v>5089</v>
      </c>
      <c r="I3197" s="109"/>
      <c r="J3197" s="109"/>
      <c r="K3197" s="109"/>
      <c r="L3197" s="109" t="str">
        <f t="shared" si="49"/>
        <v>95-956200425</v>
      </c>
      <c r="M3197" s="114">
        <v>956200425</v>
      </c>
      <c r="N3197" s="114" t="s">
        <v>7419</v>
      </c>
    </row>
    <row r="3198" spans="1:14">
      <c r="A3198" t="s">
        <v>2218</v>
      </c>
      <c r="B3198" s="1" t="s">
        <v>5089</v>
      </c>
      <c r="I3198" s="109"/>
      <c r="J3198" s="109"/>
      <c r="K3198" s="109"/>
      <c r="L3198" s="109" t="str">
        <f t="shared" si="49"/>
        <v>96-966200046</v>
      </c>
      <c r="M3198" s="114">
        <v>966200046</v>
      </c>
      <c r="N3198" s="114" t="s">
        <v>7414</v>
      </c>
    </row>
    <row r="3199" spans="1:14">
      <c r="A3199" t="s">
        <v>1796</v>
      </c>
      <c r="B3199" s="1" t="s">
        <v>5089</v>
      </c>
      <c r="I3199" s="109"/>
      <c r="J3199" s="109"/>
      <c r="K3199" s="109"/>
      <c r="L3199" s="109" t="str">
        <f t="shared" si="49"/>
        <v>96-966200050</v>
      </c>
      <c r="M3199" s="114">
        <v>966200050</v>
      </c>
      <c r="N3199" s="114" t="s">
        <v>7414</v>
      </c>
    </row>
    <row r="3200" spans="1:14">
      <c r="A3200" t="s">
        <v>1873</v>
      </c>
      <c r="B3200" s="1" t="s">
        <v>5089</v>
      </c>
      <c r="I3200" s="109"/>
      <c r="J3200" s="109"/>
      <c r="K3200" s="109"/>
      <c r="L3200" s="109" t="str">
        <f t="shared" si="49"/>
        <v>96-962000169</v>
      </c>
      <c r="M3200" s="114">
        <v>962000169</v>
      </c>
      <c r="N3200" s="114" t="s">
        <v>7112</v>
      </c>
    </row>
    <row r="3201" spans="1:14">
      <c r="A3201" t="s">
        <v>1874</v>
      </c>
      <c r="B3201" s="1" t="s">
        <v>5089</v>
      </c>
      <c r="I3201" s="109"/>
      <c r="J3201" s="109"/>
      <c r="K3201" s="109"/>
      <c r="L3201" s="109" t="str">
        <f t="shared" si="49"/>
        <v>96-962000009</v>
      </c>
      <c r="M3201" s="114">
        <v>962000009</v>
      </c>
      <c r="N3201" s="114" t="s">
        <v>7112</v>
      </c>
    </row>
    <row r="3202" spans="1:14">
      <c r="A3202" t="s">
        <v>1926</v>
      </c>
      <c r="B3202" s="1" t="s">
        <v>5089</v>
      </c>
      <c r="I3202" s="109"/>
      <c r="J3202" s="109"/>
      <c r="K3202" s="109"/>
      <c r="L3202" s="109" t="str">
        <f t="shared" si="49"/>
        <v>96-966200147</v>
      </c>
      <c r="M3202" s="114">
        <v>966200147</v>
      </c>
      <c r="N3202" s="114" t="s">
        <v>7343</v>
      </c>
    </row>
    <row r="3203" spans="1:14">
      <c r="A3203" t="s">
        <v>1928</v>
      </c>
      <c r="B3203" s="1" t="s">
        <v>5089</v>
      </c>
      <c r="I3203" s="109"/>
      <c r="J3203" s="109"/>
      <c r="K3203" s="109"/>
      <c r="L3203" s="109" t="str">
        <f t="shared" ref="L3203:L3266" si="50">MID(M3203,1,2)&amp;"-"&amp;M3203</f>
        <v>96-966200242</v>
      </c>
      <c r="M3203" s="114">
        <v>966200242</v>
      </c>
      <c r="N3203" s="114" t="s">
        <v>7116</v>
      </c>
    </row>
    <row r="3204" spans="1:14">
      <c r="A3204" t="s">
        <v>1929</v>
      </c>
      <c r="B3204" s="1" t="s">
        <v>5089</v>
      </c>
      <c r="I3204" s="109"/>
      <c r="J3204" s="109"/>
      <c r="K3204" s="109"/>
      <c r="L3204" s="109" t="str">
        <f t="shared" si="50"/>
        <v>96-962000101</v>
      </c>
      <c r="M3204" s="114">
        <v>962000101</v>
      </c>
      <c r="N3204" s="114" t="s">
        <v>7112</v>
      </c>
    </row>
    <row r="3205" spans="1:14">
      <c r="A3205" t="s">
        <v>2033</v>
      </c>
      <c r="B3205" s="1" t="s">
        <v>5089</v>
      </c>
      <c r="I3205" s="109"/>
      <c r="J3205" s="109"/>
      <c r="K3205" s="109"/>
      <c r="L3205" s="109" t="str">
        <f t="shared" si="50"/>
        <v>96-962000105</v>
      </c>
      <c r="M3205" s="114">
        <v>962000105</v>
      </c>
      <c r="N3205" s="114" t="s">
        <v>7112</v>
      </c>
    </row>
    <row r="3206" spans="1:14">
      <c r="A3206" s="1" t="s">
        <v>4578</v>
      </c>
      <c r="B3206" s="1" t="s">
        <v>2418</v>
      </c>
      <c r="I3206" s="109"/>
      <c r="J3206" s="109"/>
      <c r="K3206" s="109"/>
      <c r="L3206" s="109" t="str">
        <f t="shared" si="50"/>
        <v>96-962000126</v>
      </c>
      <c r="M3206" s="114">
        <v>962000126</v>
      </c>
      <c r="N3206" s="114" t="s">
        <v>7112</v>
      </c>
    </row>
    <row r="3207" spans="1:14">
      <c r="A3207" t="s">
        <v>4703</v>
      </c>
      <c r="B3207" s="1" t="s">
        <v>5232</v>
      </c>
      <c r="I3207" s="109"/>
      <c r="J3207" s="109"/>
      <c r="K3207" s="109"/>
      <c r="L3207" s="109" t="str">
        <f t="shared" si="50"/>
        <v>96-962000157</v>
      </c>
      <c r="M3207" s="114">
        <v>962000157</v>
      </c>
      <c r="N3207" s="114" t="s">
        <v>7112</v>
      </c>
    </row>
    <row r="3208" spans="1:14">
      <c r="A3208" t="s">
        <v>4901</v>
      </c>
      <c r="B3208" s="1" t="s">
        <v>5232</v>
      </c>
      <c r="I3208" s="109"/>
      <c r="J3208" s="109"/>
      <c r="K3208" s="109"/>
      <c r="L3208" s="109" t="str">
        <f t="shared" si="50"/>
        <v>96-962000160</v>
      </c>
      <c r="M3208" s="114">
        <v>962000160</v>
      </c>
      <c r="N3208" s="114" t="s">
        <v>7112</v>
      </c>
    </row>
    <row r="3209" spans="1:14">
      <c r="A3209" t="s">
        <v>4910</v>
      </c>
      <c r="B3209" s="1" t="s">
        <v>5232</v>
      </c>
      <c r="I3209" s="109"/>
      <c r="J3209" s="109"/>
      <c r="K3209" s="109"/>
      <c r="L3209" s="109" t="str">
        <f t="shared" si="50"/>
        <v>96-962000166</v>
      </c>
      <c r="M3209" s="114">
        <v>962000166</v>
      </c>
      <c r="N3209" s="114" t="s">
        <v>7112</v>
      </c>
    </row>
    <row r="3210" spans="1:14">
      <c r="A3210" t="s">
        <v>4908</v>
      </c>
      <c r="B3210" s="1" t="s">
        <v>5232</v>
      </c>
      <c r="I3210" s="109"/>
      <c r="J3210" s="109"/>
      <c r="K3210" s="109"/>
      <c r="L3210" s="109" t="str">
        <f t="shared" si="50"/>
        <v>96-962000173</v>
      </c>
      <c r="M3210" s="114">
        <v>962000173</v>
      </c>
      <c r="N3210" s="114" t="s">
        <v>7112</v>
      </c>
    </row>
    <row r="3211" spans="1:14">
      <c r="A3211" t="s">
        <v>4909</v>
      </c>
      <c r="B3211" s="1" t="s">
        <v>5232</v>
      </c>
      <c r="I3211" s="109"/>
      <c r="J3211" s="109"/>
      <c r="K3211" s="109"/>
      <c r="L3211" s="109" t="str">
        <f t="shared" si="50"/>
        <v>96-962000174</v>
      </c>
      <c r="M3211" s="114">
        <v>962000174</v>
      </c>
      <c r="N3211" s="114" t="s">
        <v>7112</v>
      </c>
    </row>
    <row r="3212" spans="1:14">
      <c r="A3212" t="s">
        <v>4932</v>
      </c>
      <c r="B3212" s="1" t="s">
        <v>5232</v>
      </c>
      <c r="I3212" s="109"/>
      <c r="J3212" s="109"/>
      <c r="K3212" s="109"/>
      <c r="L3212" s="109" t="str">
        <f t="shared" si="50"/>
        <v>96-962000176</v>
      </c>
      <c r="M3212" s="114">
        <v>962000176</v>
      </c>
      <c r="N3212" s="114" t="s">
        <v>7112</v>
      </c>
    </row>
    <row r="3213" spans="1:14">
      <c r="A3213" t="s">
        <v>4963</v>
      </c>
      <c r="B3213" s="1" t="s">
        <v>5232</v>
      </c>
      <c r="I3213" s="109"/>
      <c r="J3213" s="109"/>
      <c r="K3213" s="109"/>
      <c r="L3213" s="109" t="str">
        <f t="shared" si="50"/>
        <v>96-966000001</v>
      </c>
      <c r="M3213" s="114">
        <v>966000001</v>
      </c>
      <c r="N3213" s="114" t="s">
        <v>7146</v>
      </c>
    </row>
    <row r="3214" spans="1:14">
      <c r="A3214" t="s">
        <v>4957</v>
      </c>
      <c r="B3214" s="1" t="s">
        <v>5232</v>
      </c>
      <c r="I3214" s="109"/>
      <c r="J3214" s="109"/>
      <c r="K3214" s="109"/>
      <c r="L3214" s="109" t="str">
        <f t="shared" si="50"/>
        <v>95-956200054</v>
      </c>
      <c r="M3214" s="114">
        <v>956200054</v>
      </c>
      <c r="N3214" s="114" t="s">
        <v>8019</v>
      </c>
    </row>
    <row r="3215" spans="1:14">
      <c r="A3215" s="1" t="s">
        <v>4958</v>
      </c>
      <c r="B3215" s="1" t="s">
        <v>5232</v>
      </c>
      <c r="I3215" s="109"/>
      <c r="J3215" s="109"/>
      <c r="K3215" s="109"/>
      <c r="L3215" s="109" t="str">
        <f t="shared" si="50"/>
        <v>96-962000164</v>
      </c>
      <c r="M3215" s="114">
        <v>962000164</v>
      </c>
      <c r="N3215" s="114" t="s">
        <v>7112</v>
      </c>
    </row>
    <row r="3216" spans="1:14">
      <c r="A3216" s="1" t="s">
        <v>4959</v>
      </c>
      <c r="B3216" s="1" t="s">
        <v>5232</v>
      </c>
      <c r="I3216" s="109"/>
      <c r="J3216" s="109"/>
      <c r="K3216" s="109"/>
      <c r="L3216" s="109" t="str">
        <f t="shared" si="50"/>
        <v>95-952000199</v>
      </c>
      <c r="M3216" s="114">
        <v>952000199</v>
      </c>
      <c r="N3216" s="114" t="s">
        <v>7342</v>
      </c>
    </row>
    <row r="3217" spans="1:14">
      <c r="A3217" s="1" t="s">
        <v>5206</v>
      </c>
      <c r="B3217" s="1" t="s">
        <v>5233</v>
      </c>
      <c r="I3217" s="109"/>
      <c r="J3217" s="109"/>
      <c r="K3217" s="109"/>
      <c r="L3217" s="109" t="str">
        <f t="shared" si="50"/>
        <v>95-952000003</v>
      </c>
      <c r="M3217" s="114">
        <v>952000003</v>
      </c>
      <c r="N3217" s="114" t="s">
        <v>7384</v>
      </c>
    </row>
    <row r="3218" spans="1:14">
      <c r="A3218" t="s">
        <v>5197</v>
      </c>
      <c r="B3218" s="1" t="s">
        <v>5234</v>
      </c>
      <c r="I3218" s="109"/>
      <c r="J3218" s="109"/>
      <c r="K3218" s="109"/>
      <c r="L3218" s="109" t="str">
        <f t="shared" si="50"/>
        <v>95-954100006</v>
      </c>
      <c r="M3218" s="114">
        <v>954100006</v>
      </c>
      <c r="N3218" s="114" t="s">
        <v>5615</v>
      </c>
    </row>
    <row r="3219" spans="1:14">
      <c r="A3219" t="s">
        <v>5198</v>
      </c>
      <c r="B3219" s="1" t="s">
        <v>5234</v>
      </c>
      <c r="I3219" s="109"/>
      <c r="J3219" s="109"/>
      <c r="K3219" s="109"/>
      <c r="L3219" s="109" t="str">
        <f t="shared" si="50"/>
        <v>95-954100011</v>
      </c>
      <c r="M3219" s="114">
        <v>954100011</v>
      </c>
      <c r="N3219" s="114" t="s">
        <v>5626</v>
      </c>
    </row>
    <row r="3220" spans="1:14">
      <c r="A3220" t="s">
        <v>5235</v>
      </c>
      <c r="B3220" s="1" t="s">
        <v>5238</v>
      </c>
      <c r="I3220" s="109"/>
      <c r="J3220" s="109"/>
      <c r="K3220" s="109"/>
      <c r="L3220" s="109" t="str">
        <f t="shared" si="50"/>
        <v>95-954100015</v>
      </c>
      <c r="M3220" s="114">
        <v>954100015</v>
      </c>
      <c r="N3220" s="114" t="s">
        <v>5626</v>
      </c>
    </row>
    <row r="3221" spans="1:14">
      <c r="A3221" t="s">
        <v>453</v>
      </c>
      <c r="B3221" s="1" t="s">
        <v>5238</v>
      </c>
      <c r="I3221" s="109"/>
      <c r="J3221" s="109"/>
      <c r="K3221" s="109"/>
      <c r="L3221" s="109" t="str">
        <f t="shared" si="50"/>
        <v>95-954100023</v>
      </c>
      <c r="M3221" s="114">
        <v>954100023</v>
      </c>
      <c r="N3221" s="114" t="s">
        <v>5737</v>
      </c>
    </row>
    <row r="3222" spans="1:14">
      <c r="A3222" t="s">
        <v>405</v>
      </c>
      <c r="B3222" s="1" t="s">
        <v>5238</v>
      </c>
      <c r="I3222" s="109"/>
      <c r="J3222" s="109"/>
      <c r="K3222" s="109"/>
      <c r="L3222" s="109" t="str">
        <f t="shared" si="50"/>
        <v>95-954100031</v>
      </c>
      <c r="M3222" s="114">
        <v>954100031</v>
      </c>
      <c r="N3222" s="114" t="s">
        <v>5749</v>
      </c>
    </row>
    <row r="3223" spans="1:14">
      <c r="A3223" t="s">
        <v>410</v>
      </c>
      <c r="B3223" s="1" t="s">
        <v>5238</v>
      </c>
      <c r="I3223" s="109"/>
      <c r="J3223" s="109"/>
      <c r="K3223" s="109"/>
      <c r="L3223" s="109" t="str">
        <f t="shared" si="50"/>
        <v>96-964100010</v>
      </c>
      <c r="M3223" s="114">
        <v>964100010</v>
      </c>
      <c r="N3223" s="114" t="s">
        <v>5783</v>
      </c>
    </row>
    <row r="3224" spans="1:14">
      <c r="A3224" t="s">
        <v>466</v>
      </c>
      <c r="B3224" s="1" t="s">
        <v>5238</v>
      </c>
      <c r="I3224" s="109"/>
      <c r="J3224" s="109"/>
      <c r="K3224" s="109"/>
      <c r="L3224" s="109" t="str">
        <f t="shared" si="50"/>
        <v>96-964100011</v>
      </c>
      <c r="M3224" s="114">
        <v>964100011</v>
      </c>
      <c r="N3224" s="114" t="s">
        <v>5783</v>
      </c>
    </row>
    <row r="3225" spans="1:14">
      <c r="A3225" t="s">
        <v>5236</v>
      </c>
      <c r="B3225" s="1" t="s">
        <v>5238</v>
      </c>
      <c r="I3225" s="109"/>
      <c r="J3225" s="109"/>
      <c r="K3225" s="109"/>
      <c r="L3225" s="109" t="str">
        <f t="shared" si="50"/>
        <v>96-964100019</v>
      </c>
      <c r="M3225" s="114">
        <v>964100019</v>
      </c>
      <c r="N3225" s="114" t="s">
        <v>5804</v>
      </c>
    </row>
    <row r="3226" spans="1:14">
      <c r="A3226" t="s">
        <v>5237</v>
      </c>
      <c r="B3226" s="1" t="s">
        <v>5238</v>
      </c>
      <c r="I3226" s="109"/>
      <c r="J3226" s="109"/>
      <c r="K3226" s="109"/>
      <c r="L3226" s="109" t="str">
        <f t="shared" si="50"/>
        <v>96-964100044</v>
      </c>
      <c r="M3226" s="114">
        <v>964100044</v>
      </c>
      <c r="N3226" s="114" t="s">
        <v>5844</v>
      </c>
    </row>
    <row r="3227" spans="1:14">
      <c r="A3227" t="s">
        <v>4687</v>
      </c>
      <c r="B3227" s="1" t="s">
        <v>5239</v>
      </c>
      <c r="I3227" s="109"/>
      <c r="J3227" s="109"/>
      <c r="K3227" s="109"/>
      <c r="L3227" s="109" t="str">
        <f t="shared" si="50"/>
        <v>96-964100045</v>
      </c>
      <c r="M3227" s="114">
        <v>964100045</v>
      </c>
      <c r="N3227" s="114" t="s">
        <v>5817</v>
      </c>
    </row>
    <row r="3228" spans="1:14">
      <c r="A3228" t="s">
        <v>4451</v>
      </c>
      <c r="B3228" t="s">
        <v>5239</v>
      </c>
      <c r="I3228" s="109"/>
      <c r="J3228" s="109"/>
      <c r="K3228" s="109"/>
      <c r="L3228" s="109" t="str">
        <f t="shared" si="50"/>
        <v>96-964100046</v>
      </c>
      <c r="M3228" s="114">
        <v>964100046</v>
      </c>
      <c r="N3228" s="114" t="s">
        <v>5844</v>
      </c>
    </row>
    <row r="3229" spans="1:14">
      <c r="A3229" t="s">
        <v>4688</v>
      </c>
      <c r="B3229" t="s">
        <v>5239</v>
      </c>
      <c r="I3229" s="109"/>
      <c r="J3229" s="109"/>
      <c r="K3229" s="109"/>
      <c r="L3229" s="109" t="str">
        <f t="shared" si="50"/>
        <v>96-964100050</v>
      </c>
      <c r="M3229" s="114">
        <v>964100050</v>
      </c>
      <c r="N3229" s="114" t="s">
        <v>7138</v>
      </c>
    </row>
    <row r="3230" spans="1:14">
      <c r="A3230" t="s">
        <v>4345</v>
      </c>
      <c r="B3230" t="s">
        <v>5239</v>
      </c>
      <c r="I3230" s="109"/>
      <c r="J3230" s="109"/>
      <c r="K3230" s="109"/>
      <c r="L3230" s="109" t="str">
        <f t="shared" si="50"/>
        <v>96-966200144</v>
      </c>
      <c r="M3230" s="114">
        <v>966200144</v>
      </c>
      <c r="N3230" s="114" t="s">
        <v>7343</v>
      </c>
    </row>
    <row r="3231" spans="1:14">
      <c r="A3231" t="s">
        <v>4677</v>
      </c>
      <c r="B3231" t="s">
        <v>5239</v>
      </c>
      <c r="I3231" s="109"/>
      <c r="J3231" s="109"/>
      <c r="K3231" s="109"/>
      <c r="L3231" s="109" t="str">
        <f t="shared" si="50"/>
        <v>95-956200016</v>
      </c>
      <c r="M3231" s="114">
        <v>956200016</v>
      </c>
      <c r="N3231" s="114" t="s">
        <v>7372</v>
      </c>
    </row>
    <row r="3232" spans="1:14">
      <c r="A3232" t="s">
        <v>4344</v>
      </c>
      <c r="B3232" t="s">
        <v>5239</v>
      </c>
      <c r="I3232" s="109"/>
      <c r="J3232" s="109"/>
      <c r="K3232" s="109"/>
      <c r="L3232" s="109" t="str">
        <f t="shared" si="50"/>
        <v>95-956200119</v>
      </c>
      <c r="M3232" s="114">
        <v>956200119</v>
      </c>
      <c r="N3232" s="114" t="s">
        <v>7359</v>
      </c>
    </row>
    <row r="3233" spans="1:14">
      <c r="A3233" t="s">
        <v>4349</v>
      </c>
      <c r="B3233" t="s">
        <v>5239</v>
      </c>
      <c r="I3233" s="109"/>
      <c r="J3233" s="109"/>
      <c r="K3233" s="109"/>
      <c r="L3233" s="109" t="str">
        <f t="shared" si="50"/>
        <v>95-956200133</v>
      </c>
      <c r="M3233" s="114">
        <v>956200133</v>
      </c>
      <c r="N3233" s="114" t="s">
        <v>7382</v>
      </c>
    </row>
    <row r="3234" spans="1:14">
      <c r="A3234" t="s">
        <v>4602</v>
      </c>
      <c r="B3234" t="s">
        <v>5239</v>
      </c>
      <c r="I3234" s="109"/>
      <c r="J3234" s="109"/>
      <c r="K3234" s="109"/>
      <c r="L3234" s="109" t="str">
        <f t="shared" si="50"/>
        <v>96-961100023</v>
      </c>
      <c r="M3234" s="114">
        <v>961100023</v>
      </c>
      <c r="N3234" s="114" t="s">
        <v>7498</v>
      </c>
    </row>
    <row r="3235" spans="1:14">
      <c r="A3235" t="s">
        <v>4302</v>
      </c>
      <c r="B3235" t="s">
        <v>5239</v>
      </c>
      <c r="I3235" s="109"/>
      <c r="J3235" s="109"/>
      <c r="K3235" s="109"/>
      <c r="L3235" s="109" t="str">
        <f t="shared" si="50"/>
        <v>95-956200017</v>
      </c>
      <c r="M3235" s="114">
        <v>956200017</v>
      </c>
      <c r="N3235" s="114" t="s">
        <v>7499</v>
      </c>
    </row>
    <row r="3236" spans="1:14">
      <c r="A3236" t="s">
        <v>4350</v>
      </c>
      <c r="B3236" t="s">
        <v>5239</v>
      </c>
      <c r="I3236" s="109"/>
      <c r="J3236" s="109"/>
      <c r="K3236" s="109"/>
      <c r="L3236" s="109" t="str">
        <f t="shared" si="50"/>
        <v>95-952500069</v>
      </c>
      <c r="M3236" s="114">
        <v>952500069</v>
      </c>
      <c r="N3236" s="114" t="s">
        <v>5716</v>
      </c>
    </row>
    <row r="3237" spans="1:14">
      <c r="A3237" t="s">
        <v>4458</v>
      </c>
      <c r="B3237" t="s">
        <v>5239</v>
      </c>
      <c r="I3237" s="109"/>
      <c r="J3237" s="109"/>
      <c r="K3237" s="109"/>
      <c r="L3237" s="109" t="str">
        <f t="shared" si="50"/>
        <v>95-952500087</v>
      </c>
      <c r="M3237" s="114">
        <v>952500087</v>
      </c>
      <c r="N3237" s="114" t="s">
        <v>5710</v>
      </c>
    </row>
    <row r="3238" spans="1:14">
      <c r="A3238" t="s">
        <v>4450</v>
      </c>
      <c r="B3238" t="s">
        <v>5239</v>
      </c>
      <c r="I3238" s="109"/>
      <c r="J3238" s="109"/>
      <c r="K3238" s="109"/>
      <c r="L3238" s="109" t="str">
        <f t="shared" si="50"/>
        <v>95-952500028</v>
      </c>
      <c r="M3238" s="114">
        <v>952500028</v>
      </c>
      <c r="N3238" s="114" t="s">
        <v>5630</v>
      </c>
    </row>
    <row r="3239" spans="1:14">
      <c r="A3239" t="s">
        <v>4454</v>
      </c>
      <c r="B3239" t="s">
        <v>5239</v>
      </c>
      <c r="I3239" s="109"/>
      <c r="J3239" s="109"/>
      <c r="K3239" s="109"/>
      <c r="L3239" s="109" t="str">
        <f t="shared" si="50"/>
        <v>95-952500039</v>
      </c>
      <c r="M3239" s="114">
        <v>952500039</v>
      </c>
      <c r="N3239" s="114" t="s">
        <v>5675</v>
      </c>
    </row>
    <row r="3240" spans="1:14">
      <c r="A3240" t="s">
        <v>4460</v>
      </c>
      <c r="B3240" t="s">
        <v>5239</v>
      </c>
      <c r="I3240" s="109"/>
      <c r="J3240" s="109"/>
      <c r="K3240" s="109"/>
      <c r="L3240" s="109" t="str">
        <f t="shared" si="50"/>
        <v>95-952500040</v>
      </c>
      <c r="M3240" s="114">
        <v>952500040</v>
      </c>
      <c r="N3240" s="114" t="s">
        <v>5675</v>
      </c>
    </row>
    <row r="3241" spans="1:14">
      <c r="A3241" s="1" t="s">
        <v>4347</v>
      </c>
      <c r="B3241" s="1" t="s">
        <v>5239</v>
      </c>
      <c r="I3241" s="109"/>
      <c r="J3241" s="109"/>
      <c r="K3241" s="109"/>
      <c r="L3241" s="109" t="str">
        <f t="shared" si="50"/>
        <v>95-952500063</v>
      </c>
      <c r="M3241" s="114">
        <v>952500063</v>
      </c>
      <c r="N3241" s="114" t="s">
        <v>5675</v>
      </c>
    </row>
    <row r="3242" spans="1:14">
      <c r="A3242" t="s">
        <v>5053</v>
      </c>
      <c r="B3242" s="1" t="s">
        <v>5241</v>
      </c>
      <c r="I3242" s="109"/>
      <c r="J3242" s="109"/>
      <c r="K3242" s="109"/>
      <c r="L3242" s="109" t="str">
        <f t="shared" si="50"/>
        <v>95-952500083</v>
      </c>
      <c r="M3242" s="114">
        <v>952500083</v>
      </c>
      <c r="N3242" s="114" t="s">
        <v>5733</v>
      </c>
    </row>
    <row r="3243" spans="1:14">
      <c r="A3243" t="s">
        <v>5214</v>
      </c>
      <c r="B3243" s="1" t="s">
        <v>5241</v>
      </c>
      <c r="I3243" s="109"/>
      <c r="J3243" s="109"/>
      <c r="K3243" s="109"/>
      <c r="L3243" s="109" t="str">
        <f t="shared" si="50"/>
        <v>96-962500032</v>
      </c>
      <c r="M3243" s="114">
        <v>962500032</v>
      </c>
      <c r="N3243" s="114" t="s">
        <v>5815</v>
      </c>
    </row>
    <row r="3244" spans="1:14">
      <c r="A3244" t="s">
        <v>5218</v>
      </c>
      <c r="B3244" s="1" t="s">
        <v>5241</v>
      </c>
      <c r="I3244" s="109"/>
      <c r="J3244" s="109"/>
      <c r="K3244" s="109"/>
      <c r="L3244" s="109" t="str">
        <f t="shared" si="50"/>
        <v>96-962500045</v>
      </c>
      <c r="M3244" s="114">
        <v>962500045</v>
      </c>
      <c r="N3244" s="114" t="s">
        <v>5814</v>
      </c>
    </row>
    <row r="3245" spans="1:14">
      <c r="A3245" s="1" t="s">
        <v>5217</v>
      </c>
      <c r="B3245" s="1" t="s">
        <v>5242</v>
      </c>
      <c r="I3245" s="109"/>
      <c r="J3245" s="109"/>
      <c r="K3245" s="109"/>
      <c r="L3245" s="109" t="str">
        <f t="shared" si="50"/>
        <v>96-962500076</v>
      </c>
      <c r="M3245" s="114">
        <v>962500076</v>
      </c>
      <c r="N3245" s="114" t="s">
        <v>7231</v>
      </c>
    </row>
    <row r="3246" spans="1:14">
      <c r="A3246" s="1" t="s">
        <v>5032</v>
      </c>
      <c r="B3246" s="1" t="s">
        <v>5242</v>
      </c>
      <c r="I3246" s="109"/>
      <c r="J3246" s="109"/>
      <c r="K3246" s="109"/>
      <c r="L3246" s="109" t="str">
        <f t="shared" si="50"/>
        <v>96-962500086</v>
      </c>
      <c r="M3246" s="114">
        <v>962500086</v>
      </c>
      <c r="N3246" s="114" t="s">
        <v>7231</v>
      </c>
    </row>
    <row r="3247" spans="1:14">
      <c r="A3247" s="1" t="s">
        <v>4970</v>
      </c>
      <c r="B3247" s="1" t="s">
        <v>5288</v>
      </c>
      <c r="I3247" s="109"/>
      <c r="J3247" s="109"/>
      <c r="K3247" s="109"/>
      <c r="L3247" s="109" t="str">
        <f t="shared" si="50"/>
        <v>96-962500103</v>
      </c>
      <c r="M3247" s="114">
        <v>962500103</v>
      </c>
      <c r="N3247" s="114" t="s">
        <v>7231</v>
      </c>
    </row>
    <row r="3248" spans="1:14">
      <c r="A3248" s="1" t="s">
        <v>4966</v>
      </c>
      <c r="B3248" s="1" t="s">
        <v>5288</v>
      </c>
      <c r="I3248" s="109"/>
      <c r="J3248" s="109"/>
      <c r="K3248" s="109"/>
      <c r="L3248" s="109" t="str">
        <f t="shared" si="50"/>
        <v>96-962500128</v>
      </c>
      <c r="M3248" s="114">
        <v>962500128</v>
      </c>
      <c r="N3248" s="114" t="s">
        <v>8748</v>
      </c>
    </row>
    <row r="3249" spans="1:14">
      <c r="A3249" s="1" t="s">
        <v>5052</v>
      </c>
      <c r="B3249" s="1" t="s">
        <v>5288</v>
      </c>
      <c r="I3249" s="109"/>
      <c r="J3249" s="109"/>
      <c r="K3249" s="109"/>
      <c r="L3249" s="109" t="str">
        <f t="shared" si="50"/>
        <v>96-962500062</v>
      </c>
      <c r="M3249" s="114">
        <v>962500062</v>
      </c>
      <c r="N3249" s="114" t="s">
        <v>5858</v>
      </c>
    </row>
    <row r="3250" spans="1:14">
      <c r="A3250" s="1" t="s">
        <v>5059</v>
      </c>
      <c r="B3250" s="1" t="s">
        <v>5304</v>
      </c>
      <c r="I3250" s="109"/>
      <c r="J3250" s="109"/>
      <c r="K3250" s="109"/>
      <c r="L3250" s="109" t="str">
        <f t="shared" si="50"/>
        <v>96-962500077</v>
      </c>
      <c r="M3250" s="114">
        <v>962500077</v>
      </c>
      <c r="N3250" s="114" t="s">
        <v>5858</v>
      </c>
    </row>
    <row r="3251" spans="1:14">
      <c r="A3251" s="63" t="s">
        <v>5240</v>
      </c>
      <c r="B3251" s="1" t="s">
        <v>5305</v>
      </c>
      <c r="I3251" s="109"/>
      <c r="J3251" s="109"/>
      <c r="K3251" s="109"/>
      <c r="L3251" s="109" t="str">
        <f t="shared" si="50"/>
        <v>96-962500024</v>
      </c>
      <c r="M3251" s="114">
        <v>962500024</v>
      </c>
      <c r="N3251" s="114" t="s">
        <v>5780</v>
      </c>
    </row>
    <row r="3252" spans="1:14">
      <c r="A3252" s="63" t="s">
        <v>5216</v>
      </c>
      <c r="B3252" s="1" t="s">
        <v>5305</v>
      </c>
      <c r="I3252" s="109"/>
      <c r="J3252" s="109"/>
      <c r="K3252" s="109"/>
      <c r="L3252" s="109" t="str">
        <f t="shared" si="50"/>
        <v>96-962500114</v>
      </c>
      <c r="M3252" s="114">
        <v>962500114</v>
      </c>
      <c r="N3252" s="114" t="s">
        <v>7211</v>
      </c>
    </row>
    <row r="3253" spans="1:14">
      <c r="A3253" s="64" t="s">
        <v>5054</v>
      </c>
      <c r="B3253" s="1" t="s">
        <v>5305</v>
      </c>
      <c r="I3253" s="109"/>
      <c r="J3253" s="109"/>
      <c r="K3253" s="109"/>
      <c r="L3253" s="109" t="str">
        <f t="shared" si="50"/>
        <v>96-962500055</v>
      </c>
      <c r="M3253" s="114">
        <v>962500055</v>
      </c>
      <c r="N3253" s="114" t="s">
        <v>5854</v>
      </c>
    </row>
    <row r="3254" spans="1:14">
      <c r="A3254" s="64" t="s">
        <v>4967</v>
      </c>
      <c r="B3254" s="1" t="s">
        <v>5305</v>
      </c>
      <c r="I3254" s="109"/>
      <c r="J3254" s="109"/>
      <c r="K3254" s="109"/>
      <c r="L3254" s="109" t="str">
        <f t="shared" si="50"/>
        <v>96-962500106</v>
      </c>
      <c r="M3254" s="114">
        <v>962500106</v>
      </c>
      <c r="N3254" s="114" t="s">
        <v>5854</v>
      </c>
    </row>
    <row r="3255" spans="1:14">
      <c r="A3255" s="64" t="s">
        <v>4964</v>
      </c>
      <c r="B3255" s="1" t="s">
        <v>5305</v>
      </c>
      <c r="I3255" s="109"/>
      <c r="J3255" s="109"/>
      <c r="K3255" s="109"/>
      <c r="L3255" s="109" t="str">
        <f t="shared" si="50"/>
        <v>95-954200033</v>
      </c>
      <c r="M3255" s="114">
        <v>954200033</v>
      </c>
      <c r="N3255" s="114" t="s">
        <v>5641</v>
      </c>
    </row>
    <row r="3256" spans="1:14">
      <c r="A3256" s="64" t="s">
        <v>5073</v>
      </c>
      <c r="B3256" s="1" t="s">
        <v>5305</v>
      </c>
      <c r="I3256" s="109"/>
      <c r="J3256" s="109"/>
      <c r="K3256" s="109"/>
      <c r="L3256" s="109" t="str">
        <f t="shared" si="50"/>
        <v>96-966200101</v>
      </c>
      <c r="M3256" s="114">
        <v>966200101</v>
      </c>
      <c r="N3256" s="114" t="s">
        <v>7270</v>
      </c>
    </row>
    <row r="3257" spans="1:14">
      <c r="A3257" t="s">
        <v>4924</v>
      </c>
      <c r="B3257" s="1" t="s">
        <v>5381</v>
      </c>
      <c r="I3257" s="109"/>
      <c r="J3257" s="109"/>
      <c r="K3257" s="109"/>
      <c r="L3257" s="109" t="str">
        <f t="shared" si="50"/>
        <v>95-956200074</v>
      </c>
      <c r="M3257" s="114">
        <v>956200074</v>
      </c>
      <c r="N3257" s="114" t="s">
        <v>7459</v>
      </c>
    </row>
    <row r="3258" spans="1:14">
      <c r="A3258" t="s">
        <v>4911</v>
      </c>
      <c r="B3258" s="1" t="s">
        <v>5381</v>
      </c>
      <c r="I3258" s="109"/>
      <c r="J3258" s="109"/>
      <c r="K3258" s="109"/>
      <c r="L3258" s="109" t="str">
        <f t="shared" si="50"/>
        <v>95-956300030</v>
      </c>
      <c r="M3258" s="114">
        <v>956300030</v>
      </c>
      <c r="N3258" s="114" t="s">
        <v>7427</v>
      </c>
    </row>
    <row r="3259" spans="1:14">
      <c r="A3259" t="s">
        <v>4702</v>
      </c>
      <c r="B3259" s="1" t="s">
        <v>5381</v>
      </c>
      <c r="I3259" s="109"/>
      <c r="J3259" s="109"/>
      <c r="K3259" s="109"/>
      <c r="L3259" s="109" t="str">
        <f t="shared" si="50"/>
        <v>95-956300037</v>
      </c>
      <c r="M3259" s="114">
        <v>956300037</v>
      </c>
      <c r="N3259" s="114" t="s">
        <v>7512</v>
      </c>
    </row>
    <row r="3260" spans="1:14">
      <c r="A3260" t="s">
        <v>4922</v>
      </c>
      <c r="B3260" s="1" t="s">
        <v>5381</v>
      </c>
      <c r="I3260" s="109"/>
      <c r="J3260" s="109"/>
      <c r="K3260" s="109"/>
      <c r="L3260" s="109" t="str">
        <f t="shared" si="50"/>
        <v>95-956200245</v>
      </c>
      <c r="M3260" s="114">
        <v>956200245</v>
      </c>
      <c r="N3260" s="114" t="s">
        <v>7428</v>
      </c>
    </row>
    <row r="3261" spans="1:14">
      <c r="A3261" t="s">
        <v>4916</v>
      </c>
      <c r="B3261" s="1" t="s">
        <v>5381</v>
      </c>
      <c r="I3261" s="109"/>
      <c r="J3261" s="109"/>
      <c r="K3261" s="109"/>
      <c r="L3261" s="109" t="str">
        <f t="shared" si="50"/>
        <v>95-952000200</v>
      </c>
      <c r="M3261" s="114">
        <v>952000200</v>
      </c>
      <c r="N3261" s="114" t="s">
        <v>7342</v>
      </c>
    </row>
    <row r="3262" spans="1:14">
      <c r="A3262" t="s">
        <v>4917</v>
      </c>
      <c r="B3262" s="1" t="s">
        <v>5381</v>
      </c>
      <c r="I3262" s="109"/>
      <c r="J3262" s="109"/>
      <c r="K3262" s="109"/>
      <c r="L3262" s="109" t="str">
        <f t="shared" si="50"/>
        <v>96-964100051</v>
      </c>
      <c r="M3262" s="114">
        <v>964100051</v>
      </c>
      <c r="N3262" s="114" t="s">
        <v>7138</v>
      </c>
    </row>
    <row r="3263" spans="1:14">
      <c r="A3263" t="s">
        <v>4891</v>
      </c>
      <c r="B3263" s="1" t="s">
        <v>5381</v>
      </c>
      <c r="I3263" s="109"/>
      <c r="J3263" s="109"/>
      <c r="K3263" s="109"/>
      <c r="L3263" s="109" t="str">
        <f t="shared" si="50"/>
        <v>96-964300005</v>
      </c>
      <c r="M3263" s="114">
        <v>964300005</v>
      </c>
      <c r="N3263" s="114" t="s">
        <v>7230</v>
      </c>
    </row>
    <row r="3264" spans="1:14">
      <c r="A3264" t="s">
        <v>4890</v>
      </c>
      <c r="B3264" s="1" t="s">
        <v>5381</v>
      </c>
      <c r="I3264" s="109"/>
      <c r="J3264" s="109"/>
      <c r="K3264" s="109"/>
      <c r="L3264" s="109" t="str">
        <f t="shared" si="50"/>
        <v>96-964300011</v>
      </c>
      <c r="M3264" s="114">
        <v>964300011</v>
      </c>
      <c r="N3264" s="114" t="s">
        <v>7125</v>
      </c>
    </row>
    <row r="3265" spans="1:14">
      <c r="A3265" t="s">
        <v>4893</v>
      </c>
      <c r="B3265" s="1" t="s">
        <v>5381</v>
      </c>
      <c r="I3265" s="109"/>
      <c r="J3265" s="109"/>
      <c r="K3265" s="109"/>
      <c r="L3265" s="109" t="str">
        <f t="shared" si="50"/>
        <v>96-964300015</v>
      </c>
      <c r="M3265" s="114">
        <v>964300015</v>
      </c>
      <c r="N3265" s="114" t="s">
        <v>7125</v>
      </c>
    </row>
    <row r="3266" spans="1:14">
      <c r="A3266" t="s">
        <v>4892</v>
      </c>
      <c r="B3266" s="1" t="s">
        <v>5381</v>
      </c>
      <c r="I3266" s="109"/>
      <c r="J3266" s="109"/>
      <c r="K3266" s="109"/>
      <c r="L3266" s="109" t="str">
        <f t="shared" si="50"/>
        <v>96-964300017</v>
      </c>
      <c r="M3266" s="114">
        <v>964300017</v>
      </c>
      <c r="N3266" s="114" t="s">
        <v>7125</v>
      </c>
    </row>
    <row r="3267" spans="1:14">
      <c r="A3267" t="s">
        <v>4921</v>
      </c>
      <c r="B3267" s="1" t="s">
        <v>5381</v>
      </c>
      <c r="I3267" s="109"/>
      <c r="J3267" s="109"/>
      <c r="K3267" s="109"/>
      <c r="L3267" s="109" t="str">
        <f t="shared" ref="L3267:L3330" si="51">MID(M3267,1,2)&amp;"-"&amp;M3267</f>
        <v>96-964300018</v>
      </c>
      <c r="M3267" s="114">
        <v>964300018</v>
      </c>
      <c r="N3267" s="114" t="s">
        <v>7125</v>
      </c>
    </row>
    <row r="3268" spans="1:14">
      <c r="A3268" t="s">
        <v>4897</v>
      </c>
      <c r="B3268" s="1" t="s">
        <v>5381</v>
      </c>
      <c r="I3268" s="109"/>
      <c r="J3268" s="109"/>
      <c r="K3268" s="109"/>
      <c r="L3268" s="109" t="str">
        <f t="shared" si="51"/>
        <v>95-951100023</v>
      </c>
      <c r="M3268" s="114">
        <v>951100023</v>
      </c>
      <c r="N3268" s="114" t="s">
        <v>8036</v>
      </c>
    </row>
    <row r="3269" spans="1:14">
      <c r="A3269" s="1" t="s">
        <v>5193</v>
      </c>
      <c r="B3269" s="1" t="s">
        <v>5382</v>
      </c>
      <c r="I3269" s="109"/>
      <c r="J3269" s="109"/>
      <c r="K3269" s="109"/>
      <c r="L3269" s="109" t="str">
        <f t="shared" si="51"/>
        <v>96-966200012</v>
      </c>
      <c r="M3269" s="114">
        <v>966200012</v>
      </c>
      <c r="N3269" s="114" t="s">
        <v>7370</v>
      </c>
    </row>
    <row r="3270" spans="1:14">
      <c r="A3270" t="s">
        <v>4924</v>
      </c>
      <c r="B3270" s="1" t="s">
        <v>5383</v>
      </c>
      <c r="I3270" s="109"/>
      <c r="J3270" s="109"/>
      <c r="K3270" s="109"/>
      <c r="L3270" s="109" t="str">
        <f t="shared" si="51"/>
        <v>95-952000110</v>
      </c>
      <c r="M3270" s="114">
        <v>952000110</v>
      </c>
      <c r="N3270" s="114" t="s">
        <v>7321</v>
      </c>
    </row>
    <row r="3271" spans="1:14">
      <c r="A3271" t="s">
        <v>4911</v>
      </c>
      <c r="B3271" s="1" t="s">
        <v>5383</v>
      </c>
      <c r="I3271" s="109"/>
      <c r="J3271" s="109"/>
      <c r="K3271" s="109"/>
      <c r="L3271" s="109" t="str">
        <f t="shared" si="51"/>
        <v>95-956200078</v>
      </c>
      <c r="M3271" s="114">
        <v>956200078</v>
      </c>
      <c r="N3271" s="114" t="s">
        <v>7513</v>
      </c>
    </row>
    <row r="3272" spans="1:14">
      <c r="A3272" t="s">
        <v>4702</v>
      </c>
      <c r="B3272" s="1" t="s">
        <v>5383</v>
      </c>
      <c r="I3272" s="109"/>
      <c r="J3272" s="109"/>
      <c r="K3272" s="109"/>
      <c r="L3272" s="109" t="str">
        <f t="shared" si="51"/>
        <v>96-962000027</v>
      </c>
      <c r="M3272" s="114">
        <v>962000027</v>
      </c>
      <c r="N3272" s="114" t="s">
        <v>7112</v>
      </c>
    </row>
    <row r="3273" spans="1:14">
      <c r="A3273" t="s">
        <v>4922</v>
      </c>
      <c r="B3273" s="1" t="s">
        <v>5383</v>
      </c>
      <c r="I3273" s="109"/>
      <c r="J3273" s="109"/>
      <c r="K3273" s="109"/>
      <c r="L3273" s="109" t="str">
        <f t="shared" si="51"/>
        <v>96-962000216</v>
      </c>
      <c r="M3273" s="114">
        <v>962000216</v>
      </c>
      <c r="N3273" s="114" t="s">
        <v>7112</v>
      </c>
    </row>
    <row r="3274" spans="1:14">
      <c r="A3274" t="s">
        <v>4916</v>
      </c>
      <c r="B3274" s="1" t="s">
        <v>5383</v>
      </c>
      <c r="I3274" s="109"/>
      <c r="J3274" s="109"/>
      <c r="K3274" s="109"/>
      <c r="L3274" s="109" t="str">
        <f t="shared" si="51"/>
        <v>96-966200034</v>
      </c>
      <c r="M3274" s="114">
        <v>966200034</v>
      </c>
      <c r="N3274" s="114" t="s">
        <v>7288</v>
      </c>
    </row>
    <row r="3275" spans="1:14">
      <c r="A3275" t="s">
        <v>4917</v>
      </c>
      <c r="B3275" s="1" t="s">
        <v>5383</v>
      </c>
      <c r="I3275" s="109"/>
      <c r="J3275" s="109"/>
      <c r="K3275" s="109"/>
      <c r="L3275" s="109" t="str">
        <f t="shared" si="51"/>
        <v>96-966200035</v>
      </c>
      <c r="M3275" s="114">
        <v>966200035</v>
      </c>
      <c r="N3275" s="114" t="s">
        <v>7288</v>
      </c>
    </row>
    <row r="3276" spans="1:14">
      <c r="A3276" t="s">
        <v>4891</v>
      </c>
      <c r="B3276" s="1" t="s">
        <v>5383</v>
      </c>
      <c r="I3276" s="109"/>
      <c r="J3276" s="109"/>
      <c r="K3276" s="109"/>
      <c r="L3276" s="109" t="str">
        <f t="shared" si="51"/>
        <v>96-966200073</v>
      </c>
      <c r="M3276" s="114">
        <v>966200073</v>
      </c>
      <c r="N3276" s="114" t="s">
        <v>7448</v>
      </c>
    </row>
    <row r="3277" spans="1:14">
      <c r="A3277" t="s">
        <v>4890</v>
      </c>
      <c r="B3277" s="1" t="s">
        <v>5383</v>
      </c>
      <c r="I3277" s="109"/>
      <c r="J3277" s="109"/>
      <c r="K3277" s="109"/>
      <c r="L3277" s="109" t="str">
        <f t="shared" si="51"/>
        <v>95-956300017</v>
      </c>
      <c r="M3277" s="114">
        <v>956300017</v>
      </c>
      <c r="N3277" s="114" t="s">
        <v>7516</v>
      </c>
    </row>
    <row r="3278" spans="1:14">
      <c r="A3278" t="s">
        <v>4893</v>
      </c>
      <c r="B3278" s="1" t="s">
        <v>5383</v>
      </c>
      <c r="I3278" s="109"/>
      <c r="J3278" s="109"/>
      <c r="K3278" s="109"/>
      <c r="L3278" s="109" t="str">
        <f t="shared" si="51"/>
        <v>95-956200109</v>
      </c>
      <c r="M3278" s="114">
        <v>956200109</v>
      </c>
      <c r="N3278" s="114" t="s">
        <v>7358</v>
      </c>
    </row>
    <row r="3279" spans="1:14">
      <c r="A3279" t="s">
        <v>4892</v>
      </c>
      <c r="B3279" s="1" t="s">
        <v>5383</v>
      </c>
      <c r="I3279" s="109"/>
      <c r="J3279" s="109"/>
      <c r="K3279" s="109"/>
      <c r="L3279" s="109" t="str">
        <f t="shared" si="51"/>
        <v>95-956200254</v>
      </c>
      <c r="M3279" s="114">
        <v>956200254</v>
      </c>
      <c r="N3279" s="114" t="s">
        <v>7428</v>
      </c>
    </row>
    <row r="3280" spans="1:14">
      <c r="A3280" t="s">
        <v>4921</v>
      </c>
      <c r="B3280" s="1" t="s">
        <v>5383</v>
      </c>
      <c r="I3280" s="109"/>
      <c r="J3280" s="109"/>
      <c r="K3280" s="109"/>
      <c r="L3280" s="109" t="str">
        <f t="shared" si="51"/>
        <v>95-956200248</v>
      </c>
      <c r="M3280" s="114">
        <v>956200248</v>
      </c>
      <c r="N3280" s="114" t="s">
        <v>7428</v>
      </c>
    </row>
    <row r="3281" spans="1:14">
      <c r="A3281" t="s">
        <v>4897</v>
      </c>
      <c r="B3281" s="1" t="s">
        <v>5383</v>
      </c>
      <c r="I3281" s="109"/>
      <c r="J3281" s="109"/>
      <c r="K3281" s="109"/>
      <c r="L3281" s="109" t="str">
        <f t="shared" si="51"/>
        <v>96-966200124</v>
      </c>
      <c r="M3281" s="114">
        <v>966200124</v>
      </c>
      <c r="N3281" s="114" t="s">
        <v>7293</v>
      </c>
    </row>
    <row r="3282" spans="1:14">
      <c r="A3282" t="s">
        <v>4306</v>
      </c>
      <c r="B3282" s="1" t="s">
        <v>5461</v>
      </c>
      <c r="I3282" s="109"/>
      <c r="J3282" s="109"/>
      <c r="K3282" s="109"/>
      <c r="L3282" s="109" t="str">
        <f t="shared" si="51"/>
        <v>95-956200279</v>
      </c>
      <c r="M3282" s="114">
        <v>956200279</v>
      </c>
      <c r="N3282" s="114" t="s">
        <v>7347</v>
      </c>
    </row>
    <row r="3283" spans="1:14">
      <c r="A3283" t="s">
        <v>4679</v>
      </c>
      <c r="B3283" s="1" t="s">
        <v>5461</v>
      </c>
      <c r="I3283" s="109"/>
      <c r="J3283" s="109"/>
      <c r="K3283" s="109"/>
      <c r="L3283" s="109" t="str">
        <f t="shared" si="51"/>
        <v>95-954200020</v>
      </c>
      <c r="M3283" s="114">
        <v>954200020</v>
      </c>
      <c r="N3283" s="114" t="s">
        <v>5644</v>
      </c>
    </row>
    <row r="3284" spans="1:14">
      <c r="A3284" t="s">
        <v>4955</v>
      </c>
      <c r="B3284" s="1" t="s">
        <v>5461</v>
      </c>
      <c r="I3284" s="109"/>
      <c r="J3284" s="109"/>
      <c r="K3284" s="109"/>
      <c r="L3284" s="109" t="str">
        <f t="shared" si="51"/>
        <v>95-954200037</v>
      </c>
      <c r="M3284" s="114">
        <v>954200037</v>
      </c>
      <c r="N3284" s="114" t="s">
        <v>5645</v>
      </c>
    </row>
    <row r="3285" spans="1:14">
      <c r="A3285" t="s">
        <v>4934</v>
      </c>
      <c r="B3285" s="1" t="s">
        <v>5461</v>
      </c>
      <c r="I3285" s="109"/>
      <c r="J3285" s="109"/>
      <c r="K3285" s="109"/>
      <c r="L3285" s="109" t="str">
        <f t="shared" si="51"/>
        <v>96-964200005</v>
      </c>
      <c r="M3285" s="114">
        <v>964200005</v>
      </c>
      <c r="N3285" s="114" t="s">
        <v>5762</v>
      </c>
    </row>
    <row r="3286" spans="1:14">
      <c r="A3286" t="s">
        <v>4915</v>
      </c>
      <c r="B3286" s="1" t="s">
        <v>5461</v>
      </c>
      <c r="I3286" s="109"/>
      <c r="J3286" s="109"/>
      <c r="K3286" s="109"/>
      <c r="L3286" s="109" t="str">
        <f t="shared" si="51"/>
        <v>96-964200001</v>
      </c>
      <c r="M3286" s="114">
        <v>964200001</v>
      </c>
      <c r="N3286" s="114" t="s">
        <v>5798</v>
      </c>
    </row>
    <row r="3287" spans="1:14">
      <c r="A3287" t="s">
        <v>5210</v>
      </c>
      <c r="B3287" s="1" t="s">
        <v>5462</v>
      </c>
      <c r="I3287" s="109"/>
      <c r="J3287" s="109"/>
      <c r="K3287" s="109"/>
      <c r="L3287" s="109" t="str">
        <f t="shared" si="51"/>
        <v>95-956200397</v>
      </c>
      <c r="M3287" s="114">
        <v>956200397</v>
      </c>
      <c r="N3287" s="114" t="s">
        <v>7269</v>
      </c>
    </row>
    <row r="3288" spans="1:14">
      <c r="A3288" t="s">
        <v>5276</v>
      </c>
      <c r="B3288" s="1" t="s">
        <v>5462</v>
      </c>
      <c r="I3288" s="109"/>
      <c r="J3288" s="109"/>
      <c r="K3288" s="109"/>
      <c r="L3288" s="109" t="str">
        <f t="shared" si="51"/>
        <v>95-956200354</v>
      </c>
      <c r="M3288" s="114">
        <v>956200354</v>
      </c>
      <c r="N3288" s="114" t="s">
        <v>7447</v>
      </c>
    </row>
    <row r="3289" spans="1:14">
      <c r="A3289" t="s">
        <v>5190</v>
      </c>
      <c r="B3289" s="1" t="s">
        <v>5462</v>
      </c>
      <c r="I3289" s="109"/>
      <c r="J3289" s="109"/>
      <c r="K3289" s="109"/>
      <c r="L3289" s="109" t="str">
        <f t="shared" si="51"/>
        <v>95-956200357</v>
      </c>
      <c r="M3289" s="114">
        <v>956200357</v>
      </c>
      <c r="N3289" s="114" t="s">
        <v>7447</v>
      </c>
    </row>
    <row r="3290" spans="1:14">
      <c r="A3290" t="s">
        <v>5228</v>
      </c>
      <c r="B3290" s="1" t="s">
        <v>5462</v>
      </c>
      <c r="I3290" s="109"/>
      <c r="J3290" s="109"/>
      <c r="K3290" s="109"/>
      <c r="L3290" s="109" t="str">
        <f t="shared" si="51"/>
        <v>95-956200360</v>
      </c>
      <c r="M3290" s="114">
        <v>956200360</v>
      </c>
      <c r="N3290" s="114" t="s">
        <v>7292</v>
      </c>
    </row>
    <row r="3291" spans="1:14">
      <c r="A3291" t="s">
        <v>5184</v>
      </c>
      <c r="B3291" s="1" t="s">
        <v>5462</v>
      </c>
      <c r="I3291" s="109"/>
      <c r="J3291" s="109"/>
      <c r="K3291" s="109"/>
      <c r="L3291" s="109" t="str">
        <f t="shared" si="51"/>
        <v>95-956200388</v>
      </c>
      <c r="M3291" s="114">
        <v>956200388</v>
      </c>
      <c r="N3291" s="114" t="s">
        <v>7393</v>
      </c>
    </row>
    <row r="3292" spans="1:14">
      <c r="A3292" t="s">
        <v>4889</v>
      </c>
      <c r="B3292" s="1" t="s">
        <v>5463</v>
      </c>
      <c r="I3292" s="109"/>
      <c r="J3292" s="109"/>
      <c r="K3292" s="109"/>
      <c r="L3292" s="109" t="str">
        <f t="shared" si="51"/>
        <v>95-956200391</v>
      </c>
      <c r="M3292" s="114">
        <v>956200391</v>
      </c>
      <c r="N3292" s="114" t="s">
        <v>7393</v>
      </c>
    </row>
    <row r="3293" spans="1:14">
      <c r="A3293" t="s">
        <v>4956</v>
      </c>
      <c r="B3293" s="1" t="s">
        <v>5463</v>
      </c>
      <c r="I3293" s="109"/>
      <c r="J3293" s="109"/>
      <c r="K3293" s="109"/>
      <c r="L3293" s="109" t="str">
        <f t="shared" si="51"/>
        <v>95-956200436</v>
      </c>
      <c r="M3293" s="114">
        <v>956200436</v>
      </c>
      <c r="N3293" s="114" t="s">
        <v>7423</v>
      </c>
    </row>
    <row r="3294" spans="1:14">
      <c r="A3294" t="s">
        <v>4968</v>
      </c>
      <c r="B3294" s="1" t="s">
        <v>5463</v>
      </c>
      <c r="I3294" s="109"/>
      <c r="J3294" s="109"/>
      <c r="K3294" s="109"/>
      <c r="L3294" s="109" t="str">
        <f t="shared" si="51"/>
        <v>95-956200434</v>
      </c>
      <c r="M3294" s="114">
        <v>956200434</v>
      </c>
      <c r="N3294" s="114" t="s">
        <v>7419</v>
      </c>
    </row>
    <row r="3295" spans="1:14">
      <c r="A3295" s="1" t="s">
        <v>5449</v>
      </c>
      <c r="B3295" s="1" t="s">
        <v>5464</v>
      </c>
      <c r="I3295" s="109"/>
      <c r="J3295" s="109"/>
      <c r="K3295" s="109"/>
      <c r="L3295" s="109" t="str">
        <f t="shared" si="51"/>
        <v>96-966200053</v>
      </c>
      <c r="M3295" s="114">
        <v>966200053</v>
      </c>
      <c r="N3295" s="114" t="s">
        <v>7414</v>
      </c>
    </row>
    <row r="3296" spans="1:14" ht="18">
      <c r="A3296" s="52" t="s">
        <v>3518</v>
      </c>
      <c r="B3296" s="5" t="s">
        <v>5497</v>
      </c>
      <c r="I3296" s="109"/>
      <c r="J3296" s="109"/>
      <c r="K3296" s="109"/>
      <c r="L3296" s="109" t="str">
        <f t="shared" si="51"/>
        <v>96-961100020</v>
      </c>
      <c r="M3296" s="114">
        <v>961100020</v>
      </c>
      <c r="N3296" s="114" t="s">
        <v>7522</v>
      </c>
    </row>
    <row r="3297" spans="1:14" ht="18">
      <c r="A3297" s="52" t="s">
        <v>3510</v>
      </c>
      <c r="B3297" s="5" t="s">
        <v>5497</v>
      </c>
      <c r="I3297" s="109"/>
      <c r="J3297" s="109"/>
      <c r="K3297" s="109"/>
      <c r="L3297" s="109" t="str">
        <f t="shared" si="51"/>
        <v>96-966200063</v>
      </c>
      <c r="M3297" s="114">
        <v>966200063</v>
      </c>
      <c r="N3297" s="114" t="s">
        <v>7345</v>
      </c>
    </row>
    <row r="3298" spans="1:14" ht="18">
      <c r="A3298" s="52" t="s">
        <v>3575</v>
      </c>
      <c r="B3298" s="5" t="s">
        <v>5497</v>
      </c>
      <c r="I3298" s="109"/>
      <c r="J3298" s="109"/>
      <c r="K3298" s="109"/>
      <c r="L3298" s="109" t="str">
        <f t="shared" si="51"/>
        <v>96-966200086</v>
      </c>
      <c r="M3298" s="114">
        <v>966200086</v>
      </c>
      <c r="N3298" s="114" t="s">
        <v>7476</v>
      </c>
    </row>
    <row r="3299" spans="1:14" ht="18">
      <c r="A3299" s="52" t="s">
        <v>3732</v>
      </c>
      <c r="B3299" s="5" t="s">
        <v>5497</v>
      </c>
      <c r="I3299" s="109"/>
      <c r="J3299" s="109"/>
      <c r="K3299" s="109"/>
      <c r="L3299" s="109" t="str">
        <f t="shared" si="51"/>
        <v>96-966200202</v>
      </c>
      <c r="M3299" s="114">
        <v>966200202</v>
      </c>
      <c r="N3299" s="114" t="s">
        <v>7120</v>
      </c>
    </row>
    <row r="3300" spans="1:14" ht="18">
      <c r="A3300" s="52" t="s">
        <v>3729</v>
      </c>
      <c r="B3300" s="5" t="s">
        <v>5497</v>
      </c>
      <c r="I3300" s="109"/>
      <c r="J3300" s="109"/>
      <c r="K3300" s="109"/>
      <c r="L3300" s="109" t="str">
        <f t="shared" si="51"/>
        <v>96-966200093</v>
      </c>
      <c r="M3300" s="114">
        <v>966200093</v>
      </c>
      <c r="N3300" s="114" t="s">
        <v>7476</v>
      </c>
    </row>
    <row r="3301" spans="1:14" ht="18">
      <c r="A3301" s="52" t="s">
        <v>4263</v>
      </c>
      <c r="B3301" s="5" t="s">
        <v>5497</v>
      </c>
      <c r="I3301" s="109"/>
      <c r="J3301" s="109"/>
      <c r="K3301" s="109"/>
      <c r="L3301" s="109" t="str">
        <f t="shared" si="51"/>
        <v>96-966200097</v>
      </c>
      <c r="M3301" s="114">
        <v>966200097</v>
      </c>
      <c r="N3301" s="114" t="s">
        <v>7476</v>
      </c>
    </row>
    <row r="3302" spans="1:14" ht="18">
      <c r="A3302" s="52" t="s">
        <v>4234</v>
      </c>
      <c r="B3302" s="5" t="s">
        <v>5497</v>
      </c>
      <c r="I3302" s="109"/>
      <c r="J3302" s="109"/>
      <c r="K3302" s="109"/>
      <c r="L3302" s="109" t="str">
        <f t="shared" si="51"/>
        <v>96-966200136</v>
      </c>
      <c r="M3302" s="114">
        <v>966200136</v>
      </c>
      <c r="N3302" s="114" t="s">
        <v>7523</v>
      </c>
    </row>
    <row r="3303" spans="1:14" ht="18">
      <c r="A3303" s="52" t="s">
        <v>3894</v>
      </c>
      <c r="B3303" s="5" t="s">
        <v>5497</v>
      </c>
      <c r="I3303" s="109"/>
      <c r="J3303" s="109"/>
      <c r="K3303" s="109"/>
      <c r="L3303" s="109" t="str">
        <f t="shared" si="51"/>
        <v>96-962000104</v>
      </c>
      <c r="M3303" s="114">
        <v>962000104</v>
      </c>
      <c r="N3303" s="114" t="s">
        <v>7112</v>
      </c>
    </row>
    <row r="3304" spans="1:14" ht="18">
      <c r="A3304" s="52" t="s">
        <v>4189</v>
      </c>
      <c r="B3304" s="5" t="s">
        <v>5497</v>
      </c>
      <c r="I3304" s="109"/>
      <c r="J3304" s="109"/>
      <c r="K3304" s="109"/>
      <c r="L3304" s="109" t="str">
        <f t="shared" si="51"/>
        <v>96-962000162</v>
      </c>
      <c r="M3304" s="114">
        <v>962000162</v>
      </c>
      <c r="N3304" s="114" t="s">
        <v>7112</v>
      </c>
    </row>
    <row r="3305" spans="1:14" ht="18">
      <c r="A3305" s="52" t="s">
        <v>4476</v>
      </c>
      <c r="B3305" s="5" t="s">
        <v>5497</v>
      </c>
      <c r="I3305" s="109"/>
      <c r="J3305" s="109"/>
      <c r="K3305" s="109"/>
      <c r="L3305" s="109" t="str">
        <f t="shared" si="51"/>
        <v>96-962000197</v>
      </c>
      <c r="M3305" s="114">
        <v>962000197</v>
      </c>
      <c r="N3305" s="114" t="s">
        <v>7112</v>
      </c>
    </row>
    <row r="3306" spans="1:14" ht="18">
      <c r="A3306" s="52" t="s">
        <v>4196</v>
      </c>
      <c r="B3306" s="5" t="s">
        <v>5497</v>
      </c>
      <c r="I3306" s="109"/>
      <c r="J3306" s="109"/>
      <c r="K3306" s="109"/>
      <c r="L3306" s="109" t="str">
        <f t="shared" si="51"/>
        <v>95-954100004</v>
      </c>
      <c r="M3306" s="114">
        <v>954100004</v>
      </c>
      <c r="N3306" s="114" t="s">
        <v>5615</v>
      </c>
    </row>
    <row r="3307" spans="1:14" ht="18">
      <c r="A3307" s="52"/>
      <c r="B3307" s="5"/>
      <c r="I3307" s="109"/>
      <c r="J3307" s="109"/>
      <c r="K3307" s="109"/>
      <c r="L3307" s="109" t="str">
        <f t="shared" si="51"/>
        <v>95-954100012</v>
      </c>
      <c r="M3307" s="114">
        <v>954100012</v>
      </c>
      <c r="N3307" s="114" t="s">
        <v>5623</v>
      </c>
    </row>
    <row r="3308" spans="1:14" ht="18">
      <c r="A3308" s="52"/>
      <c r="B3308" s="5"/>
      <c r="I3308" s="109"/>
      <c r="J3308" s="109"/>
      <c r="K3308" s="109"/>
      <c r="L3308" s="109" t="str">
        <f t="shared" si="51"/>
        <v>95-954100024</v>
      </c>
      <c r="M3308" s="114">
        <v>954100024</v>
      </c>
      <c r="N3308" s="114" t="s">
        <v>5737</v>
      </c>
    </row>
    <row r="3309" spans="1:14" ht="18">
      <c r="A3309" s="52"/>
      <c r="B3309" s="5"/>
      <c r="I3309" s="109"/>
      <c r="J3309" s="109"/>
      <c r="K3309" s="109"/>
      <c r="L3309" s="109" t="str">
        <f t="shared" si="51"/>
        <v>95-956000008</v>
      </c>
      <c r="M3309" s="114">
        <v>956000008</v>
      </c>
      <c r="N3309" s="114" t="s">
        <v>8256</v>
      </c>
    </row>
    <row r="3310" spans="1:14" ht="18">
      <c r="A3310" s="52"/>
      <c r="B3310" s="5"/>
      <c r="I3310" s="109"/>
      <c r="J3310" s="109"/>
      <c r="K3310" s="109"/>
      <c r="L3310" s="109" t="str">
        <f t="shared" si="51"/>
        <v>95-951800046</v>
      </c>
      <c r="M3310" s="114">
        <v>951800046</v>
      </c>
      <c r="N3310" s="114" t="s">
        <v>8257</v>
      </c>
    </row>
    <row r="3311" spans="1:14" ht="18">
      <c r="A3311" s="52"/>
      <c r="B3311" s="5"/>
      <c r="I3311" s="109"/>
      <c r="J3311" s="109"/>
      <c r="K3311" s="109"/>
      <c r="L3311" s="109" t="str">
        <f t="shared" si="51"/>
        <v>96-961800006</v>
      </c>
      <c r="M3311" s="114">
        <v>961800006</v>
      </c>
      <c r="N3311" s="114" t="s">
        <v>8258</v>
      </c>
    </row>
    <row r="3312" spans="1:14">
      <c r="A3312" t="s">
        <v>5328</v>
      </c>
      <c r="B3312" s="5" t="s">
        <v>6129</v>
      </c>
      <c r="I3312" s="109"/>
      <c r="J3312" s="109"/>
      <c r="K3312" s="109"/>
      <c r="L3312" s="109" t="str">
        <f t="shared" si="51"/>
        <v>95-951800001</v>
      </c>
      <c r="M3312" s="114">
        <v>951800001</v>
      </c>
      <c r="N3312" s="114" t="s">
        <v>8259</v>
      </c>
    </row>
    <row r="3313" spans="1:14">
      <c r="A3313" t="s">
        <v>5867</v>
      </c>
      <c r="B3313" s="5" t="s">
        <v>6129</v>
      </c>
      <c r="I3313" s="109"/>
      <c r="J3313" s="109"/>
      <c r="K3313" s="109"/>
      <c r="L3313" s="109" t="str">
        <f t="shared" si="51"/>
        <v>95-951900259</v>
      </c>
      <c r="M3313" s="114">
        <v>951900259</v>
      </c>
      <c r="N3313" s="114" t="s">
        <v>8260</v>
      </c>
    </row>
    <row r="3314" spans="1:14">
      <c r="A3314" t="s">
        <v>5436</v>
      </c>
      <c r="B3314" s="5" t="s">
        <v>6129</v>
      </c>
      <c r="I3314" s="109"/>
      <c r="J3314" s="109"/>
      <c r="K3314" s="109"/>
      <c r="L3314" s="109" t="str">
        <f t="shared" si="51"/>
        <v>96-964300010</v>
      </c>
      <c r="M3314" s="114">
        <v>964300010</v>
      </c>
      <c r="N3314" s="114" t="s">
        <v>7125</v>
      </c>
    </row>
    <row r="3315" spans="1:14">
      <c r="A3315" t="s">
        <v>5427</v>
      </c>
      <c r="B3315" s="5" t="s">
        <v>6129</v>
      </c>
      <c r="I3315" s="109"/>
      <c r="J3315" s="109"/>
      <c r="K3315" s="109"/>
      <c r="L3315" s="109" t="str">
        <f t="shared" si="51"/>
        <v>95-951700056</v>
      </c>
      <c r="M3315" s="114">
        <v>951700056</v>
      </c>
      <c r="N3315" s="114" t="s">
        <v>7566</v>
      </c>
    </row>
    <row r="3316" spans="1:14">
      <c r="A3316" t="s">
        <v>4286</v>
      </c>
      <c r="B3316" s="5" t="s">
        <v>6130</v>
      </c>
      <c r="I3316" s="109"/>
      <c r="J3316" s="109"/>
      <c r="K3316" s="109"/>
      <c r="L3316" s="109" t="str">
        <f t="shared" si="51"/>
        <v>95-951700301</v>
      </c>
      <c r="M3316" s="114">
        <v>951700301</v>
      </c>
      <c r="N3316" s="114" t="s">
        <v>7161</v>
      </c>
    </row>
    <row r="3317" spans="1:14">
      <c r="A3317" t="s">
        <v>3954</v>
      </c>
      <c r="B3317" s="5" t="s">
        <v>6130</v>
      </c>
      <c r="I3317" s="109"/>
      <c r="J3317" s="109"/>
      <c r="K3317" s="109"/>
      <c r="L3317" s="109" t="str">
        <f t="shared" si="51"/>
        <v>95-951700326</v>
      </c>
      <c r="M3317" s="114">
        <v>951700326</v>
      </c>
      <c r="N3317" s="114" t="s">
        <v>7481</v>
      </c>
    </row>
    <row r="3318" spans="1:14">
      <c r="A3318" t="s">
        <v>3951</v>
      </c>
      <c r="B3318" s="5" t="s">
        <v>6130</v>
      </c>
      <c r="I3318" s="109"/>
      <c r="J3318" s="109"/>
      <c r="K3318" s="109"/>
      <c r="L3318" s="109" t="str">
        <f t="shared" si="51"/>
        <v>95-951700329</v>
      </c>
      <c r="M3318" s="114">
        <v>951700329</v>
      </c>
      <c r="N3318" s="114" t="s">
        <v>7481</v>
      </c>
    </row>
    <row r="3319" spans="1:14">
      <c r="A3319" t="s">
        <v>3952</v>
      </c>
      <c r="B3319" s="5" t="s">
        <v>6130</v>
      </c>
      <c r="I3319" s="109"/>
      <c r="J3319" s="109"/>
      <c r="K3319" s="109"/>
      <c r="L3319" s="109" t="str">
        <f t="shared" si="51"/>
        <v>96-966100002</v>
      </c>
      <c r="M3319" s="114">
        <v>966100002</v>
      </c>
      <c r="N3319" s="114" t="s">
        <v>8263</v>
      </c>
    </row>
    <row r="3320" spans="1:14">
      <c r="A3320" t="s">
        <v>3956</v>
      </c>
      <c r="B3320" s="5" t="s">
        <v>6130</v>
      </c>
      <c r="I3320" s="109"/>
      <c r="J3320" s="109"/>
      <c r="K3320" s="109"/>
      <c r="L3320" s="109" t="str">
        <f t="shared" si="51"/>
        <v>95-951800145</v>
      </c>
      <c r="M3320" s="114">
        <v>951800145</v>
      </c>
      <c r="N3320" s="114" t="s">
        <v>8264</v>
      </c>
    </row>
    <row r="3321" spans="1:14">
      <c r="A3321" t="s">
        <v>3953</v>
      </c>
      <c r="B3321" s="5" t="s">
        <v>6130</v>
      </c>
      <c r="I3321" s="109"/>
      <c r="J3321" s="109"/>
      <c r="K3321" s="109"/>
      <c r="L3321" s="109" t="str">
        <f t="shared" si="51"/>
        <v>95-954100029</v>
      </c>
      <c r="M3321" s="114">
        <v>954100029</v>
      </c>
      <c r="N3321" s="114" t="s">
        <v>5749</v>
      </c>
    </row>
    <row r="3322" spans="1:14">
      <c r="A3322" t="s">
        <v>3949</v>
      </c>
      <c r="B3322" s="5" t="s">
        <v>6130</v>
      </c>
      <c r="I3322" s="109"/>
      <c r="J3322" s="109"/>
      <c r="K3322" s="109"/>
      <c r="L3322" s="109" t="str">
        <f t="shared" si="51"/>
        <v>95-954100035</v>
      </c>
      <c r="M3322" s="114">
        <v>954100035</v>
      </c>
      <c r="N3322" s="114" t="s">
        <v>5749</v>
      </c>
    </row>
    <row r="3323" spans="1:14">
      <c r="A3323" t="s">
        <v>4301</v>
      </c>
      <c r="B3323" s="5" t="s">
        <v>6130</v>
      </c>
      <c r="I3323" s="109"/>
      <c r="J3323" s="109"/>
      <c r="K3323" s="109"/>
      <c r="L3323" s="109" t="str">
        <f t="shared" si="51"/>
        <v>96-964100002</v>
      </c>
      <c r="M3323" s="114">
        <v>964100002</v>
      </c>
      <c r="N3323" s="114" t="s">
        <v>5761</v>
      </c>
    </row>
    <row r="3324" spans="1:14">
      <c r="A3324" t="s">
        <v>3960</v>
      </c>
      <c r="B3324" s="5" t="s">
        <v>6130</v>
      </c>
      <c r="I3324" s="109"/>
      <c r="J3324" s="109"/>
      <c r="K3324" s="109"/>
      <c r="L3324" s="109" t="str">
        <f t="shared" si="51"/>
        <v>96-964100004</v>
      </c>
      <c r="M3324" s="114">
        <v>964100004</v>
      </c>
      <c r="N3324" s="114" t="s">
        <v>5760</v>
      </c>
    </row>
    <row r="3325" spans="1:14">
      <c r="A3325" t="s">
        <v>3887</v>
      </c>
      <c r="B3325" s="5" t="s">
        <v>6130</v>
      </c>
      <c r="I3325" s="109"/>
      <c r="J3325" s="109"/>
      <c r="K3325" s="109"/>
      <c r="L3325" s="109" t="str">
        <f t="shared" si="51"/>
        <v>96-964100007</v>
      </c>
      <c r="M3325" s="114">
        <v>964100007</v>
      </c>
      <c r="N3325" s="114" t="s">
        <v>5782</v>
      </c>
    </row>
    <row r="3326" spans="1:14">
      <c r="A3326" t="s">
        <v>3957</v>
      </c>
      <c r="B3326" s="5" t="s">
        <v>6130</v>
      </c>
      <c r="I3326" s="109"/>
      <c r="J3326" s="109"/>
      <c r="K3326" s="109"/>
      <c r="L3326" s="109" t="str">
        <f t="shared" si="51"/>
        <v>96-964100018</v>
      </c>
      <c r="M3326" s="114">
        <v>964100018</v>
      </c>
      <c r="N3326" s="114" t="s">
        <v>5804</v>
      </c>
    </row>
    <row r="3327" spans="1:14">
      <c r="A3327" t="s">
        <v>4235</v>
      </c>
      <c r="B3327" s="5" t="s">
        <v>6130</v>
      </c>
      <c r="I3327" s="109"/>
      <c r="J3327" s="109"/>
      <c r="K3327" s="109"/>
      <c r="L3327" s="109" t="str">
        <f t="shared" si="51"/>
        <v>96-964100042</v>
      </c>
      <c r="M3327" s="114">
        <v>964100042</v>
      </c>
      <c r="N3327" s="114" t="s">
        <v>5844</v>
      </c>
    </row>
    <row r="3328" spans="1:14">
      <c r="A3328" t="s">
        <v>3848</v>
      </c>
      <c r="B3328" s="5" t="s">
        <v>6130</v>
      </c>
      <c r="I3328" s="109"/>
      <c r="J3328" s="109"/>
      <c r="K3328" s="109"/>
      <c r="L3328" s="109" t="str">
        <f t="shared" si="51"/>
        <v>96-964100053</v>
      </c>
      <c r="M3328" s="114">
        <v>964100053</v>
      </c>
      <c r="N3328" s="114" t="s">
        <v>7138</v>
      </c>
    </row>
    <row r="3329" spans="1:14">
      <c r="A3329" t="s">
        <v>3843</v>
      </c>
      <c r="B3329" s="5" t="s">
        <v>6130</v>
      </c>
      <c r="I3329" s="109"/>
      <c r="J3329" s="109"/>
      <c r="K3329" s="109"/>
      <c r="L3329" s="109" t="str">
        <f t="shared" si="51"/>
        <v>95-954300002</v>
      </c>
      <c r="M3329" s="114">
        <v>954300002</v>
      </c>
      <c r="N3329" s="114" t="s">
        <v>7218</v>
      </c>
    </row>
    <row r="3330" spans="1:14">
      <c r="A3330" t="s">
        <v>4262</v>
      </c>
      <c r="B3330" s="5" t="s">
        <v>6130</v>
      </c>
      <c r="I3330" s="109"/>
      <c r="J3330" s="109"/>
      <c r="K3330" s="109"/>
      <c r="L3330" s="109" t="str">
        <f t="shared" si="51"/>
        <v>96-964300016</v>
      </c>
      <c r="M3330" s="114">
        <v>964300016</v>
      </c>
      <c r="N3330" s="114" t="s">
        <v>7125</v>
      </c>
    </row>
    <row r="3331" spans="1:14">
      <c r="A3331" t="s">
        <v>4257</v>
      </c>
      <c r="B3331" s="5" t="s">
        <v>6130</v>
      </c>
      <c r="I3331" s="109"/>
      <c r="J3331" s="109"/>
      <c r="K3331" s="109"/>
      <c r="L3331" s="109" t="str">
        <f t="shared" ref="L3331:L3394" si="52">MID(M3331,1,2)&amp;"-"&amp;M3331</f>
        <v>95-956200237</v>
      </c>
      <c r="M3331" s="114">
        <v>956200237</v>
      </c>
      <c r="N3331" s="114" t="s">
        <v>7495</v>
      </c>
    </row>
    <row r="3332" spans="1:14">
      <c r="A3332" t="s">
        <v>4488</v>
      </c>
      <c r="B3332" s="5" t="s">
        <v>6130</v>
      </c>
      <c r="I3332" s="109"/>
      <c r="J3332" s="109"/>
      <c r="K3332" s="109"/>
      <c r="L3332" s="109" t="str">
        <f t="shared" si="52"/>
        <v>96-961900087</v>
      </c>
      <c r="M3332" s="114">
        <v>961900087</v>
      </c>
      <c r="N3332" s="114" t="s">
        <v>8273</v>
      </c>
    </row>
    <row r="3333" spans="1:14">
      <c r="A3333" t="s">
        <v>4216</v>
      </c>
      <c r="B3333" s="5" t="s">
        <v>6130</v>
      </c>
      <c r="I3333" s="109"/>
      <c r="J3333" s="109"/>
      <c r="K3333" s="109"/>
      <c r="L3333" s="109" t="str">
        <f t="shared" si="52"/>
        <v>95-951900008</v>
      </c>
      <c r="M3333" s="114">
        <v>951900008</v>
      </c>
      <c r="N3333" s="114" t="s">
        <v>8259</v>
      </c>
    </row>
    <row r="3334" spans="1:14">
      <c r="A3334" t="s">
        <v>4481</v>
      </c>
      <c r="B3334" s="5" t="s">
        <v>6130</v>
      </c>
      <c r="I3334" s="109"/>
      <c r="J3334" s="109"/>
      <c r="K3334" s="109"/>
      <c r="L3334" s="109" t="str">
        <f t="shared" si="52"/>
        <v>95-951900065</v>
      </c>
      <c r="M3334" s="114">
        <v>951900065</v>
      </c>
      <c r="N3334" s="114" t="s">
        <v>8274</v>
      </c>
    </row>
    <row r="3335" spans="1:14">
      <c r="A3335" t="s">
        <v>4493</v>
      </c>
      <c r="B3335" s="5" t="s">
        <v>6130</v>
      </c>
      <c r="I3335" s="109"/>
      <c r="J3335" s="109"/>
      <c r="K3335" s="109"/>
      <c r="L3335" s="109" t="str">
        <f t="shared" si="52"/>
        <v>95-951700050</v>
      </c>
      <c r="M3335" s="114">
        <v>951700050</v>
      </c>
      <c r="N3335" s="114" t="s">
        <v>7608</v>
      </c>
    </row>
    <row r="3336" spans="1:14">
      <c r="A3336" t="s">
        <v>4498</v>
      </c>
      <c r="B3336" s="5" t="s">
        <v>6130</v>
      </c>
      <c r="I3336" s="109"/>
      <c r="J3336" s="109"/>
      <c r="K3336" s="109"/>
      <c r="L3336" s="109" t="str">
        <f t="shared" si="52"/>
        <v>95-951800052</v>
      </c>
      <c r="M3336" s="114">
        <v>951800052</v>
      </c>
      <c r="N3336" s="114" t="s">
        <v>8094</v>
      </c>
    </row>
    <row r="3337" spans="1:14">
      <c r="A3337" t="s">
        <v>4215</v>
      </c>
      <c r="B3337" s="5" t="s">
        <v>6130</v>
      </c>
      <c r="I3337" s="109"/>
      <c r="J3337" s="109"/>
      <c r="K3337" s="109"/>
      <c r="L3337" s="109" t="str">
        <f t="shared" si="52"/>
        <v>95-951400070</v>
      </c>
      <c r="M3337" s="114">
        <v>951400070</v>
      </c>
      <c r="N3337" s="114" t="s">
        <v>8279</v>
      </c>
    </row>
    <row r="3338" spans="1:14">
      <c r="A3338" t="s">
        <v>4213</v>
      </c>
      <c r="B3338" s="5" t="s">
        <v>6130</v>
      </c>
      <c r="I3338" s="109"/>
      <c r="J3338" s="109"/>
      <c r="K3338" s="109"/>
      <c r="L3338" s="109" t="str">
        <f t="shared" si="52"/>
        <v>95-951400024</v>
      </c>
      <c r="M3338" s="114">
        <v>951400024</v>
      </c>
      <c r="N3338" s="114" t="s">
        <v>8280</v>
      </c>
    </row>
    <row r="3339" spans="1:14">
      <c r="A3339" t="s">
        <v>4217</v>
      </c>
      <c r="B3339" s="5" t="s">
        <v>6130</v>
      </c>
      <c r="I3339" s="109"/>
      <c r="J3339" s="109"/>
      <c r="K3339" s="109"/>
      <c r="L3339" s="109" t="str">
        <f t="shared" si="52"/>
        <v>95-951400093</v>
      </c>
      <c r="M3339" s="114">
        <v>951400093</v>
      </c>
      <c r="N3339" s="114" t="s">
        <v>8281</v>
      </c>
    </row>
    <row r="3340" spans="1:14">
      <c r="A3340" t="s">
        <v>4468</v>
      </c>
      <c r="B3340" s="5" t="s">
        <v>6130</v>
      </c>
      <c r="I3340" s="109"/>
      <c r="J3340" s="109"/>
      <c r="K3340" s="109"/>
      <c r="L3340" s="109" t="str">
        <f t="shared" si="52"/>
        <v>95-956200136</v>
      </c>
      <c r="M3340" s="114">
        <v>956200136</v>
      </c>
      <c r="N3340" s="114" t="s">
        <v>7382</v>
      </c>
    </row>
    <row r="3341" spans="1:14">
      <c r="A3341" t="s">
        <v>4497</v>
      </c>
      <c r="B3341" s="5" t="s">
        <v>6130</v>
      </c>
      <c r="I3341" s="109"/>
      <c r="J3341" s="109"/>
      <c r="K3341" s="109"/>
      <c r="L3341" s="109" t="str">
        <f t="shared" si="52"/>
        <v>95-952200008</v>
      </c>
      <c r="M3341" s="114">
        <v>952200008</v>
      </c>
      <c r="N3341" s="114" t="s">
        <v>7131</v>
      </c>
    </row>
    <row r="3342" spans="1:14">
      <c r="A3342" t="s">
        <v>4300</v>
      </c>
      <c r="B3342" s="5" t="s">
        <v>6130</v>
      </c>
      <c r="I3342" s="109"/>
      <c r="J3342" s="109"/>
      <c r="K3342" s="109"/>
      <c r="L3342" s="109" t="str">
        <f t="shared" si="52"/>
        <v>95-952200018</v>
      </c>
      <c r="M3342" s="114">
        <v>952200018</v>
      </c>
      <c r="N3342" s="114" t="s">
        <v>7172</v>
      </c>
    </row>
    <row r="3343" spans="1:14">
      <c r="A3343" t="s">
        <v>4470</v>
      </c>
      <c r="B3343" s="5" t="s">
        <v>6130</v>
      </c>
      <c r="I3343" s="109"/>
      <c r="J3343" s="109"/>
      <c r="K3343" s="109"/>
      <c r="L3343" s="109" t="str">
        <f t="shared" si="52"/>
        <v>95-952200039</v>
      </c>
      <c r="M3343" s="114">
        <v>952200039</v>
      </c>
      <c r="N3343" s="114" t="s">
        <v>7126</v>
      </c>
    </row>
    <row r="3344" spans="1:14">
      <c r="A3344" t="s">
        <v>4465</v>
      </c>
      <c r="B3344" s="5" t="s">
        <v>6130</v>
      </c>
      <c r="I3344" s="109"/>
      <c r="J3344" s="109"/>
      <c r="K3344" s="109"/>
      <c r="L3344" s="109" t="str">
        <f t="shared" si="52"/>
        <v>95-952200041</v>
      </c>
      <c r="M3344" s="114">
        <v>952200041</v>
      </c>
      <c r="N3344" s="114" t="s">
        <v>7126</v>
      </c>
    </row>
    <row r="3345" spans="1:14">
      <c r="A3345" t="s">
        <v>4469</v>
      </c>
      <c r="B3345" s="5" t="s">
        <v>6130</v>
      </c>
      <c r="I3345" s="109"/>
      <c r="J3345" s="109"/>
      <c r="K3345" s="109"/>
      <c r="L3345" s="109" t="str">
        <f t="shared" si="52"/>
        <v>95-952200057</v>
      </c>
      <c r="M3345" s="114">
        <v>952200057</v>
      </c>
      <c r="N3345" s="114" t="s">
        <v>7866</v>
      </c>
    </row>
    <row r="3346" spans="1:14">
      <c r="A3346" t="s">
        <v>3845</v>
      </c>
      <c r="B3346" s="5" t="s">
        <v>6130</v>
      </c>
      <c r="I3346" s="109"/>
      <c r="J3346" s="109"/>
      <c r="K3346" s="109"/>
      <c r="L3346" s="109" t="str">
        <f t="shared" si="52"/>
        <v>95-952200064</v>
      </c>
      <c r="M3346" s="114">
        <v>952200064</v>
      </c>
      <c r="N3346" s="114" t="s">
        <v>7451</v>
      </c>
    </row>
    <row r="3347" spans="1:14">
      <c r="A3347" t="s">
        <v>4463</v>
      </c>
      <c r="B3347" s="5" t="s">
        <v>6130</v>
      </c>
      <c r="I3347" s="109"/>
      <c r="J3347" s="109"/>
      <c r="K3347" s="109"/>
      <c r="L3347" s="109" t="str">
        <f t="shared" si="52"/>
        <v>95-952200080</v>
      </c>
      <c r="M3347" s="114">
        <v>952200080</v>
      </c>
      <c r="N3347" s="114" t="s">
        <v>7236</v>
      </c>
    </row>
    <row r="3348" spans="1:14">
      <c r="A3348" t="s">
        <v>4589</v>
      </c>
      <c r="B3348" s="5" t="s">
        <v>6130</v>
      </c>
      <c r="I3348" s="109"/>
      <c r="J3348" s="109"/>
      <c r="K3348" s="109"/>
      <c r="L3348" s="109" t="str">
        <f t="shared" si="52"/>
        <v>96-962200005</v>
      </c>
      <c r="M3348" s="114">
        <v>962200005</v>
      </c>
      <c r="N3348" s="114" t="s">
        <v>7236</v>
      </c>
    </row>
    <row r="3349" spans="1:14">
      <c r="A3349" t="s">
        <v>4464</v>
      </c>
      <c r="B3349" s="5" t="s">
        <v>6130</v>
      </c>
      <c r="I3349" s="109"/>
      <c r="J3349" s="109"/>
      <c r="K3349" s="109"/>
      <c r="L3349" s="109" t="str">
        <f t="shared" si="52"/>
        <v>96-961700100</v>
      </c>
      <c r="M3349" s="114">
        <v>961700100</v>
      </c>
      <c r="N3349" s="114" t="s">
        <v>8285</v>
      </c>
    </row>
    <row r="3350" spans="1:14">
      <c r="A3350" t="s">
        <v>4471</v>
      </c>
      <c r="B3350" s="5" t="s">
        <v>6130</v>
      </c>
      <c r="I3350" s="109"/>
      <c r="J3350" s="109"/>
      <c r="K3350" s="109"/>
      <c r="L3350" s="109" t="str">
        <f t="shared" si="52"/>
        <v>95-956200294</v>
      </c>
      <c r="M3350" s="114">
        <v>956200294</v>
      </c>
      <c r="N3350" s="114" t="s">
        <v>7438</v>
      </c>
    </row>
    <row r="3351" spans="1:14">
      <c r="A3351" t="s">
        <v>4683</v>
      </c>
      <c r="B3351" s="5" t="s">
        <v>6130</v>
      </c>
      <c r="I3351" s="109"/>
      <c r="J3351" s="109"/>
      <c r="K3351" s="109"/>
      <c r="L3351" s="109" t="str">
        <f t="shared" si="52"/>
        <v>95-956200305</v>
      </c>
      <c r="M3351" s="114">
        <v>956200305</v>
      </c>
      <c r="N3351" s="114" t="s">
        <v>8039</v>
      </c>
    </row>
    <row r="3352" spans="1:14">
      <c r="A3352" t="s">
        <v>4256</v>
      </c>
      <c r="B3352" s="5" t="s">
        <v>6130</v>
      </c>
      <c r="I3352" s="109"/>
      <c r="J3352" s="109"/>
      <c r="K3352" s="109"/>
      <c r="L3352" s="109" t="str">
        <f t="shared" si="52"/>
        <v>95-951900319</v>
      </c>
      <c r="M3352" s="114">
        <v>951900319</v>
      </c>
      <c r="N3352" s="114" t="s">
        <v>8298</v>
      </c>
    </row>
    <row r="3353" spans="1:14">
      <c r="A3353" t="s">
        <v>4282</v>
      </c>
      <c r="B3353" s="5" t="s">
        <v>6130</v>
      </c>
      <c r="I3353" s="109"/>
      <c r="J3353" s="109"/>
      <c r="K3353" s="109"/>
      <c r="L3353" s="109" t="str">
        <f t="shared" si="52"/>
        <v>95-956100026</v>
      </c>
      <c r="M3353" s="114">
        <v>956100026</v>
      </c>
      <c r="N3353" s="114" t="s">
        <v>7697</v>
      </c>
    </row>
    <row r="3354" spans="1:14">
      <c r="A3354" t="s">
        <v>4583</v>
      </c>
      <c r="B3354" s="5" t="s">
        <v>6130</v>
      </c>
      <c r="I3354" s="109"/>
      <c r="J3354" s="109"/>
      <c r="K3354" s="109"/>
      <c r="L3354" s="109" t="str">
        <f t="shared" si="52"/>
        <v>96-961400012</v>
      </c>
      <c r="M3354" s="114">
        <v>961400012</v>
      </c>
      <c r="N3354" s="114" t="s">
        <v>8116</v>
      </c>
    </row>
    <row r="3355" spans="1:14">
      <c r="A3355" t="s">
        <v>3961</v>
      </c>
      <c r="B3355" s="5" t="s">
        <v>6130</v>
      </c>
      <c r="I3355" s="109"/>
      <c r="J3355" s="109"/>
      <c r="K3355" s="109"/>
      <c r="L3355" s="109" t="str">
        <f t="shared" si="52"/>
        <v>96-961700049</v>
      </c>
      <c r="M3355" s="114">
        <v>961700049</v>
      </c>
      <c r="N3355" s="114" t="s">
        <v>7698</v>
      </c>
    </row>
    <row r="3356" spans="1:14">
      <c r="A3356" t="s">
        <v>3962</v>
      </c>
      <c r="B3356" s="5" t="s">
        <v>6130</v>
      </c>
      <c r="I3356" s="109"/>
      <c r="J3356" s="109"/>
      <c r="K3356" s="109"/>
      <c r="L3356" s="109" t="str">
        <f t="shared" si="52"/>
        <v>95-956200163</v>
      </c>
      <c r="M3356" s="114">
        <v>956200163</v>
      </c>
      <c r="N3356" s="114" t="s">
        <v>7268</v>
      </c>
    </row>
    <row r="3357" spans="1:14">
      <c r="A3357" t="s">
        <v>4593</v>
      </c>
      <c r="B3357" s="5" t="s">
        <v>6130</v>
      </c>
      <c r="I3357" s="109"/>
      <c r="J3357" s="109"/>
      <c r="K3357" s="109"/>
      <c r="L3357" s="109" t="str">
        <f t="shared" si="52"/>
        <v>95-956200422</v>
      </c>
      <c r="M3357" s="114">
        <v>956200422</v>
      </c>
      <c r="N3357" s="114" t="s">
        <v>7423</v>
      </c>
    </row>
    <row r="3358" spans="1:14">
      <c r="A3358" t="s">
        <v>4946</v>
      </c>
      <c r="B3358" s="5" t="s">
        <v>6131</v>
      </c>
      <c r="I3358" s="109"/>
      <c r="J3358" s="109"/>
      <c r="K3358" s="109"/>
      <c r="L3358" s="109" t="str">
        <f t="shared" si="52"/>
        <v>95-952000259</v>
      </c>
      <c r="M3358" s="114">
        <v>952000259</v>
      </c>
      <c r="N3358" s="114" t="s">
        <v>7280</v>
      </c>
    </row>
    <row r="3359" spans="1:14">
      <c r="A3359" t="s">
        <v>5066</v>
      </c>
      <c r="B3359" s="5" t="s">
        <v>6131</v>
      </c>
      <c r="I3359" s="109"/>
      <c r="J3359" s="109"/>
      <c r="K3359" s="109"/>
      <c r="L3359" s="109" t="str">
        <f t="shared" si="52"/>
        <v>96-962200011</v>
      </c>
      <c r="M3359" s="114">
        <v>962200011</v>
      </c>
      <c r="N3359" s="114" t="s">
        <v>7484</v>
      </c>
    </row>
    <row r="3360" spans="1:14">
      <c r="A3360" t="s">
        <v>5061</v>
      </c>
      <c r="B3360" s="5" t="s">
        <v>6131</v>
      </c>
      <c r="I3360" s="109"/>
      <c r="J3360" s="109"/>
      <c r="K3360" s="109"/>
      <c r="L3360" s="109" t="str">
        <f t="shared" si="52"/>
        <v>96-962200051</v>
      </c>
      <c r="M3360" s="114">
        <v>962200051</v>
      </c>
      <c r="N3360" s="114" t="s">
        <v>7173</v>
      </c>
    </row>
    <row r="3361" spans="1:14">
      <c r="A3361" t="s">
        <v>5222</v>
      </c>
      <c r="B3361" s="5" t="s">
        <v>6131</v>
      </c>
      <c r="I3361" s="109"/>
      <c r="J3361" s="109"/>
      <c r="K3361" s="109"/>
      <c r="L3361" s="109" t="str">
        <f t="shared" si="52"/>
        <v>96-962200067</v>
      </c>
      <c r="M3361" s="114">
        <v>962200067</v>
      </c>
      <c r="N3361" s="114" t="s">
        <v>7125</v>
      </c>
    </row>
    <row r="3362" spans="1:14">
      <c r="A3362" t="s">
        <v>5015</v>
      </c>
      <c r="B3362" s="5" t="s">
        <v>6131</v>
      </c>
      <c r="I3362" s="109"/>
      <c r="J3362" s="109"/>
      <c r="K3362" s="109"/>
      <c r="L3362" s="109" t="str">
        <f t="shared" si="52"/>
        <v>96-962200070</v>
      </c>
      <c r="M3362" s="114">
        <v>962200070</v>
      </c>
      <c r="N3362" s="114" t="s">
        <v>7452</v>
      </c>
    </row>
    <row r="3363" spans="1:14">
      <c r="A3363" t="s">
        <v>5026</v>
      </c>
      <c r="B3363" s="5" t="s">
        <v>6131</v>
      </c>
      <c r="I3363" s="109"/>
      <c r="J3363" s="109"/>
      <c r="K3363" s="109"/>
      <c r="L3363" s="109" t="str">
        <f t="shared" si="52"/>
        <v>96-962000051</v>
      </c>
      <c r="M3363" s="114">
        <v>962000051</v>
      </c>
      <c r="N3363" s="114" t="s">
        <v>7112</v>
      </c>
    </row>
    <row r="3364" spans="1:14">
      <c r="A3364" t="s">
        <v>5062</v>
      </c>
      <c r="B3364" s="5" t="s">
        <v>6131</v>
      </c>
      <c r="I3364" s="109"/>
      <c r="J3364" s="109"/>
      <c r="K3364" s="109"/>
      <c r="L3364" s="109" t="str">
        <f t="shared" si="52"/>
        <v>96-962000026</v>
      </c>
      <c r="M3364" s="114">
        <v>962000026</v>
      </c>
      <c r="N3364" s="114" t="s">
        <v>7112</v>
      </c>
    </row>
    <row r="3365" spans="1:14">
      <c r="A3365" t="s">
        <v>5056</v>
      </c>
      <c r="B3365" s="5" t="s">
        <v>6131</v>
      </c>
      <c r="I3365" s="109"/>
      <c r="J3365" s="109"/>
      <c r="K3365" s="109"/>
      <c r="L3365" s="109" t="str">
        <f t="shared" si="52"/>
        <v>95-952000160</v>
      </c>
      <c r="M3365" s="114">
        <v>952000160</v>
      </c>
      <c r="N3365" s="114" t="s">
        <v>8026</v>
      </c>
    </row>
    <row r="3366" spans="1:14">
      <c r="A3366" t="s">
        <v>5070</v>
      </c>
      <c r="B3366" s="5" t="s">
        <v>6131</v>
      </c>
      <c r="I3366" s="109"/>
      <c r="J3366" s="109"/>
      <c r="K3366" s="109"/>
      <c r="L3366" s="109" t="str">
        <f t="shared" si="52"/>
        <v>95-952000273</v>
      </c>
      <c r="M3366" s="114">
        <v>952000273</v>
      </c>
      <c r="N3366" s="114" t="s">
        <v>7280</v>
      </c>
    </row>
    <row r="3367" spans="1:14">
      <c r="A3367" t="s">
        <v>5060</v>
      </c>
      <c r="B3367" s="5" t="s">
        <v>6131</v>
      </c>
      <c r="I3367" s="109"/>
      <c r="J3367" s="109"/>
      <c r="K3367" s="109"/>
      <c r="L3367" s="109" t="str">
        <f t="shared" si="52"/>
        <v>95-952000309</v>
      </c>
      <c r="M3367" s="114">
        <v>952000309</v>
      </c>
      <c r="N3367" s="114" t="s">
        <v>7420</v>
      </c>
    </row>
    <row r="3368" spans="1:14">
      <c r="A3368" t="s">
        <v>5040</v>
      </c>
      <c r="B3368" s="5" t="s">
        <v>6131</v>
      </c>
      <c r="I3368" s="109"/>
      <c r="J3368" s="109"/>
      <c r="K3368" s="109"/>
      <c r="L3368" s="109" t="str">
        <f t="shared" si="52"/>
        <v>95-951100063</v>
      </c>
      <c r="M3368" s="114">
        <v>951100063</v>
      </c>
      <c r="N3368" s="114" t="s">
        <v>8043</v>
      </c>
    </row>
    <row r="3369" spans="1:14">
      <c r="A3369" t="s">
        <v>5065</v>
      </c>
      <c r="B3369" s="5" t="s">
        <v>6131</v>
      </c>
      <c r="I3369" s="109"/>
      <c r="J3369" s="109"/>
      <c r="K3369" s="109"/>
      <c r="L3369" s="109" t="str">
        <f t="shared" si="52"/>
        <v>95-951100150</v>
      </c>
      <c r="M3369" s="114">
        <v>951100150</v>
      </c>
      <c r="N3369" s="114" t="s">
        <v>8044</v>
      </c>
    </row>
    <row r="3370" spans="1:14">
      <c r="A3370" t="s">
        <v>5454</v>
      </c>
      <c r="B3370" s="5" t="s">
        <v>6131</v>
      </c>
      <c r="I3370" s="109"/>
      <c r="J3370" s="109"/>
      <c r="K3370" s="109"/>
      <c r="L3370" s="109" t="str">
        <f t="shared" si="52"/>
        <v>96-961700107</v>
      </c>
      <c r="M3370" s="114">
        <v>961700107</v>
      </c>
      <c r="N3370" s="114" t="s">
        <v>7148</v>
      </c>
    </row>
    <row r="3371" spans="1:14">
      <c r="A3371" t="s">
        <v>5279</v>
      </c>
      <c r="B3371" s="5" t="s">
        <v>6131</v>
      </c>
      <c r="I3371" s="109"/>
      <c r="J3371" s="109"/>
      <c r="K3371" s="109"/>
      <c r="L3371" s="109" t="str">
        <f t="shared" si="52"/>
        <v>95-951900208</v>
      </c>
      <c r="M3371" s="114">
        <v>951900208</v>
      </c>
      <c r="N3371" s="114" t="s">
        <v>7134</v>
      </c>
    </row>
    <row r="3372" spans="1:14">
      <c r="A3372" t="s">
        <v>5286</v>
      </c>
      <c r="B3372" s="5" t="s">
        <v>6131</v>
      </c>
      <c r="I3372" s="109"/>
      <c r="J3372" s="109"/>
      <c r="K3372" s="109"/>
      <c r="L3372" s="109" t="str">
        <f t="shared" si="52"/>
        <v>95-951700046</v>
      </c>
      <c r="M3372" s="114">
        <v>951700046</v>
      </c>
      <c r="N3372" s="114" t="s">
        <v>8128</v>
      </c>
    </row>
    <row r="3373" spans="1:14">
      <c r="A3373" t="s">
        <v>5202</v>
      </c>
      <c r="B3373" s="5" t="s">
        <v>6131</v>
      </c>
      <c r="I3373" s="109"/>
      <c r="J3373" s="109"/>
      <c r="K3373" s="109"/>
      <c r="L3373" s="109" t="str">
        <f t="shared" si="52"/>
        <v>95-951700051</v>
      </c>
      <c r="M3373" s="114">
        <v>951700051</v>
      </c>
      <c r="N3373" s="114" t="s">
        <v>7508</v>
      </c>
    </row>
    <row r="3374" spans="1:14">
      <c r="A3374" t="s">
        <v>5071</v>
      </c>
      <c r="B3374" s="5" t="s">
        <v>6131</v>
      </c>
      <c r="I3374" s="109"/>
      <c r="J3374" s="109"/>
      <c r="K3374" s="109"/>
      <c r="L3374" s="109" t="str">
        <f t="shared" si="52"/>
        <v>95-951700084</v>
      </c>
      <c r="M3374" s="114">
        <v>951700084</v>
      </c>
      <c r="N3374" s="114" t="s">
        <v>8313</v>
      </c>
    </row>
    <row r="3375" spans="1:14">
      <c r="A3375" t="s">
        <v>5016</v>
      </c>
      <c r="B3375" s="5" t="s">
        <v>6131</v>
      </c>
      <c r="I3375" s="109"/>
      <c r="J3375" s="109"/>
      <c r="K3375" s="109"/>
      <c r="L3375" s="109" t="str">
        <f t="shared" si="52"/>
        <v>95-951700107</v>
      </c>
      <c r="M3375" s="114">
        <v>951700107</v>
      </c>
      <c r="N3375" s="114" t="s">
        <v>8314</v>
      </c>
    </row>
    <row r="3376" spans="1:14">
      <c r="A3376" t="s">
        <v>5203</v>
      </c>
      <c r="B3376" s="5" t="s">
        <v>6131</v>
      </c>
      <c r="I3376" s="109"/>
      <c r="J3376" s="109"/>
      <c r="K3376" s="109"/>
      <c r="L3376" s="109" t="str">
        <f t="shared" si="52"/>
        <v>95-951700137</v>
      </c>
      <c r="M3376" s="114">
        <v>951700137</v>
      </c>
      <c r="N3376" s="114" t="s">
        <v>8179</v>
      </c>
    </row>
    <row r="3377" spans="1:14">
      <c r="A3377" t="s">
        <v>5225</v>
      </c>
      <c r="B3377" s="5" t="s">
        <v>6131</v>
      </c>
      <c r="I3377" s="109"/>
      <c r="J3377" s="109"/>
      <c r="K3377" s="109"/>
      <c r="L3377" s="109" t="str">
        <f t="shared" si="52"/>
        <v>95-951900136</v>
      </c>
      <c r="M3377" s="114">
        <v>951900136</v>
      </c>
      <c r="N3377" s="114" t="s">
        <v>8315</v>
      </c>
    </row>
    <row r="3378" spans="1:14">
      <c r="A3378" t="s">
        <v>5186</v>
      </c>
      <c r="B3378" s="5" t="s">
        <v>6131</v>
      </c>
      <c r="I3378" s="109"/>
      <c r="J3378" s="109"/>
      <c r="K3378" s="109"/>
      <c r="L3378" s="109" t="str">
        <f t="shared" si="52"/>
        <v>96-961100070</v>
      </c>
      <c r="M3378" s="114">
        <v>961100070</v>
      </c>
      <c r="N3378" s="114" t="s">
        <v>8045</v>
      </c>
    </row>
    <row r="3379" spans="1:14">
      <c r="A3379" t="s">
        <v>5223</v>
      </c>
      <c r="B3379" s="5" t="s">
        <v>6131</v>
      </c>
      <c r="I3379" s="109"/>
      <c r="J3379" s="109"/>
      <c r="K3379" s="109"/>
      <c r="L3379" s="109" t="str">
        <f t="shared" si="52"/>
        <v>96-962000017</v>
      </c>
      <c r="M3379" s="114">
        <v>962000017</v>
      </c>
      <c r="N3379" s="114" t="s">
        <v>7112</v>
      </c>
    </row>
    <row r="3380" spans="1:14">
      <c r="A3380" t="s">
        <v>5377</v>
      </c>
      <c r="B3380" s="5" t="s">
        <v>6131</v>
      </c>
      <c r="I3380" s="109"/>
      <c r="J3380" s="109"/>
      <c r="K3380" s="109"/>
      <c r="L3380" s="109" t="str">
        <f t="shared" si="52"/>
        <v>95-952000139</v>
      </c>
      <c r="M3380" s="114">
        <v>952000139</v>
      </c>
      <c r="N3380" s="114" t="s">
        <v>7433</v>
      </c>
    </row>
    <row r="3381" spans="1:14">
      <c r="A3381" t="s">
        <v>5221</v>
      </c>
      <c r="B3381" s="5" t="s">
        <v>6131</v>
      </c>
      <c r="I3381" s="109"/>
      <c r="J3381" s="109"/>
      <c r="K3381" s="109"/>
      <c r="L3381" s="109" t="str">
        <f t="shared" si="52"/>
        <v>95-952000319</v>
      </c>
      <c r="M3381" s="114">
        <v>952000319</v>
      </c>
      <c r="N3381" s="114" t="s">
        <v>7420</v>
      </c>
    </row>
    <row r="3382" spans="1:14">
      <c r="A3382" t="s">
        <v>5179</v>
      </c>
      <c r="B3382" s="5" t="s">
        <v>6131</v>
      </c>
      <c r="I3382" s="109"/>
      <c r="J3382" s="109"/>
      <c r="K3382" s="109"/>
      <c r="L3382" s="109" t="str">
        <f t="shared" si="52"/>
        <v>96-962000129</v>
      </c>
      <c r="M3382" s="114">
        <v>962000129</v>
      </c>
      <c r="N3382" s="114" t="s">
        <v>7112</v>
      </c>
    </row>
    <row r="3383" spans="1:14">
      <c r="A3383" s="1" t="s">
        <v>5378</v>
      </c>
      <c r="B3383" t="s">
        <v>6131</v>
      </c>
      <c r="I3383" s="109"/>
      <c r="J3383" s="109"/>
      <c r="K3383" s="109"/>
      <c r="L3383" s="109" t="str">
        <f t="shared" si="52"/>
        <v>96-962000080</v>
      </c>
      <c r="M3383" s="114">
        <v>962000080</v>
      </c>
      <c r="N3383" s="114" t="s">
        <v>7112</v>
      </c>
    </row>
    <row r="3384" spans="1:14">
      <c r="A3384" t="s">
        <v>5921</v>
      </c>
      <c r="B3384" s="1" t="s">
        <v>6288</v>
      </c>
      <c r="I3384" s="109"/>
      <c r="J3384" s="109"/>
      <c r="K3384" s="109"/>
      <c r="L3384" s="109" t="str">
        <f t="shared" si="52"/>
        <v>96-962000056</v>
      </c>
      <c r="M3384" s="114">
        <v>962000056</v>
      </c>
      <c r="N3384" s="114" t="s">
        <v>7112</v>
      </c>
    </row>
    <row r="3385" spans="1:14">
      <c r="A3385" t="s">
        <v>5938</v>
      </c>
      <c r="B3385" s="1" t="s">
        <v>6288</v>
      </c>
      <c r="I3385" s="109"/>
      <c r="J3385" s="109"/>
      <c r="K3385" s="109"/>
      <c r="L3385" s="109" t="str">
        <f t="shared" si="52"/>
        <v>96-962000071</v>
      </c>
      <c r="M3385" s="114">
        <v>962000071</v>
      </c>
      <c r="N3385" s="114" t="s">
        <v>7112</v>
      </c>
    </row>
    <row r="3386" spans="1:14">
      <c r="A3386" t="s">
        <v>5953</v>
      </c>
      <c r="B3386" s="1" t="s">
        <v>6288</v>
      </c>
      <c r="I3386" s="109"/>
      <c r="J3386" s="109"/>
      <c r="K3386" s="109"/>
      <c r="L3386" s="109" t="str">
        <f t="shared" si="52"/>
        <v>95-951900137</v>
      </c>
      <c r="M3386" s="114">
        <v>951900137</v>
      </c>
      <c r="N3386" s="114" t="s">
        <v>8315</v>
      </c>
    </row>
    <row r="3387" spans="1:14">
      <c r="A3387" t="s">
        <v>5969</v>
      </c>
      <c r="B3387" s="1" t="s">
        <v>6288</v>
      </c>
      <c r="I3387" s="109"/>
      <c r="J3387" s="109"/>
      <c r="K3387" s="109"/>
      <c r="L3387" s="109" t="str">
        <f t="shared" si="52"/>
        <v>95-951700196</v>
      </c>
      <c r="M3387" s="114">
        <v>951700196</v>
      </c>
      <c r="N3387" s="114" t="s">
        <v>7624</v>
      </c>
    </row>
    <row r="3388" spans="1:14">
      <c r="A3388" t="s">
        <v>6019</v>
      </c>
      <c r="B3388" s="1" t="s">
        <v>6288</v>
      </c>
      <c r="I3388" s="109"/>
      <c r="J3388" s="109"/>
      <c r="K3388" s="109"/>
      <c r="L3388" s="109" t="str">
        <f t="shared" si="52"/>
        <v>95-951900172</v>
      </c>
      <c r="M3388" s="114">
        <v>951900172</v>
      </c>
      <c r="N3388" s="114" t="s">
        <v>8315</v>
      </c>
    </row>
    <row r="3389" spans="1:14" ht="18">
      <c r="A3389" s="53" t="s">
        <v>6035</v>
      </c>
      <c r="B3389" s="1" t="s">
        <v>6303</v>
      </c>
      <c r="I3389" s="109"/>
      <c r="J3389" s="109"/>
      <c r="K3389" s="109"/>
      <c r="L3389" s="109" t="str">
        <f t="shared" si="52"/>
        <v>95-951700259</v>
      </c>
      <c r="M3389" s="114">
        <v>951700259</v>
      </c>
      <c r="N3389" s="114" t="s">
        <v>7703</v>
      </c>
    </row>
    <row r="3390" spans="1:14" ht="18">
      <c r="A3390" s="53" t="s">
        <v>5199</v>
      </c>
      <c r="B3390" s="1" t="s">
        <v>6303</v>
      </c>
      <c r="I3390" s="109"/>
      <c r="J3390" s="109"/>
      <c r="K3390" s="109"/>
      <c r="L3390" s="109" t="str">
        <f t="shared" si="52"/>
        <v>96-961400004</v>
      </c>
      <c r="M3390" s="114">
        <v>961400004</v>
      </c>
      <c r="N3390" s="114" t="s">
        <v>7625</v>
      </c>
    </row>
    <row r="3391" spans="1:14" ht="18">
      <c r="A3391" s="53" t="s">
        <v>5200</v>
      </c>
      <c r="B3391" s="1" t="s">
        <v>6303</v>
      </c>
      <c r="I3391" s="109"/>
      <c r="J3391" s="109"/>
      <c r="K3391" s="109"/>
      <c r="L3391" s="109" t="str">
        <f t="shared" si="52"/>
        <v>95-951700343</v>
      </c>
      <c r="M3391" s="114">
        <v>951700343</v>
      </c>
      <c r="N3391" s="114" t="s">
        <v>8325</v>
      </c>
    </row>
    <row r="3392" spans="1:14" ht="18">
      <c r="A3392" s="53" t="s">
        <v>5201</v>
      </c>
      <c r="B3392" s="1" t="s">
        <v>6303</v>
      </c>
      <c r="I3392" s="109"/>
      <c r="J3392" s="109"/>
      <c r="K3392" s="109"/>
      <c r="L3392" s="109" t="str">
        <f t="shared" si="52"/>
        <v>96-961400003</v>
      </c>
      <c r="M3392" s="114">
        <v>961400003</v>
      </c>
      <c r="N3392" s="114" t="s">
        <v>7515</v>
      </c>
    </row>
    <row r="3393" spans="1:14" ht="18.75">
      <c r="A3393" s="12" t="s">
        <v>2642</v>
      </c>
      <c r="B3393" s="1" t="s">
        <v>7110</v>
      </c>
      <c r="I3393" s="109"/>
      <c r="J3393" s="109"/>
      <c r="K3393" s="109"/>
      <c r="L3393" s="109" t="str">
        <f t="shared" si="52"/>
        <v>96-961700092</v>
      </c>
      <c r="M3393" s="114">
        <v>961700092</v>
      </c>
      <c r="N3393" s="114" t="s">
        <v>8130</v>
      </c>
    </row>
    <row r="3394" spans="1:14" ht="18.75">
      <c r="A3394" s="12" t="s">
        <v>2643</v>
      </c>
      <c r="B3394" s="1" t="s">
        <v>7110</v>
      </c>
      <c r="I3394" s="109"/>
      <c r="J3394" s="109"/>
      <c r="K3394" s="109"/>
      <c r="L3394" s="109" t="str">
        <f t="shared" si="52"/>
        <v>95-952000187</v>
      </c>
      <c r="M3394" s="114">
        <v>952000187</v>
      </c>
      <c r="N3394" s="114" t="s">
        <v>7342</v>
      </c>
    </row>
    <row r="3395" spans="1:14" ht="18.75">
      <c r="A3395" s="12" t="s">
        <v>2647</v>
      </c>
      <c r="B3395" s="1" t="s">
        <v>7110</v>
      </c>
      <c r="F3395">
        <v>951500441</v>
      </c>
      <c r="I3395" s="109"/>
      <c r="J3395" s="109"/>
      <c r="K3395" s="109"/>
      <c r="L3395" s="109" t="str">
        <f t="shared" ref="L3395:L3458" si="53">MID(M3395,1,2)&amp;"-"&amp;M3395</f>
        <v>95-956200370</v>
      </c>
      <c r="M3395" s="114">
        <v>956200370</v>
      </c>
      <c r="N3395" s="114" t="s">
        <v>7393</v>
      </c>
    </row>
    <row r="3396" spans="1:14" ht="18.75">
      <c r="A3396" s="12" t="s">
        <v>2648</v>
      </c>
      <c r="B3396" s="1" t="s">
        <v>7110</v>
      </c>
      <c r="F3396">
        <v>951500452</v>
      </c>
      <c r="I3396" s="109"/>
      <c r="J3396" s="109"/>
      <c r="K3396" s="109"/>
      <c r="L3396" s="109" t="str">
        <f t="shared" si="53"/>
        <v>95-956200371</v>
      </c>
      <c r="M3396" s="114">
        <v>956200371</v>
      </c>
      <c r="N3396" s="114" t="s">
        <v>7393</v>
      </c>
    </row>
    <row r="3397" spans="1:14" ht="18.75">
      <c r="A3397" s="12" t="s">
        <v>2649</v>
      </c>
      <c r="B3397" s="1" t="s">
        <v>7110</v>
      </c>
      <c r="F3397">
        <v>951500454</v>
      </c>
      <c r="I3397" s="109"/>
      <c r="J3397" s="109"/>
      <c r="K3397" s="109"/>
      <c r="L3397" s="109" t="str">
        <f t="shared" si="53"/>
        <v>96-962000068</v>
      </c>
      <c r="M3397" s="114">
        <v>962000068</v>
      </c>
      <c r="N3397" s="114" t="s">
        <v>7112</v>
      </c>
    </row>
    <row r="3398" spans="1:14" ht="18.75">
      <c r="A3398" s="12" t="s">
        <v>2650</v>
      </c>
      <c r="B3398" s="1" t="s">
        <v>7110</v>
      </c>
      <c r="F3398">
        <v>951500465</v>
      </c>
      <c r="I3398" s="109"/>
      <c r="J3398" s="109"/>
      <c r="K3398" s="109"/>
      <c r="L3398" s="109" t="str">
        <f t="shared" si="53"/>
        <v>95-951700009</v>
      </c>
      <c r="M3398" s="114">
        <v>951700009</v>
      </c>
      <c r="N3398" s="114" t="s">
        <v>7517</v>
      </c>
    </row>
    <row r="3399" spans="1:14" ht="18.75">
      <c r="A3399" s="12" t="s">
        <v>2651</v>
      </c>
      <c r="B3399" s="1" t="s">
        <v>7110</v>
      </c>
      <c r="F3399">
        <v>951500471</v>
      </c>
      <c r="I3399" s="109"/>
      <c r="J3399" s="109"/>
      <c r="K3399" s="109"/>
      <c r="L3399" s="109" t="str">
        <f t="shared" si="53"/>
        <v>95-951700015</v>
      </c>
      <c r="M3399" s="114">
        <v>951700015</v>
      </c>
      <c r="N3399" s="114" t="s">
        <v>7517</v>
      </c>
    </row>
    <row r="3400" spans="1:14" ht="18.75">
      <c r="A3400" s="12" t="s">
        <v>2650</v>
      </c>
      <c r="B3400" s="1" t="s">
        <v>7110</v>
      </c>
      <c r="F3400">
        <v>951500490</v>
      </c>
      <c r="I3400" s="109"/>
      <c r="J3400" s="109"/>
      <c r="K3400" s="109"/>
      <c r="L3400" s="109" t="str">
        <f t="shared" si="53"/>
        <v>95-951700019</v>
      </c>
      <c r="M3400" s="114">
        <v>951700019</v>
      </c>
      <c r="N3400" s="114" t="s">
        <v>7517</v>
      </c>
    </row>
    <row r="3401" spans="1:14" ht="18.75">
      <c r="A3401" s="12" t="s">
        <v>2656</v>
      </c>
      <c r="B3401" s="1" t="s">
        <v>7110</v>
      </c>
      <c r="F3401">
        <v>951500510</v>
      </c>
      <c r="I3401" s="109"/>
      <c r="J3401" s="109"/>
      <c r="K3401" s="109"/>
      <c r="L3401" s="109" t="str">
        <f t="shared" si="53"/>
        <v>95-951700075</v>
      </c>
      <c r="M3401" s="114">
        <v>951700075</v>
      </c>
      <c r="N3401" s="114" t="s">
        <v>7724</v>
      </c>
    </row>
    <row r="3402" spans="1:14" ht="18.75">
      <c r="A3402" s="12" t="s">
        <v>2648</v>
      </c>
      <c r="B3402" s="1" t="s">
        <v>7110</v>
      </c>
      <c r="F3402">
        <v>951500511</v>
      </c>
      <c r="I3402" s="109"/>
      <c r="J3402" s="109"/>
      <c r="K3402" s="109"/>
      <c r="L3402" s="109" t="str">
        <f t="shared" si="53"/>
        <v>95-951700078</v>
      </c>
      <c r="M3402" s="114">
        <v>951700078</v>
      </c>
      <c r="N3402" s="114" t="s">
        <v>7724</v>
      </c>
    </row>
    <row r="3403" spans="1:14" ht="18.75">
      <c r="A3403" s="12" t="s">
        <v>2649</v>
      </c>
      <c r="B3403" s="1" t="s">
        <v>7110</v>
      </c>
      <c r="F3403">
        <v>951500516</v>
      </c>
      <c r="I3403" s="109"/>
      <c r="J3403" s="109"/>
      <c r="K3403" s="109"/>
      <c r="L3403" s="109" t="str">
        <f t="shared" si="53"/>
        <v>95-951700082</v>
      </c>
      <c r="M3403" s="114">
        <v>951700082</v>
      </c>
      <c r="N3403" s="114" t="s">
        <v>7519</v>
      </c>
    </row>
    <row r="3404" spans="1:14" ht="18.75">
      <c r="A3404" s="12" t="s">
        <v>2660</v>
      </c>
      <c r="B3404" s="1" t="s">
        <v>7110</v>
      </c>
      <c r="F3404">
        <v>951500524</v>
      </c>
      <c r="I3404" s="109"/>
      <c r="J3404" s="109"/>
      <c r="K3404" s="109"/>
      <c r="L3404" s="109" t="str">
        <f t="shared" si="53"/>
        <v>95-951700142</v>
      </c>
      <c r="M3404" s="114">
        <v>951700142</v>
      </c>
      <c r="N3404" s="114" t="s">
        <v>7526</v>
      </c>
    </row>
    <row r="3405" spans="1:14" ht="18.75">
      <c r="A3405" s="12" t="s">
        <v>2773</v>
      </c>
      <c r="B3405" s="1" t="s">
        <v>7110</v>
      </c>
      <c r="F3405">
        <v>951500525</v>
      </c>
      <c r="I3405" s="109"/>
      <c r="J3405" s="109"/>
      <c r="K3405" s="109"/>
      <c r="L3405" s="109" t="str">
        <f t="shared" si="53"/>
        <v>96-962000204</v>
      </c>
      <c r="M3405" s="114">
        <v>962000204</v>
      </c>
      <c r="N3405" s="114" t="s">
        <v>7112</v>
      </c>
    </row>
    <row r="3406" spans="1:14" ht="18.75">
      <c r="A3406" s="12" t="s">
        <v>2773</v>
      </c>
      <c r="B3406" s="1" t="s">
        <v>7110</v>
      </c>
      <c r="I3406" s="109"/>
      <c r="J3406" s="109"/>
      <c r="K3406" s="109"/>
      <c r="L3406" s="109" t="str">
        <f t="shared" si="53"/>
        <v>95-952200025</v>
      </c>
      <c r="M3406" s="114">
        <v>952200025</v>
      </c>
      <c r="N3406" s="114" t="s">
        <v>7174</v>
      </c>
    </row>
    <row r="3407" spans="1:14" ht="18.75">
      <c r="A3407" s="12" t="s">
        <v>2650</v>
      </c>
      <c r="B3407" s="1" t="s">
        <v>7110</v>
      </c>
      <c r="F3407">
        <v>951500526</v>
      </c>
      <c r="I3407" s="109"/>
      <c r="J3407" s="109"/>
      <c r="K3407" s="109"/>
      <c r="L3407" s="109" t="str">
        <f t="shared" si="53"/>
        <v>95-952200052</v>
      </c>
      <c r="M3407" s="114">
        <v>952200052</v>
      </c>
      <c r="N3407" s="114" t="s">
        <v>7561</v>
      </c>
    </row>
    <row r="3408" spans="1:14" ht="18.75">
      <c r="A3408" s="12" t="s">
        <v>2782</v>
      </c>
      <c r="B3408" s="1" t="s">
        <v>7110</v>
      </c>
      <c r="F3408">
        <v>951500536</v>
      </c>
      <c r="I3408" s="109"/>
      <c r="J3408" s="109"/>
      <c r="K3408" s="109"/>
      <c r="L3408" s="109" t="str">
        <f t="shared" si="53"/>
        <v>95-952200056</v>
      </c>
      <c r="M3408" s="114">
        <v>952200056</v>
      </c>
      <c r="N3408" s="114" t="s">
        <v>7235</v>
      </c>
    </row>
    <row r="3409" spans="1:14" ht="18.75">
      <c r="A3409" s="12" t="s">
        <v>2783</v>
      </c>
      <c r="B3409" s="1" t="s">
        <v>7110</v>
      </c>
      <c r="F3409">
        <v>951500537</v>
      </c>
      <c r="I3409" s="109"/>
      <c r="J3409" s="109"/>
      <c r="K3409" s="109"/>
      <c r="L3409" s="109" t="str">
        <f t="shared" si="53"/>
        <v>95-952200060</v>
      </c>
      <c r="M3409" s="114">
        <v>952200060</v>
      </c>
      <c r="N3409" s="114" t="s">
        <v>7235</v>
      </c>
    </row>
    <row r="3410" spans="1:14" ht="18.75">
      <c r="A3410" s="12" t="s">
        <v>2643</v>
      </c>
      <c r="B3410" s="1" t="s">
        <v>7110</v>
      </c>
      <c r="I3410" s="109"/>
      <c r="J3410" s="109"/>
      <c r="K3410" s="109"/>
      <c r="L3410" s="109" t="str">
        <f t="shared" si="53"/>
        <v>95-952200061</v>
      </c>
      <c r="M3410" s="114">
        <v>952200061</v>
      </c>
      <c r="N3410" s="114" t="s">
        <v>7243</v>
      </c>
    </row>
    <row r="3411" spans="1:14" ht="18.75">
      <c r="A3411" s="12" t="s">
        <v>2643</v>
      </c>
      <c r="B3411" s="1" t="s">
        <v>7110</v>
      </c>
      <c r="I3411" s="109"/>
      <c r="J3411" s="109"/>
      <c r="K3411" s="109"/>
      <c r="L3411" s="109" t="str">
        <f t="shared" si="53"/>
        <v>95-952200069</v>
      </c>
      <c r="M3411" s="114">
        <v>952200069</v>
      </c>
      <c r="N3411" s="114" t="s">
        <v>7151</v>
      </c>
    </row>
    <row r="3412" spans="1:14" ht="18.75">
      <c r="A3412" s="12" t="s">
        <v>2792</v>
      </c>
      <c r="B3412" s="1" t="s">
        <v>7110</v>
      </c>
      <c r="I3412" s="109"/>
      <c r="J3412" s="109"/>
      <c r="K3412" s="109"/>
      <c r="L3412" s="109" t="str">
        <f t="shared" si="53"/>
        <v>95-952200070</v>
      </c>
      <c r="M3412" s="114">
        <v>952200070</v>
      </c>
      <c r="N3412" s="114" t="s">
        <v>7226</v>
      </c>
    </row>
    <row r="3413" spans="1:14" ht="18.75">
      <c r="A3413" s="12" t="s">
        <v>2651</v>
      </c>
      <c r="B3413" s="1" t="s">
        <v>7110</v>
      </c>
      <c r="I3413" s="109"/>
      <c r="J3413" s="109"/>
      <c r="K3413" s="109"/>
      <c r="L3413" s="109" t="str">
        <f t="shared" si="53"/>
        <v>95-952200071</v>
      </c>
      <c r="M3413" s="114">
        <v>952200071</v>
      </c>
      <c r="N3413" s="114" t="s">
        <v>7174</v>
      </c>
    </row>
    <row r="3414" spans="1:14" ht="18.75">
      <c r="A3414" s="12" t="s">
        <v>2650</v>
      </c>
      <c r="B3414" s="1" t="s">
        <v>7110</v>
      </c>
      <c r="I3414" s="109"/>
      <c r="J3414" s="109"/>
      <c r="K3414" s="109"/>
      <c r="L3414" s="109" t="str">
        <f t="shared" si="53"/>
        <v>95-952200086</v>
      </c>
      <c r="M3414" s="114">
        <v>952200086</v>
      </c>
      <c r="N3414" s="114" t="s">
        <v>7239</v>
      </c>
    </row>
    <row r="3415" spans="1:14" ht="18.75">
      <c r="A3415" s="12" t="s">
        <v>2642</v>
      </c>
      <c r="B3415" s="1" t="s">
        <v>7110</v>
      </c>
      <c r="I3415" s="109"/>
      <c r="J3415" s="109"/>
      <c r="K3415" s="109"/>
      <c r="L3415" s="109" t="str">
        <f t="shared" si="53"/>
        <v>96-962200001</v>
      </c>
      <c r="M3415" s="114">
        <v>962200001</v>
      </c>
      <c r="N3415" s="114" t="s">
        <v>7239</v>
      </c>
    </row>
    <row r="3416" spans="1:14" ht="18.75">
      <c r="A3416" s="12" t="s">
        <v>2792</v>
      </c>
      <c r="B3416" s="1" t="s">
        <v>7110</v>
      </c>
      <c r="I3416" s="109"/>
      <c r="J3416" s="109"/>
      <c r="K3416" s="109"/>
      <c r="L3416" s="109" t="str">
        <f t="shared" si="53"/>
        <v>96-962200014</v>
      </c>
      <c r="M3416" s="114">
        <v>962200014</v>
      </c>
      <c r="N3416" s="114" t="s">
        <v>7484</v>
      </c>
    </row>
    <row r="3417" spans="1:14" ht="18.75">
      <c r="A3417" s="12" t="s">
        <v>2643</v>
      </c>
      <c r="B3417" s="1" t="s">
        <v>7110</v>
      </c>
      <c r="I3417" s="109"/>
      <c r="J3417" s="109"/>
      <c r="K3417" s="109"/>
      <c r="L3417" s="109" t="str">
        <f t="shared" si="53"/>
        <v>96-962200021</v>
      </c>
      <c r="M3417" s="114">
        <v>962200021</v>
      </c>
      <c r="N3417" s="114" t="s">
        <v>7230</v>
      </c>
    </row>
    <row r="3418" spans="1:14" ht="18.75">
      <c r="A3418" s="12" t="s">
        <v>2804</v>
      </c>
      <c r="B3418" s="1" t="s">
        <v>7110</v>
      </c>
      <c r="I3418" s="109"/>
      <c r="J3418" s="109"/>
      <c r="K3418" s="109"/>
      <c r="L3418" s="109" t="str">
        <f t="shared" si="53"/>
        <v>96-962200023</v>
      </c>
      <c r="M3418" s="114">
        <v>962200023</v>
      </c>
      <c r="N3418" s="114" t="s">
        <v>7230</v>
      </c>
    </row>
    <row r="3419" spans="1:14" ht="18.75">
      <c r="A3419" s="12" t="s">
        <v>2792</v>
      </c>
      <c r="B3419" s="1" t="s">
        <v>7110</v>
      </c>
      <c r="I3419" s="109"/>
      <c r="J3419" s="109"/>
      <c r="K3419" s="109"/>
      <c r="L3419" s="109" t="str">
        <f t="shared" si="53"/>
        <v>96-962200031</v>
      </c>
      <c r="M3419" s="114">
        <v>962200031</v>
      </c>
      <c r="N3419" s="114" t="s">
        <v>7228</v>
      </c>
    </row>
    <row r="3420" spans="1:14" ht="18.75">
      <c r="A3420" s="12" t="s">
        <v>2804</v>
      </c>
      <c r="B3420" s="1" t="s">
        <v>7110</v>
      </c>
      <c r="I3420" s="109"/>
      <c r="J3420" s="109"/>
      <c r="K3420" s="109"/>
      <c r="L3420" s="109" t="str">
        <f t="shared" si="53"/>
        <v>96-962200032</v>
      </c>
      <c r="M3420" s="114">
        <v>962200032</v>
      </c>
      <c r="N3420" s="114" t="s">
        <v>7228</v>
      </c>
    </row>
    <row r="3421" spans="1:14" ht="18.75">
      <c r="A3421" s="12" t="s">
        <v>2808</v>
      </c>
      <c r="B3421" s="1" t="s">
        <v>7110</v>
      </c>
      <c r="I3421" s="109"/>
      <c r="J3421" s="109"/>
      <c r="K3421" s="109"/>
      <c r="L3421" s="109" t="str">
        <f t="shared" si="53"/>
        <v>96-962200053</v>
      </c>
      <c r="M3421" s="114">
        <v>962200053</v>
      </c>
      <c r="N3421" s="114" t="s">
        <v>7452</v>
      </c>
    </row>
    <row r="3422" spans="1:14" ht="18.75">
      <c r="A3422" s="12" t="s">
        <v>2782</v>
      </c>
      <c r="B3422" s="1" t="s">
        <v>7110</v>
      </c>
      <c r="I3422" s="109"/>
      <c r="J3422" s="109"/>
      <c r="K3422" s="109"/>
      <c r="L3422" s="109" t="str">
        <f t="shared" si="53"/>
        <v>96-962200057</v>
      </c>
      <c r="M3422" s="114">
        <v>962200057</v>
      </c>
      <c r="N3422" s="114" t="s">
        <v>7450</v>
      </c>
    </row>
    <row r="3423" spans="1:14" ht="18.75">
      <c r="A3423" s="12" t="s">
        <v>2650</v>
      </c>
      <c r="B3423" s="1" t="s">
        <v>7110</v>
      </c>
      <c r="I3423" s="109"/>
      <c r="J3423" s="109"/>
      <c r="K3423" s="109"/>
      <c r="L3423" s="109" t="str">
        <f t="shared" si="53"/>
        <v>95-951700155</v>
      </c>
      <c r="M3423" s="114">
        <v>951700155</v>
      </c>
      <c r="N3423" s="114" t="s">
        <v>8329</v>
      </c>
    </row>
    <row r="3424" spans="1:14" ht="18.75">
      <c r="A3424" s="12" t="s">
        <v>2792</v>
      </c>
      <c r="B3424" s="1" t="s">
        <v>7110</v>
      </c>
      <c r="I3424" s="109"/>
      <c r="J3424" s="109"/>
      <c r="K3424" s="109"/>
      <c r="L3424" s="109" t="str">
        <f t="shared" si="53"/>
        <v>95-951700202</v>
      </c>
      <c r="M3424" s="114">
        <v>951700202</v>
      </c>
      <c r="N3424" s="114" t="s">
        <v>8141</v>
      </c>
    </row>
    <row r="3425" spans="1:14" ht="18.75">
      <c r="A3425" s="12" t="s">
        <v>2804</v>
      </c>
      <c r="B3425" s="1" t="s">
        <v>7110</v>
      </c>
      <c r="I3425" s="109"/>
      <c r="J3425" s="109"/>
      <c r="K3425" s="109"/>
      <c r="L3425" s="109" t="str">
        <f t="shared" si="53"/>
        <v>95-951400090</v>
      </c>
      <c r="M3425" s="114">
        <v>951400090</v>
      </c>
      <c r="N3425" s="114" t="s">
        <v>7185</v>
      </c>
    </row>
    <row r="3426" spans="1:14" ht="18.75">
      <c r="A3426" s="12" t="s">
        <v>2804</v>
      </c>
      <c r="B3426" s="1" t="s">
        <v>7110</v>
      </c>
      <c r="I3426" s="109"/>
      <c r="J3426" s="109"/>
      <c r="K3426" s="109"/>
      <c r="L3426" s="109" t="str">
        <f t="shared" si="53"/>
        <v>95-951700290</v>
      </c>
      <c r="M3426" s="114">
        <v>951700290</v>
      </c>
      <c r="N3426" s="114" t="s">
        <v>7153</v>
      </c>
    </row>
    <row r="3427" spans="1:14" ht="18.75">
      <c r="A3427" s="12" t="s">
        <v>2809</v>
      </c>
      <c r="B3427" s="1" t="s">
        <v>7110</v>
      </c>
      <c r="I3427" s="109"/>
      <c r="J3427" s="109"/>
      <c r="K3427" s="109"/>
      <c r="L3427" s="109" t="str">
        <f t="shared" si="53"/>
        <v>95-951900318</v>
      </c>
      <c r="M3427" s="114">
        <v>951900318</v>
      </c>
      <c r="N3427" s="114" t="s">
        <v>8330</v>
      </c>
    </row>
    <row r="3428" spans="1:14" ht="18.75">
      <c r="A3428" s="12" t="s">
        <v>2642</v>
      </c>
      <c r="B3428" s="1" t="s">
        <v>7110</v>
      </c>
      <c r="I3428" s="109"/>
      <c r="J3428" s="109"/>
      <c r="K3428" s="109"/>
      <c r="L3428" s="109" t="str">
        <f t="shared" si="53"/>
        <v>96-961600002</v>
      </c>
      <c r="M3428" s="114">
        <v>961600002</v>
      </c>
      <c r="N3428" s="114" t="s">
        <v>7598</v>
      </c>
    </row>
    <row r="3429" spans="1:14" ht="18.75">
      <c r="A3429" s="12" t="s">
        <v>2792</v>
      </c>
      <c r="B3429" s="1" t="s">
        <v>7110</v>
      </c>
      <c r="I3429" s="109"/>
      <c r="J3429" s="109"/>
      <c r="K3429" s="109"/>
      <c r="L3429" s="109" t="str">
        <f t="shared" si="53"/>
        <v>95-951600061</v>
      </c>
      <c r="M3429" s="114">
        <v>951600061</v>
      </c>
      <c r="N3429" s="114" t="s">
        <v>7738</v>
      </c>
    </row>
    <row r="3430" spans="1:14" ht="18.75">
      <c r="A3430" s="12" t="s">
        <v>2804</v>
      </c>
      <c r="B3430" s="1" t="s">
        <v>7110</v>
      </c>
      <c r="I3430" s="109"/>
      <c r="J3430" s="109"/>
      <c r="K3430" s="109"/>
      <c r="L3430" s="109" t="str">
        <f t="shared" si="53"/>
        <v>96-966200008</v>
      </c>
      <c r="M3430" s="114">
        <v>966200008</v>
      </c>
      <c r="N3430" s="114" t="s">
        <v>7370</v>
      </c>
    </row>
    <row r="3431" spans="1:14" ht="18.75">
      <c r="A3431" s="12" t="s">
        <v>2643</v>
      </c>
      <c r="B3431" s="1" t="s">
        <v>7110</v>
      </c>
      <c r="I3431" s="109"/>
      <c r="J3431" s="109"/>
      <c r="K3431" s="109"/>
      <c r="L3431" s="109" t="str">
        <f t="shared" si="53"/>
        <v>95-951100095</v>
      </c>
      <c r="M3431" s="114">
        <v>951100095</v>
      </c>
      <c r="N3431" s="114" t="s">
        <v>8048</v>
      </c>
    </row>
    <row r="3432" spans="1:14" ht="18.75">
      <c r="A3432" s="12" t="s">
        <v>2815</v>
      </c>
      <c r="B3432" s="1" t="s">
        <v>7110</v>
      </c>
      <c r="I3432" s="109"/>
      <c r="J3432" s="109"/>
      <c r="K3432" s="109"/>
      <c r="L3432" s="109" t="str">
        <f t="shared" si="53"/>
        <v>95-951100112</v>
      </c>
      <c r="M3432" s="114">
        <v>951100112</v>
      </c>
      <c r="N3432" s="114" t="s">
        <v>8049</v>
      </c>
    </row>
    <row r="3433" spans="1:14" ht="18.75">
      <c r="A3433" s="12" t="s">
        <v>2773</v>
      </c>
      <c r="B3433" s="1" t="s">
        <v>7110</v>
      </c>
      <c r="I3433" s="109"/>
      <c r="J3433" s="109"/>
      <c r="K3433" s="109"/>
      <c r="L3433" s="109" t="str">
        <f t="shared" si="53"/>
        <v>96-961100018</v>
      </c>
      <c r="M3433" s="114">
        <v>961100018</v>
      </c>
      <c r="N3433" s="114" t="s">
        <v>8050</v>
      </c>
    </row>
    <row r="3434" spans="1:14" ht="18.75">
      <c r="A3434" s="12" t="s">
        <v>2773</v>
      </c>
      <c r="B3434" s="1" t="s">
        <v>7110</v>
      </c>
      <c r="I3434" s="109"/>
      <c r="J3434" s="109"/>
      <c r="K3434" s="109"/>
      <c r="L3434" s="109" t="str">
        <f t="shared" si="53"/>
        <v>95-951400160</v>
      </c>
      <c r="M3434" s="114">
        <v>951400160</v>
      </c>
      <c r="N3434" s="114" t="s">
        <v>7535</v>
      </c>
    </row>
    <row r="3435" spans="1:14" ht="18.75">
      <c r="A3435" s="12" t="s">
        <v>2773</v>
      </c>
      <c r="B3435" s="1" t="s">
        <v>7110</v>
      </c>
      <c r="I3435" s="109"/>
      <c r="J3435" s="109"/>
      <c r="K3435" s="109"/>
      <c r="L3435" s="109" t="str">
        <f t="shared" si="53"/>
        <v>95-951400162</v>
      </c>
      <c r="M3435" s="114">
        <v>951400162</v>
      </c>
      <c r="N3435" s="114" t="s">
        <v>7535</v>
      </c>
    </row>
    <row r="3436" spans="1:14" ht="18.75">
      <c r="A3436" s="12" t="s">
        <v>2773</v>
      </c>
      <c r="B3436" s="1" t="s">
        <v>7110</v>
      </c>
      <c r="I3436" s="109"/>
      <c r="J3436" s="109"/>
      <c r="K3436" s="109"/>
      <c r="L3436" s="109" t="str">
        <f t="shared" si="53"/>
        <v>95-951700043</v>
      </c>
      <c r="M3436" s="114">
        <v>951700043</v>
      </c>
      <c r="N3436" s="114" t="s">
        <v>7739</v>
      </c>
    </row>
    <row r="3437" spans="1:14" ht="18.75">
      <c r="A3437" s="12" t="s">
        <v>3088</v>
      </c>
      <c r="B3437" s="1" t="s">
        <v>7110</v>
      </c>
      <c r="I3437" s="109"/>
      <c r="J3437" s="109"/>
      <c r="K3437" s="109"/>
      <c r="L3437" s="109" t="str">
        <f t="shared" si="53"/>
        <v>96-961700080</v>
      </c>
      <c r="M3437" s="114">
        <v>961700080</v>
      </c>
      <c r="N3437" s="114" t="s">
        <v>7544</v>
      </c>
    </row>
    <row r="3438" spans="1:14" ht="18.75">
      <c r="A3438" s="12" t="s">
        <v>3089</v>
      </c>
      <c r="B3438" s="1" t="s">
        <v>7110</v>
      </c>
      <c r="I3438" s="109"/>
      <c r="J3438" s="109"/>
      <c r="K3438" s="109"/>
      <c r="L3438" s="109" t="str">
        <f t="shared" si="53"/>
        <v>95-951700168</v>
      </c>
      <c r="M3438" s="114">
        <v>951700168</v>
      </c>
      <c r="N3438" s="114" t="s">
        <v>7742</v>
      </c>
    </row>
    <row r="3439" spans="1:14" ht="18.75">
      <c r="A3439" s="12" t="s">
        <v>3093</v>
      </c>
      <c r="B3439" s="1" t="s">
        <v>7110</v>
      </c>
      <c r="I3439" s="109"/>
      <c r="J3439" s="109"/>
      <c r="K3439" s="109"/>
      <c r="L3439" s="109" t="str">
        <f t="shared" si="53"/>
        <v>95-951700356</v>
      </c>
      <c r="M3439" s="114">
        <v>951700356</v>
      </c>
      <c r="N3439" s="114" t="s">
        <v>8154</v>
      </c>
    </row>
    <row r="3440" spans="1:14" ht="18.75">
      <c r="A3440" s="12" t="s">
        <v>3095</v>
      </c>
      <c r="B3440" s="1" t="s">
        <v>7110</v>
      </c>
      <c r="I3440" s="109"/>
      <c r="J3440" s="109"/>
      <c r="K3440" s="109"/>
      <c r="L3440" s="109" t="str">
        <f t="shared" si="53"/>
        <v>96-961700020</v>
      </c>
      <c r="M3440" s="114">
        <v>961700020</v>
      </c>
      <c r="N3440" s="114" t="s">
        <v>7541</v>
      </c>
    </row>
    <row r="3441" spans="1:14" ht="18.75">
      <c r="A3441" s="12" t="s">
        <v>3096</v>
      </c>
      <c r="B3441" s="1" t="s">
        <v>7110</v>
      </c>
      <c r="I3441" s="109"/>
      <c r="J3441" s="109"/>
      <c r="K3441" s="109"/>
      <c r="L3441" s="109" t="str">
        <f t="shared" si="53"/>
        <v>96-961700136</v>
      </c>
      <c r="M3441" s="114">
        <v>961700136</v>
      </c>
      <c r="N3441" s="114" t="s">
        <v>7199</v>
      </c>
    </row>
    <row r="3442" spans="1:14" ht="18.75">
      <c r="A3442" s="12" t="s">
        <v>2804</v>
      </c>
      <c r="B3442" s="1" t="s">
        <v>7110</v>
      </c>
      <c r="I3442" s="109"/>
      <c r="J3442" s="109"/>
      <c r="K3442" s="109"/>
      <c r="L3442" s="109" t="str">
        <f t="shared" si="53"/>
        <v>95-951600007</v>
      </c>
      <c r="M3442" s="114">
        <v>951600007</v>
      </c>
      <c r="N3442" s="114" t="s">
        <v>8345</v>
      </c>
    </row>
    <row r="3443" spans="1:14" ht="18.75">
      <c r="A3443" s="12" t="s">
        <v>3110</v>
      </c>
      <c r="B3443" s="1" t="s">
        <v>7110</v>
      </c>
      <c r="I3443" s="109"/>
      <c r="J3443" s="109"/>
      <c r="K3443" s="109"/>
      <c r="L3443" s="109" t="str">
        <f t="shared" si="53"/>
        <v>95-951900248</v>
      </c>
      <c r="M3443" s="114">
        <v>951900248</v>
      </c>
      <c r="N3443" s="114" t="s">
        <v>7657</v>
      </c>
    </row>
    <row r="3444" spans="1:14" ht="18.75">
      <c r="A3444" s="12" t="s">
        <v>2809</v>
      </c>
      <c r="B3444" s="1" t="s">
        <v>7110</v>
      </c>
      <c r="I3444" s="109"/>
      <c r="J3444" s="109"/>
      <c r="K3444" s="109"/>
      <c r="L3444" s="109" t="str">
        <f t="shared" si="53"/>
        <v>95-952500001</v>
      </c>
      <c r="M3444" s="114">
        <v>952500001</v>
      </c>
      <c r="N3444" s="114" t="s">
        <v>5605</v>
      </c>
    </row>
    <row r="3445" spans="1:14" ht="18.75">
      <c r="A3445" s="12" t="s">
        <v>2804</v>
      </c>
      <c r="B3445" s="1" t="s">
        <v>7110</v>
      </c>
      <c r="I3445" s="109"/>
      <c r="J3445" s="109"/>
      <c r="K3445" s="109"/>
      <c r="L3445" s="109" t="str">
        <f t="shared" si="53"/>
        <v>95-952500004</v>
      </c>
      <c r="M3445" s="114">
        <v>952500004</v>
      </c>
      <c r="N3445" s="114" t="s">
        <v>5605</v>
      </c>
    </row>
    <row r="3446" spans="1:14" ht="18.75">
      <c r="A3446" s="12" t="s">
        <v>3096</v>
      </c>
      <c r="B3446" s="1" t="s">
        <v>7110</v>
      </c>
      <c r="I3446" s="109"/>
      <c r="J3446" s="109"/>
      <c r="K3446" s="109"/>
      <c r="L3446" s="109" t="str">
        <f t="shared" si="53"/>
        <v>95-952500007</v>
      </c>
      <c r="M3446" s="114">
        <v>952500007</v>
      </c>
      <c r="N3446" s="114" t="s">
        <v>5618</v>
      </c>
    </row>
    <row r="3447" spans="1:14" ht="18.75">
      <c r="A3447" s="12" t="s">
        <v>2783</v>
      </c>
      <c r="B3447" s="1" t="s">
        <v>7110</v>
      </c>
      <c r="I3447" s="109"/>
      <c r="J3447" s="109"/>
      <c r="K3447" s="109"/>
      <c r="L3447" s="109" t="str">
        <f t="shared" si="53"/>
        <v>95-952500011</v>
      </c>
      <c r="M3447" s="114">
        <v>952500011</v>
      </c>
      <c r="N3447" s="114" t="s">
        <v>5613</v>
      </c>
    </row>
    <row r="3448" spans="1:14" ht="18.75">
      <c r="A3448" s="12" t="s">
        <v>3115</v>
      </c>
      <c r="B3448" s="1" t="s">
        <v>7110</v>
      </c>
      <c r="I3448" s="109"/>
      <c r="J3448" s="109"/>
      <c r="K3448" s="109"/>
      <c r="L3448" s="109" t="str">
        <f t="shared" si="53"/>
        <v>95-952500012</v>
      </c>
      <c r="M3448" s="114">
        <v>952500012</v>
      </c>
      <c r="N3448" s="114" t="s">
        <v>5618</v>
      </c>
    </row>
    <row r="3449" spans="1:14" ht="18.75">
      <c r="A3449" s="12" t="s">
        <v>2783</v>
      </c>
      <c r="B3449" s="1" t="s">
        <v>7110</v>
      </c>
      <c r="I3449" s="109"/>
      <c r="J3449" s="109"/>
      <c r="K3449" s="109"/>
      <c r="L3449" s="109" t="str">
        <f t="shared" si="53"/>
        <v>95-952500013</v>
      </c>
      <c r="M3449" s="114">
        <v>952500013</v>
      </c>
      <c r="N3449" s="114" t="s">
        <v>5613</v>
      </c>
    </row>
    <row r="3450" spans="1:14" ht="18.75">
      <c r="A3450" s="12" t="s">
        <v>3117</v>
      </c>
      <c r="B3450" s="1" t="s">
        <v>7110</v>
      </c>
      <c r="I3450" s="109"/>
      <c r="J3450" s="109"/>
      <c r="K3450" s="109"/>
      <c r="L3450" s="109" t="str">
        <f t="shared" si="53"/>
        <v>95-952500014</v>
      </c>
      <c r="M3450" s="114">
        <v>952500014</v>
      </c>
      <c r="N3450" s="114" t="s">
        <v>5618</v>
      </c>
    </row>
    <row r="3451" spans="1:14" ht="18.75">
      <c r="A3451" s="12" t="s">
        <v>2783</v>
      </c>
      <c r="B3451" s="1" t="s">
        <v>7110</v>
      </c>
      <c r="I3451" s="109"/>
      <c r="J3451" s="109"/>
      <c r="K3451" s="109"/>
      <c r="L3451" s="109" t="str">
        <f t="shared" si="53"/>
        <v>95-952500016</v>
      </c>
      <c r="M3451" s="114">
        <v>952500016</v>
      </c>
      <c r="N3451" s="114" t="s">
        <v>5618</v>
      </c>
    </row>
    <row r="3452" spans="1:14" ht="18.75">
      <c r="A3452" s="12" t="s">
        <v>3068</v>
      </c>
      <c r="B3452" s="1" t="s">
        <v>7110</v>
      </c>
      <c r="I3452" s="109"/>
      <c r="J3452" s="109"/>
      <c r="K3452" s="109"/>
      <c r="L3452" s="109" t="str">
        <f t="shared" si="53"/>
        <v>95-952500038</v>
      </c>
      <c r="M3452" s="114">
        <v>952500038</v>
      </c>
      <c r="N3452" s="114" t="s">
        <v>5675</v>
      </c>
    </row>
    <row r="3453" spans="1:14" ht="18.75">
      <c r="A3453" s="12" t="s">
        <v>3117</v>
      </c>
      <c r="B3453" s="1" t="s">
        <v>7110</v>
      </c>
      <c r="I3453" s="109"/>
      <c r="J3453" s="109"/>
      <c r="K3453" s="109"/>
      <c r="L3453" s="109" t="str">
        <f t="shared" si="53"/>
        <v>95-952500061</v>
      </c>
      <c r="M3453" s="114">
        <v>952500061</v>
      </c>
      <c r="N3453" s="114" t="s">
        <v>5675</v>
      </c>
    </row>
    <row r="3454" spans="1:14" ht="18.75">
      <c r="A3454" s="12" t="s">
        <v>3117</v>
      </c>
      <c r="B3454" s="1" t="s">
        <v>7110</v>
      </c>
      <c r="I3454" s="109"/>
      <c r="J3454" s="109"/>
      <c r="K3454" s="109"/>
      <c r="L3454" s="109" t="str">
        <f t="shared" si="53"/>
        <v>95-952500085</v>
      </c>
      <c r="M3454" s="114">
        <v>952500085</v>
      </c>
      <c r="N3454" s="114" t="s">
        <v>5733</v>
      </c>
    </row>
    <row r="3455" spans="1:14" ht="18.75">
      <c r="A3455" s="12" t="s">
        <v>3119</v>
      </c>
      <c r="B3455" s="1" t="s">
        <v>7110</v>
      </c>
      <c r="I3455" s="109"/>
      <c r="J3455" s="109"/>
      <c r="K3455" s="109"/>
      <c r="L3455" s="109" t="str">
        <f t="shared" si="53"/>
        <v>95-952500093</v>
      </c>
      <c r="M3455" s="114">
        <v>952500093</v>
      </c>
      <c r="N3455" s="114" t="s">
        <v>5733</v>
      </c>
    </row>
    <row r="3456" spans="1:14" ht="18.75">
      <c r="A3456" s="12" t="s">
        <v>3117</v>
      </c>
      <c r="B3456" s="1" t="s">
        <v>7110</v>
      </c>
      <c r="I3456" s="109"/>
      <c r="J3456" s="109"/>
      <c r="K3456" s="109"/>
      <c r="L3456" s="109" t="str">
        <f t="shared" si="53"/>
        <v>95-952500105</v>
      </c>
      <c r="M3456" s="114">
        <v>952500105</v>
      </c>
      <c r="N3456" s="114" t="s">
        <v>5752</v>
      </c>
    </row>
    <row r="3457" spans="1:14" ht="18.75">
      <c r="A3457" s="12" t="s">
        <v>3117</v>
      </c>
      <c r="B3457" s="1" t="s">
        <v>7110</v>
      </c>
      <c r="I3457" s="109"/>
      <c r="J3457" s="109"/>
      <c r="K3457" s="109"/>
      <c r="L3457" s="109" t="str">
        <f t="shared" si="53"/>
        <v>96-962500001</v>
      </c>
      <c r="M3457" s="114">
        <v>962500001</v>
      </c>
      <c r="N3457" s="114" t="s">
        <v>5752</v>
      </c>
    </row>
    <row r="3458" spans="1:14" ht="18.75">
      <c r="A3458" s="12" t="s">
        <v>3117</v>
      </c>
      <c r="B3458" s="1" t="s">
        <v>7110</v>
      </c>
      <c r="I3458" s="109"/>
      <c r="J3458" s="109"/>
      <c r="K3458" s="109"/>
      <c r="L3458" s="109" t="str">
        <f t="shared" si="53"/>
        <v>96-962500049</v>
      </c>
      <c r="M3458" s="114">
        <v>962500049</v>
      </c>
      <c r="N3458" s="114" t="s">
        <v>5814</v>
      </c>
    </row>
    <row r="3459" spans="1:14" ht="18.75">
      <c r="A3459" s="12" t="s">
        <v>3122</v>
      </c>
      <c r="B3459" s="1" t="s">
        <v>7110</v>
      </c>
      <c r="I3459" s="109"/>
      <c r="J3459" s="109"/>
      <c r="K3459" s="109"/>
      <c r="L3459" s="109" t="str">
        <f t="shared" ref="L3459:L3522" si="54">MID(M3459,1,2)&amp;"-"&amp;M3459</f>
        <v>95-956300027</v>
      </c>
      <c r="M3459" s="114">
        <v>956300027</v>
      </c>
      <c r="N3459" s="114" t="s">
        <v>7427</v>
      </c>
    </row>
    <row r="3460" spans="1:14" ht="18.75">
      <c r="A3460" s="12" t="s">
        <v>3126</v>
      </c>
      <c r="B3460" s="1" t="s">
        <v>7110</v>
      </c>
      <c r="I3460" s="109"/>
      <c r="J3460" s="109"/>
      <c r="K3460" s="109"/>
      <c r="L3460" s="109" t="str">
        <f t="shared" si="54"/>
        <v>95-956300036</v>
      </c>
      <c r="M3460" s="114">
        <v>956300036</v>
      </c>
      <c r="N3460" s="114" t="s">
        <v>7512</v>
      </c>
    </row>
    <row r="3461" spans="1:14" ht="18.75">
      <c r="A3461" s="12" t="s">
        <v>2804</v>
      </c>
      <c r="B3461" s="1" t="s">
        <v>7110</v>
      </c>
      <c r="I3461" s="109"/>
      <c r="J3461" s="109"/>
      <c r="K3461" s="109"/>
      <c r="L3461" s="109" t="str">
        <f t="shared" si="54"/>
        <v>95-956300038</v>
      </c>
      <c r="M3461" s="114">
        <v>956300038</v>
      </c>
      <c r="N3461" s="114" t="s">
        <v>7512</v>
      </c>
    </row>
    <row r="3462" spans="1:14" ht="18.75">
      <c r="A3462" s="12" t="s">
        <v>3127</v>
      </c>
      <c r="B3462" s="1" t="s">
        <v>7110</v>
      </c>
      <c r="I3462" s="109"/>
      <c r="J3462" s="109"/>
      <c r="K3462" s="109"/>
      <c r="L3462" s="109" t="str">
        <f t="shared" si="54"/>
        <v>95-956200021</v>
      </c>
      <c r="M3462" s="114">
        <v>956200021</v>
      </c>
      <c r="N3462" s="114" t="s">
        <v>7372</v>
      </c>
    </row>
    <row r="3463" spans="1:14" ht="18.75">
      <c r="A3463" s="12" t="s">
        <v>3129</v>
      </c>
      <c r="B3463" s="1" t="s">
        <v>7110</v>
      </c>
      <c r="I3463" s="109"/>
      <c r="J3463" s="109"/>
      <c r="K3463" s="109"/>
      <c r="L3463" s="109" t="str">
        <f t="shared" si="54"/>
        <v>95-956200026</v>
      </c>
      <c r="M3463" s="114">
        <v>956200026</v>
      </c>
      <c r="N3463" s="114" t="s">
        <v>7399</v>
      </c>
    </row>
    <row r="3464" spans="1:14" ht="18.75">
      <c r="A3464" s="12" t="s">
        <v>3132</v>
      </c>
      <c r="B3464" s="1" t="s">
        <v>7110</v>
      </c>
      <c r="I3464" s="109"/>
      <c r="J3464" s="109"/>
      <c r="K3464" s="109"/>
      <c r="L3464" s="109" t="str">
        <f t="shared" si="54"/>
        <v>95-956200117</v>
      </c>
      <c r="M3464" s="114">
        <v>956200117</v>
      </c>
      <c r="N3464" s="114" t="s">
        <v>7359</v>
      </c>
    </row>
    <row r="3465" spans="1:14" ht="18.75">
      <c r="A3465" s="12" t="s">
        <v>3133</v>
      </c>
      <c r="B3465" s="1" t="s">
        <v>7110</v>
      </c>
      <c r="I3465" s="109"/>
      <c r="J3465" s="109"/>
      <c r="K3465" s="109"/>
      <c r="L3465" s="109" t="str">
        <f t="shared" si="54"/>
        <v>95-956200118</v>
      </c>
      <c r="M3465" s="114">
        <v>956200118</v>
      </c>
      <c r="N3465" s="114" t="s">
        <v>7359</v>
      </c>
    </row>
    <row r="3466" spans="1:14" ht="18.75">
      <c r="A3466" s="12" t="s">
        <v>3134</v>
      </c>
      <c r="B3466" s="1" t="s">
        <v>7110</v>
      </c>
      <c r="I3466" s="109"/>
      <c r="J3466" s="109"/>
      <c r="K3466" s="109"/>
      <c r="L3466" s="109" t="str">
        <f t="shared" si="54"/>
        <v>95-952000310</v>
      </c>
      <c r="M3466" s="114">
        <v>952000310</v>
      </c>
      <c r="N3466" s="114" t="s">
        <v>7420</v>
      </c>
    </row>
    <row r="3467" spans="1:14" ht="18.75">
      <c r="A3467" s="12" t="s">
        <v>3133</v>
      </c>
      <c r="B3467" s="1" t="s">
        <v>7110</v>
      </c>
      <c r="I3467" s="109"/>
      <c r="J3467" s="109"/>
      <c r="K3467" s="109"/>
      <c r="L3467" s="109" t="str">
        <f t="shared" si="54"/>
        <v>95-952000193</v>
      </c>
      <c r="M3467" s="114">
        <v>952000193</v>
      </c>
      <c r="N3467" s="114" t="s">
        <v>7342</v>
      </c>
    </row>
    <row r="3468" spans="1:14" ht="18.75">
      <c r="A3468" s="12" t="s">
        <v>3135</v>
      </c>
      <c r="B3468" s="1" t="s">
        <v>7110</v>
      </c>
      <c r="I3468" s="109"/>
      <c r="J3468" s="109"/>
      <c r="K3468" s="109"/>
      <c r="L3468" s="109" t="str">
        <f t="shared" si="54"/>
        <v>95-952000070</v>
      </c>
      <c r="M3468" s="114">
        <v>952000070</v>
      </c>
      <c r="N3468" s="114" t="s">
        <v>7465</v>
      </c>
    </row>
    <row r="3469" spans="1:14" ht="18.75">
      <c r="A3469" s="12" t="s">
        <v>3117</v>
      </c>
      <c r="B3469" s="1" t="s">
        <v>7110</v>
      </c>
      <c r="I3469" s="109"/>
      <c r="J3469" s="109"/>
      <c r="K3469" s="109"/>
      <c r="L3469" s="109" t="str">
        <f t="shared" si="54"/>
        <v>95-952000094</v>
      </c>
      <c r="M3469" s="114">
        <v>952000094</v>
      </c>
      <c r="N3469" s="114" t="s">
        <v>8015</v>
      </c>
    </row>
    <row r="3470" spans="1:14" ht="18.75">
      <c r="A3470" s="12" t="s">
        <v>3117</v>
      </c>
      <c r="B3470" s="1" t="s">
        <v>7110</v>
      </c>
      <c r="I3470" s="109"/>
      <c r="J3470" s="109"/>
      <c r="K3470" s="109"/>
      <c r="L3470" s="109" t="str">
        <f t="shared" si="54"/>
        <v>96-962000058</v>
      </c>
      <c r="M3470" s="114">
        <v>962000058</v>
      </c>
      <c r="N3470" s="114" t="s">
        <v>7112</v>
      </c>
    </row>
    <row r="3471" spans="1:14" ht="18.75">
      <c r="A3471" s="12" t="s">
        <v>3093</v>
      </c>
      <c r="B3471" s="1" t="s">
        <v>7110</v>
      </c>
      <c r="I3471" s="109"/>
      <c r="J3471" s="109"/>
      <c r="K3471" s="109"/>
      <c r="L3471" s="109" t="str">
        <f t="shared" si="54"/>
        <v>96-962000044</v>
      </c>
      <c r="M3471" s="114">
        <v>962000044</v>
      </c>
      <c r="N3471" s="114" t="s">
        <v>7112</v>
      </c>
    </row>
    <row r="3472" spans="1:14" ht="18.75">
      <c r="A3472" s="12" t="s">
        <v>3088</v>
      </c>
      <c r="B3472" s="1" t="s">
        <v>7110</v>
      </c>
      <c r="I3472" s="109"/>
      <c r="J3472" s="109"/>
      <c r="K3472" s="109"/>
      <c r="L3472" s="109" t="str">
        <f t="shared" si="54"/>
        <v>95-952000270</v>
      </c>
      <c r="M3472" s="114">
        <v>952000270</v>
      </c>
      <c r="N3472" s="114" t="s">
        <v>7280</v>
      </c>
    </row>
    <row r="3473" spans="1:14" ht="18.75">
      <c r="A3473" s="12" t="s">
        <v>2783</v>
      </c>
      <c r="B3473" s="1" t="s">
        <v>7110</v>
      </c>
      <c r="I3473" s="109"/>
      <c r="J3473" s="109"/>
      <c r="K3473" s="109"/>
      <c r="L3473" s="109" t="str">
        <f t="shared" si="54"/>
        <v>96-962000046</v>
      </c>
      <c r="M3473" s="114">
        <v>962000046</v>
      </c>
      <c r="N3473" s="114" t="s">
        <v>7112</v>
      </c>
    </row>
    <row r="3474" spans="1:14" ht="18.75">
      <c r="A3474" s="12" t="s">
        <v>3093</v>
      </c>
      <c r="B3474" s="1" t="s">
        <v>7110</v>
      </c>
      <c r="I3474" s="109"/>
      <c r="J3474" s="109"/>
      <c r="K3474" s="109"/>
      <c r="L3474" s="109" t="str">
        <f t="shared" si="54"/>
        <v>95-952000137</v>
      </c>
      <c r="M3474" s="114">
        <v>952000137</v>
      </c>
      <c r="N3474" s="114" t="s">
        <v>7433</v>
      </c>
    </row>
    <row r="3475" spans="1:14" ht="18.75">
      <c r="A3475" s="12" t="s">
        <v>2783</v>
      </c>
      <c r="B3475" s="1" t="s">
        <v>7110</v>
      </c>
      <c r="I3475" s="109"/>
      <c r="J3475" s="109"/>
      <c r="K3475" s="109"/>
      <c r="L3475" s="109" t="str">
        <f t="shared" si="54"/>
        <v>96-962000013</v>
      </c>
      <c r="M3475" s="114">
        <v>962000013</v>
      </c>
      <c r="N3475" s="114" t="s">
        <v>7112</v>
      </c>
    </row>
    <row r="3476" spans="1:14" ht="18.75">
      <c r="A3476" s="12" t="s">
        <v>3109</v>
      </c>
      <c r="B3476" s="1" t="s">
        <v>7110</v>
      </c>
      <c r="I3476" s="109"/>
      <c r="J3476" s="109"/>
      <c r="K3476" s="109"/>
      <c r="L3476" s="109" t="str">
        <f t="shared" si="54"/>
        <v>95-956200349</v>
      </c>
      <c r="M3476" s="114">
        <v>956200349</v>
      </c>
      <c r="N3476" s="114" t="s">
        <v>7292</v>
      </c>
    </row>
    <row r="3477" spans="1:14" ht="18.75">
      <c r="A3477" s="12" t="s">
        <v>3115</v>
      </c>
      <c r="B3477" s="1" t="s">
        <v>7110</v>
      </c>
      <c r="I3477" s="109"/>
      <c r="J3477" s="109"/>
      <c r="K3477" s="109"/>
      <c r="L3477" s="109" t="str">
        <f t="shared" si="54"/>
        <v>95-952000165</v>
      </c>
      <c r="M3477" s="114">
        <v>952000165</v>
      </c>
      <c r="N3477" s="114" t="s">
        <v>7386</v>
      </c>
    </row>
    <row r="3478" spans="1:14" ht="18.75">
      <c r="A3478" s="12" t="s">
        <v>3140</v>
      </c>
      <c r="B3478" s="1" t="s">
        <v>7110</v>
      </c>
      <c r="I3478" s="109"/>
      <c r="J3478" s="109"/>
      <c r="K3478" s="109"/>
      <c r="L3478" s="109" t="str">
        <f t="shared" si="54"/>
        <v>95-952000213</v>
      </c>
      <c r="M3478" s="114">
        <v>952000213</v>
      </c>
      <c r="N3478" s="114" t="s">
        <v>7342</v>
      </c>
    </row>
    <row r="3479" spans="1:14" ht="18.75">
      <c r="A3479" s="12" t="s">
        <v>3117</v>
      </c>
      <c r="B3479" s="1" t="s">
        <v>7110</v>
      </c>
      <c r="I3479" s="109"/>
      <c r="J3479" s="109"/>
      <c r="K3479" s="109"/>
      <c r="L3479" s="109" t="str">
        <f t="shared" si="54"/>
        <v>96-966200142</v>
      </c>
      <c r="M3479" s="114">
        <v>966200142</v>
      </c>
      <c r="N3479" s="114" t="s">
        <v>7343</v>
      </c>
    </row>
    <row r="3480" spans="1:14" ht="18.75">
      <c r="A3480" s="12" t="s">
        <v>3142</v>
      </c>
      <c r="B3480" s="1" t="s">
        <v>7110</v>
      </c>
      <c r="I3480" s="109"/>
      <c r="J3480" s="109"/>
      <c r="K3480" s="109"/>
      <c r="L3480" s="109" t="str">
        <f t="shared" si="54"/>
        <v>95-956300016</v>
      </c>
      <c r="M3480" s="114">
        <v>956300016</v>
      </c>
      <c r="N3480" s="114" t="s">
        <v>7516</v>
      </c>
    </row>
    <row r="3481" spans="1:14" ht="18.75">
      <c r="A3481" s="12" t="s">
        <v>3093</v>
      </c>
      <c r="B3481" s="1" t="s">
        <v>7110</v>
      </c>
      <c r="I3481" s="109"/>
      <c r="J3481" s="109"/>
      <c r="K3481" s="109"/>
      <c r="L3481" s="109" t="str">
        <f t="shared" si="54"/>
        <v>96-962500053</v>
      </c>
      <c r="M3481" s="114">
        <v>962500053</v>
      </c>
      <c r="N3481" s="114" t="s">
        <v>5814</v>
      </c>
    </row>
    <row r="3482" spans="1:14" ht="18.75">
      <c r="A3482" s="12" t="s">
        <v>3129</v>
      </c>
      <c r="B3482" s="1" t="s">
        <v>7110</v>
      </c>
      <c r="I3482" s="109"/>
      <c r="J3482" s="109"/>
      <c r="K3482" s="109"/>
      <c r="L3482" s="109" t="str">
        <f t="shared" si="54"/>
        <v>96-962500101</v>
      </c>
      <c r="M3482" s="114">
        <v>962500101</v>
      </c>
      <c r="N3482" s="114" t="s">
        <v>7231</v>
      </c>
    </row>
    <row r="3483" spans="1:14" ht="18.75">
      <c r="A3483" s="12" t="s">
        <v>3122</v>
      </c>
      <c r="B3483" s="1" t="s">
        <v>7110</v>
      </c>
      <c r="I3483" s="109"/>
      <c r="J3483" s="109"/>
      <c r="K3483" s="109"/>
      <c r="L3483" s="109" t="str">
        <f t="shared" si="54"/>
        <v>96-962500126</v>
      </c>
      <c r="M3483" s="114">
        <v>962500126</v>
      </c>
      <c r="N3483" s="114" t="s">
        <v>7175</v>
      </c>
    </row>
    <row r="3484" spans="1:14" ht="18.75">
      <c r="A3484" s="12" t="s">
        <v>3135</v>
      </c>
      <c r="B3484" s="1" t="s">
        <v>7110</v>
      </c>
      <c r="I3484" s="109"/>
      <c r="J3484" s="109"/>
      <c r="K3484" s="109"/>
      <c r="L3484" s="109" t="str">
        <f t="shared" si="54"/>
        <v>96-962500005</v>
      </c>
      <c r="M3484" s="114">
        <v>962500005</v>
      </c>
      <c r="N3484" s="114" t="s">
        <v>5771</v>
      </c>
    </row>
    <row r="3485" spans="1:14" ht="18.75">
      <c r="A3485" s="12" t="s">
        <v>2647</v>
      </c>
      <c r="B3485" s="1" t="s">
        <v>7110</v>
      </c>
      <c r="I3485" s="109"/>
      <c r="J3485" s="109"/>
      <c r="K3485" s="109"/>
      <c r="L3485" s="109" t="str">
        <f t="shared" si="54"/>
        <v>95-952500034</v>
      </c>
      <c r="M3485" s="114">
        <v>952500034</v>
      </c>
      <c r="N3485" s="114" t="s">
        <v>5650</v>
      </c>
    </row>
    <row r="3486" spans="1:14" ht="18.75">
      <c r="A3486" s="12" t="s">
        <v>3061</v>
      </c>
      <c r="B3486" s="1" t="s">
        <v>7110</v>
      </c>
      <c r="I3486" s="109"/>
      <c r="J3486" s="109"/>
      <c r="K3486" s="109"/>
      <c r="L3486" s="109" t="str">
        <f t="shared" si="54"/>
        <v>96-962500107</v>
      </c>
      <c r="M3486" s="114">
        <v>962500107</v>
      </c>
      <c r="N3486" s="114" t="s">
        <v>8080</v>
      </c>
    </row>
    <row r="3487" spans="1:14" ht="18.75">
      <c r="A3487" s="12" t="s">
        <v>3093</v>
      </c>
      <c r="B3487" s="1" t="s">
        <v>7110</v>
      </c>
      <c r="I3487" s="109"/>
      <c r="J3487" s="109"/>
      <c r="K3487" s="109"/>
      <c r="L3487" s="109" t="str">
        <f t="shared" si="54"/>
        <v>96-962500071</v>
      </c>
      <c r="M3487" s="114">
        <v>962500071</v>
      </c>
      <c r="N3487" s="114" t="s">
        <v>5858</v>
      </c>
    </row>
    <row r="3488" spans="1:14" ht="18.75">
      <c r="A3488" s="12" t="s">
        <v>3117</v>
      </c>
      <c r="B3488" s="1" t="s">
        <v>7110</v>
      </c>
      <c r="I3488" s="109"/>
      <c r="J3488" s="109"/>
      <c r="K3488" s="109"/>
      <c r="L3488" s="109" t="str">
        <f t="shared" si="54"/>
        <v>96-962500030</v>
      </c>
      <c r="M3488" s="114">
        <v>962500030</v>
      </c>
      <c r="N3488" s="114" t="s">
        <v>5811</v>
      </c>
    </row>
    <row r="3489" spans="1:14" ht="18.75">
      <c r="A3489" s="12" t="s">
        <v>3117</v>
      </c>
      <c r="B3489" s="1" t="s">
        <v>7110</v>
      </c>
      <c r="I3489" s="109"/>
      <c r="J3489" s="109"/>
      <c r="K3489" s="109"/>
      <c r="L3489" s="109" t="str">
        <f t="shared" si="54"/>
        <v>95-951800093</v>
      </c>
      <c r="M3489" s="114">
        <v>951800093</v>
      </c>
      <c r="N3489" s="114" t="s">
        <v>7659</v>
      </c>
    </row>
    <row r="3490" spans="1:14" ht="18.75">
      <c r="A3490" s="12" t="s">
        <v>3110</v>
      </c>
      <c r="B3490" s="1" t="s">
        <v>7110</v>
      </c>
      <c r="I3490" s="109"/>
      <c r="J3490" s="109"/>
      <c r="K3490" s="109"/>
      <c r="L3490" s="109" t="str">
        <f t="shared" si="54"/>
        <v>95-951700336</v>
      </c>
      <c r="M3490" s="114">
        <v>951700336</v>
      </c>
      <c r="N3490" s="114" t="s">
        <v>7481</v>
      </c>
    </row>
    <row r="3491" spans="1:14" ht="18.75">
      <c r="A3491" s="12" t="s">
        <v>3089</v>
      </c>
      <c r="B3491" s="1" t="s">
        <v>7110</v>
      </c>
      <c r="I3491" s="109"/>
      <c r="J3491" s="109"/>
      <c r="K3491" s="109"/>
      <c r="L3491" s="109" t="str">
        <f t="shared" si="54"/>
        <v>95-951800041</v>
      </c>
      <c r="M3491" s="114">
        <v>951800041</v>
      </c>
      <c r="N3491" s="114" t="s">
        <v>8354</v>
      </c>
    </row>
    <row r="3492" spans="1:14" ht="18.75">
      <c r="A3492" s="12" t="s">
        <v>2808</v>
      </c>
      <c r="B3492" s="1" t="s">
        <v>7110</v>
      </c>
      <c r="I3492" s="109"/>
      <c r="J3492" s="109"/>
      <c r="K3492" s="109"/>
      <c r="L3492" s="109" t="str">
        <f t="shared" si="54"/>
        <v>96-961900133</v>
      </c>
      <c r="M3492" s="114">
        <v>961900133</v>
      </c>
      <c r="N3492" s="114" t="s">
        <v>8355</v>
      </c>
    </row>
    <row r="3493" spans="1:14" ht="18.75">
      <c r="A3493" s="12" t="s">
        <v>2808</v>
      </c>
      <c r="B3493" s="1" t="s">
        <v>7110</v>
      </c>
      <c r="I3493" s="109"/>
      <c r="J3493" s="109"/>
      <c r="K3493" s="109"/>
      <c r="L3493" s="109" t="str">
        <f t="shared" si="54"/>
        <v>96-961900139</v>
      </c>
      <c r="M3493" s="114">
        <v>961900139</v>
      </c>
      <c r="N3493" s="114" t="s">
        <v>7632</v>
      </c>
    </row>
    <row r="3494" spans="1:14" ht="18.75">
      <c r="A3494" s="12" t="s">
        <v>3173</v>
      </c>
      <c r="B3494" s="1" t="s">
        <v>7110</v>
      </c>
      <c r="I3494" s="109"/>
      <c r="J3494" s="109"/>
      <c r="K3494" s="109"/>
      <c r="L3494" s="109" t="str">
        <f t="shared" si="54"/>
        <v>95-951900044</v>
      </c>
      <c r="M3494" s="114">
        <v>951900044</v>
      </c>
      <c r="N3494" s="114" t="s">
        <v>8356</v>
      </c>
    </row>
    <row r="3495" spans="1:14" ht="18.75">
      <c r="A3495" s="12" t="s">
        <v>3183</v>
      </c>
      <c r="B3495" s="1" t="s">
        <v>7110</v>
      </c>
      <c r="I3495" s="109"/>
      <c r="J3495" s="109"/>
      <c r="K3495" s="109"/>
      <c r="L3495" s="109" t="str">
        <f t="shared" si="54"/>
        <v>96-962200073</v>
      </c>
      <c r="M3495" s="114">
        <v>962200073</v>
      </c>
      <c r="N3495" s="114" t="s">
        <v>7244</v>
      </c>
    </row>
    <row r="3496" spans="1:14" ht="18.75">
      <c r="A3496" s="12" t="s">
        <v>3184</v>
      </c>
      <c r="B3496" s="1" t="s">
        <v>7110</v>
      </c>
      <c r="I3496" s="109"/>
      <c r="J3496" s="109"/>
      <c r="K3496" s="109"/>
      <c r="L3496" s="109" t="str">
        <f t="shared" si="54"/>
        <v>96-962200075</v>
      </c>
      <c r="M3496" s="114">
        <v>962200075</v>
      </c>
      <c r="N3496" s="114" t="s">
        <v>7244</v>
      </c>
    </row>
    <row r="3497" spans="1:14" ht="18.75">
      <c r="A3497" s="12" t="s">
        <v>3183</v>
      </c>
      <c r="B3497" s="1" t="s">
        <v>7110</v>
      </c>
      <c r="I3497" s="109"/>
      <c r="J3497" s="109"/>
      <c r="K3497" s="109"/>
      <c r="L3497" s="109" t="str">
        <f t="shared" si="54"/>
        <v>95-956200209</v>
      </c>
      <c r="M3497" s="114">
        <v>956200209</v>
      </c>
      <c r="N3497" s="114" t="s">
        <v>7357</v>
      </c>
    </row>
    <row r="3498" spans="1:14" ht="18.75">
      <c r="A3498" s="12" t="s">
        <v>3115</v>
      </c>
      <c r="B3498" s="1" t="s">
        <v>7110</v>
      </c>
      <c r="I3498" s="109"/>
      <c r="J3498" s="109"/>
      <c r="K3498" s="109"/>
      <c r="L3498" s="109" t="str">
        <f t="shared" si="54"/>
        <v>95-956200259</v>
      </c>
      <c r="M3498" s="114">
        <v>956200259</v>
      </c>
      <c r="N3498" s="114" t="s">
        <v>7347</v>
      </c>
    </row>
    <row r="3499" spans="1:14" ht="18.75">
      <c r="A3499" s="12" t="s">
        <v>3186</v>
      </c>
      <c r="B3499" s="1" t="s">
        <v>7110</v>
      </c>
      <c r="I3499" s="109"/>
      <c r="J3499" s="109"/>
      <c r="K3499" s="109"/>
      <c r="L3499" s="109" t="str">
        <f t="shared" si="54"/>
        <v>95-956200323</v>
      </c>
      <c r="M3499" s="114">
        <v>956200323</v>
      </c>
      <c r="N3499" s="114" t="s">
        <v>7289</v>
      </c>
    </row>
    <row r="3500" spans="1:14" ht="18.75">
      <c r="A3500" s="12" t="s">
        <v>3183</v>
      </c>
      <c r="B3500" s="1" t="s">
        <v>7110</v>
      </c>
      <c r="I3500" s="109"/>
      <c r="J3500" s="109"/>
      <c r="K3500" s="109"/>
      <c r="L3500" s="109" t="str">
        <f t="shared" si="54"/>
        <v>95-956200280</v>
      </c>
      <c r="M3500" s="114">
        <v>956200280</v>
      </c>
      <c r="N3500" s="114" t="s">
        <v>7347</v>
      </c>
    </row>
    <row r="3501" spans="1:14" ht="18.75">
      <c r="A3501" s="12" t="s">
        <v>3190</v>
      </c>
      <c r="B3501" s="1" t="s">
        <v>7110</v>
      </c>
      <c r="I3501" s="109"/>
      <c r="J3501" s="109"/>
      <c r="K3501" s="109"/>
      <c r="L3501" s="109" t="str">
        <f t="shared" si="54"/>
        <v>95-956200291</v>
      </c>
      <c r="M3501" s="114">
        <v>956200291</v>
      </c>
      <c r="N3501" s="114" t="s">
        <v>7438</v>
      </c>
    </row>
    <row r="3502" spans="1:14" ht="18.75">
      <c r="A3502" s="12" t="s">
        <v>3096</v>
      </c>
      <c r="B3502" s="1" t="s">
        <v>7110</v>
      </c>
      <c r="I3502" s="109"/>
      <c r="J3502" s="109"/>
      <c r="K3502" s="109"/>
      <c r="L3502" s="109" t="str">
        <f t="shared" si="54"/>
        <v>96-966200246</v>
      </c>
      <c r="M3502" s="114">
        <v>966200246</v>
      </c>
      <c r="N3502" s="114" t="s">
        <v>8058</v>
      </c>
    </row>
    <row r="3503" spans="1:14" ht="18.75">
      <c r="A3503" s="12" t="s">
        <v>3191</v>
      </c>
      <c r="B3503" s="1" t="s">
        <v>7110</v>
      </c>
      <c r="I3503" s="109"/>
      <c r="J3503" s="109"/>
      <c r="K3503" s="109"/>
      <c r="L3503" s="109" t="str">
        <f t="shared" si="54"/>
        <v>95-956200331</v>
      </c>
      <c r="M3503" s="114">
        <v>956200331</v>
      </c>
      <c r="N3503" s="114" t="s">
        <v>7289</v>
      </c>
    </row>
    <row r="3504" spans="1:14" ht="18.75">
      <c r="A3504" s="12" t="s">
        <v>3192</v>
      </c>
      <c r="B3504" s="1" t="s">
        <v>7110</v>
      </c>
      <c r="I3504" s="109"/>
      <c r="J3504" s="109"/>
      <c r="K3504" s="109"/>
      <c r="L3504" s="109" t="str">
        <f t="shared" si="54"/>
        <v>95-956200363</v>
      </c>
      <c r="M3504" s="114">
        <v>956200363</v>
      </c>
      <c r="N3504" s="114" t="s">
        <v>7447</v>
      </c>
    </row>
    <row r="3505" spans="1:14" ht="18.75">
      <c r="A3505" s="12" t="s">
        <v>3248</v>
      </c>
      <c r="B3505" s="1" t="s">
        <v>7110</v>
      </c>
      <c r="I3505" s="109"/>
      <c r="J3505" s="109"/>
      <c r="K3505" s="109"/>
      <c r="L3505" s="109" t="str">
        <f t="shared" si="54"/>
        <v>96-966200003</v>
      </c>
      <c r="M3505" s="114">
        <v>966200003</v>
      </c>
      <c r="N3505" s="114" t="s">
        <v>7475</v>
      </c>
    </row>
    <row r="3506" spans="1:14" ht="18.75">
      <c r="A3506" s="12" t="s">
        <v>3249</v>
      </c>
      <c r="B3506" s="1" t="s">
        <v>7110</v>
      </c>
      <c r="I3506" s="109"/>
      <c r="J3506" s="109"/>
      <c r="K3506" s="109"/>
      <c r="L3506" s="109" t="str">
        <f t="shared" si="54"/>
        <v>95-956200358</v>
      </c>
      <c r="M3506" s="114">
        <v>956200358</v>
      </c>
      <c r="N3506" s="114" t="s">
        <v>7292</v>
      </c>
    </row>
    <row r="3507" spans="1:14" ht="18.75">
      <c r="A3507" s="12" t="s">
        <v>3250</v>
      </c>
      <c r="B3507" s="1" t="s">
        <v>7110</v>
      </c>
      <c r="I3507" s="109"/>
      <c r="J3507" s="109"/>
      <c r="K3507" s="109"/>
      <c r="L3507" s="109" t="str">
        <f t="shared" si="54"/>
        <v>95-956200383</v>
      </c>
      <c r="M3507" s="114">
        <v>956200383</v>
      </c>
      <c r="N3507" s="114" t="s">
        <v>7393</v>
      </c>
    </row>
    <row r="3508" spans="1:14" ht="18.75">
      <c r="A3508" s="12" t="s">
        <v>3248</v>
      </c>
      <c r="B3508" s="1" t="s">
        <v>7110</v>
      </c>
      <c r="I3508" s="109"/>
      <c r="J3508" s="109"/>
      <c r="K3508" s="109"/>
      <c r="L3508" s="109" t="str">
        <f t="shared" si="54"/>
        <v>95-956200428</v>
      </c>
      <c r="M3508" s="114">
        <v>956200428</v>
      </c>
      <c r="N3508" s="114" t="s">
        <v>7419</v>
      </c>
    </row>
    <row r="3509" spans="1:14" ht="18.75">
      <c r="A3509" s="12" t="s">
        <v>3251</v>
      </c>
      <c r="B3509" s="1" t="s">
        <v>7110</v>
      </c>
      <c r="I3509" s="109"/>
      <c r="J3509" s="109"/>
      <c r="K3509" s="109"/>
      <c r="L3509" s="109" t="str">
        <f t="shared" si="54"/>
        <v>95-956200429</v>
      </c>
      <c r="M3509" s="114">
        <v>956200429</v>
      </c>
      <c r="N3509" s="114" t="s">
        <v>7419</v>
      </c>
    </row>
    <row r="3510" spans="1:14" ht="18.75">
      <c r="A3510" s="12" t="s">
        <v>3248</v>
      </c>
      <c r="B3510" s="1" t="s">
        <v>7110</v>
      </c>
      <c r="I3510" s="109"/>
      <c r="J3510" s="109"/>
      <c r="K3510" s="109"/>
      <c r="L3510" s="109" t="str">
        <f t="shared" si="54"/>
        <v>95-954200015</v>
      </c>
      <c r="M3510" s="114">
        <v>954200015</v>
      </c>
      <c r="N3510" s="114" t="s">
        <v>5641</v>
      </c>
    </row>
    <row r="3511" spans="1:14" ht="18.75">
      <c r="A3511" s="12" t="s">
        <v>3183</v>
      </c>
      <c r="B3511" s="1" t="s">
        <v>7110</v>
      </c>
      <c r="I3511" s="109"/>
      <c r="J3511" s="109"/>
      <c r="K3511" s="109"/>
      <c r="L3511" s="109" t="str">
        <f t="shared" si="54"/>
        <v>95-954200035</v>
      </c>
      <c r="M3511" s="114">
        <v>954200035</v>
      </c>
      <c r="N3511" s="114" t="s">
        <v>5649</v>
      </c>
    </row>
    <row r="3512" spans="1:14" ht="18.75">
      <c r="A3512" s="12" t="s">
        <v>3249</v>
      </c>
      <c r="B3512" s="1" t="s">
        <v>7110</v>
      </c>
      <c r="I3512" s="109"/>
      <c r="J3512" s="109"/>
      <c r="K3512" s="109"/>
      <c r="L3512" s="109" t="str">
        <f t="shared" si="54"/>
        <v>95-954200002</v>
      </c>
      <c r="M3512" s="114">
        <v>954200002</v>
      </c>
      <c r="N3512" s="114" t="s">
        <v>5629</v>
      </c>
    </row>
    <row r="3513" spans="1:14" ht="18.75">
      <c r="A3513" s="12" t="s">
        <v>3249</v>
      </c>
      <c r="B3513" s="1" t="s">
        <v>7110</v>
      </c>
      <c r="I3513" s="109"/>
      <c r="J3513" s="109"/>
      <c r="K3513" s="109"/>
      <c r="L3513" s="109" t="str">
        <f t="shared" si="54"/>
        <v>95-954200003</v>
      </c>
      <c r="M3513" s="114">
        <v>954200003</v>
      </c>
      <c r="N3513" s="114" t="s">
        <v>5629</v>
      </c>
    </row>
    <row r="3514" spans="1:14" ht="18.75">
      <c r="A3514" s="12" t="s">
        <v>3089</v>
      </c>
      <c r="B3514" s="1" t="s">
        <v>7110</v>
      </c>
      <c r="I3514" s="109"/>
      <c r="J3514" s="109"/>
      <c r="K3514" s="109"/>
      <c r="L3514" s="109" t="str">
        <f t="shared" si="54"/>
        <v>96-961100019</v>
      </c>
      <c r="M3514" s="114">
        <v>961100019</v>
      </c>
      <c r="N3514" s="114" t="s">
        <v>8059</v>
      </c>
    </row>
    <row r="3515" spans="1:14" ht="18.75">
      <c r="A3515" s="12" t="s">
        <v>3286</v>
      </c>
      <c r="B3515" s="1" t="s">
        <v>7110</v>
      </c>
      <c r="I3515" s="109"/>
      <c r="J3515" s="109"/>
      <c r="K3515" s="109"/>
      <c r="L3515" s="109" t="str">
        <f t="shared" si="54"/>
        <v>96-966200088</v>
      </c>
      <c r="M3515" s="114">
        <v>966200088</v>
      </c>
      <c r="N3515" s="114" t="s">
        <v>7476</v>
      </c>
    </row>
    <row r="3516" spans="1:14" ht="18.75">
      <c r="A3516" s="12" t="s">
        <v>3330</v>
      </c>
      <c r="B3516" s="1" t="s">
        <v>7110</v>
      </c>
      <c r="I3516" s="109"/>
      <c r="J3516" s="109"/>
      <c r="K3516" s="109"/>
      <c r="L3516" s="109" t="str">
        <f t="shared" si="54"/>
        <v>96-966200205</v>
      </c>
      <c r="M3516" s="114">
        <v>966200205</v>
      </c>
      <c r="N3516" s="114" t="s">
        <v>7120</v>
      </c>
    </row>
    <row r="3517" spans="1:14" ht="18.75">
      <c r="A3517" s="12" t="s">
        <v>3331</v>
      </c>
      <c r="B3517" s="1" t="s">
        <v>7110</v>
      </c>
      <c r="I3517" s="109"/>
      <c r="J3517" s="109"/>
      <c r="K3517" s="109"/>
      <c r="L3517" s="109" t="str">
        <f t="shared" si="54"/>
        <v>96-966200130</v>
      </c>
      <c r="M3517" s="114">
        <v>966200130</v>
      </c>
      <c r="N3517" s="114" t="s">
        <v>7293</v>
      </c>
    </row>
    <row r="3518" spans="1:14" ht="18.75">
      <c r="A3518" s="12" t="s">
        <v>3335</v>
      </c>
      <c r="B3518" s="1" t="s">
        <v>7110</v>
      </c>
      <c r="I3518" s="109"/>
      <c r="J3518" s="109"/>
      <c r="K3518" s="109"/>
      <c r="L3518" s="109" t="str">
        <f t="shared" si="54"/>
        <v>96-966200182</v>
      </c>
      <c r="M3518" s="114">
        <v>966200182</v>
      </c>
      <c r="N3518" s="114" t="s">
        <v>7986</v>
      </c>
    </row>
    <row r="3519" spans="1:14" ht="18.75">
      <c r="A3519" s="12" t="s">
        <v>2804</v>
      </c>
      <c r="B3519" s="1" t="s">
        <v>7110</v>
      </c>
      <c r="I3519" s="109"/>
      <c r="J3519" s="109"/>
      <c r="K3519" s="109"/>
      <c r="L3519" s="109" t="str">
        <f t="shared" si="54"/>
        <v>96-966200237</v>
      </c>
      <c r="M3519" s="114">
        <v>966200237</v>
      </c>
      <c r="N3519" s="114" t="s">
        <v>7116</v>
      </c>
    </row>
    <row r="3520" spans="1:14" ht="18.75">
      <c r="A3520" s="12" t="s">
        <v>3336</v>
      </c>
      <c r="B3520" s="1" t="s">
        <v>7110</v>
      </c>
      <c r="I3520" s="109"/>
      <c r="J3520" s="109"/>
      <c r="K3520" s="109"/>
      <c r="L3520" s="109" t="str">
        <f t="shared" si="54"/>
        <v>96-966200238</v>
      </c>
      <c r="M3520" s="114">
        <v>966200238</v>
      </c>
      <c r="N3520" s="114" t="s">
        <v>7116</v>
      </c>
    </row>
    <row r="3521" spans="1:14" ht="18.75">
      <c r="A3521" s="12" t="s">
        <v>3335</v>
      </c>
      <c r="B3521" s="1" t="s">
        <v>7110</v>
      </c>
      <c r="I3521" s="109"/>
      <c r="J3521" s="109"/>
      <c r="K3521" s="109"/>
      <c r="L3521" s="109" t="str">
        <f t="shared" si="54"/>
        <v>96-962000099</v>
      </c>
      <c r="M3521" s="114">
        <v>962000099</v>
      </c>
      <c r="N3521" s="114" t="s">
        <v>7112</v>
      </c>
    </row>
    <row r="3522" spans="1:14" ht="18.75">
      <c r="A3522" s="12" t="s">
        <v>3250</v>
      </c>
      <c r="B3522" s="1" t="s">
        <v>7110</v>
      </c>
      <c r="I3522" s="109"/>
      <c r="J3522" s="109"/>
      <c r="K3522" s="109"/>
      <c r="L3522" s="109" t="str">
        <f t="shared" si="54"/>
        <v>96-962000103</v>
      </c>
      <c r="M3522" s="114">
        <v>962000103</v>
      </c>
      <c r="N3522" s="114" t="s">
        <v>7112</v>
      </c>
    </row>
    <row r="3523" spans="1:14" ht="18.75">
      <c r="A3523" s="12" t="s">
        <v>3347</v>
      </c>
      <c r="B3523" s="1" t="s">
        <v>7110</v>
      </c>
      <c r="I3523" s="109"/>
      <c r="J3523" s="109"/>
      <c r="K3523" s="109"/>
      <c r="L3523" s="109" t="str">
        <f t="shared" ref="L3523:L3586" si="55">MID(M3523,1,2)&amp;"-"&amp;M3523</f>
        <v>96-962000113</v>
      </c>
      <c r="M3523" s="114">
        <v>962000113</v>
      </c>
      <c r="N3523" s="114" t="s">
        <v>7112</v>
      </c>
    </row>
    <row r="3524" spans="1:14" ht="18.75">
      <c r="A3524" s="12" t="s">
        <v>3351</v>
      </c>
      <c r="B3524" s="1" t="s">
        <v>7110</v>
      </c>
      <c r="I3524" s="109"/>
      <c r="J3524" s="109"/>
      <c r="K3524" s="109"/>
      <c r="L3524" s="109" t="str">
        <f t="shared" si="55"/>
        <v>96-962000114</v>
      </c>
      <c r="M3524" s="114">
        <v>962000114</v>
      </c>
      <c r="N3524" s="114" t="s">
        <v>7112</v>
      </c>
    </row>
    <row r="3525" spans="1:14" ht="18.75">
      <c r="A3525" s="12" t="s">
        <v>3186</v>
      </c>
      <c r="B3525" s="1" t="s">
        <v>7110</v>
      </c>
      <c r="I3525" s="109"/>
      <c r="J3525" s="109"/>
      <c r="K3525" s="109"/>
      <c r="L3525" s="109" t="str">
        <f t="shared" si="55"/>
        <v>96-962000115</v>
      </c>
      <c r="M3525" s="114">
        <v>962000115</v>
      </c>
      <c r="N3525" s="114" t="s">
        <v>7112</v>
      </c>
    </row>
    <row r="3526" spans="1:14" ht="18.75">
      <c r="A3526" s="12" t="s">
        <v>3347</v>
      </c>
      <c r="B3526" s="1" t="s">
        <v>7110</v>
      </c>
      <c r="I3526" s="109"/>
      <c r="J3526" s="109"/>
      <c r="K3526" s="109"/>
      <c r="L3526" s="109" t="str">
        <f t="shared" si="55"/>
        <v>96-962000185</v>
      </c>
      <c r="M3526" s="114">
        <v>962000185</v>
      </c>
      <c r="N3526" s="114" t="s">
        <v>7112</v>
      </c>
    </row>
    <row r="3527" spans="1:14" ht="18.75">
      <c r="A3527" s="12" t="s">
        <v>3250</v>
      </c>
      <c r="B3527" s="1" t="s">
        <v>7110</v>
      </c>
      <c r="I3527" s="109"/>
      <c r="J3527" s="109"/>
      <c r="K3527" s="109"/>
      <c r="L3527" s="109" t="str">
        <f t="shared" si="55"/>
        <v>95-954100008</v>
      </c>
      <c r="M3527" s="114">
        <v>954100008</v>
      </c>
      <c r="N3527" s="114" t="s">
        <v>5615</v>
      </c>
    </row>
    <row r="3528" spans="1:14" ht="18.75">
      <c r="A3528" s="12" t="s">
        <v>3356</v>
      </c>
      <c r="B3528" s="1" t="s">
        <v>7110</v>
      </c>
      <c r="I3528" s="109"/>
      <c r="J3528" s="109"/>
      <c r="K3528" s="109"/>
      <c r="L3528" s="109" t="str">
        <f t="shared" si="55"/>
        <v>95-954100017</v>
      </c>
      <c r="M3528" s="114">
        <v>954100017</v>
      </c>
      <c r="N3528" s="114" t="s">
        <v>5626</v>
      </c>
    </row>
    <row r="3529" spans="1:14" ht="18.75">
      <c r="A3529" s="12" t="s">
        <v>3385</v>
      </c>
      <c r="B3529" s="1" t="s">
        <v>7110</v>
      </c>
      <c r="I3529" s="109"/>
      <c r="J3529" s="109"/>
      <c r="K3529" s="109"/>
      <c r="L3529" s="109" t="str">
        <f t="shared" si="55"/>
        <v>95-954100033</v>
      </c>
      <c r="M3529" s="114">
        <v>954100033</v>
      </c>
      <c r="N3529" s="114" t="s">
        <v>5756</v>
      </c>
    </row>
    <row r="3530" spans="1:14" ht="18.75">
      <c r="A3530" s="12" t="s">
        <v>3385</v>
      </c>
      <c r="B3530" s="1" t="s">
        <v>7110</v>
      </c>
      <c r="I3530" s="109"/>
      <c r="J3530" s="109"/>
      <c r="K3530" s="109"/>
      <c r="L3530" s="109" t="str">
        <f t="shared" si="55"/>
        <v>95-954100037</v>
      </c>
      <c r="M3530" s="114">
        <v>954100037</v>
      </c>
      <c r="N3530" s="114" t="s">
        <v>5749</v>
      </c>
    </row>
    <row r="3531" spans="1:14" ht="18.75">
      <c r="A3531" s="12" t="s">
        <v>3385</v>
      </c>
      <c r="B3531" s="1" t="s">
        <v>7110</v>
      </c>
      <c r="I3531" s="109"/>
      <c r="J3531" s="109"/>
      <c r="K3531" s="109"/>
      <c r="L3531" s="109" t="str">
        <f t="shared" si="55"/>
        <v>96-964100009</v>
      </c>
      <c r="M3531" s="114">
        <v>964100009</v>
      </c>
      <c r="N3531" s="114" t="s">
        <v>5783</v>
      </c>
    </row>
    <row r="3532" spans="1:14" ht="18.75">
      <c r="A3532" s="12" t="s">
        <v>3385</v>
      </c>
      <c r="B3532" s="1" t="s">
        <v>7110</v>
      </c>
      <c r="I3532" s="109"/>
      <c r="J3532" s="109"/>
      <c r="K3532" s="109"/>
      <c r="L3532" s="109" t="str">
        <f t="shared" si="55"/>
        <v>96-964100012</v>
      </c>
      <c r="M3532" s="114">
        <v>964100012</v>
      </c>
      <c r="N3532" s="114" t="s">
        <v>5797</v>
      </c>
    </row>
    <row r="3533" spans="1:14" ht="18.75">
      <c r="A3533" s="12" t="s">
        <v>3386</v>
      </c>
      <c r="B3533" s="1" t="s">
        <v>7110</v>
      </c>
      <c r="I3533" s="109"/>
      <c r="J3533" s="109"/>
      <c r="K3533" s="109"/>
      <c r="L3533" s="109" t="str">
        <f t="shared" si="55"/>
        <v>96-964100033</v>
      </c>
      <c r="M3533" s="114">
        <v>964100033</v>
      </c>
      <c r="N3533" s="114" t="s">
        <v>5817</v>
      </c>
    </row>
    <row r="3534" spans="1:14" ht="18.75">
      <c r="A3534" s="12" t="s">
        <v>3387</v>
      </c>
      <c r="B3534" s="1" t="s">
        <v>7110</v>
      </c>
      <c r="I3534" s="109"/>
      <c r="J3534" s="109"/>
      <c r="K3534" s="109"/>
      <c r="L3534" s="109" t="str">
        <f t="shared" si="55"/>
        <v>96-964100037</v>
      </c>
      <c r="M3534" s="114">
        <v>964100037</v>
      </c>
      <c r="N3534" s="114" t="s">
        <v>5783</v>
      </c>
    </row>
    <row r="3535" spans="1:14" ht="18.75">
      <c r="A3535" s="12" t="s">
        <v>3388</v>
      </c>
      <c r="B3535" s="1" t="s">
        <v>7110</v>
      </c>
      <c r="I3535" s="109"/>
      <c r="J3535" s="109"/>
      <c r="K3535" s="109"/>
      <c r="L3535" s="109" t="str">
        <f t="shared" si="55"/>
        <v>96-964100040</v>
      </c>
      <c r="M3535" s="114">
        <v>964100040</v>
      </c>
      <c r="N3535" s="114" t="s">
        <v>5844</v>
      </c>
    </row>
    <row r="3536" spans="1:14" ht="18.75">
      <c r="A3536" s="12" t="s">
        <v>3347</v>
      </c>
      <c r="B3536" s="1" t="s">
        <v>7110</v>
      </c>
      <c r="I3536" s="109"/>
      <c r="J3536" s="109"/>
      <c r="K3536" s="109"/>
      <c r="L3536" s="109" t="str">
        <f t="shared" si="55"/>
        <v>96-964100047</v>
      </c>
      <c r="M3536" s="114">
        <v>964100047</v>
      </c>
      <c r="N3536" s="114" t="s">
        <v>5797</v>
      </c>
    </row>
    <row r="3537" spans="1:14" ht="18.75">
      <c r="A3537" s="12" t="s">
        <v>3336</v>
      </c>
      <c r="B3537" s="1" t="s">
        <v>7110</v>
      </c>
      <c r="I3537" s="109"/>
      <c r="J3537" s="109"/>
      <c r="K3537" s="109"/>
      <c r="L3537" s="109" t="str">
        <f t="shared" si="55"/>
        <v>96-964100048</v>
      </c>
      <c r="M3537" s="114">
        <v>964100048</v>
      </c>
      <c r="N3537" s="114" t="s">
        <v>5834</v>
      </c>
    </row>
    <row r="3538" spans="1:14" ht="18.75">
      <c r="A3538" s="12" t="s">
        <v>3404</v>
      </c>
      <c r="B3538" s="1" t="s">
        <v>7110</v>
      </c>
      <c r="I3538" s="109"/>
      <c r="J3538" s="109"/>
      <c r="K3538" s="109"/>
      <c r="L3538" s="109" t="str">
        <f t="shared" si="55"/>
        <v>96-961100057</v>
      </c>
      <c r="M3538" s="114">
        <v>961100057</v>
      </c>
      <c r="N3538" s="114" t="s">
        <v>8357</v>
      </c>
    </row>
    <row r="3539" spans="1:14" ht="18.75">
      <c r="A3539" s="12" t="s">
        <v>3406</v>
      </c>
      <c r="B3539" s="1" t="s">
        <v>7110</v>
      </c>
      <c r="I3539" s="109"/>
      <c r="J3539" s="109"/>
      <c r="K3539" s="109"/>
      <c r="L3539" s="109" t="str">
        <f t="shared" si="55"/>
        <v>96-961100065</v>
      </c>
      <c r="M3539" s="114">
        <v>961100065</v>
      </c>
      <c r="N3539" s="114" t="s">
        <v>8358</v>
      </c>
    </row>
    <row r="3540" spans="1:14" ht="18.75">
      <c r="A3540" s="12" t="s">
        <v>3407</v>
      </c>
      <c r="B3540" s="1" t="s">
        <v>7110</v>
      </c>
      <c r="I3540" s="109"/>
      <c r="J3540" s="109"/>
      <c r="K3540" s="109"/>
      <c r="L3540" s="109" t="str">
        <f t="shared" si="55"/>
        <v>95-951600046</v>
      </c>
      <c r="M3540" s="114">
        <v>951600046</v>
      </c>
      <c r="N3540" s="114" t="s">
        <v>8214</v>
      </c>
    </row>
    <row r="3541" spans="1:14" ht="18.75">
      <c r="A3541" s="12" t="s">
        <v>3404</v>
      </c>
      <c r="B3541" s="1" t="s">
        <v>7110</v>
      </c>
      <c r="I3541" s="109"/>
      <c r="J3541" s="109"/>
      <c r="K3541" s="109"/>
      <c r="L3541" s="109" t="str">
        <f t="shared" si="55"/>
        <v>96-961100012</v>
      </c>
      <c r="M3541" s="114">
        <v>961100012</v>
      </c>
      <c r="N3541" s="114" t="s">
        <v>8365</v>
      </c>
    </row>
    <row r="3542" spans="1:14" ht="18.75">
      <c r="A3542" s="12" t="s">
        <v>3406</v>
      </c>
      <c r="B3542" s="1" t="s">
        <v>7110</v>
      </c>
      <c r="I3542" s="109"/>
      <c r="J3542" s="109"/>
      <c r="K3542" s="109"/>
      <c r="L3542" s="109" t="str">
        <f t="shared" si="55"/>
        <v>95-951600093</v>
      </c>
      <c r="M3542" s="114">
        <v>951600093</v>
      </c>
      <c r="N3542" s="114" t="s">
        <v>8366</v>
      </c>
    </row>
    <row r="3543" spans="1:14" ht="18.75">
      <c r="A3543" s="12" t="s">
        <v>3409</v>
      </c>
      <c r="B3543" s="1" t="s">
        <v>7110</v>
      </c>
      <c r="I3543" s="109"/>
      <c r="J3543" s="109"/>
      <c r="K3543" s="109"/>
      <c r="L3543" s="109" t="str">
        <f t="shared" si="55"/>
        <v>95-951600031</v>
      </c>
      <c r="M3543" s="114">
        <v>951600031</v>
      </c>
      <c r="N3543" s="114" t="s">
        <v>7184</v>
      </c>
    </row>
    <row r="3544" spans="1:14" ht="18.75">
      <c r="A3544" s="12" t="s">
        <v>3406</v>
      </c>
      <c r="B3544" s="1" t="s">
        <v>7110</v>
      </c>
      <c r="I3544" s="109"/>
      <c r="J3544" s="109"/>
      <c r="K3544" s="109"/>
      <c r="L3544" s="109" t="str">
        <f t="shared" si="55"/>
        <v>96-961800019</v>
      </c>
      <c r="M3544" s="114">
        <v>961800019</v>
      </c>
      <c r="N3544" s="114" t="s">
        <v>8349</v>
      </c>
    </row>
    <row r="3545" spans="1:14" ht="18.75">
      <c r="A3545" s="12" t="s">
        <v>3412</v>
      </c>
      <c r="B3545" s="1" t="s">
        <v>7110</v>
      </c>
      <c r="I3545" s="109"/>
      <c r="J3545" s="109"/>
      <c r="K3545" s="109"/>
      <c r="L3545" s="109" t="str">
        <f t="shared" si="55"/>
        <v>95-952500068</v>
      </c>
      <c r="M3545" s="114">
        <v>952500068</v>
      </c>
      <c r="N3545" s="114" t="s">
        <v>5716</v>
      </c>
    </row>
    <row r="3546" spans="1:14" ht="18.75">
      <c r="A3546" s="12" t="s">
        <v>3406</v>
      </c>
      <c r="B3546" s="1" t="s">
        <v>7110</v>
      </c>
      <c r="I3546" s="109"/>
      <c r="J3546" s="109"/>
      <c r="K3546" s="109"/>
      <c r="L3546" s="109" t="str">
        <f t="shared" si="55"/>
        <v>95-952500089</v>
      </c>
      <c r="M3546" s="114">
        <v>952500089</v>
      </c>
      <c r="N3546" s="114" t="s">
        <v>5753</v>
      </c>
    </row>
    <row r="3547" spans="1:14" ht="18.75">
      <c r="A3547" s="12" t="s">
        <v>3412</v>
      </c>
      <c r="B3547" s="1" t="s">
        <v>7110</v>
      </c>
      <c r="I3547" s="109"/>
      <c r="J3547" s="109"/>
      <c r="K3547" s="109"/>
      <c r="L3547" s="109" t="str">
        <f t="shared" si="55"/>
        <v>95-951600023</v>
      </c>
      <c r="M3547" s="114">
        <v>951600023</v>
      </c>
      <c r="N3547" s="114" t="s">
        <v>8367</v>
      </c>
    </row>
    <row r="3548" spans="1:14" ht="18.75">
      <c r="A3548" s="12" t="s">
        <v>3412</v>
      </c>
      <c r="B3548" s="1" t="s">
        <v>7110</v>
      </c>
      <c r="I3548" s="109"/>
      <c r="J3548" s="109"/>
      <c r="K3548" s="109"/>
      <c r="L3548" s="109" t="str">
        <f t="shared" si="55"/>
        <v>95-951900046</v>
      </c>
      <c r="M3548" s="114">
        <v>951900046</v>
      </c>
      <c r="N3548" s="114" t="s">
        <v>8368</v>
      </c>
    </row>
    <row r="3549" spans="1:14" ht="18.75">
      <c r="A3549" s="12" t="s">
        <v>3415</v>
      </c>
      <c r="B3549" s="1" t="s">
        <v>7110</v>
      </c>
      <c r="I3549" s="109"/>
      <c r="J3549" s="109"/>
      <c r="K3549" s="109"/>
      <c r="L3549" s="109" t="str">
        <f t="shared" si="55"/>
        <v>95-951600058</v>
      </c>
      <c r="M3549" s="114">
        <v>951600058</v>
      </c>
      <c r="N3549" s="114" t="s">
        <v>8375</v>
      </c>
    </row>
    <row r="3550" spans="1:14" ht="18.75">
      <c r="A3550" s="12" t="s">
        <v>3417</v>
      </c>
      <c r="B3550" s="1" t="s">
        <v>7110</v>
      </c>
      <c r="I3550" s="109"/>
      <c r="J3550" s="109"/>
      <c r="K3550" s="109"/>
      <c r="L3550" s="109" t="str">
        <f t="shared" si="55"/>
        <v>95-956000002</v>
      </c>
      <c r="M3550" s="114">
        <v>956000002</v>
      </c>
      <c r="N3550" s="114" t="s">
        <v>8086</v>
      </c>
    </row>
    <row r="3551" spans="1:14" ht="18.75">
      <c r="A3551" s="12" t="s">
        <v>3418</v>
      </c>
      <c r="B3551" s="1" t="s">
        <v>7110</v>
      </c>
      <c r="I3551" s="109"/>
      <c r="J3551" s="109"/>
      <c r="K3551" s="109"/>
      <c r="L3551" s="109" t="str">
        <f t="shared" si="55"/>
        <v>95-956000014</v>
      </c>
      <c r="M3551" s="114">
        <v>956000014</v>
      </c>
      <c r="N3551" s="114" t="s">
        <v>8087</v>
      </c>
    </row>
    <row r="3552" spans="1:14" ht="18.75">
      <c r="A3552" s="12" t="s">
        <v>3418</v>
      </c>
      <c r="B3552" s="1" t="s">
        <v>7110</v>
      </c>
      <c r="I3552" s="109"/>
      <c r="J3552" s="109"/>
      <c r="K3552" s="109"/>
      <c r="L3552" s="109" t="str">
        <f t="shared" si="55"/>
        <v>95-959000005</v>
      </c>
      <c r="M3552" s="114">
        <v>959000005</v>
      </c>
      <c r="N3552" s="114" t="s">
        <v>5672</v>
      </c>
    </row>
    <row r="3553" spans="1:14" ht="18.75">
      <c r="A3553" s="12" t="s">
        <v>3469</v>
      </c>
      <c r="B3553" s="1" t="s">
        <v>7110</v>
      </c>
      <c r="I3553" s="109"/>
      <c r="J3553" s="109"/>
      <c r="K3553" s="109"/>
      <c r="L3553" s="109" t="str">
        <f t="shared" si="55"/>
        <v>95-951100061</v>
      </c>
      <c r="M3553" s="114">
        <v>951100061</v>
      </c>
      <c r="N3553" s="114" t="s">
        <v>8088</v>
      </c>
    </row>
    <row r="3554" spans="1:14" ht="18.75">
      <c r="A3554" s="12" t="s">
        <v>3469</v>
      </c>
      <c r="B3554" s="1" t="s">
        <v>7110</v>
      </c>
      <c r="I3554" s="109"/>
      <c r="J3554" s="109"/>
      <c r="K3554" s="109"/>
      <c r="L3554" s="109" t="str">
        <f t="shared" si="55"/>
        <v>95-951900053</v>
      </c>
      <c r="M3554" s="114">
        <v>951900053</v>
      </c>
      <c r="N3554" s="114" t="s">
        <v>8097</v>
      </c>
    </row>
    <row r="3555" spans="1:14" ht="18.75">
      <c r="A3555" s="12" t="s">
        <v>3470</v>
      </c>
      <c r="B3555" s="1" t="s">
        <v>7110</v>
      </c>
      <c r="I3555" s="109"/>
      <c r="J3555" s="109"/>
      <c r="K3555" s="109"/>
      <c r="L3555" s="109" t="str">
        <f t="shared" si="55"/>
        <v>95-951800054</v>
      </c>
      <c r="M3555" s="114">
        <v>951800054</v>
      </c>
      <c r="N3555" s="114" t="s">
        <v>8376</v>
      </c>
    </row>
    <row r="3556" spans="1:14" ht="18.75">
      <c r="A3556" s="12" t="s">
        <v>3347</v>
      </c>
      <c r="B3556" s="1" t="s">
        <v>7110</v>
      </c>
      <c r="I3556" s="109"/>
      <c r="J3556" s="109"/>
      <c r="K3556" s="109"/>
      <c r="L3556" s="109" t="str">
        <f t="shared" si="55"/>
        <v>95-951400022</v>
      </c>
      <c r="M3556" s="114">
        <v>951400022</v>
      </c>
      <c r="N3556" s="114" t="s">
        <v>7608</v>
      </c>
    </row>
    <row r="3557" spans="1:14" ht="18.75">
      <c r="A3557" s="12" t="s">
        <v>3478</v>
      </c>
      <c r="B3557" s="1" t="s">
        <v>7110</v>
      </c>
      <c r="I3557" s="109"/>
      <c r="J3557" s="109"/>
      <c r="K3557" s="109"/>
      <c r="L3557" s="109" t="str">
        <f t="shared" si="55"/>
        <v>95-951700074</v>
      </c>
      <c r="M3557" s="114">
        <v>951700074</v>
      </c>
      <c r="N3557" s="114" t="s">
        <v>7835</v>
      </c>
    </row>
    <row r="3558" spans="1:14" ht="18.75">
      <c r="A3558" s="12" t="s">
        <v>3479</v>
      </c>
      <c r="B3558" s="1" t="s">
        <v>7110</v>
      </c>
      <c r="I3558" s="109"/>
      <c r="J3558" s="109"/>
      <c r="K3558" s="109"/>
      <c r="L3558" s="109" t="str">
        <f t="shared" si="55"/>
        <v>95-951600008</v>
      </c>
      <c r="M3558" s="114">
        <v>951600008</v>
      </c>
      <c r="N3558" s="114" t="s">
        <v>7770</v>
      </c>
    </row>
    <row r="3559" spans="1:14" ht="18.75">
      <c r="A3559" s="12" t="s">
        <v>3469</v>
      </c>
      <c r="B3559" s="1" t="s">
        <v>7110</v>
      </c>
      <c r="I3559" s="109"/>
      <c r="J3559" s="109"/>
      <c r="K3559" s="109"/>
      <c r="L3559" s="109" t="str">
        <f t="shared" si="55"/>
        <v>95-952500003</v>
      </c>
      <c r="M3559" s="114">
        <v>952500003</v>
      </c>
      <c r="N3559" s="114" t="s">
        <v>5605</v>
      </c>
    </row>
    <row r="3560" spans="1:14" ht="18.75">
      <c r="A3560" s="12" t="s">
        <v>3470</v>
      </c>
      <c r="B3560" s="1" t="s">
        <v>7110</v>
      </c>
      <c r="I3560" s="109"/>
      <c r="J3560" s="109"/>
      <c r="K3560" s="109"/>
      <c r="L3560" s="109" t="str">
        <f t="shared" si="55"/>
        <v>95-952500022</v>
      </c>
      <c r="M3560" s="114">
        <v>952500022</v>
      </c>
      <c r="N3560" s="114" t="s">
        <v>5618</v>
      </c>
    </row>
    <row r="3561" spans="1:14" ht="18.75">
      <c r="A3561" s="12" t="s">
        <v>3510</v>
      </c>
      <c r="B3561" s="1" t="s">
        <v>7110</v>
      </c>
      <c r="I3561" s="109"/>
      <c r="J3561" s="109"/>
      <c r="K3561" s="109"/>
      <c r="L3561" s="109" t="str">
        <f t="shared" si="55"/>
        <v>95-952500026</v>
      </c>
      <c r="M3561" s="114">
        <v>952500026</v>
      </c>
      <c r="N3561" s="114" t="s">
        <v>5618</v>
      </c>
    </row>
    <row r="3562" spans="1:14" ht="18.75">
      <c r="A3562" s="12" t="s">
        <v>3406</v>
      </c>
      <c r="B3562" s="1" t="s">
        <v>7110</v>
      </c>
      <c r="I3562" s="109"/>
      <c r="J3562" s="109"/>
      <c r="K3562" s="109"/>
      <c r="L3562" s="109" t="str">
        <f t="shared" si="55"/>
        <v>95-952500077</v>
      </c>
      <c r="M3562" s="114">
        <v>952500077</v>
      </c>
      <c r="N3562" s="114" t="s">
        <v>5740</v>
      </c>
    </row>
    <row r="3563" spans="1:14" ht="18.75">
      <c r="A3563" s="12" t="s">
        <v>3512</v>
      </c>
      <c r="B3563" s="1" t="s">
        <v>7110</v>
      </c>
      <c r="I3563" s="109"/>
      <c r="J3563" s="109"/>
      <c r="K3563" s="109"/>
      <c r="L3563" s="109" t="str">
        <f t="shared" si="55"/>
        <v>95-952500088</v>
      </c>
      <c r="M3563" s="114">
        <v>952500088</v>
      </c>
      <c r="N3563" s="114" t="s">
        <v>5710</v>
      </c>
    </row>
    <row r="3564" spans="1:14" ht="18.75">
      <c r="A3564" s="12" t="s">
        <v>3515</v>
      </c>
      <c r="B3564" s="1" t="s">
        <v>7110</v>
      </c>
      <c r="I3564" s="109"/>
      <c r="J3564" s="109"/>
      <c r="K3564" s="109"/>
      <c r="L3564" s="109" t="str">
        <f t="shared" si="55"/>
        <v>96-962500104</v>
      </c>
      <c r="M3564" s="114">
        <v>962500104</v>
      </c>
      <c r="N3564" s="114" t="s">
        <v>5824</v>
      </c>
    </row>
    <row r="3565" spans="1:14" ht="18.75">
      <c r="A3565" s="12" t="s">
        <v>3517</v>
      </c>
      <c r="B3565" s="1" t="s">
        <v>7110</v>
      </c>
      <c r="I3565" s="109"/>
      <c r="J3565" s="109"/>
      <c r="K3565" s="109"/>
      <c r="L3565" s="109" t="str">
        <f t="shared" si="55"/>
        <v>95-952500030</v>
      </c>
      <c r="M3565" s="114">
        <v>952500030</v>
      </c>
      <c r="N3565" s="114" t="s">
        <v>5629</v>
      </c>
    </row>
    <row r="3566" spans="1:14" ht="18.75">
      <c r="A3566" s="12" t="s">
        <v>3518</v>
      </c>
      <c r="B3566" s="1" t="s">
        <v>7110</v>
      </c>
      <c r="I3566" s="109"/>
      <c r="J3566" s="109"/>
      <c r="K3566" s="109"/>
      <c r="L3566" s="109" t="str">
        <f t="shared" si="55"/>
        <v>96-961900083</v>
      </c>
      <c r="M3566" s="114">
        <v>961900083</v>
      </c>
      <c r="N3566" s="114" t="s">
        <v>8098</v>
      </c>
    </row>
    <row r="3567" spans="1:14" ht="18.75">
      <c r="A3567" s="12" t="s">
        <v>3520</v>
      </c>
      <c r="B3567" s="1" t="s">
        <v>7110</v>
      </c>
      <c r="I3567" s="109"/>
      <c r="J3567" s="109"/>
      <c r="K3567" s="109"/>
      <c r="L3567" s="109" t="str">
        <f t="shared" si="55"/>
        <v>96-961100022</v>
      </c>
      <c r="M3567" s="114">
        <v>961100022</v>
      </c>
      <c r="N3567" s="114" t="s">
        <v>8099</v>
      </c>
    </row>
    <row r="3568" spans="1:14" ht="18.75">
      <c r="A3568" s="12" t="s">
        <v>3470</v>
      </c>
      <c r="B3568" s="1" t="s">
        <v>7110</v>
      </c>
      <c r="I3568" s="109"/>
      <c r="J3568" s="109"/>
      <c r="K3568" s="109"/>
      <c r="L3568" s="109" t="str">
        <f t="shared" si="55"/>
        <v>95-951900015</v>
      </c>
      <c r="M3568" s="114">
        <v>951900015</v>
      </c>
      <c r="N3568" s="114" t="s">
        <v>8085</v>
      </c>
    </row>
    <row r="3569" spans="1:14" ht="18.75">
      <c r="A3569" s="12" t="s">
        <v>3134</v>
      </c>
      <c r="B3569" s="1" t="s">
        <v>7110</v>
      </c>
      <c r="I3569" s="109"/>
      <c r="J3569" s="109"/>
      <c r="K3569" s="109"/>
      <c r="L3569" s="109" t="str">
        <f t="shared" si="55"/>
        <v>95-951900018</v>
      </c>
      <c r="M3569" s="114">
        <v>951900018</v>
      </c>
      <c r="N3569" s="114" t="s">
        <v>8085</v>
      </c>
    </row>
    <row r="3570" spans="1:14" ht="18.75">
      <c r="A3570" s="12" t="s">
        <v>3527</v>
      </c>
      <c r="B3570" s="1" t="s">
        <v>7110</v>
      </c>
      <c r="I3570" s="109"/>
      <c r="J3570" s="109"/>
      <c r="K3570" s="109"/>
      <c r="L3570" s="109" t="str">
        <f t="shared" si="55"/>
        <v>95-951700004</v>
      </c>
      <c r="M3570" s="114">
        <v>951700004</v>
      </c>
      <c r="N3570" s="114" t="s">
        <v>7565</v>
      </c>
    </row>
    <row r="3571" spans="1:14" ht="18.75">
      <c r="A3571" s="12" t="s">
        <v>3562</v>
      </c>
      <c r="B3571" s="1" t="s">
        <v>7110</v>
      </c>
      <c r="I3571" s="109"/>
      <c r="J3571" s="109"/>
      <c r="K3571" s="109"/>
      <c r="L3571" s="109" t="str">
        <f t="shared" si="55"/>
        <v>95-951700058</v>
      </c>
      <c r="M3571" s="114">
        <v>951700058</v>
      </c>
      <c r="N3571" s="114" t="s">
        <v>7566</v>
      </c>
    </row>
    <row r="3572" spans="1:14" ht="18.75">
      <c r="A3572" s="12" t="s">
        <v>3566</v>
      </c>
      <c r="B3572" s="1" t="s">
        <v>7110</v>
      </c>
      <c r="I3572" s="109"/>
      <c r="J3572" s="109"/>
      <c r="K3572" s="109"/>
      <c r="L3572" s="109" t="str">
        <f t="shared" si="55"/>
        <v>96-964100049</v>
      </c>
      <c r="M3572" s="114">
        <v>964100049</v>
      </c>
      <c r="N3572" s="114" t="s">
        <v>7138</v>
      </c>
    </row>
    <row r="3573" spans="1:14" ht="18.75">
      <c r="A3573" s="12" t="s">
        <v>3575</v>
      </c>
      <c r="B3573" s="1" t="s">
        <v>7110</v>
      </c>
      <c r="I3573" s="109"/>
      <c r="J3573" s="109"/>
      <c r="K3573" s="109"/>
      <c r="L3573" s="109" t="str">
        <f t="shared" si="55"/>
        <v>96-964300019</v>
      </c>
      <c r="M3573" s="114">
        <v>964300019</v>
      </c>
      <c r="N3573" s="114" t="s">
        <v>7125</v>
      </c>
    </row>
    <row r="3574" spans="1:14" ht="18">
      <c r="A3574" s="50" t="s">
        <v>3406</v>
      </c>
      <c r="B3574" s="1" t="s">
        <v>7110</v>
      </c>
      <c r="I3574" s="109"/>
      <c r="J3574" s="109"/>
      <c r="K3574" s="109"/>
      <c r="L3574" s="109" t="str">
        <f t="shared" si="55"/>
        <v>95-951900047</v>
      </c>
      <c r="M3574" s="114">
        <v>951900047</v>
      </c>
      <c r="N3574" s="114" t="s">
        <v>8378</v>
      </c>
    </row>
    <row r="3575" spans="1:14" ht="18">
      <c r="A3575" s="50" t="s">
        <v>3640</v>
      </c>
      <c r="B3575" s="1" t="s">
        <v>7110</v>
      </c>
      <c r="I3575" s="109"/>
      <c r="J3575" s="109"/>
      <c r="K3575" s="109"/>
      <c r="L3575" s="109" t="str">
        <f t="shared" si="55"/>
        <v>95-951700138</v>
      </c>
      <c r="M3575" s="114">
        <v>951700138</v>
      </c>
      <c r="N3575" s="114" t="s">
        <v>8379</v>
      </c>
    </row>
    <row r="3576" spans="1:14" ht="18">
      <c r="A3576" s="50" t="s">
        <v>3641</v>
      </c>
      <c r="B3576" s="1" t="s">
        <v>7110</v>
      </c>
      <c r="I3576" s="109"/>
      <c r="J3576" s="109"/>
      <c r="K3576" s="109"/>
      <c r="L3576" s="109" t="str">
        <f t="shared" si="55"/>
        <v>96-961900136</v>
      </c>
      <c r="M3576" s="114">
        <v>961900136</v>
      </c>
      <c r="N3576" s="114" t="s">
        <v>8383</v>
      </c>
    </row>
    <row r="3577" spans="1:14" ht="18">
      <c r="A3577" s="50" t="s">
        <v>3646</v>
      </c>
      <c r="B3577" s="1" t="s">
        <v>7110</v>
      </c>
      <c r="I3577" s="109"/>
      <c r="J3577" s="109"/>
      <c r="K3577" s="109"/>
      <c r="L3577" s="109" t="str">
        <f t="shared" si="55"/>
        <v>95-952500055</v>
      </c>
      <c r="M3577" s="114">
        <v>952500055</v>
      </c>
      <c r="N3577" s="114" t="s">
        <v>5675</v>
      </c>
    </row>
    <row r="3578" spans="1:14" ht="18">
      <c r="A3578" s="50" t="s">
        <v>3646</v>
      </c>
      <c r="B3578" s="1" t="s">
        <v>7110</v>
      </c>
      <c r="I3578" s="109"/>
      <c r="J3578" s="109"/>
      <c r="K3578" s="109"/>
      <c r="L3578" s="109" t="str">
        <f t="shared" si="55"/>
        <v>95-952500072</v>
      </c>
      <c r="M3578" s="114">
        <v>952500072</v>
      </c>
      <c r="N3578" s="114" t="s">
        <v>5726</v>
      </c>
    </row>
    <row r="3579" spans="1:14" ht="18">
      <c r="A3579" s="50" t="s">
        <v>3656</v>
      </c>
      <c r="B3579" s="1" t="s">
        <v>7110</v>
      </c>
      <c r="I3579" s="109"/>
      <c r="J3579" s="109"/>
      <c r="K3579" s="109"/>
      <c r="L3579" s="109" t="str">
        <f t="shared" si="55"/>
        <v>96-962500035</v>
      </c>
      <c r="M3579" s="114">
        <v>962500035</v>
      </c>
      <c r="N3579" s="114" t="s">
        <v>5814</v>
      </c>
    </row>
    <row r="3580" spans="1:14" ht="18">
      <c r="A3580" s="50" t="s">
        <v>3657</v>
      </c>
      <c r="B3580" s="1" t="s">
        <v>7110</v>
      </c>
      <c r="I3580" s="109"/>
      <c r="J3580" s="109"/>
      <c r="K3580" s="109"/>
      <c r="L3580" s="109" t="str">
        <f t="shared" si="55"/>
        <v>96-962500041</v>
      </c>
      <c r="M3580" s="114">
        <v>962500041</v>
      </c>
      <c r="N3580" s="114" t="s">
        <v>5814</v>
      </c>
    </row>
    <row r="3581" spans="1:14" ht="18">
      <c r="A3581" s="50" t="s">
        <v>3729</v>
      </c>
      <c r="B3581" s="1" t="s">
        <v>7110</v>
      </c>
      <c r="I3581" s="109"/>
      <c r="J3581" s="109"/>
      <c r="K3581" s="109"/>
      <c r="L3581" s="109" t="str">
        <f t="shared" si="55"/>
        <v>96-962500044</v>
      </c>
      <c r="M3581" s="114">
        <v>962500044</v>
      </c>
      <c r="N3581" s="114" t="s">
        <v>5814</v>
      </c>
    </row>
    <row r="3582" spans="1:14" ht="18">
      <c r="A3582" s="50" t="s">
        <v>3730</v>
      </c>
      <c r="B3582" s="1" t="s">
        <v>7110</v>
      </c>
      <c r="I3582" s="109"/>
      <c r="J3582" s="109"/>
      <c r="K3582" s="109"/>
      <c r="L3582" s="109" t="str">
        <f t="shared" si="55"/>
        <v>96-962500060</v>
      </c>
      <c r="M3582" s="114">
        <v>962500060</v>
      </c>
      <c r="N3582" s="114" t="s">
        <v>5814</v>
      </c>
    </row>
    <row r="3583" spans="1:14" ht="18">
      <c r="A3583" s="50" t="s">
        <v>3732</v>
      </c>
      <c r="B3583" s="1" t="s">
        <v>7110</v>
      </c>
      <c r="I3583" s="109"/>
      <c r="J3583" s="109"/>
      <c r="K3583" s="109"/>
      <c r="L3583" s="109" t="str">
        <f t="shared" si="55"/>
        <v>96-962500080</v>
      </c>
      <c r="M3583" s="114">
        <v>962500080</v>
      </c>
      <c r="N3583" s="114" t="s">
        <v>7231</v>
      </c>
    </row>
    <row r="3584" spans="1:14" ht="18">
      <c r="A3584" s="50" t="s">
        <v>3733</v>
      </c>
      <c r="B3584" s="1" t="s">
        <v>7110</v>
      </c>
      <c r="I3584" s="109"/>
      <c r="J3584" s="109"/>
      <c r="K3584" s="109"/>
      <c r="L3584" s="109" t="str">
        <f t="shared" si="55"/>
        <v>96-962500083</v>
      </c>
      <c r="M3584" s="114">
        <v>962500083</v>
      </c>
      <c r="N3584" s="114" t="s">
        <v>7175</v>
      </c>
    </row>
    <row r="3585" spans="1:14" ht="18">
      <c r="A3585" s="50" t="s">
        <v>3736</v>
      </c>
      <c r="B3585" s="1" t="s">
        <v>7110</v>
      </c>
      <c r="I3585" s="109"/>
      <c r="J3585" s="109"/>
      <c r="K3585" s="109"/>
      <c r="L3585" s="109" t="str">
        <f t="shared" si="55"/>
        <v>96-962500092</v>
      </c>
      <c r="M3585" s="114">
        <v>962500092</v>
      </c>
      <c r="N3585" s="114" t="s">
        <v>7231</v>
      </c>
    </row>
    <row r="3586" spans="1:14" ht="18">
      <c r="A3586" s="50" t="s">
        <v>3738</v>
      </c>
      <c r="B3586" s="1" t="s">
        <v>7110</v>
      </c>
      <c r="I3586" s="109"/>
      <c r="J3586" s="109"/>
      <c r="K3586" s="109"/>
      <c r="L3586" s="109" t="str">
        <f t="shared" si="55"/>
        <v>96-962500115</v>
      </c>
      <c r="M3586" s="114">
        <v>962500115</v>
      </c>
      <c r="N3586" s="114" t="s">
        <v>7175</v>
      </c>
    </row>
    <row r="3587" spans="1:14" ht="18">
      <c r="A3587" s="50" t="s">
        <v>3744</v>
      </c>
      <c r="B3587" s="1" t="s">
        <v>7110</v>
      </c>
      <c r="I3587" s="109"/>
      <c r="J3587" s="109"/>
      <c r="K3587" s="109"/>
      <c r="L3587" s="109" t="str">
        <f t="shared" ref="L3587:L3650" si="56">MID(M3587,1,2)&amp;"-"&amp;M3587</f>
        <v>96-962500099</v>
      </c>
      <c r="M3587" s="114">
        <v>962500099</v>
      </c>
      <c r="N3587" s="114" t="s">
        <v>7603</v>
      </c>
    </row>
    <row r="3588" spans="1:14" ht="18">
      <c r="A3588" s="50" t="s">
        <v>3746</v>
      </c>
      <c r="B3588" s="1" t="s">
        <v>7110</v>
      </c>
      <c r="I3588" s="109"/>
      <c r="J3588" s="109"/>
      <c r="K3588" s="109"/>
      <c r="L3588" s="109" t="str">
        <f t="shared" si="56"/>
        <v>95-952500076</v>
      </c>
      <c r="M3588" s="114">
        <v>952500076</v>
      </c>
      <c r="N3588" s="114" t="s">
        <v>5736</v>
      </c>
    </row>
    <row r="3589" spans="1:14" ht="18">
      <c r="A3589" s="50" t="s">
        <v>3747</v>
      </c>
      <c r="B3589" s="1" t="s">
        <v>7110</v>
      </c>
      <c r="I3589" s="109"/>
      <c r="J3589" s="109"/>
      <c r="K3589" s="109"/>
      <c r="L3589" s="109" t="str">
        <f t="shared" si="56"/>
        <v>96-962500051</v>
      </c>
      <c r="M3589" s="114">
        <v>962500051</v>
      </c>
      <c r="N3589" s="114" t="s">
        <v>5842</v>
      </c>
    </row>
    <row r="3590" spans="1:14" ht="18">
      <c r="A3590" s="50" t="s">
        <v>3747</v>
      </c>
      <c r="B3590" s="1" t="s">
        <v>7110</v>
      </c>
      <c r="I3590" s="109"/>
      <c r="J3590" s="109"/>
      <c r="K3590" s="109"/>
      <c r="L3590" s="109" t="str">
        <f t="shared" si="56"/>
        <v>96-962500081</v>
      </c>
      <c r="M3590" s="114">
        <v>962500081</v>
      </c>
      <c r="N3590" s="114" t="s">
        <v>5842</v>
      </c>
    </row>
    <row r="3591" spans="1:14" ht="18">
      <c r="A3591" s="50" t="s">
        <v>3762</v>
      </c>
      <c r="B3591" s="1" t="s">
        <v>7110</v>
      </c>
      <c r="I3591" s="109"/>
      <c r="J3591" s="109"/>
      <c r="K3591" s="109"/>
      <c r="L3591" s="109" t="str">
        <f t="shared" si="56"/>
        <v>96-962500100</v>
      </c>
      <c r="M3591" s="114">
        <v>962500100</v>
      </c>
      <c r="N3591" s="114" t="s">
        <v>5842</v>
      </c>
    </row>
    <row r="3592" spans="1:14" ht="18">
      <c r="A3592" s="50" t="s">
        <v>3763</v>
      </c>
      <c r="B3592" s="1" t="s">
        <v>7110</v>
      </c>
      <c r="I3592" s="109"/>
      <c r="J3592" s="109"/>
      <c r="K3592" s="109"/>
      <c r="L3592" s="109" t="str">
        <f t="shared" si="56"/>
        <v>96-962500124</v>
      </c>
      <c r="M3592" s="114">
        <v>962500124</v>
      </c>
      <c r="N3592" s="114" t="s">
        <v>8080</v>
      </c>
    </row>
    <row r="3593" spans="1:14" ht="18">
      <c r="A3593" s="50" t="s">
        <v>3838</v>
      </c>
      <c r="B3593" s="1" t="s">
        <v>7110</v>
      </c>
      <c r="I3593" s="109"/>
      <c r="J3593" s="109"/>
      <c r="K3593" s="109"/>
      <c r="L3593" s="109" t="str">
        <f t="shared" si="56"/>
        <v>95-951800065</v>
      </c>
      <c r="M3593" s="114">
        <v>951800065</v>
      </c>
      <c r="N3593" s="114" t="s">
        <v>8384</v>
      </c>
    </row>
    <row r="3594" spans="1:14" ht="18">
      <c r="A3594" s="50" t="s">
        <v>3838</v>
      </c>
      <c r="B3594" s="1" t="s">
        <v>7110</v>
      </c>
      <c r="I3594" s="109"/>
      <c r="J3594" s="109"/>
      <c r="K3594" s="109"/>
      <c r="L3594" s="109" t="str">
        <f t="shared" si="56"/>
        <v>95-951600041</v>
      </c>
      <c r="M3594" s="114">
        <v>951600041</v>
      </c>
      <c r="N3594" s="114" t="s">
        <v>7719</v>
      </c>
    </row>
    <row r="3595" spans="1:14" ht="18">
      <c r="A3595" s="50" t="s">
        <v>3838</v>
      </c>
      <c r="B3595" s="1" t="s">
        <v>7110</v>
      </c>
      <c r="I3595" s="109"/>
      <c r="J3595" s="109"/>
      <c r="K3595" s="109"/>
      <c r="L3595" s="109" t="str">
        <f t="shared" si="56"/>
        <v>95-951700060</v>
      </c>
      <c r="M3595" s="114">
        <v>951700060</v>
      </c>
      <c r="N3595" s="114" t="s">
        <v>7566</v>
      </c>
    </row>
    <row r="3596" spans="1:14" ht="18">
      <c r="A3596" s="50" t="s">
        <v>3840</v>
      </c>
      <c r="B3596" s="1" t="s">
        <v>7110</v>
      </c>
      <c r="I3596" s="109"/>
      <c r="J3596" s="109"/>
      <c r="K3596" s="109"/>
      <c r="L3596" s="109" t="str">
        <f t="shared" si="56"/>
        <v>95-951700062</v>
      </c>
      <c r="M3596" s="114">
        <v>951700062</v>
      </c>
      <c r="N3596" s="114" t="s">
        <v>8102</v>
      </c>
    </row>
    <row r="3597" spans="1:14" ht="18">
      <c r="A3597" s="50" t="s">
        <v>3657</v>
      </c>
      <c r="B3597" s="1" t="s">
        <v>7110</v>
      </c>
      <c r="I3597" s="109"/>
      <c r="J3597" s="109"/>
      <c r="K3597" s="109"/>
      <c r="L3597" s="109" t="str">
        <f t="shared" si="56"/>
        <v>95-951700324</v>
      </c>
      <c r="M3597" s="114">
        <v>951700324</v>
      </c>
      <c r="N3597" s="114" t="s">
        <v>7481</v>
      </c>
    </row>
    <row r="3598" spans="1:14" ht="18">
      <c r="A3598" s="50" t="s">
        <v>3850</v>
      </c>
      <c r="B3598" s="1" t="s">
        <v>7110</v>
      </c>
      <c r="I3598" s="109"/>
      <c r="J3598" s="109"/>
      <c r="K3598" s="109"/>
      <c r="L3598" s="109" t="str">
        <f t="shared" si="56"/>
        <v>95-951700327</v>
      </c>
      <c r="M3598" s="114">
        <v>951700327</v>
      </c>
      <c r="N3598" s="114" t="s">
        <v>7481</v>
      </c>
    </row>
    <row r="3599" spans="1:14" ht="18">
      <c r="A3599" s="50" t="s">
        <v>3838</v>
      </c>
      <c r="B3599" s="1" t="s">
        <v>7110</v>
      </c>
      <c r="I3599" s="109"/>
      <c r="J3599" s="109"/>
      <c r="K3599" s="109"/>
      <c r="L3599" s="109" t="str">
        <f t="shared" si="56"/>
        <v>95-951700341</v>
      </c>
      <c r="M3599" s="114">
        <v>951700341</v>
      </c>
      <c r="N3599" s="114" t="s">
        <v>8103</v>
      </c>
    </row>
    <row r="3600" spans="1:14" ht="18">
      <c r="A3600" s="50" t="s">
        <v>3840</v>
      </c>
      <c r="B3600" s="1" t="s">
        <v>7110</v>
      </c>
      <c r="I3600" s="109"/>
      <c r="J3600" s="109"/>
      <c r="K3600" s="109"/>
      <c r="L3600" s="109" t="str">
        <f t="shared" si="56"/>
        <v>95-951400174</v>
      </c>
      <c r="M3600" s="114">
        <v>951400174</v>
      </c>
      <c r="N3600" s="114" t="s">
        <v>8104</v>
      </c>
    </row>
    <row r="3601" spans="1:14" ht="18">
      <c r="A3601" s="50" t="s">
        <v>3840</v>
      </c>
      <c r="B3601" s="1" t="s">
        <v>7110</v>
      </c>
      <c r="I3601" s="109"/>
      <c r="J3601" s="109"/>
      <c r="K3601" s="109"/>
      <c r="L3601" s="109" t="str">
        <f t="shared" si="56"/>
        <v>95-951400175</v>
      </c>
      <c r="M3601" s="114">
        <v>951400175</v>
      </c>
      <c r="N3601" s="114" t="s">
        <v>8105</v>
      </c>
    </row>
    <row r="3602" spans="1:14" ht="18">
      <c r="A3602" s="50" t="s">
        <v>3852</v>
      </c>
      <c r="B3602" s="1" t="s">
        <v>7110</v>
      </c>
      <c r="I3602" s="109"/>
      <c r="J3602" s="109"/>
      <c r="K3602" s="109"/>
      <c r="L3602" s="109" t="str">
        <f t="shared" si="56"/>
        <v>96-961700071</v>
      </c>
      <c r="M3602" s="114">
        <v>961700071</v>
      </c>
      <c r="N3602" s="114" t="s">
        <v>7147</v>
      </c>
    </row>
    <row r="3603" spans="1:14" ht="18">
      <c r="A3603" s="50" t="s">
        <v>3838</v>
      </c>
      <c r="B3603" s="1" t="s">
        <v>7110</v>
      </c>
      <c r="I3603" s="109"/>
      <c r="J3603" s="109"/>
      <c r="K3603" s="109"/>
      <c r="L3603" s="109" t="str">
        <f t="shared" si="56"/>
        <v>95-951800130</v>
      </c>
      <c r="M3603" s="114">
        <v>951800130</v>
      </c>
      <c r="N3603" s="114" t="s">
        <v>8093</v>
      </c>
    </row>
    <row r="3604" spans="1:14" ht="18">
      <c r="A3604" s="50" t="s">
        <v>3840</v>
      </c>
      <c r="B3604" s="1" t="s">
        <v>7110</v>
      </c>
      <c r="I3604" s="109"/>
      <c r="J3604" s="109"/>
      <c r="K3604" s="109"/>
      <c r="L3604" s="109" t="str">
        <f t="shared" si="56"/>
        <v>95-952500067</v>
      </c>
      <c r="M3604" s="114">
        <v>952500067</v>
      </c>
      <c r="N3604" s="114" t="s">
        <v>5709</v>
      </c>
    </row>
    <row r="3605" spans="1:14" ht="18">
      <c r="A3605" s="50" t="s">
        <v>3850</v>
      </c>
      <c r="B3605" s="1" t="s">
        <v>7110</v>
      </c>
      <c r="I3605" s="109"/>
      <c r="J3605" s="109"/>
      <c r="K3605" s="109"/>
      <c r="L3605" s="109" t="str">
        <f t="shared" si="56"/>
        <v>96-962500056</v>
      </c>
      <c r="M3605" s="114">
        <v>962500056</v>
      </c>
      <c r="N3605" s="114" t="s">
        <v>5798</v>
      </c>
    </row>
    <row r="3606" spans="1:14" ht="18">
      <c r="A3606" s="50" t="s">
        <v>3657</v>
      </c>
      <c r="B3606" s="1" t="s">
        <v>7110</v>
      </c>
      <c r="I3606" s="109"/>
      <c r="J3606" s="109"/>
      <c r="K3606" s="109"/>
      <c r="L3606" s="109" t="str">
        <f t="shared" si="56"/>
        <v>96-962500019</v>
      </c>
      <c r="M3606" s="114">
        <v>962500019</v>
      </c>
      <c r="N3606" s="114" t="s">
        <v>5792</v>
      </c>
    </row>
    <row r="3607" spans="1:14" ht="18">
      <c r="A3607" s="50" t="s">
        <v>3840</v>
      </c>
      <c r="B3607" s="1" t="s">
        <v>7110</v>
      </c>
      <c r="I3607" s="109"/>
      <c r="J3607" s="109"/>
      <c r="K3607" s="109"/>
      <c r="L3607" s="109" t="str">
        <f t="shared" si="56"/>
        <v>96-962500112</v>
      </c>
      <c r="M3607" s="114">
        <v>962500112</v>
      </c>
      <c r="N3607" s="114" t="s">
        <v>7211</v>
      </c>
    </row>
    <row r="3608" spans="1:14" ht="18">
      <c r="A3608" s="50" t="s">
        <v>3852</v>
      </c>
      <c r="B3608" s="1" t="s">
        <v>7110</v>
      </c>
      <c r="I3608" s="109"/>
      <c r="J3608" s="109"/>
      <c r="K3608" s="109"/>
      <c r="L3608" s="109" t="str">
        <f t="shared" si="56"/>
        <v>95-951900049</v>
      </c>
      <c r="M3608" s="114">
        <v>951900049</v>
      </c>
      <c r="N3608" s="114" t="s">
        <v>8109</v>
      </c>
    </row>
    <row r="3609" spans="1:14" ht="18">
      <c r="A3609" s="50" t="s">
        <v>3840</v>
      </c>
      <c r="B3609" s="1" t="s">
        <v>7110</v>
      </c>
      <c r="I3609" s="109"/>
      <c r="J3609" s="109"/>
      <c r="K3609" s="109"/>
      <c r="L3609" s="109" t="str">
        <f t="shared" si="56"/>
        <v>95-951600017</v>
      </c>
      <c r="M3609" s="114">
        <v>951600017</v>
      </c>
      <c r="N3609" s="114" t="s">
        <v>8110</v>
      </c>
    </row>
    <row r="3610" spans="1:14" ht="18">
      <c r="A3610" s="50" t="s">
        <v>3852</v>
      </c>
      <c r="B3610" s="1" t="s">
        <v>7110</v>
      </c>
      <c r="I3610" s="109"/>
      <c r="J3610" s="109"/>
      <c r="K3610" s="109"/>
      <c r="L3610" s="109" t="str">
        <f t="shared" si="56"/>
        <v>95-951800072</v>
      </c>
      <c r="M3610" s="114">
        <v>951800072</v>
      </c>
      <c r="N3610" s="114" t="s">
        <v>8111</v>
      </c>
    </row>
    <row r="3611" spans="1:14" ht="18">
      <c r="A3611" s="50" t="s">
        <v>3852</v>
      </c>
      <c r="B3611" s="1" t="s">
        <v>7110</v>
      </c>
      <c r="I3611" s="109"/>
      <c r="J3611" s="109"/>
      <c r="K3611" s="109"/>
      <c r="L3611" s="109" t="str">
        <f t="shared" si="56"/>
        <v>95-951800091</v>
      </c>
      <c r="M3611" s="114">
        <v>951800091</v>
      </c>
      <c r="N3611" s="114" t="s">
        <v>8111</v>
      </c>
    </row>
    <row r="3612" spans="1:14" ht="18">
      <c r="A3612" s="50" t="s">
        <v>3838</v>
      </c>
      <c r="B3612" s="1" t="s">
        <v>7110</v>
      </c>
      <c r="I3612" s="109"/>
      <c r="J3612" s="109"/>
      <c r="K3612" s="109"/>
      <c r="L3612" s="109" t="str">
        <f t="shared" si="56"/>
        <v>95-951900057</v>
      </c>
      <c r="M3612" s="114">
        <v>951900057</v>
      </c>
      <c r="N3612" s="114" t="s">
        <v>8112</v>
      </c>
    </row>
    <row r="3613" spans="1:14" ht="18">
      <c r="A3613" s="50" t="s">
        <v>3646</v>
      </c>
      <c r="B3613" s="1" t="s">
        <v>7110</v>
      </c>
      <c r="I3613" s="109"/>
      <c r="J3613" s="109"/>
      <c r="K3613" s="109"/>
      <c r="L3613" s="109" t="str">
        <f t="shared" si="56"/>
        <v>95-951800050</v>
      </c>
      <c r="M3613" s="114">
        <v>951800050</v>
      </c>
      <c r="N3613" s="114" t="s">
        <v>7577</v>
      </c>
    </row>
    <row r="3614" spans="1:14" ht="18">
      <c r="A3614" s="50" t="s">
        <v>3840</v>
      </c>
      <c r="B3614" s="1" t="s">
        <v>7110</v>
      </c>
      <c r="I3614" s="109"/>
      <c r="J3614" s="109"/>
      <c r="K3614" s="109"/>
      <c r="L3614" s="109" t="str">
        <f t="shared" si="56"/>
        <v>95-954200016</v>
      </c>
      <c r="M3614" s="114">
        <v>954200016</v>
      </c>
      <c r="N3614" s="114" t="s">
        <v>5630</v>
      </c>
    </row>
    <row r="3615" spans="1:14" ht="18">
      <c r="A3615" s="50" t="s">
        <v>3840</v>
      </c>
      <c r="B3615" s="1" t="s">
        <v>7110</v>
      </c>
      <c r="I3615" s="109"/>
      <c r="J3615" s="109"/>
      <c r="K3615" s="109"/>
      <c r="L3615" s="109" t="str">
        <f t="shared" si="56"/>
        <v>95-954200021</v>
      </c>
      <c r="M3615" s="114">
        <v>954200021</v>
      </c>
      <c r="N3615" s="114" t="s">
        <v>5630</v>
      </c>
    </row>
    <row r="3616" spans="1:14" ht="18">
      <c r="A3616" s="50" t="s">
        <v>3840</v>
      </c>
      <c r="B3616" s="1" t="s">
        <v>7110</v>
      </c>
      <c r="I3616" s="109"/>
      <c r="J3616" s="109"/>
      <c r="K3616" s="109"/>
      <c r="L3616" s="109" t="str">
        <f t="shared" si="56"/>
        <v>95-951700299</v>
      </c>
      <c r="M3616" s="114">
        <v>951700299</v>
      </c>
      <c r="N3616" s="114" t="s">
        <v>7750</v>
      </c>
    </row>
    <row r="3617" spans="1:14" ht="18">
      <c r="A3617" s="50" t="s">
        <v>3853</v>
      </c>
      <c r="B3617" s="1" t="s">
        <v>7110</v>
      </c>
      <c r="I3617" s="109"/>
      <c r="J3617" s="109"/>
      <c r="K3617" s="109"/>
      <c r="L3617" s="109" t="str">
        <f t="shared" si="56"/>
        <v>95-951400140</v>
      </c>
      <c r="M3617" s="114">
        <v>951400140</v>
      </c>
      <c r="N3617" s="114" t="s">
        <v>7750</v>
      </c>
    </row>
    <row r="3618" spans="1:14" ht="18">
      <c r="A3618" s="50" t="s">
        <v>3853</v>
      </c>
      <c r="B3618" s="1" t="s">
        <v>7110</v>
      </c>
      <c r="I3618" s="109"/>
      <c r="J3618" s="109"/>
      <c r="K3618" s="109"/>
      <c r="L3618" s="109" t="str">
        <f t="shared" si="56"/>
        <v>95-951800056</v>
      </c>
      <c r="M3618" s="114">
        <v>951800056</v>
      </c>
      <c r="N3618" s="114" t="s">
        <v>8397</v>
      </c>
    </row>
    <row r="3619" spans="1:14" ht="18">
      <c r="A3619" s="50" t="s">
        <v>3891</v>
      </c>
      <c r="B3619" s="1" t="s">
        <v>7110</v>
      </c>
      <c r="I3619" s="109"/>
      <c r="J3619" s="109"/>
      <c r="K3619" s="109"/>
      <c r="L3619" s="109" t="str">
        <f t="shared" si="56"/>
        <v>95-954200047</v>
      </c>
      <c r="M3619" s="114">
        <v>954200047</v>
      </c>
      <c r="N3619" s="114" t="s">
        <v>5733</v>
      </c>
    </row>
    <row r="3620" spans="1:14" ht="18">
      <c r="A3620" s="50" t="s">
        <v>3894</v>
      </c>
      <c r="B3620" s="1" t="s">
        <v>7110</v>
      </c>
      <c r="I3620" s="109"/>
      <c r="J3620" s="109"/>
      <c r="K3620" s="109"/>
      <c r="L3620" s="109" t="str">
        <f t="shared" si="56"/>
        <v>95-954200044</v>
      </c>
      <c r="M3620" s="114">
        <v>954200044</v>
      </c>
      <c r="N3620" s="114" t="s">
        <v>5734</v>
      </c>
    </row>
    <row r="3621" spans="1:14" ht="18">
      <c r="A3621" s="50" t="s">
        <v>3895</v>
      </c>
      <c r="B3621" s="1" t="s">
        <v>7110</v>
      </c>
      <c r="I3621" s="109"/>
      <c r="J3621" s="109"/>
      <c r="K3621" s="109"/>
      <c r="L3621" s="109" t="str">
        <f t="shared" si="56"/>
        <v>95-954200045</v>
      </c>
      <c r="M3621" s="114">
        <v>954200045</v>
      </c>
      <c r="N3621" s="114" t="s">
        <v>5735</v>
      </c>
    </row>
    <row r="3622" spans="1:14" ht="18">
      <c r="A3622" s="50" t="s">
        <v>3898</v>
      </c>
      <c r="B3622" s="1" t="s">
        <v>7110</v>
      </c>
      <c r="I3622" s="109"/>
      <c r="J3622" s="109"/>
      <c r="K3622" s="109"/>
      <c r="L3622" s="109" t="str">
        <f t="shared" si="56"/>
        <v>96-964200007</v>
      </c>
      <c r="M3622" s="114">
        <v>964200007</v>
      </c>
      <c r="N3622" s="114" t="s">
        <v>5798</v>
      </c>
    </row>
    <row r="3623" spans="1:14" ht="18">
      <c r="A3623" s="50" t="s">
        <v>3899</v>
      </c>
      <c r="B3623" s="1" t="s">
        <v>7110</v>
      </c>
      <c r="I3623" s="109"/>
      <c r="J3623" s="109"/>
      <c r="K3623" s="109"/>
      <c r="L3623" s="109" t="str">
        <f t="shared" si="56"/>
        <v>95-956000005</v>
      </c>
      <c r="M3623" s="114">
        <v>956000005</v>
      </c>
      <c r="N3623" s="114" t="s">
        <v>7146</v>
      </c>
    </row>
    <row r="3624" spans="1:14" ht="18">
      <c r="A3624" s="50" t="s">
        <v>3941</v>
      </c>
      <c r="B3624" s="1" t="s">
        <v>7110</v>
      </c>
      <c r="I3624" s="109"/>
      <c r="J3624" s="109"/>
      <c r="K3624" s="109"/>
      <c r="L3624" s="109" t="str">
        <f t="shared" si="56"/>
        <v>95-959000008</v>
      </c>
      <c r="M3624" s="114">
        <v>959000008</v>
      </c>
      <c r="N3624" s="114" t="s">
        <v>5763</v>
      </c>
    </row>
    <row r="3625" spans="1:14" ht="18">
      <c r="A3625" s="50" t="s">
        <v>3947</v>
      </c>
      <c r="B3625" s="1" t="s">
        <v>7110</v>
      </c>
      <c r="I3625" s="109"/>
      <c r="J3625" s="109"/>
      <c r="K3625" s="109"/>
      <c r="L3625" s="109" t="str">
        <f t="shared" si="56"/>
        <v>95-951000004</v>
      </c>
      <c r="M3625" s="114">
        <v>951000004</v>
      </c>
      <c r="N3625" s="114" t="s">
        <v>7580</v>
      </c>
    </row>
    <row r="3626" spans="1:14" ht="18">
      <c r="A3626" s="50" t="s">
        <v>4189</v>
      </c>
      <c r="B3626" s="1" t="s">
        <v>7110</v>
      </c>
      <c r="I3626" s="109"/>
      <c r="J3626" s="109"/>
      <c r="K3626" s="109"/>
      <c r="L3626" s="109" t="str">
        <f t="shared" si="56"/>
        <v>95-956100019</v>
      </c>
      <c r="M3626" s="114">
        <v>956100019</v>
      </c>
      <c r="N3626" s="114" t="s">
        <v>7488</v>
      </c>
    </row>
    <row r="3627" spans="1:14" ht="18">
      <c r="A3627" s="50" t="s">
        <v>4196</v>
      </c>
      <c r="B3627" s="1" t="s">
        <v>7110</v>
      </c>
      <c r="I3627" s="109"/>
      <c r="J3627" s="109"/>
      <c r="K3627" s="109"/>
      <c r="L3627" s="109" t="str">
        <f t="shared" si="56"/>
        <v>95-951900006</v>
      </c>
      <c r="M3627" s="114">
        <v>951900006</v>
      </c>
      <c r="N3627" s="114" t="s">
        <v>8113</v>
      </c>
    </row>
    <row r="3628" spans="1:14" ht="18">
      <c r="A3628" s="50" t="s">
        <v>4189</v>
      </c>
      <c r="B3628" s="1" t="s">
        <v>7110</v>
      </c>
      <c r="I3628" s="109"/>
      <c r="J3628" s="109"/>
      <c r="K3628" s="109"/>
      <c r="L3628" s="109" t="str">
        <f t="shared" si="56"/>
        <v>96-961700105</v>
      </c>
      <c r="M3628" s="114">
        <v>961700105</v>
      </c>
      <c r="N3628" s="114" t="s">
        <v>7191</v>
      </c>
    </row>
    <row r="3629" spans="1:14" ht="18">
      <c r="A3629" s="50" t="s">
        <v>4204</v>
      </c>
      <c r="B3629" s="1" t="s">
        <v>7110</v>
      </c>
      <c r="I3629" s="109"/>
      <c r="J3629" s="109"/>
      <c r="K3629" s="109"/>
      <c r="L3629" s="109" t="str">
        <f t="shared" si="56"/>
        <v>95-951600075</v>
      </c>
      <c r="M3629" s="114">
        <v>951600075</v>
      </c>
      <c r="N3629" s="114" t="s">
        <v>7587</v>
      </c>
    </row>
    <row r="3630" spans="1:14" ht="18">
      <c r="A3630" s="50" t="s">
        <v>4229</v>
      </c>
      <c r="B3630" s="1" t="s">
        <v>7110</v>
      </c>
      <c r="I3630" s="109"/>
      <c r="J3630" s="109"/>
      <c r="K3630" s="109"/>
      <c r="L3630" s="109" t="str">
        <f t="shared" si="56"/>
        <v>96-961900140</v>
      </c>
      <c r="M3630" s="114">
        <v>961900140</v>
      </c>
      <c r="N3630" s="114" t="s">
        <v>8398</v>
      </c>
    </row>
    <row r="3631" spans="1:14" ht="18">
      <c r="A3631" s="50" t="s">
        <v>4204</v>
      </c>
      <c r="B3631" s="1" t="s">
        <v>7110</v>
      </c>
      <c r="I3631" s="109"/>
      <c r="J3631" s="109"/>
      <c r="K3631" s="109"/>
      <c r="L3631" s="109" t="str">
        <f t="shared" si="56"/>
        <v>95-951900076</v>
      </c>
      <c r="M3631" s="114">
        <v>951900076</v>
      </c>
      <c r="N3631" s="114" t="s">
        <v>7837</v>
      </c>
    </row>
    <row r="3632" spans="1:14" ht="18">
      <c r="A3632" s="50" t="s">
        <v>4230</v>
      </c>
      <c r="B3632" s="1" t="s">
        <v>7110</v>
      </c>
      <c r="I3632" s="109"/>
      <c r="J3632" s="109"/>
      <c r="K3632" s="109"/>
      <c r="L3632" s="109" t="str">
        <f t="shared" si="56"/>
        <v>96-961700073</v>
      </c>
      <c r="M3632" s="114">
        <v>961700073</v>
      </c>
      <c r="N3632" s="114" t="s">
        <v>8399</v>
      </c>
    </row>
    <row r="3633" spans="1:14" ht="18">
      <c r="A3633" s="50" t="s">
        <v>4189</v>
      </c>
      <c r="B3633" s="1" t="s">
        <v>7110</v>
      </c>
      <c r="I3633" s="109"/>
      <c r="J3633" s="109"/>
      <c r="K3633" s="109"/>
      <c r="L3633" s="109" t="str">
        <f t="shared" si="56"/>
        <v>95-951900190</v>
      </c>
      <c r="M3633" s="114">
        <v>951900190</v>
      </c>
      <c r="N3633" s="114" t="s">
        <v>7634</v>
      </c>
    </row>
    <row r="3634" spans="1:14" ht="18">
      <c r="A3634" s="50" t="s">
        <v>4234</v>
      </c>
      <c r="B3634" s="1" t="s">
        <v>7110</v>
      </c>
      <c r="I3634" s="109"/>
      <c r="J3634" s="109"/>
      <c r="K3634" s="109"/>
      <c r="L3634" s="109" t="str">
        <f t="shared" si="56"/>
        <v>95-951800131</v>
      </c>
      <c r="M3634" s="114">
        <v>951800131</v>
      </c>
      <c r="N3634" s="114" t="s">
        <v>7552</v>
      </c>
    </row>
    <row r="3635" spans="1:14" ht="18">
      <c r="A3635" s="50" t="s">
        <v>4245</v>
      </c>
      <c r="B3635" s="1" t="s">
        <v>7110</v>
      </c>
      <c r="I3635" s="109"/>
      <c r="J3635" s="109"/>
      <c r="K3635" s="109"/>
      <c r="L3635" s="109" t="str">
        <f t="shared" si="56"/>
        <v>96-961800042</v>
      </c>
      <c r="M3635" s="114">
        <v>961800042</v>
      </c>
      <c r="N3635" s="114" t="s">
        <v>7635</v>
      </c>
    </row>
    <row r="3636" spans="1:14" ht="18">
      <c r="A3636" s="50" t="s">
        <v>4249</v>
      </c>
      <c r="B3636" s="1" t="s">
        <v>7110</v>
      </c>
      <c r="I3636" s="109"/>
      <c r="J3636" s="109"/>
      <c r="K3636" s="109"/>
      <c r="L3636" s="109" t="str">
        <f t="shared" si="56"/>
        <v>96-961800020</v>
      </c>
      <c r="M3636" s="114">
        <v>961800020</v>
      </c>
      <c r="N3636" s="114" t="s">
        <v>7636</v>
      </c>
    </row>
    <row r="3637" spans="1:14" ht="18">
      <c r="A3637" s="50" t="s">
        <v>4252</v>
      </c>
      <c r="B3637" s="1" t="s">
        <v>7110</v>
      </c>
      <c r="I3637" s="109"/>
      <c r="J3637" s="109"/>
      <c r="K3637" s="109"/>
      <c r="L3637" s="109" t="str">
        <f t="shared" si="56"/>
        <v>96-961100017</v>
      </c>
      <c r="M3637" s="114">
        <v>961100017</v>
      </c>
      <c r="N3637" s="114" t="s">
        <v>7637</v>
      </c>
    </row>
    <row r="3638" spans="1:14" ht="18">
      <c r="A3638" s="50" t="s">
        <v>4189</v>
      </c>
      <c r="B3638" s="1" t="s">
        <v>7110</v>
      </c>
      <c r="I3638" s="109"/>
      <c r="J3638" s="109"/>
      <c r="K3638" s="109"/>
      <c r="L3638" s="109" t="str">
        <f t="shared" si="56"/>
        <v>96-961900080</v>
      </c>
      <c r="M3638" s="114">
        <v>961900080</v>
      </c>
      <c r="N3638" s="114" t="s">
        <v>7638</v>
      </c>
    </row>
    <row r="3639" spans="1:14" ht="18">
      <c r="A3639" s="50" t="s">
        <v>4253</v>
      </c>
      <c r="B3639" s="1" t="s">
        <v>7110</v>
      </c>
      <c r="I3639" s="109"/>
      <c r="J3639" s="109"/>
      <c r="K3639" s="109"/>
      <c r="L3639" s="109" t="str">
        <f t="shared" si="56"/>
        <v>95-951700055</v>
      </c>
      <c r="M3639" s="114">
        <v>951700055</v>
      </c>
      <c r="N3639" s="114" t="s">
        <v>7566</v>
      </c>
    </row>
    <row r="3640" spans="1:14" ht="18">
      <c r="A3640" s="50" t="s">
        <v>3730</v>
      </c>
      <c r="B3640" s="1" t="s">
        <v>7110</v>
      </c>
      <c r="I3640" s="109"/>
      <c r="J3640" s="109"/>
      <c r="K3640" s="109"/>
      <c r="L3640" s="109" t="str">
        <f t="shared" si="56"/>
        <v>95-951700302</v>
      </c>
      <c r="M3640" s="114">
        <v>951700302</v>
      </c>
      <c r="N3640" s="114" t="s">
        <v>7161</v>
      </c>
    </row>
    <row r="3641" spans="1:14" ht="18">
      <c r="A3641" s="50" t="s">
        <v>4258</v>
      </c>
      <c r="B3641" s="1" t="s">
        <v>7110</v>
      </c>
      <c r="I3641" s="109"/>
      <c r="J3641" s="109"/>
      <c r="K3641" s="109"/>
      <c r="L3641" s="109" t="str">
        <f t="shared" si="56"/>
        <v>96-961700138</v>
      </c>
      <c r="M3641" s="114">
        <v>961700138</v>
      </c>
      <c r="N3641" s="114" t="s">
        <v>8733</v>
      </c>
    </row>
    <row r="3642" spans="1:14" ht="18">
      <c r="A3642" s="50" t="s">
        <v>4204</v>
      </c>
      <c r="B3642" s="1" t="s">
        <v>7110</v>
      </c>
      <c r="I3642" s="109"/>
      <c r="J3642" s="109"/>
      <c r="K3642" s="109"/>
      <c r="L3642" s="109" t="str">
        <f t="shared" si="56"/>
        <v>95-956100011</v>
      </c>
      <c r="M3642" s="114">
        <v>956100011</v>
      </c>
      <c r="N3642" s="114" t="s">
        <v>8114</v>
      </c>
    </row>
    <row r="3643" spans="1:14" ht="18">
      <c r="A3643" s="50" t="s">
        <v>4263</v>
      </c>
      <c r="B3643" s="1" t="s">
        <v>7110</v>
      </c>
      <c r="I3643" s="109"/>
      <c r="J3643" s="109"/>
      <c r="K3643" s="109"/>
      <c r="L3643" s="109" t="str">
        <f t="shared" si="56"/>
        <v>95-951900073</v>
      </c>
      <c r="M3643" s="114">
        <v>951900073</v>
      </c>
      <c r="N3643" s="114" t="s">
        <v>8406</v>
      </c>
    </row>
    <row r="3644" spans="1:14" ht="18">
      <c r="A3644" s="50" t="s">
        <v>4245</v>
      </c>
      <c r="B3644" s="1" t="s">
        <v>7110</v>
      </c>
      <c r="I3644" s="109"/>
      <c r="J3644" s="109"/>
      <c r="K3644" s="109"/>
      <c r="L3644" s="109" t="str">
        <f t="shared" si="56"/>
        <v>96-961800050</v>
      </c>
      <c r="M3644" s="114">
        <v>961800050</v>
      </c>
      <c r="N3644" s="114" t="s">
        <v>8407</v>
      </c>
    </row>
    <row r="3645" spans="1:14" ht="18">
      <c r="A3645" s="50" t="s">
        <v>4264</v>
      </c>
      <c r="B3645" s="1" t="s">
        <v>7110</v>
      </c>
      <c r="I3645" s="109"/>
      <c r="J3645" s="109"/>
      <c r="K3645" s="109"/>
      <c r="L3645" s="109" t="str">
        <f t="shared" si="56"/>
        <v>95-951400176</v>
      </c>
      <c r="M3645" s="114">
        <v>951400176</v>
      </c>
      <c r="N3645" s="114" t="s">
        <v>8229</v>
      </c>
    </row>
    <row r="3646" spans="1:14" ht="18">
      <c r="A3646" s="50" t="s">
        <v>4264</v>
      </c>
      <c r="B3646" s="1" t="s">
        <v>7110</v>
      </c>
      <c r="I3646" s="109"/>
      <c r="J3646" s="109"/>
      <c r="K3646" s="109"/>
      <c r="L3646" s="109" t="str">
        <f t="shared" si="56"/>
        <v>95-951700166</v>
      </c>
      <c r="M3646" s="114">
        <v>951700166</v>
      </c>
      <c r="N3646" s="114" t="s">
        <v>7722</v>
      </c>
    </row>
    <row r="3647" spans="1:14" ht="18">
      <c r="A3647" s="50" t="s">
        <v>3980</v>
      </c>
      <c r="B3647" s="1" t="s">
        <v>7110</v>
      </c>
      <c r="I3647" s="109"/>
      <c r="J3647" s="109"/>
      <c r="K3647" s="109"/>
      <c r="L3647" s="109" t="str">
        <f t="shared" si="56"/>
        <v>95-951700323</v>
      </c>
      <c r="M3647" s="114">
        <v>951700323</v>
      </c>
      <c r="N3647" s="114" t="s">
        <v>7481</v>
      </c>
    </row>
    <row r="3648" spans="1:14" ht="18">
      <c r="A3648" s="50" t="s">
        <v>3976</v>
      </c>
      <c r="B3648" s="1" t="s">
        <v>7110</v>
      </c>
      <c r="I3648" s="109"/>
      <c r="J3648" s="109"/>
      <c r="K3648" s="109"/>
      <c r="L3648" s="109" t="str">
        <f t="shared" si="56"/>
        <v>95-951400146</v>
      </c>
      <c r="M3648" s="114">
        <v>951400146</v>
      </c>
      <c r="N3648" s="114" t="s">
        <v>7567</v>
      </c>
    </row>
    <row r="3649" spans="1:14" ht="18">
      <c r="A3649" s="50" t="s">
        <v>3978</v>
      </c>
      <c r="B3649" s="1" t="s">
        <v>7110</v>
      </c>
      <c r="I3649" s="109"/>
      <c r="J3649" s="109"/>
      <c r="K3649" s="109"/>
      <c r="L3649" s="109" t="str">
        <f t="shared" si="56"/>
        <v>95-951400069</v>
      </c>
      <c r="M3649" s="114">
        <v>951400069</v>
      </c>
      <c r="N3649" s="114" t="s">
        <v>7648</v>
      </c>
    </row>
    <row r="3650" spans="1:14" ht="18">
      <c r="A3650" s="50" t="s">
        <v>3978</v>
      </c>
      <c r="B3650" s="1" t="s">
        <v>7110</v>
      </c>
      <c r="I3650" s="109"/>
      <c r="J3650" s="109"/>
      <c r="K3650" s="109"/>
      <c r="L3650" s="109" t="str">
        <f t="shared" si="56"/>
        <v>95-951700279</v>
      </c>
      <c r="M3650" s="114">
        <v>951700279</v>
      </c>
      <c r="N3650" s="114" t="s">
        <v>7573</v>
      </c>
    </row>
    <row r="3651" spans="1:14" ht="18">
      <c r="A3651" s="50" t="s">
        <v>4278</v>
      </c>
      <c r="B3651" s="1" t="s">
        <v>7110</v>
      </c>
      <c r="I3651" s="109"/>
      <c r="J3651" s="109"/>
      <c r="K3651" s="109"/>
      <c r="L3651" s="109" t="str">
        <f t="shared" ref="L3651:L3714" si="57">MID(M3651,1,2)&amp;"-"&amp;M3651</f>
        <v>95-951800053</v>
      </c>
      <c r="M3651" s="114">
        <v>951800053</v>
      </c>
      <c r="N3651" s="114" t="s">
        <v>7649</v>
      </c>
    </row>
    <row r="3652" spans="1:14" ht="18">
      <c r="A3652" s="50" t="s">
        <v>4279</v>
      </c>
      <c r="B3652" s="1" t="s">
        <v>7110</v>
      </c>
      <c r="I3652" s="109"/>
      <c r="J3652" s="109"/>
      <c r="K3652" s="109"/>
      <c r="L3652" s="109" t="str">
        <f t="shared" si="57"/>
        <v>96-961900166</v>
      </c>
      <c r="M3652" s="114">
        <v>961900166</v>
      </c>
      <c r="N3652" s="114" t="s">
        <v>8117</v>
      </c>
    </row>
    <row r="3653" spans="1:14" ht="18">
      <c r="A3653" s="50" t="s">
        <v>3980</v>
      </c>
      <c r="B3653" s="1" t="s">
        <v>7110</v>
      </c>
      <c r="I3653" s="109"/>
      <c r="J3653" s="109"/>
      <c r="K3653" s="109"/>
      <c r="L3653" s="109" t="str">
        <f t="shared" si="57"/>
        <v>95-951900237</v>
      </c>
      <c r="M3653" s="114">
        <v>951900237</v>
      </c>
      <c r="N3653" s="114" t="s">
        <v>7695</v>
      </c>
    </row>
    <row r="3654" spans="1:14" ht="18">
      <c r="A3654" s="50" t="s">
        <v>4287</v>
      </c>
      <c r="B3654" s="1" t="s">
        <v>7110</v>
      </c>
      <c r="I3654" s="109"/>
      <c r="J3654" s="109"/>
      <c r="K3654" s="109"/>
      <c r="L3654" s="109" t="str">
        <f t="shared" si="57"/>
        <v>96-961900124</v>
      </c>
      <c r="M3654" s="114">
        <v>961900124</v>
      </c>
      <c r="N3654" s="114" t="s">
        <v>8244</v>
      </c>
    </row>
    <row r="3655" spans="1:14" ht="18">
      <c r="A3655" s="50" t="s">
        <v>3977</v>
      </c>
      <c r="B3655" s="1" t="s">
        <v>7110</v>
      </c>
      <c r="I3655" s="109"/>
      <c r="J3655" s="109"/>
      <c r="K3655" s="109"/>
      <c r="L3655" s="109" t="str">
        <f t="shared" si="57"/>
        <v>95-951900177</v>
      </c>
      <c r="M3655" s="114">
        <v>951900177</v>
      </c>
      <c r="N3655" s="114" t="s">
        <v>8408</v>
      </c>
    </row>
    <row r="3656" spans="1:14" ht="18">
      <c r="A3656" s="50" t="s">
        <v>3980</v>
      </c>
      <c r="B3656" s="1" t="s">
        <v>7110</v>
      </c>
      <c r="I3656" s="109"/>
      <c r="J3656" s="109"/>
      <c r="K3656" s="109"/>
      <c r="L3656" s="109" t="str">
        <f t="shared" si="57"/>
        <v>95-951900175</v>
      </c>
      <c r="M3656" s="114">
        <v>951900175</v>
      </c>
      <c r="N3656" s="114" t="s">
        <v>8295</v>
      </c>
    </row>
    <row r="3657" spans="1:14" ht="18">
      <c r="A3657" s="50" t="s">
        <v>3976</v>
      </c>
      <c r="B3657" s="1" t="s">
        <v>7110</v>
      </c>
      <c r="I3657" s="109"/>
      <c r="J3657" s="109"/>
      <c r="K3657" s="109"/>
      <c r="L3657" s="109" t="str">
        <f t="shared" si="57"/>
        <v>95-951700042</v>
      </c>
      <c r="M3657" s="114">
        <v>951700042</v>
      </c>
      <c r="N3657" s="114" t="s">
        <v>7739</v>
      </c>
    </row>
    <row r="3658" spans="1:14" ht="18">
      <c r="A3658" s="50" t="s">
        <v>3977</v>
      </c>
      <c r="B3658" s="1" t="s">
        <v>7110</v>
      </c>
      <c r="I3658" s="109"/>
      <c r="J3658" s="109"/>
      <c r="K3658" s="109"/>
      <c r="L3658" s="109" t="str">
        <f t="shared" si="57"/>
        <v>95-951900163</v>
      </c>
      <c r="M3658" s="114">
        <v>951900163</v>
      </c>
      <c r="N3658" s="114" t="s">
        <v>7194</v>
      </c>
    </row>
    <row r="3659" spans="1:14" ht="18">
      <c r="A3659" s="50" t="s">
        <v>3978</v>
      </c>
      <c r="B3659" s="1" t="s">
        <v>7110</v>
      </c>
      <c r="I3659" s="109"/>
      <c r="J3659" s="109"/>
      <c r="K3659" s="109"/>
      <c r="L3659" s="109" t="str">
        <f t="shared" si="57"/>
        <v>95-951900107</v>
      </c>
      <c r="M3659" s="114">
        <v>951900107</v>
      </c>
      <c r="N3659" s="114" t="s">
        <v>8409</v>
      </c>
    </row>
    <row r="3660" spans="1:14" ht="18">
      <c r="A3660" s="50" t="s">
        <v>4278</v>
      </c>
      <c r="B3660" s="1" t="s">
        <v>7110</v>
      </c>
      <c r="I3660" s="109"/>
      <c r="J3660" s="109"/>
      <c r="K3660" s="109"/>
      <c r="L3660" s="109" t="str">
        <f t="shared" si="57"/>
        <v>96-961900156</v>
      </c>
      <c r="M3660" s="114">
        <v>961900156</v>
      </c>
      <c r="N3660" s="114" t="s">
        <v>8410</v>
      </c>
    </row>
    <row r="3661" spans="1:14" ht="18">
      <c r="A3661" s="50" t="s">
        <v>4278</v>
      </c>
      <c r="B3661" s="1" t="s">
        <v>7110</v>
      </c>
      <c r="I3661" s="109"/>
      <c r="J3661" s="109"/>
      <c r="K3661" s="109"/>
      <c r="L3661" s="109" t="str">
        <f t="shared" si="57"/>
        <v>95-951700267</v>
      </c>
      <c r="M3661" s="114">
        <v>951700267</v>
      </c>
      <c r="N3661" s="114" t="s">
        <v>7722</v>
      </c>
    </row>
    <row r="3662" spans="1:14" ht="18">
      <c r="A3662" s="50" t="s">
        <v>3978</v>
      </c>
      <c r="B3662" s="1" t="s">
        <v>7110</v>
      </c>
      <c r="I3662" s="109"/>
      <c r="J3662" s="109"/>
      <c r="K3662" s="109"/>
      <c r="L3662" s="109" t="str">
        <f t="shared" si="57"/>
        <v>95-952200004</v>
      </c>
      <c r="M3662" s="114">
        <v>952200004</v>
      </c>
      <c r="N3662" s="114" t="s">
        <v>7227</v>
      </c>
    </row>
    <row r="3663" spans="1:14" ht="18">
      <c r="A3663" s="50" t="s">
        <v>3977</v>
      </c>
      <c r="B3663" s="1" t="s">
        <v>7110</v>
      </c>
      <c r="I3663" s="109"/>
      <c r="J3663" s="109"/>
      <c r="K3663" s="109"/>
      <c r="L3663" s="109" t="str">
        <f t="shared" si="57"/>
        <v>95-952200015</v>
      </c>
      <c r="M3663" s="114">
        <v>952200015</v>
      </c>
      <c r="N3663" s="114" t="s">
        <v>7172</v>
      </c>
    </row>
    <row r="3664" spans="1:14" ht="18">
      <c r="A3664" s="50" t="s">
        <v>4287</v>
      </c>
      <c r="B3664" s="1" t="s">
        <v>7110</v>
      </c>
      <c r="I3664" s="109"/>
      <c r="J3664" s="109"/>
      <c r="K3664" s="109"/>
      <c r="L3664" s="109" t="str">
        <f t="shared" si="57"/>
        <v>95-952200046</v>
      </c>
      <c r="M3664" s="114">
        <v>952200046</v>
      </c>
      <c r="N3664" s="114" t="s">
        <v>7174</v>
      </c>
    </row>
    <row r="3665" spans="1:14" ht="18">
      <c r="A3665" s="50" t="s">
        <v>4287</v>
      </c>
      <c r="B3665" s="1" t="s">
        <v>7110</v>
      </c>
      <c r="I3665" s="109"/>
      <c r="J3665" s="109"/>
      <c r="K3665" s="109"/>
      <c r="L3665" s="109" t="str">
        <f t="shared" si="57"/>
        <v>95-952200049</v>
      </c>
      <c r="M3665" s="114">
        <v>952200049</v>
      </c>
      <c r="N3665" s="114" t="s">
        <v>7561</v>
      </c>
    </row>
    <row r="3666" spans="1:14" ht="18">
      <c r="A3666" s="50" t="s">
        <v>4279</v>
      </c>
      <c r="B3666" s="1" t="s">
        <v>7110</v>
      </c>
      <c r="I3666" s="109"/>
      <c r="J3666" s="109"/>
      <c r="K3666" s="109"/>
      <c r="L3666" s="109" t="str">
        <f t="shared" si="57"/>
        <v>96-961800030</v>
      </c>
      <c r="M3666" s="114">
        <v>961800030</v>
      </c>
      <c r="N3666" s="114" t="s">
        <v>7656</v>
      </c>
    </row>
    <row r="3667" spans="1:14" ht="18">
      <c r="A3667" s="50" t="s">
        <v>3979</v>
      </c>
      <c r="B3667" s="1" t="s">
        <v>7110</v>
      </c>
      <c r="I3667" s="109"/>
      <c r="J3667" s="109"/>
      <c r="K3667" s="109"/>
      <c r="L3667" s="109" t="str">
        <f t="shared" si="57"/>
        <v>95-951900201</v>
      </c>
      <c r="M3667" s="114">
        <v>951900201</v>
      </c>
      <c r="N3667" s="114" t="s">
        <v>7666</v>
      </c>
    </row>
    <row r="3668" spans="1:14" ht="18">
      <c r="A3668" s="50" t="s">
        <v>3979</v>
      </c>
      <c r="B3668" s="1" t="s">
        <v>7110</v>
      </c>
      <c r="I3668" s="109"/>
      <c r="J3668" s="109"/>
      <c r="K3668" s="109"/>
      <c r="L3668" s="109" t="str">
        <f t="shared" si="57"/>
        <v>95-951800084</v>
      </c>
      <c r="M3668" s="114">
        <v>951800084</v>
      </c>
      <c r="N3668" s="114" t="s">
        <v>7609</v>
      </c>
    </row>
    <row r="3669" spans="1:14" ht="18">
      <c r="A3669" s="50" t="s">
        <v>3980</v>
      </c>
      <c r="B3669" s="1" t="s">
        <v>7110</v>
      </c>
      <c r="I3669" s="109"/>
      <c r="J3669" s="109"/>
      <c r="K3669" s="109"/>
      <c r="L3669" s="109" t="str">
        <f t="shared" si="57"/>
        <v>95-951400067</v>
      </c>
      <c r="M3669" s="114">
        <v>951400067</v>
      </c>
      <c r="N3669" s="114" t="s">
        <v>8411</v>
      </c>
    </row>
    <row r="3670" spans="1:14" ht="18">
      <c r="A3670" s="50" t="s">
        <v>3980</v>
      </c>
      <c r="B3670" s="1" t="s">
        <v>7110</v>
      </c>
      <c r="I3670" s="109"/>
      <c r="J3670" s="109"/>
      <c r="K3670" s="109"/>
      <c r="L3670" s="109" t="str">
        <f t="shared" si="57"/>
        <v>95-951900161</v>
      </c>
      <c r="M3670" s="114">
        <v>951900161</v>
      </c>
      <c r="N3670" s="114" t="s">
        <v>7165</v>
      </c>
    </row>
    <row r="3671" spans="1:14" ht="18">
      <c r="A3671" s="50" t="s">
        <v>3977</v>
      </c>
      <c r="B3671" s="1" t="s">
        <v>7110</v>
      </c>
      <c r="I3671" s="109"/>
      <c r="J3671" s="109"/>
      <c r="K3671" s="109"/>
      <c r="L3671" s="109" t="str">
        <f t="shared" si="57"/>
        <v>95-951900292</v>
      </c>
      <c r="M3671" s="114">
        <v>951900292</v>
      </c>
      <c r="N3671" s="114" t="s">
        <v>7612</v>
      </c>
    </row>
    <row r="3672" spans="1:14" ht="18">
      <c r="A3672" s="50" t="s">
        <v>3980</v>
      </c>
      <c r="B3672" s="1" t="s">
        <v>7110</v>
      </c>
      <c r="I3672" s="109"/>
      <c r="J3672" s="109"/>
      <c r="K3672" s="109"/>
      <c r="L3672" s="109" t="str">
        <f t="shared" si="57"/>
        <v>95-951900293</v>
      </c>
      <c r="M3672" s="114">
        <v>951900293</v>
      </c>
      <c r="N3672" s="114" t="s">
        <v>7612</v>
      </c>
    </row>
    <row r="3673" spans="1:14" ht="18">
      <c r="A3673" s="50" t="s">
        <v>3977</v>
      </c>
      <c r="B3673" s="1" t="s">
        <v>7110</v>
      </c>
      <c r="I3673" s="109"/>
      <c r="J3673" s="109"/>
      <c r="K3673" s="109"/>
      <c r="L3673" s="109" t="str">
        <f t="shared" si="57"/>
        <v>95-951900294</v>
      </c>
      <c r="M3673" s="114">
        <v>951900294</v>
      </c>
      <c r="N3673" s="114" t="s">
        <v>7612</v>
      </c>
    </row>
    <row r="3674" spans="1:14" ht="18">
      <c r="A3674" s="50" t="s">
        <v>3978</v>
      </c>
      <c r="B3674" s="1" t="s">
        <v>7110</v>
      </c>
      <c r="I3674" s="109"/>
      <c r="J3674" s="109"/>
      <c r="K3674" s="109"/>
      <c r="L3674" s="109" t="str">
        <f t="shared" si="57"/>
        <v>96-961900161</v>
      </c>
      <c r="M3674" s="114">
        <v>961900161</v>
      </c>
      <c r="N3674" s="114" t="s">
        <v>7212</v>
      </c>
    </row>
    <row r="3675" spans="1:14" ht="18">
      <c r="A3675" s="50" t="s">
        <v>3979</v>
      </c>
      <c r="B3675" s="1" t="s">
        <v>7110</v>
      </c>
      <c r="I3675" s="109"/>
      <c r="J3675" s="109"/>
      <c r="K3675" s="109"/>
      <c r="L3675" s="109" t="str">
        <f t="shared" si="57"/>
        <v>95-951900307</v>
      </c>
      <c r="M3675" s="114">
        <v>951900307</v>
      </c>
      <c r="N3675" s="114" t="s">
        <v>7665</v>
      </c>
    </row>
    <row r="3676" spans="1:14" ht="18">
      <c r="A3676" s="50" t="s">
        <v>3979</v>
      </c>
      <c r="B3676" s="1" t="s">
        <v>7110</v>
      </c>
      <c r="I3676" s="109"/>
      <c r="J3676" s="109"/>
      <c r="K3676" s="109"/>
      <c r="L3676" s="109" t="str">
        <f t="shared" si="57"/>
        <v>96-961900013</v>
      </c>
      <c r="M3676" s="114">
        <v>961900013</v>
      </c>
      <c r="N3676" s="114" t="s">
        <v>7613</v>
      </c>
    </row>
    <row r="3677" spans="1:14" ht="18">
      <c r="A3677" s="50" t="s">
        <v>4278</v>
      </c>
      <c r="B3677" s="1" t="s">
        <v>7110</v>
      </c>
      <c r="I3677" s="109"/>
      <c r="J3677" s="109"/>
      <c r="K3677" s="109"/>
      <c r="L3677" s="109" t="str">
        <f t="shared" si="57"/>
        <v>96-961900020</v>
      </c>
      <c r="M3677" s="114">
        <v>961900020</v>
      </c>
      <c r="N3677" s="114" t="s">
        <v>7613</v>
      </c>
    </row>
    <row r="3678" spans="1:14" ht="18">
      <c r="A3678" s="50" t="s">
        <v>4278</v>
      </c>
      <c r="B3678" s="1" t="s">
        <v>7110</v>
      </c>
      <c r="I3678" s="109"/>
      <c r="J3678" s="109"/>
      <c r="K3678" s="109"/>
      <c r="L3678" s="109" t="str">
        <f t="shared" si="57"/>
        <v>96-961900026</v>
      </c>
      <c r="M3678" s="114">
        <v>961900026</v>
      </c>
      <c r="N3678" s="114" t="s">
        <v>7786</v>
      </c>
    </row>
    <row r="3679" spans="1:14" ht="18">
      <c r="A3679" s="50" t="s">
        <v>4287</v>
      </c>
      <c r="B3679" s="1" t="s">
        <v>7110</v>
      </c>
      <c r="I3679" s="109"/>
      <c r="J3679" s="109"/>
      <c r="K3679" s="109"/>
      <c r="L3679" s="109" t="str">
        <f t="shared" si="57"/>
        <v>96-961900102</v>
      </c>
      <c r="M3679" s="114">
        <v>961900102</v>
      </c>
      <c r="N3679" s="114" t="s">
        <v>7787</v>
      </c>
    </row>
    <row r="3680" spans="1:14" ht="18">
      <c r="A3680" s="50" t="s">
        <v>4279</v>
      </c>
      <c r="B3680" s="1" t="s">
        <v>7110</v>
      </c>
      <c r="I3680" s="109"/>
      <c r="J3680" s="109"/>
      <c r="K3680" s="109"/>
      <c r="L3680" s="109" t="str">
        <f t="shared" si="57"/>
        <v>95-956100017</v>
      </c>
      <c r="M3680" s="114">
        <v>956100017</v>
      </c>
      <c r="N3680" s="114" t="s">
        <v>7488</v>
      </c>
    </row>
    <row r="3681" spans="1:14" ht="18">
      <c r="A3681" s="50" t="s">
        <v>4447</v>
      </c>
      <c r="B3681" s="1" t="s">
        <v>7110</v>
      </c>
      <c r="I3681" s="109"/>
      <c r="J3681" s="109"/>
      <c r="K3681" s="109"/>
      <c r="L3681" s="109" t="str">
        <f t="shared" si="57"/>
        <v>95-951000006</v>
      </c>
      <c r="M3681" s="114">
        <v>951000006</v>
      </c>
      <c r="N3681" s="114" t="s">
        <v>7580</v>
      </c>
    </row>
    <row r="3682" spans="1:14" ht="18">
      <c r="A3682" s="50" t="s">
        <v>4447</v>
      </c>
      <c r="B3682" s="1" t="s">
        <v>7110</v>
      </c>
      <c r="I3682" s="109"/>
      <c r="J3682" s="109"/>
      <c r="K3682" s="109"/>
      <c r="L3682" s="109" t="str">
        <f t="shared" si="57"/>
        <v>95-951800070</v>
      </c>
      <c r="M3682" s="114">
        <v>951800070</v>
      </c>
      <c r="N3682" s="114" t="s">
        <v>7132</v>
      </c>
    </row>
    <row r="3683" spans="1:14" ht="18">
      <c r="A3683" s="50" t="s">
        <v>4447</v>
      </c>
      <c r="B3683" s="1" t="s">
        <v>7110</v>
      </c>
      <c r="I3683" s="109"/>
      <c r="J3683" s="109"/>
      <c r="K3683" s="109"/>
      <c r="L3683" s="109" t="str">
        <f t="shared" si="57"/>
        <v>95-951900251</v>
      </c>
      <c r="M3683" s="114">
        <v>951900251</v>
      </c>
      <c r="N3683" s="114" t="s">
        <v>7176</v>
      </c>
    </row>
    <row r="3684" spans="1:14" ht="18">
      <c r="A3684" s="50" t="s">
        <v>4447</v>
      </c>
      <c r="B3684" s="1" t="s">
        <v>7110</v>
      </c>
      <c r="I3684" s="109"/>
      <c r="J3684" s="109"/>
      <c r="K3684" s="109"/>
      <c r="L3684" s="109" t="str">
        <f t="shared" si="57"/>
        <v>95-951400188</v>
      </c>
      <c r="M3684" s="114">
        <v>951400188</v>
      </c>
      <c r="N3684" s="114" t="s">
        <v>7697</v>
      </c>
    </row>
    <row r="3685" spans="1:14" ht="18">
      <c r="A3685" s="50" t="s">
        <v>4278</v>
      </c>
      <c r="B3685" s="1" t="s">
        <v>7110</v>
      </c>
      <c r="I3685" s="109"/>
      <c r="J3685" s="109"/>
      <c r="K3685" s="109"/>
      <c r="L3685" s="109" t="str">
        <f t="shared" si="57"/>
        <v>96-961400010</v>
      </c>
      <c r="M3685" s="114">
        <v>961400010</v>
      </c>
      <c r="N3685" s="114" t="s">
        <v>8116</v>
      </c>
    </row>
    <row r="3686" spans="1:14" ht="18">
      <c r="A3686" s="50" t="s">
        <v>4278</v>
      </c>
      <c r="B3686" s="1" t="s">
        <v>7110</v>
      </c>
      <c r="I3686" s="109"/>
      <c r="J3686" s="109"/>
      <c r="K3686" s="109"/>
      <c r="L3686" s="109" t="str">
        <f t="shared" si="57"/>
        <v>95-951800051</v>
      </c>
      <c r="M3686" s="114">
        <v>951800051</v>
      </c>
      <c r="N3686" s="114" t="s">
        <v>7133</v>
      </c>
    </row>
    <row r="3687" spans="1:14" ht="18">
      <c r="A3687" s="50" t="s">
        <v>4447</v>
      </c>
      <c r="B3687" s="1" t="s">
        <v>7110</v>
      </c>
      <c r="I3687" s="109"/>
      <c r="J3687" s="109"/>
      <c r="K3687" s="109"/>
      <c r="L3687" s="109" t="str">
        <f t="shared" si="57"/>
        <v>95-952200066</v>
      </c>
      <c r="M3687" s="114">
        <v>952200066</v>
      </c>
      <c r="N3687" s="114" t="s">
        <v>7451</v>
      </c>
    </row>
    <row r="3688" spans="1:14" ht="18">
      <c r="A3688" s="50" t="s">
        <v>4447</v>
      </c>
      <c r="B3688" s="1" t="s">
        <v>7110</v>
      </c>
      <c r="I3688" s="109"/>
      <c r="J3688" s="109"/>
      <c r="K3688" s="109"/>
      <c r="L3688" s="109" t="str">
        <f t="shared" si="57"/>
        <v>95-952200068</v>
      </c>
      <c r="M3688" s="114">
        <v>952200068</v>
      </c>
      <c r="N3688" s="114" t="s">
        <v>7126</v>
      </c>
    </row>
    <row r="3689" spans="1:14" ht="18">
      <c r="A3689" s="50" t="s">
        <v>4278</v>
      </c>
      <c r="B3689" s="1" t="s">
        <v>7110</v>
      </c>
      <c r="I3689" s="109"/>
      <c r="J3689" s="109"/>
      <c r="K3689" s="109"/>
      <c r="L3689" s="109" t="str">
        <f t="shared" si="57"/>
        <v>95-952200082</v>
      </c>
      <c r="M3689" s="114">
        <v>952200082</v>
      </c>
      <c r="N3689" s="114" t="s">
        <v>7236</v>
      </c>
    </row>
    <row r="3690" spans="1:14" ht="18">
      <c r="A3690" s="50" t="s">
        <v>4457</v>
      </c>
      <c r="B3690" s="1" t="s">
        <v>7110</v>
      </c>
      <c r="I3690" s="109"/>
      <c r="J3690" s="109"/>
      <c r="K3690" s="109"/>
      <c r="L3690" s="109" t="str">
        <f t="shared" si="57"/>
        <v>96-962200008</v>
      </c>
      <c r="M3690" s="114">
        <v>962200008</v>
      </c>
      <c r="N3690" s="114" t="s">
        <v>7218</v>
      </c>
    </row>
    <row r="3691" spans="1:14" ht="18">
      <c r="A3691" s="50" t="s">
        <v>4462</v>
      </c>
      <c r="B3691" s="1" t="s">
        <v>7110</v>
      </c>
      <c r="I3691" s="109"/>
      <c r="J3691" s="109"/>
      <c r="K3691" s="109"/>
      <c r="L3691" s="109" t="str">
        <f t="shared" si="57"/>
        <v>96-962200010</v>
      </c>
      <c r="M3691" s="114">
        <v>962200010</v>
      </c>
      <c r="N3691" s="114" t="s">
        <v>7451</v>
      </c>
    </row>
    <row r="3692" spans="1:14" ht="18">
      <c r="A3692" s="50" t="s">
        <v>4499</v>
      </c>
      <c r="B3692" s="1" t="s">
        <v>7110</v>
      </c>
      <c r="I3692" s="109"/>
      <c r="J3692" s="109"/>
      <c r="K3692" s="109"/>
      <c r="L3692" s="109" t="str">
        <f t="shared" si="57"/>
        <v>96-962200027</v>
      </c>
      <c r="M3692" s="114">
        <v>962200027</v>
      </c>
      <c r="N3692" s="114" t="s">
        <v>7230</v>
      </c>
    </row>
    <row r="3693" spans="1:14" ht="18">
      <c r="A3693" s="50" t="s">
        <v>4476</v>
      </c>
      <c r="B3693" s="1" t="s">
        <v>7110</v>
      </c>
      <c r="I3693" s="109"/>
      <c r="J3693" s="109"/>
      <c r="K3693" s="109"/>
      <c r="L3693" s="109" t="str">
        <f t="shared" si="57"/>
        <v>96-962200033</v>
      </c>
      <c r="M3693" s="114">
        <v>962200033</v>
      </c>
      <c r="N3693" s="114" t="s">
        <v>7228</v>
      </c>
    </row>
    <row r="3694" spans="1:14" ht="18">
      <c r="A3694" s="50" t="s">
        <v>3406</v>
      </c>
      <c r="B3694" s="1" t="s">
        <v>7110</v>
      </c>
      <c r="I3694" s="109"/>
      <c r="J3694" s="109"/>
      <c r="K3694" s="109"/>
      <c r="L3694" s="109" t="str">
        <f t="shared" si="57"/>
        <v>96-962200041</v>
      </c>
      <c r="M3694" s="114">
        <v>962200041</v>
      </c>
      <c r="N3694" s="114" t="s">
        <v>7173</v>
      </c>
    </row>
    <row r="3695" spans="1:14" ht="18">
      <c r="A3695" s="50" t="s">
        <v>4477</v>
      </c>
      <c r="B3695" s="1" t="s">
        <v>7110</v>
      </c>
      <c r="I3695" s="109"/>
      <c r="J3695" s="109"/>
      <c r="K3695" s="109"/>
      <c r="L3695" s="109" t="str">
        <f t="shared" si="57"/>
        <v>96-962200046</v>
      </c>
      <c r="M3695" s="114">
        <v>962200046</v>
      </c>
      <c r="N3695" s="114" t="s">
        <v>7173</v>
      </c>
    </row>
    <row r="3696" spans="1:14" ht="18">
      <c r="A3696" s="50" t="s">
        <v>3407</v>
      </c>
      <c r="B3696" s="1" t="s">
        <v>7110</v>
      </c>
      <c r="I3696" s="109"/>
      <c r="J3696" s="109"/>
      <c r="K3696" s="109"/>
      <c r="L3696" s="109" t="str">
        <f t="shared" si="57"/>
        <v>96-962200058</v>
      </c>
      <c r="M3696" s="114">
        <v>962200058</v>
      </c>
      <c r="N3696" s="114" t="s">
        <v>7450</v>
      </c>
    </row>
    <row r="3697" spans="1:14" ht="18">
      <c r="A3697" s="50" t="s">
        <v>3730</v>
      </c>
      <c r="B3697" s="1" t="s">
        <v>7110</v>
      </c>
      <c r="I3697" s="109"/>
      <c r="J3697" s="109"/>
      <c r="K3697" s="109"/>
      <c r="L3697" s="109" t="str">
        <f t="shared" si="57"/>
        <v>96-962200059</v>
      </c>
      <c r="M3697" s="114">
        <v>962200059</v>
      </c>
      <c r="N3697" s="114" t="s">
        <v>7450</v>
      </c>
    </row>
    <row r="3698" spans="1:14" ht="18">
      <c r="A3698" s="50" t="s">
        <v>3184</v>
      </c>
      <c r="B3698" s="1" t="s">
        <v>7110</v>
      </c>
      <c r="I3698" s="109"/>
      <c r="J3698" s="109"/>
      <c r="K3698" s="109"/>
      <c r="L3698" s="109" t="str">
        <f t="shared" si="57"/>
        <v>96-961700084</v>
      </c>
      <c r="M3698" s="114">
        <v>961700084</v>
      </c>
      <c r="N3698" s="114" t="s">
        <v>8412</v>
      </c>
    </row>
    <row r="3699" spans="1:14" ht="18">
      <c r="A3699" s="50" t="s">
        <v>4480</v>
      </c>
      <c r="B3699" s="1" t="s">
        <v>7110</v>
      </c>
      <c r="I3699" s="109"/>
      <c r="J3699" s="109"/>
      <c r="K3699" s="109"/>
      <c r="L3699" s="109" t="str">
        <f t="shared" si="57"/>
        <v>95-951800022</v>
      </c>
      <c r="M3699" s="114">
        <v>951800022</v>
      </c>
      <c r="N3699" s="114" t="s">
        <v>8413</v>
      </c>
    </row>
    <row r="3700" spans="1:14" ht="18">
      <c r="A3700" s="50" t="s">
        <v>4472</v>
      </c>
      <c r="B3700" s="1" t="s">
        <v>7110</v>
      </c>
      <c r="I3700" s="109"/>
      <c r="J3700" s="109"/>
      <c r="K3700" s="109"/>
      <c r="L3700" s="109" t="str">
        <f t="shared" si="57"/>
        <v>95-951800105</v>
      </c>
      <c r="M3700" s="114">
        <v>951800105</v>
      </c>
      <c r="N3700" s="114" t="s">
        <v>7626</v>
      </c>
    </row>
    <row r="3701" spans="1:14" ht="18">
      <c r="A3701" s="50" t="s">
        <v>4596</v>
      </c>
      <c r="B3701" s="1" t="s">
        <v>7110</v>
      </c>
      <c r="I3701" s="109"/>
      <c r="J3701" s="109"/>
      <c r="K3701" s="109"/>
      <c r="L3701" s="109" t="str">
        <f t="shared" si="57"/>
        <v>95-951400008</v>
      </c>
      <c r="M3701" s="114">
        <v>951400008</v>
      </c>
      <c r="N3701" s="114" t="s">
        <v>7827</v>
      </c>
    </row>
    <row r="3702" spans="1:14" ht="18">
      <c r="A3702" s="50" t="s">
        <v>4599</v>
      </c>
      <c r="B3702" s="1" t="s">
        <v>7110</v>
      </c>
      <c r="I3702" s="109"/>
      <c r="J3702" s="109"/>
      <c r="K3702" s="109"/>
      <c r="L3702" s="109" t="str">
        <f t="shared" si="57"/>
        <v>95-951700005</v>
      </c>
      <c r="M3702" s="114">
        <v>951700005</v>
      </c>
      <c r="N3702" s="114" t="s">
        <v>7620</v>
      </c>
    </row>
    <row r="3703" spans="1:14" ht="18">
      <c r="A3703" s="50" t="s">
        <v>4600</v>
      </c>
      <c r="B3703" s="1" t="s">
        <v>7110</v>
      </c>
      <c r="I3703" s="109"/>
      <c r="J3703" s="109"/>
      <c r="K3703" s="109"/>
      <c r="L3703" s="109" t="str">
        <f t="shared" si="57"/>
        <v>95-951700041</v>
      </c>
      <c r="M3703" s="114">
        <v>951700041</v>
      </c>
      <c r="N3703" s="114" t="s">
        <v>7622</v>
      </c>
    </row>
    <row r="3704" spans="1:14" ht="18">
      <c r="A3704" s="50" t="s">
        <v>4601</v>
      </c>
      <c r="B3704" s="1" t="s">
        <v>7110</v>
      </c>
      <c r="I3704" s="109"/>
      <c r="J3704" s="109"/>
      <c r="K3704" s="109"/>
      <c r="L3704" s="109" t="str">
        <f t="shared" si="57"/>
        <v>95-951700047</v>
      </c>
      <c r="M3704" s="114">
        <v>951700047</v>
      </c>
      <c r="N3704" s="114" t="s">
        <v>8128</v>
      </c>
    </row>
    <row r="3705" spans="1:14" ht="18">
      <c r="A3705" s="50" t="s">
        <v>3947</v>
      </c>
      <c r="B3705" s="1" t="s">
        <v>7110</v>
      </c>
      <c r="I3705" s="109"/>
      <c r="J3705" s="109"/>
      <c r="K3705" s="109"/>
      <c r="L3705" s="109" t="str">
        <f t="shared" si="57"/>
        <v>95-951700151</v>
      </c>
      <c r="M3705" s="114">
        <v>951700151</v>
      </c>
      <c r="N3705" s="114" t="s">
        <v>8129</v>
      </c>
    </row>
    <row r="3706" spans="1:14" ht="18">
      <c r="A3706" s="50" t="s">
        <v>4689</v>
      </c>
      <c r="B3706" s="1" t="s">
        <v>7110</v>
      </c>
      <c r="I3706" s="109"/>
      <c r="J3706" s="109"/>
      <c r="K3706" s="109"/>
      <c r="L3706" s="109" t="str">
        <f t="shared" si="57"/>
        <v>95-951700232</v>
      </c>
      <c r="M3706" s="114">
        <v>951700232</v>
      </c>
      <c r="N3706" s="114" t="s">
        <v>7703</v>
      </c>
    </row>
    <row r="3707" spans="1:14" ht="18">
      <c r="A3707" s="50" t="s">
        <v>4696</v>
      </c>
      <c r="B3707" s="1" t="s">
        <v>7110</v>
      </c>
      <c r="I3707" s="109"/>
      <c r="J3707" s="109"/>
      <c r="K3707" s="109"/>
      <c r="L3707" s="109" t="str">
        <f t="shared" si="57"/>
        <v>95-951400137</v>
      </c>
      <c r="M3707" s="114">
        <v>951400137</v>
      </c>
      <c r="N3707" s="114" t="s">
        <v>7150</v>
      </c>
    </row>
    <row r="3708" spans="1:14" ht="18">
      <c r="A3708" s="50" t="s">
        <v>4697</v>
      </c>
      <c r="B3708" s="1" t="s">
        <v>7110</v>
      </c>
      <c r="I3708" s="109"/>
      <c r="J3708" s="109"/>
      <c r="K3708" s="109"/>
      <c r="L3708" s="109" t="str">
        <f t="shared" si="57"/>
        <v>96-961400005</v>
      </c>
      <c r="M3708" s="114">
        <v>961400005</v>
      </c>
      <c r="N3708" s="114" t="s">
        <v>7625</v>
      </c>
    </row>
    <row r="3709" spans="1:14" ht="18">
      <c r="A3709" s="50" t="s">
        <v>4698</v>
      </c>
      <c r="B3709" s="1" t="s">
        <v>7110</v>
      </c>
      <c r="I3709" s="109"/>
      <c r="J3709" s="109"/>
      <c r="K3709" s="109"/>
      <c r="L3709" s="109" t="str">
        <f t="shared" si="57"/>
        <v>96-961700011</v>
      </c>
      <c r="M3709" s="114">
        <v>961700011</v>
      </c>
      <c r="N3709" s="114" t="s">
        <v>7625</v>
      </c>
    </row>
    <row r="3710" spans="1:14" ht="18">
      <c r="A3710" s="50" t="s">
        <v>4699</v>
      </c>
      <c r="B3710" s="1" t="s">
        <v>7110</v>
      </c>
      <c r="I3710" s="109"/>
      <c r="J3710" s="109"/>
      <c r="K3710" s="109"/>
      <c r="L3710" s="109" t="str">
        <f t="shared" si="57"/>
        <v>95-951400168</v>
      </c>
      <c r="M3710" s="114">
        <v>951400168</v>
      </c>
      <c r="N3710" s="114" t="s">
        <v>7704</v>
      </c>
    </row>
    <row r="3711" spans="1:14" ht="18">
      <c r="A3711" s="50" t="s">
        <v>4700</v>
      </c>
      <c r="B3711" s="1" t="s">
        <v>7110</v>
      </c>
      <c r="I3711" s="109"/>
      <c r="J3711" s="109"/>
      <c r="K3711" s="109"/>
      <c r="L3711" s="109" t="str">
        <f t="shared" si="57"/>
        <v>96-961700091</v>
      </c>
      <c r="M3711" s="114">
        <v>961700091</v>
      </c>
      <c r="N3711" s="114" t="s">
        <v>8130</v>
      </c>
    </row>
    <row r="3712" spans="1:14" ht="18">
      <c r="A3712" s="50" t="s">
        <v>4699</v>
      </c>
      <c r="B3712" s="1" t="s">
        <v>7110</v>
      </c>
      <c r="I3712" s="109"/>
      <c r="J3712" s="109"/>
      <c r="K3712" s="109"/>
      <c r="L3712" s="109" t="str">
        <f t="shared" si="57"/>
        <v>96-961700129</v>
      </c>
      <c r="M3712" s="114">
        <v>961700129</v>
      </c>
      <c r="N3712" s="114" t="s">
        <v>7163</v>
      </c>
    </row>
    <row r="3713" spans="1:14" ht="18">
      <c r="A3713" s="50" t="s">
        <v>4700</v>
      </c>
      <c r="B3713" s="1" t="s">
        <v>7110</v>
      </c>
      <c r="I3713" s="109"/>
      <c r="J3713" s="109"/>
      <c r="K3713" s="109"/>
      <c r="L3713" s="109" t="str">
        <f t="shared" si="57"/>
        <v>95-951800139</v>
      </c>
      <c r="M3713" s="114">
        <v>951800139</v>
      </c>
      <c r="N3713" s="114" t="s">
        <v>7689</v>
      </c>
    </row>
    <row r="3714" spans="1:14" ht="18">
      <c r="A3714" s="50" t="s">
        <v>4700</v>
      </c>
      <c r="B3714" s="1" t="s">
        <v>7110</v>
      </c>
      <c r="I3714" s="109"/>
      <c r="J3714" s="109"/>
      <c r="K3714" s="109"/>
      <c r="L3714" s="109" t="str">
        <f t="shared" si="57"/>
        <v>95-951900002</v>
      </c>
      <c r="M3714" s="114">
        <v>951900002</v>
      </c>
      <c r="N3714" s="114" t="s">
        <v>7696</v>
      </c>
    </row>
    <row r="3715" spans="1:14" ht="18">
      <c r="A3715" s="50" t="s">
        <v>4700</v>
      </c>
      <c r="B3715" s="1" t="s">
        <v>7110</v>
      </c>
      <c r="I3715" s="109"/>
      <c r="J3715" s="109"/>
      <c r="K3715" s="109"/>
      <c r="L3715" s="109" t="str">
        <f t="shared" ref="L3715:L3778" si="58">MID(M3715,1,2)&amp;"-"&amp;M3715</f>
        <v>95-951700028</v>
      </c>
      <c r="M3715" s="114">
        <v>951700028</v>
      </c>
      <c r="N3715" s="114" t="s">
        <v>7795</v>
      </c>
    </row>
    <row r="3716" spans="1:14" ht="18">
      <c r="A3716" s="50" t="s">
        <v>4723</v>
      </c>
      <c r="B3716" s="1" t="s">
        <v>7110</v>
      </c>
      <c r="I3716" s="109"/>
      <c r="J3716" s="109"/>
      <c r="K3716" s="109"/>
      <c r="L3716" s="109" t="str">
        <f t="shared" si="58"/>
        <v>95-951900060</v>
      </c>
      <c r="M3716" s="114">
        <v>951900060</v>
      </c>
      <c r="N3716" s="114" t="s">
        <v>8268</v>
      </c>
    </row>
    <row r="3717" spans="1:14" ht="18">
      <c r="A3717" s="50" t="s">
        <v>4699</v>
      </c>
      <c r="B3717" s="1" t="s">
        <v>7110</v>
      </c>
      <c r="I3717" s="109"/>
      <c r="J3717" s="109"/>
      <c r="K3717" s="109"/>
      <c r="L3717" s="109" t="str">
        <f t="shared" si="58"/>
        <v>96-961900072</v>
      </c>
      <c r="M3717" s="114">
        <v>961900072</v>
      </c>
      <c r="N3717" s="114" t="s">
        <v>8332</v>
      </c>
    </row>
    <row r="3718" spans="1:14" ht="18">
      <c r="A3718" s="50" t="s">
        <v>4699</v>
      </c>
      <c r="B3718" s="1" t="s">
        <v>7110</v>
      </c>
      <c r="I3718" s="109"/>
      <c r="J3718" s="109"/>
      <c r="K3718" s="109"/>
      <c r="L3718" s="109" t="str">
        <f t="shared" si="58"/>
        <v>95-951100085</v>
      </c>
      <c r="M3718" s="114">
        <v>951100085</v>
      </c>
      <c r="N3718" s="114" t="s">
        <v>8414</v>
      </c>
    </row>
    <row r="3719" spans="1:14" ht="18">
      <c r="A3719" s="50" t="s">
        <v>4699</v>
      </c>
      <c r="B3719" s="1" t="s">
        <v>7110</v>
      </c>
      <c r="I3719" s="109"/>
      <c r="J3719" s="109"/>
      <c r="K3719" s="109"/>
      <c r="L3719" s="109" t="str">
        <f t="shared" si="58"/>
        <v>95-951800005</v>
      </c>
      <c r="M3719" s="114">
        <v>951800005</v>
      </c>
      <c r="N3719" s="114" t="s">
        <v>8415</v>
      </c>
    </row>
    <row r="3720" spans="1:14" ht="18">
      <c r="A3720" s="50" t="s">
        <v>4894</v>
      </c>
      <c r="B3720" s="1" t="s">
        <v>7110</v>
      </c>
      <c r="I3720" s="109"/>
      <c r="J3720" s="109"/>
      <c r="K3720" s="109"/>
      <c r="L3720" s="109" t="str">
        <f t="shared" si="58"/>
        <v>95-951400187</v>
      </c>
      <c r="M3720" s="114">
        <v>951400187</v>
      </c>
      <c r="N3720" s="114" t="s">
        <v>7697</v>
      </c>
    </row>
    <row r="3721" spans="1:14" ht="18">
      <c r="A3721" s="50" t="s">
        <v>4905</v>
      </c>
      <c r="B3721" s="1" t="s">
        <v>7110</v>
      </c>
      <c r="I3721" s="109"/>
      <c r="J3721" s="109"/>
      <c r="K3721" s="109"/>
      <c r="L3721" s="109" t="str">
        <f t="shared" si="58"/>
        <v>96-961700052</v>
      </c>
      <c r="M3721" s="114">
        <v>961700052</v>
      </c>
      <c r="N3721" s="114" t="s">
        <v>7698</v>
      </c>
    </row>
    <row r="3722" spans="1:14" ht="18">
      <c r="A3722" s="50" t="s">
        <v>4907</v>
      </c>
      <c r="B3722" s="1" t="s">
        <v>7110</v>
      </c>
      <c r="I3722" s="109"/>
      <c r="J3722" s="109"/>
      <c r="K3722" s="109"/>
      <c r="L3722" s="109" t="str">
        <f t="shared" si="58"/>
        <v>96-961600013</v>
      </c>
      <c r="M3722" s="114">
        <v>961600013</v>
      </c>
      <c r="N3722" s="114" t="s">
        <v>7699</v>
      </c>
    </row>
    <row r="3723" spans="1:14" ht="18">
      <c r="A3723" s="50" t="s">
        <v>4914</v>
      </c>
      <c r="B3723" s="1" t="s">
        <v>7110</v>
      </c>
      <c r="I3723" s="109"/>
      <c r="J3723" s="109"/>
      <c r="K3723" s="109"/>
      <c r="L3723" s="109" t="str">
        <f t="shared" si="58"/>
        <v>96-961800001</v>
      </c>
      <c r="M3723" s="114">
        <v>961800001</v>
      </c>
      <c r="N3723" s="114" t="s">
        <v>7700</v>
      </c>
    </row>
    <row r="3724" spans="1:14" ht="18">
      <c r="A3724" s="50" t="s">
        <v>4925</v>
      </c>
      <c r="B3724" s="1" t="s">
        <v>7110</v>
      </c>
      <c r="I3724" s="109"/>
      <c r="J3724" s="109"/>
      <c r="K3724" s="109"/>
      <c r="L3724" s="109" t="str">
        <f t="shared" si="58"/>
        <v>95-951900010</v>
      </c>
      <c r="M3724" s="114">
        <v>951900010</v>
      </c>
      <c r="N3724" s="114" t="s">
        <v>8139</v>
      </c>
    </row>
    <row r="3725" spans="1:14" ht="18">
      <c r="A3725" s="50" t="s">
        <v>4926</v>
      </c>
      <c r="B3725" s="1" t="s">
        <v>7110</v>
      </c>
      <c r="I3725" s="109"/>
      <c r="J3725" s="109"/>
      <c r="K3725" s="109"/>
      <c r="L3725" s="109" t="str">
        <f t="shared" si="58"/>
        <v>95-951700013</v>
      </c>
      <c r="M3725" s="114">
        <v>951700013</v>
      </c>
      <c r="N3725" s="114" t="s">
        <v>7517</v>
      </c>
    </row>
    <row r="3726" spans="1:14" ht="18">
      <c r="A3726" s="50" t="s">
        <v>4927</v>
      </c>
      <c r="B3726" s="1" t="s">
        <v>7110</v>
      </c>
      <c r="I3726" s="109"/>
      <c r="J3726" s="109"/>
      <c r="K3726" s="109"/>
      <c r="L3726" s="109" t="str">
        <f t="shared" si="58"/>
        <v>95-951700091</v>
      </c>
      <c r="M3726" s="114">
        <v>951700091</v>
      </c>
      <c r="N3726" s="114" t="s">
        <v>7633</v>
      </c>
    </row>
    <row r="3727" spans="1:14" ht="18">
      <c r="A3727" s="50" t="s">
        <v>4928</v>
      </c>
      <c r="B3727" s="1" t="s">
        <v>7110</v>
      </c>
      <c r="I3727" s="109"/>
      <c r="J3727" s="109"/>
      <c r="K3727" s="109"/>
      <c r="L3727" s="109" t="str">
        <f t="shared" si="58"/>
        <v>95-951700096</v>
      </c>
      <c r="M3727" s="114">
        <v>951700096</v>
      </c>
      <c r="N3727" s="114" t="s">
        <v>8140</v>
      </c>
    </row>
    <row r="3728" spans="1:14" ht="18">
      <c r="A3728" s="50" t="s">
        <v>4929</v>
      </c>
      <c r="B3728" s="1" t="s">
        <v>7110</v>
      </c>
      <c r="I3728" s="109"/>
      <c r="J3728" s="109"/>
      <c r="K3728" s="109"/>
      <c r="L3728" s="109" t="str">
        <f t="shared" si="58"/>
        <v>95-951700122</v>
      </c>
      <c r="M3728" s="114">
        <v>951700122</v>
      </c>
      <c r="N3728" s="114" t="s">
        <v>7525</v>
      </c>
    </row>
    <row r="3729" spans="1:14" ht="18">
      <c r="A3729" s="50" t="s">
        <v>4930</v>
      </c>
      <c r="B3729" s="1" t="s">
        <v>7110</v>
      </c>
      <c r="I3729" s="109"/>
      <c r="J3729" s="109"/>
      <c r="K3729" s="109"/>
      <c r="L3729" s="109" t="str">
        <f t="shared" si="58"/>
        <v>95-951700153</v>
      </c>
      <c r="M3729" s="114">
        <v>951700153</v>
      </c>
      <c r="N3729" s="114" t="s">
        <v>7639</v>
      </c>
    </row>
    <row r="3730" spans="1:14" ht="18">
      <c r="A3730" s="50" t="s">
        <v>4938</v>
      </c>
      <c r="B3730" s="1" t="s">
        <v>7110</v>
      </c>
      <c r="I3730" s="109"/>
      <c r="J3730" s="109"/>
      <c r="K3730" s="109"/>
      <c r="L3730" s="109" t="str">
        <f t="shared" si="58"/>
        <v>95-951700175</v>
      </c>
      <c r="M3730" s="114">
        <v>951700175</v>
      </c>
      <c r="N3730" s="114" t="s">
        <v>7527</v>
      </c>
    </row>
    <row r="3731" spans="1:14" ht="18">
      <c r="A3731" s="50" t="s">
        <v>4943</v>
      </c>
      <c r="B3731" s="1" t="s">
        <v>7110</v>
      </c>
      <c r="I3731" s="109"/>
      <c r="J3731" s="109"/>
      <c r="K3731" s="109"/>
      <c r="L3731" s="109" t="str">
        <f t="shared" si="58"/>
        <v>95-951700188</v>
      </c>
      <c r="M3731" s="114">
        <v>951700188</v>
      </c>
      <c r="N3731" s="114" t="s">
        <v>7528</v>
      </c>
    </row>
    <row r="3732" spans="1:14" ht="18">
      <c r="A3732" s="50" t="s">
        <v>4947</v>
      </c>
      <c r="B3732" s="1" t="s">
        <v>7110</v>
      </c>
      <c r="I3732" s="109"/>
      <c r="J3732" s="109"/>
      <c r="K3732" s="109"/>
      <c r="L3732" s="109" t="str">
        <f t="shared" si="58"/>
        <v>95-951400037</v>
      </c>
      <c r="M3732" s="114">
        <v>951400037</v>
      </c>
      <c r="N3732" s="114" t="s">
        <v>8416</v>
      </c>
    </row>
    <row r="3733" spans="1:14" ht="18">
      <c r="A3733" s="50" t="s">
        <v>4948</v>
      </c>
      <c r="B3733" s="1" t="s">
        <v>7110</v>
      </c>
      <c r="I3733" s="109"/>
      <c r="J3733" s="109"/>
      <c r="K3733" s="109"/>
      <c r="L3733" s="109" t="str">
        <f t="shared" si="58"/>
        <v>96-961900138</v>
      </c>
      <c r="M3733" s="114">
        <v>961900138</v>
      </c>
      <c r="N3733" s="114" t="s">
        <v>8417</v>
      </c>
    </row>
    <row r="3734" spans="1:14" ht="18">
      <c r="A3734" s="50" t="s">
        <v>4949</v>
      </c>
      <c r="B3734" s="1" t="s">
        <v>7110</v>
      </c>
      <c r="I3734" s="109"/>
      <c r="J3734" s="109"/>
      <c r="K3734" s="109"/>
      <c r="L3734" s="109" t="str">
        <f t="shared" si="58"/>
        <v>95-951700036</v>
      </c>
      <c r="M3734" s="114">
        <v>951700036</v>
      </c>
      <c r="N3734" s="114" t="s">
        <v>8261</v>
      </c>
    </row>
    <row r="3735" spans="1:14" ht="18">
      <c r="A3735" s="50" t="s">
        <v>4950</v>
      </c>
      <c r="B3735" s="1" t="s">
        <v>7110</v>
      </c>
      <c r="I3735" s="109"/>
      <c r="J3735" s="109"/>
      <c r="K3735" s="109"/>
      <c r="L3735" s="109" t="str">
        <f t="shared" si="58"/>
        <v>95-951700037</v>
      </c>
      <c r="M3735" s="114">
        <v>951700037</v>
      </c>
      <c r="N3735" s="114" t="s">
        <v>8261</v>
      </c>
    </row>
    <row r="3736" spans="1:14" ht="18">
      <c r="A3736" s="50" t="s">
        <v>4951</v>
      </c>
      <c r="B3736" s="1" t="s">
        <v>7110</v>
      </c>
      <c r="I3736" s="109"/>
      <c r="J3736" s="109"/>
      <c r="K3736" s="109"/>
      <c r="L3736" s="109" t="str">
        <f t="shared" si="58"/>
        <v>96-966100008</v>
      </c>
      <c r="M3736" s="114">
        <v>966100008</v>
      </c>
      <c r="N3736" s="114" t="s">
        <v>7644</v>
      </c>
    </row>
    <row r="3737" spans="1:14" ht="18">
      <c r="A3737" s="50" t="s">
        <v>4952</v>
      </c>
      <c r="B3737" s="1" t="s">
        <v>7110</v>
      </c>
      <c r="I3737" s="109"/>
      <c r="J3737" s="109"/>
      <c r="K3737" s="109"/>
      <c r="L3737" s="109" t="str">
        <f t="shared" si="58"/>
        <v>96-966100009</v>
      </c>
      <c r="M3737" s="114">
        <v>966100009</v>
      </c>
      <c r="N3737" s="114" t="s">
        <v>7644</v>
      </c>
    </row>
    <row r="3738" spans="1:14" ht="18">
      <c r="A3738" s="50" t="s">
        <v>4952</v>
      </c>
      <c r="B3738" s="1" t="s">
        <v>7110</v>
      </c>
      <c r="I3738" s="109"/>
      <c r="J3738" s="109"/>
      <c r="K3738" s="109"/>
      <c r="L3738" s="109" t="str">
        <f t="shared" si="58"/>
        <v>95-951700099</v>
      </c>
      <c r="M3738" s="114">
        <v>951700099</v>
      </c>
      <c r="N3738" s="114" t="s">
        <v>7701</v>
      </c>
    </row>
    <row r="3739" spans="1:14" ht="18">
      <c r="A3739" s="50" t="s">
        <v>4953</v>
      </c>
      <c r="B3739" s="1" t="s">
        <v>7110</v>
      </c>
      <c r="I3739" s="109"/>
      <c r="J3739" s="109"/>
      <c r="K3739" s="109"/>
      <c r="L3739" s="109" t="str">
        <f t="shared" si="58"/>
        <v>95-951700103</v>
      </c>
      <c r="M3739" s="114">
        <v>951700103</v>
      </c>
      <c r="N3739" s="114" t="s">
        <v>7702</v>
      </c>
    </row>
    <row r="3740" spans="1:14" ht="18">
      <c r="A3740" s="50" t="s">
        <v>4954</v>
      </c>
      <c r="B3740" s="1" t="s">
        <v>7110</v>
      </c>
      <c r="I3740" s="109"/>
      <c r="J3740" s="109"/>
      <c r="K3740" s="109"/>
      <c r="L3740" s="109" t="str">
        <f t="shared" si="58"/>
        <v>95-951700233</v>
      </c>
      <c r="M3740" s="114">
        <v>951700233</v>
      </c>
      <c r="N3740" s="114" t="s">
        <v>7703</v>
      </c>
    </row>
    <row r="3741" spans="1:14" ht="18">
      <c r="A3741" s="50" t="s">
        <v>4954</v>
      </c>
      <c r="B3741" s="1" t="s">
        <v>7110</v>
      </c>
      <c r="I3741" s="109"/>
      <c r="J3741" s="109"/>
      <c r="K3741" s="109"/>
      <c r="L3741" s="109" t="str">
        <f t="shared" si="58"/>
        <v>95-951700260</v>
      </c>
      <c r="M3741" s="114">
        <v>951700260</v>
      </c>
      <c r="N3741" s="114" t="s">
        <v>7703</v>
      </c>
    </row>
    <row r="3742" spans="1:14" ht="18">
      <c r="A3742" s="50" t="s">
        <v>4700</v>
      </c>
      <c r="B3742" s="1" t="s">
        <v>7110</v>
      </c>
      <c r="I3742" s="109"/>
      <c r="J3742" s="109"/>
      <c r="K3742" s="109"/>
      <c r="L3742" s="109" t="str">
        <f t="shared" si="58"/>
        <v>95-951400138</v>
      </c>
      <c r="M3742" s="114">
        <v>951400138</v>
      </c>
      <c r="N3742" s="114" t="s">
        <v>7150</v>
      </c>
    </row>
    <row r="3743" spans="1:14" ht="18">
      <c r="A3743" s="50" t="s">
        <v>4953</v>
      </c>
      <c r="B3743" s="1" t="s">
        <v>7110</v>
      </c>
      <c r="I3743" s="109"/>
      <c r="J3743" s="109"/>
      <c r="K3743" s="109"/>
      <c r="L3743" s="109" t="str">
        <f t="shared" si="58"/>
        <v>95-951400169</v>
      </c>
      <c r="M3743" s="114">
        <v>951400169</v>
      </c>
      <c r="N3743" s="114" t="s">
        <v>7704</v>
      </c>
    </row>
    <row r="3744" spans="1:14" ht="18">
      <c r="A3744" s="50" t="s">
        <v>4951</v>
      </c>
      <c r="B3744" s="1" t="s">
        <v>7110</v>
      </c>
      <c r="I3744" s="109"/>
      <c r="J3744" s="109"/>
      <c r="K3744" s="109"/>
      <c r="L3744" s="109" t="str">
        <f t="shared" si="58"/>
        <v>96-961400013</v>
      </c>
      <c r="M3744" s="114">
        <v>961400013</v>
      </c>
      <c r="N3744" s="114" t="s">
        <v>7150</v>
      </c>
    </row>
    <row r="3745" spans="1:14" ht="18">
      <c r="A3745" s="50" t="s">
        <v>4960</v>
      </c>
      <c r="B3745" s="1" t="s">
        <v>7110</v>
      </c>
      <c r="I3745" s="109"/>
      <c r="J3745" s="109"/>
      <c r="K3745" s="109"/>
      <c r="L3745" s="109" t="str">
        <f t="shared" si="58"/>
        <v>96-961700059</v>
      </c>
      <c r="M3745" s="114">
        <v>961700059</v>
      </c>
      <c r="N3745" s="114" t="s">
        <v>7705</v>
      </c>
    </row>
    <row r="3746" spans="1:14" ht="18">
      <c r="A3746" s="50" t="s">
        <v>4962</v>
      </c>
      <c r="B3746" s="1" t="s">
        <v>7110</v>
      </c>
      <c r="I3746" s="109"/>
      <c r="J3746" s="109"/>
      <c r="K3746" s="109"/>
      <c r="L3746" s="109" t="str">
        <f t="shared" si="58"/>
        <v>95-951700201</v>
      </c>
      <c r="M3746" s="114">
        <v>951700201</v>
      </c>
      <c r="N3746" s="114" t="s">
        <v>8141</v>
      </c>
    </row>
    <row r="3747" spans="1:14" ht="18">
      <c r="A3747" s="50" t="s">
        <v>4952</v>
      </c>
      <c r="B3747" s="1" t="s">
        <v>7110</v>
      </c>
      <c r="I3747" s="109"/>
      <c r="J3747" s="109"/>
      <c r="K3747" s="109"/>
      <c r="L3747" s="109" t="str">
        <f t="shared" si="58"/>
        <v>95-951700221</v>
      </c>
      <c r="M3747" s="114">
        <v>951700221</v>
      </c>
      <c r="N3747" s="114" t="s">
        <v>7185</v>
      </c>
    </row>
    <row r="3748" spans="1:14" ht="18">
      <c r="A3748" s="50" t="s">
        <v>4951</v>
      </c>
      <c r="B3748" s="1" t="s">
        <v>7110</v>
      </c>
      <c r="I3748" s="109"/>
      <c r="J3748" s="109"/>
      <c r="K3748" s="109"/>
      <c r="L3748" s="109" t="str">
        <f t="shared" si="58"/>
        <v>95-951700226</v>
      </c>
      <c r="M3748" s="114">
        <v>951700226</v>
      </c>
      <c r="N3748" s="114" t="s">
        <v>7153</v>
      </c>
    </row>
    <row r="3749" spans="1:14" ht="18">
      <c r="A3749" s="50" t="s">
        <v>4965</v>
      </c>
      <c r="B3749" s="1" t="s">
        <v>7110</v>
      </c>
      <c r="I3749" s="109"/>
      <c r="J3749" s="109"/>
      <c r="K3749" s="109"/>
      <c r="L3749" s="109" t="str">
        <f t="shared" si="58"/>
        <v>95-951700228</v>
      </c>
      <c r="M3749" s="114">
        <v>951700228</v>
      </c>
      <c r="N3749" s="114" t="s">
        <v>7153</v>
      </c>
    </row>
    <row r="3750" spans="1:14" ht="18">
      <c r="A3750" s="50" t="s">
        <v>4954</v>
      </c>
      <c r="B3750" s="1" t="s">
        <v>7110</v>
      </c>
      <c r="I3750" s="109"/>
      <c r="J3750" s="109"/>
      <c r="K3750" s="109"/>
      <c r="L3750" s="109" t="str">
        <f t="shared" si="58"/>
        <v>95-951700248</v>
      </c>
      <c r="M3750" s="114">
        <v>951700248</v>
      </c>
      <c r="N3750" s="114" t="s">
        <v>7153</v>
      </c>
    </row>
    <row r="3751" spans="1:14" ht="18">
      <c r="A3751" s="50" t="s">
        <v>4965</v>
      </c>
      <c r="B3751" s="1" t="s">
        <v>7110</v>
      </c>
      <c r="I3751" s="109"/>
      <c r="J3751" s="109"/>
      <c r="K3751" s="109"/>
      <c r="L3751" s="109" t="str">
        <f t="shared" si="58"/>
        <v>95-951700283</v>
      </c>
      <c r="M3751" s="114">
        <v>951700283</v>
      </c>
      <c r="N3751" s="114" t="s">
        <v>8141</v>
      </c>
    </row>
    <row r="3752" spans="1:14" ht="18">
      <c r="A3752" s="50" t="s">
        <v>4969</v>
      </c>
      <c r="B3752" s="1" t="s">
        <v>7110</v>
      </c>
      <c r="I3752" s="109"/>
      <c r="J3752" s="109"/>
      <c r="K3752" s="109"/>
      <c r="L3752" s="109" t="str">
        <f t="shared" si="58"/>
        <v>95-951700307</v>
      </c>
      <c r="M3752" s="114">
        <v>951700307</v>
      </c>
      <c r="N3752" s="114" t="s">
        <v>7153</v>
      </c>
    </row>
    <row r="3753" spans="1:14" ht="18">
      <c r="A3753" s="50" t="s">
        <v>4699</v>
      </c>
      <c r="B3753" s="1" t="s">
        <v>7110</v>
      </c>
      <c r="I3753" s="109"/>
      <c r="J3753" s="109"/>
      <c r="K3753" s="109"/>
      <c r="L3753" s="109" t="str">
        <f t="shared" si="58"/>
        <v>95-951700308</v>
      </c>
      <c r="M3753" s="114">
        <v>951700308</v>
      </c>
      <c r="N3753" s="114" t="s">
        <v>7185</v>
      </c>
    </row>
    <row r="3754" spans="1:14" ht="18">
      <c r="A3754" s="50" t="s">
        <v>4894</v>
      </c>
      <c r="B3754" s="1" t="s">
        <v>7110</v>
      </c>
      <c r="I3754" s="109"/>
      <c r="J3754" s="109"/>
      <c r="K3754" s="109"/>
      <c r="L3754" s="109" t="str">
        <f t="shared" si="58"/>
        <v>96-961700072</v>
      </c>
      <c r="M3754" s="114">
        <v>961700072</v>
      </c>
      <c r="N3754" s="114" t="s">
        <v>8146</v>
      </c>
    </row>
    <row r="3755" spans="1:14" ht="18">
      <c r="A3755" s="50" t="s">
        <v>4954</v>
      </c>
      <c r="B3755" s="1" t="s">
        <v>7110</v>
      </c>
      <c r="I3755" s="109"/>
      <c r="J3755" s="109"/>
      <c r="K3755" s="109"/>
      <c r="L3755" s="109" t="str">
        <f t="shared" si="58"/>
        <v>96-961800052</v>
      </c>
      <c r="M3755" s="114">
        <v>961800052</v>
      </c>
      <c r="N3755" s="114" t="s">
        <v>7532</v>
      </c>
    </row>
    <row r="3756" spans="1:14" ht="18">
      <c r="A3756" s="50" t="s">
        <v>4953</v>
      </c>
      <c r="B3756" s="1" t="s">
        <v>7110</v>
      </c>
      <c r="I3756" s="109"/>
      <c r="J3756" s="109"/>
      <c r="K3756" s="109"/>
      <c r="L3756" s="109" t="str">
        <f t="shared" si="58"/>
        <v>96-966100015</v>
      </c>
      <c r="M3756" s="114">
        <v>966100015</v>
      </c>
      <c r="N3756" s="114" t="s">
        <v>7644</v>
      </c>
    </row>
    <row r="3757" spans="1:14" ht="18">
      <c r="A3757" s="50" t="s">
        <v>4969</v>
      </c>
      <c r="B3757" s="1" t="s">
        <v>7110</v>
      </c>
      <c r="I3757" s="109"/>
      <c r="J3757" s="109"/>
      <c r="K3757" s="109"/>
      <c r="L3757" s="109" t="str">
        <f t="shared" si="58"/>
        <v>95-951900287</v>
      </c>
      <c r="M3757" s="114">
        <v>951900287</v>
      </c>
      <c r="N3757" s="114" t="s">
        <v>7652</v>
      </c>
    </row>
    <row r="3758" spans="1:14" ht="18">
      <c r="A3758" s="50" t="s">
        <v>4949</v>
      </c>
      <c r="B3758" s="1" t="s">
        <v>7110</v>
      </c>
      <c r="I3758" s="109"/>
      <c r="J3758" s="109"/>
      <c r="K3758" s="109"/>
      <c r="L3758" s="109" t="str">
        <f t="shared" si="58"/>
        <v>95-951900170</v>
      </c>
      <c r="M3758" s="114">
        <v>951900170</v>
      </c>
      <c r="N3758" s="114" t="s">
        <v>7722</v>
      </c>
    </row>
    <row r="3759" spans="1:14" ht="18">
      <c r="A3759" s="50" t="s">
        <v>5021</v>
      </c>
      <c r="B3759" s="1" t="s">
        <v>7110</v>
      </c>
      <c r="I3759" s="109"/>
      <c r="J3759" s="109"/>
      <c r="K3759" s="109"/>
      <c r="L3759" s="109" t="str">
        <f t="shared" si="58"/>
        <v>95-951900090</v>
      </c>
      <c r="M3759" s="114">
        <v>951900090</v>
      </c>
      <c r="N3759" s="114" t="s">
        <v>7710</v>
      </c>
    </row>
    <row r="3760" spans="1:14" ht="18">
      <c r="A3760" s="50" t="s">
        <v>5022</v>
      </c>
      <c r="B3760" s="1" t="s">
        <v>7110</v>
      </c>
      <c r="I3760" s="109"/>
      <c r="J3760" s="109"/>
      <c r="K3760" s="109"/>
      <c r="L3760" s="109" t="str">
        <f t="shared" si="58"/>
        <v>96-962500082</v>
      </c>
      <c r="M3760" s="114">
        <v>962500082</v>
      </c>
      <c r="N3760" s="114" t="s">
        <v>7231</v>
      </c>
    </row>
    <row r="3761" spans="1:14" ht="18">
      <c r="A3761" s="50" t="s">
        <v>5024</v>
      </c>
      <c r="B3761" s="1" t="s">
        <v>7110</v>
      </c>
      <c r="I3761" s="109"/>
      <c r="J3761" s="109"/>
      <c r="K3761" s="109"/>
      <c r="L3761" s="109" t="str">
        <f t="shared" si="58"/>
        <v>95-951400079</v>
      </c>
      <c r="M3761" s="114">
        <v>951400079</v>
      </c>
      <c r="N3761" s="114" t="s">
        <v>7533</v>
      </c>
    </row>
    <row r="3762" spans="1:14" ht="18">
      <c r="A3762" s="50" t="s">
        <v>5025</v>
      </c>
      <c r="B3762" s="1" t="s">
        <v>7110</v>
      </c>
      <c r="I3762" s="109"/>
      <c r="J3762" s="109"/>
      <c r="K3762" s="109"/>
      <c r="L3762" s="109" t="str">
        <f t="shared" si="58"/>
        <v>95-951700361</v>
      </c>
      <c r="M3762" s="114">
        <v>951700361</v>
      </c>
      <c r="N3762" s="114" t="s">
        <v>8157</v>
      </c>
    </row>
    <row r="3763" spans="1:14" ht="18">
      <c r="A3763" s="50" t="s">
        <v>5025</v>
      </c>
      <c r="B3763" s="1" t="s">
        <v>7110</v>
      </c>
      <c r="I3763" s="109"/>
      <c r="J3763" s="109"/>
      <c r="K3763" s="109"/>
      <c r="L3763" s="109" t="str">
        <f t="shared" si="58"/>
        <v>95-951400155</v>
      </c>
      <c r="M3763" s="114">
        <v>951400155</v>
      </c>
      <c r="N3763" s="114" t="s">
        <v>7535</v>
      </c>
    </row>
    <row r="3764" spans="1:14" ht="18">
      <c r="A3764" s="50" t="s">
        <v>5033</v>
      </c>
      <c r="B3764" s="1" t="s">
        <v>7110</v>
      </c>
      <c r="I3764" s="109"/>
      <c r="J3764" s="109"/>
      <c r="K3764" s="109"/>
      <c r="L3764" s="109" t="str">
        <f t="shared" si="58"/>
        <v>95-951400164</v>
      </c>
      <c r="M3764" s="114">
        <v>951400164</v>
      </c>
      <c r="N3764" s="114" t="s">
        <v>7535</v>
      </c>
    </row>
    <row r="3765" spans="1:14" ht="18">
      <c r="A3765" s="50" t="s">
        <v>5036</v>
      </c>
      <c r="B3765" s="1" t="s">
        <v>7110</v>
      </c>
      <c r="I3765" s="109"/>
      <c r="J3765" s="109"/>
      <c r="K3765" s="109"/>
      <c r="L3765" s="109" t="str">
        <f t="shared" si="58"/>
        <v>95-951900084</v>
      </c>
      <c r="M3765" s="114">
        <v>951900084</v>
      </c>
      <c r="N3765" s="114" t="s">
        <v>8158</v>
      </c>
    </row>
    <row r="3766" spans="1:14" ht="18">
      <c r="A3766" s="50" t="s">
        <v>5038</v>
      </c>
      <c r="B3766" s="1" t="s">
        <v>7110</v>
      </c>
      <c r="I3766" s="109"/>
      <c r="J3766" s="109"/>
      <c r="K3766" s="109"/>
      <c r="L3766" s="109" t="str">
        <f t="shared" si="58"/>
        <v>95-951700117</v>
      </c>
      <c r="M3766" s="114">
        <v>951700117</v>
      </c>
      <c r="N3766" s="114" t="s">
        <v>7537</v>
      </c>
    </row>
    <row r="3767" spans="1:14" ht="18">
      <c r="A3767" s="50" t="s">
        <v>5036</v>
      </c>
      <c r="B3767" s="1" t="s">
        <v>7110</v>
      </c>
      <c r="I3767" s="109"/>
      <c r="J3767" s="109"/>
      <c r="K3767" s="109"/>
      <c r="L3767" s="109" t="str">
        <f t="shared" si="58"/>
        <v>95-951700258</v>
      </c>
      <c r="M3767" s="114">
        <v>951700258</v>
      </c>
      <c r="N3767" s="114" t="s">
        <v>7180</v>
      </c>
    </row>
    <row r="3768" spans="1:14" ht="18">
      <c r="A3768" s="50" t="s">
        <v>5036</v>
      </c>
      <c r="B3768" s="1" t="s">
        <v>7110</v>
      </c>
      <c r="I3768" s="109"/>
      <c r="J3768" s="109"/>
      <c r="K3768" s="109"/>
      <c r="L3768" s="109" t="str">
        <f t="shared" si="58"/>
        <v>95-951700265</v>
      </c>
      <c r="M3768" s="114">
        <v>951700265</v>
      </c>
      <c r="N3768" s="114" t="s">
        <v>7179</v>
      </c>
    </row>
    <row r="3769" spans="1:14" ht="18">
      <c r="A3769" s="50" t="s">
        <v>5043</v>
      </c>
      <c r="B3769" s="1" t="s">
        <v>7110</v>
      </c>
      <c r="I3769" s="109"/>
      <c r="J3769" s="109"/>
      <c r="K3769" s="109"/>
      <c r="L3769" s="109" t="str">
        <f t="shared" si="58"/>
        <v>96-961700004</v>
      </c>
      <c r="M3769" s="114">
        <v>961700004</v>
      </c>
      <c r="N3769" s="114" t="s">
        <v>7540</v>
      </c>
    </row>
    <row r="3770" spans="1:14" ht="18">
      <c r="A3770" s="50" t="s">
        <v>5044</v>
      </c>
      <c r="B3770" s="1" t="s">
        <v>7110</v>
      </c>
      <c r="I3770" s="109"/>
      <c r="J3770" s="109"/>
      <c r="K3770" s="109"/>
      <c r="L3770" s="109" t="str">
        <f t="shared" si="58"/>
        <v>96-961800012</v>
      </c>
      <c r="M3770" s="114">
        <v>961800012</v>
      </c>
      <c r="N3770" s="114" t="s">
        <v>7690</v>
      </c>
    </row>
    <row r="3771" spans="1:14" ht="18">
      <c r="A3771" s="50" t="s">
        <v>5068</v>
      </c>
      <c r="B3771" s="1" t="s">
        <v>7110</v>
      </c>
      <c r="I3771" s="109"/>
      <c r="J3771" s="109"/>
      <c r="K3771" s="109"/>
      <c r="L3771" s="109" t="str">
        <f t="shared" si="58"/>
        <v>95-951400082</v>
      </c>
      <c r="M3771" s="114">
        <v>951400082</v>
      </c>
      <c r="N3771" s="114" t="s">
        <v>7868</v>
      </c>
    </row>
    <row r="3772" spans="1:14" ht="18">
      <c r="A3772" s="50" t="s">
        <v>5069</v>
      </c>
      <c r="B3772" s="1" t="s">
        <v>7110</v>
      </c>
      <c r="I3772" s="109"/>
      <c r="J3772" s="109"/>
      <c r="K3772" s="109"/>
      <c r="L3772" s="109" t="str">
        <f t="shared" si="58"/>
        <v>95-951900255</v>
      </c>
      <c r="M3772" s="114">
        <v>951900255</v>
      </c>
      <c r="N3772" s="114" t="s">
        <v>7201</v>
      </c>
    </row>
    <row r="3773" spans="1:14" ht="18">
      <c r="A3773" s="50" t="s">
        <v>5072</v>
      </c>
      <c r="B3773" s="1" t="s">
        <v>7110</v>
      </c>
      <c r="I3773" s="109"/>
      <c r="J3773" s="109"/>
      <c r="K3773" s="109"/>
      <c r="L3773" s="109" t="str">
        <f t="shared" si="58"/>
        <v>95-952500002</v>
      </c>
      <c r="M3773" s="114">
        <v>952500002</v>
      </c>
      <c r="N3773" s="114" t="s">
        <v>5605</v>
      </c>
    </row>
    <row r="3774" spans="1:14" ht="18">
      <c r="A3774" s="50" t="s">
        <v>5074</v>
      </c>
      <c r="B3774" s="1" t="s">
        <v>7110</v>
      </c>
      <c r="I3774" s="109"/>
      <c r="J3774" s="109"/>
      <c r="K3774" s="109"/>
      <c r="L3774" s="109" t="str">
        <f t="shared" si="58"/>
        <v>95-952500008</v>
      </c>
      <c r="M3774" s="114">
        <v>952500008</v>
      </c>
      <c r="N3774" s="114" t="s">
        <v>5618</v>
      </c>
    </row>
    <row r="3775" spans="1:14" ht="18">
      <c r="A3775" s="50" t="s">
        <v>5072</v>
      </c>
      <c r="B3775" s="1" t="s">
        <v>7110</v>
      </c>
      <c r="I3775" s="109"/>
      <c r="J3775" s="109"/>
      <c r="K3775" s="109"/>
      <c r="L3775" s="109" t="str">
        <f t="shared" si="58"/>
        <v>95-952500009</v>
      </c>
      <c r="M3775" s="114">
        <v>952500009</v>
      </c>
      <c r="N3775" s="114" t="s">
        <v>5618</v>
      </c>
    </row>
    <row r="3776" spans="1:14" ht="18">
      <c r="A3776" s="50" t="s">
        <v>5068</v>
      </c>
      <c r="B3776" s="1" t="s">
        <v>7110</v>
      </c>
      <c r="I3776" s="109"/>
      <c r="J3776" s="109"/>
      <c r="K3776" s="109"/>
      <c r="L3776" s="109" t="str">
        <f t="shared" si="58"/>
        <v>95-952500010</v>
      </c>
      <c r="M3776" s="114">
        <v>952500010</v>
      </c>
      <c r="N3776" s="114" t="s">
        <v>5613</v>
      </c>
    </row>
    <row r="3777" spans="1:14" ht="18">
      <c r="A3777" s="50" t="s">
        <v>5072</v>
      </c>
      <c r="B3777" s="1" t="s">
        <v>7110</v>
      </c>
      <c r="I3777" s="109"/>
      <c r="J3777" s="109"/>
      <c r="K3777" s="109"/>
      <c r="L3777" s="109" t="str">
        <f t="shared" si="58"/>
        <v>95-952500019</v>
      </c>
      <c r="M3777" s="114">
        <v>952500019</v>
      </c>
      <c r="N3777" s="114" t="s">
        <v>5618</v>
      </c>
    </row>
    <row r="3778" spans="1:14" ht="18">
      <c r="A3778" s="50" t="s">
        <v>5075</v>
      </c>
      <c r="B3778" s="1" t="s">
        <v>7110</v>
      </c>
      <c r="I3778" s="109"/>
      <c r="J3778" s="109"/>
      <c r="K3778" s="109"/>
      <c r="L3778" s="109" t="str">
        <f t="shared" si="58"/>
        <v>95-952500033</v>
      </c>
      <c r="M3778" s="114">
        <v>952500033</v>
      </c>
      <c r="N3778" s="114" t="s">
        <v>5618</v>
      </c>
    </row>
    <row r="3779" spans="1:14" ht="18">
      <c r="A3779" s="50" t="s">
        <v>5075</v>
      </c>
      <c r="B3779" s="1" t="s">
        <v>7110</v>
      </c>
      <c r="I3779" s="109"/>
      <c r="J3779" s="109"/>
      <c r="K3779" s="109"/>
      <c r="L3779" s="109" t="str">
        <f t="shared" ref="L3779:L3842" si="59">MID(M3779,1,2)&amp;"-"&amp;M3779</f>
        <v>95-952500051</v>
      </c>
      <c r="M3779" s="114">
        <v>952500051</v>
      </c>
      <c r="N3779" s="114" t="s">
        <v>5675</v>
      </c>
    </row>
    <row r="3780" spans="1:14" ht="18">
      <c r="A3780" s="50" t="s">
        <v>5069</v>
      </c>
      <c r="B3780" s="1" t="s">
        <v>7110</v>
      </c>
      <c r="I3780" s="109"/>
      <c r="J3780" s="109"/>
      <c r="K3780" s="109"/>
      <c r="L3780" s="109" t="str">
        <f t="shared" si="59"/>
        <v>95-952500059</v>
      </c>
      <c r="M3780" s="114">
        <v>952500059</v>
      </c>
      <c r="N3780" s="114" t="s">
        <v>5675</v>
      </c>
    </row>
    <row r="3781" spans="1:14" ht="18">
      <c r="A3781" s="50" t="s">
        <v>5068</v>
      </c>
      <c r="B3781" s="1" t="s">
        <v>7110</v>
      </c>
      <c r="I3781" s="109"/>
      <c r="J3781" s="109"/>
      <c r="K3781" s="109"/>
      <c r="L3781" s="109" t="str">
        <f t="shared" si="59"/>
        <v>96-962500006</v>
      </c>
      <c r="M3781" s="114">
        <v>962500006</v>
      </c>
      <c r="N3781" s="114" t="s">
        <v>5758</v>
      </c>
    </row>
    <row r="3782" spans="1:14" ht="18">
      <c r="A3782" s="50" t="s">
        <v>5069</v>
      </c>
      <c r="B3782" s="1" t="s">
        <v>7110</v>
      </c>
      <c r="I3782" s="109"/>
      <c r="J3782" s="109"/>
      <c r="K3782" s="109"/>
      <c r="L3782" s="109" t="str">
        <f t="shared" si="59"/>
        <v>96-962500042</v>
      </c>
      <c r="M3782" s="114">
        <v>962500042</v>
      </c>
      <c r="N3782" s="114" t="s">
        <v>5814</v>
      </c>
    </row>
    <row r="3783" spans="1:14" ht="18">
      <c r="A3783" s="50" t="s">
        <v>5072</v>
      </c>
      <c r="B3783" s="1" t="s">
        <v>7110</v>
      </c>
      <c r="I3783" s="109"/>
      <c r="J3783" s="109"/>
      <c r="K3783" s="109"/>
      <c r="L3783" s="109" t="str">
        <f t="shared" si="59"/>
        <v>95-951700011</v>
      </c>
      <c r="M3783" s="114">
        <v>951700011</v>
      </c>
      <c r="N3783" s="114" t="s">
        <v>7517</v>
      </c>
    </row>
    <row r="3784" spans="1:14" ht="18">
      <c r="A3784" s="50" t="s">
        <v>5075</v>
      </c>
      <c r="B3784" s="1" t="s">
        <v>7110</v>
      </c>
      <c r="I3784" s="109"/>
      <c r="J3784" s="109"/>
      <c r="K3784" s="109"/>
      <c r="L3784" s="109" t="str">
        <f t="shared" si="59"/>
        <v>95-951700014</v>
      </c>
      <c r="M3784" s="114">
        <v>951700014</v>
      </c>
      <c r="N3784" s="114" t="s">
        <v>7517</v>
      </c>
    </row>
    <row r="3785" spans="1:14" ht="18">
      <c r="A3785" s="50" t="s">
        <v>5074</v>
      </c>
      <c r="B3785" s="1" t="s">
        <v>7110</v>
      </c>
      <c r="I3785" s="109"/>
      <c r="J3785" s="109"/>
      <c r="K3785" s="109"/>
      <c r="L3785" s="109" t="str">
        <f t="shared" si="59"/>
        <v>95-951700068</v>
      </c>
      <c r="M3785" s="114">
        <v>951700068</v>
      </c>
      <c r="N3785" s="114" t="s">
        <v>7518</v>
      </c>
    </row>
    <row r="3786" spans="1:14" ht="18">
      <c r="A3786" s="50" t="s">
        <v>5072</v>
      </c>
      <c r="B3786" s="1" t="s">
        <v>7110</v>
      </c>
      <c r="I3786" s="109"/>
      <c r="J3786" s="109"/>
      <c r="K3786" s="109"/>
      <c r="L3786" s="109" t="str">
        <f t="shared" si="59"/>
        <v>95-951700077</v>
      </c>
      <c r="M3786" s="114">
        <v>951700077</v>
      </c>
      <c r="N3786" s="114" t="s">
        <v>7724</v>
      </c>
    </row>
    <row r="3787" spans="1:14" ht="18">
      <c r="A3787" s="50" t="s">
        <v>5076</v>
      </c>
      <c r="B3787" s="1" t="s">
        <v>7110</v>
      </c>
      <c r="I3787" s="109"/>
      <c r="J3787" s="109"/>
      <c r="K3787" s="109"/>
      <c r="L3787" s="109" t="str">
        <f t="shared" si="59"/>
        <v>95-951700118</v>
      </c>
      <c r="M3787" s="114">
        <v>951700118</v>
      </c>
      <c r="N3787" s="114" t="s">
        <v>7525</v>
      </c>
    </row>
    <row r="3788" spans="1:14" ht="18">
      <c r="A3788" s="50" t="s">
        <v>5075</v>
      </c>
      <c r="B3788" s="1" t="s">
        <v>7110</v>
      </c>
      <c r="I3788" s="109"/>
      <c r="J3788" s="109"/>
      <c r="K3788" s="109"/>
      <c r="L3788" s="109" t="str">
        <f t="shared" si="59"/>
        <v>95-951700123</v>
      </c>
      <c r="M3788" s="114">
        <v>951700123</v>
      </c>
      <c r="N3788" s="114" t="s">
        <v>7525</v>
      </c>
    </row>
    <row r="3789" spans="1:14" ht="18">
      <c r="A3789" s="50" t="s">
        <v>5072</v>
      </c>
      <c r="B3789" s="1" t="s">
        <v>7110</v>
      </c>
      <c r="I3789" s="109"/>
      <c r="J3789" s="109"/>
      <c r="K3789" s="109"/>
      <c r="L3789" s="109" t="str">
        <f t="shared" si="59"/>
        <v>95-951700173</v>
      </c>
      <c r="M3789" s="114">
        <v>951700173</v>
      </c>
      <c r="N3789" s="114" t="s">
        <v>7527</v>
      </c>
    </row>
    <row r="3790" spans="1:14" ht="18">
      <c r="A3790" s="50" t="s">
        <v>5076</v>
      </c>
      <c r="B3790" s="1" t="s">
        <v>7110</v>
      </c>
      <c r="I3790" s="109"/>
      <c r="J3790" s="109"/>
      <c r="K3790" s="109"/>
      <c r="L3790" s="109" t="str">
        <f t="shared" si="59"/>
        <v>95-951400072</v>
      </c>
      <c r="M3790" s="114">
        <v>951400072</v>
      </c>
      <c r="N3790" s="114" t="s">
        <v>7185</v>
      </c>
    </row>
    <row r="3791" spans="1:14" ht="18">
      <c r="A3791" s="50" t="s">
        <v>5172</v>
      </c>
      <c r="B3791" s="1" t="s">
        <v>7110</v>
      </c>
      <c r="I3791" s="109"/>
      <c r="J3791" s="109"/>
      <c r="K3791" s="109"/>
      <c r="L3791" s="109" t="str">
        <f t="shared" si="59"/>
        <v>95-951700246</v>
      </c>
      <c r="M3791" s="114">
        <v>951700246</v>
      </c>
      <c r="N3791" s="114" t="s">
        <v>7525</v>
      </c>
    </row>
    <row r="3792" spans="1:14" ht="18">
      <c r="A3792" s="50" t="s">
        <v>5175</v>
      </c>
      <c r="B3792" s="1" t="s">
        <v>7110</v>
      </c>
      <c r="I3792" s="109"/>
      <c r="J3792" s="109"/>
      <c r="K3792" s="109"/>
      <c r="L3792" s="109" t="str">
        <f t="shared" si="59"/>
        <v>95-951600091</v>
      </c>
      <c r="M3792" s="114">
        <v>951600091</v>
      </c>
      <c r="N3792" s="114" t="s">
        <v>7737</v>
      </c>
    </row>
    <row r="3793" spans="1:14" ht="18">
      <c r="A3793" s="50" t="s">
        <v>5022</v>
      </c>
      <c r="B3793" s="1" t="s">
        <v>7110</v>
      </c>
      <c r="I3793" s="109"/>
      <c r="J3793" s="109"/>
      <c r="K3793" s="109"/>
      <c r="L3793" s="109" t="str">
        <f t="shared" si="59"/>
        <v>95-951800009</v>
      </c>
      <c r="M3793" s="114">
        <v>951800009</v>
      </c>
      <c r="N3793" s="114" t="s">
        <v>8418</v>
      </c>
    </row>
    <row r="3794" spans="1:14" ht="18">
      <c r="A3794" s="50" t="s">
        <v>5187</v>
      </c>
      <c r="B3794" s="1" t="s">
        <v>7110</v>
      </c>
      <c r="I3794" s="109"/>
      <c r="J3794" s="109"/>
      <c r="K3794" s="109"/>
      <c r="L3794" s="109" t="str">
        <f t="shared" si="59"/>
        <v>95-951300005</v>
      </c>
      <c r="M3794" s="114">
        <v>951300005</v>
      </c>
      <c r="N3794" s="114" t="s">
        <v>8288</v>
      </c>
    </row>
    <row r="3795" spans="1:14" ht="18">
      <c r="A3795" s="50" t="s">
        <v>5192</v>
      </c>
      <c r="B3795" s="1" t="s">
        <v>7110</v>
      </c>
      <c r="I3795" s="109"/>
      <c r="J3795" s="109"/>
      <c r="K3795" s="109"/>
      <c r="L3795" s="109" t="str">
        <f t="shared" si="59"/>
        <v>95-951300021</v>
      </c>
      <c r="M3795" s="114">
        <v>951300021</v>
      </c>
      <c r="N3795" s="114" t="s">
        <v>7818</v>
      </c>
    </row>
    <row r="3796" spans="1:14" ht="18">
      <c r="A3796" s="50" t="s">
        <v>5204</v>
      </c>
      <c r="B3796" s="1" t="s">
        <v>7110</v>
      </c>
      <c r="I3796" s="109"/>
      <c r="J3796" s="109"/>
      <c r="K3796" s="109"/>
      <c r="L3796" s="109" t="str">
        <f t="shared" si="59"/>
        <v>95-951300036</v>
      </c>
      <c r="M3796" s="114">
        <v>951300036</v>
      </c>
      <c r="N3796" s="114" t="s">
        <v>7665</v>
      </c>
    </row>
    <row r="3797" spans="1:14" ht="18">
      <c r="A3797" s="50" t="s">
        <v>5192</v>
      </c>
      <c r="B3797" s="1" t="s">
        <v>7110</v>
      </c>
      <c r="I3797" s="109"/>
      <c r="J3797" s="109"/>
      <c r="K3797" s="109"/>
      <c r="L3797" s="109" t="str">
        <f t="shared" si="59"/>
        <v>95-951600014</v>
      </c>
      <c r="M3797" s="114">
        <v>951600014</v>
      </c>
      <c r="N3797" s="114" t="s">
        <v>7582</v>
      </c>
    </row>
    <row r="3798" spans="1:14" ht="18">
      <c r="A3798" s="50" t="s">
        <v>5033</v>
      </c>
      <c r="B3798" s="1" t="s">
        <v>7110</v>
      </c>
      <c r="I3798" s="109"/>
      <c r="J3798" s="109"/>
      <c r="K3798" s="109"/>
      <c r="L3798" s="109" t="str">
        <f t="shared" si="59"/>
        <v>95-951700089</v>
      </c>
      <c r="M3798" s="114">
        <v>951700089</v>
      </c>
      <c r="N3798" s="114" t="s">
        <v>8419</v>
      </c>
    </row>
    <row r="3799" spans="1:14" ht="18">
      <c r="A3799" s="50" t="s">
        <v>5192</v>
      </c>
      <c r="B3799" s="1" t="s">
        <v>7110</v>
      </c>
      <c r="I3799" s="109"/>
      <c r="J3799" s="109"/>
      <c r="K3799" s="109"/>
      <c r="L3799" s="109" t="str">
        <f t="shared" si="59"/>
        <v>96-961700016</v>
      </c>
      <c r="M3799" s="114">
        <v>961700016</v>
      </c>
      <c r="N3799" s="114" t="s">
        <v>7541</v>
      </c>
    </row>
    <row r="3800" spans="1:14" ht="18">
      <c r="A3800" s="50" t="s">
        <v>5075</v>
      </c>
      <c r="B3800" s="1" t="s">
        <v>7110</v>
      </c>
      <c r="I3800" s="109"/>
      <c r="J3800" s="109"/>
      <c r="K3800" s="109"/>
      <c r="L3800" s="109" t="str">
        <f t="shared" si="59"/>
        <v>96-961700137</v>
      </c>
      <c r="M3800" s="114">
        <v>961700137</v>
      </c>
      <c r="N3800" s="114" t="s">
        <v>7199</v>
      </c>
    </row>
    <row r="3801" spans="1:14" ht="18">
      <c r="A3801" s="50" t="s">
        <v>5075</v>
      </c>
      <c r="B3801" s="1" t="s">
        <v>7110</v>
      </c>
      <c r="I3801" s="109"/>
      <c r="J3801" s="109"/>
      <c r="K3801" s="109"/>
      <c r="L3801" s="109" t="str">
        <f t="shared" si="59"/>
        <v>96-961800045</v>
      </c>
      <c r="M3801" s="114">
        <v>961800045</v>
      </c>
      <c r="N3801" s="114" t="s">
        <v>8163</v>
      </c>
    </row>
    <row r="3802" spans="1:14" ht="18">
      <c r="A3802" s="50" t="s">
        <v>5211</v>
      </c>
      <c r="B3802" s="1" t="s">
        <v>7110</v>
      </c>
      <c r="I3802" s="109"/>
      <c r="J3802" s="109"/>
      <c r="K3802" s="109"/>
      <c r="L3802" s="109" t="str">
        <f t="shared" si="59"/>
        <v>96-961900093</v>
      </c>
      <c r="M3802" s="114">
        <v>961900093</v>
      </c>
      <c r="N3802" s="114" t="s">
        <v>8164</v>
      </c>
    </row>
    <row r="3803" spans="1:14" ht="18">
      <c r="A3803" s="50" t="s">
        <v>5211</v>
      </c>
      <c r="B3803" s="1" t="s">
        <v>7110</v>
      </c>
      <c r="I3803" s="109"/>
      <c r="J3803" s="109"/>
      <c r="K3803" s="109"/>
      <c r="L3803" s="109" t="str">
        <f t="shared" si="59"/>
        <v>95-951900272</v>
      </c>
      <c r="M3803" s="114">
        <v>951900272</v>
      </c>
      <c r="N3803" s="114" t="s">
        <v>8165</v>
      </c>
    </row>
    <row r="3804" spans="1:14" ht="18">
      <c r="A3804" s="50" t="s">
        <v>5212</v>
      </c>
      <c r="B3804" s="1" t="s">
        <v>7110</v>
      </c>
      <c r="I3804" s="109"/>
      <c r="J3804" s="109"/>
      <c r="K3804" s="109"/>
      <c r="L3804" s="109" t="str">
        <f t="shared" si="59"/>
        <v>95-951600003</v>
      </c>
      <c r="M3804" s="114">
        <v>951600003</v>
      </c>
      <c r="N3804" s="114" t="s">
        <v>8166</v>
      </c>
    </row>
    <row r="3805" spans="1:14" ht="18">
      <c r="A3805" s="50" t="s">
        <v>5215</v>
      </c>
      <c r="B3805" s="1" t="s">
        <v>7110</v>
      </c>
      <c r="I3805" s="109"/>
      <c r="J3805" s="109"/>
      <c r="K3805" s="109"/>
      <c r="L3805" s="109" t="str">
        <f t="shared" si="59"/>
        <v>95-951800124</v>
      </c>
      <c r="M3805" s="114">
        <v>951800124</v>
      </c>
      <c r="N3805" s="114" t="s">
        <v>7672</v>
      </c>
    </row>
    <row r="3806" spans="1:14" ht="18">
      <c r="A3806" s="50" t="s">
        <v>4969</v>
      </c>
      <c r="B3806" s="1" t="s">
        <v>7110</v>
      </c>
      <c r="I3806" s="109"/>
      <c r="J3806" s="109"/>
      <c r="K3806" s="109"/>
      <c r="L3806" s="109" t="str">
        <f t="shared" si="59"/>
        <v>96-961900008</v>
      </c>
      <c r="M3806" s="114">
        <v>961900008</v>
      </c>
      <c r="N3806" s="114" t="s">
        <v>7598</v>
      </c>
    </row>
    <row r="3807" spans="1:14" ht="18">
      <c r="A3807" s="50" t="s">
        <v>5219</v>
      </c>
      <c r="B3807" s="1" t="s">
        <v>7110</v>
      </c>
      <c r="I3807" s="109"/>
      <c r="J3807" s="109"/>
      <c r="K3807" s="109"/>
      <c r="L3807" s="109" t="str">
        <f t="shared" si="59"/>
        <v>95-951900185</v>
      </c>
      <c r="M3807" s="114">
        <v>951900185</v>
      </c>
      <c r="N3807" s="114" t="s">
        <v>7548</v>
      </c>
    </row>
    <row r="3808" spans="1:14" ht="18">
      <c r="A3808" s="50" t="s">
        <v>5211</v>
      </c>
      <c r="B3808" s="1" t="s">
        <v>7110</v>
      </c>
      <c r="I3808" s="109"/>
      <c r="J3808" s="109"/>
      <c r="K3808" s="109"/>
      <c r="L3808" s="109" t="str">
        <f t="shared" si="59"/>
        <v>96-962500087</v>
      </c>
      <c r="M3808" s="114">
        <v>962500087</v>
      </c>
      <c r="N3808" s="114" t="s">
        <v>7231</v>
      </c>
    </row>
    <row r="3809" spans="1:14" ht="18">
      <c r="A3809" s="50" t="s">
        <v>5215</v>
      </c>
      <c r="B3809" s="1" t="s">
        <v>7110</v>
      </c>
      <c r="I3809" s="109"/>
      <c r="J3809" s="109"/>
      <c r="K3809" s="109"/>
      <c r="L3809" s="109" t="str">
        <f t="shared" si="59"/>
        <v>96-962500121</v>
      </c>
      <c r="M3809" s="114">
        <v>962500121</v>
      </c>
      <c r="N3809" s="114" t="s">
        <v>7175</v>
      </c>
    </row>
    <row r="3810" spans="1:14" ht="18">
      <c r="A3810" s="50" t="s">
        <v>5219</v>
      </c>
      <c r="B3810" s="1" t="s">
        <v>7110</v>
      </c>
      <c r="I3810" s="109"/>
      <c r="J3810" s="109"/>
      <c r="K3810" s="109"/>
      <c r="L3810" s="109" t="str">
        <f t="shared" si="59"/>
        <v>96-962500097</v>
      </c>
      <c r="M3810" s="114">
        <v>962500097</v>
      </c>
      <c r="N3810" s="114" t="s">
        <v>7603</v>
      </c>
    </row>
    <row r="3811" spans="1:14" ht="18">
      <c r="A3811" s="50" t="s">
        <v>5074</v>
      </c>
      <c r="B3811" s="1" t="s">
        <v>7110</v>
      </c>
      <c r="I3811" s="109"/>
      <c r="J3811" s="109"/>
      <c r="K3811" s="109"/>
      <c r="L3811" s="109" t="str">
        <f t="shared" si="59"/>
        <v>95-952500062</v>
      </c>
      <c r="M3811" s="114">
        <v>952500062</v>
      </c>
      <c r="N3811" s="114" t="s">
        <v>5706</v>
      </c>
    </row>
    <row r="3812" spans="1:14" ht="18">
      <c r="A3812" s="50" t="s">
        <v>5074</v>
      </c>
      <c r="B3812" s="1" t="s">
        <v>7110</v>
      </c>
      <c r="I3812" s="109"/>
      <c r="J3812" s="109"/>
      <c r="K3812" s="109"/>
      <c r="L3812" s="109" t="str">
        <f t="shared" si="59"/>
        <v>96-962500069</v>
      </c>
      <c r="M3812" s="114">
        <v>962500069</v>
      </c>
      <c r="N3812" s="114" t="s">
        <v>5842</v>
      </c>
    </row>
    <row r="3813" spans="1:14" ht="18">
      <c r="A3813" s="50" t="s">
        <v>5075</v>
      </c>
      <c r="B3813" s="1" t="s">
        <v>7110</v>
      </c>
      <c r="I3813" s="109"/>
      <c r="J3813" s="109"/>
      <c r="K3813" s="109"/>
      <c r="L3813" s="109" t="str">
        <f t="shared" si="59"/>
        <v>96-962500108</v>
      </c>
      <c r="M3813" s="114">
        <v>962500108</v>
      </c>
      <c r="N3813" s="114" t="s">
        <v>7145</v>
      </c>
    </row>
    <row r="3814" spans="1:14" ht="18">
      <c r="A3814" s="50" t="s">
        <v>5075</v>
      </c>
      <c r="B3814" s="1" t="s">
        <v>7110</v>
      </c>
      <c r="I3814" s="109"/>
      <c r="J3814" s="109"/>
      <c r="K3814" s="109"/>
      <c r="L3814" s="109" t="str">
        <f t="shared" si="59"/>
        <v>96-962500122</v>
      </c>
      <c r="M3814" s="114">
        <v>962500122</v>
      </c>
      <c r="N3814" s="114" t="s">
        <v>7145</v>
      </c>
    </row>
    <row r="3815" spans="1:14" ht="18">
      <c r="A3815" s="50" t="s">
        <v>5211</v>
      </c>
      <c r="B3815" s="1" t="s">
        <v>7110</v>
      </c>
      <c r="I3815" s="109"/>
      <c r="J3815" s="109"/>
      <c r="K3815" s="109"/>
      <c r="L3815" s="109" t="str">
        <f t="shared" si="59"/>
        <v>96-962500012</v>
      </c>
      <c r="M3815" s="114">
        <v>962500012</v>
      </c>
      <c r="N3815" s="114" t="s">
        <v>5780</v>
      </c>
    </row>
    <row r="3816" spans="1:14" ht="18">
      <c r="A3816" s="50" t="s">
        <v>5275</v>
      </c>
      <c r="B3816" s="1" t="s">
        <v>7110</v>
      </c>
      <c r="I3816" s="109"/>
      <c r="J3816" s="109"/>
      <c r="K3816" s="109"/>
      <c r="L3816" s="109" t="str">
        <f t="shared" si="59"/>
        <v>96-962500116</v>
      </c>
      <c r="M3816" s="114">
        <v>962500116</v>
      </c>
      <c r="N3816" s="114" t="s">
        <v>8081</v>
      </c>
    </row>
    <row r="3817" spans="1:14" ht="18">
      <c r="A3817" s="50" t="s">
        <v>5275</v>
      </c>
      <c r="B3817" s="1" t="s">
        <v>7110</v>
      </c>
      <c r="I3817" s="109"/>
      <c r="J3817" s="109"/>
      <c r="K3817" s="109"/>
      <c r="L3817" s="109" t="str">
        <f t="shared" si="59"/>
        <v>95-954200022</v>
      </c>
      <c r="M3817" s="114">
        <v>954200022</v>
      </c>
      <c r="N3817" s="114" t="s">
        <v>5641</v>
      </c>
    </row>
    <row r="3818" spans="1:14" ht="18">
      <c r="A3818" s="50" t="s">
        <v>5275</v>
      </c>
      <c r="B3818" s="1" t="s">
        <v>7110</v>
      </c>
      <c r="I3818" s="109"/>
      <c r="J3818" s="109"/>
      <c r="K3818" s="109"/>
      <c r="L3818" s="109" t="str">
        <f t="shared" si="59"/>
        <v>95-954200023</v>
      </c>
      <c r="M3818" s="114">
        <v>954200023</v>
      </c>
      <c r="N3818" s="114" t="s">
        <v>5643</v>
      </c>
    </row>
    <row r="3819" spans="1:14" ht="18">
      <c r="A3819" s="50" t="s">
        <v>5275</v>
      </c>
      <c r="B3819" s="1" t="s">
        <v>7110</v>
      </c>
      <c r="I3819" s="109"/>
      <c r="J3819" s="109"/>
      <c r="K3819" s="109"/>
      <c r="L3819" s="109" t="str">
        <f t="shared" si="59"/>
        <v>95-954200039</v>
      </c>
      <c r="M3819" s="114">
        <v>954200039</v>
      </c>
      <c r="N3819" s="114" t="s">
        <v>5654</v>
      </c>
    </row>
    <row r="3820" spans="1:14" ht="18">
      <c r="A3820" s="50" t="s">
        <v>5277</v>
      </c>
      <c r="B3820" s="1" t="s">
        <v>7110</v>
      </c>
      <c r="I3820" s="109"/>
      <c r="J3820" s="109"/>
      <c r="K3820" s="109"/>
      <c r="L3820" s="109" t="str">
        <f t="shared" si="59"/>
        <v>95-951900316</v>
      </c>
      <c r="M3820" s="114">
        <v>951900316</v>
      </c>
      <c r="N3820" s="114" t="s">
        <v>7800</v>
      </c>
    </row>
    <row r="3821" spans="1:14" ht="18">
      <c r="A3821" s="50" t="s">
        <v>5280</v>
      </c>
      <c r="B3821" s="1" t="s">
        <v>7110</v>
      </c>
      <c r="I3821" s="109"/>
      <c r="J3821" s="109"/>
      <c r="K3821" s="109"/>
      <c r="L3821" s="109" t="str">
        <f t="shared" si="59"/>
        <v>95-951900159</v>
      </c>
      <c r="M3821" s="114">
        <v>951900159</v>
      </c>
      <c r="N3821" s="114" t="s">
        <v>7825</v>
      </c>
    </row>
    <row r="3822" spans="1:14" ht="18">
      <c r="A3822" s="50" t="s">
        <v>5280</v>
      </c>
      <c r="B3822" s="1" t="s">
        <v>7110</v>
      </c>
      <c r="I3822" s="109"/>
      <c r="J3822" s="109"/>
      <c r="K3822" s="109"/>
      <c r="L3822" s="109" t="str">
        <f t="shared" si="59"/>
        <v>95-951400092</v>
      </c>
      <c r="M3822" s="114">
        <v>951400092</v>
      </c>
      <c r="N3822" s="114" t="s">
        <v>7882</v>
      </c>
    </row>
    <row r="3823" spans="1:14" ht="18">
      <c r="A3823" s="50" t="s">
        <v>5283</v>
      </c>
      <c r="B3823" s="1" t="s">
        <v>7110</v>
      </c>
      <c r="I3823" s="109"/>
      <c r="J3823" s="109"/>
      <c r="K3823" s="109"/>
      <c r="L3823" s="109" t="str">
        <f t="shared" si="59"/>
        <v>95-951900160</v>
      </c>
      <c r="M3823" s="114">
        <v>951900160</v>
      </c>
      <c r="N3823" s="114" t="s">
        <v>7165</v>
      </c>
    </row>
    <row r="3824" spans="1:14" ht="18">
      <c r="A3824" s="50" t="s">
        <v>5283</v>
      </c>
      <c r="B3824" s="1" t="s">
        <v>7110</v>
      </c>
      <c r="I3824" s="109"/>
      <c r="J3824" s="109"/>
      <c r="K3824" s="109"/>
      <c r="L3824" s="109" t="str">
        <f t="shared" si="59"/>
        <v>95-951900258</v>
      </c>
      <c r="M3824" s="114">
        <v>951900258</v>
      </c>
      <c r="N3824" s="114" t="s">
        <v>7830</v>
      </c>
    </row>
    <row r="3825" spans="1:14" ht="18">
      <c r="A3825" s="50" t="s">
        <v>5175</v>
      </c>
      <c r="B3825" s="1" t="s">
        <v>7110</v>
      </c>
      <c r="I3825" s="109"/>
      <c r="J3825" s="109"/>
      <c r="K3825" s="109"/>
      <c r="L3825" s="109" t="str">
        <f t="shared" si="59"/>
        <v>95-951400145</v>
      </c>
      <c r="M3825" s="114">
        <v>951400145</v>
      </c>
      <c r="N3825" s="114" t="s">
        <v>8320</v>
      </c>
    </row>
    <row r="3826" spans="1:14" ht="18">
      <c r="A3826" s="50" t="s">
        <v>5289</v>
      </c>
      <c r="B3826" s="1" t="s">
        <v>7110</v>
      </c>
      <c r="I3826" s="109"/>
      <c r="J3826" s="109"/>
      <c r="K3826" s="109"/>
      <c r="L3826" s="109" t="str">
        <f t="shared" si="59"/>
        <v>96-961700030</v>
      </c>
      <c r="M3826" s="114">
        <v>961700030</v>
      </c>
      <c r="N3826" s="114" t="s">
        <v>8420</v>
      </c>
    </row>
    <row r="3827" spans="1:14" ht="18">
      <c r="A3827" s="50" t="s">
        <v>5187</v>
      </c>
      <c r="B3827" s="1" t="s">
        <v>7110</v>
      </c>
      <c r="I3827" s="109"/>
      <c r="J3827" s="109"/>
      <c r="K3827" s="109"/>
      <c r="L3827" s="109" t="str">
        <f t="shared" si="59"/>
        <v>96-961700114</v>
      </c>
      <c r="M3827" s="114">
        <v>961700114</v>
      </c>
      <c r="N3827" s="114" t="s">
        <v>7160</v>
      </c>
    </row>
    <row r="3828" spans="1:14" ht="18">
      <c r="A3828" s="50" t="s">
        <v>5289</v>
      </c>
      <c r="B3828" s="1" t="s">
        <v>7110</v>
      </c>
      <c r="I3828" s="109"/>
      <c r="J3828" s="109"/>
      <c r="K3828" s="109"/>
      <c r="L3828" s="109" t="str">
        <f t="shared" si="59"/>
        <v>96-961700120</v>
      </c>
      <c r="M3828" s="114">
        <v>961700120</v>
      </c>
      <c r="N3828" s="114" t="s">
        <v>7160</v>
      </c>
    </row>
    <row r="3829" spans="1:14" ht="18">
      <c r="A3829" s="50" t="s">
        <v>5325</v>
      </c>
      <c r="B3829" s="1" t="s">
        <v>7110</v>
      </c>
      <c r="I3829" s="109"/>
      <c r="J3829" s="109"/>
      <c r="K3829" s="109"/>
      <c r="L3829" s="109" t="str">
        <f t="shared" si="59"/>
        <v>95-951600077</v>
      </c>
      <c r="M3829" s="114">
        <v>951600077</v>
      </c>
      <c r="N3829" s="114" t="s">
        <v>7738</v>
      </c>
    </row>
    <row r="3830" spans="1:14" ht="18">
      <c r="A3830" s="50" t="s">
        <v>5219</v>
      </c>
      <c r="B3830" s="1" t="s">
        <v>7110</v>
      </c>
      <c r="I3830" s="109"/>
      <c r="J3830" s="109"/>
      <c r="K3830" s="109"/>
      <c r="L3830" s="109" t="str">
        <f t="shared" si="59"/>
        <v>96-961600001</v>
      </c>
      <c r="M3830" s="114">
        <v>961600001</v>
      </c>
      <c r="N3830" s="114" t="s">
        <v>7598</v>
      </c>
    </row>
    <row r="3831" spans="1:14" ht="18">
      <c r="A3831" s="50" t="s">
        <v>5327</v>
      </c>
      <c r="B3831" s="1" t="s">
        <v>7110</v>
      </c>
      <c r="I3831" s="109"/>
      <c r="J3831" s="109"/>
      <c r="K3831" s="109"/>
      <c r="L3831" s="109" t="str">
        <f t="shared" si="59"/>
        <v>95-951700044</v>
      </c>
      <c r="M3831" s="114">
        <v>951700044</v>
      </c>
      <c r="N3831" s="114" t="s">
        <v>7739</v>
      </c>
    </row>
    <row r="3832" spans="1:14" ht="18">
      <c r="A3832" s="50" t="s">
        <v>5277</v>
      </c>
      <c r="B3832" s="1" t="s">
        <v>7110</v>
      </c>
      <c r="I3832" s="109"/>
      <c r="J3832" s="109"/>
      <c r="K3832" s="109"/>
      <c r="L3832" s="109" t="str">
        <f t="shared" si="59"/>
        <v>95-951700114</v>
      </c>
      <c r="M3832" s="114">
        <v>951700114</v>
      </c>
      <c r="N3832" s="114" t="s">
        <v>7739</v>
      </c>
    </row>
    <row r="3833" spans="1:14" ht="18">
      <c r="A3833" s="50" t="s">
        <v>5329</v>
      </c>
      <c r="B3833" s="1" t="s">
        <v>7110</v>
      </c>
      <c r="I3833" s="109"/>
      <c r="J3833" s="109"/>
      <c r="K3833" s="109"/>
      <c r="L3833" s="109" t="str">
        <f t="shared" si="59"/>
        <v>95-951900001</v>
      </c>
      <c r="M3833" s="114">
        <v>951900001</v>
      </c>
      <c r="N3833" s="114" t="s">
        <v>7740</v>
      </c>
    </row>
    <row r="3834" spans="1:14" ht="18">
      <c r="A3834" s="50" t="s">
        <v>5330</v>
      </c>
      <c r="B3834" s="1" t="s">
        <v>7110</v>
      </c>
      <c r="I3834" s="109"/>
      <c r="J3834" s="109"/>
      <c r="K3834" s="109"/>
      <c r="L3834" s="109" t="str">
        <f t="shared" si="59"/>
        <v>95-951900104</v>
      </c>
      <c r="M3834" s="114">
        <v>951900104</v>
      </c>
      <c r="N3834" s="114" t="s">
        <v>7741</v>
      </c>
    </row>
    <row r="3835" spans="1:14" ht="18">
      <c r="A3835" s="50" t="s">
        <v>5330</v>
      </c>
      <c r="B3835" s="1" t="s">
        <v>7110</v>
      </c>
      <c r="I3835" s="109"/>
      <c r="J3835" s="109"/>
      <c r="K3835" s="109"/>
      <c r="L3835" s="109" t="str">
        <f t="shared" si="59"/>
        <v>95-951700170</v>
      </c>
      <c r="M3835" s="114">
        <v>951700170</v>
      </c>
      <c r="N3835" s="114" t="s">
        <v>7742</v>
      </c>
    </row>
    <row r="3836" spans="1:14" ht="18">
      <c r="A3836" s="50" t="s">
        <v>5370</v>
      </c>
      <c r="B3836" s="1" t="s">
        <v>7110</v>
      </c>
      <c r="I3836" s="109"/>
      <c r="J3836" s="109"/>
      <c r="K3836" s="109"/>
      <c r="L3836" s="109" t="str">
        <f t="shared" si="59"/>
        <v>95-951700216</v>
      </c>
      <c r="M3836" s="114">
        <v>951700216</v>
      </c>
      <c r="N3836" s="114" t="s">
        <v>7651</v>
      </c>
    </row>
    <row r="3837" spans="1:14" ht="18">
      <c r="A3837" s="50" t="s">
        <v>5370</v>
      </c>
      <c r="B3837" s="1" t="s">
        <v>7110</v>
      </c>
      <c r="I3837" s="109"/>
      <c r="J3837" s="109"/>
      <c r="K3837" s="109"/>
      <c r="L3837" s="109" t="str">
        <f t="shared" si="59"/>
        <v>95-959000004</v>
      </c>
      <c r="M3837" s="114">
        <v>959000004</v>
      </c>
      <c r="N3837" s="114" t="s">
        <v>5672</v>
      </c>
    </row>
    <row r="3838" spans="1:14" ht="18">
      <c r="A3838" s="50" t="s">
        <v>5371</v>
      </c>
      <c r="B3838" s="1" t="s">
        <v>7110</v>
      </c>
      <c r="I3838" s="109"/>
      <c r="J3838" s="109"/>
      <c r="K3838" s="109"/>
      <c r="L3838" s="109" t="str">
        <f t="shared" si="59"/>
        <v>95-959000006</v>
      </c>
      <c r="M3838" s="114">
        <v>959000006</v>
      </c>
      <c r="N3838" s="114" t="s">
        <v>5672</v>
      </c>
    </row>
    <row r="3839" spans="1:14" ht="18">
      <c r="A3839" s="50" t="s">
        <v>5371</v>
      </c>
      <c r="B3839" s="1" t="s">
        <v>7110</v>
      </c>
      <c r="I3839" s="109"/>
      <c r="J3839" s="109"/>
      <c r="K3839" s="109"/>
      <c r="L3839" s="109" t="str">
        <f t="shared" si="59"/>
        <v>95-951800025</v>
      </c>
      <c r="M3839" s="114">
        <v>951800025</v>
      </c>
      <c r="N3839" s="114" t="s">
        <v>8082</v>
      </c>
    </row>
    <row r="3840" spans="1:14" ht="18">
      <c r="A3840" s="50" t="s">
        <v>5371</v>
      </c>
      <c r="B3840" s="1" t="s">
        <v>7110</v>
      </c>
      <c r="I3840" s="109"/>
      <c r="J3840" s="109"/>
      <c r="K3840" s="109"/>
      <c r="L3840" s="109" t="str">
        <f t="shared" si="59"/>
        <v>95-951900066</v>
      </c>
      <c r="M3840" s="114">
        <v>951900066</v>
      </c>
      <c r="N3840" s="114" t="s">
        <v>8083</v>
      </c>
    </row>
    <row r="3841" spans="1:14" ht="18">
      <c r="A3841" s="50" t="s">
        <v>5372</v>
      </c>
      <c r="B3841" s="1" t="s">
        <v>7110</v>
      </c>
      <c r="I3841" s="109"/>
      <c r="J3841" s="109"/>
      <c r="K3841" s="109"/>
      <c r="L3841" s="109" t="str">
        <f t="shared" si="59"/>
        <v>96-961100061</v>
      </c>
      <c r="M3841" s="114">
        <v>961100061</v>
      </c>
      <c r="N3841" s="114" t="s">
        <v>8180</v>
      </c>
    </row>
    <row r="3842" spans="1:14" ht="18">
      <c r="A3842" s="50" t="s">
        <v>5371</v>
      </c>
      <c r="B3842" s="1" t="s">
        <v>7110</v>
      </c>
      <c r="I3842" s="109"/>
      <c r="J3842" s="109"/>
      <c r="K3842" s="109"/>
      <c r="L3842" s="109" t="str">
        <f t="shared" si="59"/>
        <v>95-951900215</v>
      </c>
      <c r="M3842" s="114">
        <v>951900215</v>
      </c>
      <c r="N3842" s="114" t="s">
        <v>8181</v>
      </c>
    </row>
    <row r="3843" spans="1:14" ht="18">
      <c r="A3843" s="50" t="s">
        <v>5371</v>
      </c>
      <c r="B3843" s="1" t="s">
        <v>7110</v>
      </c>
      <c r="I3843" s="109"/>
      <c r="J3843" s="109"/>
      <c r="K3843" s="109"/>
      <c r="L3843" s="109" t="str">
        <f t="shared" ref="L3843:L3906" si="60">MID(M3843,1,2)&amp;"-"&amp;M3843</f>
        <v>95-951100178</v>
      </c>
      <c r="M3843" s="114">
        <v>951100178</v>
      </c>
      <c r="N3843" s="114" t="s">
        <v>8182</v>
      </c>
    </row>
    <row r="3844" spans="1:14" ht="18">
      <c r="A3844" s="50" t="s">
        <v>5329</v>
      </c>
      <c r="B3844" s="1" t="s">
        <v>7110</v>
      </c>
      <c r="I3844" s="109"/>
      <c r="J3844" s="109"/>
      <c r="K3844" s="109"/>
      <c r="L3844" s="109" t="str">
        <f t="shared" si="60"/>
        <v>95-951100191</v>
      </c>
      <c r="M3844" s="114">
        <v>951100191</v>
      </c>
      <c r="N3844" s="114" t="s">
        <v>8183</v>
      </c>
    </row>
    <row r="3845" spans="1:14" ht="18">
      <c r="A3845" s="50" t="s">
        <v>5374</v>
      </c>
      <c r="B3845" s="1" t="s">
        <v>7110</v>
      </c>
      <c r="I3845" s="109"/>
      <c r="J3845" s="109"/>
      <c r="K3845" s="109"/>
      <c r="L3845" s="109" t="str">
        <f t="shared" si="60"/>
        <v>96-961100025</v>
      </c>
      <c r="M3845" s="114">
        <v>961100025</v>
      </c>
      <c r="N3845" s="114" t="s">
        <v>8184</v>
      </c>
    </row>
    <row r="3846" spans="1:14" ht="18">
      <c r="A3846" s="50" t="s">
        <v>5075</v>
      </c>
      <c r="B3846" s="1" t="s">
        <v>7110</v>
      </c>
      <c r="I3846" s="109"/>
      <c r="J3846" s="109"/>
      <c r="K3846" s="109"/>
      <c r="L3846" s="109" t="str">
        <f t="shared" si="60"/>
        <v>96-961800066</v>
      </c>
      <c r="M3846" s="114">
        <v>961800066</v>
      </c>
      <c r="N3846" s="114" t="s">
        <v>8715</v>
      </c>
    </row>
    <row r="3847" spans="1:14" ht="18">
      <c r="A3847" s="50" t="s">
        <v>5075</v>
      </c>
      <c r="B3847" s="1" t="s">
        <v>7110</v>
      </c>
      <c r="I3847" s="109"/>
      <c r="J3847" s="109"/>
      <c r="K3847" s="109"/>
      <c r="L3847" s="109" t="str">
        <f t="shared" si="60"/>
        <v>95-951400096</v>
      </c>
      <c r="M3847" s="114">
        <v>951400096</v>
      </c>
      <c r="N3847" s="114" t="s">
        <v>7188</v>
      </c>
    </row>
    <row r="3848" spans="1:14" ht="18">
      <c r="A3848" s="50" t="s">
        <v>5076</v>
      </c>
      <c r="B3848" s="1" t="s">
        <v>7110</v>
      </c>
      <c r="I3848" s="109"/>
      <c r="J3848" s="109"/>
      <c r="K3848" s="109"/>
      <c r="L3848" s="109" t="str">
        <f t="shared" si="60"/>
        <v>95-951400132</v>
      </c>
      <c r="M3848" s="114">
        <v>951400132</v>
      </c>
      <c r="N3848" s="114" t="s">
        <v>7164</v>
      </c>
    </row>
    <row r="3849" spans="1:14" ht="18">
      <c r="A3849" s="50" t="s">
        <v>5372</v>
      </c>
      <c r="B3849" s="1" t="s">
        <v>7110</v>
      </c>
      <c r="I3849" s="109"/>
      <c r="J3849" s="109"/>
      <c r="K3849" s="109"/>
      <c r="L3849" s="109" t="str">
        <f t="shared" si="60"/>
        <v>95-951900030</v>
      </c>
      <c r="M3849" s="114">
        <v>951900030</v>
      </c>
      <c r="N3849" s="114" t="s">
        <v>7877</v>
      </c>
    </row>
    <row r="3850" spans="1:14" ht="18">
      <c r="A3850" s="50" t="s">
        <v>5327</v>
      </c>
      <c r="B3850" s="1" t="s">
        <v>7110</v>
      </c>
      <c r="I3850" s="109"/>
      <c r="J3850" s="109"/>
      <c r="K3850" s="109"/>
      <c r="L3850" s="109" t="str">
        <f t="shared" si="60"/>
        <v>95-951900260</v>
      </c>
      <c r="M3850" s="114">
        <v>951900260</v>
      </c>
      <c r="N3850" s="114" t="s">
        <v>7832</v>
      </c>
    </row>
    <row r="3851" spans="1:14" ht="18">
      <c r="A3851" s="50" t="s">
        <v>5280</v>
      </c>
      <c r="B3851" s="1" t="s">
        <v>7110</v>
      </c>
      <c r="I3851" s="109"/>
      <c r="J3851" s="109"/>
      <c r="K3851" s="109"/>
      <c r="L3851" s="109" t="str">
        <f t="shared" si="60"/>
        <v>95-951900134</v>
      </c>
      <c r="M3851" s="114">
        <v>951900134</v>
      </c>
      <c r="N3851" s="114" t="s">
        <v>8421</v>
      </c>
    </row>
    <row r="3852" spans="1:14" ht="18">
      <c r="A3852" s="50" t="s">
        <v>5421</v>
      </c>
      <c r="B3852" s="1" t="s">
        <v>7110</v>
      </c>
      <c r="I3852" s="109"/>
      <c r="J3852" s="109"/>
      <c r="K3852" s="109"/>
      <c r="L3852" s="109" t="str">
        <f t="shared" si="60"/>
        <v>95-956100007</v>
      </c>
      <c r="M3852" s="114">
        <v>956100007</v>
      </c>
      <c r="N3852" s="114" t="s">
        <v>7721</v>
      </c>
    </row>
    <row r="3853" spans="1:14" ht="18">
      <c r="A3853" s="50" t="s">
        <v>5424</v>
      </c>
      <c r="B3853" s="1" t="s">
        <v>7110</v>
      </c>
      <c r="I3853" s="109"/>
      <c r="J3853" s="109"/>
      <c r="K3853" s="109"/>
      <c r="L3853" s="109" t="str">
        <f t="shared" si="60"/>
        <v>95-951700217</v>
      </c>
      <c r="M3853" s="114">
        <v>951700217</v>
      </c>
      <c r="N3853" s="114" t="s">
        <v>7651</v>
      </c>
    </row>
    <row r="3854" spans="1:14" ht="18">
      <c r="A3854" s="50" t="s">
        <v>5372</v>
      </c>
      <c r="B3854" s="1" t="s">
        <v>7110</v>
      </c>
      <c r="I3854" s="109"/>
      <c r="J3854" s="109"/>
      <c r="K3854" s="109"/>
      <c r="L3854" s="109" t="str">
        <f t="shared" si="60"/>
        <v>95-951700238</v>
      </c>
      <c r="M3854" s="114">
        <v>951700238</v>
      </c>
      <c r="N3854" s="114" t="s">
        <v>7539</v>
      </c>
    </row>
    <row r="3855" spans="1:14" ht="18">
      <c r="A3855" s="50" t="s">
        <v>5325</v>
      </c>
      <c r="B3855" s="1" t="s">
        <v>7110</v>
      </c>
      <c r="I3855" s="109"/>
      <c r="J3855" s="109"/>
      <c r="K3855" s="109"/>
      <c r="L3855" s="109" t="str">
        <f t="shared" si="60"/>
        <v>95-951700252</v>
      </c>
      <c r="M3855" s="114">
        <v>951700252</v>
      </c>
      <c r="N3855" s="114" t="s">
        <v>7743</v>
      </c>
    </row>
    <row r="3856" spans="1:14" ht="18">
      <c r="A3856" s="50" t="s">
        <v>5421</v>
      </c>
      <c r="B3856" s="1" t="s">
        <v>7110</v>
      </c>
      <c r="I3856" s="109"/>
      <c r="J3856" s="109"/>
      <c r="K3856" s="109"/>
      <c r="L3856" s="109" t="str">
        <f t="shared" si="60"/>
        <v>96-961700002</v>
      </c>
      <c r="M3856" s="114">
        <v>961700002</v>
      </c>
      <c r="N3856" s="114" t="s">
        <v>7540</v>
      </c>
    </row>
    <row r="3857" spans="1:14" ht="18">
      <c r="A3857" s="50" t="s">
        <v>5421</v>
      </c>
      <c r="B3857" s="1" t="s">
        <v>7110</v>
      </c>
      <c r="I3857" s="109"/>
      <c r="J3857" s="109"/>
      <c r="K3857" s="109"/>
      <c r="L3857" s="109" t="str">
        <f t="shared" si="60"/>
        <v>96-961700003</v>
      </c>
      <c r="M3857" s="114">
        <v>961700003</v>
      </c>
      <c r="N3857" s="114" t="s">
        <v>7540</v>
      </c>
    </row>
    <row r="3858" spans="1:14" ht="18">
      <c r="A3858" s="50" t="s">
        <v>5428</v>
      </c>
      <c r="B3858" s="1" t="s">
        <v>7110</v>
      </c>
      <c r="I3858" s="109"/>
      <c r="J3858" s="109"/>
      <c r="K3858" s="109"/>
      <c r="L3858" s="109" t="str">
        <f t="shared" si="60"/>
        <v>96-961700013</v>
      </c>
      <c r="M3858" s="114">
        <v>961700013</v>
      </c>
      <c r="N3858" s="114" t="s">
        <v>7744</v>
      </c>
    </row>
    <row r="3859" spans="1:14" ht="18">
      <c r="A3859" s="50" t="s">
        <v>5370</v>
      </c>
      <c r="B3859" s="1" t="s">
        <v>7110</v>
      </c>
      <c r="I3859" s="109"/>
      <c r="J3859" s="109"/>
      <c r="K3859" s="109"/>
      <c r="L3859" s="109" t="str">
        <f t="shared" si="60"/>
        <v>96-961700099</v>
      </c>
      <c r="M3859" s="114">
        <v>961700099</v>
      </c>
      <c r="N3859" s="114" t="s">
        <v>7745</v>
      </c>
    </row>
    <row r="3860" spans="1:14" ht="18">
      <c r="A3860" s="50" t="s">
        <v>5435</v>
      </c>
      <c r="B3860" s="1" t="s">
        <v>7110</v>
      </c>
      <c r="I3860" s="109"/>
      <c r="J3860" s="109"/>
      <c r="K3860" s="109"/>
      <c r="L3860" s="109" t="str">
        <f t="shared" si="60"/>
        <v>95-951900210</v>
      </c>
      <c r="M3860" s="114">
        <v>951900210</v>
      </c>
      <c r="N3860" s="114" t="s">
        <v>7657</v>
      </c>
    </row>
    <row r="3861" spans="1:14" ht="18">
      <c r="A3861" s="50" t="s">
        <v>5444</v>
      </c>
      <c r="B3861" s="1" t="s">
        <v>7110</v>
      </c>
      <c r="I3861" s="109"/>
      <c r="J3861" s="109"/>
      <c r="K3861" s="109"/>
      <c r="L3861" s="109" t="str">
        <f t="shared" si="60"/>
        <v>95-951800096</v>
      </c>
      <c r="M3861" s="114">
        <v>951800096</v>
      </c>
      <c r="N3861" s="114" t="s">
        <v>7746</v>
      </c>
    </row>
    <row r="3862" spans="1:14" ht="18">
      <c r="A3862" s="50" t="s">
        <v>5487</v>
      </c>
      <c r="B3862" s="1" t="s">
        <v>7110</v>
      </c>
      <c r="I3862" s="109"/>
      <c r="J3862" s="109"/>
      <c r="K3862" s="109"/>
      <c r="L3862" s="109" t="str">
        <f t="shared" si="60"/>
        <v>95-951800114</v>
      </c>
      <c r="M3862" s="114">
        <v>951800114</v>
      </c>
      <c r="N3862" s="114" t="s">
        <v>7658</v>
      </c>
    </row>
    <row r="3863" spans="1:14" ht="18">
      <c r="A3863" s="50" t="s">
        <v>5494</v>
      </c>
      <c r="B3863" s="1" t="s">
        <v>7110</v>
      </c>
      <c r="I3863" s="109"/>
      <c r="J3863" s="109"/>
      <c r="K3863" s="109"/>
      <c r="L3863" s="109" t="str">
        <f t="shared" si="60"/>
        <v>96-961800043</v>
      </c>
      <c r="M3863" s="114">
        <v>961800043</v>
      </c>
      <c r="N3863" s="114" t="s">
        <v>7747</v>
      </c>
    </row>
    <row r="3864" spans="1:14" ht="18">
      <c r="A3864" s="50" t="s">
        <v>5575</v>
      </c>
      <c r="B3864" s="1" t="s">
        <v>7110</v>
      </c>
      <c r="I3864" s="109"/>
      <c r="J3864" s="109"/>
      <c r="K3864" s="109"/>
      <c r="L3864" s="109" t="str">
        <f t="shared" si="60"/>
        <v>95-951900196</v>
      </c>
      <c r="M3864" s="114">
        <v>951900196</v>
      </c>
      <c r="N3864" s="114" t="s">
        <v>8084</v>
      </c>
    </row>
    <row r="3865" spans="1:14" ht="18">
      <c r="A3865" s="50" t="s">
        <v>5575</v>
      </c>
      <c r="B3865" s="1" t="s">
        <v>7110</v>
      </c>
      <c r="I3865" s="109"/>
      <c r="J3865" s="109"/>
      <c r="K3865" s="109"/>
      <c r="L3865" s="109" t="str">
        <f t="shared" si="60"/>
        <v>95-951900017</v>
      </c>
      <c r="M3865" s="114">
        <v>951900017</v>
      </c>
      <c r="N3865" s="114" t="s">
        <v>8085</v>
      </c>
    </row>
    <row r="3866" spans="1:14" ht="18">
      <c r="A3866" s="50" t="s">
        <v>5575</v>
      </c>
      <c r="B3866" s="1" t="s">
        <v>7110</v>
      </c>
      <c r="I3866" s="109"/>
      <c r="J3866" s="109"/>
      <c r="K3866" s="109"/>
      <c r="L3866" s="109" t="str">
        <f t="shared" si="60"/>
        <v>95-951700083</v>
      </c>
      <c r="M3866" s="114">
        <v>951700083</v>
      </c>
      <c r="N3866" s="114" t="s">
        <v>8089</v>
      </c>
    </row>
    <row r="3867" spans="1:14" ht="18">
      <c r="A3867" s="50" t="s">
        <v>5215</v>
      </c>
      <c r="B3867" s="1" t="s">
        <v>7110</v>
      </c>
      <c r="I3867" s="109"/>
      <c r="J3867" s="109"/>
      <c r="K3867" s="109"/>
      <c r="L3867" s="109" t="str">
        <f t="shared" si="60"/>
        <v>95-951900055</v>
      </c>
      <c r="M3867" s="114">
        <v>951900055</v>
      </c>
      <c r="N3867" s="114" t="s">
        <v>8090</v>
      </c>
    </row>
    <row r="3868" spans="1:14" ht="18">
      <c r="A3868" s="50" t="s">
        <v>5582</v>
      </c>
      <c r="B3868" s="1" t="s">
        <v>7110</v>
      </c>
      <c r="I3868" s="109"/>
      <c r="J3868" s="109"/>
      <c r="K3868" s="109"/>
      <c r="L3868" s="109" t="str">
        <f t="shared" si="60"/>
        <v>95-951700322</v>
      </c>
      <c r="M3868" s="114">
        <v>951700322</v>
      </c>
      <c r="N3868" s="114" t="s">
        <v>7481</v>
      </c>
    </row>
    <row r="3869" spans="1:14" ht="18">
      <c r="A3869" s="50" t="s">
        <v>5575</v>
      </c>
      <c r="B3869" s="1" t="s">
        <v>7110</v>
      </c>
      <c r="I3869" s="109"/>
      <c r="J3869" s="109"/>
      <c r="K3869" s="109"/>
      <c r="L3869" s="109" t="str">
        <f t="shared" si="60"/>
        <v>95-951700330</v>
      </c>
      <c r="M3869" s="114">
        <v>951700330</v>
      </c>
      <c r="N3869" s="114" t="s">
        <v>7481</v>
      </c>
    </row>
    <row r="3870" spans="1:14" ht="18">
      <c r="A3870" s="50" t="s">
        <v>5582</v>
      </c>
      <c r="B3870" s="1" t="s">
        <v>7110</v>
      </c>
      <c r="I3870" s="109"/>
      <c r="J3870" s="109"/>
      <c r="K3870" s="109"/>
      <c r="L3870" s="109" t="str">
        <f t="shared" si="60"/>
        <v>95-951700331</v>
      </c>
      <c r="M3870" s="114">
        <v>951700331</v>
      </c>
      <c r="N3870" s="114" t="s">
        <v>7481</v>
      </c>
    </row>
    <row r="3871" spans="1:14" ht="18">
      <c r="A3871" s="50" t="s">
        <v>5582</v>
      </c>
      <c r="B3871" s="1" t="s">
        <v>7110</v>
      </c>
      <c r="I3871" s="109"/>
      <c r="J3871" s="109"/>
      <c r="K3871" s="109"/>
      <c r="L3871" s="109" t="str">
        <f t="shared" si="60"/>
        <v>95-951700334</v>
      </c>
      <c r="M3871" s="114">
        <v>951700334</v>
      </c>
      <c r="N3871" s="114" t="s">
        <v>7481</v>
      </c>
    </row>
    <row r="3872" spans="1:14" ht="18">
      <c r="A3872" s="50" t="s">
        <v>5582</v>
      </c>
      <c r="B3872" s="1" t="s">
        <v>7110</v>
      </c>
      <c r="I3872" s="109"/>
      <c r="J3872" s="109"/>
      <c r="K3872" s="109"/>
      <c r="L3872" s="109" t="str">
        <f t="shared" si="60"/>
        <v>95-951400167</v>
      </c>
      <c r="M3872" s="114">
        <v>951400167</v>
      </c>
      <c r="N3872" s="114" t="s">
        <v>8091</v>
      </c>
    </row>
    <row r="3873" spans="1:14" ht="18">
      <c r="A3873" s="50" t="s">
        <v>5582</v>
      </c>
      <c r="B3873" s="1" t="s">
        <v>7110</v>
      </c>
      <c r="I3873" s="109"/>
      <c r="J3873" s="109"/>
      <c r="K3873" s="109"/>
      <c r="L3873" s="109" t="str">
        <f t="shared" si="60"/>
        <v>96-961700064</v>
      </c>
      <c r="M3873" s="114">
        <v>961700064</v>
      </c>
      <c r="N3873" s="114" t="s">
        <v>7147</v>
      </c>
    </row>
    <row r="3874" spans="1:14" ht="18">
      <c r="A3874" s="50" t="s">
        <v>5582</v>
      </c>
      <c r="B3874" s="1" t="s">
        <v>7110</v>
      </c>
      <c r="I3874" s="109"/>
      <c r="J3874" s="109"/>
      <c r="K3874" s="109"/>
      <c r="L3874" s="109" t="str">
        <f t="shared" si="60"/>
        <v>95-951900080</v>
      </c>
      <c r="M3874" s="114">
        <v>951900080</v>
      </c>
      <c r="N3874" s="114" t="s">
        <v>8187</v>
      </c>
    </row>
    <row r="3875" spans="1:14" ht="18">
      <c r="A3875" s="50" t="s">
        <v>5582</v>
      </c>
      <c r="B3875" s="1" t="s">
        <v>7110</v>
      </c>
      <c r="I3875" s="109"/>
      <c r="J3875" s="109"/>
      <c r="K3875" s="109"/>
      <c r="L3875" s="109" t="str">
        <f t="shared" si="60"/>
        <v>95-951900233</v>
      </c>
      <c r="M3875" s="114">
        <v>951900233</v>
      </c>
      <c r="N3875" s="114" t="s">
        <v>8188</v>
      </c>
    </row>
    <row r="3876" spans="1:14" ht="18">
      <c r="A3876" s="50" t="s">
        <v>5575</v>
      </c>
      <c r="B3876" s="1" t="s">
        <v>7110</v>
      </c>
      <c r="I3876" s="109"/>
      <c r="J3876" s="109"/>
      <c r="K3876" s="109"/>
      <c r="L3876" s="109" t="str">
        <f t="shared" si="60"/>
        <v>95-951900162</v>
      </c>
      <c r="M3876" s="114">
        <v>951900162</v>
      </c>
      <c r="N3876" s="114" t="s">
        <v>8189</v>
      </c>
    </row>
    <row r="3877" spans="1:14" ht="18">
      <c r="A3877" s="50" t="s">
        <v>5582</v>
      </c>
      <c r="B3877" s="1" t="s">
        <v>7110</v>
      </c>
      <c r="I3877" s="109"/>
      <c r="J3877" s="109"/>
      <c r="K3877" s="109"/>
      <c r="L3877" s="109" t="str">
        <f t="shared" si="60"/>
        <v>95-951900145</v>
      </c>
      <c r="M3877" s="114">
        <v>951900145</v>
      </c>
      <c r="N3877" s="114" t="s">
        <v>8422</v>
      </c>
    </row>
    <row r="3878" spans="1:14" ht="18">
      <c r="A3878" s="50" t="s">
        <v>5582</v>
      </c>
      <c r="B3878" s="1" t="s">
        <v>7110</v>
      </c>
      <c r="I3878" s="109"/>
      <c r="J3878" s="109"/>
      <c r="K3878" s="109"/>
      <c r="L3878" s="109" t="str">
        <f t="shared" si="60"/>
        <v>95-951900274</v>
      </c>
      <c r="M3878" s="114">
        <v>951900274</v>
      </c>
      <c r="N3878" s="114" t="s">
        <v>7611</v>
      </c>
    </row>
    <row r="3879" spans="1:14" ht="18">
      <c r="A3879" s="50" t="s">
        <v>5428</v>
      </c>
      <c r="B3879" s="1" t="s">
        <v>7110</v>
      </c>
      <c r="I3879" s="109"/>
      <c r="J3879" s="109"/>
      <c r="K3879" s="109"/>
      <c r="L3879" s="109" t="str">
        <f t="shared" si="60"/>
        <v>96-961900086</v>
      </c>
      <c r="M3879" s="114">
        <v>961900086</v>
      </c>
      <c r="N3879" s="114" t="s">
        <v>8423</v>
      </c>
    </row>
    <row r="3880" spans="1:14" ht="18">
      <c r="A3880" s="50" t="s">
        <v>5435</v>
      </c>
      <c r="B3880" s="1" t="s">
        <v>7110</v>
      </c>
      <c r="I3880" s="109"/>
      <c r="J3880" s="109"/>
      <c r="K3880" s="109"/>
      <c r="L3880" s="109" t="str">
        <f t="shared" si="60"/>
        <v>95-951400189</v>
      </c>
      <c r="M3880" s="114">
        <v>951400189</v>
      </c>
      <c r="N3880" s="114" t="s">
        <v>7800</v>
      </c>
    </row>
    <row r="3881" spans="1:14" ht="18">
      <c r="A3881" s="50" t="s">
        <v>5435</v>
      </c>
      <c r="B3881" s="1" t="s">
        <v>7110</v>
      </c>
      <c r="I3881" s="109"/>
      <c r="J3881" s="109"/>
      <c r="K3881" s="109"/>
      <c r="L3881" s="109" t="str">
        <f t="shared" si="60"/>
        <v>95-956100023</v>
      </c>
      <c r="M3881" s="114">
        <v>956100023</v>
      </c>
      <c r="N3881" s="114" t="s">
        <v>7610</v>
      </c>
    </row>
    <row r="3882" spans="1:14" ht="18">
      <c r="A3882" s="50" t="s">
        <v>5582</v>
      </c>
      <c r="B3882" s="1" t="s">
        <v>7110</v>
      </c>
      <c r="I3882" s="109"/>
      <c r="J3882" s="109"/>
      <c r="K3882" s="109"/>
      <c r="L3882" s="109" t="str">
        <f t="shared" si="60"/>
        <v>96-961900169</v>
      </c>
      <c r="M3882" s="114">
        <v>961900169</v>
      </c>
      <c r="N3882" s="114" t="s">
        <v>7193</v>
      </c>
    </row>
    <row r="3883" spans="1:14" ht="18">
      <c r="A3883" s="50" t="s">
        <v>5575</v>
      </c>
      <c r="B3883" s="1" t="s">
        <v>7110</v>
      </c>
      <c r="I3883" s="109"/>
      <c r="J3883" s="109"/>
      <c r="K3883" s="109"/>
      <c r="L3883" s="109" t="str">
        <f t="shared" si="60"/>
        <v>96-966200277</v>
      </c>
      <c r="M3883" s="114">
        <v>966200277</v>
      </c>
      <c r="N3883" s="114" t="s">
        <v>7167</v>
      </c>
    </row>
    <row r="3884" spans="1:14" ht="18">
      <c r="A3884" s="50" t="s">
        <v>5575</v>
      </c>
      <c r="B3884" s="1" t="s">
        <v>7110</v>
      </c>
      <c r="I3884" s="109"/>
      <c r="J3884" s="109"/>
      <c r="K3884" s="109"/>
      <c r="L3884" s="109" t="str">
        <f t="shared" si="60"/>
        <v>95-951700242</v>
      </c>
      <c r="M3884" s="114">
        <v>951700242</v>
      </c>
      <c r="N3884" s="114" t="s">
        <v>7826</v>
      </c>
    </row>
    <row r="3885" spans="1:14" ht="18">
      <c r="A3885" s="50" t="s">
        <v>5876</v>
      </c>
      <c r="B3885" s="1" t="s">
        <v>7110</v>
      </c>
      <c r="I3885" s="109"/>
      <c r="J3885" s="109"/>
      <c r="K3885" s="109"/>
      <c r="L3885" s="109" t="str">
        <f t="shared" si="60"/>
        <v>95-951900218</v>
      </c>
      <c r="M3885" s="114">
        <v>951900218</v>
      </c>
      <c r="N3885" s="114" t="s">
        <v>8327</v>
      </c>
    </row>
    <row r="3886" spans="1:14" ht="18">
      <c r="A3886" s="50" t="s">
        <v>5866</v>
      </c>
      <c r="B3886" s="1" t="s">
        <v>7110</v>
      </c>
      <c r="I3886" s="109"/>
      <c r="J3886" s="109"/>
      <c r="K3886" s="109"/>
      <c r="L3886" s="109" t="str">
        <f t="shared" si="60"/>
        <v>96-961700070</v>
      </c>
      <c r="M3886" s="114">
        <v>961700070</v>
      </c>
      <c r="N3886" s="114" t="s">
        <v>7147</v>
      </c>
    </row>
    <row r="3887" spans="1:14" ht="18">
      <c r="A3887" s="50" t="s">
        <v>5863</v>
      </c>
      <c r="B3887" s="1" t="s">
        <v>7110</v>
      </c>
      <c r="I3887" s="109"/>
      <c r="J3887" s="109"/>
      <c r="K3887" s="109"/>
      <c r="L3887" s="109" t="str">
        <f t="shared" si="60"/>
        <v>96-961600011</v>
      </c>
      <c r="M3887" s="114">
        <v>961600011</v>
      </c>
      <c r="N3887" s="114" t="s">
        <v>8092</v>
      </c>
    </row>
    <row r="3888" spans="1:14" ht="18">
      <c r="A3888" s="50" t="s">
        <v>5875</v>
      </c>
      <c r="B3888" s="1" t="s">
        <v>7110</v>
      </c>
      <c r="I3888" s="109"/>
      <c r="J3888" s="109"/>
      <c r="K3888" s="109"/>
      <c r="L3888" s="109" t="str">
        <f t="shared" si="60"/>
        <v>95-951800116</v>
      </c>
      <c r="M3888" s="114">
        <v>951800116</v>
      </c>
      <c r="N3888" s="114" t="s">
        <v>8093</v>
      </c>
    </row>
    <row r="3889" spans="1:14" ht="18">
      <c r="A3889" s="50" t="s">
        <v>5869</v>
      </c>
      <c r="B3889" s="1" t="s">
        <v>7110</v>
      </c>
      <c r="I3889" s="109"/>
      <c r="J3889" s="109"/>
      <c r="K3889" s="109"/>
      <c r="L3889" s="109" t="str">
        <f t="shared" si="60"/>
        <v>95-951600020</v>
      </c>
      <c r="M3889" s="114">
        <v>951600020</v>
      </c>
      <c r="N3889" s="114" t="s">
        <v>8094</v>
      </c>
    </row>
    <row r="3890" spans="1:14" ht="18">
      <c r="A3890" s="50" t="s">
        <v>5876</v>
      </c>
      <c r="B3890" s="1" t="s">
        <v>7110</v>
      </c>
      <c r="I3890" s="109"/>
      <c r="J3890" s="109"/>
      <c r="K3890" s="109"/>
      <c r="L3890" s="109" t="str">
        <f t="shared" si="60"/>
        <v>95-951800011</v>
      </c>
      <c r="M3890" s="114">
        <v>951800011</v>
      </c>
      <c r="N3890" s="114" t="s">
        <v>7751</v>
      </c>
    </row>
    <row r="3891" spans="1:14" ht="18">
      <c r="A3891" s="50" t="s">
        <v>5874</v>
      </c>
      <c r="B3891" s="1" t="s">
        <v>7110</v>
      </c>
      <c r="I3891" s="109"/>
      <c r="J3891" s="109"/>
      <c r="K3891" s="109"/>
      <c r="L3891" s="109" t="str">
        <f t="shared" si="60"/>
        <v>96-961900007</v>
      </c>
      <c r="M3891" s="114">
        <v>961900007</v>
      </c>
      <c r="N3891" s="114" t="s">
        <v>7752</v>
      </c>
    </row>
    <row r="3892" spans="1:14" ht="18">
      <c r="A3892" s="50" t="s">
        <v>5868</v>
      </c>
      <c r="B3892" s="1" t="s">
        <v>7110</v>
      </c>
      <c r="I3892" s="109"/>
      <c r="J3892" s="109"/>
      <c r="K3892" s="109"/>
      <c r="L3892" s="109" t="str">
        <f t="shared" si="60"/>
        <v>96-961800008</v>
      </c>
      <c r="M3892" s="114">
        <v>961800008</v>
      </c>
      <c r="N3892" s="114" t="s">
        <v>7753</v>
      </c>
    </row>
    <row r="3893" spans="1:14" ht="18">
      <c r="A3893" s="50" t="s">
        <v>5876</v>
      </c>
      <c r="B3893" s="1" t="s">
        <v>7110</v>
      </c>
      <c r="I3893" s="109"/>
      <c r="J3893" s="109"/>
      <c r="K3893" s="109"/>
      <c r="L3893" s="109" t="str">
        <f t="shared" si="60"/>
        <v>95-951100079</v>
      </c>
      <c r="M3893" s="114">
        <v>951100079</v>
      </c>
      <c r="N3893" s="114" t="s">
        <v>7756</v>
      </c>
    </row>
    <row r="3894" spans="1:14" ht="18">
      <c r="A3894" s="50" t="s">
        <v>5868</v>
      </c>
      <c r="B3894" s="1" t="s">
        <v>7110</v>
      </c>
      <c r="I3894" s="109"/>
      <c r="J3894" s="109"/>
      <c r="K3894" s="109"/>
      <c r="L3894" s="109" t="str">
        <f t="shared" si="60"/>
        <v>96-961100069</v>
      </c>
      <c r="M3894" s="114">
        <v>961100069</v>
      </c>
      <c r="N3894" s="114" t="s">
        <v>7757</v>
      </c>
    </row>
    <row r="3895" spans="1:14" ht="18">
      <c r="A3895" s="50" t="s">
        <v>5876</v>
      </c>
      <c r="B3895" s="1" t="s">
        <v>7110</v>
      </c>
      <c r="I3895" s="109"/>
      <c r="J3895" s="109"/>
      <c r="K3895" s="109"/>
      <c r="L3895" s="109" t="str">
        <f t="shared" si="60"/>
        <v>96-966200287</v>
      </c>
      <c r="M3895" s="114">
        <v>966200287</v>
      </c>
      <c r="N3895" s="114" t="s">
        <v>7210</v>
      </c>
    </row>
    <row r="3896" spans="1:14" ht="18">
      <c r="A3896" s="50" t="s">
        <v>5428</v>
      </c>
      <c r="B3896" s="1" t="s">
        <v>7110</v>
      </c>
      <c r="I3896" s="109"/>
      <c r="J3896" s="109"/>
      <c r="K3896" s="109"/>
      <c r="L3896" s="109" t="str">
        <f t="shared" si="60"/>
        <v>95-951800128</v>
      </c>
      <c r="M3896" s="114">
        <v>951800128</v>
      </c>
      <c r="N3896" s="114" t="s">
        <v>7190</v>
      </c>
    </row>
    <row r="3897" spans="1:14" ht="18">
      <c r="A3897" s="50" t="s">
        <v>5374</v>
      </c>
      <c r="B3897" s="1" t="s">
        <v>7110</v>
      </c>
      <c r="I3897" s="109"/>
      <c r="J3897" s="109"/>
      <c r="K3897" s="109"/>
      <c r="L3897" s="109" t="str">
        <f t="shared" si="60"/>
        <v>96-966200284</v>
      </c>
      <c r="M3897" s="114">
        <v>966200284</v>
      </c>
      <c r="N3897" s="114" t="s">
        <v>7210</v>
      </c>
    </row>
    <row r="3898" spans="1:14" ht="18">
      <c r="A3898" s="50" t="s">
        <v>5435</v>
      </c>
      <c r="B3898" s="1" t="s">
        <v>7110</v>
      </c>
      <c r="I3898" s="109"/>
      <c r="J3898" s="109"/>
      <c r="K3898" s="109"/>
      <c r="L3898" s="109" t="str">
        <f t="shared" si="60"/>
        <v>95-951100189</v>
      </c>
      <c r="M3898" s="114">
        <v>951100189</v>
      </c>
      <c r="N3898" s="114" t="s">
        <v>8195</v>
      </c>
    </row>
    <row r="3899" spans="1:14" ht="18">
      <c r="A3899" s="50" t="s">
        <v>5575</v>
      </c>
      <c r="B3899" s="1" t="s">
        <v>7110</v>
      </c>
      <c r="I3899" s="109"/>
      <c r="J3899" s="109"/>
      <c r="K3899" s="109"/>
      <c r="L3899" s="109" t="str">
        <f t="shared" si="60"/>
        <v>95-951700104</v>
      </c>
      <c r="M3899" s="114">
        <v>951700104</v>
      </c>
      <c r="N3899" s="114" t="s">
        <v>8196</v>
      </c>
    </row>
    <row r="3900" spans="1:14" ht="18">
      <c r="A3900" s="50" t="s">
        <v>5575</v>
      </c>
      <c r="B3900" s="1" t="s">
        <v>7110</v>
      </c>
      <c r="I3900" s="109"/>
      <c r="J3900" s="109"/>
      <c r="K3900" s="109"/>
      <c r="L3900" s="109" t="str">
        <f t="shared" si="60"/>
        <v>96-961400014</v>
      </c>
      <c r="M3900" s="114">
        <v>961400014</v>
      </c>
      <c r="N3900" s="114" t="s">
        <v>8197</v>
      </c>
    </row>
    <row r="3901" spans="1:14" ht="18">
      <c r="A3901" s="50" t="s">
        <v>5575</v>
      </c>
      <c r="B3901" s="1" t="s">
        <v>7110</v>
      </c>
      <c r="I3901" s="109"/>
      <c r="J3901" s="109"/>
      <c r="K3901" s="109"/>
      <c r="L3901" s="109" t="str">
        <f t="shared" si="60"/>
        <v>96-961800068</v>
      </c>
      <c r="M3901" s="114">
        <v>961800068</v>
      </c>
      <c r="N3901" s="114" t="s">
        <v>8749</v>
      </c>
    </row>
    <row r="3902" spans="1:14" ht="18">
      <c r="A3902" s="50" t="s">
        <v>5327</v>
      </c>
      <c r="B3902" s="1" t="s">
        <v>7110</v>
      </c>
      <c r="I3902" s="109"/>
      <c r="J3902" s="109"/>
      <c r="K3902" s="109"/>
      <c r="L3902" s="109" t="str">
        <f t="shared" si="60"/>
        <v>95-951900191</v>
      </c>
      <c r="M3902" s="114">
        <v>951900191</v>
      </c>
      <c r="N3902" s="114" t="s">
        <v>8095</v>
      </c>
    </row>
    <row r="3903" spans="1:14" ht="18">
      <c r="A3903" s="50" t="s">
        <v>5330</v>
      </c>
      <c r="B3903" s="1" t="s">
        <v>7110</v>
      </c>
      <c r="I3903" s="109"/>
      <c r="J3903" s="109"/>
      <c r="K3903" s="109"/>
      <c r="L3903" s="109" t="str">
        <f t="shared" si="60"/>
        <v>95-951900202</v>
      </c>
      <c r="M3903" s="114">
        <v>951900202</v>
      </c>
      <c r="N3903" s="114" t="s">
        <v>8096</v>
      </c>
    </row>
    <row r="3904" spans="1:14">
      <c r="A3904" s="1" t="s">
        <v>1201</v>
      </c>
      <c r="B3904" s="1" t="s">
        <v>7110</v>
      </c>
      <c r="I3904" s="109"/>
      <c r="J3904" s="109"/>
      <c r="K3904" s="109"/>
      <c r="L3904" s="109" t="str">
        <f t="shared" si="60"/>
        <v>95-951600047</v>
      </c>
      <c r="M3904" s="114">
        <v>951600047</v>
      </c>
      <c r="N3904" s="114" t="s">
        <v>8100</v>
      </c>
    </row>
    <row r="3905" spans="1:14">
      <c r="A3905" s="1" t="s">
        <v>1201</v>
      </c>
      <c r="B3905" s="1" t="s">
        <v>7110</v>
      </c>
      <c r="I3905" s="109"/>
      <c r="J3905" s="109"/>
      <c r="K3905" s="109"/>
      <c r="L3905" s="109" t="str">
        <f t="shared" si="60"/>
        <v>95-951600049</v>
      </c>
      <c r="M3905" s="114">
        <v>951600049</v>
      </c>
      <c r="N3905" s="114" t="s">
        <v>7758</v>
      </c>
    </row>
    <row r="3906" spans="1:14">
      <c r="A3906" s="1" t="s">
        <v>1431</v>
      </c>
      <c r="B3906" s="1" t="s">
        <v>7110</v>
      </c>
      <c r="I3906" s="109"/>
      <c r="J3906" s="109"/>
      <c r="K3906" s="109"/>
      <c r="L3906" s="109" t="str">
        <f t="shared" si="60"/>
        <v>96-961900111</v>
      </c>
      <c r="M3906" s="114">
        <v>961900111</v>
      </c>
      <c r="N3906" s="114" t="s">
        <v>7759</v>
      </c>
    </row>
    <row r="3907" spans="1:14">
      <c r="A3907" s="1" t="s">
        <v>1199</v>
      </c>
      <c r="B3907" s="1" t="s">
        <v>7110</v>
      </c>
      <c r="I3907" s="109"/>
      <c r="J3907" s="109"/>
      <c r="K3907" s="109"/>
      <c r="L3907" s="109" t="str">
        <f t="shared" ref="L3907:L3970" si="61">MID(M3907,1,2)&amp;"-"&amp;M3907</f>
        <v>95-951900142</v>
      </c>
      <c r="M3907" s="114">
        <v>951900142</v>
      </c>
      <c r="N3907" s="114" t="s">
        <v>7761</v>
      </c>
    </row>
    <row r="3908" spans="1:14">
      <c r="A3908" s="1" t="s">
        <v>852</v>
      </c>
      <c r="B3908" s="1" t="s">
        <v>7110</v>
      </c>
      <c r="I3908" s="109"/>
      <c r="J3908" s="109"/>
      <c r="K3908" s="109"/>
      <c r="L3908" s="109" t="str">
        <f t="shared" si="61"/>
        <v>95-951300008</v>
      </c>
      <c r="M3908" s="114">
        <v>951300008</v>
      </c>
      <c r="N3908" s="114" t="s">
        <v>7894</v>
      </c>
    </row>
    <row r="3909" spans="1:14">
      <c r="A3909" s="1" t="s">
        <v>850</v>
      </c>
      <c r="B3909" s="1" t="s">
        <v>7110</v>
      </c>
      <c r="I3909" s="109"/>
      <c r="J3909" s="109"/>
      <c r="K3909" s="109"/>
      <c r="L3909" s="109" t="str">
        <f t="shared" si="61"/>
        <v>95-951300026</v>
      </c>
      <c r="M3909" s="114">
        <v>951300026</v>
      </c>
      <c r="N3909" s="114" t="s">
        <v>7708</v>
      </c>
    </row>
    <row r="3910" spans="1:14">
      <c r="A3910" s="1" t="s">
        <v>846</v>
      </c>
      <c r="B3910" s="1" t="s">
        <v>7110</v>
      </c>
      <c r="I3910" s="109"/>
      <c r="J3910" s="109"/>
      <c r="K3910" s="109"/>
      <c r="L3910" s="109" t="str">
        <f t="shared" si="61"/>
        <v>95-951600076</v>
      </c>
      <c r="M3910" s="114">
        <v>951600076</v>
      </c>
      <c r="N3910" s="114" t="s">
        <v>7207</v>
      </c>
    </row>
    <row r="3911" spans="1:14">
      <c r="A3911" s="1" t="s">
        <v>844</v>
      </c>
      <c r="B3911" s="1" t="s">
        <v>7110</v>
      </c>
      <c r="I3911" s="109"/>
      <c r="J3911" s="109"/>
      <c r="K3911" s="109"/>
      <c r="L3911" s="109" t="str">
        <f t="shared" si="61"/>
        <v>95-951700130</v>
      </c>
      <c r="M3911" s="114">
        <v>951700130</v>
      </c>
      <c r="N3911" s="114" t="s">
        <v>7721</v>
      </c>
    </row>
    <row r="3912" spans="1:14">
      <c r="A3912" s="1" t="s">
        <v>852</v>
      </c>
      <c r="B3912" s="1" t="s">
        <v>7110</v>
      </c>
      <c r="I3912" s="109"/>
      <c r="J3912" s="109"/>
      <c r="K3912" s="109"/>
      <c r="L3912" s="109" t="str">
        <f t="shared" si="61"/>
        <v>95-951700063</v>
      </c>
      <c r="M3912" s="114">
        <v>951700063</v>
      </c>
      <c r="N3912" s="114" t="s">
        <v>8198</v>
      </c>
    </row>
    <row r="3913" spans="1:14">
      <c r="A3913" s="1" t="s">
        <v>1434</v>
      </c>
      <c r="B3913" s="1" t="s">
        <v>7110</v>
      </c>
      <c r="I3913" s="109"/>
      <c r="J3913" s="109"/>
      <c r="K3913" s="109"/>
      <c r="L3913" s="109" t="str">
        <f t="shared" si="61"/>
        <v>96-961800041</v>
      </c>
      <c r="M3913" s="114">
        <v>961800041</v>
      </c>
      <c r="N3913" s="114" t="s">
        <v>8206</v>
      </c>
    </row>
    <row r="3914" spans="1:14">
      <c r="A3914" s="1" t="s">
        <v>1435</v>
      </c>
      <c r="B3914" s="1" t="s">
        <v>7110</v>
      </c>
      <c r="I3914" s="109"/>
      <c r="J3914" s="109"/>
      <c r="K3914" s="109"/>
      <c r="L3914" s="109" t="str">
        <f t="shared" si="61"/>
        <v>95-951800076</v>
      </c>
      <c r="M3914" s="114">
        <v>951800076</v>
      </c>
      <c r="N3914" s="114" t="s">
        <v>7729</v>
      </c>
    </row>
    <row r="3915" spans="1:14">
      <c r="A3915" s="1" t="s">
        <v>854</v>
      </c>
      <c r="B3915" s="1" t="s">
        <v>7110</v>
      </c>
      <c r="I3915" s="109"/>
      <c r="J3915" s="109"/>
      <c r="K3915" s="109"/>
      <c r="L3915" s="109" t="str">
        <f t="shared" si="61"/>
        <v>96-961900001</v>
      </c>
      <c r="M3915" s="114">
        <v>961900001</v>
      </c>
      <c r="N3915" s="114" t="s">
        <v>7598</v>
      </c>
    </row>
    <row r="3916" spans="1:14">
      <c r="A3916" s="1" t="s">
        <v>1431</v>
      </c>
      <c r="B3916" s="1" t="s">
        <v>7110</v>
      </c>
      <c r="I3916" s="109"/>
      <c r="J3916" s="109"/>
      <c r="K3916" s="109"/>
      <c r="L3916" s="109" t="str">
        <f t="shared" si="61"/>
        <v>96-961900073</v>
      </c>
      <c r="M3916" s="114">
        <v>961900073</v>
      </c>
      <c r="N3916" s="114" t="s">
        <v>8207</v>
      </c>
    </row>
    <row r="3917" spans="1:14">
      <c r="A3917" s="1" t="s">
        <v>1431</v>
      </c>
      <c r="B3917" s="1" t="s">
        <v>7110</v>
      </c>
      <c r="I3917" s="109"/>
      <c r="J3917" s="109"/>
      <c r="K3917" s="109"/>
      <c r="L3917" s="109" t="str">
        <f t="shared" si="61"/>
        <v>95-956100015</v>
      </c>
      <c r="M3917" s="114">
        <v>956100015</v>
      </c>
      <c r="N3917" s="114" t="s">
        <v>7488</v>
      </c>
    </row>
    <row r="3918" spans="1:14">
      <c r="A3918" s="1" t="s">
        <v>852</v>
      </c>
      <c r="B3918" s="1" t="s">
        <v>7110</v>
      </c>
      <c r="I3918" s="109"/>
      <c r="J3918" s="109"/>
      <c r="K3918" s="109"/>
      <c r="L3918" s="109" t="str">
        <f t="shared" si="61"/>
        <v>95-956100016</v>
      </c>
      <c r="M3918" s="114">
        <v>956100016</v>
      </c>
      <c r="N3918" s="114" t="s">
        <v>7488</v>
      </c>
    </row>
    <row r="3919" spans="1:14">
      <c r="A3919" s="1" t="s">
        <v>1201</v>
      </c>
      <c r="B3919" s="1" t="s">
        <v>7110</v>
      </c>
      <c r="I3919" s="109"/>
      <c r="J3919" s="109"/>
      <c r="K3919" s="109"/>
      <c r="L3919" s="109" t="str">
        <f t="shared" si="61"/>
        <v>95-951700300</v>
      </c>
      <c r="M3919" s="114">
        <v>951700300</v>
      </c>
      <c r="N3919" s="114" t="s">
        <v>8101</v>
      </c>
    </row>
    <row r="3920" spans="1:14">
      <c r="A3920" s="1" t="s">
        <v>1434</v>
      </c>
      <c r="B3920" s="1" t="s">
        <v>7110</v>
      </c>
      <c r="I3920" s="109"/>
      <c r="J3920" s="109"/>
      <c r="K3920" s="109"/>
      <c r="L3920" s="109" t="str">
        <f t="shared" si="61"/>
        <v>95-951000007</v>
      </c>
      <c r="M3920" s="114">
        <v>951000007</v>
      </c>
      <c r="N3920" s="114" t="s">
        <v>7580</v>
      </c>
    </row>
    <row r="3921" spans="1:14">
      <c r="A3921" s="1" t="s">
        <v>1436</v>
      </c>
      <c r="B3921" s="1" t="s">
        <v>7110</v>
      </c>
      <c r="I3921" s="109"/>
      <c r="J3921" s="109"/>
      <c r="K3921" s="109"/>
      <c r="L3921" s="109" t="str">
        <f t="shared" si="61"/>
        <v>96-961900002</v>
      </c>
      <c r="M3921" s="114">
        <v>961900002</v>
      </c>
      <c r="N3921" s="114" t="s">
        <v>7762</v>
      </c>
    </row>
    <row r="3922" spans="1:14">
      <c r="A3922" s="1" t="s">
        <v>1437</v>
      </c>
      <c r="B3922" s="1" t="s">
        <v>7110</v>
      </c>
      <c r="I3922" s="109"/>
      <c r="J3922" s="109"/>
      <c r="K3922" s="109"/>
      <c r="L3922" s="109" t="str">
        <f t="shared" si="61"/>
        <v>96-961900003</v>
      </c>
      <c r="M3922" s="114">
        <v>961900003</v>
      </c>
      <c r="N3922" s="114" t="s">
        <v>7763</v>
      </c>
    </row>
    <row r="3923" spans="1:14">
      <c r="A3923" s="1" t="s">
        <v>1438</v>
      </c>
      <c r="B3923" s="1" t="s">
        <v>7110</v>
      </c>
      <c r="I3923" s="109"/>
      <c r="J3923" s="109"/>
      <c r="K3923" s="109"/>
      <c r="L3923" s="109" t="str">
        <f t="shared" si="61"/>
        <v>95-951900102</v>
      </c>
      <c r="M3923" s="114">
        <v>951900102</v>
      </c>
      <c r="N3923" s="114" t="s">
        <v>7192</v>
      </c>
    </row>
    <row r="3924" spans="1:14">
      <c r="A3924" s="1" t="s">
        <v>817</v>
      </c>
      <c r="B3924" s="1" t="s">
        <v>7110</v>
      </c>
      <c r="I3924" s="109"/>
      <c r="J3924" s="109"/>
      <c r="K3924" s="109"/>
      <c r="L3924" s="109" t="str">
        <f t="shared" si="61"/>
        <v>95-956100003</v>
      </c>
      <c r="M3924" s="114">
        <v>956100003</v>
      </c>
      <c r="N3924" s="114" t="s">
        <v>7764</v>
      </c>
    </row>
    <row r="3925" spans="1:14">
      <c r="A3925" s="1" t="s">
        <v>1439</v>
      </c>
      <c r="B3925" s="1" t="s">
        <v>7110</v>
      </c>
      <c r="I3925" s="109"/>
      <c r="J3925" s="109"/>
      <c r="K3925" s="109"/>
      <c r="L3925" s="109" t="str">
        <f t="shared" si="61"/>
        <v>95-951100123</v>
      </c>
      <c r="M3925" s="114">
        <v>951100123</v>
      </c>
      <c r="N3925" s="114" t="s">
        <v>7768</v>
      </c>
    </row>
    <row r="3926" spans="1:14">
      <c r="A3926" s="1" t="s">
        <v>1440</v>
      </c>
      <c r="B3926" s="1" t="s">
        <v>7110</v>
      </c>
      <c r="I3926" s="109"/>
      <c r="J3926" s="109"/>
      <c r="K3926" s="109"/>
      <c r="L3926" s="109" t="str">
        <f t="shared" si="61"/>
        <v>95-951900315</v>
      </c>
      <c r="M3926" s="114">
        <v>951900315</v>
      </c>
      <c r="N3926" s="114" t="s">
        <v>7769</v>
      </c>
    </row>
    <row r="3927" spans="1:14">
      <c r="A3927" s="1" t="s">
        <v>1441</v>
      </c>
      <c r="B3927" s="1" t="s">
        <v>7110</v>
      </c>
      <c r="I3927" s="109"/>
      <c r="J3927" s="109"/>
      <c r="K3927" s="109"/>
      <c r="L3927" s="109" t="str">
        <f t="shared" si="61"/>
        <v>95-956100009</v>
      </c>
      <c r="M3927" s="114">
        <v>956100009</v>
      </c>
      <c r="N3927" s="114" t="s">
        <v>8411</v>
      </c>
    </row>
    <row r="3928" spans="1:14">
      <c r="A3928" s="1" t="s">
        <v>907</v>
      </c>
      <c r="B3928" s="1" t="s">
        <v>7110</v>
      </c>
      <c r="I3928" s="109"/>
      <c r="J3928" s="109"/>
      <c r="K3928" s="109"/>
      <c r="L3928" s="109" t="str">
        <f t="shared" si="61"/>
        <v>96-966200248</v>
      </c>
      <c r="M3928" s="114">
        <v>966200248</v>
      </c>
      <c r="N3928" s="114" t="s">
        <v>8400</v>
      </c>
    </row>
    <row r="3929" spans="1:14">
      <c r="A3929" s="1" t="s">
        <v>867</v>
      </c>
      <c r="B3929" s="1" t="s">
        <v>7110</v>
      </c>
      <c r="I3929" s="109"/>
      <c r="J3929" s="109"/>
      <c r="K3929" s="109"/>
      <c r="L3929" s="109" t="str">
        <f t="shared" si="61"/>
        <v>96-966200257</v>
      </c>
      <c r="M3929" s="114">
        <v>966200257</v>
      </c>
      <c r="N3929" s="114" t="s">
        <v>7730</v>
      </c>
    </row>
    <row r="3930" spans="1:14">
      <c r="A3930" s="1" t="s">
        <v>1446</v>
      </c>
      <c r="B3930" s="1" t="s">
        <v>7110</v>
      </c>
      <c r="I3930" s="109"/>
      <c r="J3930" s="109"/>
      <c r="K3930" s="109"/>
      <c r="L3930" s="109" t="str">
        <f t="shared" si="61"/>
        <v>96-966200165</v>
      </c>
      <c r="M3930" s="114">
        <v>966200165</v>
      </c>
      <c r="N3930" s="114" t="s">
        <v>7859</v>
      </c>
    </row>
    <row r="3931" spans="1:14">
      <c r="A3931" s="1" t="s">
        <v>1447</v>
      </c>
      <c r="B3931" s="1" t="s">
        <v>7110</v>
      </c>
      <c r="I3931" s="109"/>
      <c r="J3931" s="109"/>
      <c r="K3931" s="109"/>
      <c r="L3931" s="109" t="str">
        <f t="shared" si="61"/>
        <v>96-966200274</v>
      </c>
      <c r="M3931" s="114">
        <v>966200274</v>
      </c>
      <c r="N3931" s="114" t="s">
        <v>7167</v>
      </c>
    </row>
    <row r="3932" spans="1:14">
      <c r="A3932" s="1" t="s">
        <v>926</v>
      </c>
      <c r="B3932" s="1" t="s">
        <v>7110</v>
      </c>
      <c r="I3932" s="109"/>
      <c r="J3932" s="109"/>
      <c r="K3932" s="109"/>
      <c r="L3932" s="109" t="str">
        <f t="shared" si="61"/>
        <v>96-966200268</v>
      </c>
      <c r="M3932" s="114">
        <v>966200268</v>
      </c>
      <c r="N3932" s="114" t="s">
        <v>7208</v>
      </c>
    </row>
    <row r="3933" spans="1:14">
      <c r="A3933" s="1" t="s">
        <v>950</v>
      </c>
      <c r="B3933" s="1" t="s">
        <v>7110</v>
      </c>
      <c r="I3933" s="109"/>
      <c r="J3933" s="109"/>
      <c r="K3933" s="109"/>
      <c r="L3933" s="109" t="str">
        <f t="shared" si="61"/>
        <v>96-961800062</v>
      </c>
      <c r="M3933" s="114">
        <v>961800062</v>
      </c>
      <c r="N3933" s="114" t="s">
        <v>7216</v>
      </c>
    </row>
    <row r="3934" spans="1:14">
      <c r="A3934" s="1" t="s">
        <v>951</v>
      </c>
      <c r="B3934" s="1" t="s">
        <v>7110</v>
      </c>
      <c r="I3934" s="109"/>
      <c r="J3934" s="109"/>
      <c r="K3934" s="109"/>
      <c r="L3934" s="109" t="str">
        <f t="shared" si="61"/>
        <v>96-961900035</v>
      </c>
      <c r="M3934" s="114">
        <v>961900035</v>
      </c>
      <c r="N3934" s="114" t="s">
        <v>8371</v>
      </c>
    </row>
    <row r="3935" spans="1:14">
      <c r="A3935" s="1" t="s">
        <v>675</v>
      </c>
      <c r="B3935" s="1" t="s">
        <v>7110</v>
      </c>
      <c r="I3935" s="109"/>
      <c r="J3935" s="109"/>
      <c r="K3935" s="109"/>
      <c r="L3935" s="109" t="str">
        <f t="shared" si="61"/>
        <v>96-961100071</v>
      </c>
      <c r="M3935" s="114">
        <v>961100071</v>
      </c>
      <c r="N3935" s="114" t="s">
        <v>8424</v>
      </c>
    </row>
    <row r="3936" spans="1:14">
      <c r="A3936" s="1" t="s">
        <v>1435</v>
      </c>
      <c r="B3936" s="1" t="s">
        <v>7110</v>
      </c>
      <c r="I3936" s="109"/>
      <c r="J3936" s="109"/>
      <c r="K3936" s="109"/>
      <c r="L3936" s="109" t="str">
        <f t="shared" si="61"/>
        <v>95-951800104</v>
      </c>
      <c r="M3936" s="114">
        <v>951800104</v>
      </c>
      <c r="N3936" s="114" t="s">
        <v>7197</v>
      </c>
    </row>
    <row r="3937" spans="1:14">
      <c r="A3937" s="1" t="s">
        <v>1199</v>
      </c>
      <c r="B3937" s="1" t="s">
        <v>7110</v>
      </c>
      <c r="I3937" s="109"/>
      <c r="J3937" s="109"/>
      <c r="K3937" s="109"/>
      <c r="L3937" s="109" t="str">
        <f t="shared" si="61"/>
        <v>95-951900239</v>
      </c>
      <c r="M3937" s="114">
        <v>951900239</v>
      </c>
      <c r="N3937" s="114" t="s">
        <v>8106</v>
      </c>
    </row>
    <row r="3938" spans="1:14">
      <c r="A3938" s="1" t="s">
        <v>854</v>
      </c>
      <c r="B3938" s="1" t="s">
        <v>7110</v>
      </c>
      <c r="I3938" s="109"/>
      <c r="J3938" s="109"/>
      <c r="K3938" s="109"/>
      <c r="L3938" s="109" t="str">
        <f t="shared" si="61"/>
        <v>96-961900074</v>
      </c>
      <c r="M3938" s="114">
        <v>961900074</v>
      </c>
      <c r="N3938" s="114" t="s">
        <v>8107</v>
      </c>
    </row>
    <row r="3939" spans="1:14">
      <c r="A3939" s="1" t="s">
        <v>854</v>
      </c>
      <c r="B3939" s="1" t="s">
        <v>7110</v>
      </c>
      <c r="I3939" s="109"/>
      <c r="J3939" s="109"/>
      <c r="K3939" s="109"/>
      <c r="L3939" s="109" t="str">
        <f t="shared" si="61"/>
        <v>96-966200028</v>
      </c>
      <c r="M3939" s="114">
        <v>966200028</v>
      </c>
      <c r="N3939" s="114" t="s">
        <v>8108</v>
      </c>
    </row>
    <row r="3940" spans="1:14">
      <c r="A3940" s="1" t="s">
        <v>854</v>
      </c>
      <c r="B3940" s="1" t="s">
        <v>7110</v>
      </c>
      <c r="I3940" s="109"/>
      <c r="J3940" s="109"/>
      <c r="K3940" s="109"/>
      <c r="L3940" s="109" t="str">
        <f t="shared" si="61"/>
        <v>96-966200029</v>
      </c>
      <c r="M3940" s="114">
        <v>966200029</v>
      </c>
      <c r="N3940" s="114" t="s">
        <v>8108</v>
      </c>
    </row>
    <row r="3941" spans="1:14">
      <c r="A3941" s="1" t="s">
        <v>1435</v>
      </c>
      <c r="B3941" s="1" t="s">
        <v>7110</v>
      </c>
      <c r="I3941" s="109"/>
      <c r="J3941" s="109"/>
      <c r="K3941" s="109"/>
      <c r="L3941" s="109" t="str">
        <f t="shared" si="61"/>
        <v>95-951600062</v>
      </c>
      <c r="M3941" s="114">
        <v>951600062</v>
      </c>
      <c r="N3941" s="114" t="s">
        <v>7770</v>
      </c>
    </row>
    <row r="3942" spans="1:14">
      <c r="A3942" s="1" t="s">
        <v>846</v>
      </c>
      <c r="B3942" s="1" t="s">
        <v>7110</v>
      </c>
      <c r="I3942" s="109"/>
      <c r="J3942" s="109"/>
      <c r="K3942" s="109"/>
      <c r="L3942" s="109" t="str">
        <f t="shared" si="61"/>
        <v>95-951900132</v>
      </c>
      <c r="M3942" s="114">
        <v>951900132</v>
      </c>
      <c r="N3942" s="114" t="s">
        <v>7771</v>
      </c>
    </row>
    <row r="3943" spans="1:14">
      <c r="A3943" s="1" t="s">
        <v>1448</v>
      </c>
      <c r="B3943" s="1" t="s">
        <v>7110</v>
      </c>
      <c r="I3943" s="109"/>
      <c r="J3943" s="109"/>
      <c r="K3943" s="109"/>
      <c r="L3943" s="109" t="str">
        <f t="shared" si="61"/>
        <v>95-951900179</v>
      </c>
      <c r="M3943" s="114">
        <v>951900179</v>
      </c>
      <c r="N3943" s="114" t="s">
        <v>7729</v>
      </c>
    </row>
    <row r="3944" spans="1:14">
      <c r="A3944" s="1" t="s">
        <v>850</v>
      </c>
      <c r="B3944" s="1" t="s">
        <v>7110</v>
      </c>
      <c r="I3944" s="109"/>
      <c r="J3944" s="109"/>
      <c r="K3944" s="109"/>
      <c r="L3944" s="109" t="str">
        <f t="shared" si="61"/>
        <v>96-961700108</v>
      </c>
      <c r="M3944" s="114">
        <v>961700108</v>
      </c>
      <c r="N3944" s="114" t="s">
        <v>7772</v>
      </c>
    </row>
    <row r="3945" spans="1:14">
      <c r="A3945" s="1" t="s">
        <v>1431</v>
      </c>
      <c r="B3945" s="1" t="s">
        <v>7110</v>
      </c>
      <c r="I3945" s="109"/>
      <c r="J3945" s="109"/>
      <c r="K3945" s="109"/>
      <c r="L3945" s="109" t="str">
        <f t="shared" si="61"/>
        <v>96-961900037</v>
      </c>
      <c r="M3945" s="114">
        <v>961900037</v>
      </c>
      <c r="N3945" s="114" t="s">
        <v>7838</v>
      </c>
    </row>
    <row r="3946" spans="1:14">
      <c r="A3946" s="1" t="s">
        <v>1431</v>
      </c>
      <c r="B3946" s="1" t="s">
        <v>7110</v>
      </c>
      <c r="I3946" s="109"/>
      <c r="J3946" s="109"/>
      <c r="K3946" s="109"/>
      <c r="L3946" s="109" t="str">
        <f t="shared" si="61"/>
        <v>96-961600003</v>
      </c>
      <c r="M3946" s="114">
        <v>961600003</v>
      </c>
      <c r="N3946" s="114" t="s">
        <v>8425</v>
      </c>
    </row>
    <row r="3947" spans="1:14">
      <c r="A3947" s="1" t="s">
        <v>850</v>
      </c>
      <c r="B3947" s="1" t="s">
        <v>7110</v>
      </c>
      <c r="I3947" s="109"/>
      <c r="J3947" s="109"/>
      <c r="K3947" s="109"/>
      <c r="L3947" s="109" t="str">
        <f t="shared" si="61"/>
        <v>96-961900120</v>
      </c>
      <c r="M3947" s="114">
        <v>961900120</v>
      </c>
      <c r="N3947" s="114" t="s">
        <v>8426</v>
      </c>
    </row>
    <row r="3948" spans="1:14">
      <c r="A3948" s="1" t="s">
        <v>1392</v>
      </c>
      <c r="B3948" s="1" t="s">
        <v>7110</v>
      </c>
      <c r="I3948" s="109"/>
      <c r="J3948" s="109"/>
      <c r="K3948" s="109"/>
      <c r="L3948" s="109" t="str">
        <f t="shared" si="61"/>
        <v>95-956000006</v>
      </c>
      <c r="M3948" s="114">
        <v>956000006</v>
      </c>
      <c r="N3948" s="114" t="s">
        <v>7146</v>
      </c>
    </row>
    <row r="3949" spans="1:14">
      <c r="A3949" s="1" t="s">
        <v>1448</v>
      </c>
      <c r="B3949" s="1" t="s">
        <v>7110</v>
      </c>
      <c r="I3949" s="109"/>
      <c r="J3949" s="109"/>
      <c r="K3949" s="109"/>
      <c r="L3949" s="109" t="str">
        <f t="shared" si="61"/>
        <v>95-956000011</v>
      </c>
      <c r="M3949" s="114">
        <v>956000011</v>
      </c>
      <c r="N3949" s="114" t="s">
        <v>7146</v>
      </c>
    </row>
    <row r="3950" spans="1:14">
      <c r="A3950" s="1" t="s">
        <v>1448</v>
      </c>
      <c r="B3950" s="1" t="s">
        <v>7110</v>
      </c>
      <c r="I3950" s="109"/>
      <c r="J3950" s="109"/>
      <c r="K3950" s="109"/>
      <c r="L3950" s="109" t="str">
        <f t="shared" si="61"/>
        <v>95-951200046</v>
      </c>
      <c r="M3950" s="114">
        <v>951200046</v>
      </c>
      <c r="N3950" s="114" t="s">
        <v>7174</v>
      </c>
    </row>
    <row r="3951" spans="1:14">
      <c r="A3951" s="1" t="s">
        <v>852</v>
      </c>
      <c r="B3951" s="1" t="s">
        <v>7110</v>
      </c>
      <c r="I3951" s="109"/>
      <c r="J3951" s="109"/>
      <c r="K3951" s="109"/>
      <c r="L3951" s="109" t="str">
        <f t="shared" si="61"/>
        <v>95-951200047</v>
      </c>
      <c r="M3951" s="114">
        <v>951200047</v>
      </c>
      <c r="N3951" s="114" t="s">
        <v>7174</v>
      </c>
    </row>
    <row r="3952" spans="1:14">
      <c r="A3952" s="1" t="s">
        <v>852</v>
      </c>
      <c r="B3952" s="1" t="s">
        <v>7110</v>
      </c>
      <c r="I3952" s="109"/>
      <c r="J3952" s="109"/>
      <c r="K3952" s="109"/>
      <c r="L3952" s="109" t="str">
        <f t="shared" si="61"/>
        <v>95-951200082</v>
      </c>
      <c r="M3952" s="114">
        <v>951200082</v>
      </c>
      <c r="N3952" s="114" t="s">
        <v>7511</v>
      </c>
    </row>
    <row r="3953" spans="1:14">
      <c r="A3953" s="1" t="s">
        <v>1448</v>
      </c>
      <c r="B3953" s="1" t="s">
        <v>7110</v>
      </c>
      <c r="I3953" s="109"/>
      <c r="J3953" s="109"/>
      <c r="K3953" s="109"/>
      <c r="L3953" s="109" t="str">
        <f t="shared" si="61"/>
        <v>95-951200086</v>
      </c>
      <c r="M3953" s="114">
        <v>951200086</v>
      </c>
      <c r="N3953" s="114" t="s">
        <v>7172</v>
      </c>
    </row>
    <row r="3954" spans="1:14">
      <c r="A3954" s="1" t="s">
        <v>850</v>
      </c>
      <c r="B3954" s="1" t="s">
        <v>7110</v>
      </c>
      <c r="I3954" s="109"/>
      <c r="J3954" s="109"/>
      <c r="K3954" s="109"/>
      <c r="L3954" s="109" t="str">
        <f t="shared" si="61"/>
        <v>95-951100078</v>
      </c>
      <c r="M3954" s="114">
        <v>951100078</v>
      </c>
      <c r="N3954" s="114" t="s">
        <v>7782</v>
      </c>
    </row>
    <row r="3955" spans="1:14">
      <c r="A3955" s="1" t="s">
        <v>846</v>
      </c>
      <c r="B3955" s="1" t="s">
        <v>7110</v>
      </c>
      <c r="I3955" s="109"/>
      <c r="J3955" s="109"/>
      <c r="K3955" s="109"/>
      <c r="L3955" s="109" t="str">
        <f t="shared" si="61"/>
        <v>95-951100086</v>
      </c>
      <c r="M3955" s="114">
        <v>951100086</v>
      </c>
      <c r="N3955" s="114" t="s">
        <v>7783</v>
      </c>
    </row>
    <row r="3956" spans="1:14">
      <c r="A3956" s="1" t="s">
        <v>846</v>
      </c>
      <c r="B3956" s="1" t="s">
        <v>7110</v>
      </c>
      <c r="I3956" s="109"/>
      <c r="J3956" s="109"/>
      <c r="K3956" s="109"/>
      <c r="L3956" s="109" t="str">
        <f t="shared" si="61"/>
        <v>95-951900310</v>
      </c>
      <c r="M3956" s="114">
        <v>951900310</v>
      </c>
      <c r="N3956" s="114" t="s">
        <v>7784</v>
      </c>
    </row>
    <row r="3957" spans="1:14">
      <c r="A3957" s="1" t="s">
        <v>844</v>
      </c>
      <c r="B3957" s="1" t="s">
        <v>7110</v>
      </c>
      <c r="I3957" s="109"/>
      <c r="J3957" s="109"/>
      <c r="K3957" s="109"/>
      <c r="L3957" s="109" t="str">
        <f t="shared" si="61"/>
        <v>95-951900075</v>
      </c>
      <c r="M3957" s="114">
        <v>951900075</v>
      </c>
      <c r="N3957" s="114" t="s">
        <v>7790</v>
      </c>
    </row>
    <row r="3958" spans="1:14">
      <c r="A3958" s="1" t="s">
        <v>750</v>
      </c>
      <c r="B3958" s="1" t="s">
        <v>7110</v>
      </c>
      <c r="I3958" s="109"/>
      <c r="J3958" s="109"/>
      <c r="K3958" s="109"/>
      <c r="L3958" s="109" t="str">
        <f t="shared" si="61"/>
        <v>95-951900169</v>
      </c>
      <c r="M3958" s="114">
        <v>951900169</v>
      </c>
      <c r="N3958" s="114" t="s">
        <v>7192</v>
      </c>
    </row>
    <row r="3959" spans="1:14">
      <c r="A3959" s="1" t="s">
        <v>1151</v>
      </c>
      <c r="B3959" s="1" t="s">
        <v>7110</v>
      </c>
      <c r="I3959" s="109"/>
      <c r="J3959" s="109"/>
      <c r="K3959" s="109"/>
      <c r="L3959" s="109" t="str">
        <f t="shared" si="61"/>
        <v>95-951900085</v>
      </c>
      <c r="M3959" s="114">
        <v>951900085</v>
      </c>
      <c r="N3959" s="114" t="s">
        <v>8216</v>
      </c>
    </row>
    <row r="3960" spans="1:14">
      <c r="A3960" s="1" t="s">
        <v>1452</v>
      </c>
      <c r="B3960" s="1" t="s">
        <v>7110</v>
      </c>
      <c r="I3960" s="109"/>
      <c r="J3960" s="109"/>
      <c r="K3960" s="109"/>
      <c r="L3960" s="109" t="str">
        <f t="shared" si="61"/>
        <v>95-951900097</v>
      </c>
      <c r="M3960" s="114">
        <v>951900097</v>
      </c>
      <c r="N3960" s="114" t="s">
        <v>8217</v>
      </c>
    </row>
    <row r="3961" spans="1:14">
      <c r="A3961" s="1" t="s">
        <v>1274</v>
      </c>
      <c r="B3961" s="1" t="s">
        <v>7110</v>
      </c>
      <c r="I3961" s="109"/>
      <c r="J3961" s="109"/>
      <c r="K3961" s="109"/>
      <c r="L3961" s="109" t="str">
        <f t="shared" si="61"/>
        <v>95-951600027</v>
      </c>
      <c r="M3961" s="114">
        <v>951600027</v>
      </c>
      <c r="N3961" s="114" t="s">
        <v>7719</v>
      </c>
    </row>
    <row r="3962" spans="1:14">
      <c r="A3962" s="1" t="s">
        <v>1453</v>
      </c>
      <c r="B3962" s="1" t="s">
        <v>7110</v>
      </c>
      <c r="I3962" s="109"/>
      <c r="J3962" s="109"/>
      <c r="K3962" s="109"/>
      <c r="L3962" s="109" t="str">
        <f t="shared" si="61"/>
        <v>95-951900277</v>
      </c>
      <c r="M3962" s="114">
        <v>951900277</v>
      </c>
      <c r="N3962" s="114" t="s">
        <v>7791</v>
      </c>
    </row>
    <row r="3963" spans="1:14">
      <c r="A3963" s="1" t="s">
        <v>1454</v>
      </c>
      <c r="B3963" s="1" t="s">
        <v>7110</v>
      </c>
      <c r="I3963" s="109"/>
      <c r="J3963" s="109"/>
      <c r="K3963" s="109"/>
      <c r="L3963" s="109" t="str">
        <f t="shared" si="61"/>
        <v>95-951600029</v>
      </c>
      <c r="M3963" s="114">
        <v>951600029</v>
      </c>
      <c r="N3963" s="114" t="s">
        <v>7579</v>
      </c>
    </row>
    <row r="3964" spans="1:14">
      <c r="A3964" s="1" t="s">
        <v>1274</v>
      </c>
      <c r="B3964" s="1" t="s">
        <v>7110</v>
      </c>
      <c r="I3964" s="109"/>
      <c r="J3964" s="109"/>
      <c r="K3964" s="109"/>
      <c r="L3964" s="109" t="str">
        <f t="shared" si="61"/>
        <v>95-951800029</v>
      </c>
      <c r="M3964" s="114">
        <v>951800029</v>
      </c>
      <c r="N3964" s="114" t="s">
        <v>7792</v>
      </c>
    </row>
    <row r="3965" spans="1:14">
      <c r="A3965" s="1" t="s">
        <v>1277</v>
      </c>
      <c r="B3965" s="1" t="s">
        <v>7110</v>
      </c>
      <c r="I3965" s="109"/>
      <c r="J3965" s="109"/>
      <c r="K3965" s="109"/>
      <c r="L3965" s="109" t="str">
        <f t="shared" si="61"/>
        <v>95-951900078</v>
      </c>
      <c r="M3965" s="114">
        <v>951900078</v>
      </c>
      <c r="N3965" s="114" t="s">
        <v>7797</v>
      </c>
    </row>
    <row r="3966" spans="1:14">
      <c r="A3966" s="1" t="s">
        <v>1274</v>
      </c>
      <c r="B3966" s="1" t="s">
        <v>7110</v>
      </c>
      <c r="I3966" s="109"/>
      <c r="J3966" s="109"/>
      <c r="K3966" s="109"/>
      <c r="L3966" s="109" t="str">
        <f t="shared" si="61"/>
        <v>95-951900110</v>
      </c>
      <c r="M3966" s="114">
        <v>951900110</v>
      </c>
      <c r="N3966" s="114" t="s">
        <v>7798</v>
      </c>
    </row>
    <row r="3967" spans="1:14">
      <c r="A3967" s="1" t="s">
        <v>1298</v>
      </c>
      <c r="B3967" s="1" t="s">
        <v>7110</v>
      </c>
      <c r="I3967" s="109"/>
      <c r="J3967" s="109"/>
      <c r="K3967" s="109"/>
      <c r="L3967" s="109" t="str">
        <f t="shared" si="61"/>
        <v>96-961900150</v>
      </c>
      <c r="M3967" s="114">
        <v>961900150</v>
      </c>
      <c r="N3967" s="114" t="s">
        <v>8224</v>
      </c>
    </row>
    <row r="3968" spans="1:14">
      <c r="A3968" s="1" t="s">
        <v>1274</v>
      </c>
      <c r="B3968" s="1" t="s">
        <v>7110</v>
      </c>
      <c r="I3968" s="109"/>
      <c r="J3968" s="109"/>
      <c r="K3968" s="109"/>
      <c r="L3968" s="109" t="str">
        <f t="shared" si="61"/>
        <v>95-951000008</v>
      </c>
      <c r="M3968" s="114">
        <v>951000008</v>
      </c>
      <c r="N3968" s="114" t="s">
        <v>8225</v>
      </c>
    </row>
    <row r="3969" spans="1:14">
      <c r="A3969" s="1" t="s">
        <v>1274</v>
      </c>
      <c r="B3969" s="1" t="s">
        <v>7110</v>
      </c>
      <c r="I3969" s="109"/>
      <c r="J3969" s="109"/>
      <c r="K3969" s="109"/>
      <c r="L3969" s="109" t="str">
        <f t="shared" si="61"/>
        <v>95-951900306</v>
      </c>
      <c r="M3969" s="114">
        <v>951900306</v>
      </c>
      <c r="N3969" s="114" t="s">
        <v>8226</v>
      </c>
    </row>
    <row r="3970" spans="1:14">
      <c r="A3970" s="1" t="s">
        <v>1265</v>
      </c>
      <c r="B3970" s="1" t="s">
        <v>7110</v>
      </c>
      <c r="I3970" s="109"/>
      <c r="J3970" s="109"/>
      <c r="K3970" s="109"/>
      <c r="L3970" s="109" t="str">
        <f t="shared" si="61"/>
        <v>95-951700106</v>
      </c>
      <c r="M3970" s="114">
        <v>951700106</v>
      </c>
      <c r="N3970" s="114" t="s">
        <v>7600</v>
      </c>
    </row>
    <row r="3971" spans="1:14">
      <c r="A3971" s="1" t="s">
        <v>1263</v>
      </c>
      <c r="B3971" s="1" t="s">
        <v>7110</v>
      </c>
      <c r="I3971" s="109"/>
      <c r="J3971" s="109"/>
      <c r="K3971" s="109"/>
      <c r="L3971" s="109" t="str">
        <f t="shared" ref="L3971:L4034" si="62">MID(M3971,1,2)&amp;"-"&amp;M3971</f>
        <v>95-951400177</v>
      </c>
      <c r="M3971" s="114">
        <v>951400177</v>
      </c>
      <c r="N3971" s="114" t="s">
        <v>8115</v>
      </c>
    </row>
    <row r="3972" spans="1:14">
      <c r="A3972" s="1" t="s">
        <v>1298</v>
      </c>
      <c r="B3972" s="1" t="s">
        <v>7110</v>
      </c>
      <c r="I3972" s="109"/>
      <c r="J3972" s="109"/>
      <c r="K3972" s="109"/>
      <c r="L3972" s="109" t="str">
        <f t="shared" si="62"/>
        <v>95-951400178</v>
      </c>
      <c r="M3972" s="114">
        <v>951400178</v>
      </c>
      <c r="N3972" s="114" t="s">
        <v>8115</v>
      </c>
    </row>
    <row r="3973" spans="1:14">
      <c r="A3973" s="1" t="s">
        <v>1264</v>
      </c>
      <c r="B3973" s="1" t="s">
        <v>7110</v>
      </c>
      <c r="I3973" s="109"/>
      <c r="J3973" s="109"/>
      <c r="K3973" s="109"/>
      <c r="L3973" s="109" t="str">
        <f t="shared" si="62"/>
        <v>96-961400009</v>
      </c>
      <c r="M3973" s="114">
        <v>961400009</v>
      </c>
      <c r="N3973" s="114" t="s">
        <v>8116</v>
      </c>
    </row>
    <row r="3974" spans="1:14">
      <c r="A3974" s="1" t="s">
        <v>1264</v>
      </c>
      <c r="B3974" s="1" t="s">
        <v>7110</v>
      </c>
      <c r="I3974" s="109"/>
      <c r="J3974" s="109"/>
      <c r="K3974" s="109"/>
      <c r="L3974" s="109" t="str">
        <f t="shared" si="62"/>
        <v>96-961700051</v>
      </c>
      <c r="M3974" s="114">
        <v>961700051</v>
      </c>
      <c r="N3974" s="114" t="s">
        <v>7698</v>
      </c>
    </row>
    <row r="3975" spans="1:14">
      <c r="A3975" s="1" t="s">
        <v>1262</v>
      </c>
      <c r="B3975" s="1" t="s">
        <v>7110</v>
      </c>
      <c r="I3975" s="109"/>
      <c r="J3975" s="109"/>
      <c r="K3975" s="109"/>
      <c r="L3975" s="109" t="str">
        <f t="shared" si="62"/>
        <v>96-961700053</v>
      </c>
      <c r="M3975" s="114">
        <v>961700053</v>
      </c>
      <c r="N3975" s="114" t="s">
        <v>7698</v>
      </c>
    </row>
    <row r="3976" spans="1:14">
      <c r="A3976" s="1" t="s">
        <v>1578</v>
      </c>
      <c r="B3976" s="1" t="s">
        <v>7110</v>
      </c>
      <c r="I3976" s="109"/>
      <c r="J3976" s="109"/>
      <c r="K3976" s="109"/>
      <c r="L3976" s="109" t="str">
        <f t="shared" si="62"/>
        <v>96-961700083</v>
      </c>
      <c r="M3976" s="114">
        <v>961700083</v>
      </c>
      <c r="N3976" s="114" t="s">
        <v>7178</v>
      </c>
    </row>
    <row r="3977" spans="1:14">
      <c r="A3977" s="1" t="s">
        <v>1298</v>
      </c>
      <c r="B3977" s="1" t="s">
        <v>7110</v>
      </c>
      <c r="I3977" s="109"/>
      <c r="J3977" s="109"/>
      <c r="K3977" s="109"/>
      <c r="L3977" s="109" t="str">
        <f t="shared" si="62"/>
        <v>96-961700090</v>
      </c>
      <c r="M3977" s="114">
        <v>961700090</v>
      </c>
      <c r="N3977" s="114" t="s">
        <v>8119</v>
      </c>
    </row>
    <row r="3978" spans="1:14">
      <c r="A3978" s="1" t="s">
        <v>1216</v>
      </c>
      <c r="B3978" s="1" t="s">
        <v>7110</v>
      </c>
      <c r="I3978" s="109"/>
      <c r="J3978" s="109"/>
      <c r="K3978" s="109"/>
      <c r="L3978" s="109" t="str">
        <f t="shared" si="62"/>
        <v>95-951800083</v>
      </c>
      <c r="M3978" s="114">
        <v>951800083</v>
      </c>
      <c r="N3978" s="114" t="s">
        <v>7133</v>
      </c>
    </row>
    <row r="3979" spans="1:14">
      <c r="A3979" s="1" t="s">
        <v>1216</v>
      </c>
      <c r="B3979" s="1" t="s">
        <v>7110</v>
      </c>
      <c r="I3979" s="109"/>
      <c r="J3979" s="109"/>
      <c r="K3979" s="109"/>
      <c r="L3979" s="109" t="str">
        <f t="shared" si="62"/>
        <v>95-951800133</v>
      </c>
      <c r="M3979" s="114">
        <v>951800133</v>
      </c>
      <c r="N3979" s="114" t="s">
        <v>7133</v>
      </c>
    </row>
    <row r="3980" spans="1:14">
      <c r="A3980" s="1" t="s">
        <v>1216</v>
      </c>
      <c r="B3980" s="1" t="s">
        <v>7110</v>
      </c>
      <c r="I3980" s="109"/>
      <c r="J3980" s="109"/>
      <c r="K3980" s="109"/>
      <c r="L3980" s="109" t="str">
        <f t="shared" si="62"/>
        <v>95-951900252</v>
      </c>
      <c r="M3980" s="114">
        <v>951900252</v>
      </c>
      <c r="N3980" s="114" t="s">
        <v>7134</v>
      </c>
    </row>
    <row r="3981" spans="1:14">
      <c r="A3981" s="1" t="s">
        <v>1216</v>
      </c>
      <c r="B3981" s="1" t="s">
        <v>7110</v>
      </c>
      <c r="I3981" s="109"/>
      <c r="J3981" s="109"/>
      <c r="K3981" s="109"/>
      <c r="L3981" s="109" t="str">
        <f t="shared" si="62"/>
        <v>95-951900149</v>
      </c>
      <c r="M3981" s="114">
        <v>951900149</v>
      </c>
      <c r="N3981" s="114" t="s">
        <v>8227</v>
      </c>
    </row>
    <row r="3982" spans="1:14">
      <c r="A3982" s="1" t="s">
        <v>1218</v>
      </c>
      <c r="B3982" s="1" t="s">
        <v>7110</v>
      </c>
      <c r="I3982" s="109"/>
      <c r="J3982" s="109"/>
      <c r="K3982" s="109"/>
      <c r="L3982" s="109" t="str">
        <f t="shared" si="62"/>
        <v>96-961100053</v>
      </c>
      <c r="M3982" s="114">
        <v>961100053</v>
      </c>
      <c r="N3982" s="114" t="s">
        <v>8235</v>
      </c>
    </row>
    <row r="3983" spans="1:14">
      <c r="A3983" s="1" t="s">
        <v>1216</v>
      </c>
      <c r="B3983" s="1" t="s">
        <v>7110</v>
      </c>
      <c r="I3983" s="109"/>
      <c r="J3983" s="109"/>
      <c r="K3983" s="109"/>
      <c r="L3983" s="109" t="str">
        <f t="shared" si="62"/>
        <v>95-951900303</v>
      </c>
      <c r="M3983" s="114">
        <v>951900303</v>
      </c>
      <c r="N3983" s="114" t="s">
        <v>7878</v>
      </c>
    </row>
    <row r="3984" spans="1:14">
      <c r="A3984" s="1" t="s">
        <v>1608</v>
      </c>
      <c r="B3984" s="1" t="s">
        <v>7110</v>
      </c>
      <c r="I3984" s="109"/>
      <c r="J3984" s="109"/>
      <c r="K3984" s="109"/>
      <c r="L3984" s="109" t="str">
        <f t="shared" si="62"/>
        <v>96-961700082</v>
      </c>
      <c r="M3984" s="114">
        <v>961700082</v>
      </c>
      <c r="N3984" s="114" t="s">
        <v>8236</v>
      </c>
    </row>
    <row r="3985" spans="1:14">
      <c r="A3985" s="1" t="s">
        <v>905</v>
      </c>
      <c r="B3985" s="1" t="s">
        <v>7110</v>
      </c>
      <c r="I3985" s="109"/>
      <c r="J3985" s="109"/>
      <c r="K3985" s="109"/>
      <c r="L3985" s="109" t="str">
        <f t="shared" si="62"/>
        <v>96-961900145</v>
      </c>
      <c r="M3985" s="114">
        <v>961900145</v>
      </c>
      <c r="N3985" s="114" t="s">
        <v>8237</v>
      </c>
    </row>
    <row r="3986" spans="1:14">
      <c r="A3986" s="1" t="s">
        <v>1215</v>
      </c>
      <c r="B3986" s="1" t="s">
        <v>7110</v>
      </c>
      <c r="I3986" s="109"/>
      <c r="J3986" s="109"/>
      <c r="K3986" s="109"/>
      <c r="L3986" s="109" t="str">
        <f t="shared" si="62"/>
        <v>95-951900178</v>
      </c>
      <c r="M3986" s="114">
        <v>951900178</v>
      </c>
      <c r="N3986" s="114" t="s">
        <v>7729</v>
      </c>
    </row>
    <row r="3987" spans="1:14">
      <c r="A3987" s="1" t="s">
        <v>1578</v>
      </c>
      <c r="B3987" s="1" t="s">
        <v>7110</v>
      </c>
      <c r="I3987" s="109"/>
      <c r="J3987" s="109"/>
      <c r="K3987" s="109"/>
      <c r="L3987" s="109" t="str">
        <f t="shared" si="62"/>
        <v>95-951900275</v>
      </c>
      <c r="M3987" s="114">
        <v>951900275</v>
      </c>
      <c r="N3987" s="114" t="s">
        <v>7611</v>
      </c>
    </row>
    <row r="3988" spans="1:14">
      <c r="A3988" s="1" t="s">
        <v>1215</v>
      </c>
      <c r="B3988" s="1" t="s">
        <v>7110</v>
      </c>
      <c r="I3988" s="109"/>
      <c r="J3988" s="109"/>
      <c r="K3988" s="109"/>
      <c r="L3988" s="109" t="str">
        <f t="shared" si="62"/>
        <v>96-961900048</v>
      </c>
      <c r="M3988" s="114">
        <v>961900048</v>
      </c>
      <c r="N3988" s="114" t="s">
        <v>7799</v>
      </c>
    </row>
    <row r="3989" spans="1:14">
      <c r="A3989" s="1" t="s">
        <v>1232</v>
      </c>
      <c r="B3989" s="1" t="s">
        <v>7110</v>
      </c>
      <c r="I3989" s="109"/>
      <c r="J3989" s="109"/>
      <c r="K3989" s="109"/>
      <c r="L3989" s="109" t="str">
        <f t="shared" si="62"/>
        <v>95-951800149</v>
      </c>
      <c r="M3989" s="114">
        <v>951800149</v>
      </c>
      <c r="N3989" s="114" t="s">
        <v>8120</v>
      </c>
    </row>
    <row r="3990" spans="1:14">
      <c r="A3990" s="1" t="s">
        <v>1265</v>
      </c>
      <c r="B3990" s="1" t="s">
        <v>7110</v>
      </c>
      <c r="I3990" s="109"/>
      <c r="J3990" s="109"/>
      <c r="K3990" s="109"/>
      <c r="L3990" s="109" t="str">
        <f t="shared" si="62"/>
        <v>96-961800060</v>
      </c>
      <c r="M3990" s="114">
        <v>961800060</v>
      </c>
      <c r="N3990" s="114" t="s">
        <v>7129</v>
      </c>
    </row>
    <row r="3991" spans="1:14">
      <c r="A3991" s="1" t="s">
        <v>1274</v>
      </c>
      <c r="B3991" s="1" t="s">
        <v>7110</v>
      </c>
      <c r="I3991" s="109"/>
      <c r="J3991" s="109"/>
      <c r="K3991" s="109"/>
      <c r="L3991" s="109" t="str">
        <f t="shared" si="62"/>
        <v>95-951900226</v>
      </c>
      <c r="M3991" s="114">
        <v>951900226</v>
      </c>
      <c r="N3991" s="114" t="s">
        <v>7503</v>
      </c>
    </row>
    <row r="3992" spans="1:14">
      <c r="A3992" s="1" t="s">
        <v>1392</v>
      </c>
      <c r="B3992" s="1" t="s">
        <v>7110</v>
      </c>
      <c r="I3992" s="109"/>
      <c r="J3992" s="109"/>
      <c r="K3992" s="109"/>
      <c r="L3992" s="109" t="str">
        <f t="shared" si="62"/>
        <v>95-951700030</v>
      </c>
      <c r="M3992" s="114">
        <v>951700030</v>
      </c>
      <c r="N3992" s="114" t="s">
        <v>7504</v>
      </c>
    </row>
    <row r="3993" spans="1:14">
      <c r="A3993" s="1" t="s">
        <v>1197</v>
      </c>
      <c r="B3993" s="1" t="s">
        <v>7110</v>
      </c>
      <c r="I3993" s="109"/>
      <c r="J3993" s="109"/>
      <c r="K3993" s="109"/>
      <c r="L3993" s="109" t="str">
        <f t="shared" si="62"/>
        <v>95-951400031</v>
      </c>
      <c r="M3993" s="114">
        <v>951400031</v>
      </c>
      <c r="N3993" s="114" t="s">
        <v>7508</v>
      </c>
    </row>
    <row r="3994" spans="1:14">
      <c r="A3994" s="1" t="s">
        <v>1435</v>
      </c>
      <c r="B3994" s="1" t="s">
        <v>7110</v>
      </c>
      <c r="I3994" s="109"/>
      <c r="J3994" s="109"/>
      <c r="K3994" s="109"/>
      <c r="L3994" s="109" t="str">
        <f t="shared" si="62"/>
        <v>95-951700095</v>
      </c>
      <c r="M3994" s="114">
        <v>951700095</v>
      </c>
      <c r="N3994" s="114" t="s">
        <v>8122</v>
      </c>
    </row>
    <row r="3995" spans="1:14">
      <c r="A3995" s="1" t="s">
        <v>1801</v>
      </c>
      <c r="B3995" s="1" t="s">
        <v>7110</v>
      </c>
      <c r="I3995" s="109"/>
      <c r="J3995" s="109"/>
      <c r="K3995" s="109"/>
      <c r="L3995" s="109" t="str">
        <f t="shared" si="62"/>
        <v>95-951400058</v>
      </c>
      <c r="M3995" s="114">
        <v>951400058</v>
      </c>
      <c r="N3995" s="114" t="s">
        <v>8123</v>
      </c>
    </row>
    <row r="3996" spans="1:14">
      <c r="A3996" s="1" t="s">
        <v>1802</v>
      </c>
      <c r="B3996" s="1" t="s">
        <v>7110</v>
      </c>
      <c r="I3996" s="109"/>
      <c r="J3996" s="109"/>
      <c r="K3996" s="109"/>
      <c r="L3996" s="109" t="str">
        <f t="shared" si="62"/>
        <v>95-951700199</v>
      </c>
      <c r="M3996" s="114">
        <v>951700199</v>
      </c>
      <c r="N3996" s="114" t="s">
        <v>8124</v>
      </c>
    </row>
    <row r="3997" spans="1:14">
      <c r="A3997" s="1" t="s">
        <v>1229</v>
      </c>
      <c r="B3997" s="1" t="s">
        <v>7110</v>
      </c>
      <c r="I3997" s="109"/>
      <c r="J3997" s="109"/>
      <c r="K3997" s="109"/>
      <c r="L3997" s="109" t="str">
        <f t="shared" si="62"/>
        <v>95-951200029</v>
      </c>
      <c r="M3997" s="114">
        <v>951200029</v>
      </c>
      <c r="N3997" s="114" t="s">
        <v>7172</v>
      </c>
    </row>
    <row r="3998" spans="1:14">
      <c r="A3998" s="1" t="s">
        <v>1239</v>
      </c>
      <c r="B3998" s="1" t="s">
        <v>7110</v>
      </c>
      <c r="I3998" s="109"/>
      <c r="J3998" s="109"/>
      <c r="K3998" s="109"/>
      <c r="L3998" s="109" t="str">
        <f t="shared" si="62"/>
        <v>95-951200032</v>
      </c>
      <c r="M3998" s="114">
        <v>951200032</v>
      </c>
      <c r="N3998" s="114" t="s">
        <v>7172</v>
      </c>
    </row>
    <row r="3999" spans="1:14">
      <c r="A3999" s="1" t="s">
        <v>1262</v>
      </c>
      <c r="B3999" s="1" t="s">
        <v>7110</v>
      </c>
      <c r="I3999" s="109"/>
      <c r="J3999" s="109"/>
      <c r="K3999" s="109"/>
      <c r="L3999" s="109" t="str">
        <f t="shared" si="62"/>
        <v>95-951200072</v>
      </c>
      <c r="M3999" s="114">
        <v>951200072</v>
      </c>
      <c r="N3999" s="114" t="s">
        <v>7226</v>
      </c>
    </row>
    <row r="4000" spans="1:14">
      <c r="A4000" s="1" t="s">
        <v>1274</v>
      </c>
      <c r="B4000" s="1" t="s">
        <v>7110</v>
      </c>
      <c r="I4000" s="109"/>
      <c r="J4000" s="109"/>
      <c r="K4000" s="109"/>
      <c r="L4000" s="109" t="str">
        <f t="shared" si="62"/>
        <v>95-951200077</v>
      </c>
      <c r="M4000" s="114">
        <v>951200077</v>
      </c>
      <c r="N4000" s="114" t="s">
        <v>7243</v>
      </c>
    </row>
    <row r="4001" spans="1:14">
      <c r="A4001" s="1" t="s">
        <v>1453</v>
      </c>
      <c r="B4001" s="1" t="s">
        <v>7110</v>
      </c>
      <c r="I4001" s="109"/>
      <c r="J4001" s="109"/>
      <c r="K4001" s="109"/>
      <c r="L4001" s="109" t="str">
        <f t="shared" si="62"/>
        <v>95-951200078</v>
      </c>
      <c r="M4001" s="114">
        <v>951200078</v>
      </c>
      <c r="N4001" s="114" t="s">
        <v>7172</v>
      </c>
    </row>
    <row r="4002" spans="1:14">
      <c r="A4002" s="1" t="s">
        <v>1454</v>
      </c>
      <c r="B4002" s="1" t="s">
        <v>7110</v>
      </c>
      <c r="I4002" s="109"/>
      <c r="J4002" s="109"/>
      <c r="K4002" s="109"/>
      <c r="L4002" s="109" t="str">
        <f t="shared" si="62"/>
        <v>95-952200072</v>
      </c>
      <c r="M4002" s="114">
        <v>952200072</v>
      </c>
      <c r="N4002" s="114" t="s">
        <v>7151</v>
      </c>
    </row>
    <row r="4003" spans="1:14">
      <c r="A4003" s="1" t="s">
        <v>1452</v>
      </c>
      <c r="B4003" s="1" t="s">
        <v>7110</v>
      </c>
      <c r="I4003" s="109"/>
      <c r="J4003" s="109"/>
      <c r="K4003" s="109"/>
      <c r="L4003" s="109" t="str">
        <f t="shared" si="62"/>
        <v>95-952200084</v>
      </c>
      <c r="M4003" s="114">
        <v>952200084</v>
      </c>
      <c r="N4003" s="114" t="s">
        <v>7239</v>
      </c>
    </row>
    <row r="4004" spans="1:14">
      <c r="A4004" s="1" t="s">
        <v>1264</v>
      </c>
      <c r="B4004" s="1" t="s">
        <v>7110</v>
      </c>
      <c r="I4004" s="109"/>
      <c r="J4004" s="109"/>
      <c r="K4004" s="109"/>
      <c r="L4004" s="109" t="str">
        <f t="shared" si="62"/>
        <v>95-951900312</v>
      </c>
      <c r="M4004" s="114">
        <v>951900312</v>
      </c>
      <c r="N4004" s="114" t="s">
        <v>7800</v>
      </c>
    </row>
    <row r="4005" spans="1:14">
      <c r="A4005" s="1" t="s">
        <v>1454</v>
      </c>
      <c r="B4005" s="1" t="s">
        <v>7110</v>
      </c>
      <c r="I4005" s="109"/>
      <c r="J4005" s="109"/>
      <c r="K4005" s="109"/>
      <c r="L4005" s="109" t="str">
        <f t="shared" si="62"/>
        <v>95-951900165</v>
      </c>
      <c r="M4005" s="114">
        <v>951900165</v>
      </c>
      <c r="N4005" s="114" t="s">
        <v>7186</v>
      </c>
    </row>
    <row r="4006" spans="1:14">
      <c r="A4006" s="1" t="s">
        <v>1262</v>
      </c>
      <c r="B4006" s="1" t="s">
        <v>7110</v>
      </c>
      <c r="I4006" s="109"/>
      <c r="J4006" s="109"/>
      <c r="K4006" s="109"/>
      <c r="L4006" s="109" t="str">
        <f t="shared" si="62"/>
        <v>95-951700115</v>
      </c>
      <c r="M4006" s="114">
        <v>951700115</v>
      </c>
      <c r="N4006" s="114" t="s">
        <v>8238</v>
      </c>
    </row>
    <row r="4007" spans="1:14">
      <c r="A4007" s="1" t="s">
        <v>1262</v>
      </c>
      <c r="B4007" s="1" t="s">
        <v>7110</v>
      </c>
      <c r="I4007" s="109"/>
      <c r="J4007" s="109"/>
      <c r="K4007" s="109"/>
      <c r="L4007" s="109" t="str">
        <f t="shared" si="62"/>
        <v>95-951700134</v>
      </c>
      <c r="M4007" s="114">
        <v>951700134</v>
      </c>
      <c r="N4007" s="114" t="s">
        <v>7766</v>
      </c>
    </row>
    <row r="4008" spans="1:14">
      <c r="A4008" s="1" t="s">
        <v>1262</v>
      </c>
      <c r="B4008" s="1" t="s">
        <v>7110</v>
      </c>
      <c r="I4008" s="109"/>
      <c r="J4008" s="109"/>
      <c r="K4008" s="109"/>
      <c r="L4008" s="109" t="str">
        <f t="shared" si="62"/>
        <v>95-951400170</v>
      </c>
      <c r="M4008" s="114">
        <v>951400170</v>
      </c>
      <c r="N4008" s="114" t="s">
        <v>7780</v>
      </c>
    </row>
    <row r="4009" spans="1:14">
      <c r="A4009" s="1" t="s">
        <v>1264</v>
      </c>
      <c r="B4009" s="1" t="s">
        <v>7110</v>
      </c>
      <c r="I4009" s="109"/>
      <c r="J4009" s="109"/>
      <c r="K4009" s="109"/>
      <c r="L4009" s="109" t="str">
        <f t="shared" si="62"/>
        <v>95-951900290</v>
      </c>
      <c r="M4009" s="114">
        <v>951900290</v>
      </c>
      <c r="N4009" s="114" t="s">
        <v>7612</v>
      </c>
    </row>
    <row r="4010" spans="1:14">
      <c r="A4010" s="1" t="s">
        <v>1229</v>
      </c>
      <c r="B4010" s="1" t="s">
        <v>7110</v>
      </c>
      <c r="I4010" s="109"/>
      <c r="J4010" s="109"/>
      <c r="K4010" s="109"/>
      <c r="L4010" s="109" t="str">
        <f t="shared" si="62"/>
        <v>96-961900160</v>
      </c>
      <c r="M4010" s="114">
        <v>961900160</v>
      </c>
      <c r="N4010" s="114" t="s">
        <v>7212</v>
      </c>
    </row>
    <row r="4011" spans="1:14">
      <c r="A4011" s="1" t="s">
        <v>1262</v>
      </c>
      <c r="B4011" s="1" t="s">
        <v>7110</v>
      </c>
      <c r="I4011" s="109"/>
      <c r="J4011" s="109"/>
      <c r="K4011" s="109"/>
      <c r="L4011" s="109" t="str">
        <f t="shared" si="62"/>
        <v>96-961900012</v>
      </c>
      <c r="M4011" s="114">
        <v>961900012</v>
      </c>
      <c r="N4011" s="114" t="s">
        <v>7613</v>
      </c>
    </row>
    <row r="4012" spans="1:14">
      <c r="A4012" s="1" t="s">
        <v>1262</v>
      </c>
      <c r="B4012" s="1" t="s">
        <v>7110</v>
      </c>
      <c r="I4012" s="109"/>
      <c r="J4012" s="109"/>
      <c r="K4012" s="109"/>
      <c r="L4012" s="109" t="str">
        <f t="shared" si="62"/>
        <v>96-961900011</v>
      </c>
      <c r="M4012" s="114">
        <v>961900011</v>
      </c>
      <c r="N4012" s="114" t="s">
        <v>7613</v>
      </c>
    </row>
    <row r="4013" spans="1:14">
      <c r="A4013" s="1" t="s">
        <v>844</v>
      </c>
      <c r="B4013" s="1" t="s">
        <v>7110</v>
      </c>
      <c r="I4013" s="109"/>
      <c r="J4013" s="109"/>
      <c r="K4013" s="109"/>
      <c r="L4013" s="109" t="str">
        <f t="shared" si="62"/>
        <v>96-961900014</v>
      </c>
      <c r="M4013" s="114">
        <v>961900014</v>
      </c>
      <c r="N4013" s="114" t="s">
        <v>7613</v>
      </c>
    </row>
    <row r="4014" spans="1:14">
      <c r="A4014" s="1" t="s">
        <v>1229</v>
      </c>
      <c r="B4014" s="1" t="s">
        <v>7110</v>
      </c>
      <c r="I4014" s="109"/>
      <c r="J4014" s="109"/>
      <c r="K4014" s="109"/>
      <c r="L4014" s="109" t="str">
        <f t="shared" si="62"/>
        <v>96-961900049</v>
      </c>
      <c r="M4014" s="114">
        <v>961900049</v>
      </c>
      <c r="N4014" s="114" t="s">
        <v>7615</v>
      </c>
    </row>
    <row r="4015" spans="1:14">
      <c r="A4015" s="1" t="s">
        <v>1144</v>
      </c>
      <c r="B4015" s="1" t="s">
        <v>7110</v>
      </c>
      <c r="I4015" s="109"/>
      <c r="J4015" s="109"/>
      <c r="K4015" s="109"/>
      <c r="L4015" s="109" t="str">
        <f t="shared" si="62"/>
        <v>96-961900060</v>
      </c>
      <c r="M4015" s="114">
        <v>961900060</v>
      </c>
      <c r="N4015" s="114" t="s">
        <v>7615</v>
      </c>
    </row>
    <row r="4016" spans="1:14">
      <c r="A4016" s="1" t="s">
        <v>1060</v>
      </c>
      <c r="B4016" s="1" t="s">
        <v>7110</v>
      </c>
      <c r="I4016" s="109"/>
      <c r="J4016" s="109"/>
      <c r="K4016" s="109"/>
      <c r="L4016" s="109" t="str">
        <f t="shared" si="62"/>
        <v>96-961900092</v>
      </c>
      <c r="M4016" s="114">
        <v>961900092</v>
      </c>
      <c r="N4016" s="114" t="s">
        <v>8241</v>
      </c>
    </row>
    <row r="4017" spans="1:14">
      <c r="A4017" s="1" t="s">
        <v>1887</v>
      </c>
      <c r="B4017" s="1" t="s">
        <v>7110</v>
      </c>
      <c r="I4017" s="109"/>
      <c r="J4017" s="109"/>
      <c r="K4017" s="109"/>
      <c r="L4017" s="109" t="str">
        <f t="shared" si="62"/>
        <v>96-961900044</v>
      </c>
      <c r="M4017" s="114">
        <v>961900044</v>
      </c>
      <c r="N4017" s="114" t="s">
        <v>8242</v>
      </c>
    </row>
    <row r="4018" spans="1:14">
      <c r="A4018" s="1" t="s">
        <v>1889</v>
      </c>
      <c r="B4018" s="1" t="s">
        <v>7110</v>
      </c>
      <c r="I4018" s="109"/>
      <c r="J4018" s="109"/>
      <c r="K4018" s="109"/>
      <c r="L4018" s="109" t="str">
        <f t="shared" si="62"/>
        <v>95-951700231</v>
      </c>
      <c r="M4018" s="114">
        <v>951700231</v>
      </c>
      <c r="N4018" s="114" t="s">
        <v>7703</v>
      </c>
    </row>
    <row r="4019" spans="1:14">
      <c r="A4019" s="1" t="s">
        <v>1889</v>
      </c>
      <c r="B4019" s="1" t="s">
        <v>7110</v>
      </c>
      <c r="I4019" s="109"/>
      <c r="J4019" s="109"/>
      <c r="K4019" s="109"/>
      <c r="L4019" s="109" t="str">
        <f t="shared" si="62"/>
        <v>95-951400134</v>
      </c>
      <c r="M4019" s="114">
        <v>951400134</v>
      </c>
      <c r="N4019" s="114" t="s">
        <v>7150</v>
      </c>
    </row>
    <row r="4020" spans="1:14">
      <c r="A4020" s="1" t="s">
        <v>1889</v>
      </c>
      <c r="B4020" s="1" t="s">
        <v>7110</v>
      </c>
      <c r="I4020" s="109"/>
      <c r="J4020" s="109"/>
      <c r="K4020" s="109"/>
      <c r="L4020" s="109" t="str">
        <f t="shared" si="62"/>
        <v>95-951400136</v>
      </c>
      <c r="M4020" s="114">
        <v>951400136</v>
      </c>
      <c r="N4020" s="114" t="s">
        <v>7150</v>
      </c>
    </row>
    <row r="4021" spans="1:14">
      <c r="A4021" s="1" t="s">
        <v>1898</v>
      </c>
      <c r="B4021" s="1" t="s">
        <v>7110</v>
      </c>
      <c r="I4021" s="109"/>
      <c r="J4021" s="109"/>
      <c r="K4021" s="109"/>
      <c r="L4021" s="109" t="str">
        <f t="shared" si="62"/>
        <v>96-961700088</v>
      </c>
      <c r="M4021" s="114">
        <v>961700088</v>
      </c>
      <c r="N4021" s="114" t="s">
        <v>8125</v>
      </c>
    </row>
    <row r="4022" spans="1:14">
      <c r="A4022" s="1" t="s">
        <v>1889</v>
      </c>
      <c r="B4022" s="1" t="s">
        <v>7110</v>
      </c>
      <c r="I4022" s="109"/>
      <c r="J4022" s="109"/>
      <c r="K4022" s="109"/>
      <c r="L4022" s="109" t="str">
        <f t="shared" si="62"/>
        <v>95-951900254</v>
      </c>
      <c r="M4022" s="114">
        <v>951900254</v>
      </c>
      <c r="N4022" s="114" t="s">
        <v>7695</v>
      </c>
    </row>
    <row r="4023" spans="1:14">
      <c r="A4023" s="1" t="s">
        <v>1889</v>
      </c>
      <c r="B4023" s="1" t="s">
        <v>7110</v>
      </c>
      <c r="I4023" s="109"/>
      <c r="J4023" s="109"/>
      <c r="K4023" s="109"/>
      <c r="L4023" s="109" t="str">
        <f t="shared" si="62"/>
        <v>96-961700036</v>
      </c>
      <c r="M4023" s="114">
        <v>961700036</v>
      </c>
      <c r="N4023" s="114" t="s">
        <v>7801</v>
      </c>
    </row>
    <row r="4024" spans="1:14">
      <c r="A4024" s="1" t="s">
        <v>1897</v>
      </c>
      <c r="B4024" s="1" t="s">
        <v>7110</v>
      </c>
      <c r="I4024" s="109"/>
      <c r="J4024" s="109"/>
      <c r="K4024" s="109"/>
      <c r="L4024" s="109" t="str">
        <f t="shared" si="62"/>
        <v>95-951900069</v>
      </c>
      <c r="M4024" s="114">
        <v>951900069</v>
      </c>
      <c r="N4024" s="114" t="s">
        <v>7804</v>
      </c>
    </row>
    <row r="4025" spans="1:14">
      <c r="A4025" s="1" t="s">
        <v>1890</v>
      </c>
      <c r="B4025" s="1" t="s">
        <v>7110</v>
      </c>
      <c r="I4025" s="109"/>
      <c r="J4025" s="109"/>
      <c r="K4025" s="109"/>
      <c r="L4025" s="109" t="str">
        <f t="shared" si="62"/>
        <v>95-951900151</v>
      </c>
      <c r="M4025" s="114">
        <v>951900151</v>
      </c>
      <c r="N4025" s="114" t="s">
        <v>7205</v>
      </c>
    </row>
    <row r="4026" spans="1:14">
      <c r="A4026" s="1" t="s">
        <v>1891</v>
      </c>
      <c r="B4026" s="1" t="s">
        <v>7110</v>
      </c>
      <c r="I4026" s="109"/>
      <c r="J4026" s="109"/>
      <c r="K4026" s="109"/>
      <c r="L4026" s="109" t="str">
        <f t="shared" si="62"/>
        <v>95-951900156</v>
      </c>
      <c r="M4026" s="114">
        <v>951900156</v>
      </c>
      <c r="N4026" s="114" t="s">
        <v>7729</v>
      </c>
    </row>
    <row r="4027" spans="1:14">
      <c r="A4027" s="1" t="s">
        <v>1323</v>
      </c>
      <c r="B4027" s="1" t="s">
        <v>7110</v>
      </c>
      <c r="I4027" s="109"/>
      <c r="J4027" s="109"/>
      <c r="K4027" s="109"/>
      <c r="L4027" s="109" t="str">
        <f t="shared" si="62"/>
        <v>95-951900246</v>
      </c>
      <c r="M4027" s="114">
        <v>951900246</v>
      </c>
      <c r="N4027" s="114" t="s">
        <v>7137</v>
      </c>
    </row>
    <row r="4028" spans="1:14">
      <c r="A4028" s="1" t="s">
        <v>1892</v>
      </c>
      <c r="B4028" s="1" t="s">
        <v>7110</v>
      </c>
      <c r="I4028" s="109"/>
      <c r="J4028" s="109"/>
      <c r="K4028" s="109"/>
      <c r="L4028" s="109" t="str">
        <f t="shared" si="62"/>
        <v>95-951900192</v>
      </c>
      <c r="M4028" s="114">
        <v>951900192</v>
      </c>
      <c r="N4028" s="114" t="s">
        <v>7805</v>
      </c>
    </row>
    <row r="4029" spans="1:14">
      <c r="A4029" s="1" t="s">
        <v>1323</v>
      </c>
      <c r="B4029" s="1" t="s">
        <v>7110</v>
      </c>
      <c r="I4029" s="109"/>
      <c r="J4029" s="109"/>
      <c r="K4029" s="109"/>
      <c r="L4029" s="109" t="str">
        <f t="shared" si="62"/>
        <v>95-951600080</v>
      </c>
      <c r="M4029" s="114">
        <v>951600080</v>
      </c>
      <c r="N4029" s="114" t="s">
        <v>7806</v>
      </c>
    </row>
    <row r="4030" spans="1:14">
      <c r="A4030" s="1" t="s">
        <v>1894</v>
      </c>
      <c r="B4030" s="1" t="s">
        <v>7110</v>
      </c>
      <c r="I4030" s="109"/>
      <c r="J4030" s="109"/>
      <c r="K4030" s="109"/>
      <c r="L4030" s="109" t="str">
        <f t="shared" si="62"/>
        <v>96-962200030</v>
      </c>
      <c r="M4030" s="114">
        <v>962200030</v>
      </c>
      <c r="N4030" s="114" t="s">
        <v>7230</v>
      </c>
    </row>
    <row r="4031" spans="1:14">
      <c r="A4031" s="1" t="s">
        <v>1896</v>
      </c>
      <c r="B4031" s="1" t="s">
        <v>7110</v>
      </c>
      <c r="I4031" s="109"/>
      <c r="J4031" s="109"/>
      <c r="K4031" s="109"/>
      <c r="L4031" s="109" t="str">
        <f t="shared" si="62"/>
        <v>96-962200040</v>
      </c>
      <c r="M4031" s="114">
        <v>962200040</v>
      </c>
      <c r="N4031" s="114" t="s">
        <v>7173</v>
      </c>
    </row>
    <row r="4032" spans="1:14">
      <c r="A4032" s="1" t="s">
        <v>1895</v>
      </c>
      <c r="B4032" s="1" t="s">
        <v>7110</v>
      </c>
      <c r="I4032" s="109"/>
      <c r="J4032" s="109"/>
      <c r="K4032" s="109"/>
      <c r="L4032" s="109" t="str">
        <f t="shared" si="62"/>
        <v>96-962200065</v>
      </c>
      <c r="M4032" s="114">
        <v>962200065</v>
      </c>
      <c r="N4032" s="114" t="s">
        <v>7450</v>
      </c>
    </row>
    <row r="4033" spans="1:14">
      <c r="A4033" s="1" t="s">
        <v>1898</v>
      </c>
      <c r="B4033" s="1" t="s">
        <v>7110</v>
      </c>
      <c r="I4033" s="109"/>
      <c r="J4033" s="109"/>
      <c r="K4033" s="109"/>
      <c r="L4033" s="109" t="str">
        <f t="shared" si="62"/>
        <v>96-961700045</v>
      </c>
      <c r="M4033" s="114">
        <v>961700045</v>
      </c>
      <c r="N4033" s="114" t="s">
        <v>8243</v>
      </c>
    </row>
    <row r="4034" spans="1:14">
      <c r="A4034" s="1" t="s">
        <v>1893</v>
      </c>
      <c r="B4034" s="1" t="s">
        <v>7110</v>
      </c>
      <c r="I4034" s="109"/>
      <c r="J4034" s="109"/>
      <c r="K4034" s="109"/>
      <c r="L4034" s="109" t="str">
        <f t="shared" si="62"/>
        <v>96-961700060</v>
      </c>
      <c r="M4034" s="114">
        <v>961700060</v>
      </c>
      <c r="N4034" s="114" t="s">
        <v>8244</v>
      </c>
    </row>
    <row r="4035" spans="1:14">
      <c r="A4035" s="1" t="s">
        <v>1893</v>
      </c>
      <c r="B4035" s="1" t="s">
        <v>7110</v>
      </c>
      <c r="I4035" s="109"/>
      <c r="J4035" s="109"/>
      <c r="K4035" s="109"/>
      <c r="L4035" s="109" t="str">
        <f t="shared" ref="L4035:L4098" si="63">MID(M4035,1,2)&amp;"-"&amp;M4035</f>
        <v>95-951800090</v>
      </c>
      <c r="M4035" s="114">
        <v>951800090</v>
      </c>
      <c r="N4035" s="114" t="s">
        <v>7142</v>
      </c>
    </row>
    <row r="4036" spans="1:14">
      <c r="A4036" s="1" t="s">
        <v>1888</v>
      </c>
      <c r="B4036" s="1" t="s">
        <v>7110</v>
      </c>
      <c r="I4036" s="109"/>
      <c r="J4036" s="109"/>
      <c r="K4036" s="109"/>
      <c r="L4036" s="109" t="str">
        <f t="shared" si="63"/>
        <v>95-951700069</v>
      </c>
      <c r="M4036" s="114">
        <v>951700069</v>
      </c>
      <c r="N4036" s="114" t="s">
        <v>7518</v>
      </c>
    </row>
    <row r="4037" spans="1:14">
      <c r="A4037" s="1" t="s">
        <v>1284</v>
      </c>
      <c r="B4037" s="1" t="s">
        <v>7110</v>
      </c>
      <c r="I4037" s="109"/>
      <c r="J4037" s="109"/>
      <c r="K4037" s="109"/>
      <c r="L4037" s="109" t="str">
        <f t="shared" si="63"/>
        <v>95-951700120</v>
      </c>
      <c r="M4037" s="114">
        <v>951700120</v>
      </c>
      <c r="N4037" s="114" t="s">
        <v>7525</v>
      </c>
    </row>
    <row r="4038" spans="1:14" ht="18.75">
      <c r="A4038" s="80" t="s">
        <v>6458</v>
      </c>
      <c r="B4038" s="1" t="s">
        <v>7110</v>
      </c>
      <c r="I4038" s="109"/>
      <c r="J4038" s="109"/>
      <c r="K4038" s="109"/>
      <c r="L4038" s="109" t="str">
        <f t="shared" si="63"/>
        <v>95-951700152</v>
      </c>
      <c r="M4038" s="114">
        <v>951700152</v>
      </c>
      <c r="N4038" s="114" t="s">
        <v>7639</v>
      </c>
    </row>
    <row r="4039" spans="1:14" ht="18.75">
      <c r="A4039" s="80" t="s">
        <v>6459</v>
      </c>
      <c r="B4039" s="1" t="s">
        <v>7110</v>
      </c>
      <c r="I4039" s="109"/>
      <c r="J4039" s="109"/>
      <c r="K4039" s="109"/>
      <c r="L4039" s="109" t="str">
        <f t="shared" si="63"/>
        <v>95-951700159</v>
      </c>
      <c r="M4039" s="114">
        <v>951700159</v>
      </c>
      <c r="N4039" s="114" t="s">
        <v>8136</v>
      </c>
    </row>
    <row r="4040" spans="1:14" ht="18.75">
      <c r="A4040" s="80" t="s">
        <v>6460</v>
      </c>
      <c r="B4040" s="1" t="s">
        <v>7110</v>
      </c>
      <c r="I4040" s="109"/>
      <c r="J4040" s="109"/>
      <c r="K4040" s="109"/>
      <c r="L4040" s="109" t="str">
        <f t="shared" si="63"/>
        <v>95-956100020</v>
      </c>
      <c r="M4040" s="114">
        <v>956100020</v>
      </c>
      <c r="N4040" s="114" t="s">
        <v>7778</v>
      </c>
    </row>
    <row r="4041" spans="1:14" ht="18.75">
      <c r="A4041" s="80" t="s">
        <v>6461</v>
      </c>
      <c r="B4041" s="1" t="s">
        <v>7110</v>
      </c>
      <c r="I4041" s="109"/>
      <c r="J4041" s="109"/>
      <c r="K4041" s="109"/>
      <c r="L4041" s="109" t="str">
        <f t="shared" si="63"/>
        <v>95-951400139</v>
      </c>
      <c r="M4041" s="114">
        <v>951400139</v>
      </c>
      <c r="N4041" s="114" t="s">
        <v>7201</v>
      </c>
    </row>
    <row r="4042" spans="1:14" ht="18.75">
      <c r="A4042" s="80" t="s">
        <v>6461</v>
      </c>
      <c r="B4042" s="1" t="s">
        <v>7110</v>
      </c>
      <c r="I4042" s="109"/>
      <c r="J4042" s="109"/>
      <c r="K4042" s="109"/>
      <c r="L4042" s="109" t="str">
        <f t="shared" si="63"/>
        <v>95-951900278</v>
      </c>
      <c r="M4042" s="114">
        <v>951900278</v>
      </c>
      <c r="N4042" s="114" t="s">
        <v>7611</v>
      </c>
    </row>
    <row r="4043" spans="1:14" ht="18.75">
      <c r="A4043" s="80" t="s">
        <v>6460</v>
      </c>
      <c r="B4043" s="1" t="s">
        <v>7110</v>
      </c>
      <c r="I4043" s="109"/>
      <c r="J4043" s="109"/>
      <c r="K4043" s="109"/>
      <c r="L4043" s="109" t="str">
        <f t="shared" si="63"/>
        <v>95-951900298</v>
      </c>
      <c r="M4043" s="114">
        <v>951900298</v>
      </c>
      <c r="N4043" s="114" t="s">
        <v>7612</v>
      </c>
    </row>
    <row r="4044" spans="1:14" ht="18.75">
      <c r="A4044" s="80" t="s">
        <v>6462</v>
      </c>
      <c r="B4044" s="1" t="s">
        <v>7110</v>
      </c>
      <c r="I4044" s="109"/>
      <c r="J4044" s="109"/>
      <c r="K4044" s="109"/>
      <c r="L4044" s="109" t="str">
        <f t="shared" si="63"/>
        <v>96-961900159</v>
      </c>
      <c r="M4044" s="114">
        <v>961900159</v>
      </c>
      <c r="N4044" s="114" t="s">
        <v>7212</v>
      </c>
    </row>
    <row r="4045" spans="1:14" ht="18.75">
      <c r="A4045" s="80" t="s">
        <v>17</v>
      </c>
      <c r="B4045" s="1" t="s">
        <v>7110</v>
      </c>
      <c r="I4045" s="109"/>
      <c r="J4045" s="109"/>
      <c r="K4045" s="109"/>
      <c r="L4045" s="109" t="str">
        <f t="shared" si="63"/>
        <v>96-961900018</v>
      </c>
      <c r="M4045" s="114">
        <v>961900018</v>
      </c>
      <c r="N4045" s="114" t="s">
        <v>7613</v>
      </c>
    </row>
    <row r="4046" spans="1:14" ht="18.75">
      <c r="A4046" s="80" t="s">
        <v>23</v>
      </c>
      <c r="B4046" s="1" t="s">
        <v>7110</v>
      </c>
      <c r="I4046" s="109"/>
      <c r="J4046" s="109"/>
      <c r="K4046" s="109"/>
      <c r="L4046" s="109" t="str">
        <f t="shared" si="63"/>
        <v>96-961900027</v>
      </c>
      <c r="M4046" s="114">
        <v>961900027</v>
      </c>
      <c r="N4046" s="114" t="s">
        <v>7786</v>
      </c>
    </row>
    <row r="4047" spans="1:14" ht="18.75">
      <c r="A4047" s="80" t="s">
        <v>26</v>
      </c>
      <c r="B4047" s="1" t="s">
        <v>7110</v>
      </c>
      <c r="I4047" s="109"/>
      <c r="J4047" s="109"/>
      <c r="K4047" s="109"/>
      <c r="L4047" s="109" t="str">
        <f t="shared" si="63"/>
        <v>96-961900057</v>
      </c>
      <c r="M4047" s="114">
        <v>961900057</v>
      </c>
      <c r="N4047" s="114" t="s">
        <v>7812</v>
      </c>
    </row>
    <row r="4048" spans="1:14" ht="18.75">
      <c r="A4048" s="80" t="s">
        <v>27</v>
      </c>
      <c r="B4048" s="1" t="s">
        <v>7110</v>
      </c>
      <c r="I4048" s="109"/>
      <c r="J4048" s="109"/>
      <c r="K4048" s="109"/>
      <c r="L4048" s="109" t="str">
        <f t="shared" si="63"/>
        <v>96-961900058</v>
      </c>
      <c r="M4048" s="114">
        <v>961900058</v>
      </c>
      <c r="N4048" s="114" t="s">
        <v>7812</v>
      </c>
    </row>
    <row r="4049" spans="1:14" ht="18.75">
      <c r="A4049" s="80" t="s">
        <v>73</v>
      </c>
      <c r="B4049" s="1" t="s">
        <v>7110</v>
      </c>
      <c r="I4049" s="109"/>
      <c r="J4049" s="109"/>
      <c r="K4049" s="109"/>
      <c r="L4049" s="109" t="str">
        <f t="shared" si="63"/>
        <v>96-961900034</v>
      </c>
      <c r="M4049" s="114">
        <v>961900034</v>
      </c>
      <c r="N4049" s="114" t="s">
        <v>7813</v>
      </c>
    </row>
    <row r="4050" spans="1:14" ht="18.75">
      <c r="A4050" s="80" t="s">
        <v>27</v>
      </c>
      <c r="B4050" s="1" t="s">
        <v>7110</v>
      </c>
      <c r="I4050" s="109"/>
      <c r="J4050" s="109"/>
      <c r="K4050" s="109"/>
      <c r="L4050" s="109" t="str">
        <f t="shared" si="63"/>
        <v>96-961900062</v>
      </c>
      <c r="M4050" s="114">
        <v>961900062</v>
      </c>
      <c r="N4050" s="114" t="s">
        <v>7203</v>
      </c>
    </row>
    <row r="4051" spans="1:14" ht="18.75">
      <c r="A4051" s="80" t="s">
        <v>23</v>
      </c>
      <c r="B4051" s="1" t="s">
        <v>7110</v>
      </c>
      <c r="I4051" s="109"/>
      <c r="J4051" s="109"/>
      <c r="K4051" s="109"/>
      <c r="L4051" s="109" t="str">
        <f t="shared" si="63"/>
        <v>96-961900063</v>
      </c>
      <c r="M4051" s="114">
        <v>961900063</v>
      </c>
      <c r="N4051" s="114" t="s">
        <v>7203</v>
      </c>
    </row>
    <row r="4052" spans="1:14" ht="18.75">
      <c r="A4052" s="80" t="s">
        <v>77</v>
      </c>
      <c r="B4052" s="1" t="s">
        <v>7110</v>
      </c>
      <c r="I4052" s="109"/>
      <c r="J4052" s="109"/>
      <c r="K4052" s="109"/>
      <c r="L4052" s="109" t="str">
        <f t="shared" si="63"/>
        <v>95-951700174</v>
      </c>
      <c r="M4052" s="114">
        <v>951700174</v>
      </c>
      <c r="N4052" s="114" t="s">
        <v>7527</v>
      </c>
    </row>
    <row r="4053" spans="1:14" ht="18.75">
      <c r="A4053" s="80" t="s">
        <v>78</v>
      </c>
      <c r="B4053" s="1" t="s">
        <v>7110</v>
      </c>
      <c r="I4053" s="109"/>
      <c r="J4053" s="109"/>
      <c r="K4053" s="109"/>
      <c r="L4053" s="109" t="str">
        <f t="shared" si="63"/>
        <v>95-951700180</v>
      </c>
      <c r="M4053" s="114">
        <v>951700180</v>
      </c>
      <c r="N4053" s="114" t="s">
        <v>7528</v>
      </c>
    </row>
    <row r="4054" spans="1:14" ht="18.75">
      <c r="A4054" s="80" t="s">
        <v>78</v>
      </c>
      <c r="B4054" s="1" t="s">
        <v>7110</v>
      </c>
      <c r="I4054" s="109"/>
      <c r="J4054" s="109"/>
      <c r="K4054" s="109"/>
      <c r="L4054" s="109" t="str">
        <f t="shared" si="63"/>
        <v>95-951700186</v>
      </c>
      <c r="M4054" s="114">
        <v>951700186</v>
      </c>
      <c r="N4054" s="114" t="s">
        <v>7528</v>
      </c>
    </row>
    <row r="4055" spans="1:14" ht="18.75">
      <c r="A4055" s="80" t="s">
        <v>78</v>
      </c>
      <c r="B4055" s="1" t="s">
        <v>7110</v>
      </c>
      <c r="I4055" s="109"/>
      <c r="J4055" s="109"/>
      <c r="K4055" s="109"/>
      <c r="L4055" s="109" t="str">
        <f t="shared" si="63"/>
        <v>95-951700190</v>
      </c>
      <c r="M4055" s="114">
        <v>951700190</v>
      </c>
      <c r="N4055" s="114" t="s">
        <v>7528</v>
      </c>
    </row>
    <row r="4056" spans="1:14" ht="18.75">
      <c r="A4056" s="80" t="s">
        <v>78</v>
      </c>
      <c r="B4056" s="1" t="s">
        <v>7110</v>
      </c>
      <c r="I4056" s="109"/>
      <c r="J4056" s="109"/>
      <c r="K4056" s="109"/>
      <c r="L4056" s="109" t="str">
        <f t="shared" si="63"/>
        <v>95-951700193</v>
      </c>
      <c r="M4056" s="114">
        <v>951700193</v>
      </c>
      <c r="N4056" s="114" t="s">
        <v>7528</v>
      </c>
    </row>
    <row r="4057" spans="1:14" ht="18.75">
      <c r="A4057" s="80" t="s">
        <v>78</v>
      </c>
      <c r="B4057" s="1" t="s">
        <v>7110</v>
      </c>
      <c r="I4057" s="109"/>
      <c r="J4057" s="109"/>
      <c r="K4057" s="109"/>
      <c r="L4057" s="109" t="str">
        <f t="shared" si="63"/>
        <v>95-951700220</v>
      </c>
      <c r="M4057" s="114">
        <v>951700220</v>
      </c>
      <c r="N4057" s="114" t="s">
        <v>7185</v>
      </c>
    </row>
    <row r="4058" spans="1:14" ht="18.75">
      <c r="A4058" s="80" t="s">
        <v>78</v>
      </c>
      <c r="B4058" s="1" t="s">
        <v>7110</v>
      </c>
      <c r="I4058" s="109"/>
      <c r="J4058" s="109"/>
      <c r="K4058" s="109"/>
      <c r="L4058" s="109" t="str">
        <f t="shared" si="63"/>
        <v>95-951400074</v>
      </c>
      <c r="M4058" s="114">
        <v>951400074</v>
      </c>
      <c r="N4058" s="114" t="s">
        <v>7185</v>
      </c>
    </row>
    <row r="4059" spans="1:14" ht="18.75">
      <c r="A4059" s="80" t="s">
        <v>78</v>
      </c>
      <c r="B4059" s="1" t="s">
        <v>7110</v>
      </c>
      <c r="I4059" s="109"/>
      <c r="J4059" s="109"/>
      <c r="K4059" s="109"/>
      <c r="L4059" s="109" t="str">
        <f t="shared" si="63"/>
        <v>95-951700227</v>
      </c>
      <c r="M4059" s="114">
        <v>951700227</v>
      </c>
      <c r="N4059" s="114" t="s">
        <v>7153</v>
      </c>
    </row>
    <row r="4060" spans="1:14" ht="18.75">
      <c r="A4060" s="80" t="s">
        <v>78</v>
      </c>
      <c r="B4060" s="1" t="s">
        <v>7110</v>
      </c>
      <c r="I4060" s="109"/>
      <c r="J4060" s="109"/>
      <c r="K4060" s="109"/>
      <c r="L4060" s="109" t="str">
        <f t="shared" si="63"/>
        <v>95-951700255</v>
      </c>
      <c r="M4060" s="114">
        <v>951700255</v>
      </c>
      <c r="N4060" s="114" t="s">
        <v>7185</v>
      </c>
    </row>
    <row r="4061" spans="1:14" ht="18.75">
      <c r="A4061" s="80" t="s">
        <v>78</v>
      </c>
      <c r="B4061" s="1" t="s">
        <v>7110</v>
      </c>
      <c r="I4061" s="109"/>
      <c r="J4061" s="109"/>
      <c r="K4061" s="109"/>
      <c r="L4061" s="109" t="str">
        <f t="shared" si="63"/>
        <v>95-951700256</v>
      </c>
      <c r="M4061" s="114">
        <v>951700256</v>
      </c>
      <c r="N4061" s="114" t="s">
        <v>7185</v>
      </c>
    </row>
    <row r="4062" spans="1:14" ht="18.75">
      <c r="A4062" s="80" t="s">
        <v>78</v>
      </c>
      <c r="B4062" s="1" t="s">
        <v>7110</v>
      </c>
      <c r="I4062" s="109"/>
      <c r="J4062" s="109"/>
      <c r="K4062" s="109"/>
      <c r="L4062" s="109" t="str">
        <f t="shared" si="63"/>
        <v>95-951700287</v>
      </c>
      <c r="M4062" s="114">
        <v>951700287</v>
      </c>
      <c r="N4062" s="114" t="s">
        <v>7528</v>
      </c>
    </row>
    <row r="4063" spans="1:14" ht="18.75">
      <c r="A4063" s="80" t="s">
        <v>78</v>
      </c>
      <c r="B4063" s="1" t="s">
        <v>7110</v>
      </c>
      <c r="I4063" s="109"/>
      <c r="J4063" s="109"/>
      <c r="K4063" s="109"/>
      <c r="L4063" s="109" t="str">
        <f t="shared" si="63"/>
        <v>96-961700028</v>
      </c>
      <c r="M4063" s="114">
        <v>961700028</v>
      </c>
      <c r="N4063" s="114" t="s">
        <v>8254</v>
      </c>
    </row>
    <row r="4064" spans="1:14" ht="18.75">
      <c r="A4064" s="80" t="s">
        <v>78</v>
      </c>
      <c r="B4064" s="1" t="s">
        <v>7110</v>
      </c>
      <c r="I4064" s="109"/>
      <c r="J4064" s="109"/>
      <c r="K4064" s="109"/>
      <c r="L4064" s="109" t="str">
        <f t="shared" si="63"/>
        <v>95-951800075</v>
      </c>
      <c r="M4064" s="114">
        <v>951800075</v>
      </c>
      <c r="N4064" s="114" t="s">
        <v>7824</v>
      </c>
    </row>
    <row r="4065" spans="1:14" ht="18.75">
      <c r="A4065" s="80" t="s">
        <v>78</v>
      </c>
      <c r="B4065" s="1" t="s">
        <v>7110</v>
      </c>
      <c r="I4065" s="109"/>
      <c r="J4065" s="109"/>
      <c r="K4065" s="109"/>
      <c r="L4065" s="109" t="str">
        <f t="shared" si="63"/>
        <v>96-962500003</v>
      </c>
      <c r="M4065" s="114">
        <v>962500003</v>
      </c>
      <c r="N4065" s="114" t="s">
        <v>5710</v>
      </c>
    </row>
    <row r="4066" spans="1:14" ht="18.75">
      <c r="A4066" s="80" t="s">
        <v>78</v>
      </c>
      <c r="B4066" s="1" t="s">
        <v>7110</v>
      </c>
      <c r="I4066" s="109"/>
      <c r="J4066" s="109"/>
      <c r="K4066" s="109"/>
      <c r="L4066" s="109" t="str">
        <f t="shared" si="63"/>
        <v>96-962500037</v>
      </c>
      <c r="M4066" s="114">
        <v>962500037</v>
      </c>
      <c r="N4066" s="114" t="s">
        <v>5814</v>
      </c>
    </row>
    <row r="4067" spans="1:14" ht="18.75">
      <c r="A4067" s="80" t="s">
        <v>78</v>
      </c>
      <c r="B4067" s="1" t="s">
        <v>7110</v>
      </c>
      <c r="I4067" s="109"/>
      <c r="J4067" s="109"/>
      <c r="K4067" s="109"/>
      <c r="L4067" s="109" t="str">
        <f t="shared" si="63"/>
        <v>95-952500084</v>
      </c>
      <c r="M4067" s="114">
        <v>952500084</v>
      </c>
      <c r="N4067" s="114" t="s">
        <v>5750</v>
      </c>
    </row>
    <row r="4068" spans="1:14" ht="18.75">
      <c r="A4068" s="80" t="s">
        <v>78</v>
      </c>
      <c r="B4068" s="1" t="s">
        <v>7110</v>
      </c>
      <c r="I4068" s="109"/>
      <c r="J4068" s="109"/>
      <c r="K4068" s="109"/>
      <c r="L4068" s="109" t="str">
        <f t="shared" si="63"/>
        <v>96-962500028</v>
      </c>
      <c r="M4068" s="114">
        <v>962500028</v>
      </c>
      <c r="N4068" s="114" t="s">
        <v>5780</v>
      </c>
    </row>
    <row r="4069" spans="1:14" ht="18.75">
      <c r="A4069" s="80" t="s">
        <v>27</v>
      </c>
      <c r="B4069" s="1" t="s">
        <v>7110</v>
      </c>
      <c r="I4069" s="109"/>
      <c r="J4069" s="109"/>
      <c r="K4069" s="109"/>
      <c r="L4069" s="109" t="str">
        <f t="shared" si="63"/>
        <v>96-962500017</v>
      </c>
      <c r="M4069" s="114">
        <v>962500017</v>
      </c>
      <c r="N4069" s="114" t="s">
        <v>5791</v>
      </c>
    </row>
    <row r="4070" spans="1:14" ht="18.75">
      <c r="A4070" s="80" t="s">
        <v>83</v>
      </c>
      <c r="B4070" s="1" t="s">
        <v>7110</v>
      </c>
      <c r="I4070" s="109"/>
      <c r="J4070" s="109"/>
      <c r="K4070" s="109"/>
      <c r="L4070" s="109" t="str">
        <f t="shared" si="63"/>
        <v>95-951700081</v>
      </c>
      <c r="M4070" s="114">
        <v>951700081</v>
      </c>
      <c r="N4070" s="114" t="s">
        <v>7534</v>
      </c>
    </row>
    <row r="4071" spans="1:14" ht="18.75">
      <c r="A4071" s="80" t="s">
        <v>17</v>
      </c>
      <c r="B4071" s="1" t="s">
        <v>7110</v>
      </c>
      <c r="I4071" s="109"/>
      <c r="J4071" s="109"/>
      <c r="K4071" s="109"/>
      <c r="L4071" s="109" t="str">
        <f t="shared" si="63"/>
        <v>95-951400156</v>
      </c>
      <c r="M4071" s="114">
        <v>951400156</v>
      </c>
      <c r="N4071" s="114" t="s">
        <v>7535</v>
      </c>
    </row>
    <row r="4072" spans="1:14" ht="18.75">
      <c r="A4072" s="80" t="s">
        <v>95</v>
      </c>
      <c r="B4072" s="1" t="s">
        <v>7110</v>
      </c>
      <c r="I4072" s="109"/>
      <c r="J4072" s="109"/>
      <c r="K4072" s="109"/>
      <c r="L4072" s="109" t="str">
        <f t="shared" si="63"/>
        <v>95-951400161</v>
      </c>
      <c r="M4072" s="114">
        <v>951400161</v>
      </c>
      <c r="N4072" s="114" t="s">
        <v>7535</v>
      </c>
    </row>
    <row r="4073" spans="1:14" ht="18.75">
      <c r="A4073" s="80" t="s">
        <v>99</v>
      </c>
      <c r="B4073" s="1" t="s">
        <v>7110</v>
      </c>
      <c r="I4073" s="109"/>
      <c r="J4073" s="109"/>
      <c r="K4073" s="109"/>
      <c r="L4073" s="109" t="str">
        <f t="shared" si="63"/>
        <v>96-961900143</v>
      </c>
      <c r="M4073" s="114">
        <v>961900143</v>
      </c>
      <c r="N4073" s="114" t="s">
        <v>8152</v>
      </c>
    </row>
    <row r="4074" spans="1:14" ht="18.75">
      <c r="A4074" s="80" t="s">
        <v>100</v>
      </c>
      <c r="B4074" s="1" t="s">
        <v>7110</v>
      </c>
      <c r="I4074" s="109"/>
      <c r="J4074" s="109"/>
      <c r="K4074" s="109"/>
      <c r="L4074" s="109" t="str">
        <f t="shared" si="63"/>
        <v>95-951800122</v>
      </c>
      <c r="M4074" s="114">
        <v>951800122</v>
      </c>
      <c r="N4074" s="114" t="s">
        <v>7626</v>
      </c>
    </row>
    <row r="4075" spans="1:14" ht="18.75">
      <c r="A4075" s="80" t="s">
        <v>102</v>
      </c>
      <c r="B4075" s="1" t="s">
        <v>7110</v>
      </c>
      <c r="I4075" s="109"/>
      <c r="J4075" s="109"/>
      <c r="K4075" s="109"/>
      <c r="L4075" s="109" t="str">
        <f t="shared" si="63"/>
        <v>95-951700293</v>
      </c>
      <c r="M4075" s="114">
        <v>951700293</v>
      </c>
      <c r="N4075" s="114" t="s">
        <v>7187</v>
      </c>
    </row>
    <row r="4076" spans="1:14" ht="18.75">
      <c r="A4076" s="80" t="s">
        <v>103</v>
      </c>
      <c r="B4076" s="1" t="s">
        <v>7110</v>
      </c>
      <c r="I4076" s="109"/>
      <c r="J4076" s="109"/>
      <c r="K4076" s="109"/>
      <c r="L4076" s="109" t="str">
        <f t="shared" si="63"/>
        <v>95-951800015</v>
      </c>
      <c r="M4076" s="114">
        <v>951800015</v>
      </c>
      <c r="N4076" s="114" t="s">
        <v>8265</v>
      </c>
    </row>
    <row r="4077" spans="1:14" ht="18.75">
      <c r="A4077" s="80" t="s">
        <v>6</v>
      </c>
      <c r="B4077" s="1" t="s">
        <v>7110</v>
      </c>
      <c r="I4077" s="109"/>
      <c r="J4077" s="109"/>
      <c r="K4077" s="109"/>
      <c r="L4077" s="109" t="str">
        <f t="shared" si="63"/>
        <v>95-951800040</v>
      </c>
      <c r="M4077" s="114">
        <v>951800040</v>
      </c>
      <c r="N4077" s="114" t="s">
        <v>8266</v>
      </c>
    </row>
    <row r="4078" spans="1:14" ht="18.75">
      <c r="A4078" s="80" t="s">
        <v>7</v>
      </c>
      <c r="B4078" s="1" t="s">
        <v>7110</v>
      </c>
      <c r="I4078" s="109"/>
      <c r="J4078" s="109"/>
      <c r="K4078" s="109"/>
      <c r="L4078" s="109" t="str">
        <f t="shared" si="63"/>
        <v>95-951700023</v>
      </c>
      <c r="M4078" s="114">
        <v>951700023</v>
      </c>
      <c r="N4078" s="114" t="s">
        <v>8250</v>
      </c>
    </row>
    <row r="4079" spans="1:14" ht="18.75">
      <c r="A4079" s="80" t="s">
        <v>8</v>
      </c>
      <c r="B4079" s="1" t="s">
        <v>7110</v>
      </c>
      <c r="I4079" s="109"/>
      <c r="J4079" s="109"/>
      <c r="K4079" s="109"/>
      <c r="L4079" s="109" t="str">
        <f t="shared" si="63"/>
        <v>95-951800013</v>
      </c>
      <c r="M4079" s="114">
        <v>951800013</v>
      </c>
      <c r="N4079" s="114" t="s">
        <v>8267</v>
      </c>
    </row>
    <row r="4080" spans="1:14" ht="18.75">
      <c r="A4080" s="80" t="s">
        <v>9</v>
      </c>
      <c r="B4080" s="1" t="s">
        <v>7110</v>
      </c>
      <c r="I4080" s="109"/>
      <c r="J4080" s="109"/>
      <c r="K4080" s="109"/>
      <c r="L4080" s="109" t="str">
        <f t="shared" si="63"/>
        <v>95-951900059</v>
      </c>
      <c r="M4080" s="114">
        <v>951900059</v>
      </c>
      <c r="N4080" s="114" t="s">
        <v>8268</v>
      </c>
    </row>
    <row r="4081" spans="1:14" ht="18.75">
      <c r="A4081" s="80" t="s">
        <v>10</v>
      </c>
      <c r="B4081" s="1" t="s">
        <v>7110</v>
      </c>
      <c r="I4081" s="109"/>
      <c r="J4081" s="109"/>
      <c r="K4081" s="109"/>
      <c r="L4081" s="109" t="str">
        <f t="shared" si="63"/>
        <v>96-961600010</v>
      </c>
      <c r="M4081" s="114">
        <v>961600010</v>
      </c>
      <c r="N4081" s="114" t="s">
        <v>7820</v>
      </c>
    </row>
    <row r="4082" spans="1:14" ht="18.75">
      <c r="A4082" s="80" t="s">
        <v>11</v>
      </c>
      <c r="B4082" s="1" t="s">
        <v>7110</v>
      </c>
      <c r="I4082" s="109"/>
      <c r="J4082" s="109"/>
      <c r="K4082" s="109"/>
      <c r="L4082" s="109" t="str">
        <f t="shared" si="63"/>
        <v>96-961600005</v>
      </c>
      <c r="M4082" s="114">
        <v>961600005</v>
      </c>
      <c r="N4082" s="114" t="s">
        <v>7821</v>
      </c>
    </row>
    <row r="4083" spans="1:14" ht="18.75">
      <c r="A4083" s="80" t="s">
        <v>12</v>
      </c>
      <c r="B4083" s="1" t="s">
        <v>7110</v>
      </c>
      <c r="I4083" s="109"/>
      <c r="J4083" s="109"/>
      <c r="K4083" s="109"/>
      <c r="L4083" s="109" t="str">
        <f t="shared" si="63"/>
        <v>96-961800028</v>
      </c>
      <c r="M4083" s="114">
        <v>961800028</v>
      </c>
      <c r="N4083" s="114" t="s">
        <v>7822</v>
      </c>
    </row>
    <row r="4084" spans="1:14" ht="18.75">
      <c r="A4084" s="80" t="s">
        <v>13</v>
      </c>
      <c r="B4084" s="1" t="s">
        <v>7110</v>
      </c>
      <c r="I4084" s="109"/>
      <c r="J4084" s="109"/>
      <c r="K4084" s="109"/>
      <c r="L4084" s="109" t="str">
        <f t="shared" si="63"/>
        <v>95-951800085</v>
      </c>
      <c r="M4084" s="114">
        <v>951800085</v>
      </c>
      <c r="N4084" s="114" t="s">
        <v>7617</v>
      </c>
    </row>
    <row r="4085" spans="1:14" ht="18.75">
      <c r="A4085" s="80" t="s">
        <v>14</v>
      </c>
      <c r="B4085" s="1" t="s">
        <v>7110</v>
      </c>
      <c r="I4085" s="109"/>
      <c r="J4085" s="109"/>
      <c r="K4085" s="109"/>
      <c r="L4085" s="109" t="str">
        <f t="shared" si="63"/>
        <v>95-951800127</v>
      </c>
      <c r="M4085" s="114">
        <v>951800127</v>
      </c>
      <c r="N4085" s="114" t="s">
        <v>7142</v>
      </c>
    </row>
    <row r="4086" spans="1:14" ht="18.75">
      <c r="A4086" s="80" t="s">
        <v>15</v>
      </c>
      <c r="B4086" s="1" t="s">
        <v>7110</v>
      </c>
      <c r="I4086" s="109"/>
      <c r="J4086" s="109"/>
      <c r="K4086" s="109"/>
      <c r="L4086" s="109" t="str">
        <f t="shared" si="63"/>
        <v>96-961700015</v>
      </c>
      <c r="M4086" s="114">
        <v>961700015</v>
      </c>
      <c r="N4086" s="114" t="s">
        <v>7823</v>
      </c>
    </row>
    <row r="4087" spans="1:14" ht="18.75">
      <c r="A4087" s="80" t="s">
        <v>26</v>
      </c>
      <c r="B4087" s="1" t="s">
        <v>7110</v>
      </c>
      <c r="I4087" s="109"/>
      <c r="J4087" s="109"/>
      <c r="K4087" s="109"/>
      <c r="L4087" s="109" t="str">
        <f t="shared" si="63"/>
        <v>95-951800079</v>
      </c>
      <c r="M4087" s="114">
        <v>951800079</v>
      </c>
      <c r="N4087" s="114" t="s">
        <v>7824</v>
      </c>
    </row>
    <row r="4088" spans="1:14" ht="18.75">
      <c r="A4088" s="80" t="s">
        <v>83</v>
      </c>
      <c r="B4088" s="1" t="s">
        <v>7110</v>
      </c>
      <c r="I4088" s="109"/>
      <c r="J4088" s="109"/>
      <c r="K4088" s="109"/>
      <c r="L4088" s="109" t="str">
        <f t="shared" si="63"/>
        <v>95-951700127</v>
      </c>
      <c r="M4088" s="114">
        <v>951700127</v>
      </c>
      <c r="N4088" s="114" t="s">
        <v>7537</v>
      </c>
    </row>
    <row r="4089" spans="1:14" ht="18.75">
      <c r="A4089" s="80" t="s">
        <v>26</v>
      </c>
      <c r="B4089" s="1" t="s">
        <v>7110</v>
      </c>
      <c r="I4089" s="109"/>
      <c r="J4089" s="109"/>
      <c r="K4089" s="109"/>
      <c r="L4089" s="109" t="str">
        <f t="shared" si="63"/>
        <v>95-951700236</v>
      </c>
      <c r="M4089" s="114">
        <v>951700236</v>
      </c>
      <c r="N4089" s="114" t="s">
        <v>7180</v>
      </c>
    </row>
    <row r="4090" spans="1:14" ht="18.75">
      <c r="A4090" s="80" t="s">
        <v>73</v>
      </c>
      <c r="B4090" s="1" t="s">
        <v>7110</v>
      </c>
      <c r="I4090" s="109"/>
      <c r="J4090" s="109"/>
      <c r="K4090" s="109"/>
      <c r="L4090" s="109" t="str">
        <f t="shared" si="63"/>
        <v>95-951700239</v>
      </c>
      <c r="M4090" s="114">
        <v>951700239</v>
      </c>
      <c r="N4090" s="114" t="s">
        <v>8153</v>
      </c>
    </row>
    <row r="4091" spans="1:14" ht="18.75">
      <c r="A4091" s="80" t="s">
        <v>73</v>
      </c>
      <c r="B4091" s="1" t="s">
        <v>7110</v>
      </c>
      <c r="I4091" s="109"/>
      <c r="J4091" s="109"/>
      <c r="K4091" s="109"/>
      <c r="L4091" s="109" t="str">
        <f t="shared" si="63"/>
        <v>95-951700262</v>
      </c>
      <c r="M4091" s="114">
        <v>951700262</v>
      </c>
      <c r="N4091" s="114" t="s">
        <v>8153</v>
      </c>
    </row>
    <row r="4092" spans="1:14" ht="18.75">
      <c r="A4092" s="80" t="s">
        <v>73</v>
      </c>
      <c r="B4092" s="1" t="s">
        <v>7110</v>
      </c>
      <c r="I4092" s="109"/>
      <c r="J4092" s="109"/>
      <c r="K4092" s="109"/>
      <c r="L4092" s="109" t="str">
        <f t="shared" si="63"/>
        <v>95-951700294</v>
      </c>
      <c r="M4092" s="114">
        <v>951700294</v>
      </c>
      <c r="N4092" s="114" t="s">
        <v>7179</v>
      </c>
    </row>
    <row r="4093" spans="1:14" ht="18.75">
      <c r="A4093" s="80" t="s">
        <v>73</v>
      </c>
      <c r="B4093" s="1" t="s">
        <v>7110</v>
      </c>
      <c r="I4093" s="109"/>
      <c r="J4093" s="109"/>
      <c r="K4093" s="109"/>
      <c r="L4093" s="109" t="str">
        <f t="shared" si="63"/>
        <v>95-951700355</v>
      </c>
      <c r="M4093" s="114">
        <v>951700355</v>
      </c>
      <c r="N4093" s="114" t="s">
        <v>8154</v>
      </c>
    </row>
    <row r="4094" spans="1:14" ht="18.75">
      <c r="A4094" s="80" t="s">
        <v>77</v>
      </c>
      <c r="B4094" s="1" t="s">
        <v>7110</v>
      </c>
      <c r="I4094" s="109"/>
      <c r="J4094" s="109"/>
      <c r="K4094" s="109"/>
      <c r="L4094" s="109" t="str">
        <f t="shared" si="63"/>
        <v>96-961700017</v>
      </c>
      <c r="M4094" s="114">
        <v>961700017</v>
      </c>
      <c r="N4094" s="114" t="s">
        <v>7541</v>
      </c>
    </row>
    <row r="4095" spans="1:14" ht="18.75">
      <c r="A4095" s="80" t="s">
        <v>83</v>
      </c>
      <c r="B4095" s="1" t="s">
        <v>7110</v>
      </c>
      <c r="I4095" s="109"/>
      <c r="J4095" s="109"/>
      <c r="K4095" s="109"/>
      <c r="L4095" s="109" t="str">
        <f t="shared" si="63"/>
        <v>95-951900266</v>
      </c>
      <c r="M4095" s="114">
        <v>951900266</v>
      </c>
      <c r="N4095" s="114" t="s">
        <v>8168</v>
      </c>
    </row>
    <row r="4096" spans="1:14" ht="18.75">
      <c r="A4096" s="80" t="s">
        <v>83</v>
      </c>
      <c r="B4096" s="1" t="s">
        <v>7110</v>
      </c>
      <c r="I4096" s="109"/>
      <c r="J4096" s="109"/>
      <c r="K4096" s="109"/>
      <c r="L4096" s="109" t="str">
        <f t="shared" si="63"/>
        <v>95-951800010</v>
      </c>
      <c r="M4096" s="114">
        <v>951800010</v>
      </c>
      <c r="N4096" s="114" t="s">
        <v>8169</v>
      </c>
    </row>
    <row r="4097" spans="1:14" ht="18.75">
      <c r="A4097" s="80" t="s">
        <v>23</v>
      </c>
      <c r="B4097" s="1" t="s">
        <v>7110</v>
      </c>
      <c r="I4097" s="109"/>
      <c r="J4097" s="109"/>
      <c r="K4097" s="109"/>
      <c r="L4097" s="109" t="str">
        <f t="shared" si="63"/>
        <v>95-951700108</v>
      </c>
      <c r="M4097" s="114">
        <v>951700108</v>
      </c>
      <c r="N4097" s="114" t="s">
        <v>7472</v>
      </c>
    </row>
    <row r="4098" spans="1:14" ht="18.75">
      <c r="A4098" s="80" t="s">
        <v>27</v>
      </c>
      <c r="B4098" s="1" t="s">
        <v>7110</v>
      </c>
      <c r="I4098" s="109"/>
      <c r="J4098" s="109"/>
      <c r="K4098" s="109"/>
      <c r="L4098" s="109" t="str">
        <f t="shared" si="63"/>
        <v>95-951400007</v>
      </c>
      <c r="M4098" s="114">
        <v>951400007</v>
      </c>
      <c r="N4098" s="114" t="s">
        <v>7827</v>
      </c>
    </row>
    <row r="4099" spans="1:14" ht="18.75">
      <c r="A4099" s="80" t="s">
        <v>23</v>
      </c>
      <c r="B4099" s="1" t="s">
        <v>7110</v>
      </c>
      <c r="I4099" s="109"/>
      <c r="J4099" s="109"/>
      <c r="K4099" s="109"/>
      <c r="L4099" s="109" t="str">
        <f t="shared" ref="L4099:L4162" si="64">MID(M4099,1,2)&amp;"-"&amp;M4099</f>
        <v>95-951700027</v>
      </c>
      <c r="M4099" s="114">
        <v>951700027</v>
      </c>
      <c r="N4099" s="114" t="s">
        <v>7795</v>
      </c>
    </row>
    <row r="4100" spans="1:14" ht="18.75">
      <c r="A4100" s="80" t="s">
        <v>215</v>
      </c>
      <c r="B4100" s="1" t="s">
        <v>7110</v>
      </c>
      <c r="I4100" s="109"/>
      <c r="J4100" s="109"/>
      <c r="K4100" s="109"/>
      <c r="L4100" s="109" t="str">
        <f t="shared" si="64"/>
        <v>95-951700065</v>
      </c>
      <c r="M4100" s="114">
        <v>951700065</v>
      </c>
      <c r="N4100" s="114" t="s">
        <v>7828</v>
      </c>
    </row>
    <row r="4101" spans="1:14" ht="18.75">
      <c r="A4101" s="80" t="s">
        <v>83</v>
      </c>
      <c r="B4101" s="1" t="s">
        <v>7110</v>
      </c>
      <c r="I4101" s="109"/>
      <c r="J4101" s="109"/>
      <c r="K4101" s="109"/>
      <c r="L4101" s="109" t="str">
        <f t="shared" si="64"/>
        <v>96-961800058</v>
      </c>
      <c r="M4101" s="114">
        <v>961800058</v>
      </c>
      <c r="N4101" s="114" t="s">
        <v>7628</v>
      </c>
    </row>
    <row r="4102" spans="1:14" ht="18.75">
      <c r="A4102" s="80" t="s">
        <v>83</v>
      </c>
      <c r="B4102" s="1" t="s">
        <v>7110</v>
      </c>
      <c r="I4102" s="109"/>
      <c r="J4102" s="109"/>
      <c r="K4102" s="109"/>
      <c r="L4102" s="109" t="str">
        <f t="shared" si="64"/>
        <v>95-951700111</v>
      </c>
      <c r="M4102" s="114">
        <v>951700111</v>
      </c>
      <c r="N4102" s="114" t="s">
        <v>7720</v>
      </c>
    </row>
    <row r="4103" spans="1:14" ht="18.75">
      <c r="A4103" s="80" t="s">
        <v>83</v>
      </c>
      <c r="B4103" s="1" t="s">
        <v>7110</v>
      </c>
      <c r="I4103" s="109"/>
      <c r="J4103" s="109"/>
      <c r="K4103" s="109"/>
      <c r="L4103" s="109" t="str">
        <f t="shared" si="64"/>
        <v>95-951900125</v>
      </c>
      <c r="M4103" s="114">
        <v>951900125</v>
      </c>
      <c r="N4103" s="114" t="s">
        <v>8269</v>
      </c>
    </row>
    <row r="4104" spans="1:14" ht="18.75">
      <c r="A4104" s="80" t="s">
        <v>23</v>
      </c>
      <c r="B4104" s="1" t="s">
        <v>7110</v>
      </c>
      <c r="I4104" s="109"/>
      <c r="J4104" s="109"/>
      <c r="K4104" s="109"/>
      <c r="L4104" s="109" t="str">
        <f t="shared" si="64"/>
        <v>96-961700037</v>
      </c>
      <c r="M4104" s="114">
        <v>961700037</v>
      </c>
      <c r="N4104" s="114" t="s">
        <v>7801</v>
      </c>
    </row>
    <row r="4105" spans="1:14" ht="18.75">
      <c r="A4105" s="80" t="s">
        <v>23</v>
      </c>
      <c r="B4105" s="1" t="s">
        <v>7110</v>
      </c>
      <c r="I4105" s="109"/>
      <c r="J4105" s="109"/>
      <c r="K4105" s="109"/>
      <c r="L4105" s="109" t="str">
        <f t="shared" si="64"/>
        <v>96-961700038</v>
      </c>
      <c r="M4105" s="114">
        <v>961700038</v>
      </c>
      <c r="N4105" s="114" t="s">
        <v>7801</v>
      </c>
    </row>
    <row r="4106" spans="1:14" ht="18.75">
      <c r="A4106" s="80" t="s">
        <v>23</v>
      </c>
      <c r="B4106" s="1" t="s">
        <v>7110</v>
      </c>
      <c r="I4106" s="109"/>
      <c r="J4106" s="109"/>
      <c r="K4106" s="109"/>
      <c r="L4106" s="109" t="str">
        <f t="shared" si="64"/>
        <v>95-951800137</v>
      </c>
      <c r="M4106" s="114">
        <v>951800137</v>
      </c>
      <c r="N4106" s="114" t="s">
        <v>8200</v>
      </c>
    </row>
    <row r="4107" spans="1:14" ht="18.75">
      <c r="A4107" s="80" t="s">
        <v>215</v>
      </c>
      <c r="B4107" s="1" t="s">
        <v>7110</v>
      </c>
      <c r="I4107" s="109"/>
      <c r="J4107" s="109"/>
      <c r="K4107" s="109"/>
      <c r="L4107" s="109" t="str">
        <f t="shared" si="64"/>
        <v>95-951800031</v>
      </c>
      <c r="M4107" s="114">
        <v>951800031</v>
      </c>
      <c r="N4107" s="114" t="s">
        <v>8170</v>
      </c>
    </row>
    <row r="4108" spans="1:14" ht="18.75">
      <c r="A4108" s="80" t="s">
        <v>215</v>
      </c>
      <c r="B4108" s="1" t="s">
        <v>7110</v>
      </c>
      <c r="I4108" s="109"/>
      <c r="J4108" s="109"/>
      <c r="K4108" s="109"/>
      <c r="L4108" s="109" t="str">
        <f t="shared" si="64"/>
        <v>96-961900171</v>
      </c>
      <c r="M4108" s="114">
        <v>961900171</v>
      </c>
      <c r="N4108" s="114" t="s">
        <v>7181</v>
      </c>
    </row>
    <row r="4109" spans="1:14" ht="18.75">
      <c r="A4109" s="80" t="s">
        <v>215</v>
      </c>
      <c r="B4109" s="1" t="s">
        <v>7110</v>
      </c>
      <c r="I4109" s="109"/>
      <c r="J4109" s="109"/>
      <c r="K4109" s="109"/>
      <c r="L4109" s="109" t="str">
        <f t="shared" si="64"/>
        <v>95-951900116</v>
      </c>
      <c r="M4109" s="114">
        <v>951900116</v>
      </c>
      <c r="N4109" s="114" t="s">
        <v>8171</v>
      </c>
    </row>
    <row r="4110" spans="1:14" ht="18.75">
      <c r="A4110" s="80" t="s">
        <v>83</v>
      </c>
      <c r="B4110" s="1" t="s">
        <v>7110</v>
      </c>
      <c r="I4110" s="109"/>
      <c r="J4110" s="109"/>
      <c r="K4110" s="109"/>
      <c r="L4110" s="109" t="str">
        <f t="shared" si="64"/>
        <v>95-951800135</v>
      </c>
      <c r="M4110" s="114">
        <v>951800135</v>
      </c>
      <c r="N4110" s="114" t="s">
        <v>8172</v>
      </c>
    </row>
    <row r="4111" spans="1:14" ht="18.75">
      <c r="A4111" s="80" t="s">
        <v>78</v>
      </c>
      <c r="B4111" s="1" t="s">
        <v>7110</v>
      </c>
      <c r="I4111" s="109"/>
      <c r="J4111" s="109"/>
      <c r="K4111" s="109"/>
      <c r="L4111" s="109" t="str">
        <f t="shared" si="64"/>
        <v>95-951900040</v>
      </c>
      <c r="M4111" s="114">
        <v>951900040</v>
      </c>
      <c r="N4111" s="114" t="s">
        <v>8175</v>
      </c>
    </row>
    <row r="4112" spans="1:14" ht="18.75">
      <c r="A4112" s="80" t="s">
        <v>27</v>
      </c>
      <c r="B4112" s="1" t="s">
        <v>7110</v>
      </c>
      <c r="I4112" s="109"/>
      <c r="J4112" s="109"/>
      <c r="K4112" s="109"/>
      <c r="L4112" s="109" t="str">
        <f t="shared" si="64"/>
        <v>95-951800059</v>
      </c>
      <c r="M4112" s="114">
        <v>951800059</v>
      </c>
      <c r="N4112" s="114" t="s">
        <v>7631</v>
      </c>
    </row>
    <row r="4113" spans="1:14" ht="18.75">
      <c r="A4113" s="80" t="s">
        <v>219</v>
      </c>
      <c r="B4113" s="1" t="s">
        <v>7110</v>
      </c>
      <c r="I4113" s="109"/>
      <c r="J4113" s="109"/>
      <c r="K4113" s="109"/>
      <c r="L4113" s="109" t="str">
        <f t="shared" si="64"/>
        <v>95-951800063</v>
      </c>
      <c r="M4113" s="114">
        <v>951800063</v>
      </c>
      <c r="N4113" s="114" t="s">
        <v>7834</v>
      </c>
    </row>
    <row r="4114" spans="1:14" ht="18.75">
      <c r="A4114" s="80" t="s">
        <v>95</v>
      </c>
      <c r="B4114" s="1" t="s">
        <v>7110</v>
      </c>
      <c r="I4114" s="109"/>
      <c r="J4114" s="109"/>
      <c r="K4114" s="109"/>
      <c r="L4114" s="109" t="str">
        <f t="shared" si="64"/>
        <v>95-951800023</v>
      </c>
      <c r="M4114" s="114">
        <v>951800023</v>
      </c>
      <c r="N4114" s="114" t="s">
        <v>7835</v>
      </c>
    </row>
    <row r="4115" spans="1:14" ht="18.75">
      <c r="A4115" s="80" t="s">
        <v>222</v>
      </c>
      <c r="B4115" s="1" t="s">
        <v>7110</v>
      </c>
      <c r="I4115" s="109"/>
      <c r="J4115" s="109"/>
      <c r="K4115" s="109"/>
      <c r="L4115" s="109" t="str">
        <f t="shared" si="64"/>
        <v>95-951800019</v>
      </c>
      <c r="M4115" s="114">
        <v>951800019</v>
      </c>
      <c r="N4115" s="114" t="s">
        <v>7836</v>
      </c>
    </row>
    <row r="4116" spans="1:14" ht="18.75">
      <c r="A4116" s="80" t="s">
        <v>223</v>
      </c>
      <c r="B4116" s="1" t="s">
        <v>7110</v>
      </c>
      <c r="I4116" s="109"/>
      <c r="J4116" s="109"/>
      <c r="K4116" s="109"/>
      <c r="L4116" s="109" t="str">
        <f t="shared" si="64"/>
        <v>95-951700038</v>
      </c>
      <c r="M4116" s="114">
        <v>951700038</v>
      </c>
      <c r="N4116" s="114" t="s">
        <v>8261</v>
      </c>
    </row>
    <row r="4117" spans="1:14" ht="18.75">
      <c r="A4117" s="80" t="s">
        <v>223</v>
      </c>
      <c r="B4117" s="1" t="s">
        <v>7110</v>
      </c>
      <c r="I4117" s="109"/>
      <c r="J4117" s="109"/>
      <c r="K4117" s="109"/>
      <c r="L4117" s="109" t="str">
        <f t="shared" si="64"/>
        <v>95-951700135</v>
      </c>
      <c r="M4117" s="114">
        <v>951700135</v>
      </c>
      <c r="N4117" s="114" t="s">
        <v>8270</v>
      </c>
    </row>
    <row r="4118" spans="1:14" ht="18.75">
      <c r="A4118" s="80" t="s">
        <v>223</v>
      </c>
      <c r="B4118" s="1" t="s">
        <v>7110</v>
      </c>
      <c r="I4118" s="109"/>
      <c r="J4118" s="109"/>
      <c r="K4118" s="109"/>
      <c r="L4118" s="109" t="str">
        <f t="shared" si="64"/>
        <v>95-951700145</v>
      </c>
      <c r="M4118" s="114">
        <v>951700145</v>
      </c>
      <c r="N4118" s="114" t="s">
        <v>7843</v>
      </c>
    </row>
    <row r="4119" spans="1:14" ht="18.75">
      <c r="A4119" s="80" t="s">
        <v>17</v>
      </c>
      <c r="B4119" s="1" t="s">
        <v>7110</v>
      </c>
      <c r="I4119" s="109"/>
      <c r="J4119" s="109"/>
      <c r="K4119" s="109"/>
      <c r="L4119" s="109" t="str">
        <f t="shared" si="64"/>
        <v>95-951700146</v>
      </c>
      <c r="M4119" s="114">
        <v>951700146</v>
      </c>
      <c r="N4119" s="114" t="s">
        <v>7843</v>
      </c>
    </row>
    <row r="4120" spans="1:14" ht="18.75">
      <c r="A4120" s="80" t="s">
        <v>95</v>
      </c>
      <c r="B4120" s="1" t="s">
        <v>7110</v>
      </c>
      <c r="I4120" s="109"/>
      <c r="J4120" s="109"/>
      <c r="K4120" s="109"/>
      <c r="L4120" s="109" t="str">
        <f t="shared" si="64"/>
        <v>95-951700147</v>
      </c>
      <c r="M4120" s="114">
        <v>951700147</v>
      </c>
      <c r="N4120" s="114" t="s">
        <v>7843</v>
      </c>
    </row>
    <row r="4121" spans="1:14" ht="18.75">
      <c r="A4121" s="80" t="s">
        <v>17</v>
      </c>
      <c r="B4121" s="1" t="s">
        <v>7110</v>
      </c>
      <c r="I4121" s="109"/>
      <c r="J4121" s="109"/>
      <c r="K4121" s="109"/>
      <c r="L4121" s="109" t="str">
        <f t="shared" si="64"/>
        <v>95-951900129</v>
      </c>
      <c r="M4121" s="114">
        <v>951900129</v>
      </c>
      <c r="N4121" s="114" t="s">
        <v>8276</v>
      </c>
    </row>
    <row r="4122" spans="1:14" ht="18.75">
      <c r="A4122" s="80" t="s">
        <v>17</v>
      </c>
      <c r="B4122" s="1" t="s">
        <v>7110</v>
      </c>
      <c r="I4122" s="109"/>
      <c r="J4122" s="109"/>
      <c r="K4122" s="109"/>
      <c r="L4122" s="109" t="str">
        <f t="shared" si="64"/>
        <v>95-951700093</v>
      </c>
      <c r="M4122" s="114">
        <v>951700093</v>
      </c>
      <c r="N4122" s="114" t="s">
        <v>7841</v>
      </c>
    </row>
    <row r="4123" spans="1:14" ht="18.75">
      <c r="A4123" s="80" t="s">
        <v>17</v>
      </c>
      <c r="B4123" s="1" t="s">
        <v>7110</v>
      </c>
      <c r="I4123" s="109"/>
      <c r="J4123" s="109"/>
      <c r="K4123" s="109"/>
      <c r="L4123" s="109" t="str">
        <f t="shared" si="64"/>
        <v>95-951700206</v>
      </c>
      <c r="M4123" s="114">
        <v>951700206</v>
      </c>
      <c r="N4123" s="114" t="s">
        <v>7842</v>
      </c>
    </row>
    <row r="4124" spans="1:14" ht="18.75">
      <c r="A4124" s="80" t="s">
        <v>238</v>
      </c>
      <c r="B4124" s="1" t="s">
        <v>7110</v>
      </c>
      <c r="I4124" s="109"/>
      <c r="J4124" s="109"/>
      <c r="K4124" s="109"/>
      <c r="L4124" s="109" t="str">
        <f t="shared" si="64"/>
        <v>95-951700276</v>
      </c>
      <c r="M4124" s="114">
        <v>951700276</v>
      </c>
      <c r="N4124" s="114" t="s">
        <v>7843</v>
      </c>
    </row>
    <row r="4125" spans="1:14" ht="18.75">
      <c r="A4125" s="80" t="s">
        <v>222</v>
      </c>
      <c r="B4125" s="1" t="s">
        <v>7110</v>
      </c>
      <c r="I4125" s="109"/>
      <c r="J4125" s="109"/>
      <c r="K4125" s="109"/>
      <c r="L4125" s="109" t="str">
        <f t="shared" si="64"/>
        <v>96-966100012</v>
      </c>
      <c r="M4125" s="114">
        <v>966100012</v>
      </c>
      <c r="N4125" s="114" t="s">
        <v>7644</v>
      </c>
    </row>
    <row r="4126" spans="1:14" ht="18.75">
      <c r="A4126" s="80" t="s">
        <v>245</v>
      </c>
      <c r="B4126" s="1" t="s">
        <v>7110</v>
      </c>
      <c r="I4126" s="109"/>
      <c r="J4126" s="109"/>
      <c r="K4126" s="109"/>
      <c r="L4126" s="109" t="str">
        <f t="shared" si="64"/>
        <v>95-951800098</v>
      </c>
      <c r="M4126" s="114">
        <v>951800098</v>
      </c>
      <c r="N4126" s="114" t="s">
        <v>7844</v>
      </c>
    </row>
    <row r="4127" spans="1:14" ht="18.75">
      <c r="A4127" s="80" t="s">
        <v>222</v>
      </c>
      <c r="B4127" s="1" t="s">
        <v>7110</v>
      </c>
      <c r="I4127" s="109"/>
      <c r="J4127" s="109"/>
      <c r="K4127" s="109"/>
      <c r="L4127" s="109" t="str">
        <f t="shared" si="64"/>
        <v>95-951700218</v>
      </c>
      <c r="M4127" s="114">
        <v>951700218</v>
      </c>
      <c r="N4127" s="114" t="s">
        <v>7549</v>
      </c>
    </row>
    <row r="4128" spans="1:14" ht="18.75">
      <c r="A4128" s="80" t="s">
        <v>102</v>
      </c>
      <c r="B4128" s="1" t="s">
        <v>7110</v>
      </c>
      <c r="I4128" s="109"/>
      <c r="J4128" s="109"/>
      <c r="K4128" s="109"/>
      <c r="L4128" s="109" t="str">
        <f t="shared" si="64"/>
        <v>95-951700002</v>
      </c>
      <c r="M4128" s="114">
        <v>951700002</v>
      </c>
      <c r="N4128" s="114" t="s">
        <v>8176</v>
      </c>
    </row>
    <row r="4129" spans="1:14" ht="18.75">
      <c r="A4129" s="80" t="s">
        <v>27</v>
      </c>
      <c r="B4129" s="1" t="s">
        <v>7110</v>
      </c>
      <c r="I4129" s="109"/>
      <c r="J4129" s="109"/>
      <c r="K4129" s="109"/>
      <c r="L4129" s="109" t="str">
        <f t="shared" si="64"/>
        <v>96-961100081</v>
      </c>
      <c r="M4129" s="114">
        <v>961100081</v>
      </c>
      <c r="N4129" s="114" t="s">
        <v>8750</v>
      </c>
    </row>
    <row r="4130" spans="1:14" ht="18.75">
      <c r="A4130" s="80" t="s">
        <v>245</v>
      </c>
      <c r="B4130" s="1" t="s">
        <v>7110</v>
      </c>
      <c r="I4130" s="109"/>
      <c r="J4130" s="109"/>
      <c r="K4130" s="109"/>
      <c r="L4130" s="109" t="str">
        <f t="shared" si="64"/>
        <v>95-951600012</v>
      </c>
      <c r="M4130" s="114">
        <v>951600012</v>
      </c>
      <c r="N4130" s="114" t="s">
        <v>7766</v>
      </c>
    </row>
    <row r="4131" spans="1:14" ht="18.75">
      <c r="A4131" s="80" t="s">
        <v>102</v>
      </c>
      <c r="B4131" s="1" t="s">
        <v>7110</v>
      </c>
      <c r="I4131" s="109"/>
      <c r="J4131" s="109"/>
      <c r="K4131" s="109"/>
      <c r="L4131" s="109" t="str">
        <f t="shared" si="64"/>
        <v>95-951900311</v>
      </c>
      <c r="M4131" s="114">
        <v>951900311</v>
      </c>
      <c r="N4131" s="114" t="s">
        <v>8177</v>
      </c>
    </row>
    <row r="4132" spans="1:14" ht="18.75">
      <c r="A4132" s="80" t="s">
        <v>102</v>
      </c>
      <c r="B4132" s="1" t="s">
        <v>7110</v>
      </c>
      <c r="I4132" s="109"/>
      <c r="J4132" s="109"/>
      <c r="K4132" s="109"/>
      <c r="L4132" s="109" t="str">
        <f t="shared" si="64"/>
        <v>95-951800129</v>
      </c>
      <c r="M4132" s="114">
        <v>951800129</v>
      </c>
      <c r="N4132" s="114" t="s">
        <v>7711</v>
      </c>
    </row>
    <row r="4133" spans="1:14" ht="18.75">
      <c r="A4133" s="80" t="s">
        <v>99</v>
      </c>
      <c r="B4133" s="1" t="s">
        <v>7110</v>
      </c>
      <c r="I4133" s="109"/>
      <c r="J4133" s="109"/>
      <c r="K4133" s="109"/>
      <c r="L4133" s="109" t="str">
        <f t="shared" si="64"/>
        <v>96-961900141</v>
      </c>
      <c r="M4133" s="114">
        <v>961900141</v>
      </c>
      <c r="N4133" s="114" t="s">
        <v>8185</v>
      </c>
    </row>
    <row r="4134" spans="1:14" ht="18.75">
      <c r="A4134" s="80" t="s">
        <v>100</v>
      </c>
      <c r="B4134" s="1" t="s">
        <v>7110</v>
      </c>
      <c r="I4134" s="109"/>
      <c r="J4134" s="109"/>
      <c r="K4134" s="109"/>
      <c r="L4134" s="109" t="str">
        <f t="shared" si="64"/>
        <v>95-951400047</v>
      </c>
      <c r="M4134" s="114">
        <v>951400047</v>
      </c>
      <c r="N4134" s="114" t="s">
        <v>8186</v>
      </c>
    </row>
    <row r="4135" spans="1:14" ht="18.75">
      <c r="A4135" s="80" t="s">
        <v>100</v>
      </c>
      <c r="B4135" s="1" t="s">
        <v>7110</v>
      </c>
      <c r="I4135" s="109"/>
      <c r="J4135" s="109"/>
      <c r="K4135" s="109"/>
      <c r="L4135" s="109" t="str">
        <f t="shared" si="64"/>
        <v>95-951800038</v>
      </c>
      <c r="M4135" s="114">
        <v>951800038</v>
      </c>
      <c r="N4135" s="114" t="s">
        <v>7848</v>
      </c>
    </row>
    <row r="4136" spans="1:14" ht="18.75">
      <c r="A4136" s="80" t="s">
        <v>256</v>
      </c>
      <c r="B4136" s="1" t="s">
        <v>7110</v>
      </c>
      <c r="I4136" s="109"/>
      <c r="J4136" s="109"/>
      <c r="K4136" s="109"/>
      <c r="L4136" s="109" t="str">
        <f t="shared" si="64"/>
        <v>95-951900188</v>
      </c>
      <c r="M4136" s="114">
        <v>951900188</v>
      </c>
      <c r="N4136" s="114" t="s">
        <v>7849</v>
      </c>
    </row>
    <row r="4137" spans="1:14" ht="18.75">
      <c r="A4137" s="80" t="s">
        <v>257</v>
      </c>
      <c r="B4137" s="1" t="s">
        <v>7110</v>
      </c>
      <c r="I4137" s="109"/>
      <c r="J4137" s="109"/>
      <c r="K4137" s="109"/>
      <c r="L4137" s="109" t="str">
        <f t="shared" si="64"/>
        <v>95-951700339</v>
      </c>
      <c r="M4137" s="114">
        <v>951700339</v>
      </c>
      <c r="N4137" s="114" t="s">
        <v>7850</v>
      </c>
    </row>
    <row r="4138" spans="1:14" ht="18.75">
      <c r="A4138" s="80" t="s">
        <v>257</v>
      </c>
      <c r="B4138" s="1" t="s">
        <v>7110</v>
      </c>
      <c r="I4138" s="109"/>
      <c r="J4138" s="109"/>
      <c r="K4138" s="109"/>
      <c r="L4138" s="109" t="str">
        <f t="shared" si="64"/>
        <v>95-951900021</v>
      </c>
      <c r="M4138" s="114">
        <v>951900021</v>
      </c>
      <c r="N4138" s="114" t="s">
        <v>7851</v>
      </c>
    </row>
    <row r="4139" spans="1:14" ht="18.75">
      <c r="A4139" s="80" t="s">
        <v>103</v>
      </c>
      <c r="B4139" s="1" t="s">
        <v>7110</v>
      </c>
      <c r="I4139" s="109"/>
      <c r="J4139" s="109"/>
      <c r="K4139" s="109"/>
      <c r="L4139" s="109" t="str">
        <f t="shared" si="64"/>
        <v>95-951900025</v>
      </c>
      <c r="M4139" s="114">
        <v>951900025</v>
      </c>
      <c r="N4139" s="114" t="s">
        <v>8283</v>
      </c>
    </row>
    <row r="4140" spans="1:14" ht="18.75">
      <c r="A4140" s="80" t="s">
        <v>103</v>
      </c>
      <c r="B4140" s="1" t="s">
        <v>7110</v>
      </c>
      <c r="I4140" s="109"/>
      <c r="J4140" s="109"/>
      <c r="K4140" s="109"/>
      <c r="L4140" s="109" t="str">
        <f t="shared" si="64"/>
        <v>95-951900037</v>
      </c>
      <c r="M4140" s="114">
        <v>951900037</v>
      </c>
      <c r="N4140" s="114" t="s">
        <v>7653</v>
      </c>
    </row>
    <row r="4141" spans="1:14" ht="18.75">
      <c r="A4141" s="80" t="s">
        <v>27</v>
      </c>
      <c r="B4141" s="1" t="s">
        <v>7110</v>
      </c>
      <c r="I4141" s="109"/>
      <c r="J4141" s="109"/>
      <c r="K4141" s="109"/>
      <c r="L4141" s="109" t="str">
        <f t="shared" si="64"/>
        <v>95-951900130</v>
      </c>
      <c r="M4141" s="114">
        <v>951900130</v>
      </c>
      <c r="N4141" s="114" t="s">
        <v>7722</v>
      </c>
    </row>
    <row r="4142" spans="1:14" ht="18.75">
      <c r="A4142" s="80" t="s">
        <v>347</v>
      </c>
      <c r="B4142" s="1" t="s">
        <v>7110</v>
      </c>
      <c r="I4142" s="109"/>
      <c r="J4142" s="109"/>
      <c r="K4142" s="109"/>
      <c r="L4142" s="109" t="str">
        <f t="shared" si="64"/>
        <v>95-951600071</v>
      </c>
      <c r="M4142" s="114">
        <v>951600071</v>
      </c>
      <c r="N4142" s="114" t="s">
        <v>7870</v>
      </c>
    </row>
    <row r="4143" spans="1:14" ht="18.75">
      <c r="A4143" s="80" t="s">
        <v>348</v>
      </c>
      <c r="B4143" s="1" t="s">
        <v>7110</v>
      </c>
      <c r="I4143" s="109"/>
      <c r="J4143" s="109"/>
      <c r="K4143" s="109"/>
      <c r="L4143" s="109" t="str">
        <f t="shared" si="64"/>
        <v>95-951900004</v>
      </c>
      <c r="M4143" s="114">
        <v>951900004</v>
      </c>
      <c r="N4143" s="114" t="s">
        <v>8190</v>
      </c>
    </row>
    <row r="4144" spans="1:14" ht="18.75">
      <c r="A4144" s="80" t="s">
        <v>349</v>
      </c>
      <c r="B4144" s="1" t="s">
        <v>7110</v>
      </c>
      <c r="I4144" s="109"/>
      <c r="J4144" s="109"/>
      <c r="K4144" s="109"/>
      <c r="L4144" s="109" t="str">
        <f t="shared" si="64"/>
        <v>95-951900100</v>
      </c>
      <c r="M4144" s="114">
        <v>951900100</v>
      </c>
      <c r="N4144" s="114" t="s">
        <v>8191</v>
      </c>
    </row>
    <row r="4145" spans="1:14" ht="18.75">
      <c r="A4145" s="80" t="s">
        <v>350</v>
      </c>
      <c r="B4145" s="1" t="s">
        <v>7110</v>
      </c>
      <c r="I4145" s="109"/>
      <c r="J4145" s="109"/>
      <c r="K4145" s="109"/>
      <c r="L4145" s="109" t="str">
        <f t="shared" si="64"/>
        <v>96-961700048</v>
      </c>
      <c r="M4145" s="114">
        <v>961700048</v>
      </c>
      <c r="N4145" s="114" t="s">
        <v>7655</v>
      </c>
    </row>
    <row r="4146" spans="1:14" ht="18.75">
      <c r="A4146" s="80" t="s">
        <v>256</v>
      </c>
      <c r="B4146" s="1" t="s">
        <v>7110</v>
      </c>
      <c r="I4146" s="109"/>
      <c r="J4146" s="109"/>
      <c r="K4146" s="109"/>
      <c r="L4146" s="109" t="str">
        <f t="shared" si="64"/>
        <v>96-961900078</v>
      </c>
      <c r="M4146" s="114">
        <v>961900078</v>
      </c>
      <c r="N4146" s="114" t="s">
        <v>7867</v>
      </c>
    </row>
    <row r="4147" spans="1:14" ht="18.75">
      <c r="A4147" s="80" t="s">
        <v>351</v>
      </c>
      <c r="B4147" s="1" t="s">
        <v>7110</v>
      </c>
      <c r="I4147" s="109"/>
      <c r="J4147" s="109"/>
      <c r="K4147" s="109"/>
      <c r="L4147" s="109" t="str">
        <f t="shared" si="64"/>
        <v>95-951400016</v>
      </c>
      <c r="M4147" s="114">
        <v>951400016</v>
      </c>
      <c r="N4147" s="114" t="s">
        <v>7868</v>
      </c>
    </row>
    <row r="4148" spans="1:14" ht="18.75">
      <c r="A4148" s="80" t="s">
        <v>424</v>
      </c>
      <c r="B4148" s="1" t="s">
        <v>7110</v>
      </c>
      <c r="I4148" s="109"/>
      <c r="J4148" s="109"/>
      <c r="K4148" s="109"/>
      <c r="L4148" s="109" t="str">
        <f t="shared" si="64"/>
        <v>95-951900038</v>
      </c>
      <c r="M4148" s="114">
        <v>951900038</v>
      </c>
      <c r="N4148" s="114" t="s">
        <v>7869</v>
      </c>
    </row>
    <row r="4149" spans="1:14" ht="18.75">
      <c r="A4149" s="80" t="s">
        <v>424</v>
      </c>
      <c r="B4149" s="1" t="s">
        <v>7110</v>
      </c>
      <c r="I4149" s="109"/>
      <c r="J4149" s="109"/>
      <c r="K4149" s="109"/>
      <c r="L4149" s="109" t="str">
        <f t="shared" si="64"/>
        <v>95-951400060</v>
      </c>
      <c r="M4149" s="114">
        <v>951400060</v>
      </c>
      <c r="N4149" s="114" t="s">
        <v>7808</v>
      </c>
    </row>
    <row r="4150" spans="1:14" ht="18">
      <c r="A4150" s="53" t="s">
        <v>818</v>
      </c>
      <c r="B4150" s="1" t="s">
        <v>7110</v>
      </c>
      <c r="I4150" s="109"/>
      <c r="J4150" s="109"/>
      <c r="K4150" s="109"/>
      <c r="L4150" s="109" t="str">
        <f t="shared" si="64"/>
        <v>95-951900029</v>
      </c>
      <c r="M4150" s="114">
        <v>951900029</v>
      </c>
      <c r="N4150" s="114" t="s">
        <v>7826</v>
      </c>
    </row>
    <row r="4151" spans="1:14" ht="18">
      <c r="A4151" s="53" t="s">
        <v>857</v>
      </c>
      <c r="B4151" s="1" t="s">
        <v>7110</v>
      </c>
      <c r="I4151" s="109"/>
      <c r="J4151" s="109"/>
      <c r="K4151" s="109"/>
      <c r="L4151" s="109" t="str">
        <f t="shared" si="64"/>
        <v>95-951600072</v>
      </c>
      <c r="M4151" s="114">
        <v>951600072</v>
      </c>
      <c r="N4151" s="114" t="s">
        <v>7870</v>
      </c>
    </row>
    <row r="4152" spans="1:14" ht="18">
      <c r="A4152" s="53" t="s">
        <v>818</v>
      </c>
      <c r="B4152" s="1" t="s">
        <v>7110</v>
      </c>
      <c r="I4152" s="109"/>
      <c r="J4152" s="109"/>
      <c r="K4152" s="109"/>
      <c r="L4152" s="109" t="str">
        <f t="shared" si="64"/>
        <v>95-951800033</v>
      </c>
      <c r="M4152" s="114">
        <v>951800033</v>
      </c>
      <c r="N4152" s="114" t="s">
        <v>8286</v>
      </c>
    </row>
    <row r="4153" spans="1:14" ht="18">
      <c r="A4153" s="53" t="s">
        <v>818</v>
      </c>
      <c r="B4153" s="1" t="s">
        <v>7110</v>
      </c>
      <c r="I4153" s="109"/>
      <c r="J4153" s="109"/>
      <c r="K4153" s="109"/>
      <c r="L4153" s="109" t="str">
        <f t="shared" si="64"/>
        <v>95-951800043</v>
      </c>
      <c r="M4153" s="114">
        <v>951800043</v>
      </c>
      <c r="N4153" s="114" t="s">
        <v>8287</v>
      </c>
    </row>
    <row r="4154" spans="1:14" ht="18">
      <c r="A4154" s="53" t="s">
        <v>917</v>
      </c>
      <c r="B4154" s="1" t="s">
        <v>7110</v>
      </c>
      <c r="I4154" s="109"/>
      <c r="J4154" s="109"/>
      <c r="K4154" s="109"/>
      <c r="L4154" s="109" t="str">
        <f t="shared" si="64"/>
        <v>95-951300003</v>
      </c>
      <c r="M4154" s="114">
        <v>951300003</v>
      </c>
      <c r="N4154" s="114" t="s">
        <v>8288</v>
      </c>
    </row>
    <row r="4155" spans="1:14" ht="18">
      <c r="A4155" s="53" t="s">
        <v>918</v>
      </c>
      <c r="B4155" s="1" t="s">
        <v>7110</v>
      </c>
      <c r="I4155" s="109"/>
      <c r="J4155" s="109"/>
      <c r="K4155" s="109"/>
      <c r="L4155" s="109" t="str">
        <f t="shared" si="64"/>
        <v>95-951300022</v>
      </c>
      <c r="M4155" s="114">
        <v>951300022</v>
      </c>
      <c r="N4155" s="114" t="s">
        <v>7818</v>
      </c>
    </row>
    <row r="4156" spans="1:14" ht="18">
      <c r="A4156" s="53" t="s">
        <v>918</v>
      </c>
      <c r="B4156" s="1" t="s">
        <v>7110</v>
      </c>
      <c r="I4156" s="109"/>
      <c r="J4156" s="109"/>
      <c r="K4156" s="109"/>
      <c r="L4156" s="109" t="str">
        <f t="shared" si="64"/>
        <v>95-951300032</v>
      </c>
      <c r="M4156" s="114">
        <v>951300032</v>
      </c>
      <c r="N4156" s="114" t="s">
        <v>7665</v>
      </c>
    </row>
    <row r="4157" spans="1:14" ht="18">
      <c r="A4157" s="53" t="s">
        <v>918</v>
      </c>
      <c r="B4157" s="1" t="s">
        <v>7110</v>
      </c>
      <c r="I4157" s="109"/>
      <c r="J4157" s="109"/>
      <c r="K4157" s="109"/>
      <c r="L4157" s="109" t="str">
        <f t="shared" si="64"/>
        <v>95-951300034</v>
      </c>
      <c r="M4157" s="114">
        <v>951300034</v>
      </c>
      <c r="N4157" s="114" t="s">
        <v>7665</v>
      </c>
    </row>
    <row r="4158" spans="1:14" ht="18">
      <c r="A4158" s="53" t="s">
        <v>919</v>
      </c>
      <c r="B4158" s="1" t="s">
        <v>7110</v>
      </c>
      <c r="I4158" s="109"/>
      <c r="J4158" s="109"/>
      <c r="K4158" s="109"/>
      <c r="L4158" s="109" t="str">
        <f t="shared" si="64"/>
        <v>95-951700210</v>
      </c>
      <c r="M4158" s="114">
        <v>951700210</v>
      </c>
      <c r="N4158" s="114" t="s">
        <v>7872</v>
      </c>
    </row>
    <row r="4159" spans="1:14" ht="18">
      <c r="A4159" s="53" t="s">
        <v>818</v>
      </c>
      <c r="B4159" s="1" t="s">
        <v>7110</v>
      </c>
      <c r="I4159" s="109"/>
      <c r="J4159" s="109"/>
      <c r="K4159" s="109"/>
      <c r="L4159" s="109" t="str">
        <f t="shared" si="64"/>
        <v>95-951900194</v>
      </c>
      <c r="M4159" s="114">
        <v>951900194</v>
      </c>
      <c r="N4159" s="114" t="s">
        <v>7873</v>
      </c>
    </row>
    <row r="4160" spans="1:14" ht="18">
      <c r="A4160" s="53" t="s">
        <v>917</v>
      </c>
      <c r="B4160" s="1" t="s">
        <v>7110</v>
      </c>
      <c r="I4160" s="109"/>
      <c r="J4160" s="109"/>
      <c r="K4160" s="109"/>
      <c r="L4160" s="109" t="str">
        <f t="shared" si="64"/>
        <v>95-951900207</v>
      </c>
      <c r="M4160" s="114">
        <v>951900207</v>
      </c>
      <c r="N4160" s="114" t="s">
        <v>7873</v>
      </c>
    </row>
    <row r="4161" spans="1:14" ht="18">
      <c r="A4161" s="53" t="s">
        <v>818</v>
      </c>
      <c r="B4161" s="1" t="s">
        <v>7110</v>
      </c>
      <c r="I4161" s="109"/>
      <c r="J4161" s="109"/>
      <c r="K4161" s="109"/>
      <c r="L4161" s="109" t="str">
        <f t="shared" si="64"/>
        <v>95-951600057</v>
      </c>
      <c r="M4161" s="114">
        <v>951600057</v>
      </c>
      <c r="N4161" s="114" t="s">
        <v>7874</v>
      </c>
    </row>
    <row r="4162" spans="1:14" ht="18">
      <c r="A4162" s="53" t="s">
        <v>818</v>
      </c>
      <c r="B4162" s="1" t="s">
        <v>7110</v>
      </c>
      <c r="I4162" s="109"/>
      <c r="J4162" s="109"/>
      <c r="K4162" s="109"/>
      <c r="L4162" s="109" t="str">
        <f t="shared" si="64"/>
        <v>95-951400065</v>
      </c>
      <c r="M4162" s="114">
        <v>951400065</v>
      </c>
      <c r="N4162" s="114" t="s">
        <v>7875</v>
      </c>
    </row>
    <row r="4163" spans="1:14" ht="18">
      <c r="A4163" s="53" t="s">
        <v>857</v>
      </c>
      <c r="B4163" s="1" t="s">
        <v>7110</v>
      </c>
      <c r="I4163" s="109"/>
      <c r="J4163" s="109"/>
      <c r="K4163" s="109"/>
      <c r="L4163" s="109" t="str">
        <f t="shared" ref="L4163:L4226" si="65">MID(M4163,1,2)&amp;"-"&amp;M4163</f>
        <v>95-951900240</v>
      </c>
      <c r="M4163" s="114">
        <v>951900240</v>
      </c>
      <c r="N4163" s="114" t="s">
        <v>7876</v>
      </c>
    </row>
    <row r="4164" spans="1:14" ht="18">
      <c r="A4164" s="53" t="s">
        <v>857</v>
      </c>
      <c r="B4164" s="1" t="s">
        <v>7110</v>
      </c>
      <c r="I4164" s="109"/>
      <c r="J4164" s="109"/>
      <c r="K4164" s="109"/>
      <c r="L4164" s="109" t="str">
        <f t="shared" si="65"/>
        <v>96-961800039</v>
      </c>
      <c r="M4164" s="114">
        <v>961800039</v>
      </c>
      <c r="N4164" s="114" t="s">
        <v>8193</v>
      </c>
    </row>
    <row r="4165" spans="1:14" ht="18">
      <c r="A4165" s="53" t="s">
        <v>919</v>
      </c>
      <c r="B4165" s="1" t="s">
        <v>7110</v>
      </c>
      <c r="I4165" s="109"/>
      <c r="J4165" s="109"/>
      <c r="K4165" s="109"/>
      <c r="L4165" s="109" t="str">
        <f t="shared" si="65"/>
        <v>96-961900144</v>
      </c>
      <c r="M4165" s="114">
        <v>961900144</v>
      </c>
      <c r="N4165" s="114" t="s">
        <v>8194</v>
      </c>
    </row>
    <row r="4166" spans="1:14" ht="18">
      <c r="A4166" s="53" t="s">
        <v>917</v>
      </c>
      <c r="B4166" s="1" t="s">
        <v>7110</v>
      </c>
      <c r="I4166" s="109"/>
      <c r="J4166" s="109"/>
      <c r="K4166" s="109"/>
      <c r="L4166" s="109" t="str">
        <f t="shared" si="65"/>
        <v>95-951700250</v>
      </c>
      <c r="M4166" s="114">
        <v>951700250</v>
      </c>
      <c r="N4166" s="114" t="s">
        <v>7721</v>
      </c>
    </row>
    <row r="4167" spans="1:14" ht="18.75">
      <c r="A4167" s="80" t="s">
        <v>918</v>
      </c>
      <c r="B4167" s="1" t="s">
        <v>7110</v>
      </c>
      <c r="I4167" s="109"/>
      <c r="J4167" s="109"/>
      <c r="K4167" s="109"/>
      <c r="L4167" s="109" t="str">
        <f t="shared" si="65"/>
        <v>95-951300011</v>
      </c>
      <c r="M4167" s="114">
        <v>951300011</v>
      </c>
      <c r="N4167" s="114" t="s">
        <v>7680</v>
      </c>
    </row>
    <row r="4168" spans="1:14" ht="18.75">
      <c r="A4168" s="80" t="s">
        <v>818</v>
      </c>
      <c r="B4168" s="1" t="s">
        <v>7110</v>
      </c>
      <c r="I4168" s="109"/>
      <c r="J4168" s="109"/>
      <c r="K4168" s="109"/>
      <c r="L4168" s="109" t="str">
        <f t="shared" si="65"/>
        <v>95-951300037</v>
      </c>
      <c r="M4168" s="114">
        <v>951300037</v>
      </c>
      <c r="N4168" s="114" t="s">
        <v>7665</v>
      </c>
    </row>
    <row r="4169" spans="1:14" ht="18.75">
      <c r="A4169" s="80" t="s">
        <v>857</v>
      </c>
      <c r="B4169" s="1" t="s">
        <v>7110</v>
      </c>
      <c r="I4169" s="109"/>
      <c r="J4169" s="109"/>
      <c r="K4169" s="109"/>
      <c r="L4169" s="109" t="str">
        <f t="shared" si="65"/>
        <v>95-951900031</v>
      </c>
      <c r="M4169" s="114">
        <v>951900031</v>
      </c>
      <c r="N4169" s="114" t="s">
        <v>7877</v>
      </c>
    </row>
    <row r="4170" spans="1:14" ht="18.75">
      <c r="A4170" s="81" t="s">
        <v>1042</v>
      </c>
      <c r="B4170" s="1" t="s">
        <v>7110</v>
      </c>
      <c r="I4170" s="109"/>
      <c r="J4170" s="109"/>
      <c r="K4170" s="109"/>
      <c r="L4170" s="109" t="str">
        <f t="shared" si="65"/>
        <v>95-951900301</v>
      </c>
      <c r="M4170" s="114">
        <v>951900301</v>
      </c>
      <c r="N4170" s="114" t="s">
        <v>7878</v>
      </c>
    </row>
    <row r="4171" spans="1:14" ht="18.75">
      <c r="A4171" s="80" t="s">
        <v>1042</v>
      </c>
      <c r="B4171" s="1" t="s">
        <v>7110</v>
      </c>
      <c r="I4171" s="109"/>
      <c r="J4171" s="109"/>
      <c r="K4171" s="109"/>
      <c r="L4171" s="109" t="str">
        <f t="shared" si="65"/>
        <v>96-961900006</v>
      </c>
      <c r="M4171" s="114">
        <v>961900006</v>
      </c>
      <c r="N4171" s="114" t="s">
        <v>7598</v>
      </c>
    </row>
    <row r="4172" spans="1:14" ht="18.75">
      <c r="A4172" s="80" t="s">
        <v>1042</v>
      </c>
      <c r="B4172" s="1" t="s">
        <v>7110</v>
      </c>
      <c r="I4172" s="109"/>
      <c r="J4172" s="109"/>
      <c r="K4172" s="109"/>
      <c r="L4172" s="109" t="str">
        <f t="shared" si="65"/>
        <v>95-951300035</v>
      </c>
      <c r="M4172" s="114">
        <v>951300035</v>
      </c>
      <c r="N4172" s="114" t="s">
        <v>7665</v>
      </c>
    </row>
    <row r="4173" spans="1:14" ht="18.75">
      <c r="A4173" s="80" t="s">
        <v>1049</v>
      </c>
      <c r="B4173" s="1" t="s">
        <v>7110</v>
      </c>
      <c r="I4173" s="109"/>
      <c r="J4173" s="109"/>
      <c r="K4173" s="109"/>
      <c r="L4173" s="109" t="str">
        <f t="shared" si="65"/>
        <v>95-951900088</v>
      </c>
      <c r="M4173" s="114">
        <v>951900088</v>
      </c>
      <c r="N4173" s="114" t="s">
        <v>8289</v>
      </c>
    </row>
    <row r="4174" spans="1:14" ht="18.75">
      <c r="A4174" s="80" t="s">
        <v>1049</v>
      </c>
      <c r="B4174" s="1" t="s">
        <v>7110</v>
      </c>
      <c r="I4174" s="109"/>
      <c r="J4174" s="109"/>
      <c r="K4174" s="109"/>
      <c r="L4174" s="109" t="str">
        <f t="shared" si="65"/>
        <v>95-951600036</v>
      </c>
      <c r="M4174" s="114">
        <v>951600036</v>
      </c>
      <c r="N4174" s="114" t="s">
        <v>8302</v>
      </c>
    </row>
    <row r="4175" spans="1:14" ht="18.75">
      <c r="A4175" s="80" t="s">
        <v>1078</v>
      </c>
      <c r="B4175" s="1" t="s">
        <v>7110</v>
      </c>
      <c r="I4175" s="109"/>
      <c r="J4175" s="109"/>
      <c r="K4175" s="109"/>
      <c r="L4175" s="109" t="str">
        <f t="shared" si="65"/>
        <v>95-951700034</v>
      </c>
      <c r="M4175" s="114">
        <v>951700034</v>
      </c>
      <c r="N4175" s="114" t="s">
        <v>8303</v>
      </c>
    </row>
    <row r="4176" spans="1:14" ht="18.75">
      <c r="A4176" s="80" t="s">
        <v>818</v>
      </c>
      <c r="B4176" s="1" t="s">
        <v>7110</v>
      </c>
      <c r="I4176" s="109"/>
      <c r="J4176" s="109"/>
      <c r="K4176" s="109"/>
      <c r="L4176" s="109" t="str">
        <f t="shared" si="65"/>
        <v>95-951700285</v>
      </c>
      <c r="M4176" s="114">
        <v>951700285</v>
      </c>
      <c r="N4176" s="114" t="s">
        <v>8304</v>
      </c>
    </row>
    <row r="4177" spans="1:14" ht="18.75">
      <c r="A4177" s="80" t="s">
        <v>1086</v>
      </c>
      <c r="B4177" s="1" t="s">
        <v>7110</v>
      </c>
      <c r="I4177" s="109"/>
      <c r="J4177" s="109"/>
      <c r="K4177" s="109"/>
      <c r="L4177" s="109" t="str">
        <f t="shared" si="65"/>
        <v>95-951800003</v>
      </c>
      <c r="M4177" s="114">
        <v>951800003</v>
      </c>
      <c r="N4177" s="114" t="s">
        <v>8305</v>
      </c>
    </row>
    <row r="4178" spans="1:14" ht="18.75">
      <c r="A4178" s="80" t="s">
        <v>1078</v>
      </c>
      <c r="B4178" s="1" t="s">
        <v>7110</v>
      </c>
      <c r="I4178" s="109"/>
      <c r="J4178" s="109"/>
      <c r="K4178" s="109"/>
      <c r="L4178" s="109" t="str">
        <f t="shared" si="65"/>
        <v>95-951400011</v>
      </c>
      <c r="M4178" s="114">
        <v>951400011</v>
      </c>
      <c r="N4178" s="114" t="s">
        <v>8306</v>
      </c>
    </row>
    <row r="4179" spans="1:14" ht="18.75">
      <c r="A4179" s="80" t="s">
        <v>1087</v>
      </c>
      <c r="B4179" s="1" t="s">
        <v>7110</v>
      </c>
      <c r="I4179" s="109"/>
      <c r="J4179" s="109"/>
      <c r="K4179" s="109"/>
      <c r="L4179" s="109" t="str">
        <f t="shared" si="65"/>
        <v>95-951700208</v>
      </c>
      <c r="M4179" s="114">
        <v>951700208</v>
      </c>
      <c r="N4179" s="114" t="s">
        <v>8307</v>
      </c>
    </row>
    <row r="4180" spans="1:14" ht="18.75">
      <c r="A4180" s="80" t="s">
        <v>1087</v>
      </c>
      <c r="B4180" s="1" t="s">
        <v>7110</v>
      </c>
      <c r="I4180" s="109"/>
      <c r="J4180" s="109"/>
      <c r="K4180" s="109"/>
      <c r="L4180" s="109" t="str">
        <f t="shared" si="65"/>
        <v>95-951900074</v>
      </c>
      <c r="M4180" s="114">
        <v>951900074</v>
      </c>
      <c r="N4180" s="114" t="s">
        <v>8199</v>
      </c>
    </row>
    <row r="4181" spans="1:14" ht="18.75">
      <c r="A4181" s="80" t="s">
        <v>1078</v>
      </c>
      <c r="B4181" s="1" t="s">
        <v>7110</v>
      </c>
      <c r="I4181" s="109"/>
      <c r="J4181" s="109"/>
      <c r="K4181" s="109"/>
      <c r="L4181" s="109" t="str">
        <f t="shared" si="65"/>
        <v>95-951600088</v>
      </c>
      <c r="M4181" s="114">
        <v>951600088</v>
      </c>
      <c r="N4181" s="114" t="s">
        <v>8200</v>
      </c>
    </row>
    <row r="4182" spans="1:14" ht="18.75">
      <c r="A4182" s="80" t="s">
        <v>1078</v>
      </c>
      <c r="B4182" s="1" t="s">
        <v>7110</v>
      </c>
      <c r="I4182" s="109"/>
      <c r="J4182" s="109"/>
      <c r="K4182" s="109"/>
      <c r="L4182" s="109" t="str">
        <f t="shared" si="65"/>
        <v>96-961800016</v>
      </c>
      <c r="M4182" s="114">
        <v>961800016</v>
      </c>
      <c r="N4182" s="114" t="s">
        <v>8201</v>
      </c>
    </row>
    <row r="4183" spans="1:14" ht="18.75">
      <c r="A4183" s="80" t="s">
        <v>1165</v>
      </c>
      <c r="B4183" s="1" t="s">
        <v>7110</v>
      </c>
      <c r="I4183" s="109"/>
      <c r="J4183" s="109"/>
      <c r="K4183" s="109"/>
      <c r="L4183" s="109" t="str">
        <f t="shared" si="65"/>
        <v>95-951900058</v>
      </c>
      <c r="M4183" s="114">
        <v>951900058</v>
      </c>
      <c r="N4183" s="114" t="s">
        <v>8202</v>
      </c>
    </row>
    <row r="4184" spans="1:14" ht="18.75">
      <c r="A4184" s="80" t="s">
        <v>1162</v>
      </c>
      <c r="B4184" s="1" t="s">
        <v>7110</v>
      </c>
      <c r="I4184" s="109"/>
      <c r="J4184" s="109"/>
      <c r="K4184" s="109"/>
      <c r="L4184" s="109" t="str">
        <f t="shared" si="65"/>
        <v>95-951700032</v>
      </c>
      <c r="M4184" s="114">
        <v>951700032</v>
      </c>
      <c r="N4184" s="114" t="s">
        <v>8203</v>
      </c>
    </row>
    <row r="4185" spans="1:14" ht="18.75">
      <c r="A4185" s="80" t="s">
        <v>1163</v>
      </c>
      <c r="B4185" s="1" t="s">
        <v>7110</v>
      </c>
      <c r="I4185" s="109"/>
      <c r="J4185" s="109"/>
      <c r="K4185" s="109"/>
      <c r="L4185" s="109" t="str">
        <f t="shared" si="65"/>
        <v>95-951900064</v>
      </c>
      <c r="M4185" s="114">
        <v>951900064</v>
      </c>
      <c r="N4185" s="114" t="s">
        <v>7881</v>
      </c>
    </row>
    <row r="4186" spans="1:14" ht="18.75">
      <c r="A4186" s="80" t="s">
        <v>1162</v>
      </c>
      <c r="B4186" s="1" t="s">
        <v>7110</v>
      </c>
      <c r="I4186" s="109"/>
      <c r="J4186" s="109"/>
      <c r="K4186" s="109"/>
      <c r="L4186" s="109" t="str">
        <f t="shared" si="65"/>
        <v>95-951400077</v>
      </c>
      <c r="M4186" s="114">
        <v>951400077</v>
      </c>
      <c r="N4186" s="114" t="s">
        <v>7882</v>
      </c>
    </row>
    <row r="4187" spans="1:14" ht="18.75">
      <c r="A4187" s="80" t="s">
        <v>1049</v>
      </c>
      <c r="B4187" s="1" t="s">
        <v>7110</v>
      </c>
      <c r="I4187" s="109"/>
      <c r="J4187" s="109"/>
      <c r="K4187" s="109"/>
      <c r="L4187" s="109" t="str">
        <f t="shared" si="65"/>
        <v>95-951900089</v>
      </c>
      <c r="M4187" s="114">
        <v>951900089</v>
      </c>
      <c r="N4187" s="114" t="s">
        <v>7883</v>
      </c>
    </row>
    <row r="4188" spans="1:14" ht="18.75">
      <c r="A4188" s="80" t="s">
        <v>1145</v>
      </c>
      <c r="B4188" s="1" t="s">
        <v>7110</v>
      </c>
      <c r="I4188" s="109"/>
      <c r="J4188" s="109"/>
      <c r="K4188" s="109"/>
      <c r="L4188" s="109" t="str">
        <f t="shared" si="65"/>
        <v>95-951400105</v>
      </c>
      <c r="M4188" s="114">
        <v>951400105</v>
      </c>
      <c r="N4188" s="114" t="s">
        <v>7884</v>
      </c>
    </row>
    <row r="4189" spans="1:14" ht="18.75">
      <c r="A4189" s="80" t="s">
        <v>1163</v>
      </c>
      <c r="B4189" s="1" t="s">
        <v>7110</v>
      </c>
      <c r="I4189" s="109"/>
      <c r="J4189" s="109"/>
      <c r="K4189" s="109"/>
      <c r="L4189" s="109" t="str">
        <f t="shared" si="65"/>
        <v>95-951900257</v>
      </c>
      <c r="M4189" s="114">
        <v>951900257</v>
      </c>
      <c r="N4189" s="114" t="s">
        <v>7830</v>
      </c>
    </row>
    <row r="4190" spans="1:14" ht="18.75">
      <c r="A4190" s="80" t="s">
        <v>1165</v>
      </c>
      <c r="B4190" s="1" t="s">
        <v>7110</v>
      </c>
      <c r="I4190" s="109"/>
      <c r="J4190" s="109"/>
      <c r="K4190" s="109"/>
      <c r="L4190" s="109" t="str">
        <f t="shared" si="65"/>
        <v>95-951700358</v>
      </c>
      <c r="M4190" s="114">
        <v>951700358</v>
      </c>
      <c r="N4190" s="114" t="s">
        <v>7885</v>
      </c>
    </row>
    <row r="4191" spans="1:14" ht="18.75">
      <c r="A4191" s="80" t="s">
        <v>1049</v>
      </c>
      <c r="B4191" s="1" t="s">
        <v>7110</v>
      </c>
      <c r="I4191" s="109"/>
      <c r="J4191" s="109"/>
      <c r="K4191" s="109"/>
      <c r="L4191" s="109" t="str">
        <f t="shared" si="65"/>
        <v>96-961900129</v>
      </c>
      <c r="M4191" s="114">
        <v>961900129</v>
      </c>
      <c r="N4191" s="114" t="s">
        <v>7886</v>
      </c>
    </row>
    <row r="4192" spans="1:14" ht="18.75">
      <c r="A4192" s="80" t="s">
        <v>1145</v>
      </c>
      <c r="B4192" s="1" t="s">
        <v>7110</v>
      </c>
      <c r="I4192" s="109"/>
      <c r="J4192" s="109"/>
      <c r="K4192" s="109"/>
      <c r="L4192" s="109" t="str">
        <f t="shared" si="65"/>
        <v>96-961700121</v>
      </c>
      <c r="M4192" s="114">
        <v>961700121</v>
      </c>
      <c r="N4192" s="114" t="s">
        <v>7160</v>
      </c>
    </row>
    <row r="4193" spans="1:14" ht="18.75">
      <c r="A4193" s="80" t="s">
        <v>1175</v>
      </c>
      <c r="B4193" s="1" t="s">
        <v>7110</v>
      </c>
      <c r="I4193" s="109"/>
      <c r="J4193" s="109"/>
      <c r="K4193" s="109"/>
      <c r="L4193" s="109" t="str">
        <f t="shared" si="65"/>
        <v>95-951900118</v>
      </c>
      <c r="M4193" s="114">
        <v>951900118</v>
      </c>
      <c r="N4193" s="114" t="s">
        <v>8308</v>
      </c>
    </row>
    <row r="4194" spans="1:14" ht="18.75">
      <c r="A4194" s="80" t="s">
        <v>1174</v>
      </c>
      <c r="B4194" s="1" t="s">
        <v>7110</v>
      </c>
      <c r="I4194" s="109"/>
      <c r="J4194" s="109"/>
      <c r="K4194" s="109"/>
      <c r="L4194" s="109" t="str">
        <f t="shared" si="65"/>
        <v>95-951400056</v>
      </c>
      <c r="M4194" s="114">
        <v>951400056</v>
      </c>
      <c r="N4194" s="114" t="s">
        <v>8309</v>
      </c>
    </row>
    <row r="4195" spans="1:14" ht="18.75">
      <c r="A4195" s="80" t="s">
        <v>1174</v>
      </c>
      <c r="B4195" s="1" t="s">
        <v>7110</v>
      </c>
      <c r="I4195" s="109"/>
      <c r="J4195" s="109"/>
      <c r="K4195" s="109"/>
      <c r="L4195" s="109" t="str">
        <f t="shared" si="65"/>
        <v>95-951900092</v>
      </c>
      <c r="M4195" s="114">
        <v>951900092</v>
      </c>
      <c r="N4195" s="114" t="s">
        <v>7755</v>
      </c>
    </row>
    <row r="4196" spans="1:14" ht="18.75">
      <c r="A4196" s="80" t="s">
        <v>1174</v>
      </c>
      <c r="B4196" s="1" t="s">
        <v>7110</v>
      </c>
      <c r="I4196" s="109"/>
      <c r="J4196" s="109"/>
      <c r="K4196" s="109"/>
      <c r="L4196" s="109" t="str">
        <f t="shared" si="65"/>
        <v>95-951900231</v>
      </c>
      <c r="M4196" s="114">
        <v>951900231</v>
      </c>
      <c r="N4196" s="114" t="s">
        <v>8318</v>
      </c>
    </row>
    <row r="4197" spans="1:14" ht="18.75">
      <c r="A4197" s="80" t="s">
        <v>1086</v>
      </c>
      <c r="B4197" s="1" t="s">
        <v>7110</v>
      </c>
      <c r="I4197" s="109"/>
      <c r="J4197" s="109"/>
      <c r="K4197" s="109"/>
      <c r="L4197" s="109" t="str">
        <f t="shared" si="65"/>
        <v>95-951900182</v>
      </c>
      <c r="M4197" s="114">
        <v>951900182</v>
      </c>
      <c r="N4197" s="114" t="s">
        <v>7165</v>
      </c>
    </row>
    <row r="4198" spans="1:14" ht="18.75">
      <c r="A4198" s="80" t="s">
        <v>1086</v>
      </c>
      <c r="B4198" s="1" t="s">
        <v>7110</v>
      </c>
      <c r="I4198" s="109"/>
      <c r="J4198" s="109"/>
      <c r="K4198" s="109"/>
      <c r="L4198" s="109" t="str">
        <f t="shared" si="65"/>
        <v>95-951700305</v>
      </c>
      <c r="M4198" s="114">
        <v>951700305</v>
      </c>
      <c r="N4198" s="114" t="s">
        <v>8319</v>
      </c>
    </row>
    <row r="4199" spans="1:14" ht="18.75">
      <c r="A4199" s="80" t="s">
        <v>1086</v>
      </c>
      <c r="B4199" s="1" t="s">
        <v>7110</v>
      </c>
      <c r="I4199" s="109"/>
      <c r="J4199" s="109"/>
      <c r="K4199" s="109"/>
      <c r="L4199" s="109" t="str">
        <f t="shared" si="65"/>
        <v>95-951700337</v>
      </c>
      <c r="M4199" s="114">
        <v>951700337</v>
      </c>
      <c r="N4199" s="114" t="s">
        <v>8320</v>
      </c>
    </row>
    <row r="4200" spans="1:14" ht="18.75">
      <c r="A4200" s="80" t="s">
        <v>1165</v>
      </c>
      <c r="B4200" s="1" t="s">
        <v>7110</v>
      </c>
      <c r="I4200" s="109"/>
      <c r="J4200" s="109"/>
      <c r="K4200" s="109"/>
      <c r="L4200" s="109" t="str">
        <f t="shared" si="65"/>
        <v>95-951900271</v>
      </c>
      <c r="M4200" s="114">
        <v>951900271</v>
      </c>
      <c r="N4200" s="114" t="s">
        <v>8321</v>
      </c>
    </row>
    <row r="4201" spans="1:14" ht="18.75">
      <c r="A4201" s="80" t="s">
        <v>1175</v>
      </c>
      <c r="B4201" s="1" t="s">
        <v>7110</v>
      </c>
      <c r="I4201" s="109"/>
      <c r="J4201" s="109"/>
      <c r="K4201" s="109"/>
      <c r="L4201" s="109" t="str">
        <f t="shared" si="65"/>
        <v>95-951400172</v>
      </c>
      <c r="M4201" s="114">
        <v>951400172</v>
      </c>
      <c r="N4201" s="114" t="s">
        <v>7831</v>
      </c>
    </row>
    <row r="4202" spans="1:14" ht="18.75">
      <c r="A4202" s="80" t="s">
        <v>1078</v>
      </c>
      <c r="B4202" s="1" t="s">
        <v>7110</v>
      </c>
      <c r="I4202" s="109"/>
      <c r="J4202" s="109"/>
      <c r="K4202" s="109"/>
      <c r="L4202" s="109" t="str">
        <f t="shared" si="65"/>
        <v>96-961700022</v>
      </c>
      <c r="M4202" s="114">
        <v>961700022</v>
      </c>
      <c r="N4202" s="114" t="s">
        <v>8322</v>
      </c>
    </row>
    <row r="4203" spans="1:14" ht="18.75">
      <c r="A4203" s="80" t="s">
        <v>1078</v>
      </c>
      <c r="B4203" s="1" t="s">
        <v>7110</v>
      </c>
      <c r="I4203" s="109"/>
      <c r="J4203" s="109"/>
      <c r="K4203" s="109"/>
      <c r="L4203" s="109" t="str">
        <f t="shared" si="65"/>
        <v>96-961900069</v>
      </c>
      <c r="M4203" s="114">
        <v>961900069</v>
      </c>
      <c r="N4203" s="114" t="s">
        <v>8323</v>
      </c>
    </row>
    <row r="4204" spans="1:14" ht="18.75">
      <c r="A4204" s="80" t="s">
        <v>6463</v>
      </c>
      <c r="B4204" s="1" t="s">
        <v>7110</v>
      </c>
      <c r="I4204" s="109"/>
      <c r="J4204" s="109"/>
      <c r="K4204" s="109"/>
      <c r="L4204" s="109" t="str">
        <f t="shared" si="65"/>
        <v>95-951900141</v>
      </c>
      <c r="M4204" s="114">
        <v>951900141</v>
      </c>
      <c r="N4204" s="114" t="s">
        <v>7887</v>
      </c>
    </row>
    <row r="4205" spans="1:14" ht="18.75">
      <c r="A4205" s="80" t="s">
        <v>6463</v>
      </c>
      <c r="B4205" s="1" t="s">
        <v>7110</v>
      </c>
      <c r="I4205" s="109"/>
      <c r="J4205" s="109"/>
      <c r="K4205" s="109"/>
      <c r="L4205" s="109" t="str">
        <f t="shared" si="65"/>
        <v>95-951900067</v>
      </c>
      <c r="M4205" s="114">
        <v>951900067</v>
      </c>
      <c r="N4205" s="114" t="s">
        <v>7619</v>
      </c>
    </row>
    <row r="4206" spans="1:14" ht="18.75">
      <c r="A4206" s="80" t="s">
        <v>6464</v>
      </c>
      <c r="B4206" s="1" t="s">
        <v>7110</v>
      </c>
      <c r="I4206" s="109"/>
      <c r="J4206" s="109"/>
      <c r="K4206" s="109"/>
      <c r="L4206" s="109" t="str">
        <f t="shared" si="65"/>
        <v>95-951400102</v>
      </c>
      <c r="M4206" s="114">
        <v>951400102</v>
      </c>
      <c r="N4206" s="114" t="s">
        <v>7188</v>
      </c>
    </row>
    <row r="4207" spans="1:14" ht="18.75">
      <c r="A4207" s="80" t="s">
        <v>6465</v>
      </c>
      <c r="B4207" s="1" t="s">
        <v>7110</v>
      </c>
      <c r="I4207" s="109"/>
      <c r="J4207" s="109"/>
      <c r="K4207" s="109"/>
      <c r="L4207" s="109" t="str">
        <f t="shared" si="65"/>
        <v>95-951400130</v>
      </c>
      <c r="M4207" s="114">
        <v>951400130</v>
      </c>
      <c r="N4207" s="114" t="s">
        <v>7164</v>
      </c>
    </row>
    <row r="4208" spans="1:14" ht="18.75">
      <c r="A4208" s="80" t="s">
        <v>6466</v>
      </c>
      <c r="B4208" s="1" t="s">
        <v>7110</v>
      </c>
      <c r="I4208" s="109"/>
      <c r="J4208" s="109"/>
      <c r="K4208" s="109"/>
      <c r="L4208" s="109" t="str">
        <f t="shared" si="65"/>
        <v>95-951700359</v>
      </c>
      <c r="M4208" s="114">
        <v>951700359</v>
      </c>
      <c r="N4208" s="114" t="s">
        <v>7665</v>
      </c>
    </row>
    <row r="4209" spans="1:14" ht="18.75">
      <c r="A4209" s="80" t="s">
        <v>6466</v>
      </c>
      <c r="B4209" s="1" t="s">
        <v>7110</v>
      </c>
      <c r="I4209" s="109"/>
      <c r="J4209" s="109"/>
      <c r="K4209" s="109"/>
      <c r="L4209" s="109" t="str">
        <f t="shared" si="65"/>
        <v>95-951600097</v>
      </c>
      <c r="M4209" s="114">
        <v>951600097</v>
      </c>
      <c r="N4209" s="114" t="s">
        <v>7888</v>
      </c>
    </row>
    <row r="4210" spans="1:14" ht="18.75">
      <c r="A4210" s="80" t="s">
        <v>6467</v>
      </c>
      <c r="B4210" s="1" t="s">
        <v>7110</v>
      </c>
      <c r="I4210" s="109"/>
      <c r="J4210" s="109"/>
      <c r="K4210" s="109"/>
      <c r="L4210" s="109" t="str">
        <f t="shared" si="65"/>
        <v>95-951900199</v>
      </c>
      <c r="M4210" s="114">
        <v>951900199</v>
      </c>
      <c r="N4210" s="114" t="s">
        <v>7679</v>
      </c>
    </row>
    <row r="4211" spans="1:14" ht="18.75">
      <c r="A4211" s="80" t="s">
        <v>6468</v>
      </c>
      <c r="B4211" s="1" t="s">
        <v>7110</v>
      </c>
      <c r="I4211" s="109"/>
      <c r="J4211" s="109"/>
      <c r="K4211" s="109"/>
      <c r="L4211" s="109" t="str">
        <f t="shared" si="65"/>
        <v>96-961700122</v>
      </c>
      <c r="M4211" s="114">
        <v>961700122</v>
      </c>
      <c r="N4211" s="114" t="s">
        <v>7160</v>
      </c>
    </row>
    <row r="4212" spans="1:14" ht="18.75">
      <c r="A4212" s="80" t="s">
        <v>6467</v>
      </c>
      <c r="B4212" s="1" t="s">
        <v>7110</v>
      </c>
      <c r="I4212" s="109"/>
      <c r="J4212" s="109"/>
      <c r="K4212" s="109"/>
      <c r="L4212" s="109" t="str">
        <f t="shared" si="65"/>
        <v>96-961700109</v>
      </c>
      <c r="M4212" s="114">
        <v>961700109</v>
      </c>
      <c r="N4212" s="114" t="s">
        <v>8324</v>
      </c>
    </row>
    <row r="4213" spans="1:14" ht="18.75">
      <c r="A4213" s="80" t="s">
        <v>6463</v>
      </c>
      <c r="B4213" s="1" t="s">
        <v>7110</v>
      </c>
      <c r="I4213" s="109"/>
      <c r="J4213" s="109"/>
      <c r="K4213" s="109"/>
      <c r="L4213" s="109" t="str">
        <f t="shared" si="65"/>
        <v>95-951700207</v>
      </c>
      <c r="M4213" s="114">
        <v>951700207</v>
      </c>
      <c r="N4213" s="114" t="s">
        <v>8227</v>
      </c>
    </row>
    <row r="4214" spans="1:14" ht="18.75">
      <c r="A4214" s="80" t="s">
        <v>6469</v>
      </c>
      <c r="B4214" s="1" t="s">
        <v>7110</v>
      </c>
      <c r="I4214" s="109"/>
      <c r="J4214" s="109"/>
      <c r="K4214" s="109"/>
      <c r="L4214" s="109" t="str">
        <f t="shared" si="65"/>
        <v>95-951900229</v>
      </c>
      <c r="M4214" s="114">
        <v>951900229</v>
      </c>
      <c r="N4214" s="114" t="s">
        <v>7679</v>
      </c>
    </row>
    <row r="4215" spans="1:14" ht="18.75">
      <c r="A4215" s="80" t="s">
        <v>6465</v>
      </c>
      <c r="B4215" s="1" t="s">
        <v>7110</v>
      </c>
      <c r="I4215" s="109"/>
      <c r="J4215" s="109"/>
      <c r="K4215" s="109"/>
      <c r="L4215" s="109" t="str">
        <f t="shared" si="65"/>
        <v>95-951300010</v>
      </c>
      <c r="M4215" s="114">
        <v>951300010</v>
      </c>
      <c r="N4215" s="114" t="s">
        <v>7680</v>
      </c>
    </row>
    <row r="4216" spans="1:14" ht="18.75">
      <c r="A4216" s="80" t="s">
        <v>6470</v>
      </c>
      <c r="B4216" s="1" t="s">
        <v>7110</v>
      </c>
      <c r="I4216" s="109"/>
      <c r="J4216" s="109"/>
      <c r="K4216" s="109"/>
      <c r="L4216" s="109" t="str">
        <f t="shared" si="65"/>
        <v>95-951300015</v>
      </c>
      <c r="M4216" s="114">
        <v>951300015</v>
      </c>
      <c r="N4216" s="114" t="s">
        <v>7804</v>
      </c>
    </row>
    <row r="4217" spans="1:14" ht="18.75">
      <c r="A4217" s="80" t="s">
        <v>6468</v>
      </c>
      <c r="B4217" s="1" t="s">
        <v>7110</v>
      </c>
      <c r="I4217" s="109"/>
      <c r="J4217" s="109"/>
      <c r="K4217" s="109"/>
      <c r="L4217" s="109" t="str">
        <f t="shared" si="65"/>
        <v>96-961900005</v>
      </c>
      <c r="M4217" s="114">
        <v>961900005</v>
      </c>
      <c r="N4217" s="114" t="s">
        <v>8328</v>
      </c>
    </row>
    <row r="4218" spans="1:14" ht="18.75">
      <c r="A4218" s="80" t="s">
        <v>6465</v>
      </c>
      <c r="B4218" s="1" t="s">
        <v>7110</v>
      </c>
      <c r="I4218" s="109"/>
      <c r="J4218" s="109"/>
      <c r="K4218" s="109"/>
      <c r="L4218" s="109" t="str">
        <f t="shared" si="65"/>
        <v>95-951900147</v>
      </c>
      <c r="M4218" s="114">
        <v>951900147</v>
      </c>
      <c r="N4218" s="114" t="s">
        <v>8208</v>
      </c>
    </row>
    <row r="4219" spans="1:14" ht="18.75">
      <c r="A4219" s="80" t="s">
        <v>6465</v>
      </c>
      <c r="B4219" s="1" t="s">
        <v>7110</v>
      </c>
      <c r="I4219" s="109"/>
      <c r="J4219" s="109"/>
      <c r="K4219" s="109"/>
      <c r="L4219" s="109" t="str">
        <f t="shared" si="65"/>
        <v>96-961900158</v>
      </c>
      <c r="M4219" s="114">
        <v>961900158</v>
      </c>
      <c r="N4219" s="114" t="s">
        <v>8567</v>
      </c>
    </row>
    <row r="4220" spans="1:14" ht="18.75">
      <c r="A4220" s="80" t="s">
        <v>6471</v>
      </c>
      <c r="B4220" s="1" t="s">
        <v>7110</v>
      </c>
      <c r="I4220" s="109"/>
      <c r="J4220" s="109"/>
      <c r="K4220" s="109"/>
      <c r="L4220" s="109" t="str">
        <f t="shared" si="65"/>
        <v>95-951900114</v>
      </c>
      <c r="M4220" s="114">
        <v>951900114</v>
      </c>
      <c r="N4220" s="114" t="s">
        <v>7192</v>
      </c>
    </row>
    <row r="4221" spans="1:14" ht="18.75">
      <c r="A4221" s="80" t="s">
        <v>6463</v>
      </c>
      <c r="B4221" s="1" t="s">
        <v>7110</v>
      </c>
      <c r="I4221" s="109"/>
      <c r="J4221" s="109"/>
      <c r="K4221" s="109"/>
      <c r="L4221" s="109" t="str">
        <f t="shared" si="65"/>
        <v>95-951700072</v>
      </c>
      <c r="M4221" s="114">
        <v>951700072</v>
      </c>
      <c r="N4221" s="114" t="s">
        <v>7877</v>
      </c>
    </row>
    <row r="4222" spans="1:14" ht="18.75">
      <c r="A4222" s="80" t="s">
        <v>6471</v>
      </c>
      <c r="B4222" s="1" t="s">
        <v>7110</v>
      </c>
      <c r="I4222" s="109"/>
      <c r="J4222" s="109"/>
      <c r="K4222" s="109"/>
      <c r="L4222" s="109" t="str">
        <f t="shared" si="65"/>
        <v>95-951400107</v>
      </c>
      <c r="M4222" s="114">
        <v>951400107</v>
      </c>
      <c r="N4222" s="114" t="s">
        <v>7889</v>
      </c>
    </row>
    <row r="4223" spans="1:14" ht="18.75">
      <c r="A4223" s="80" t="s">
        <v>6471</v>
      </c>
      <c r="B4223" s="1" t="s">
        <v>7110</v>
      </c>
      <c r="I4223" s="109"/>
      <c r="J4223" s="109"/>
      <c r="K4223" s="109"/>
      <c r="L4223" s="109" t="str">
        <f t="shared" si="65"/>
        <v>95-951600073</v>
      </c>
      <c r="M4223" s="114">
        <v>951600073</v>
      </c>
      <c r="N4223" s="114" t="s">
        <v>7839</v>
      </c>
    </row>
    <row r="4224" spans="1:14" ht="18.75">
      <c r="A4224" s="80" t="s">
        <v>6467</v>
      </c>
      <c r="B4224" s="1" t="s">
        <v>7110</v>
      </c>
      <c r="I4224" s="109"/>
      <c r="J4224" s="109"/>
      <c r="K4224" s="109"/>
      <c r="L4224" s="109" t="str">
        <f t="shared" si="65"/>
        <v>95-951600090</v>
      </c>
      <c r="M4224" s="114">
        <v>951600090</v>
      </c>
      <c r="N4224" s="114" t="s">
        <v>7832</v>
      </c>
    </row>
    <row r="4225" spans="1:14" ht="18.75">
      <c r="A4225" s="80" t="s">
        <v>6467</v>
      </c>
      <c r="B4225" s="1" t="s">
        <v>7110</v>
      </c>
      <c r="I4225" s="109"/>
      <c r="J4225" s="109"/>
      <c r="K4225" s="109"/>
      <c r="L4225" s="109" t="str">
        <f t="shared" si="65"/>
        <v>95-951900284</v>
      </c>
      <c r="M4225" s="114">
        <v>951900284</v>
      </c>
      <c r="N4225" s="114" t="s">
        <v>7652</v>
      </c>
    </row>
    <row r="4226" spans="1:14" ht="18.75">
      <c r="A4226" s="80" t="s">
        <v>6468</v>
      </c>
      <c r="B4226" s="1" t="s">
        <v>7110</v>
      </c>
      <c r="I4226" s="109"/>
      <c r="J4226" s="109"/>
      <c r="K4226" s="109"/>
      <c r="L4226" s="109" t="str">
        <f t="shared" si="65"/>
        <v>95-951000001</v>
      </c>
      <c r="M4226" s="114">
        <v>951000001</v>
      </c>
      <c r="N4226" s="114" t="s">
        <v>7890</v>
      </c>
    </row>
    <row r="4227" spans="1:14" ht="18.75">
      <c r="A4227" s="80" t="s">
        <v>6470</v>
      </c>
      <c r="B4227" s="1" t="s">
        <v>7110</v>
      </c>
      <c r="I4227" s="109"/>
      <c r="J4227" s="109"/>
      <c r="K4227" s="109"/>
      <c r="L4227" s="109" t="str">
        <f t="shared" ref="L4227:L4290" si="66">MID(M4227,1,2)&amp;"-"&amp;M4227</f>
        <v>95-951400131</v>
      </c>
      <c r="M4227" s="114">
        <v>951400131</v>
      </c>
      <c r="N4227" s="114" t="s">
        <v>7164</v>
      </c>
    </row>
    <row r="4228" spans="1:14" ht="18.75">
      <c r="A4228" s="80" t="s">
        <v>6470</v>
      </c>
      <c r="B4228" s="1" t="s">
        <v>7110</v>
      </c>
      <c r="I4228" s="109"/>
      <c r="J4228" s="109"/>
      <c r="K4228" s="109"/>
      <c r="L4228" s="109" t="str">
        <f t="shared" si="66"/>
        <v>95-956100005</v>
      </c>
      <c r="M4228" s="114">
        <v>956100005</v>
      </c>
      <c r="N4228" s="114" t="s">
        <v>7891</v>
      </c>
    </row>
    <row r="4229" spans="1:14" ht="18.75">
      <c r="A4229" s="80" t="s">
        <v>6469</v>
      </c>
      <c r="B4229" s="1" t="s">
        <v>7110</v>
      </c>
      <c r="I4229" s="109"/>
      <c r="J4229" s="109"/>
      <c r="K4229" s="109"/>
      <c r="L4229" s="109" t="str">
        <f t="shared" si="66"/>
        <v>95-951900186</v>
      </c>
      <c r="M4229" s="114">
        <v>951900186</v>
      </c>
      <c r="N4229" s="114" t="s">
        <v>7892</v>
      </c>
    </row>
    <row r="4230" spans="1:14" ht="18.75">
      <c r="A4230" s="80" t="s">
        <v>6467</v>
      </c>
      <c r="B4230" s="1" t="s">
        <v>7110</v>
      </c>
      <c r="I4230" s="109"/>
      <c r="J4230" s="109"/>
      <c r="K4230" s="109"/>
      <c r="L4230" s="109" t="str">
        <f t="shared" si="66"/>
        <v>95-951900300</v>
      </c>
      <c r="M4230" s="114">
        <v>951900300</v>
      </c>
      <c r="N4230" s="114" t="s">
        <v>7878</v>
      </c>
    </row>
    <row r="4231" spans="1:14" ht="18.75">
      <c r="A4231" s="80" t="s">
        <v>6472</v>
      </c>
      <c r="B4231" s="1" t="s">
        <v>7110</v>
      </c>
      <c r="I4231" s="109"/>
      <c r="J4231" s="109"/>
      <c r="K4231" s="109"/>
      <c r="L4231" s="109" t="str">
        <f t="shared" si="66"/>
        <v>96-961900130</v>
      </c>
      <c r="M4231" s="114">
        <v>961900130</v>
      </c>
      <c r="N4231" s="114" t="s">
        <v>7893</v>
      </c>
    </row>
    <row r="4232" spans="1:14" ht="18.75">
      <c r="A4232" s="80" t="s">
        <v>6464</v>
      </c>
      <c r="B4232" s="1" t="s">
        <v>7110</v>
      </c>
      <c r="I4232" s="109"/>
      <c r="J4232" s="109"/>
      <c r="K4232" s="109"/>
      <c r="L4232" s="109" t="str">
        <f t="shared" si="66"/>
        <v>96-961900167</v>
      </c>
      <c r="M4232" s="114">
        <v>961900167</v>
      </c>
      <c r="N4232" s="114" t="s">
        <v>7193</v>
      </c>
    </row>
    <row r="4233" spans="1:14" ht="18.75">
      <c r="A4233" s="80" t="s">
        <v>6464</v>
      </c>
      <c r="B4233" s="1" t="s">
        <v>7110</v>
      </c>
      <c r="I4233" s="109"/>
      <c r="J4233" s="109"/>
      <c r="K4233" s="109"/>
      <c r="L4233" s="109" t="str">
        <f t="shared" si="66"/>
        <v>95-956200438</v>
      </c>
      <c r="M4233" s="114">
        <v>956200438</v>
      </c>
      <c r="N4233" s="114" t="s">
        <v>7723</v>
      </c>
    </row>
    <row r="4234" spans="1:14" ht="18.75">
      <c r="A4234" s="80" t="s">
        <v>6473</v>
      </c>
      <c r="B4234" s="1" t="s">
        <v>7110</v>
      </c>
      <c r="I4234" s="109"/>
      <c r="J4234" s="109"/>
      <c r="K4234" s="109"/>
      <c r="L4234" s="109" t="str">
        <f t="shared" si="66"/>
        <v>95-951300001</v>
      </c>
      <c r="M4234" s="114">
        <v>951300001</v>
      </c>
      <c r="N4234" s="114" t="s">
        <v>8288</v>
      </c>
    </row>
    <row r="4235" spans="1:14" ht="18.75">
      <c r="A4235" s="80" t="s">
        <v>6474</v>
      </c>
      <c r="B4235" s="1" t="s">
        <v>7110</v>
      </c>
      <c r="I4235" s="109"/>
      <c r="J4235" s="109"/>
      <c r="K4235" s="109"/>
      <c r="L4235" s="109" t="str">
        <f t="shared" si="66"/>
        <v>95-951900289</v>
      </c>
      <c r="M4235" s="114">
        <v>951900289</v>
      </c>
      <c r="N4235" s="114" t="s">
        <v>8229</v>
      </c>
    </row>
    <row r="4236" spans="1:14" ht="18.75">
      <c r="A4236" s="80" t="s">
        <v>6475</v>
      </c>
      <c r="B4236" s="1" t="s">
        <v>7110</v>
      </c>
      <c r="I4236" s="109"/>
      <c r="J4236" s="109"/>
      <c r="K4236" s="109"/>
      <c r="L4236" s="109" t="str">
        <f t="shared" si="66"/>
        <v>95-951400180</v>
      </c>
      <c r="M4236" s="114">
        <v>951400180</v>
      </c>
      <c r="N4236" s="114" t="s">
        <v>7665</v>
      </c>
    </row>
    <row r="4237" spans="1:14" ht="18.75">
      <c r="A4237" s="80" t="s">
        <v>6476</v>
      </c>
      <c r="B4237" s="1" t="s">
        <v>7110</v>
      </c>
      <c r="I4237" s="109"/>
      <c r="J4237" s="109"/>
      <c r="K4237" s="109"/>
      <c r="L4237" s="109" t="str">
        <f t="shared" si="66"/>
        <v>95-951400143</v>
      </c>
      <c r="M4237" s="114">
        <v>951400143</v>
      </c>
      <c r="N4237" s="114" t="s">
        <v>8339</v>
      </c>
    </row>
    <row r="4238" spans="1:14" ht="18.75">
      <c r="A4238" s="80" t="s">
        <v>6477</v>
      </c>
      <c r="B4238" s="1" t="s">
        <v>7110</v>
      </c>
      <c r="I4238" s="109"/>
      <c r="J4238" s="109"/>
      <c r="K4238" s="109"/>
      <c r="L4238" s="109" t="str">
        <f t="shared" si="66"/>
        <v>95-951900003</v>
      </c>
      <c r="M4238" s="114">
        <v>951900003</v>
      </c>
      <c r="N4238" s="114" t="s">
        <v>8340</v>
      </c>
    </row>
    <row r="4239" spans="1:14" ht="18.75">
      <c r="A4239" s="80" t="s">
        <v>6478</v>
      </c>
      <c r="B4239" s="1" t="s">
        <v>7110</v>
      </c>
      <c r="I4239" s="109"/>
      <c r="J4239" s="109"/>
      <c r="K4239" s="109"/>
      <c r="L4239" s="109" t="str">
        <f t="shared" si="66"/>
        <v>95-951700033</v>
      </c>
      <c r="M4239" s="114">
        <v>951700033</v>
      </c>
      <c r="N4239" s="114" t="s">
        <v>8341</v>
      </c>
    </row>
    <row r="4240" spans="1:14" ht="18.75">
      <c r="A4240" s="80" t="s">
        <v>6479</v>
      </c>
      <c r="B4240" s="1" t="s">
        <v>7110</v>
      </c>
      <c r="I4240" s="109"/>
      <c r="J4240" s="109"/>
      <c r="K4240" s="109"/>
      <c r="L4240" s="109" t="str">
        <f t="shared" si="66"/>
        <v>96-961800009</v>
      </c>
      <c r="M4240" s="114">
        <v>961800009</v>
      </c>
      <c r="N4240" s="114" t="s">
        <v>7690</v>
      </c>
    </row>
    <row r="4241" spans="1:14" ht="18.75">
      <c r="A4241" s="80" t="s">
        <v>6480</v>
      </c>
      <c r="B4241" s="1" t="s">
        <v>7110</v>
      </c>
      <c r="I4241" s="109"/>
      <c r="J4241" s="109"/>
      <c r="K4241" s="109"/>
      <c r="L4241" s="109" t="str">
        <f t="shared" si="66"/>
        <v>96-961900041</v>
      </c>
      <c r="M4241" s="114">
        <v>961900041</v>
      </c>
      <c r="N4241" s="114" t="s">
        <v>8342</v>
      </c>
    </row>
    <row r="4242" spans="1:14" ht="18.75">
      <c r="A4242" s="80" t="s">
        <v>6473</v>
      </c>
      <c r="B4242" s="1" t="s">
        <v>7110</v>
      </c>
      <c r="I4242" s="109"/>
      <c r="J4242" s="109"/>
      <c r="K4242" s="109"/>
      <c r="L4242" s="109" t="str">
        <f t="shared" si="66"/>
        <v>96-961900068</v>
      </c>
      <c r="M4242" s="114">
        <v>961900068</v>
      </c>
      <c r="N4242" s="114" t="s">
        <v>8343</v>
      </c>
    </row>
    <row r="4243" spans="1:14" ht="18.75">
      <c r="A4243" s="80" t="s">
        <v>6481</v>
      </c>
      <c r="B4243" s="1" t="s">
        <v>7110</v>
      </c>
      <c r="I4243" s="109"/>
      <c r="J4243" s="109"/>
      <c r="K4243" s="109"/>
      <c r="L4243" s="109" t="str">
        <f t="shared" si="66"/>
        <v>96-961900131</v>
      </c>
      <c r="M4243" s="114">
        <v>961900131</v>
      </c>
      <c r="N4243" s="114" t="s">
        <v>7893</v>
      </c>
    </row>
    <row r="4244" spans="1:14" ht="18.75">
      <c r="A4244" s="80" t="s">
        <v>6482</v>
      </c>
      <c r="B4244" s="1" t="s">
        <v>7110</v>
      </c>
      <c r="I4244" s="109"/>
      <c r="J4244" s="109"/>
      <c r="K4244" s="109"/>
      <c r="L4244" s="109" t="str">
        <f t="shared" si="66"/>
        <v>95-951300019</v>
      </c>
      <c r="M4244" s="114">
        <v>951300019</v>
      </c>
      <c r="N4244" s="114" t="s">
        <v>7894</v>
      </c>
    </row>
    <row r="4245" spans="1:14" ht="18.75">
      <c r="A4245" s="80" t="s">
        <v>6481</v>
      </c>
      <c r="B4245" s="1" t="s">
        <v>7110</v>
      </c>
      <c r="I4245" s="109"/>
      <c r="J4245" s="109"/>
      <c r="K4245" s="109"/>
      <c r="L4245" s="109" t="str">
        <f t="shared" si="66"/>
        <v>95-951900216</v>
      </c>
      <c r="M4245" s="114">
        <v>951900216</v>
      </c>
      <c r="N4245" s="114" t="s">
        <v>7895</v>
      </c>
    </row>
    <row r="4246" spans="1:14" ht="18.75">
      <c r="A4246" s="80" t="s">
        <v>6483</v>
      </c>
      <c r="B4246" s="1" t="s">
        <v>7110</v>
      </c>
      <c r="I4246" s="109"/>
      <c r="J4246" s="109"/>
      <c r="K4246" s="109"/>
      <c r="L4246" s="109" t="str">
        <f t="shared" si="66"/>
        <v>95-951900219</v>
      </c>
      <c r="M4246" s="114">
        <v>951900219</v>
      </c>
      <c r="N4246" s="114" t="s">
        <v>7895</v>
      </c>
    </row>
    <row r="4247" spans="1:14" ht="18.75">
      <c r="A4247" s="80" t="s">
        <v>6483</v>
      </c>
      <c r="B4247" s="1" t="s">
        <v>7110</v>
      </c>
      <c r="I4247" s="109"/>
      <c r="J4247" s="109"/>
      <c r="K4247" s="109"/>
      <c r="L4247" s="109" t="str">
        <f t="shared" si="66"/>
        <v>95-951900243</v>
      </c>
      <c r="M4247" s="114">
        <v>951900243</v>
      </c>
      <c r="N4247" s="114" t="s">
        <v>7895</v>
      </c>
    </row>
    <row r="4248" spans="1:14" ht="18.75">
      <c r="A4248" s="80" t="s">
        <v>6484</v>
      </c>
      <c r="B4248" s="1" t="s">
        <v>7110</v>
      </c>
      <c r="I4248" s="109"/>
      <c r="J4248" s="109"/>
      <c r="K4248" s="109"/>
      <c r="L4248" s="109" t="str">
        <f t="shared" si="66"/>
        <v>96-961900123</v>
      </c>
      <c r="M4248" s="114">
        <v>961900123</v>
      </c>
      <c r="N4248" s="114" t="s">
        <v>7896</v>
      </c>
    </row>
    <row r="4249" spans="1:14" ht="18.75">
      <c r="A4249" s="80" t="s">
        <v>6485</v>
      </c>
      <c r="B4249" s="1" t="s">
        <v>7110</v>
      </c>
      <c r="I4249" s="109"/>
      <c r="J4249" s="109"/>
      <c r="K4249" s="109"/>
      <c r="L4249" s="109" t="str">
        <f t="shared" si="66"/>
        <v>95-951900297</v>
      </c>
      <c r="M4249" s="114">
        <v>951900297</v>
      </c>
      <c r="N4249" s="114" t="s">
        <v>7612</v>
      </c>
    </row>
    <row r="4250" spans="1:14" ht="18.75">
      <c r="A4250" s="80" t="s">
        <v>6485</v>
      </c>
      <c r="B4250" s="1" t="s">
        <v>7110</v>
      </c>
      <c r="I4250" s="109"/>
      <c r="J4250" s="109"/>
      <c r="K4250" s="109"/>
      <c r="L4250" s="109" t="str">
        <f t="shared" si="66"/>
        <v>95-951900299</v>
      </c>
      <c r="M4250" s="114">
        <v>951900299</v>
      </c>
      <c r="N4250" s="114" t="s">
        <v>7612</v>
      </c>
    </row>
    <row r="4251" spans="1:14" ht="18.75">
      <c r="A4251" s="80" t="s">
        <v>6486</v>
      </c>
      <c r="B4251" s="1" t="s">
        <v>7110</v>
      </c>
      <c r="I4251" s="109"/>
      <c r="J4251" s="109"/>
      <c r="K4251" s="109"/>
      <c r="L4251" s="109" t="str">
        <f t="shared" si="66"/>
        <v>96-961900170</v>
      </c>
      <c r="M4251" s="114">
        <v>961900170</v>
      </c>
      <c r="N4251" s="114" t="s">
        <v>7193</v>
      </c>
    </row>
    <row r="4252" spans="1:14" ht="18.75">
      <c r="A4252" s="80" t="s">
        <v>6487</v>
      </c>
      <c r="B4252" s="1" t="s">
        <v>7110</v>
      </c>
      <c r="I4252" s="109"/>
      <c r="J4252" s="109"/>
      <c r="K4252" s="109"/>
      <c r="L4252" s="109" t="str">
        <f t="shared" si="66"/>
        <v>96-966200140</v>
      </c>
      <c r="M4252" s="114">
        <v>966200140</v>
      </c>
      <c r="N4252" s="114" t="s">
        <v>8344</v>
      </c>
    </row>
    <row r="4253" spans="1:14" ht="18.75">
      <c r="A4253" s="80" t="s">
        <v>6488</v>
      </c>
      <c r="B4253" s="1" t="s">
        <v>7110</v>
      </c>
      <c r="I4253" s="109"/>
      <c r="J4253" s="109"/>
      <c r="K4253" s="109"/>
      <c r="L4253" s="109" t="str">
        <f t="shared" si="66"/>
        <v>96-966200233</v>
      </c>
      <c r="M4253" s="114">
        <v>966200233</v>
      </c>
      <c r="N4253" s="114" t="s">
        <v>8348</v>
      </c>
    </row>
    <row r="4254" spans="1:14" ht="18.75">
      <c r="A4254" s="80" t="s">
        <v>6489</v>
      </c>
      <c r="B4254" s="1" t="s">
        <v>7110</v>
      </c>
      <c r="I4254" s="109"/>
      <c r="J4254" s="109"/>
      <c r="K4254" s="109"/>
      <c r="L4254" s="109" t="str">
        <f t="shared" si="66"/>
        <v>95-951700053</v>
      </c>
      <c r="M4254" s="114">
        <v>951700053</v>
      </c>
      <c r="N4254" s="114" t="s">
        <v>7826</v>
      </c>
    </row>
    <row r="4255" spans="1:14" ht="18.75">
      <c r="A4255" s="80" t="s">
        <v>6490</v>
      </c>
      <c r="B4255" s="1" t="s">
        <v>7110</v>
      </c>
      <c r="I4255" s="109"/>
      <c r="J4255" s="109"/>
      <c r="K4255" s="109"/>
      <c r="L4255" s="109" t="str">
        <f t="shared" si="66"/>
        <v>95-951700243</v>
      </c>
      <c r="M4255" s="114">
        <v>951700243</v>
      </c>
      <c r="N4255" s="114" t="s">
        <v>7826</v>
      </c>
    </row>
    <row r="4256" spans="1:14" ht="18.75">
      <c r="A4256" s="80" t="s">
        <v>6491</v>
      </c>
      <c r="B4256" s="1" t="s">
        <v>7110</v>
      </c>
      <c r="I4256" s="109"/>
      <c r="J4256" s="109"/>
      <c r="K4256" s="109"/>
      <c r="L4256" s="109" t="str">
        <f t="shared" si="66"/>
        <v>95-951800141</v>
      </c>
      <c r="M4256" s="114">
        <v>951800141</v>
      </c>
      <c r="N4256" s="114" t="s">
        <v>7780</v>
      </c>
    </row>
    <row r="4257" spans="1:14" ht="18.75">
      <c r="A4257" s="80" t="s">
        <v>6492</v>
      </c>
      <c r="B4257" s="1" t="s">
        <v>7110</v>
      </c>
      <c r="I4257" s="109"/>
      <c r="J4257" s="109"/>
      <c r="K4257" s="109"/>
      <c r="L4257" s="109" t="str">
        <f t="shared" si="66"/>
        <v>95-951600009</v>
      </c>
      <c r="M4257" s="114">
        <v>951600009</v>
      </c>
      <c r="N4257" s="114" t="s">
        <v>7720</v>
      </c>
    </row>
    <row r="4258" spans="1:14" ht="18.75">
      <c r="A4258" s="80" t="s">
        <v>6482</v>
      </c>
      <c r="B4258" s="1" t="s">
        <v>7110</v>
      </c>
      <c r="I4258" s="109"/>
      <c r="J4258" s="109"/>
      <c r="K4258" s="109"/>
      <c r="L4258" s="109" t="str">
        <f t="shared" si="66"/>
        <v>96-966200220</v>
      </c>
      <c r="M4258" s="114">
        <v>966200220</v>
      </c>
      <c r="N4258" s="114" t="s">
        <v>7707</v>
      </c>
    </row>
    <row r="4259" spans="1:14" ht="18.75">
      <c r="A4259" s="80" t="s">
        <v>6482</v>
      </c>
      <c r="B4259" s="1" t="s">
        <v>7110</v>
      </c>
      <c r="I4259" s="109"/>
      <c r="J4259" s="109"/>
      <c r="K4259" s="109"/>
      <c r="L4259" s="109" t="str">
        <f t="shared" si="66"/>
        <v>96-966200276</v>
      </c>
      <c r="M4259" s="114">
        <v>966200276</v>
      </c>
      <c r="N4259" s="114" t="s">
        <v>7898</v>
      </c>
    </row>
    <row r="4260" spans="1:14" ht="18.75">
      <c r="A4260" s="80" t="s">
        <v>6491</v>
      </c>
      <c r="B4260" s="1" t="s">
        <v>7110</v>
      </c>
      <c r="I4260" s="109"/>
      <c r="J4260" s="109"/>
      <c r="K4260" s="109"/>
      <c r="L4260" s="109" t="str">
        <f t="shared" si="66"/>
        <v>96-966200260</v>
      </c>
      <c r="M4260" s="114">
        <v>966200260</v>
      </c>
      <c r="N4260" s="114" t="s">
        <v>7730</v>
      </c>
    </row>
    <row r="4261" spans="1:14" ht="18.75">
      <c r="A4261" s="80" t="s">
        <v>6493</v>
      </c>
      <c r="B4261" s="1" t="s">
        <v>7110</v>
      </c>
      <c r="I4261" s="109"/>
      <c r="J4261" s="109"/>
      <c r="K4261" s="109"/>
      <c r="L4261" s="109" t="str">
        <f t="shared" si="66"/>
        <v>96-961900070</v>
      </c>
      <c r="M4261" s="114">
        <v>961900070</v>
      </c>
      <c r="N4261" s="114" t="s">
        <v>7899</v>
      </c>
    </row>
    <row r="4262" spans="1:14" ht="18.75">
      <c r="A4262" s="80" t="s">
        <v>6494</v>
      </c>
      <c r="B4262" s="1" t="s">
        <v>7110</v>
      </c>
      <c r="I4262" s="109"/>
      <c r="J4262" s="109"/>
      <c r="K4262" s="109"/>
      <c r="L4262" s="109" t="str">
        <f t="shared" si="66"/>
        <v>96-961700009</v>
      </c>
      <c r="M4262" s="114">
        <v>961700009</v>
      </c>
      <c r="N4262" s="114" t="s">
        <v>7900</v>
      </c>
    </row>
    <row r="4263" spans="1:14" ht="18.75">
      <c r="A4263" s="80" t="s">
        <v>6485</v>
      </c>
      <c r="B4263" s="1" t="s">
        <v>7110</v>
      </c>
      <c r="I4263" s="109"/>
      <c r="J4263" s="109"/>
      <c r="K4263" s="109"/>
      <c r="L4263" s="109" t="str">
        <f t="shared" si="66"/>
        <v>95-951600033</v>
      </c>
      <c r="M4263" s="114">
        <v>951600033</v>
      </c>
      <c r="N4263" s="114" t="s">
        <v>7901</v>
      </c>
    </row>
    <row r="4264" spans="1:14" ht="18.75">
      <c r="A4264" s="80" t="s">
        <v>6493</v>
      </c>
      <c r="B4264" s="1" t="s">
        <v>7110</v>
      </c>
      <c r="I4264" s="109"/>
      <c r="J4264" s="109"/>
      <c r="K4264" s="109"/>
      <c r="L4264" s="109" t="str">
        <f t="shared" si="66"/>
        <v>96-961900045</v>
      </c>
      <c r="M4264" s="114">
        <v>961900045</v>
      </c>
      <c r="N4264" s="114" t="s">
        <v>7203</v>
      </c>
    </row>
    <row r="4265" spans="1:14" ht="18.75">
      <c r="A4265" s="80" t="s">
        <v>6495</v>
      </c>
      <c r="B4265" s="1" t="s">
        <v>7110</v>
      </c>
      <c r="I4265" s="109"/>
      <c r="J4265" s="109"/>
      <c r="K4265" s="109"/>
      <c r="L4265" s="109" t="str">
        <f t="shared" si="66"/>
        <v>96-966200346</v>
      </c>
      <c r="M4265" s="114">
        <v>966200346</v>
      </c>
      <c r="N4265" s="114" t="s">
        <v>8751</v>
      </c>
    </row>
    <row r="4266" spans="1:14" ht="18.75">
      <c r="A4266" s="80" t="s">
        <v>6489</v>
      </c>
      <c r="B4266" s="1" t="s">
        <v>7110</v>
      </c>
      <c r="I4266" s="109"/>
      <c r="J4266" s="109"/>
      <c r="K4266" s="109"/>
      <c r="L4266" s="109" t="str">
        <f t="shared" si="66"/>
        <v>95-951200060</v>
      </c>
      <c r="M4266" s="114">
        <v>951200060</v>
      </c>
      <c r="N4266" s="114" t="s">
        <v>7226</v>
      </c>
    </row>
    <row r="4267" spans="1:14" ht="18.75">
      <c r="A4267" s="80" t="s">
        <v>6487</v>
      </c>
      <c r="B4267" s="1" t="s">
        <v>7110</v>
      </c>
      <c r="I4267" s="109"/>
      <c r="J4267" s="109"/>
      <c r="K4267" s="109"/>
      <c r="L4267" s="109" t="str">
        <f t="shared" si="66"/>
        <v>96-961700031</v>
      </c>
      <c r="M4267" s="114">
        <v>961700031</v>
      </c>
      <c r="N4267" s="114" t="s">
        <v>8349</v>
      </c>
    </row>
    <row r="4268" spans="1:14" ht="18.75">
      <c r="A4268" s="80" t="s">
        <v>6496</v>
      </c>
      <c r="B4268" s="1" t="s">
        <v>7110</v>
      </c>
      <c r="I4268" s="109"/>
      <c r="J4268" s="109"/>
      <c r="K4268" s="109"/>
      <c r="L4268" s="109" t="str">
        <f t="shared" si="66"/>
        <v>95-951900103</v>
      </c>
      <c r="M4268" s="114">
        <v>951900103</v>
      </c>
      <c r="N4268" s="114" t="s">
        <v>8359</v>
      </c>
    </row>
    <row r="4269" spans="1:14" ht="18.75">
      <c r="A4269" s="80" t="s">
        <v>6497</v>
      </c>
      <c r="B4269" s="1" t="s">
        <v>7110</v>
      </c>
      <c r="I4269" s="109"/>
      <c r="J4269" s="109"/>
      <c r="K4269" s="109"/>
      <c r="L4269" s="109" t="str">
        <f t="shared" si="66"/>
        <v>95-951600002</v>
      </c>
      <c r="M4269" s="114">
        <v>951600002</v>
      </c>
      <c r="N4269" s="114" t="s">
        <v>7773</v>
      </c>
    </row>
    <row r="4270" spans="1:14" ht="18.75">
      <c r="A4270" s="80" t="s">
        <v>6498</v>
      </c>
      <c r="B4270" s="1" t="s">
        <v>7110</v>
      </c>
      <c r="I4270" s="109"/>
      <c r="J4270" s="109"/>
      <c r="K4270" s="109"/>
      <c r="L4270" s="109" t="str">
        <f t="shared" si="66"/>
        <v>95-951700131</v>
      </c>
      <c r="M4270" s="114">
        <v>951700131</v>
      </c>
      <c r="N4270" s="114" t="s">
        <v>8334</v>
      </c>
    </row>
    <row r="4271" spans="1:14" ht="18.75">
      <c r="A4271" s="80" t="s">
        <v>6499</v>
      </c>
      <c r="B4271" s="1" t="s">
        <v>7110</v>
      </c>
      <c r="I4271" s="109"/>
      <c r="J4271" s="109"/>
      <c r="K4271" s="109"/>
      <c r="L4271" s="109" t="str">
        <f t="shared" si="66"/>
        <v>95-951400039</v>
      </c>
      <c r="M4271" s="114">
        <v>951400039</v>
      </c>
      <c r="N4271" s="114" t="s">
        <v>8360</v>
      </c>
    </row>
    <row r="4272" spans="1:14" ht="18.75">
      <c r="A4272" s="80" t="s">
        <v>6499</v>
      </c>
      <c r="B4272" s="1" t="s">
        <v>7110</v>
      </c>
      <c r="I4272" s="109"/>
      <c r="J4272" s="109"/>
      <c r="K4272" s="109"/>
      <c r="L4272" s="109" t="str">
        <f t="shared" si="66"/>
        <v>96-966200068</v>
      </c>
      <c r="M4272" s="114">
        <v>966200068</v>
      </c>
      <c r="N4272" s="114" t="s">
        <v>7709</v>
      </c>
    </row>
    <row r="4273" spans="1:14" ht="18.75">
      <c r="A4273" s="80" t="s">
        <v>6500</v>
      </c>
      <c r="B4273" s="1" t="s">
        <v>7110</v>
      </c>
      <c r="I4273" s="109"/>
      <c r="J4273" s="109"/>
      <c r="K4273" s="109"/>
      <c r="L4273" s="109" t="str">
        <f t="shared" si="66"/>
        <v>96-966200254</v>
      </c>
      <c r="M4273" s="114">
        <v>966200254</v>
      </c>
      <c r="N4273" s="114" t="s">
        <v>7730</v>
      </c>
    </row>
    <row r="4274" spans="1:14" ht="18.75">
      <c r="A4274" s="80" t="s">
        <v>6482</v>
      </c>
      <c r="B4274" s="1" t="s">
        <v>7110</v>
      </c>
      <c r="I4274" s="109"/>
      <c r="J4274" s="109"/>
      <c r="K4274" s="109"/>
      <c r="L4274" s="109" t="str">
        <f t="shared" si="66"/>
        <v>96-966200232</v>
      </c>
      <c r="M4274" s="114">
        <v>966200232</v>
      </c>
      <c r="N4274" s="114" t="s">
        <v>8348</v>
      </c>
    </row>
    <row r="4275" spans="1:14" ht="18">
      <c r="A4275" s="82" t="s">
        <v>6487</v>
      </c>
      <c r="B4275" s="1" t="s">
        <v>7110</v>
      </c>
      <c r="I4275" s="109"/>
      <c r="J4275" s="109"/>
      <c r="K4275" s="109"/>
      <c r="L4275" s="109" t="str">
        <f t="shared" si="66"/>
        <v>96-966200282</v>
      </c>
      <c r="M4275" s="114">
        <v>966200282</v>
      </c>
      <c r="N4275" s="114" t="s">
        <v>7210</v>
      </c>
    </row>
    <row r="4276" spans="1:14" ht="18">
      <c r="A4276" s="53" t="s">
        <v>6501</v>
      </c>
      <c r="B4276" s="1" t="s">
        <v>7110</v>
      </c>
      <c r="I4276" s="109"/>
      <c r="J4276" s="109"/>
      <c r="K4276" s="109"/>
      <c r="L4276" s="109" t="str">
        <f t="shared" si="66"/>
        <v>96-961600004</v>
      </c>
      <c r="M4276" s="114">
        <v>961600004</v>
      </c>
      <c r="N4276" s="114" t="s">
        <v>8361</v>
      </c>
    </row>
    <row r="4277" spans="1:14" ht="18">
      <c r="A4277" s="53" t="s">
        <v>6502</v>
      </c>
      <c r="B4277" s="1" t="s">
        <v>7110</v>
      </c>
      <c r="I4277" s="109"/>
      <c r="J4277" s="109"/>
      <c r="K4277" s="109"/>
      <c r="L4277" s="109" t="str">
        <f t="shared" si="66"/>
        <v>95-951900135</v>
      </c>
      <c r="M4277" s="114">
        <v>951900135</v>
      </c>
      <c r="N4277" s="114" t="s">
        <v>7861</v>
      </c>
    </row>
    <row r="4278" spans="1:14" ht="18">
      <c r="A4278" s="53" t="s">
        <v>6486</v>
      </c>
      <c r="B4278" s="1" t="s">
        <v>7110</v>
      </c>
      <c r="I4278" s="109"/>
      <c r="J4278" s="109"/>
      <c r="K4278" s="109"/>
      <c r="L4278" s="109" t="str">
        <f t="shared" si="66"/>
        <v>96-961700095</v>
      </c>
      <c r="M4278" s="114">
        <v>961700095</v>
      </c>
      <c r="N4278" s="114" t="s">
        <v>8370</v>
      </c>
    </row>
    <row r="4279" spans="1:14" ht="18">
      <c r="A4279" s="53" t="s">
        <v>6494</v>
      </c>
      <c r="B4279" s="1" t="s">
        <v>7110</v>
      </c>
      <c r="I4279" s="109"/>
      <c r="J4279" s="109"/>
      <c r="K4279" s="109"/>
      <c r="L4279" s="109" t="str">
        <f t="shared" si="66"/>
        <v>96-961900036</v>
      </c>
      <c r="M4279" s="114">
        <v>961900036</v>
      </c>
      <c r="N4279" s="114" t="s">
        <v>8371</v>
      </c>
    </row>
    <row r="4280" spans="1:14" ht="18">
      <c r="A4280" s="53" t="s">
        <v>6503</v>
      </c>
      <c r="B4280" s="1" t="s">
        <v>7110</v>
      </c>
      <c r="I4280" s="109"/>
      <c r="J4280" s="109"/>
      <c r="K4280" s="109"/>
      <c r="L4280" s="109" t="str">
        <f t="shared" si="66"/>
        <v>95-951100068</v>
      </c>
      <c r="M4280" s="114">
        <v>951100068</v>
      </c>
      <c r="N4280" s="114" t="s">
        <v>8372</v>
      </c>
    </row>
    <row r="4281" spans="1:14" ht="18">
      <c r="A4281" s="53" t="s">
        <v>6487</v>
      </c>
      <c r="B4281" s="1" t="s">
        <v>7110</v>
      </c>
      <c r="I4281" s="109"/>
      <c r="J4281" s="109"/>
      <c r="K4281" s="109"/>
      <c r="L4281" s="109" t="str">
        <f t="shared" si="66"/>
        <v>96-961700039</v>
      </c>
      <c r="M4281" s="114">
        <v>961700039</v>
      </c>
      <c r="N4281" s="114" t="s">
        <v>8373</v>
      </c>
    </row>
    <row r="4282" spans="1:14" ht="18">
      <c r="A4282" s="53" t="s">
        <v>6504</v>
      </c>
      <c r="B4282" s="1" t="s">
        <v>7110</v>
      </c>
      <c r="I4282" s="109"/>
      <c r="J4282" s="109"/>
      <c r="K4282" s="109"/>
      <c r="L4282" s="109" t="str">
        <f t="shared" si="66"/>
        <v>95-951900187</v>
      </c>
      <c r="M4282" s="114">
        <v>951900187</v>
      </c>
      <c r="N4282" s="114" t="s">
        <v>8374</v>
      </c>
    </row>
    <row r="4283" spans="1:14" ht="18">
      <c r="A4283" s="83" t="s">
        <v>6505</v>
      </c>
      <c r="B4283" s="1" t="s">
        <v>7110</v>
      </c>
      <c r="I4283" s="109"/>
      <c r="J4283" s="109"/>
      <c r="K4283" s="109"/>
      <c r="L4283" s="109" t="str">
        <f t="shared" si="66"/>
        <v>96-966200325</v>
      </c>
      <c r="M4283" s="114">
        <v>966200325</v>
      </c>
      <c r="N4283" s="114" t="s">
        <v>8713</v>
      </c>
    </row>
    <row r="4284" spans="1:14" ht="18">
      <c r="A4284" s="53" t="s">
        <v>6504</v>
      </c>
      <c r="B4284" s="1" t="s">
        <v>7110</v>
      </c>
      <c r="I4284" s="109"/>
      <c r="J4284" s="109"/>
      <c r="K4284" s="109"/>
      <c r="L4284" s="109" t="str">
        <f t="shared" si="66"/>
        <v>95-951200050</v>
      </c>
      <c r="M4284" s="114">
        <v>951200050</v>
      </c>
      <c r="N4284" s="114" t="s">
        <v>7174</v>
      </c>
    </row>
    <row r="4285" spans="1:14" ht="18">
      <c r="A4285" s="53" t="s">
        <v>6506</v>
      </c>
      <c r="B4285" s="1" t="s">
        <v>7110</v>
      </c>
      <c r="I4285" s="109"/>
      <c r="J4285" s="109"/>
      <c r="K4285" s="109"/>
      <c r="L4285" s="109" t="str">
        <f t="shared" si="66"/>
        <v>95-951200071</v>
      </c>
      <c r="M4285" s="114">
        <v>951200071</v>
      </c>
      <c r="N4285" s="114" t="s">
        <v>7866</v>
      </c>
    </row>
    <row r="4286" spans="1:14" ht="18">
      <c r="A4286" s="53" t="s">
        <v>6507</v>
      </c>
      <c r="B4286" s="1" t="s">
        <v>7110</v>
      </c>
      <c r="I4286" s="109"/>
      <c r="J4286" s="109"/>
      <c r="K4286" s="109"/>
      <c r="L4286" s="109" t="str">
        <f t="shared" si="66"/>
        <v>95-951200095</v>
      </c>
      <c r="M4286" s="114">
        <v>951200095</v>
      </c>
      <c r="N4286" s="114" t="s">
        <v>7151</v>
      </c>
    </row>
    <row r="4287" spans="1:14" ht="18">
      <c r="A4287" s="53" t="s">
        <v>6504</v>
      </c>
      <c r="B4287" s="1" t="s">
        <v>7110</v>
      </c>
      <c r="I4287" s="109"/>
      <c r="J4287" s="109"/>
      <c r="K4287" s="109"/>
      <c r="L4287" s="109" t="str">
        <f t="shared" si="66"/>
        <v>95-951500581</v>
      </c>
      <c r="M4287" s="114">
        <v>951500581</v>
      </c>
      <c r="N4287" s="114" t="s">
        <v>5753</v>
      </c>
    </row>
    <row r="4288" spans="1:14" ht="18">
      <c r="A4288" s="53" t="s">
        <v>6503</v>
      </c>
      <c r="B4288" s="1" t="s">
        <v>7110</v>
      </c>
      <c r="I4288" s="109"/>
      <c r="J4288" s="109"/>
      <c r="K4288" s="109"/>
      <c r="L4288" s="109" t="str">
        <f t="shared" si="66"/>
        <v>96-961500354</v>
      </c>
      <c r="M4288" s="114">
        <v>961500354</v>
      </c>
      <c r="N4288" s="114" t="s">
        <v>5781</v>
      </c>
    </row>
    <row r="4289" spans="1:14" ht="18">
      <c r="A4289" s="53" t="s">
        <v>6507</v>
      </c>
      <c r="B4289" s="1" t="s">
        <v>7110</v>
      </c>
      <c r="I4289" s="109"/>
      <c r="J4289" s="109"/>
      <c r="K4289" s="109"/>
      <c r="L4289" s="109" t="str">
        <f t="shared" si="66"/>
        <v>95-951500564</v>
      </c>
      <c r="M4289" s="114">
        <v>951500564</v>
      </c>
      <c r="N4289" s="114" t="s">
        <v>5747</v>
      </c>
    </row>
    <row r="4290" spans="1:14" ht="18">
      <c r="A4290" s="53" t="s">
        <v>6497</v>
      </c>
      <c r="B4290" s="1" t="s">
        <v>7110</v>
      </c>
      <c r="I4290" s="109"/>
      <c r="J4290" s="109"/>
      <c r="K4290" s="109"/>
      <c r="L4290" s="109" t="str">
        <f t="shared" si="66"/>
        <v>95-952200013</v>
      </c>
      <c r="M4290" s="114">
        <v>952200013</v>
      </c>
      <c r="N4290" s="114" t="s">
        <v>7172</v>
      </c>
    </row>
    <row r="4291" spans="1:14" ht="18">
      <c r="A4291" s="53" t="s">
        <v>6499</v>
      </c>
      <c r="B4291" s="1" t="s">
        <v>7110</v>
      </c>
      <c r="I4291" s="109"/>
      <c r="J4291" s="109"/>
      <c r="K4291" s="109"/>
      <c r="L4291" s="109" t="str">
        <f t="shared" ref="L4291:L4354" si="67">MID(M4291,1,2)&amp;"-"&amp;M4291</f>
        <v>96-962200013</v>
      </c>
      <c r="M4291" s="114">
        <v>962200013</v>
      </c>
      <c r="N4291" s="114" t="s">
        <v>7229</v>
      </c>
    </row>
    <row r="4292" spans="1:14" ht="18">
      <c r="A4292" s="53" t="s">
        <v>6491</v>
      </c>
      <c r="B4292" s="1" t="s">
        <v>7110</v>
      </c>
      <c r="I4292" s="109"/>
      <c r="J4292" s="109"/>
      <c r="K4292" s="109"/>
      <c r="L4292" s="109" t="str">
        <f t="shared" si="67"/>
        <v>96-962500105</v>
      </c>
      <c r="M4292" s="114">
        <v>962500105</v>
      </c>
      <c r="N4292" s="114" t="s">
        <v>5854</v>
      </c>
    </row>
    <row r="4293" spans="1:14" ht="18">
      <c r="A4293" s="53" t="s">
        <v>6508</v>
      </c>
      <c r="B4293" s="1" t="s">
        <v>7110</v>
      </c>
      <c r="I4293" s="109"/>
      <c r="J4293" s="109"/>
      <c r="K4293" s="109"/>
      <c r="L4293" s="109" t="str">
        <f t="shared" si="67"/>
        <v>95-951200066</v>
      </c>
      <c r="M4293" s="114">
        <v>951200066</v>
      </c>
      <c r="N4293" s="114" t="s">
        <v>7243</v>
      </c>
    </row>
    <row r="4294" spans="1:14" ht="18">
      <c r="A4294" s="53" t="s">
        <v>6486</v>
      </c>
      <c r="B4294" s="1" t="s">
        <v>7110</v>
      </c>
      <c r="I4294" s="109"/>
      <c r="J4294" s="109"/>
      <c r="K4294" s="109"/>
      <c r="L4294" s="109" t="str">
        <f t="shared" si="67"/>
        <v>95-951200083</v>
      </c>
      <c r="M4294" s="114">
        <v>951200083</v>
      </c>
      <c r="N4294" s="114" t="s">
        <v>7511</v>
      </c>
    </row>
    <row r="4295" spans="1:14" ht="18">
      <c r="A4295" s="53" t="s">
        <v>6504</v>
      </c>
      <c r="B4295" s="1" t="s">
        <v>7110</v>
      </c>
      <c r="I4295" s="109"/>
      <c r="J4295" s="109"/>
      <c r="K4295" s="109"/>
      <c r="L4295" s="109" t="str">
        <f t="shared" si="67"/>
        <v>95-952200043</v>
      </c>
      <c r="M4295" s="114">
        <v>952200043</v>
      </c>
      <c r="N4295" s="114" t="s">
        <v>7126</v>
      </c>
    </row>
    <row r="4296" spans="1:14" ht="18">
      <c r="A4296" s="53" t="s">
        <v>6507</v>
      </c>
      <c r="B4296" s="1" t="s">
        <v>7110</v>
      </c>
      <c r="I4296" s="109"/>
      <c r="J4296" s="109"/>
      <c r="K4296" s="109"/>
      <c r="L4296" s="109" t="str">
        <f t="shared" si="67"/>
        <v>95-952200087</v>
      </c>
      <c r="M4296" s="114">
        <v>952200087</v>
      </c>
      <c r="N4296" s="114" t="s">
        <v>7239</v>
      </c>
    </row>
    <row r="4297" spans="1:14" ht="18">
      <c r="A4297" s="53" t="s">
        <v>6509</v>
      </c>
      <c r="B4297" s="1" t="s">
        <v>7110</v>
      </c>
      <c r="I4297" s="109"/>
      <c r="J4297" s="109"/>
      <c r="K4297" s="109"/>
      <c r="L4297" s="109" t="str">
        <f t="shared" si="67"/>
        <v>95-951200075</v>
      </c>
      <c r="M4297" s="114">
        <v>951200075</v>
      </c>
      <c r="N4297" s="114" t="s">
        <v>7451</v>
      </c>
    </row>
    <row r="4298" spans="1:14" ht="18">
      <c r="A4298" s="53" t="s">
        <v>6482</v>
      </c>
      <c r="B4298" s="1" t="s">
        <v>7110</v>
      </c>
      <c r="I4298" s="109"/>
      <c r="J4298" s="109"/>
      <c r="K4298" s="109"/>
      <c r="L4298" s="109" t="str">
        <f t="shared" si="67"/>
        <v>95-951200090</v>
      </c>
      <c r="M4298" s="114">
        <v>951200090</v>
      </c>
      <c r="N4298" s="114" t="s">
        <v>7151</v>
      </c>
    </row>
    <row r="4299" spans="1:14" ht="18">
      <c r="A4299" s="53" t="s">
        <v>6496</v>
      </c>
      <c r="B4299" s="1" t="s">
        <v>7110</v>
      </c>
      <c r="I4299" s="109"/>
      <c r="J4299" s="109"/>
      <c r="K4299" s="109"/>
      <c r="L4299" s="109" t="str">
        <f t="shared" si="67"/>
        <v>95-951500122</v>
      </c>
      <c r="M4299" s="114">
        <v>951500122</v>
      </c>
      <c r="N4299" s="114" t="s">
        <v>5618</v>
      </c>
    </row>
    <row r="4300" spans="1:14" ht="18">
      <c r="A4300" s="53" t="s">
        <v>6510</v>
      </c>
      <c r="B4300" s="1" t="s">
        <v>7110</v>
      </c>
      <c r="I4300" s="109"/>
      <c r="J4300" s="109"/>
      <c r="K4300" s="109"/>
      <c r="L4300" s="109" t="str">
        <f t="shared" si="67"/>
        <v>95-951200027</v>
      </c>
      <c r="M4300" s="114">
        <v>951200027</v>
      </c>
      <c r="N4300" s="114" t="s">
        <v>7172</v>
      </c>
    </row>
    <row r="4301" spans="1:14" ht="18">
      <c r="A4301" s="53" t="s">
        <v>6511</v>
      </c>
      <c r="B4301" s="1" t="s">
        <v>7110</v>
      </c>
      <c r="I4301" s="109"/>
      <c r="J4301" s="109"/>
      <c r="K4301" s="109"/>
      <c r="L4301" s="109" t="str">
        <f t="shared" si="67"/>
        <v>95-951200084</v>
      </c>
      <c r="M4301" s="114">
        <v>951200084</v>
      </c>
      <c r="N4301" s="114" t="s">
        <v>7511</v>
      </c>
    </row>
    <row r="4302" spans="1:14" ht="18">
      <c r="A4302" s="53" t="s">
        <v>6496</v>
      </c>
      <c r="B4302" s="1" t="s">
        <v>7110</v>
      </c>
      <c r="I4302" s="109"/>
      <c r="J4302" s="109"/>
      <c r="K4302" s="109"/>
      <c r="L4302" s="109" t="str">
        <f t="shared" si="67"/>
        <v>95-952200077</v>
      </c>
      <c r="M4302" s="114">
        <v>952200077</v>
      </c>
      <c r="N4302" s="114" t="s">
        <v>7218</v>
      </c>
    </row>
    <row r="4303" spans="1:14" ht="18">
      <c r="A4303" s="53" t="s">
        <v>6502</v>
      </c>
      <c r="B4303" s="1" t="s">
        <v>7110</v>
      </c>
      <c r="I4303" s="109"/>
      <c r="J4303" s="109"/>
      <c r="K4303" s="109"/>
      <c r="L4303" s="109" t="str">
        <f t="shared" si="67"/>
        <v>95-952500058</v>
      </c>
      <c r="M4303" s="114">
        <v>952500058</v>
      </c>
      <c r="N4303" s="114" t="s">
        <v>5697</v>
      </c>
    </row>
    <row r="4304" spans="1:14" ht="18">
      <c r="A4304" s="53" t="s">
        <v>6494</v>
      </c>
      <c r="B4304" s="1" t="s">
        <v>7110</v>
      </c>
      <c r="I4304" s="109"/>
      <c r="J4304" s="109"/>
      <c r="K4304" s="109"/>
      <c r="L4304" s="109" t="str">
        <f t="shared" si="67"/>
        <v>95-952200023</v>
      </c>
      <c r="M4304" s="114">
        <v>952200023</v>
      </c>
      <c r="N4304" s="114" t="s">
        <v>7174</v>
      </c>
    </row>
    <row r="4305" spans="1:14" ht="18">
      <c r="A4305" s="53" t="s">
        <v>6488</v>
      </c>
      <c r="B4305" s="1" t="s">
        <v>7110</v>
      </c>
      <c r="I4305" s="109"/>
      <c r="J4305" s="109"/>
      <c r="K4305" s="109"/>
      <c r="L4305" s="109" t="str">
        <f t="shared" si="67"/>
        <v>95-952200058</v>
      </c>
      <c r="M4305" s="114">
        <v>952200058</v>
      </c>
      <c r="N4305" s="114" t="s">
        <v>7561</v>
      </c>
    </row>
    <row r="4306" spans="1:14" ht="18">
      <c r="A4306" s="53" t="s">
        <v>6490</v>
      </c>
      <c r="B4306" s="1" t="s">
        <v>7110</v>
      </c>
      <c r="I4306" s="109"/>
      <c r="J4306" s="109"/>
      <c r="K4306" s="109"/>
      <c r="L4306" s="109" t="str">
        <f t="shared" si="67"/>
        <v>96-962200047</v>
      </c>
      <c r="M4306" s="114">
        <v>962200047</v>
      </c>
      <c r="N4306" s="114" t="s">
        <v>7173</v>
      </c>
    </row>
    <row r="4307" spans="1:14" ht="18">
      <c r="A4307" s="53" t="s">
        <v>6489</v>
      </c>
      <c r="B4307" s="1" t="s">
        <v>7110</v>
      </c>
      <c r="I4307" s="109"/>
      <c r="J4307" s="109"/>
      <c r="K4307" s="109"/>
      <c r="L4307" s="109" t="str">
        <f t="shared" si="67"/>
        <v>96-962200052</v>
      </c>
      <c r="M4307" s="114">
        <v>962200052</v>
      </c>
      <c r="N4307" s="114" t="s">
        <v>7173</v>
      </c>
    </row>
    <row r="4308" spans="1:14" ht="18">
      <c r="A4308" s="53" t="s">
        <v>6512</v>
      </c>
      <c r="B4308" s="1" t="s">
        <v>7110</v>
      </c>
      <c r="I4308" s="109"/>
      <c r="J4308" s="109"/>
      <c r="K4308" s="109"/>
      <c r="L4308" s="109" t="str">
        <f t="shared" si="67"/>
        <v>96-962200063</v>
      </c>
      <c r="M4308" s="114">
        <v>962200063</v>
      </c>
      <c r="N4308" s="114" t="s">
        <v>7450</v>
      </c>
    </row>
    <row r="4309" spans="1:14" ht="18">
      <c r="A4309" s="53" t="s">
        <v>6513</v>
      </c>
      <c r="B4309" s="1" t="s">
        <v>7110</v>
      </c>
      <c r="I4309" s="109"/>
      <c r="J4309" s="109"/>
      <c r="K4309" s="109"/>
      <c r="L4309" s="109" t="str">
        <f t="shared" si="67"/>
        <v>96-961700104</v>
      </c>
      <c r="M4309" s="114">
        <v>961700104</v>
      </c>
      <c r="N4309" s="114" t="s">
        <v>8221</v>
      </c>
    </row>
    <row r="4310" spans="1:14" ht="18">
      <c r="A4310" s="53" t="s">
        <v>6514</v>
      </c>
      <c r="B4310" s="1" t="s">
        <v>7110</v>
      </c>
      <c r="I4310" s="109"/>
      <c r="J4310" s="109"/>
      <c r="K4310" s="109"/>
      <c r="L4310" s="109" t="str">
        <f t="shared" si="67"/>
        <v>96-962200038</v>
      </c>
      <c r="M4310" s="114">
        <v>962200038</v>
      </c>
      <c r="N4310" s="114" t="s">
        <v>7173</v>
      </c>
    </row>
    <row r="4311" spans="1:14" ht="18">
      <c r="A4311" s="53" t="s">
        <v>6515</v>
      </c>
      <c r="B4311" s="1" t="s">
        <v>7110</v>
      </c>
      <c r="I4311" s="109"/>
      <c r="J4311" s="109"/>
      <c r="K4311" s="109"/>
      <c r="L4311" s="109" t="str">
        <f t="shared" si="67"/>
        <v>95-952500052</v>
      </c>
      <c r="M4311" s="114">
        <v>952500052</v>
      </c>
      <c r="N4311" s="114" t="s">
        <v>5618</v>
      </c>
    </row>
    <row r="4312" spans="1:14" ht="18">
      <c r="A4312" s="53" t="s">
        <v>6513</v>
      </c>
      <c r="B4312" s="1" t="s">
        <v>7110</v>
      </c>
      <c r="I4312" s="109"/>
      <c r="J4312" s="109"/>
      <c r="K4312" s="109"/>
      <c r="L4312" s="109" t="str">
        <f t="shared" si="67"/>
        <v>95-952500104</v>
      </c>
      <c r="M4312" s="114">
        <v>952500104</v>
      </c>
      <c r="N4312" s="114" t="s">
        <v>5710</v>
      </c>
    </row>
    <row r="4313" spans="1:14" ht="18">
      <c r="A4313" s="53" t="s">
        <v>6516</v>
      </c>
      <c r="B4313" s="1" t="s">
        <v>7110</v>
      </c>
      <c r="I4313" s="109"/>
      <c r="J4313" s="109"/>
      <c r="K4313" s="109"/>
      <c r="L4313" s="109" t="str">
        <f t="shared" si="67"/>
        <v>95-952500044</v>
      </c>
      <c r="M4313" s="114">
        <v>952500044</v>
      </c>
      <c r="N4313" s="114" t="s">
        <v>5675</v>
      </c>
    </row>
    <row r="4314" spans="1:14" ht="18">
      <c r="A4314" s="53" t="s">
        <v>6516</v>
      </c>
      <c r="B4314" s="1" t="s">
        <v>7110</v>
      </c>
      <c r="I4314" s="109"/>
      <c r="J4314" s="109"/>
      <c r="K4314" s="109"/>
      <c r="L4314" s="109" t="str">
        <f t="shared" si="67"/>
        <v>96-962500089</v>
      </c>
      <c r="M4314" s="114">
        <v>962500089</v>
      </c>
      <c r="N4314" s="114" t="s">
        <v>7231</v>
      </c>
    </row>
    <row r="4315" spans="1:14" ht="18">
      <c r="A4315" s="53" t="s">
        <v>6516</v>
      </c>
      <c r="B4315" s="1" t="s">
        <v>7110</v>
      </c>
      <c r="I4315" s="109"/>
      <c r="J4315" s="109"/>
      <c r="K4315" s="109"/>
      <c r="L4315" s="109" t="str">
        <f t="shared" si="67"/>
        <v>96-962500043</v>
      </c>
      <c r="M4315" s="114">
        <v>962500043</v>
      </c>
      <c r="N4315" s="114" t="s">
        <v>5836</v>
      </c>
    </row>
    <row r="4316" spans="1:14" ht="18">
      <c r="A4316" s="53" t="s">
        <v>6504</v>
      </c>
      <c r="B4316" s="1" t="s">
        <v>7110</v>
      </c>
      <c r="I4316" s="109"/>
      <c r="J4316" s="109"/>
      <c r="K4316" s="109"/>
      <c r="L4316" s="109" t="str">
        <f t="shared" si="67"/>
        <v>95-952500053</v>
      </c>
      <c r="M4316" s="114">
        <v>952500053</v>
      </c>
      <c r="N4316" s="114" t="s">
        <v>5642</v>
      </c>
    </row>
    <row r="4317" spans="1:14" ht="18">
      <c r="A4317" s="53" t="s">
        <v>6513</v>
      </c>
      <c r="B4317" s="1" t="s">
        <v>7110</v>
      </c>
      <c r="I4317" s="109"/>
      <c r="J4317" s="109"/>
      <c r="K4317" s="109"/>
      <c r="L4317" s="109" t="str">
        <f t="shared" si="67"/>
        <v>95-952500064</v>
      </c>
      <c r="M4317" s="114">
        <v>952500064</v>
      </c>
      <c r="N4317" s="114" t="s">
        <v>5676</v>
      </c>
    </row>
    <row r="4318" spans="1:14" ht="18">
      <c r="A4318" s="53" t="s">
        <v>6516</v>
      </c>
      <c r="B4318" s="1" t="s">
        <v>7110</v>
      </c>
      <c r="I4318" s="109"/>
      <c r="J4318" s="109"/>
      <c r="K4318" s="109"/>
      <c r="L4318" s="109" t="str">
        <f t="shared" si="67"/>
        <v>95-952500075</v>
      </c>
      <c r="M4318" s="114">
        <v>952500075</v>
      </c>
      <c r="N4318" s="114" t="s">
        <v>5733</v>
      </c>
    </row>
    <row r="4319" spans="1:14" ht="18">
      <c r="A4319" s="53" t="s">
        <v>6516</v>
      </c>
      <c r="B4319" s="1" t="s">
        <v>7110</v>
      </c>
      <c r="I4319" s="109"/>
      <c r="J4319" s="109"/>
      <c r="K4319" s="109"/>
      <c r="L4319" s="109" t="str">
        <f t="shared" si="67"/>
        <v>96-962500036</v>
      </c>
      <c r="M4319" s="114">
        <v>962500036</v>
      </c>
      <c r="N4319" s="114" t="s">
        <v>5814</v>
      </c>
    </row>
    <row r="4320" spans="1:14" ht="18">
      <c r="A4320" s="53" t="s">
        <v>6516</v>
      </c>
      <c r="B4320" s="1" t="s">
        <v>7110</v>
      </c>
      <c r="I4320" s="109"/>
      <c r="J4320" s="109"/>
      <c r="K4320" s="109"/>
      <c r="L4320" s="109" t="str">
        <f t="shared" si="67"/>
        <v>96-962500125</v>
      </c>
      <c r="M4320" s="114">
        <v>962500125</v>
      </c>
      <c r="N4320" s="114" t="s">
        <v>8080</v>
      </c>
    </row>
    <row r="4321" spans="1:14" ht="18">
      <c r="A4321" s="53" t="s">
        <v>6502</v>
      </c>
      <c r="B4321" s="1" t="s">
        <v>7110</v>
      </c>
      <c r="I4321" s="109"/>
      <c r="J4321" s="109"/>
      <c r="K4321" s="109"/>
      <c r="L4321" s="109" t="str">
        <f t="shared" si="67"/>
        <v>95-952500094</v>
      </c>
      <c r="M4321" s="114">
        <v>952500094</v>
      </c>
      <c r="N4321" s="114" t="s">
        <v>5755</v>
      </c>
    </row>
    <row r="4322" spans="1:14" ht="18">
      <c r="A4322" s="53" t="s">
        <v>6487</v>
      </c>
      <c r="B4322" s="1" t="s">
        <v>7110</v>
      </c>
      <c r="I4322" s="109"/>
      <c r="J4322" s="109"/>
      <c r="K4322" s="109"/>
      <c r="L4322" s="109" t="str">
        <f t="shared" si="67"/>
        <v>95-952500086</v>
      </c>
      <c r="M4322" s="114">
        <v>952500086</v>
      </c>
      <c r="N4322" s="114" t="s">
        <v>5750</v>
      </c>
    </row>
    <row r="4323" spans="1:14" ht="18">
      <c r="A4323" s="53" t="s">
        <v>6517</v>
      </c>
      <c r="B4323" s="1" t="s">
        <v>7110</v>
      </c>
      <c r="I4323" s="109"/>
      <c r="J4323" s="109"/>
      <c r="K4323" s="109"/>
      <c r="L4323" s="109" t="str">
        <f t="shared" si="67"/>
        <v>96-964200006</v>
      </c>
      <c r="M4323" s="114">
        <v>964200006</v>
      </c>
      <c r="N4323" s="114" t="s">
        <v>5801</v>
      </c>
    </row>
    <row r="4324" spans="1:14" ht="18">
      <c r="A4324" s="53" t="s">
        <v>6493</v>
      </c>
      <c r="B4324" s="1" t="s">
        <v>7110</v>
      </c>
      <c r="I4324" s="109"/>
      <c r="J4324" s="109"/>
      <c r="K4324" s="109"/>
      <c r="L4324" s="109" t="str">
        <f t="shared" si="67"/>
        <v>96-962500052</v>
      </c>
      <c r="M4324" s="114">
        <v>962500052</v>
      </c>
      <c r="N4324" s="114" t="s">
        <v>5842</v>
      </c>
    </row>
    <row r="4325" spans="1:14" ht="18.75">
      <c r="A4325" s="80" t="s">
        <v>6518</v>
      </c>
      <c r="B4325" s="1" t="s">
        <v>7110</v>
      </c>
      <c r="I4325" s="109"/>
      <c r="J4325" s="109"/>
      <c r="K4325" s="109"/>
      <c r="L4325" s="109" t="str">
        <f t="shared" si="67"/>
        <v>96-962500075</v>
      </c>
      <c r="M4325" s="114">
        <v>962500075</v>
      </c>
      <c r="N4325" s="114" t="s">
        <v>5842</v>
      </c>
    </row>
    <row r="4326" spans="1:14" ht="18.75">
      <c r="A4326" s="80" t="s">
        <v>6519</v>
      </c>
      <c r="B4326" s="1" t="s">
        <v>7110</v>
      </c>
      <c r="I4326" s="109"/>
      <c r="J4326" s="109"/>
      <c r="K4326" s="109"/>
      <c r="L4326" s="109" t="str">
        <f t="shared" si="67"/>
        <v>96-962500088</v>
      </c>
      <c r="M4326" s="114">
        <v>962500088</v>
      </c>
      <c r="N4326" s="114" t="s">
        <v>5842</v>
      </c>
    </row>
    <row r="4327" spans="1:14" ht="18.75">
      <c r="A4327" s="80" t="s">
        <v>6513</v>
      </c>
      <c r="B4327" s="1" t="s">
        <v>7110</v>
      </c>
      <c r="I4327" s="109"/>
      <c r="J4327" s="109"/>
      <c r="K4327" s="109"/>
      <c r="L4327" s="109" t="str">
        <f t="shared" si="67"/>
        <v>95-952500095</v>
      </c>
      <c r="M4327" s="114">
        <v>952500095</v>
      </c>
      <c r="N4327" s="114" t="s">
        <v>5755</v>
      </c>
    </row>
    <row r="4328" spans="1:14" ht="18.75">
      <c r="A4328" s="80" t="s">
        <v>6519</v>
      </c>
      <c r="B4328" s="1" t="s">
        <v>7110</v>
      </c>
      <c r="I4328" s="109"/>
      <c r="J4328" s="109"/>
      <c r="K4328" s="109"/>
      <c r="L4328" s="109" t="str">
        <f t="shared" si="67"/>
        <v>96-962500022</v>
      </c>
      <c r="M4328" s="114">
        <v>962500022</v>
      </c>
      <c r="N4328" s="114" t="s">
        <v>5808</v>
      </c>
    </row>
    <row r="4329" spans="1:14" ht="18.75">
      <c r="A4329" s="80" t="s">
        <v>6520</v>
      </c>
      <c r="B4329" s="1" t="s">
        <v>7110</v>
      </c>
      <c r="I4329" s="109"/>
      <c r="J4329" s="109"/>
      <c r="K4329" s="109"/>
      <c r="L4329" s="109" t="str">
        <f t="shared" si="67"/>
        <v>96-962500067</v>
      </c>
      <c r="M4329" s="114">
        <v>962500067</v>
      </c>
      <c r="N4329" s="114" t="s">
        <v>5841</v>
      </c>
    </row>
    <row r="4330" spans="1:14" ht="18.75">
      <c r="A4330" s="80" t="s">
        <v>6521</v>
      </c>
      <c r="B4330" s="1" t="s">
        <v>7110</v>
      </c>
      <c r="I4330" s="109"/>
      <c r="J4330" s="109"/>
      <c r="K4330" s="109"/>
      <c r="L4330" s="109" t="str">
        <f t="shared" si="67"/>
        <v>96-962500064</v>
      </c>
      <c r="M4330" s="114">
        <v>962500064</v>
      </c>
      <c r="N4330" s="114" t="s">
        <v>5841</v>
      </c>
    </row>
    <row r="4331" spans="1:14" ht="18.75">
      <c r="A4331" s="80" t="s">
        <v>6522</v>
      </c>
      <c r="B4331" s="1" t="s">
        <v>7110</v>
      </c>
      <c r="I4331" s="109"/>
      <c r="J4331" s="109"/>
      <c r="K4331" s="109"/>
      <c r="L4331" s="109" t="str">
        <f t="shared" si="67"/>
        <v>96-962500084</v>
      </c>
      <c r="M4331" s="114">
        <v>962500084</v>
      </c>
      <c r="N4331" s="114" t="s">
        <v>5841</v>
      </c>
    </row>
    <row r="4332" spans="1:14" ht="18.75">
      <c r="A4332" s="80" t="s">
        <v>6523</v>
      </c>
      <c r="B4332" s="1" t="s">
        <v>7110</v>
      </c>
      <c r="I4332" s="109"/>
      <c r="J4332" s="109"/>
      <c r="K4332" s="109"/>
      <c r="L4332" s="109" t="str">
        <f t="shared" si="67"/>
        <v>96-962500093</v>
      </c>
      <c r="M4332" s="114">
        <v>962500093</v>
      </c>
      <c r="N4332" s="114" t="s">
        <v>5856</v>
      </c>
    </row>
    <row r="4333" spans="1:14" ht="18.75">
      <c r="A4333" s="80" t="s">
        <v>6521</v>
      </c>
      <c r="B4333" s="1" t="s">
        <v>7110</v>
      </c>
      <c r="I4333" s="109"/>
      <c r="J4333" s="109"/>
      <c r="K4333" s="109"/>
      <c r="L4333" s="109" t="str">
        <f t="shared" si="67"/>
        <v>95-954200013</v>
      </c>
      <c r="M4333" s="114">
        <v>954200013</v>
      </c>
      <c r="N4333" s="114" t="s">
        <v>5628</v>
      </c>
    </row>
    <row r="4334" spans="1:14" ht="18.75">
      <c r="A4334" s="80" t="s">
        <v>6524</v>
      </c>
      <c r="B4334" s="1" t="s">
        <v>7110</v>
      </c>
      <c r="I4334" s="109"/>
      <c r="J4334" s="109"/>
      <c r="K4334" s="109"/>
      <c r="L4334" s="109" t="str">
        <f t="shared" si="67"/>
        <v>95-954200041</v>
      </c>
      <c r="M4334" s="114">
        <v>954200041</v>
      </c>
      <c r="N4334" s="114" t="s">
        <v>5649</v>
      </c>
    </row>
    <row r="4335" spans="1:14" ht="18.75">
      <c r="A4335" s="80" t="s">
        <v>6519</v>
      </c>
      <c r="B4335" s="1" t="s">
        <v>7110</v>
      </c>
      <c r="I4335" s="109"/>
      <c r="J4335" s="109"/>
      <c r="K4335" s="109"/>
      <c r="L4335" s="109" t="str">
        <f t="shared" si="67"/>
        <v>95-951500157</v>
      </c>
      <c r="M4335" s="114">
        <v>951500157</v>
      </c>
      <c r="N4335" s="114" t="s">
        <v>5617</v>
      </c>
    </row>
    <row r="4336" spans="1:14" ht="18.75">
      <c r="A4336" s="84" t="s">
        <v>6519</v>
      </c>
      <c r="B4336" s="1" t="s">
        <v>7110</v>
      </c>
      <c r="I4336" s="109"/>
      <c r="J4336" s="109"/>
      <c r="K4336" s="109"/>
      <c r="L4336" s="109" t="str">
        <f t="shared" si="67"/>
        <v>95-951900052</v>
      </c>
      <c r="M4336" s="114">
        <v>951900052</v>
      </c>
      <c r="N4336" s="114" t="s">
        <v>8222</v>
      </c>
    </row>
    <row r="4337" spans="1:14" ht="18.75">
      <c r="A4337" s="84" t="s">
        <v>6519</v>
      </c>
      <c r="B4337" s="1" t="s">
        <v>7110</v>
      </c>
      <c r="I4337" s="109"/>
      <c r="J4337" s="109"/>
      <c r="K4337" s="109"/>
      <c r="L4337" s="109" t="str">
        <f t="shared" si="67"/>
        <v>95-951900117</v>
      </c>
      <c r="M4337" s="114">
        <v>951900117</v>
      </c>
      <c r="N4337" s="114" t="s">
        <v>8223</v>
      </c>
    </row>
    <row r="4338" spans="1:14" ht="18.75">
      <c r="A4338" s="84" t="s">
        <v>6512</v>
      </c>
      <c r="B4338" s="1" t="s">
        <v>7110</v>
      </c>
      <c r="I4338" s="109"/>
      <c r="J4338" s="109"/>
      <c r="K4338" s="109"/>
      <c r="L4338" s="109" t="str">
        <f t="shared" si="67"/>
        <v>95-951900111</v>
      </c>
      <c r="M4338" s="114">
        <v>951900111</v>
      </c>
      <c r="N4338" s="114" t="s">
        <v>7192</v>
      </c>
    </row>
    <row r="4339" spans="1:14" ht="18.75">
      <c r="A4339" s="84" t="s">
        <v>6519</v>
      </c>
      <c r="B4339" s="1" t="s">
        <v>7110</v>
      </c>
      <c r="I4339" s="109"/>
      <c r="J4339" s="109"/>
      <c r="K4339" s="109"/>
      <c r="L4339" s="109" t="str">
        <f t="shared" si="67"/>
        <v>95-951400026</v>
      </c>
      <c r="M4339" s="114">
        <v>951400026</v>
      </c>
      <c r="N4339" s="114" t="s">
        <v>7826</v>
      </c>
    </row>
    <row r="4340" spans="1:14" ht="18.75">
      <c r="A4340" s="84" t="s">
        <v>6512</v>
      </c>
      <c r="B4340" s="1" t="s">
        <v>7110</v>
      </c>
      <c r="I4340" s="109"/>
      <c r="J4340" s="109"/>
      <c r="K4340" s="109"/>
      <c r="L4340" s="109" t="str">
        <f t="shared" si="67"/>
        <v>96-961900010</v>
      </c>
      <c r="M4340" s="114">
        <v>961900010</v>
      </c>
      <c r="N4340" s="114" t="s">
        <v>7598</v>
      </c>
    </row>
    <row r="4341" spans="1:14" ht="18.75">
      <c r="A4341" s="84" t="s">
        <v>6502</v>
      </c>
      <c r="B4341" s="1" t="s">
        <v>7110</v>
      </c>
      <c r="I4341" s="109"/>
      <c r="J4341" s="109"/>
      <c r="K4341" s="109"/>
      <c r="L4341" s="109" t="str">
        <f t="shared" si="67"/>
        <v>95-951700172</v>
      </c>
      <c r="M4341" s="114">
        <v>951700172</v>
      </c>
      <c r="N4341" s="114" t="s">
        <v>7722</v>
      </c>
    </row>
    <row r="4342" spans="1:14" ht="18.75">
      <c r="A4342" s="80" t="s">
        <v>6512</v>
      </c>
      <c r="B4342" s="1" t="s">
        <v>7110</v>
      </c>
      <c r="I4342" s="109"/>
      <c r="J4342" s="109"/>
      <c r="K4342" s="109"/>
      <c r="L4342" s="109" t="str">
        <f t="shared" si="67"/>
        <v>95-951900245</v>
      </c>
      <c r="M4342" s="114">
        <v>951900245</v>
      </c>
      <c r="N4342" s="114" t="s">
        <v>7693</v>
      </c>
    </row>
    <row r="4343" spans="1:14" ht="18.75">
      <c r="A4343" s="80" t="s">
        <v>6525</v>
      </c>
      <c r="B4343" s="1" t="s">
        <v>7110</v>
      </c>
      <c r="I4343" s="109"/>
      <c r="J4343" s="109"/>
      <c r="K4343" s="109"/>
      <c r="L4343" s="109" t="str">
        <f t="shared" si="67"/>
        <v>95-951500016</v>
      </c>
      <c r="M4343" s="114">
        <v>951500016</v>
      </c>
      <c r="N4343" s="114" t="s">
        <v>5605</v>
      </c>
    </row>
    <row r="4344" spans="1:14" ht="18.75">
      <c r="A4344" s="80" t="s">
        <v>6513</v>
      </c>
      <c r="B4344" s="1" t="s">
        <v>7110</v>
      </c>
      <c r="I4344" s="109"/>
      <c r="J4344" s="109"/>
      <c r="K4344" s="109"/>
      <c r="L4344" s="109" t="str">
        <f t="shared" si="67"/>
        <v>95-951500209</v>
      </c>
      <c r="M4344" s="114">
        <v>951500209</v>
      </c>
      <c r="N4344" s="114" t="s">
        <v>5618</v>
      </c>
    </row>
    <row r="4345" spans="1:14" ht="18.75">
      <c r="A4345" s="80" t="s">
        <v>6524</v>
      </c>
      <c r="B4345" s="1" t="s">
        <v>7110</v>
      </c>
      <c r="I4345" s="109"/>
      <c r="J4345" s="109"/>
      <c r="K4345" s="109"/>
      <c r="L4345" s="109" t="str">
        <f t="shared" si="67"/>
        <v>95-951500558</v>
      </c>
      <c r="M4345" s="114">
        <v>951500558</v>
      </c>
      <c r="N4345" s="114" t="s">
        <v>5740</v>
      </c>
    </row>
    <row r="4346" spans="1:14" ht="18.75">
      <c r="A4346" s="80" t="s">
        <v>6523</v>
      </c>
      <c r="B4346" s="1" t="s">
        <v>7110</v>
      </c>
      <c r="I4346" s="109"/>
      <c r="J4346" s="109"/>
      <c r="K4346" s="109"/>
      <c r="L4346" s="109" t="str">
        <f t="shared" si="67"/>
        <v>95-951500112</v>
      </c>
      <c r="M4346" s="114">
        <v>951500112</v>
      </c>
      <c r="N4346" s="114" t="s">
        <v>5612</v>
      </c>
    </row>
    <row r="4347" spans="1:14" ht="18.75">
      <c r="A4347" s="80" t="s">
        <v>6526</v>
      </c>
      <c r="B4347" s="1" t="s">
        <v>7110</v>
      </c>
      <c r="I4347" s="109"/>
      <c r="J4347" s="109"/>
      <c r="K4347" s="109"/>
      <c r="L4347" s="109" t="str">
        <f t="shared" si="67"/>
        <v>95-951500131</v>
      </c>
      <c r="M4347" s="114">
        <v>951500131</v>
      </c>
      <c r="N4347" s="114" t="s">
        <v>5612</v>
      </c>
    </row>
    <row r="4348" spans="1:14" ht="18.75">
      <c r="A4348" s="80" t="s">
        <v>6527</v>
      </c>
      <c r="B4348" s="1" t="s">
        <v>7110</v>
      </c>
      <c r="I4348" s="109"/>
      <c r="J4348" s="109"/>
      <c r="K4348" s="109"/>
      <c r="L4348" s="109" t="str">
        <f t="shared" si="67"/>
        <v>96-961500037</v>
      </c>
      <c r="M4348" s="114">
        <v>961500037</v>
      </c>
      <c r="N4348" s="114" t="s">
        <v>5758</v>
      </c>
    </row>
    <row r="4349" spans="1:14" ht="18.75">
      <c r="A4349" s="80" t="s">
        <v>6528</v>
      </c>
      <c r="B4349" s="1" t="s">
        <v>7110</v>
      </c>
      <c r="I4349" s="109"/>
      <c r="J4349" s="109"/>
      <c r="K4349" s="109"/>
      <c r="L4349" s="109" t="str">
        <f t="shared" si="67"/>
        <v>96-961500239</v>
      </c>
      <c r="M4349" s="114">
        <v>961500239</v>
      </c>
      <c r="N4349" s="114" t="s">
        <v>5813</v>
      </c>
    </row>
    <row r="4350" spans="1:14" ht="18.75">
      <c r="A4350" s="80" t="s">
        <v>6493</v>
      </c>
      <c r="B4350" s="1" t="s">
        <v>7110</v>
      </c>
      <c r="I4350" s="109"/>
      <c r="J4350" s="109"/>
      <c r="K4350" s="109"/>
      <c r="L4350" s="109" t="str">
        <f t="shared" si="67"/>
        <v>96-961500264</v>
      </c>
      <c r="M4350" s="114">
        <v>961500264</v>
      </c>
      <c r="N4350" s="114" t="s">
        <v>5826</v>
      </c>
    </row>
    <row r="4351" spans="1:14" ht="18.75">
      <c r="A4351" s="80" t="s">
        <v>6529</v>
      </c>
      <c r="B4351" s="1" t="s">
        <v>7110</v>
      </c>
      <c r="I4351" s="109"/>
      <c r="J4351" s="109"/>
      <c r="K4351" s="109"/>
      <c r="L4351" s="109" t="str">
        <f t="shared" si="67"/>
        <v>96-961500269</v>
      </c>
      <c r="M4351" s="114">
        <v>961500269</v>
      </c>
      <c r="N4351" s="114" t="s">
        <v>5831</v>
      </c>
    </row>
    <row r="4352" spans="1:14" ht="18.75">
      <c r="A4352" s="80" t="s">
        <v>6530</v>
      </c>
      <c r="B4352" s="1" t="s">
        <v>7110</v>
      </c>
      <c r="I4352" s="109"/>
      <c r="J4352" s="109"/>
      <c r="K4352" s="109"/>
      <c r="L4352" s="109" t="str">
        <f t="shared" si="67"/>
        <v>96-961500304</v>
      </c>
      <c r="M4352" s="114">
        <v>961500304</v>
      </c>
      <c r="N4352" s="114" t="s">
        <v>5826</v>
      </c>
    </row>
    <row r="4353" spans="1:14" ht="18.75">
      <c r="A4353" s="80" t="s">
        <v>6531</v>
      </c>
      <c r="B4353" s="1" t="s">
        <v>7110</v>
      </c>
      <c r="I4353" s="109"/>
      <c r="J4353" s="109"/>
      <c r="K4353" s="109"/>
      <c r="L4353" s="109" t="str">
        <f t="shared" si="67"/>
        <v>95-951800125</v>
      </c>
      <c r="M4353" s="114">
        <v>951800125</v>
      </c>
      <c r="N4353" s="114" t="s">
        <v>7609</v>
      </c>
    </row>
    <row r="4354" spans="1:14" ht="18.75">
      <c r="A4354" s="80" t="s">
        <v>6532</v>
      </c>
      <c r="B4354" s="1" t="s">
        <v>7110</v>
      </c>
      <c r="I4354" s="109"/>
      <c r="J4354" s="109"/>
      <c r="K4354" s="109"/>
      <c r="L4354" s="109" t="str">
        <f t="shared" si="67"/>
        <v>95-951800061</v>
      </c>
      <c r="M4354" s="114">
        <v>951800061</v>
      </c>
      <c r="N4354" s="114" t="s">
        <v>7601</v>
      </c>
    </row>
    <row r="4355" spans="1:14" ht="18.75">
      <c r="A4355" s="80" t="s">
        <v>6531</v>
      </c>
      <c r="B4355" s="1" t="s">
        <v>7110</v>
      </c>
      <c r="I4355" s="109"/>
      <c r="J4355" s="109"/>
      <c r="K4355" s="109"/>
      <c r="L4355" s="109" t="str">
        <f t="shared" ref="L4355:L4418" si="68">MID(M4355,1,2)&amp;"-"&amp;M4355</f>
        <v>95-951900183</v>
      </c>
      <c r="M4355" s="114">
        <v>951900183</v>
      </c>
      <c r="N4355" s="114" t="s">
        <v>7165</v>
      </c>
    </row>
    <row r="4356" spans="1:14" ht="18.75">
      <c r="A4356" s="80" t="s">
        <v>6531</v>
      </c>
      <c r="B4356" s="1" t="s">
        <v>7110</v>
      </c>
      <c r="I4356" s="109"/>
      <c r="J4356" s="109"/>
      <c r="K4356" s="109"/>
      <c r="L4356" s="109" t="str">
        <f t="shared" si="68"/>
        <v>95-951900280</v>
      </c>
      <c r="M4356" s="114">
        <v>951900280</v>
      </c>
      <c r="N4356" s="114" t="s">
        <v>7611</v>
      </c>
    </row>
    <row r="4357" spans="1:14" ht="18.75">
      <c r="A4357" s="80" t="s">
        <v>6533</v>
      </c>
      <c r="B4357" s="1" t="s">
        <v>7110</v>
      </c>
      <c r="I4357" s="109"/>
      <c r="J4357" s="109"/>
      <c r="K4357" s="109"/>
      <c r="L4357" s="109" t="str">
        <f t="shared" si="68"/>
        <v>95-951900285</v>
      </c>
      <c r="M4357" s="114">
        <v>951900285</v>
      </c>
      <c r="N4357" s="114" t="s">
        <v>7652</v>
      </c>
    </row>
    <row r="4358" spans="1:14" ht="18.75">
      <c r="A4358" s="80" t="s">
        <v>6534</v>
      </c>
      <c r="B4358" s="1" t="s">
        <v>7110</v>
      </c>
      <c r="I4358" s="109"/>
      <c r="J4358" s="109"/>
      <c r="K4358" s="109"/>
      <c r="L4358" s="109" t="str">
        <f t="shared" si="68"/>
        <v>95-956300024</v>
      </c>
      <c r="M4358" s="114">
        <v>956300024</v>
      </c>
      <c r="N4358" s="114" t="s">
        <v>8228</v>
      </c>
    </row>
    <row r="4359" spans="1:14" ht="18.75">
      <c r="A4359" s="80" t="s">
        <v>6535</v>
      </c>
      <c r="B4359" s="1" t="s">
        <v>7110</v>
      </c>
      <c r="I4359" s="109"/>
      <c r="J4359" s="109"/>
      <c r="K4359" s="109"/>
      <c r="L4359" s="109" t="str">
        <f t="shared" si="68"/>
        <v>95-951700349</v>
      </c>
      <c r="M4359" s="114">
        <v>951700349</v>
      </c>
      <c r="N4359" s="114" t="s">
        <v>8229</v>
      </c>
    </row>
    <row r="4360" spans="1:14" ht="18.75">
      <c r="A4360" s="80" t="s">
        <v>6536</v>
      </c>
      <c r="B4360" s="1" t="s">
        <v>7110</v>
      </c>
      <c r="I4360" s="109"/>
      <c r="J4360" s="109"/>
      <c r="K4360" s="109"/>
      <c r="L4360" s="109" t="str">
        <f t="shared" si="68"/>
        <v>96-961900163</v>
      </c>
      <c r="M4360" s="114">
        <v>961900163</v>
      </c>
      <c r="N4360" s="114" t="s">
        <v>7212</v>
      </c>
    </row>
    <row r="4361" spans="1:14" ht="18.75">
      <c r="A4361" s="80" t="s">
        <v>6537</v>
      </c>
      <c r="B4361" s="1" t="s">
        <v>7110</v>
      </c>
      <c r="I4361" s="109"/>
      <c r="J4361" s="109"/>
      <c r="K4361" s="109"/>
      <c r="L4361" s="109" t="str">
        <f t="shared" si="68"/>
        <v>96-961900029</v>
      </c>
      <c r="M4361" s="114">
        <v>961900029</v>
      </c>
      <c r="N4361" s="114" t="s">
        <v>7786</v>
      </c>
    </row>
    <row r="4362" spans="1:14" ht="18.75">
      <c r="A4362" s="80" t="s">
        <v>6524</v>
      </c>
      <c r="B4362" s="1" t="s">
        <v>7110</v>
      </c>
      <c r="I4362" s="109"/>
      <c r="J4362" s="109"/>
      <c r="K4362" s="109"/>
      <c r="L4362" s="109" t="str">
        <f t="shared" si="68"/>
        <v>96-961900054</v>
      </c>
      <c r="M4362" s="114">
        <v>961900054</v>
      </c>
      <c r="N4362" s="114" t="s">
        <v>7615</v>
      </c>
    </row>
    <row r="4363" spans="1:14" ht="18.75">
      <c r="A4363" s="80" t="s">
        <v>6538</v>
      </c>
      <c r="B4363" s="1" t="s">
        <v>7110</v>
      </c>
      <c r="I4363" s="109"/>
      <c r="J4363" s="109"/>
      <c r="K4363" s="109"/>
      <c r="L4363" s="109" t="str">
        <f t="shared" si="68"/>
        <v>96-961900056</v>
      </c>
      <c r="M4363" s="114">
        <v>961900056</v>
      </c>
      <c r="N4363" s="114" t="s">
        <v>7615</v>
      </c>
    </row>
    <row r="4364" spans="1:14" ht="18.75">
      <c r="A4364" s="80" t="s">
        <v>6528</v>
      </c>
      <c r="B4364" s="1" t="s">
        <v>7110</v>
      </c>
      <c r="I4364" s="109"/>
      <c r="J4364" s="109"/>
      <c r="K4364" s="109"/>
      <c r="L4364" s="109" t="str">
        <f t="shared" si="68"/>
        <v>96-961900061</v>
      </c>
      <c r="M4364" s="114">
        <v>961900061</v>
      </c>
      <c r="N4364" s="114" t="s">
        <v>8239</v>
      </c>
    </row>
    <row r="4365" spans="1:14" ht="18.75">
      <c r="A4365" s="80" t="s">
        <v>6539</v>
      </c>
      <c r="B4365" s="1" t="s">
        <v>7110</v>
      </c>
      <c r="I4365" s="109"/>
      <c r="J4365" s="109"/>
      <c r="K4365" s="109"/>
      <c r="L4365" s="109" t="str">
        <f t="shared" si="68"/>
        <v>96-961500551</v>
      </c>
      <c r="M4365" s="114">
        <v>961500551</v>
      </c>
      <c r="N4365" s="114" t="s">
        <v>8497</v>
      </c>
    </row>
    <row r="4366" spans="1:14" ht="18.75">
      <c r="A4366" s="80" t="s">
        <v>6527</v>
      </c>
      <c r="B4366" s="1" t="s">
        <v>7110</v>
      </c>
      <c r="I4366" s="109"/>
      <c r="J4366" s="109"/>
      <c r="K4366" s="109"/>
      <c r="L4366" s="109" t="str">
        <f t="shared" si="68"/>
        <v>95-951500231</v>
      </c>
      <c r="M4366" s="114">
        <v>951500231</v>
      </c>
      <c r="N4366" s="114" t="s">
        <v>5632</v>
      </c>
    </row>
    <row r="4367" spans="1:14" ht="18.75">
      <c r="A4367" s="80" t="s">
        <v>6539</v>
      </c>
      <c r="B4367" s="1" t="s">
        <v>7110</v>
      </c>
      <c r="I4367" s="109"/>
      <c r="J4367" s="109"/>
      <c r="K4367" s="109"/>
      <c r="L4367" s="109" t="str">
        <f t="shared" si="68"/>
        <v>95-951500232</v>
      </c>
      <c r="M4367" s="114">
        <v>951500232</v>
      </c>
      <c r="N4367" s="114" t="s">
        <v>5632</v>
      </c>
    </row>
    <row r="4368" spans="1:14" ht="18.75">
      <c r="A4368" s="80" t="s">
        <v>6540</v>
      </c>
      <c r="B4368" s="1" t="s">
        <v>7110</v>
      </c>
      <c r="I4368" s="109"/>
      <c r="J4368" s="109"/>
      <c r="K4368" s="109"/>
      <c r="L4368" s="109" t="str">
        <f t="shared" si="68"/>
        <v>95-951500343</v>
      </c>
      <c r="M4368" s="114">
        <v>951500343</v>
      </c>
      <c r="N4368" s="114" t="s">
        <v>5662</v>
      </c>
    </row>
    <row r="4369" spans="1:14" ht="18.75">
      <c r="A4369" s="80" t="s">
        <v>6522</v>
      </c>
      <c r="B4369" s="1" t="s">
        <v>7110</v>
      </c>
      <c r="I4369" s="109"/>
      <c r="J4369" s="109"/>
      <c r="K4369" s="109"/>
      <c r="L4369" s="109" t="str">
        <f t="shared" si="68"/>
        <v>95-956200267</v>
      </c>
      <c r="M4369" s="114">
        <v>956200267</v>
      </c>
      <c r="N4369" s="114" t="s">
        <v>7918</v>
      </c>
    </row>
    <row r="4370" spans="1:14" ht="18.75">
      <c r="A4370" s="80" t="s">
        <v>6540</v>
      </c>
      <c r="B4370" s="1" t="s">
        <v>7110</v>
      </c>
      <c r="I4370" s="109"/>
      <c r="J4370" s="109"/>
      <c r="K4370" s="109"/>
      <c r="L4370" s="109" t="str">
        <f t="shared" si="68"/>
        <v>96-961900100</v>
      </c>
      <c r="M4370" s="114">
        <v>961900100</v>
      </c>
      <c r="N4370" s="114" t="s">
        <v>7787</v>
      </c>
    </row>
    <row r="4371" spans="1:14" ht="18.75">
      <c r="A4371" s="80" t="s">
        <v>6520</v>
      </c>
      <c r="B4371" s="1" t="s">
        <v>7110</v>
      </c>
      <c r="I4371" s="109"/>
      <c r="J4371" s="109"/>
      <c r="K4371" s="109"/>
      <c r="L4371" s="109" t="str">
        <f t="shared" si="68"/>
        <v>96-961700101</v>
      </c>
      <c r="M4371" s="114">
        <v>961700101</v>
      </c>
      <c r="N4371" s="114" t="s">
        <v>8240</v>
      </c>
    </row>
    <row r="4372" spans="1:14" ht="18.75">
      <c r="A4372" s="80" t="s">
        <v>6520</v>
      </c>
      <c r="B4372" s="1" t="s">
        <v>7110</v>
      </c>
      <c r="I4372" s="109"/>
      <c r="J4372" s="109"/>
      <c r="K4372" s="109"/>
      <c r="L4372" s="109" t="str">
        <f t="shared" si="68"/>
        <v>96-961900174</v>
      </c>
      <c r="M4372" s="114">
        <v>961900174</v>
      </c>
      <c r="N4372" s="114" t="s">
        <v>8752</v>
      </c>
    </row>
    <row r="4373" spans="1:14" ht="18.75">
      <c r="A4373" s="80" t="s">
        <v>6526</v>
      </c>
      <c r="B4373" s="1" t="s">
        <v>7110</v>
      </c>
      <c r="I4373" s="109"/>
      <c r="J4373" s="109"/>
      <c r="K4373" s="109"/>
      <c r="L4373" s="109" t="str">
        <f t="shared" si="68"/>
        <v>96-961100050</v>
      </c>
      <c r="M4373" s="114">
        <v>961100050</v>
      </c>
      <c r="N4373" s="114" t="s">
        <v>8450</v>
      </c>
    </row>
    <row r="4374" spans="1:14" ht="18.75">
      <c r="A4374" s="80" t="s">
        <v>6523</v>
      </c>
      <c r="B4374" s="1" t="s">
        <v>7110</v>
      </c>
      <c r="I4374" s="109"/>
      <c r="J4374" s="109"/>
      <c r="K4374" s="109"/>
      <c r="L4374" s="109" t="str">
        <f t="shared" si="68"/>
        <v>95-952000053</v>
      </c>
      <c r="M4374" s="114">
        <v>952000053</v>
      </c>
      <c r="N4374" s="114" t="s">
        <v>7908</v>
      </c>
    </row>
    <row r="4375" spans="1:14" ht="18.75">
      <c r="A4375" s="80" t="s">
        <v>6519</v>
      </c>
      <c r="B4375" s="1" t="s">
        <v>7110</v>
      </c>
      <c r="I4375" s="109"/>
      <c r="J4375" s="109"/>
      <c r="K4375" s="109"/>
      <c r="L4375" s="109" t="str">
        <f t="shared" si="68"/>
        <v>95-951200020</v>
      </c>
      <c r="M4375" s="114">
        <v>951200020</v>
      </c>
      <c r="N4375" s="114" t="s">
        <v>7172</v>
      </c>
    </row>
    <row r="4376" spans="1:14" ht="18.75">
      <c r="A4376" s="80" t="s">
        <v>6538</v>
      </c>
      <c r="B4376" s="1" t="s">
        <v>7110</v>
      </c>
      <c r="I4376" s="109"/>
      <c r="J4376" s="109"/>
      <c r="K4376" s="109"/>
      <c r="L4376" s="109" t="str">
        <f t="shared" si="68"/>
        <v>95-951200036</v>
      </c>
      <c r="M4376" s="114">
        <v>951200036</v>
      </c>
      <c r="N4376" s="114" t="s">
        <v>7172</v>
      </c>
    </row>
    <row r="4377" spans="1:14" ht="18.75">
      <c r="A4377" s="80" t="s">
        <v>6541</v>
      </c>
      <c r="B4377" s="1" t="s">
        <v>7110</v>
      </c>
      <c r="I4377" s="109"/>
      <c r="J4377" s="109"/>
      <c r="K4377" s="109"/>
      <c r="L4377" s="109" t="str">
        <f t="shared" si="68"/>
        <v>95-956200418</v>
      </c>
      <c r="M4377" s="114">
        <v>956200418</v>
      </c>
      <c r="N4377" s="114" t="s">
        <v>7923</v>
      </c>
    </row>
    <row r="4378" spans="1:14" ht="18.75">
      <c r="A4378" s="80" t="s">
        <v>6541</v>
      </c>
      <c r="B4378" s="1" t="s">
        <v>7110</v>
      </c>
      <c r="I4378" s="109"/>
      <c r="J4378" s="109"/>
      <c r="K4378" s="109"/>
      <c r="L4378" s="109" t="str">
        <f t="shared" si="68"/>
        <v>95-951500575</v>
      </c>
      <c r="M4378" s="114">
        <v>951500575</v>
      </c>
      <c r="N4378" s="114" t="s">
        <v>5753</v>
      </c>
    </row>
    <row r="4379" spans="1:14" ht="18.75">
      <c r="A4379" s="80" t="s">
        <v>6541</v>
      </c>
      <c r="B4379" s="1" t="s">
        <v>7110</v>
      </c>
      <c r="I4379" s="109"/>
      <c r="J4379" s="109"/>
      <c r="K4379" s="109"/>
      <c r="L4379" s="109" t="str">
        <f t="shared" si="68"/>
        <v>95-951500004</v>
      </c>
      <c r="M4379" s="114">
        <v>951500004</v>
      </c>
      <c r="N4379" s="114" t="s">
        <v>5605</v>
      </c>
    </row>
    <row r="4380" spans="1:14" ht="18.75">
      <c r="A4380" s="80" t="s">
        <v>6542</v>
      </c>
      <c r="B4380" s="1" t="s">
        <v>7110</v>
      </c>
      <c r="I4380" s="109"/>
      <c r="J4380" s="109"/>
      <c r="K4380" s="109"/>
      <c r="L4380" s="109" t="str">
        <f t="shared" si="68"/>
        <v>95-951500013</v>
      </c>
      <c r="M4380" s="114">
        <v>951500013</v>
      </c>
      <c r="N4380" s="114" t="s">
        <v>5605</v>
      </c>
    </row>
    <row r="4381" spans="1:14" ht="18.75">
      <c r="A4381" s="80" t="s">
        <v>6541</v>
      </c>
      <c r="B4381" s="1" t="s">
        <v>7110</v>
      </c>
      <c r="I4381" s="109"/>
      <c r="J4381" s="109"/>
      <c r="K4381" s="109"/>
      <c r="L4381" s="109" t="str">
        <f t="shared" si="68"/>
        <v>95-951500156</v>
      </c>
      <c r="M4381" s="114">
        <v>951500156</v>
      </c>
      <c r="N4381" s="114" t="s">
        <v>5618</v>
      </c>
    </row>
    <row r="4382" spans="1:14" ht="18.75">
      <c r="A4382" s="80" t="s">
        <v>6542</v>
      </c>
      <c r="B4382" s="1" t="s">
        <v>7110</v>
      </c>
      <c r="I4382" s="109"/>
      <c r="J4382" s="109"/>
      <c r="K4382" s="109"/>
      <c r="L4382" s="109" t="str">
        <f t="shared" si="68"/>
        <v>95-951500202</v>
      </c>
      <c r="M4382" s="114">
        <v>951500202</v>
      </c>
      <c r="N4382" s="114" t="s">
        <v>5618</v>
      </c>
    </row>
    <row r="4383" spans="1:14" ht="18.75">
      <c r="A4383" s="80" t="s">
        <v>6543</v>
      </c>
      <c r="B4383" s="1" t="s">
        <v>7110</v>
      </c>
      <c r="I4383" s="109"/>
      <c r="J4383" s="109"/>
      <c r="K4383" s="109"/>
      <c r="L4383" s="109" t="str">
        <f t="shared" si="68"/>
        <v>96-962000002</v>
      </c>
      <c r="M4383" s="114">
        <v>962000002</v>
      </c>
      <c r="N4383" s="114" t="s">
        <v>8465</v>
      </c>
    </row>
    <row r="4384" spans="1:14" ht="18.75">
      <c r="A4384" s="80" t="s">
        <v>6542</v>
      </c>
      <c r="B4384" s="1" t="s">
        <v>7110</v>
      </c>
      <c r="I4384" s="109"/>
      <c r="J4384" s="109"/>
      <c r="K4384" s="109"/>
      <c r="L4384" s="109" t="str">
        <f t="shared" si="68"/>
        <v>95-951500097</v>
      </c>
      <c r="M4384" s="114">
        <v>951500097</v>
      </c>
      <c r="N4384" s="114" t="s">
        <v>5612</v>
      </c>
    </row>
    <row r="4385" spans="1:14" ht="18.75">
      <c r="A4385" s="80" t="s">
        <v>6544</v>
      </c>
      <c r="B4385" s="1" t="s">
        <v>7110</v>
      </c>
      <c r="I4385" s="109"/>
      <c r="J4385" s="109"/>
      <c r="K4385" s="109"/>
      <c r="L4385" s="109" t="str">
        <f t="shared" si="68"/>
        <v>96-961500094</v>
      </c>
      <c r="M4385" s="114">
        <v>961500094</v>
      </c>
      <c r="N4385" s="114" t="s">
        <v>5762</v>
      </c>
    </row>
    <row r="4386" spans="1:14" ht="18.75">
      <c r="A4386" s="80" t="s">
        <v>6545</v>
      </c>
      <c r="B4386" s="1" t="s">
        <v>7110</v>
      </c>
      <c r="I4386" s="109"/>
      <c r="J4386" s="109"/>
      <c r="K4386" s="109"/>
      <c r="L4386" s="109" t="str">
        <f t="shared" si="68"/>
        <v>96-961500125</v>
      </c>
      <c r="M4386" s="114">
        <v>961500125</v>
      </c>
      <c r="N4386" s="114" t="s">
        <v>5799</v>
      </c>
    </row>
    <row r="4387" spans="1:14" ht="18.75">
      <c r="A4387" s="80" t="s">
        <v>6545</v>
      </c>
      <c r="B4387" s="1" t="s">
        <v>7110</v>
      </c>
      <c r="I4387" s="109"/>
      <c r="J4387" s="109"/>
      <c r="K4387" s="109"/>
      <c r="L4387" s="109" t="str">
        <f t="shared" si="68"/>
        <v>96-961500270</v>
      </c>
      <c r="M4387" s="114">
        <v>961500270</v>
      </c>
      <c r="N4387" s="114" t="s">
        <v>5826</v>
      </c>
    </row>
    <row r="4388" spans="1:14" ht="18.75">
      <c r="A4388" s="80" t="s">
        <v>6530</v>
      </c>
      <c r="B4388" s="1" t="s">
        <v>7110</v>
      </c>
      <c r="I4388" s="109"/>
      <c r="J4388" s="109"/>
      <c r="K4388" s="109"/>
      <c r="L4388" s="109" t="str">
        <f t="shared" si="68"/>
        <v>96-961500308</v>
      </c>
      <c r="M4388" s="114">
        <v>961500308</v>
      </c>
      <c r="N4388" s="114" t="s">
        <v>5831</v>
      </c>
    </row>
    <row r="4389" spans="1:14" ht="18.75">
      <c r="A4389" s="80" t="s">
        <v>6543</v>
      </c>
      <c r="B4389" s="1" t="s">
        <v>7110</v>
      </c>
      <c r="I4389" s="109"/>
      <c r="J4389" s="109"/>
      <c r="K4389" s="109"/>
      <c r="L4389" s="109" t="str">
        <f t="shared" si="68"/>
        <v>95-951500187</v>
      </c>
      <c r="M4389" s="114">
        <v>951500187</v>
      </c>
      <c r="N4389" s="114" t="s">
        <v>5622</v>
      </c>
    </row>
    <row r="4390" spans="1:14" ht="18.75">
      <c r="A4390" s="80" t="s">
        <v>6545</v>
      </c>
      <c r="B4390" s="1" t="s">
        <v>7110</v>
      </c>
      <c r="I4390" s="109"/>
      <c r="J4390" s="109"/>
      <c r="K4390" s="109"/>
      <c r="L4390" s="109" t="str">
        <f t="shared" si="68"/>
        <v>95-951500424</v>
      </c>
      <c r="M4390" s="114">
        <v>951500424</v>
      </c>
      <c r="N4390" s="114" t="s">
        <v>5690</v>
      </c>
    </row>
    <row r="4391" spans="1:14" ht="18.75">
      <c r="A4391" s="80" t="s">
        <v>6546</v>
      </c>
      <c r="B4391" s="1" t="s">
        <v>7110</v>
      </c>
      <c r="I4391" s="109"/>
      <c r="J4391" s="109"/>
      <c r="K4391" s="109"/>
      <c r="L4391" s="109" t="str">
        <f t="shared" si="68"/>
        <v>95-951500532</v>
      </c>
      <c r="M4391" s="114">
        <v>951500532</v>
      </c>
      <c r="N4391" s="114" t="s">
        <v>5690</v>
      </c>
    </row>
    <row r="4392" spans="1:14" ht="18.75">
      <c r="A4392" s="80" t="s">
        <v>6546</v>
      </c>
      <c r="B4392" s="1" t="s">
        <v>7110</v>
      </c>
      <c r="I4392" s="109"/>
      <c r="J4392" s="109"/>
      <c r="K4392" s="109"/>
      <c r="L4392" s="109" t="str">
        <f t="shared" si="68"/>
        <v>96-961500360</v>
      </c>
      <c r="M4392" s="114">
        <v>961500360</v>
      </c>
      <c r="N4392" s="114" t="s">
        <v>5852</v>
      </c>
    </row>
    <row r="4393" spans="1:14" ht="18.75">
      <c r="A4393" s="80" t="s">
        <v>6546</v>
      </c>
      <c r="B4393" s="1" t="s">
        <v>7110</v>
      </c>
      <c r="I4393" s="109"/>
      <c r="J4393" s="109"/>
      <c r="K4393" s="109"/>
      <c r="L4393" s="109" t="str">
        <f t="shared" si="68"/>
        <v>95-951500309</v>
      </c>
      <c r="M4393" s="114">
        <v>951500309</v>
      </c>
      <c r="N4393" s="114" t="s">
        <v>5662</v>
      </c>
    </row>
    <row r="4394" spans="1:14" ht="18.75">
      <c r="A4394" s="80" t="s">
        <v>6546</v>
      </c>
      <c r="B4394" s="1" t="s">
        <v>7110</v>
      </c>
      <c r="I4394" s="109"/>
      <c r="J4394" s="109"/>
      <c r="K4394" s="109"/>
      <c r="L4394" s="109" t="str">
        <f t="shared" si="68"/>
        <v>95-951500518</v>
      </c>
      <c r="M4394" s="114">
        <v>951500518</v>
      </c>
      <c r="N4394" s="114" t="s">
        <v>5724</v>
      </c>
    </row>
    <row r="4395" spans="1:14" ht="18.75">
      <c r="A4395" s="80" t="s">
        <v>6547</v>
      </c>
      <c r="B4395" s="1" t="s">
        <v>7110</v>
      </c>
      <c r="I4395" s="109"/>
      <c r="J4395" s="109"/>
      <c r="K4395" s="109"/>
      <c r="L4395" s="109" t="str">
        <f t="shared" si="68"/>
        <v>95-951500525</v>
      </c>
      <c r="M4395" s="114">
        <v>951500525</v>
      </c>
      <c r="N4395" s="114" t="s">
        <v>5715</v>
      </c>
    </row>
    <row r="4396" spans="1:14" ht="18.75">
      <c r="A4396" s="80" t="s">
        <v>6548</v>
      </c>
      <c r="B4396" s="1" t="s">
        <v>7110</v>
      </c>
      <c r="I4396" s="109"/>
      <c r="J4396" s="109"/>
      <c r="K4396" s="109"/>
      <c r="L4396" s="109" t="str">
        <f t="shared" si="68"/>
        <v>95-951500536</v>
      </c>
      <c r="M4396" s="114">
        <v>951500536</v>
      </c>
      <c r="N4396" s="114" t="s">
        <v>5715</v>
      </c>
    </row>
    <row r="4397" spans="1:14" ht="18.75">
      <c r="A4397" s="80" t="s">
        <v>6549</v>
      </c>
      <c r="B4397" s="1" t="s">
        <v>7110</v>
      </c>
      <c r="I4397" s="109"/>
      <c r="J4397" s="109"/>
      <c r="K4397" s="109"/>
      <c r="L4397" s="109" t="str">
        <f t="shared" si="68"/>
        <v>95-956200302</v>
      </c>
      <c r="M4397" s="114">
        <v>956200302</v>
      </c>
      <c r="N4397" s="114" t="s">
        <v>7922</v>
      </c>
    </row>
    <row r="4398" spans="1:14" ht="18.75">
      <c r="A4398" s="80" t="s">
        <v>6550</v>
      </c>
      <c r="B4398" s="1" t="s">
        <v>7110</v>
      </c>
      <c r="I4398" s="109"/>
      <c r="J4398" s="109"/>
      <c r="K4398" s="109"/>
      <c r="L4398" s="109" t="str">
        <f t="shared" si="68"/>
        <v>95-956200417</v>
      </c>
      <c r="M4398" s="114">
        <v>956200417</v>
      </c>
      <c r="N4398" s="114" t="s">
        <v>7923</v>
      </c>
    </row>
    <row r="4399" spans="1:14" ht="18.75">
      <c r="A4399" s="80" t="s">
        <v>6546</v>
      </c>
      <c r="B4399" s="1" t="s">
        <v>7110</v>
      </c>
      <c r="I4399" s="109"/>
      <c r="J4399" s="109"/>
      <c r="K4399" s="109"/>
      <c r="L4399" s="109" t="str">
        <f t="shared" si="68"/>
        <v>95-952000019</v>
      </c>
      <c r="M4399" s="114">
        <v>952000019</v>
      </c>
      <c r="N4399" s="114" t="s">
        <v>7904</v>
      </c>
    </row>
    <row r="4400" spans="1:14" ht="18.75">
      <c r="A4400" s="80" t="s">
        <v>6551</v>
      </c>
      <c r="B4400" s="1" t="s">
        <v>7110</v>
      </c>
      <c r="I4400" s="109"/>
      <c r="J4400" s="109"/>
      <c r="K4400" s="109"/>
      <c r="L4400" s="109" t="str">
        <f t="shared" si="68"/>
        <v>95-952000255</v>
      </c>
      <c r="M4400" s="114">
        <v>952000255</v>
      </c>
      <c r="N4400" s="114" t="s">
        <v>8432</v>
      </c>
    </row>
    <row r="4401" spans="1:14" ht="18.75">
      <c r="A4401" s="12" t="s">
        <v>6552</v>
      </c>
      <c r="B4401" s="1" t="s">
        <v>7110</v>
      </c>
      <c r="I4401" s="109"/>
      <c r="J4401" s="109"/>
      <c r="K4401" s="109"/>
      <c r="L4401" s="109" t="str">
        <f t="shared" si="68"/>
        <v>95-952000204</v>
      </c>
      <c r="M4401" s="114">
        <v>952000204</v>
      </c>
      <c r="N4401" s="114" t="s">
        <v>7909</v>
      </c>
    </row>
    <row r="4402" spans="1:14" ht="18.75">
      <c r="A4402" s="12" t="s">
        <v>6553</v>
      </c>
      <c r="B4402" s="1" t="s">
        <v>7110</v>
      </c>
      <c r="I4402" s="109"/>
      <c r="J4402" s="109"/>
      <c r="K4402" s="109"/>
      <c r="L4402" s="109" t="str">
        <f t="shared" si="68"/>
        <v>95-956200215</v>
      </c>
      <c r="M4402" s="114">
        <v>956200215</v>
      </c>
      <c r="N4402" s="114" t="s">
        <v>7919</v>
      </c>
    </row>
    <row r="4403" spans="1:14" ht="18.75">
      <c r="A4403" s="12" t="s">
        <v>6554</v>
      </c>
      <c r="B4403" s="1" t="s">
        <v>7110</v>
      </c>
      <c r="I4403" s="109"/>
      <c r="J4403" s="109"/>
      <c r="K4403" s="109"/>
      <c r="L4403" s="109" t="str">
        <f t="shared" si="68"/>
        <v>95-951500132</v>
      </c>
      <c r="M4403" s="114">
        <v>951500132</v>
      </c>
      <c r="N4403" s="114" t="s">
        <v>5618</v>
      </c>
    </row>
    <row r="4404" spans="1:14" ht="18.75">
      <c r="A4404" s="12" t="s">
        <v>6555</v>
      </c>
      <c r="B4404" s="1" t="s">
        <v>7110</v>
      </c>
      <c r="I4404" s="109"/>
      <c r="J4404" s="109"/>
      <c r="K4404" s="109"/>
      <c r="L4404" s="109" t="str">
        <f t="shared" si="68"/>
        <v>95-951500304</v>
      </c>
      <c r="M4404" s="114">
        <v>951500304</v>
      </c>
      <c r="N4404" s="114" t="s">
        <v>5628</v>
      </c>
    </row>
    <row r="4405" spans="1:14" ht="18.75">
      <c r="A4405" s="12" t="s">
        <v>6556</v>
      </c>
      <c r="B4405" s="1" t="s">
        <v>7110</v>
      </c>
      <c r="I4405" s="109"/>
      <c r="J4405" s="109"/>
      <c r="K4405" s="109"/>
      <c r="L4405" s="109" t="str">
        <f t="shared" si="68"/>
        <v>95-951500300</v>
      </c>
      <c r="M4405" s="114">
        <v>951500300</v>
      </c>
      <c r="N4405" s="114" t="s">
        <v>5659</v>
      </c>
    </row>
    <row r="4406" spans="1:14" ht="18.75">
      <c r="A4406" s="12" t="s">
        <v>6557</v>
      </c>
      <c r="B4406" s="1" t="s">
        <v>7110</v>
      </c>
      <c r="I4406" s="109"/>
      <c r="J4406" s="109"/>
      <c r="K4406" s="109"/>
      <c r="L4406" s="109" t="str">
        <f t="shared" si="68"/>
        <v>95-951500330</v>
      </c>
      <c r="M4406" s="114">
        <v>951500330</v>
      </c>
      <c r="N4406" s="114" t="s">
        <v>5659</v>
      </c>
    </row>
    <row r="4407" spans="1:14" ht="18.75">
      <c r="A4407" s="12" t="s">
        <v>6558</v>
      </c>
      <c r="B4407" s="1" t="s">
        <v>7110</v>
      </c>
      <c r="I4407" s="109"/>
      <c r="J4407" s="109"/>
      <c r="K4407" s="109"/>
      <c r="L4407" s="109" t="str">
        <f t="shared" si="68"/>
        <v>95-951500335</v>
      </c>
      <c r="M4407" s="114">
        <v>951500335</v>
      </c>
      <c r="N4407" s="114" t="s">
        <v>5659</v>
      </c>
    </row>
    <row r="4408" spans="1:14" ht="18.75">
      <c r="A4408" s="12" t="s">
        <v>6559</v>
      </c>
      <c r="B4408" s="1" t="s">
        <v>7110</v>
      </c>
      <c r="I4408" s="109"/>
      <c r="J4408" s="109"/>
      <c r="K4408" s="109"/>
      <c r="L4408" s="109" t="str">
        <f t="shared" si="68"/>
        <v>95-951500339</v>
      </c>
      <c r="M4408" s="114">
        <v>951500339</v>
      </c>
      <c r="N4408" s="114" t="s">
        <v>5659</v>
      </c>
    </row>
    <row r="4409" spans="1:14" ht="18.75">
      <c r="A4409" s="12" t="s">
        <v>6557</v>
      </c>
      <c r="B4409" s="1" t="s">
        <v>7110</v>
      </c>
      <c r="I4409" s="109"/>
      <c r="J4409" s="109"/>
      <c r="K4409" s="109"/>
      <c r="L4409" s="109" t="str">
        <f t="shared" si="68"/>
        <v>95-956200029</v>
      </c>
      <c r="M4409" s="114">
        <v>956200029</v>
      </c>
      <c r="N4409" s="114" t="s">
        <v>8434</v>
      </c>
    </row>
    <row r="4410" spans="1:14" ht="18.75">
      <c r="A4410" s="12" t="s">
        <v>6556</v>
      </c>
      <c r="B4410" s="1" t="s">
        <v>7110</v>
      </c>
      <c r="I4410" s="109"/>
      <c r="J4410" s="109"/>
      <c r="K4410" s="109"/>
      <c r="L4410" s="109" t="str">
        <f t="shared" si="68"/>
        <v>96-966200308</v>
      </c>
      <c r="M4410" s="114">
        <v>966200308</v>
      </c>
      <c r="N4410" s="114" t="s">
        <v>8742</v>
      </c>
    </row>
    <row r="4411" spans="1:14" ht="18.75">
      <c r="A4411" s="12" t="s">
        <v>6560</v>
      </c>
      <c r="B4411" s="1" t="s">
        <v>7110</v>
      </c>
      <c r="I4411" s="109"/>
      <c r="J4411" s="109"/>
      <c r="K4411" s="109"/>
      <c r="L4411" s="109" t="str">
        <f t="shared" si="68"/>
        <v>95-956200039</v>
      </c>
      <c r="M4411" s="114">
        <v>956200039</v>
      </c>
      <c r="N4411" s="114" t="s">
        <v>7953</v>
      </c>
    </row>
    <row r="4412" spans="1:14" ht="18.75">
      <c r="A4412" s="12" t="s">
        <v>6556</v>
      </c>
      <c r="B4412" s="1" t="s">
        <v>7110</v>
      </c>
      <c r="I4412" s="109"/>
      <c r="J4412" s="109"/>
      <c r="K4412" s="109"/>
      <c r="L4412" s="109" t="str">
        <f t="shared" si="68"/>
        <v>95-952000207</v>
      </c>
      <c r="M4412" s="114">
        <v>952000207</v>
      </c>
      <c r="N4412" s="114" t="s">
        <v>7909</v>
      </c>
    </row>
    <row r="4413" spans="1:14" ht="18.75">
      <c r="A4413" s="12" t="s">
        <v>6561</v>
      </c>
      <c r="B4413" s="1" t="s">
        <v>7110</v>
      </c>
      <c r="I4413" s="109"/>
      <c r="J4413" s="109"/>
      <c r="K4413" s="109"/>
      <c r="L4413" s="109" t="str">
        <f t="shared" si="68"/>
        <v>95-952000022</v>
      </c>
      <c r="M4413" s="114">
        <v>952000022</v>
      </c>
      <c r="N4413" s="114" t="s">
        <v>7904</v>
      </c>
    </row>
    <row r="4414" spans="1:14" ht="18.75">
      <c r="A4414" s="12" t="s">
        <v>6561</v>
      </c>
      <c r="B4414" s="1" t="s">
        <v>7110</v>
      </c>
      <c r="I4414" s="109"/>
      <c r="J4414" s="109"/>
      <c r="K4414" s="109"/>
      <c r="L4414" s="109" t="str">
        <f t="shared" si="68"/>
        <v>95-952000206</v>
      </c>
      <c r="M4414" s="114">
        <v>952000206</v>
      </c>
      <c r="N4414" s="114" t="s">
        <v>7909</v>
      </c>
    </row>
    <row r="4415" spans="1:14" ht="18.75">
      <c r="A4415" s="12" t="s">
        <v>6561</v>
      </c>
      <c r="B4415" s="1" t="s">
        <v>7110</v>
      </c>
      <c r="I4415" s="109"/>
      <c r="J4415" s="109"/>
      <c r="K4415" s="109"/>
      <c r="L4415" s="109" t="str">
        <f t="shared" si="68"/>
        <v>95-952000010</v>
      </c>
      <c r="M4415" s="114">
        <v>952000010</v>
      </c>
      <c r="N4415" s="114" t="s">
        <v>7904</v>
      </c>
    </row>
    <row r="4416" spans="1:14" ht="18.75">
      <c r="A4416" s="12" t="s">
        <v>6561</v>
      </c>
      <c r="B4416" s="1" t="s">
        <v>7110</v>
      </c>
      <c r="I4416" s="109"/>
      <c r="J4416" s="109"/>
      <c r="K4416" s="109"/>
      <c r="L4416" s="109" t="str">
        <f t="shared" si="68"/>
        <v>95-952000211</v>
      </c>
      <c r="M4416" s="114">
        <v>952000211</v>
      </c>
      <c r="N4416" s="114" t="s">
        <v>7909</v>
      </c>
    </row>
    <row r="4417" spans="1:14" ht="18.75">
      <c r="A4417" s="12" t="s">
        <v>6561</v>
      </c>
      <c r="B4417" s="1" t="s">
        <v>7110</v>
      </c>
      <c r="I4417" s="109"/>
      <c r="J4417" s="109"/>
      <c r="K4417" s="109"/>
      <c r="L4417" s="109" t="str">
        <f t="shared" si="68"/>
        <v>95-956200144</v>
      </c>
      <c r="M4417" s="114">
        <v>956200144</v>
      </c>
      <c r="N4417" s="114" t="s">
        <v>8467</v>
      </c>
    </row>
    <row r="4418" spans="1:14" ht="18.75">
      <c r="A4418" s="12" t="s">
        <v>6561</v>
      </c>
      <c r="B4418" s="1" t="s">
        <v>7110</v>
      </c>
      <c r="I4418" s="109"/>
      <c r="J4418" s="109"/>
      <c r="K4418" s="109"/>
      <c r="L4418" s="109" t="str">
        <f t="shared" si="68"/>
        <v>95-956200147</v>
      </c>
      <c r="M4418" s="114">
        <v>956200147</v>
      </c>
      <c r="N4418" s="114" t="s">
        <v>8468</v>
      </c>
    </row>
    <row r="4419" spans="1:14" ht="18.75">
      <c r="A4419" s="12" t="s">
        <v>6554</v>
      </c>
      <c r="B4419" s="1" t="s">
        <v>7110</v>
      </c>
      <c r="I4419" s="109"/>
      <c r="J4419" s="109"/>
      <c r="K4419" s="109"/>
      <c r="L4419" s="109" t="str">
        <f t="shared" ref="L4419:L4482" si="69">MID(M4419,1,2)&amp;"-"&amp;M4419</f>
        <v>95-956200175</v>
      </c>
      <c r="M4419" s="114">
        <v>956200175</v>
      </c>
      <c r="N4419" s="114" t="s">
        <v>7938</v>
      </c>
    </row>
    <row r="4420" spans="1:14" ht="18.75">
      <c r="A4420" s="12" t="s">
        <v>6554</v>
      </c>
      <c r="B4420" s="1" t="s">
        <v>7110</v>
      </c>
      <c r="I4420" s="109"/>
      <c r="J4420" s="109"/>
      <c r="K4420" s="109"/>
      <c r="L4420" s="109" t="str">
        <f t="shared" si="69"/>
        <v>95-956200191</v>
      </c>
      <c r="M4420" s="114">
        <v>956200191</v>
      </c>
      <c r="N4420" s="114" t="s">
        <v>8469</v>
      </c>
    </row>
    <row r="4421" spans="1:14" ht="18.75">
      <c r="A4421" s="12" t="s">
        <v>6560</v>
      </c>
      <c r="B4421" s="1" t="s">
        <v>7110</v>
      </c>
      <c r="I4421" s="109"/>
      <c r="J4421" s="109"/>
      <c r="K4421" s="109"/>
      <c r="L4421" s="109" t="str">
        <f t="shared" si="69"/>
        <v>95-956200192</v>
      </c>
      <c r="M4421" s="114">
        <v>956200192</v>
      </c>
      <c r="N4421" s="114" t="s">
        <v>8469</v>
      </c>
    </row>
    <row r="4422" spans="1:14" ht="18.75">
      <c r="A4422" s="12" t="s">
        <v>6554</v>
      </c>
      <c r="B4422" s="1" t="s">
        <v>7110</v>
      </c>
      <c r="I4422" s="109"/>
      <c r="J4422" s="109"/>
      <c r="K4422" s="109"/>
      <c r="L4422" s="109" t="str">
        <f t="shared" si="69"/>
        <v>96-966200191</v>
      </c>
      <c r="M4422" s="114">
        <v>966200191</v>
      </c>
      <c r="N4422" s="114" t="s">
        <v>8435</v>
      </c>
    </row>
    <row r="4423" spans="1:14" ht="18.75">
      <c r="A4423" s="12" t="s">
        <v>6554</v>
      </c>
      <c r="B4423" s="1" t="s">
        <v>7110</v>
      </c>
      <c r="I4423" s="109"/>
      <c r="J4423" s="109"/>
      <c r="K4423" s="109"/>
      <c r="L4423" s="109" t="str">
        <f t="shared" si="69"/>
        <v>96-966200338</v>
      </c>
      <c r="M4423" s="114">
        <v>966200338</v>
      </c>
      <c r="N4423" s="114" t="s">
        <v>8741</v>
      </c>
    </row>
    <row r="4424" spans="1:14" ht="18.75">
      <c r="A4424" s="12" t="s">
        <v>6560</v>
      </c>
      <c r="B4424" s="1" t="s">
        <v>7110</v>
      </c>
      <c r="I4424" s="109"/>
      <c r="J4424" s="109"/>
      <c r="K4424" s="109"/>
      <c r="L4424" s="109" t="str">
        <f t="shared" si="69"/>
        <v>95-956200343</v>
      </c>
      <c r="M4424" s="114">
        <v>956200343</v>
      </c>
      <c r="N4424" s="114" t="s">
        <v>7949</v>
      </c>
    </row>
    <row r="4425" spans="1:14" ht="18.75">
      <c r="A4425" s="12" t="s">
        <v>6558</v>
      </c>
      <c r="B4425" s="1" t="s">
        <v>7110</v>
      </c>
      <c r="I4425" s="109"/>
      <c r="J4425" s="109"/>
      <c r="K4425" s="109"/>
      <c r="L4425" s="109" t="str">
        <f t="shared" si="69"/>
        <v>95-956200231</v>
      </c>
      <c r="M4425" s="114">
        <v>956200231</v>
      </c>
      <c r="N4425" s="114" t="s">
        <v>8451</v>
      </c>
    </row>
    <row r="4426" spans="1:14" ht="18.75">
      <c r="A4426" s="12" t="s">
        <v>6562</v>
      </c>
      <c r="B4426" s="1" t="s">
        <v>7110</v>
      </c>
      <c r="I4426" s="109"/>
      <c r="J4426" s="109"/>
      <c r="K4426" s="109"/>
      <c r="L4426" s="109" t="str">
        <f t="shared" si="69"/>
        <v>95-956200199</v>
      </c>
      <c r="M4426" s="114">
        <v>956200199</v>
      </c>
      <c r="N4426" s="114" t="s">
        <v>7879</v>
      </c>
    </row>
    <row r="4427" spans="1:14" ht="18.75">
      <c r="A4427" s="12" t="s">
        <v>1357</v>
      </c>
      <c r="B4427" s="1" t="s">
        <v>7110</v>
      </c>
      <c r="I4427" s="109"/>
      <c r="J4427" s="109"/>
      <c r="K4427" s="109"/>
      <c r="L4427" s="109" t="str">
        <f t="shared" si="69"/>
        <v>95-956200217</v>
      </c>
      <c r="M4427" s="114">
        <v>956200217</v>
      </c>
      <c r="N4427" s="114" t="s">
        <v>7919</v>
      </c>
    </row>
    <row r="4428" spans="1:14" ht="18.75">
      <c r="A4428" s="12" t="s">
        <v>1358</v>
      </c>
      <c r="B4428" s="1" t="s">
        <v>7110</v>
      </c>
      <c r="I4428" s="109"/>
      <c r="J4428" s="109"/>
      <c r="K4428" s="109"/>
      <c r="L4428" s="109" t="str">
        <f t="shared" si="69"/>
        <v>95-956200317</v>
      </c>
      <c r="M4428" s="114">
        <v>956200317</v>
      </c>
      <c r="N4428" s="114" t="s">
        <v>7880</v>
      </c>
    </row>
    <row r="4429" spans="1:14" ht="18.75">
      <c r="A4429" s="12" t="s">
        <v>1362</v>
      </c>
      <c r="B4429" s="1" t="s">
        <v>7110</v>
      </c>
      <c r="I4429" s="109"/>
      <c r="J4429" s="109"/>
      <c r="K4429" s="109"/>
      <c r="L4429" s="109" t="str">
        <f t="shared" si="69"/>
        <v>95-956200283</v>
      </c>
      <c r="M4429" s="114">
        <v>956200283</v>
      </c>
      <c r="N4429" s="114" t="s">
        <v>8430</v>
      </c>
    </row>
    <row r="4430" spans="1:14" ht="18.75">
      <c r="A4430" s="12" t="s">
        <v>1371</v>
      </c>
      <c r="B4430" s="1" t="s">
        <v>7110</v>
      </c>
      <c r="I4430" s="109"/>
      <c r="J4430" s="109"/>
      <c r="K4430" s="109"/>
      <c r="L4430" s="109" t="str">
        <f t="shared" si="69"/>
        <v>95-956200232</v>
      </c>
      <c r="M4430" s="114">
        <v>956200232</v>
      </c>
      <c r="N4430" s="114" t="s">
        <v>8451</v>
      </c>
    </row>
    <row r="4431" spans="1:14" ht="18.75">
      <c r="A4431" s="12" t="s">
        <v>1357</v>
      </c>
      <c r="B4431" s="1" t="s">
        <v>7110</v>
      </c>
      <c r="I4431" s="109"/>
      <c r="J4431" s="109"/>
      <c r="K4431" s="109"/>
      <c r="L4431" s="109" t="str">
        <f t="shared" si="69"/>
        <v>95-956200233</v>
      </c>
      <c r="M4431" s="114">
        <v>956200233</v>
      </c>
      <c r="N4431" s="114" t="s">
        <v>8451</v>
      </c>
    </row>
    <row r="4432" spans="1:14" ht="18.75">
      <c r="A4432" s="12" t="s">
        <v>1372</v>
      </c>
      <c r="B4432" s="1" t="s">
        <v>7110</v>
      </c>
      <c r="I4432" s="109"/>
      <c r="J4432" s="109"/>
      <c r="K4432" s="109"/>
      <c r="L4432" s="109" t="str">
        <f t="shared" si="69"/>
        <v>95-956200276</v>
      </c>
      <c r="M4432" s="114">
        <v>956200276</v>
      </c>
      <c r="N4432" s="114" t="s">
        <v>7918</v>
      </c>
    </row>
    <row r="4433" spans="1:14" ht="18.75">
      <c r="A4433" s="12" t="s">
        <v>1380</v>
      </c>
      <c r="B4433" s="1" t="s">
        <v>7110</v>
      </c>
      <c r="I4433" s="109"/>
      <c r="J4433" s="109"/>
      <c r="K4433" s="109"/>
      <c r="L4433" s="109" t="str">
        <f t="shared" si="69"/>
        <v>95-956200424</v>
      </c>
      <c r="M4433" s="114">
        <v>956200424</v>
      </c>
      <c r="N4433" s="114" t="s">
        <v>7923</v>
      </c>
    </row>
    <row r="4434" spans="1:14" ht="18.75">
      <c r="A4434" s="12" t="s">
        <v>1381</v>
      </c>
      <c r="B4434" s="1" t="s">
        <v>7110</v>
      </c>
      <c r="I4434" s="109"/>
      <c r="J4434" s="109"/>
      <c r="K4434" s="109"/>
      <c r="L4434" s="109" t="str">
        <f t="shared" si="69"/>
        <v>96-966200302</v>
      </c>
      <c r="M4434" s="114">
        <v>966200302</v>
      </c>
      <c r="N4434" s="114" t="s">
        <v>7195</v>
      </c>
    </row>
    <row r="4435" spans="1:14" ht="18.75">
      <c r="A4435" s="12" t="s">
        <v>1399</v>
      </c>
      <c r="B4435" s="1" t="s">
        <v>7110</v>
      </c>
      <c r="I4435" s="109"/>
      <c r="J4435" s="109"/>
      <c r="K4435" s="109"/>
      <c r="L4435" s="109" t="str">
        <f t="shared" si="69"/>
        <v>96-961500171</v>
      </c>
      <c r="M4435" s="114">
        <v>961500171</v>
      </c>
      <c r="N4435" s="114" t="s">
        <v>5810</v>
      </c>
    </row>
    <row r="4436" spans="1:14" ht="18.75">
      <c r="A4436" s="12" t="s">
        <v>1410</v>
      </c>
      <c r="B4436" s="1" t="s">
        <v>7110</v>
      </c>
      <c r="I4436" s="109"/>
      <c r="J4436" s="109"/>
      <c r="K4436" s="109"/>
      <c r="L4436" s="109" t="str">
        <f t="shared" si="69"/>
        <v>96-961500250</v>
      </c>
      <c r="M4436" s="114">
        <v>961500250</v>
      </c>
      <c r="N4436" s="114" t="s">
        <v>5814</v>
      </c>
    </row>
    <row r="4437" spans="1:14" ht="18.75">
      <c r="A4437" s="12" t="s">
        <v>1420</v>
      </c>
      <c r="B4437" s="1" t="s">
        <v>7110</v>
      </c>
      <c r="I4437" s="109"/>
      <c r="J4437" s="109"/>
      <c r="K4437" s="109"/>
      <c r="L4437" s="109" t="str">
        <f t="shared" si="69"/>
        <v>96-961500508</v>
      </c>
      <c r="M4437" s="114">
        <v>961500508</v>
      </c>
      <c r="N4437" s="114" t="s">
        <v>7111</v>
      </c>
    </row>
    <row r="4438" spans="1:14" ht="18.75">
      <c r="A4438" s="12" t="s">
        <v>1461</v>
      </c>
      <c r="B4438" s="1" t="s">
        <v>7110</v>
      </c>
      <c r="I4438" s="109"/>
      <c r="J4438" s="109"/>
      <c r="K4438" s="109"/>
      <c r="L4438" s="109" t="str">
        <f t="shared" si="69"/>
        <v>95-951500084</v>
      </c>
      <c r="M4438" s="114">
        <v>951500084</v>
      </c>
      <c r="N4438" s="114" t="s">
        <v>5608</v>
      </c>
    </row>
    <row r="4439" spans="1:14" ht="18.75">
      <c r="A4439" s="12" t="s">
        <v>1466</v>
      </c>
      <c r="B4439" s="1" t="s">
        <v>7110</v>
      </c>
      <c r="I4439" s="109"/>
      <c r="J4439" s="109"/>
      <c r="K4439" s="109"/>
      <c r="L4439" s="109" t="str">
        <f t="shared" si="69"/>
        <v>95-951500119</v>
      </c>
      <c r="M4439" s="114">
        <v>951500119</v>
      </c>
      <c r="N4439" s="114" t="s">
        <v>5608</v>
      </c>
    </row>
    <row r="4440" spans="1:14" ht="18.75">
      <c r="A4440" s="12" t="s">
        <v>1467</v>
      </c>
      <c r="B4440" s="1" t="s">
        <v>7110</v>
      </c>
      <c r="I4440" s="109"/>
      <c r="J4440" s="109"/>
      <c r="K4440" s="109"/>
      <c r="L4440" s="109" t="str">
        <f t="shared" si="69"/>
        <v>95-951500435</v>
      </c>
      <c r="M4440" s="114">
        <v>951500435</v>
      </c>
      <c r="N4440" s="114" t="s">
        <v>5690</v>
      </c>
    </row>
    <row r="4441" spans="1:14" ht="18.75">
      <c r="A4441" s="12" t="s">
        <v>1468</v>
      </c>
      <c r="B4441" s="1" t="s">
        <v>7110</v>
      </c>
      <c r="I4441" s="109"/>
      <c r="J4441" s="109"/>
      <c r="K4441" s="109"/>
      <c r="L4441" s="109" t="str">
        <f t="shared" si="69"/>
        <v>95-951500443</v>
      </c>
      <c r="M4441" s="114">
        <v>951500443</v>
      </c>
      <c r="N4441" s="114" t="s">
        <v>5690</v>
      </c>
    </row>
    <row r="4442" spans="1:14" ht="18.75">
      <c r="A4442" s="12" t="s">
        <v>1461</v>
      </c>
      <c r="B4442" s="1" t="s">
        <v>7110</v>
      </c>
      <c r="I4442" s="109"/>
      <c r="J4442" s="109"/>
      <c r="K4442" s="109"/>
      <c r="L4442" s="109" t="str">
        <f t="shared" si="69"/>
        <v>95-951500006</v>
      </c>
      <c r="M4442" s="114">
        <v>951500006</v>
      </c>
      <c r="N4442" s="114" t="s">
        <v>5610</v>
      </c>
    </row>
    <row r="4443" spans="1:14" ht="18.75">
      <c r="A4443" s="12" t="s">
        <v>1371</v>
      </c>
      <c r="B4443" s="1" t="s">
        <v>7110</v>
      </c>
      <c r="I4443" s="109"/>
      <c r="J4443" s="109"/>
      <c r="K4443" s="109"/>
      <c r="L4443" s="109" t="str">
        <f t="shared" si="69"/>
        <v>95-951500268</v>
      </c>
      <c r="M4443" s="114">
        <v>951500268</v>
      </c>
      <c r="N4443" s="114" t="s">
        <v>5653</v>
      </c>
    </row>
    <row r="4444" spans="1:14" ht="18.75">
      <c r="A4444" s="12" t="s">
        <v>1357</v>
      </c>
      <c r="B4444" s="1" t="s">
        <v>7110</v>
      </c>
      <c r="I4444" s="109"/>
      <c r="J4444" s="109"/>
      <c r="K4444" s="109"/>
      <c r="L4444" s="109" t="str">
        <f t="shared" si="69"/>
        <v>95-951100108</v>
      </c>
      <c r="M4444" s="114">
        <v>951100108</v>
      </c>
      <c r="N4444" s="114" t="s">
        <v>8471</v>
      </c>
    </row>
    <row r="4445" spans="1:14" ht="18.75">
      <c r="A4445" s="12" t="s">
        <v>1399</v>
      </c>
      <c r="B4445" s="1" t="s">
        <v>7110</v>
      </c>
      <c r="I4445" s="109"/>
      <c r="J4445" s="109"/>
      <c r="K4445" s="109"/>
      <c r="L4445" s="109" t="str">
        <f t="shared" si="69"/>
        <v>95-951700080</v>
      </c>
      <c r="M4445" s="114">
        <v>951700080</v>
      </c>
      <c r="N4445" s="114" t="s">
        <v>8476</v>
      </c>
    </row>
    <row r="4446" spans="1:14" ht="18.75">
      <c r="A4446" s="12" t="s">
        <v>1478</v>
      </c>
      <c r="B4446" s="1" t="s">
        <v>7110</v>
      </c>
      <c r="I4446" s="109"/>
      <c r="J4446" s="109"/>
      <c r="K4446" s="109"/>
      <c r="L4446" s="109" t="str">
        <f t="shared" si="69"/>
        <v>95-951400038</v>
      </c>
      <c r="M4446" s="114">
        <v>951400038</v>
      </c>
      <c r="N4446" s="114" t="s">
        <v>7221</v>
      </c>
    </row>
    <row r="4447" spans="1:14" ht="18.75">
      <c r="A4447" s="12" t="s">
        <v>1486</v>
      </c>
      <c r="B4447" s="1" t="s">
        <v>7110</v>
      </c>
      <c r="I4447" s="109"/>
      <c r="J4447" s="109"/>
      <c r="K4447" s="109"/>
      <c r="L4447" s="109" t="str">
        <f t="shared" si="69"/>
        <v>95-951500527</v>
      </c>
      <c r="M4447" s="114">
        <v>951500527</v>
      </c>
      <c r="N4447" s="114" t="s">
        <v>5724</v>
      </c>
    </row>
    <row r="4448" spans="1:14" ht="18.75">
      <c r="A4448" s="12" t="s">
        <v>1487</v>
      </c>
      <c r="B4448" s="1" t="s">
        <v>7110</v>
      </c>
      <c r="I4448" s="109"/>
      <c r="J4448" s="109"/>
      <c r="K4448" s="109"/>
      <c r="L4448" s="109" t="str">
        <f t="shared" si="69"/>
        <v>96-961500082</v>
      </c>
      <c r="M4448" s="114">
        <v>961500082</v>
      </c>
      <c r="N4448" s="114" t="s">
        <v>5794</v>
      </c>
    </row>
    <row r="4449" spans="1:14" ht="18.75">
      <c r="A4449" s="12" t="s">
        <v>1490</v>
      </c>
      <c r="B4449" s="1" t="s">
        <v>7110</v>
      </c>
      <c r="I4449" s="109"/>
      <c r="J4449" s="109"/>
      <c r="K4449" s="109"/>
      <c r="L4449" s="109" t="str">
        <f t="shared" si="69"/>
        <v>95-951500511</v>
      </c>
      <c r="M4449" s="114">
        <v>951500511</v>
      </c>
      <c r="N4449" s="114" t="s">
        <v>5715</v>
      </c>
    </row>
    <row r="4450" spans="1:14" ht="18.75">
      <c r="A4450" s="12" t="s">
        <v>1410</v>
      </c>
      <c r="B4450" s="1" t="s">
        <v>7110</v>
      </c>
      <c r="I4450" s="109"/>
      <c r="J4450" s="109"/>
      <c r="K4450" s="109"/>
      <c r="L4450" s="109" t="str">
        <f t="shared" si="69"/>
        <v>95-952000034</v>
      </c>
      <c r="M4450" s="114">
        <v>952000034</v>
      </c>
      <c r="N4450" s="114" t="s">
        <v>7904</v>
      </c>
    </row>
    <row r="4451" spans="1:14" ht="18.75">
      <c r="A4451" s="12" t="s">
        <v>1372</v>
      </c>
      <c r="B4451" s="1" t="s">
        <v>7110</v>
      </c>
      <c r="I4451" s="109"/>
      <c r="J4451" s="109"/>
      <c r="K4451" s="109"/>
      <c r="L4451" s="109" t="str">
        <f t="shared" si="69"/>
        <v>95-952000012</v>
      </c>
      <c r="M4451" s="114">
        <v>952000012</v>
      </c>
      <c r="N4451" s="114" t="s">
        <v>7934</v>
      </c>
    </row>
    <row r="4452" spans="1:14" ht="18.75">
      <c r="A4452" s="12" t="s">
        <v>1510</v>
      </c>
      <c r="B4452" s="1" t="s">
        <v>7110</v>
      </c>
      <c r="I4452" s="109"/>
      <c r="J4452" s="109"/>
      <c r="K4452" s="109"/>
      <c r="L4452" s="109" t="str">
        <f t="shared" si="69"/>
        <v>95-951100169</v>
      </c>
      <c r="M4452" s="114">
        <v>951100169</v>
      </c>
      <c r="N4452" s="114" t="s">
        <v>8478</v>
      </c>
    </row>
    <row r="4453" spans="1:14" ht="18.75">
      <c r="A4453" s="12" t="s">
        <v>1362</v>
      </c>
      <c r="B4453" s="1" t="s">
        <v>7110</v>
      </c>
      <c r="I4453" s="109"/>
      <c r="J4453" s="109"/>
      <c r="K4453" s="109"/>
      <c r="L4453" s="109" t="str">
        <f t="shared" si="69"/>
        <v>95-956200266</v>
      </c>
      <c r="M4453" s="114">
        <v>956200266</v>
      </c>
      <c r="N4453" s="114" t="s">
        <v>7918</v>
      </c>
    </row>
    <row r="4454" spans="1:14" ht="18.75">
      <c r="A4454" s="12" t="s">
        <v>1487</v>
      </c>
      <c r="B4454" s="1" t="s">
        <v>7110</v>
      </c>
      <c r="I4454" s="109"/>
      <c r="J4454" s="109"/>
      <c r="K4454" s="109"/>
      <c r="L4454" s="109" t="str">
        <f t="shared" si="69"/>
        <v>95-951700064</v>
      </c>
      <c r="M4454" s="114">
        <v>951700064</v>
      </c>
      <c r="N4454" s="114" t="s">
        <v>8480</v>
      </c>
    </row>
    <row r="4455" spans="1:14" ht="18.75">
      <c r="A4455" s="12" t="s">
        <v>1541</v>
      </c>
      <c r="B4455" s="1" t="s">
        <v>7110</v>
      </c>
      <c r="I4455" s="109"/>
      <c r="J4455" s="109"/>
      <c r="K4455" s="109"/>
      <c r="L4455" s="109" t="str">
        <f t="shared" si="69"/>
        <v>95-951100092</v>
      </c>
      <c r="M4455" s="114">
        <v>951100092</v>
      </c>
      <c r="N4455" s="114" t="s">
        <v>8428</v>
      </c>
    </row>
    <row r="4456" spans="1:14" ht="18.75">
      <c r="A4456" s="12" t="s">
        <v>1490</v>
      </c>
      <c r="B4456" s="1" t="s">
        <v>7110</v>
      </c>
      <c r="I4456" s="109"/>
      <c r="J4456" s="109"/>
      <c r="K4456" s="109"/>
      <c r="L4456" s="109" t="str">
        <f t="shared" si="69"/>
        <v>95-952000027</v>
      </c>
      <c r="M4456" s="114">
        <v>952000027</v>
      </c>
      <c r="N4456" s="114" t="s">
        <v>7904</v>
      </c>
    </row>
    <row r="4457" spans="1:14" ht="18.75">
      <c r="A4457" s="12" t="s">
        <v>1510</v>
      </c>
      <c r="B4457" s="1" t="s">
        <v>7110</v>
      </c>
      <c r="I4457" s="109"/>
      <c r="J4457" s="109"/>
      <c r="K4457" s="109"/>
      <c r="L4457" s="109" t="str">
        <f t="shared" si="69"/>
        <v>96-962000121</v>
      </c>
      <c r="M4457" s="114">
        <v>962000121</v>
      </c>
      <c r="N4457" s="114" t="s">
        <v>7936</v>
      </c>
    </row>
    <row r="4458" spans="1:14" ht="18.75">
      <c r="A4458" s="12" t="s">
        <v>1510</v>
      </c>
      <c r="B4458" s="1" t="s">
        <v>7110</v>
      </c>
      <c r="I4458" s="109"/>
      <c r="J4458" s="109"/>
      <c r="K4458" s="109"/>
      <c r="L4458" s="109" t="str">
        <f t="shared" si="69"/>
        <v>95-952000013</v>
      </c>
      <c r="M4458" s="114">
        <v>952000013</v>
      </c>
      <c r="N4458" s="114" t="s">
        <v>7904</v>
      </c>
    </row>
    <row r="4459" spans="1:14" ht="18.75">
      <c r="A4459" s="12" t="s">
        <v>1510</v>
      </c>
      <c r="B4459" s="1" t="s">
        <v>7110</v>
      </c>
      <c r="I4459" s="109"/>
      <c r="J4459" s="109"/>
      <c r="K4459" s="109"/>
      <c r="L4459" s="109" t="str">
        <f t="shared" si="69"/>
        <v>95-952000205</v>
      </c>
      <c r="M4459" s="114">
        <v>952000205</v>
      </c>
      <c r="N4459" s="114" t="s">
        <v>7909</v>
      </c>
    </row>
    <row r="4460" spans="1:14" ht="18.75">
      <c r="A4460" s="12" t="s">
        <v>1541</v>
      </c>
      <c r="B4460" s="1" t="s">
        <v>7110</v>
      </c>
      <c r="I4460" s="109"/>
      <c r="J4460" s="109"/>
      <c r="K4460" s="109"/>
      <c r="L4460" s="109" t="str">
        <f t="shared" si="69"/>
        <v>95-952000029</v>
      </c>
      <c r="M4460" s="114">
        <v>952000029</v>
      </c>
      <c r="N4460" s="114" t="s">
        <v>7904</v>
      </c>
    </row>
    <row r="4461" spans="1:14" ht="18.75">
      <c r="A4461" s="12" t="s">
        <v>1585</v>
      </c>
      <c r="B4461" s="1" t="s">
        <v>7110</v>
      </c>
      <c r="I4461" s="109"/>
      <c r="J4461" s="109"/>
      <c r="K4461" s="109"/>
      <c r="L4461" s="109" t="str">
        <f t="shared" si="69"/>
        <v>95-952000025</v>
      </c>
      <c r="M4461" s="114">
        <v>952000025</v>
      </c>
      <c r="N4461" s="114" t="s">
        <v>7904</v>
      </c>
    </row>
    <row r="4462" spans="1:14" ht="18.75">
      <c r="A4462" s="12" t="s">
        <v>1399</v>
      </c>
      <c r="B4462" s="1" t="s">
        <v>7110</v>
      </c>
      <c r="I4462" s="109"/>
      <c r="J4462" s="109"/>
      <c r="K4462" s="109"/>
      <c r="L4462" s="109" t="str">
        <f t="shared" si="69"/>
        <v>95-956200352</v>
      </c>
      <c r="M4462" s="114">
        <v>956200352</v>
      </c>
      <c r="N4462" s="114" t="s">
        <v>7949</v>
      </c>
    </row>
    <row r="4463" spans="1:14" ht="18.75">
      <c r="A4463" s="12" t="s">
        <v>1490</v>
      </c>
      <c r="B4463" s="1" t="s">
        <v>7110</v>
      </c>
      <c r="I4463" s="109"/>
      <c r="J4463" s="109"/>
      <c r="K4463" s="109"/>
      <c r="L4463" s="109" t="str">
        <f t="shared" si="69"/>
        <v>95-952000338</v>
      </c>
      <c r="M4463" s="114">
        <v>952000338</v>
      </c>
      <c r="N4463" s="114" t="s">
        <v>7912</v>
      </c>
    </row>
    <row r="4464" spans="1:14" ht="18.75">
      <c r="A4464" s="12" t="s">
        <v>1410</v>
      </c>
      <c r="B4464" s="1" t="s">
        <v>7110</v>
      </c>
      <c r="I4464" s="109"/>
      <c r="J4464" s="109"/>
      <c r="K4464" s="109"/>
      <c r="L4464" s="109" t="str">
        <f t="shared" si="69"/>
        <v>95-956200310</v>
      </c>
      <c r="M4464" s="114">
        <v>956200310</v>
      </c>
      <c r="N4464" s="114" t="s">
        <v>7951</v>
      </c>
    </row>
    <row r="4465" spans="1:14" ht="18.75">
      <c r="A4465" s="12" t="s">
        <v>1410</v>
      </c>
      <c r="B4465" s="1" t="s">
        <v>7110</v>
      </c>
      <c r="I4465" s="109"/>
      <c r="J4465" s="109"/>
      <c r="K4465" s="109"/>
      <c r="L4465" s="109" t="str">
        <f t="shared" si="69"/>
        <v>95-956200010</v>
      </c>
      <c r="M4465" s="114">
        <v>956200010</v>
      </c>
      <c r="N4465" s="114" t="s">
        <v>7952</v>
      </c>
    </row>
    <row r="4466" spans="1:14" ht="18.75">
      <c r="A4466" s="12" t="s">
        <v>1420</v>
      </c>
      <c r="B4466" s="1" t="s">
        <v>7110</v>
      </c>
      <c r="I4466" s="109"/>
      <c r="J4466" s="109"/>
      <c r="K4466" s="109"/>
      <c r="L4466" s="109" t="str">
        <f t="shared" si="69"/>
        <v>95-956200031</v>
      </c>
      <c r="M4466" s="114">
        <v>956200031</v>
      </c>
      <c r="N4466" s="114" t="s">
        <v>7915</v>
      </c>
    </row>
    <row r="4467" spans="1:14" ht="18.75">
      <c r="A4467" s="12" t="s">
        <v>1764</v>
      </c>
      <c r="B4467" s="1" t="s">
        <v>7110</v>
      </c>
      <c r="I4467" s="109"/>
      <c r="J4467" s="109"/>
      <c r="K4467" s="109"/>
      <c r="L4467" s="109" t="str">
        <f t="shared" si="69"/>
        <v>95-956200042</v>
      </c>
      <c r="M4467" s="114">
        <v>956200042</v>
      </c>
      <c r="N4467" s="114" t="s">
        <v>7953</v>
      </c>
    </row>
    <row r="4468" spans="1:14" ht="18.75">
      <c r="A4468" s="12" t="s">
        <v>1792</v>
      </c>
      <c r="B4468" s="1" t="s">
        <v>7110</v>
      </c>
      <c r="I4468" s="109"/>
      <c r="J4468" s="109"/>
      <c r="K4468" s="109"/>
      <c r="L4468" s="109" t="str">
        <f t="shared" si="69"/>
        <v>95-952000009</v>
      </c>
      <c r="M4468" s="114">
        <v>952000009</v>
      </c>
      <c r="N4468" s="114" t="s">
        <v>7904</v>
      </c>
    </row>
    <row r="4469" spans="1:14" ht="18.75">
      <c r="A4469" s="12" t="s">
        <v>1793</v>
      </c>
      <c r="B4469" s="1" t="s">
        <v>7110</v>
      </c>
      <c r="I4469" s="109"/>
      <c r="J4469" s="109"/>
      <c r="K4469" s="109"/>
      <c r="L4469" s="109" t="str">
        <f t="shared" si="69"/>
        <v>95-956200093</v>
      </c>
      <c r="M4469" s="114">
        <v>956200093</v>
      </c>
      <c r="N4469" s="114" t="s">
        <v>7955</v>
      </c>
    </row>
    <row r="4470" spans="1:14" ht="18.75">
      <c r="A4470" s="12" t="s">
        <v>1796</v>
      </c>
      <c r="B4470" s="1" t="s">
        <v>7110</v>
      </c>
      <c r="I4470" s="109"/>
      <c r="J4470" s="109"/>
      <c r="K4470" s="109"/>
      <c r="L4470" s="109" t="str">
        <f t="shared" si="69"/>
        <v>96-966200209</v>
      </c>
      <c r="M4470" s="114">
        <v>966200209</v>
      </c>
      <c r="N4470" s="114" t="s">
        <v>7956</v>
      </c>
    </row>
    <row r="4471" spans="1:14" ht="18.75">
      <c r="A4471" s="12" t="s">
        <v>1510</v>
      </c>
      <c r="B4471" s="1" t="s">
        <v>7110</v>
      </c>
      <c r="I4471" s="109"/>
      <c r="J4471" s="109"/>
      <c r="K4471" s="109"/>
      <c r="L4471" s="109" t="str">
        <f t="shared" si="69"/>
        <v>95-956200185</v>
      </c>
      <c r="M4471" s="114">
        <v>956200185</v>
      </c>
      <c r="N4471" s="114" t="s">
        <v>7957</v>
      </c>
    </row>
    <row r="4472" spans="1:14" ht="18.75">
      <c r="A4472" s="12" t="s">
        <v>1585</v>
      </c>
      <c r="B4472" s="1" t="s">
        <v>7110</v>
      </c>
      <c r="I4472" s="109"/>
      <c r="J4472" s="109"/>
      <c r="K4472" s="109"/>
      <c r="L4472" s="109" t="str">
        <f t="shared" si="69"/>
        <v>96-966200186</v>
      </c>
      <c r="M4472" s="114">
        <v>966200186</v>
      </c>
      <c r="N4472" s="114" t="s">
        <v>7942</v>
      </c>
    </row>
    <row r="4473" spans="1:14" ht="18.75">
      <c r="A4473" s="12" t="s">
        <v>1821</v>
      </c>
      <c r="B4473" s="1" t="s">
        <v>7110</v>
      </c>
      <c r="I4473" s="109"/>
      <c r="J4473" s="109"/>
      <c r="K4473" s="109"/>
      <c r="L4473" s="109" t="str">
        <f t="shared" si="69"/>
        <v>95-956200197</v>
      </c>
      <c r="M4473" s="114">
        <v>956200197</v>
      </c>
      <c r="N4473" s="114" t="s">
        <v>7879</v>
      </c>
    </row>
    <row r="4474" spans="1:14" ht="18.75">
      <c r="A4474" s="12" t="s">
        <v>1381</v>
      </c>
      <c r="B4474" s="1" t="s">
        <v>7110</v>
      </c>
      <c r="I4474" s="109"/>
      <c r="J4474" s="109"/>
      <c r="K4474" s="109"/>
      <c r="L4474" s="109" t="str">
        <f t="shared" si="69"/>
        <v>95-956200200</v>
      </c>
      <c r="M4474" s="114">
        <v>956200200</v>
      </c>
      <c r="N4474" s="114" t="s">
        <v>7879</v>
      </c>
    </row>
    <row r="4475" spans="1:14" ht="18.75">
      <c r="A4475" s="12" t="s">
        <v>1541</v>
      </c>
      <c r="B4475" s="1" t="s">
        <v>7110</v>
      </c>
      <c r="I4475" s="109"/>
      <c r="J4475" s="109"/>
      <c r="K4475" s="109"/>
      <c r="L4475" s="109" t="str">
        <f t="shared" si="69"/>
        <v>95-956200204</v>
      </c>
      <c r="M4475" s="114">
        <v>956200204</v>
      </c>
      <c r="N4475" s="114" t="s">
        <v>7879</v>
      </c>
    </row>
    <row r="4476" spans="1:14" ht="18.75">
      <c r="A4476" s="12" t="s">
        <v>1831</v>
      </c>
      <c r="B4476" s="1" t="s">
        <v>7110</v>
      </c>
      <c r="I4476" s="109"/>
      <c r="J4476" s="109"/>
      <c r="K4476" s="109"/>
      <c r="L4476" s="109" t="str">
        <f t="shared" si="69"/>
        <v>95-956200205</v>
      </c>
      <c r="M4476" s="114">
        <v>956200205</v>
      </c>
      <c r="N4476" s="114" t="s">
        <v>7879</v>
      </c>
    </row>
    <row r="4477" spans="1:14" ht="18.75">
      <c r="A4477" s="12" t="s">
        <v>1843</v>
      </c>
      <c r="B4477" s="1" t="s">
        <v>7110</v>
      </c>
      <c r="I4477" s="109"/>
      <c r="J4477" s="109"/>
      <c r="K4477" s="109"/>
      <c r="L4477" s="109" t="str">
        <f t="shared" si="69"/>
        <v>95-956200221</v>
      </c>
      <c r="M4477" s="114">
        <v>956200221</v>
      </c>
      <c r="N4477" s="114" t="s">
        <v>7919</v>
      </c>
    </row>
    <row r="4478" spans="1:14" ht="18.75">
      <c r="A4478" s="12" t="s">
        <v>1853</v>
      </c>
      <c r="B4478" s="1" t="s">
        <v>7110</v>
      </c>
      <c r="I4478" s="109"/>
      <c r="J4478" s="109"/>
      <c r="K4478" s="109"/>
      <c r="L4478" s="109" t="str">
        <f t="shared" si="69"/>
        <v>96-966200149</v>
      </c>
      <c r="M4478" s="114">
        <v>966200149</v>
      </c>
      <c r="N4478" s="114" t="s">
        <v>7958</v>
      </c>
    </row>
    <row r="4479" spans="1:14" ht="18.75">
      <c r="A4479" s="12" t="s">
        <v>1764</v>
      </c>
      <c r="B4479" s="1" t="s">
        <v>7110</v>
      </c>
      <c r="I4479" s="109"/>
      <c r="J4479" s="109"/>
      <c r="K4479" s="109"/>
      <c r="L4479" s="109" t="str">
        <f t="shared" si="69"/>
        <v>95-951700001</v>
      </c>
      <c r="M4479" s="114">
        <v>951700001</v>
      </c>
      <c r="N4479" s="114" t="s">
        <v>7962</v>
      </c>
    </row>
    <row r="4480" spans="1:14" ht="18.75">
      <c r="A4480" s="12" t="s">
        <v>1380</v>
      </c>
      <c r="B4480" s="1" t="s">
        <v>7110</v>
      </c>
      <c r="I4480" s="109"/>
      <c r="J4480" s="109"/>
      <c r="K4480" s="109"/>
      <c r="L4480" s="109" t="str">
        <f t="shared" si="69"/>
        <v>95-951400042</v>
      </c>
      <c r="M4480" s="114">
        <v>951400042</v>
      </c>
      <c r="N4480" s="114" t="s">
        <v>7196</v>
      </c>
    </row>
    <row r="4481" spans="1:14" ht="18.75">
      <c r="A4481" s="12" t="s">
        <v>1381</v>
      </c>
      <c r="B4481" s="1" t="s">
        <v>7110</v>
      </c>
      <c r="I4481" s="109"/>
      <c r="J4481" s="109"/>
      <c r="K4481" s="109"/>
      <c r="L4481" s="109" t="str">
        <f t="shared" si="69"/>
        <v>96-961700033</v>
      </c>
      <c r="M4481" s="114">
        <v>961700033</v>
      </c>
      <c r="N4481" s="114" t="s">
        <v>8248</v>
      </c>
    </row>
    <row r="4482" spans="1:14" ht="18.75">
      <c r="A4482" s="12" t="s">
        <v>1860</v>
      </c>
      <c r="B4482" s="1" t="s">
        <v>7110</v>
      </c>
      <c r="I4482" s="109"/>
      <c r="J4482" s="109"/>
      <c r="K4482" s="109"/>
      <c r="L4482" s="109" t="str">
        <f t="shared" si="69"/>
        <v>95-951800021</v>
      </c>
      <c r="M4482" s="114">
        <v>951800021</v>
      </c>
      <c r="N4482" s="114" t="s">
        <v>8249</v>
      </c>
    </row>
    <row r="4483" spans="1:14" ht="18.75">
      <c r="A4483" s="12" t="s">
        <v>1864</v>
      </c>
      <c r="B4483" s="1" t="s">
        <v>7110</v>
      </c>
      <c r="I4483" s="109"/>
      <c r="J4483" s="109"/>
      <c r="K4483" s="109"/>
      <c r="L4483" s="109" t="str">
        <f t="shared" ref="L4483:L4546" si="70">MID(M4483,1,2)&amp;"-"&amp;M4483</f>
        <v>95-951800100</v>
      </c>
      <c r="M4483" s="114">
        <v>951800100</v>
      </c>
      <c r="N4483" s="114" t="s">
        <v>7626</v>
      </c>
    </row>
    <row r="4484" spans="1:14" ht="18.75">
      <c r="A4484" s="12" t="s">
        <v>1865</v>
      </c>
      <c r="B4484" s="1" t="s">
        <v>7110</v>
      </c>
      <c r="I4484" s="109"/>
      <c r="J4484" s="109"/>
      <c r="K4484" s="109"/>
      <c r="L4484" s="109" t="str">
        <f t="shared" si="70"/>
        <v>95-951700264</v>
      </c>
      <c r="M4484" s="114">
        <v>951700264</v>
      </c>
      <c r="N4484" s="114" t="s">
        <v>7187</v>
      </c>
    </row>
    <row r="4485" spans="1:14" ht="18.75">
      <c r="A4485" s="12" t="s">
        <v>1381</v>
      </c>
      <c r="B4485" s="1" t="s">
        <v>7110</v>
      </c>
      <c r="I4485" s="109"/>
      <c r="J4485" s="109"/>
      <c r="K4485" s="109"/>
      <c r="L4485" s="109" t="str">
        <f t="shared" si="70"/>
        <v>95-951700022</v>
      </c>
      <c r="M4485" s="114">
        <v>951700022</v>
      </c>
      <c r="N4485" s="114" t="s">
        <v>8250</v>
      </c>
    </row>
    <row r="4486" spans="1:14" ht="18.75">
      <c r="A4486" s="12" t="s">
        <v>1478</v>
      </c>
      <c r="B4486" s="1" t="s">
        <v>7110</v>
      </c>
      <c r="I4486" s="109"/>
      <c r="J4486" s="109"/>
      <c r="K4486" s="109"/>
      <c r="L4486" s="109" t="str">
        <f t="shared" si="70"/>
        <v>95-951700024</v>
      </c>
      <c r="M4486" s="114">
        <v>951700024</v>
      </c>
      <c r="N4486" s="114" t="s">
        <v>8250</v>
      </c>
    </row>
    <row r="4487" spans="1:14" ht="18.75">
      <c r="A4487" s="12" t="s">
        <v>1873</v>
      </c>
      <c r="B4487" s="1" t="s">
        <v>7110</v>
      </c>
      <c r="I4487" s="109"/>
      <c r="J4487" s="109"/>
      <c r="K4487" s="109"/>
      <c r="L4487" s="109" t="str">
        <f t="shared" si="70"/>
        <v>96-966200137</v>
      </c>
      <c r="M4487" s="114">
        <v>966200137</v>
      </c>
      <c r="N4487" s="114" t="s">
        <v>8486</v>
      </c>
    </row>
    <row r="4488" spans="1:14" ht="18.75">
      <c r="A4488" s="12" t="s">
        <v>1873</v>
      </c>
      <c r="B4488" s="1" t="s">
        <v>7110</v>
      </c>
      <c r="I4488" s="109"/>
      <c r="J4488" s="109"/>
      <c r="K4488" s="109"/>
      <c r="L4488" s="109" t="str">
        <f t="shared" si="70"/>
        <v>95-951700026</v>
      </c>
      <c r="M4488" s="114">
        <v>951700026</v>
      </c>
      <c r="N4488" s="114" t="s">
        <v>7795</v>
      </c>
    </row>
    <row r="4489" spans="1:14" ht="18.75">
      <c r="A4489" s="12" t="s">
        <v>1874</v>
      </c>
      <c r="B4489" s="1" t="s">
        <v>7110</v>
      </c>
      <c r="I4489" s="109"/>
      <c r="J4489" s="109"/>
      <c r="K4489" s="109"/>
      <c r="L4489" s="109" t="str">
        <f t="shared" si="70"/>
        <v>95-951800024</v>
      </c>
      <c r="M4489" s="114">
        <v>951800024</v>
      </c>
      <c r="N4489" s="114" t="s">
        <v>8251</v>
      </c>
    </row>
    <row r="4490" spans="1:14" ht="18.75">
      <c r="A4490" s="12" t="s">
        <v>1878</v>
      </c>
      <c r="B4490" s="1" t="s">
        <v>7110</v>
      </c>
      <c r="I4490" s="109"/>
      <c r="J4490" s="109"/>
      <c r="K4490" s="109"/>
      <c r="L4490" s="109" t="str">
        <f t="shared" si="70"/>
        <v>96-961800048</v>
      </c>
      <c r="M4490" s="114">
        <v>961800048</v>
      </c>
      <c r="N4490" s="114" t="s">
        <v>8252</v>
      </c>
    </row>
    <row r="4491" spans="1:14" ht="18.75">
      <c r="A4491" s="12" t="s">
        <v>1478</v>
      </c>
      <c r="B4491" s="1" t="s">
        <v>7110</v>
      </c>
      <c r="I4491" s="109"/>
      <c r="J4491" s="109"/>
      <c r="K4491" s="109"/>
      <c r="L4491" s="109" t="str">
        <f t="shared" si="70"/>
        <v>96-961700042</v>
      </c>
      <c r="M4491" s="114">
        <v>961700042</v>
      </c>
      <c r="N4491" s="114" t="s">
        <v>7691</v>
      </c>
    </row>
    <row r="4492" spans="1:14" ht="18.75">
      <c r="A4492" s="12" t="s">
        <v>1879</v>
      </c>
      <c r="B4492" s="1" t="s">
        <v>7110</v>
      </c>
      <c r="I4492" s="109"/>
      <c r="J4492" s="109"/>
      <c r="K4492" s="109"/>
      <c r="L4492" s="109" t="str">
        <f t="shared" si="70"/>
        <v>95-951100125</v>
      </c>
      <c r="M4492" s="114">
        <v>951100125</v>
      </c>
      <c r="N4492" s="114" t="s">
        <v>7966</v>
      </c>
    </row>
    <row r="4493" spans="1:14" ht="18.75">
      <c r="A4493" s="12" t="s">
        <v>1878</v>
      </c>
      <c r="B4493" s="1" t="s">
        <v>7110</v>
      </c>
      <c r="I4493" s="109"/>
      <c r="J4493" s="109"/>
      <c r="K4493" s="109"/>
      <c r="L4493" s="109" t="str">
        <f t="shared" si="70"/>
        <v>95-951400030</v>
      </c>
      <c r="M4493" s="114">
        <v>951400030</v>
      </c>
      <c r="N4493" s="114" t="s">
        <v>7948</v>
      </c>
    </row>
    <row r="4494" spans="1:14" ht="18.75">
      <c r="A4494" s="12" t="s">
        <v>1882</v>
      </c>
      <c r="B4494" s="1" t="s">
        <v>7110</v>
      </c>
      <c r="I4494" s="109"/>
      <c r="J4494" s="109"/>
      <c r="K4494" s="109"/>
      <c r="L4494" s="109" t="str">
        <f t="shared" si="70"/>
        <v>95-951700098</v>
      </c>
      <c r="M4494" s="114">
        <v>951700098</v>
      </c>
      <c r="N4494" s="114" t="s">
        <v>7969</v>
      </c>
    </row>
    <row r="4495" spans="1:14" ht="18.75">
      <c r="A4495" s="12" t="s">
        <v>1357</v>
      </c>
      <c r="B4495" s="1" t="s">
        <v>7110</v>
      </c>
      <c r="I4495" s="109"/>
      <c r="J4495" s="109"/>
      <c r="K4495" s="109"/>
      <c r="L4495" s="109" t="str">
        <f t="shared" si="70"/>
        <v>95-951700112</v>
      </c>
      <c r="M4495" s="114">
        <v>951700112</v>
      </c>
      <c r="N4495" s="114" t="s">
        <v>7970</v>
      </c>
    </row>
    <row r="4496" spans="1:14" ht="18.75">
      <c r="A4496" s="12" t="s">
        <v>1883</v>
      </c>
      <c r="B4496" s="1" t="s">
        <v>7110</v>
      </c>
      <c r="I4496" s="109"/>
      <c r="J4496" s="109"/>
      <c r="K4496" s="109"/>
      <c r="L4496" s="109" t="str">
        <f t="shared" si="70"/>
        <v>95-951400099</v>
      </c>
      <c r="M4496" s="114">
        <v>951400099</v>
      </c>
      <c r="N4496" s="114" t="s">
        <v>7948</v>
      </c>
    </row>
    <row r="4497" spans="1:14" ht="18.75">
      <c r="A4497" s="12" t="s">
        <v>1486</v>
      </c>
      <c r="B4497" s="1" t="s">
        <v>7110</v>
      </c>
      <c r="I4497" s="109"/>
      <c r="J4497" s="109"/>
      <c r="K4497" s="109"/>
      <c r="L4497" s="109" t="str">
        <f t="shared" si="70"/>
        <v>96-966200106</v>
      </c>
      <c r="M4497" s="114">
        <v>966200106</v>
      </c>
      <c r="N4497" s="114" t="s">
        <v>7979</v>
      </c>
    </row>
    <row r="4498" spans="1:14" ht="18.75">
      <c r="A4498" s="12" t="s">
        <v>1884</v>
      </c>
      <c r="B4498" s="1" t="s">
        <v>7110</v>
      </c>
      <c r="I4498" s="109"/>
      <c r="J4498" s="109"/>
      <c r="K4498" s="109"/>
      <c r="L4498" s="109" t="str">
        <f t="shared" si="70"/>
        <v>95-956200152</v>
      </c>
      <c r="M4498" s="114">
        <v>956200152</v>
      </c>
      <c r="N4498" s="114" t="s">
        <v>7980</v>
      </c>
    </row>
    <row r="4499" spans="1:14" ht="18.75">
      <c r="A4499" s="12" t="s">
        <v>1926</v>
      </c>
      <c r="B4499" s="1" t="s">
        <v>7110</v>
      </c>
      <c r="I4499" s="109"/>
      <c r="J4499" s="109"/>
      <c r="K4499" s="109"/>
      <c r="L4499" s="109" t="str">
        <f t="shared" si="70"/>
        <v>95-951700039</v>
      </c>
      <c r="M4499" s="114">
        <v>951700039</v>
      </c>
      <c r="N4499" s="114" t="s">
        <v>8261</v>
      </c>
    </row>
    <row r="4500" spans="1:14" ht="18.75">
      <c r="A4500" s="12" t="s">
        <v>1928</v>
      </c>
      <c r="B4500" s="1" t="s">
        <v>7110</v>
      </c>
      <c r="I4500" s="109"/>
      <c r="J4500" s="109"/>
      <c r="K4500" s="109"/>
      <c r="L4500" s="109" t="str">
        <f t="shared" si="70"/>
        <v>95-951700286</v>
      </c>
      <c r="M4500" s="114">
        <v>951700286</v>
      </c>
      <c r="N4500" s="114" t="s">
        <v>8262</v>
      </c>
    </row>
    <row r="4501" spans="1:14" ht="18.75">
      <c r="A4501" s="12" t="s">
        <v>1929</v>
      </c>
      <c r="B4501" s="1" t="s">
        <v>7110</v>
      </c>
      <c r="I4501" s="109"/>
      <c r="J4501" s="109"/>
      <c r="K4501" s="109"/>
      <c r="L4501" s="109" t="str">
        <f t="shared" si="70"/>
        <v>96-966100011</v>
      </c>
      <c r="M4501" s="114">
        <v>966100011</v>
      </c>
      <c r="N4501" s="114" t="s">
        <v>7644</v>
      </c>
    </row>
    <row r="4502" spans="1:14" ht="18.75">
      <c r="A4502" s="12" t="s">
        <v>2016</v>
      </c>
      <c r="B4502" s="1" t="s">
        <v>7110</v>
      </c>
      <c r="I4502" s="109"/>
      <c r="J4502" s="109"/>
      <c r="K4502" s="109"/>
      <c r="L4502" s="109" t="str">
        <f t="shared" si="70"/>
        <v>96-966100013</v>
      </c>
      <c r="M4502" s="114">
        <v>966100013</v>
      </c>
      <c r="N4502" s="114" t="s">
        <v>7644</v>
      </c>
    </row>
    <row r="4503" spans="1:14" ht="18.75">
      <c r="A4503" s="12" t="s">
        <v>1864</v>
      </c>
      <c r="B4503" s="1" t="s">
        <v>7110</v>
      </c>
      <c r="I4503" s="109"/>
      <c r="J4503" s="109"/>
      <c r="K4503" s="109"/>
      <c r="L4503" s="109" t="str">
        <f t="shared" si="70"/>
        <v>96-966100014</v>
      </c>
      <c r="M4503" s="114">
        <v>966100014</v>
      </c>
      <c r="N4503" s="114" t="s">
        <v>7644</v>
      </c>
    </row>
    <row r="4504" spans="1:14" ht="18.75">
      <c r="A4504" s="12" t="s">
        <v>2033</v>
      </c>
      <c r="B4504" s="1" t="s">
        <v>7110</v>
      </c>
      <c r="I4504" s="109"/>
      <c r="J4504" s="109"/>
      <c r="K4504" s="109"/>
      <c r="L4504" s="109" t="str">
        <f t="shared" si="70"/>
        <v>95-951100025</v>
      </c>
      <c r="M4504" s="114">
        <v>951100025</v>
      </c>
      <c r="N4504" s="114" t="s">
        <v>7981</v>
      </c>
    </row>
    <row r="4505" spans="1:14" ht="18.75">
      <c r="A4505" s="12" t="s">
        <v>2033</v>
      </c>
      <c r="B4505" s="1" t="s">
        <v>7110</v>
      </c>
      <c r="I4505" s="109"/>
      <c r="J4505" s="109"/>
      <c r="K4505" s="109"/>
      <c r="L4505" s="109" t="str">
        <f t="shared" si="70"/>
        <v>95-951100107</v>
      </c>
      <c r="M4505" s="114">
        <v>951100107</v>
      </c>
      <c r="N4505" s="114" t="s">
        <v>7983</v>
      </c>
    </row>
    <row r="4506" spans="1:14" ht="18.75">
      <c r="A4506" s="12" t="s">
        <v>2057</v>
      </c>
      <c r="B4506" s="1" t="s">
        <v>7110</v>
      </c>
      <c r="I4506" s="109"/>
      <c r="J4506" s="109"/>
      <c r="K4506" s="109"/>
      <c r="L4506" s="109" t="str">
        <f t="shared" si="70"/>
        <v>96-961800063</v>
      </c>
      <c r="M4506" s="114">
        <v>961800063</v>
      </c>
      <c r="N4506" s="114" t="s">
        <v>7170</v>
      </c>
    </row>
    <row r="4507" spans="1:14" ht="18.75">
      <c r="A4507" s="12" t="s">
        <v>2137</v>
      </c>
      <c r="B4507" s="1" t="s">
        <v>7110</v>
      </c>
      <c r="I4507" s="109"/>
      <c r="J4507" s="109"/>
      <c r="K4507" s="109"/>
      <c r="L4507" s="109" t="str">
        <f t="shared" si="70"/>
        <v>96-961700086</v>
      </c>
      <c r="M4507" s="114">
        <v>961700086</v>
      </c>
      <c r="N4507" s="114" t="s">
        <v>8271</v>
      </c>
    </row>
    <row r="4508" spans="1:14" ht="18.75">
      <c r="A4508" s="12" t="s">
        <v>2137</v>
      </c>
      <c r="B4508" s="1" t="s">
        <v>7110</v>
      </c>
      <c r="I4508" s="109"/>
      <c r="J4508" s="109"/>
      <c r="K4508" s="109"/>
      <c r="L4508" s="109" t="str">
        <f t="shared" si="70"/>
        <v>95-951900139</v>
      </c>
      <c r="M4508" s="114">
        <v>951900139</v>
      </c>
      <c r="N4508" s="114" t="s">
        <v>8272</v>
      </c>
    </row>
    <row r="4509" spans="1:14" ht="18.75">
      <c r="A4509" s="12" t="s">
        <v>2137</v>
      </c>
      <c r="B4509" s="1" t="s">
        <v>7110</v>
      </c>
      <c r="I4509" s="109"/>
      <c r="J4509" s="109"/>
      <c r="K4509" s="109"/>
      <c r="L4509" s="109" t="str">
        <f t="shared" si="70"/>
        <v>95-951900174</v>
      </c>
      <c r="M4509" s="114">
        <v>951900174</v>
      </c>
      <c r="N4509" s="114" t="s">
        <v>8272</v>
      </c>
    </row>
    <row r="4510" spans="1:14" ht="18.75">
      <c r="A4510" s="12" t="s">
        <v>2137</v>
      </c>
      <c r="B4510" s="1" t="s">
        <v>7110</v>
      </c>
      <c r="I4510" s="109"/>
      <c r="J4510" s="109"/>
      <c r="K4510" s="109"/>
      <c r="L4510" s="109" t="str">
        <f t="shared" si="70"/>
        <v>96-961700047</v>
      </c>
      <c r="M4510" s="114">
        <v>961700047</v>
      </c>
      <c r="N4510" s="114" t="s">
        <v>7655</v>
      </c>
    </row>
    <row r="4511" spans="1:14" ht="18.75">
      <c r="A4511" s="12" t="s">
        <v>2137</v>
      </c>
      <c r="B4511" s="1" t="s">
        <v>7110</v>
      </c>
      <c r="I4511" s="109"/>
      <c r="J4511" s="109"/>
      <c r="K4511" s="109"/>
      <c r="L4511" s="109" t="str">
        <f t="shared" si="70"/>
        <v>96-961800011</v>
      </c>
      <c r="M4511" s="114">
        <v>961800011</v>
      </c>
      <c r="N4511" s="114" t="s">
        <v>7690</v>
      </c>
    </row>
    <row r="4512" spans="1:14" ht="18.75">
      <c r="A4512" s="12" t="s">
        <v>2137</v>
      </c>
      <c r="B4512" s="1" t="s">
        <v>7110</v>
      </c>
      <c r="I4512" s="109"/>
      <c r="J4512" s="109"/>
      <c r="K4512" s="109"/>
      <c r="L4512" s="109" t="str">
        <f t="shared" si="70"/>
        <v>95-951600081</v>
      </c>
      <c r="M4512" s="114">
        <v>951600081</v>
      </c>
      <c r="N4512" s="114" t="s">
        <v>7870</v>
      </c>
    </row>
    <row r="4513" spans="1:14" ht="18.75">
      <c r="A4513" s="12" t="s">
        <v>1831</v>
      </c>
      <c r="B4513" s="1" t="s">
        <v>7110</v>
      </c>
      <c r="I4513" s="109"/>
      <c r="J4513" s="109"/>
      <c r="K4513" s="109"/>
      <c r="L4513" s="109" t="str">
        <f t="shared" si="70"/>
        <v>95-951900083</v>
      </c>
      <c r="M4513" s="114">
        <v>951900083</v>
      </c>
      <c r="N4513" s="114" t="s">
        <v>8277</v>
      </c>
    </row>
    <row r="4514" spans="1:14" ht="18.75">
      <c r="A4514" s="12" t="s">
        <v>2137</v>
      </c>
      <c r="B4514" s="1" t="s">
        <v>7110</v>
      </c>
      <c r="I4514" s="109"/>
      <c r="J4514" s="109"/>
      <c r="K4514" s="109"/>
      <c r="L4514" s="109" t="str">
        <f t="shared" si="70"/>
        <v>96-961900155</v>
      </c>
      <c r="M4514" s="114">
        <v>961900155</v>
      </c>
      <c r="N4514" s="114" t="s">
        <v>8278</v>
      </c>
    </row>
    <row r="4515" spans="1:14" ht="18.75">
      <c r="A4515" s="12" t="s">
        <v>2137</v>
      </c>
      <c r="B4515" s="1" t="s">
        <v>7110</v>
      </c>
      <c r="I4515" s="109"/>
      <c r="J4515" s="109"/>
      <c r="K4515" s="109"/>
      <c r="L4515" s="109" t="str">
        <f t="shared" si="70"/>
        <v>95-951900236</v>
      </c>
      <c r="M4515" s="114">
        <v>951900236</v>
      </c>
      <c r="N4515" s="114" t="s">
        <v>7889</v>
      </c>
    </row>
    <row r="4516" spans="1:14" ht="18.75">
      <c r="A4516" s="12" t="s">
        <v>2137</v>
      </c>
      <c r="B4516" s="1" t="s">
        <v>7110</v>
      </c>
      <c r="I4516" s="109"/>
      <c r="J4516" s="109"/>
      <c r="K4516" s="109"/>
      <c r="L4516" s="109" t="str">
        <f t="shared" si="70"/>
        <v>95-951300004</v>
      </c>
      <c r="M4516" s="114">
        <v>951300004</v>
      </c>
      <c r="N4516" s="114" t="s">
        <v>8288</v>
      </c>
    </row>
    <row r="4517" spans="1:14" ht="18.75">
      <c r="A4517" s="12" t="s">
        <v>2137</v>
      </c>
      <c r="B4517" s="1" t="s">
        <v>7110</v>
      </c>
      <c r="I4517" s="109"/>
      <c r="J4517" s="109"/>
      <c r="K4517" s="109"/>
      <c r="L4517" s="109" t="str">
        <f t="shared" si="70"/>
        <v>95-951300029</v>
      </c>
      <c r="M4517" s="114">
        <v>951300029</v>
      </c>
      <c r="N4517" s="114" t="s">
        <v>7819</v>
      </c>
    </row>
    <row r="4518" spans="1:14" ht="18.75">
      <c r="A4518" s="12" t="s">
        <v>2203</v>
      </c>
      <c r="B4518" s="1" t="s">
        <v>7110</v>
      </c>
      <c r="I4518" s="109"/>
      <c r="J4518" s="109"/>
      <c r="K4518" s="109"/>
      <c r="L4518" s="109" t="str">
        <f t="shared" si="70"/>
        <v>95-951600035</v>
      </c>
      <c r="M4518" s="114">
        <v>951600035</v>
      </c>
      <c r="N4518" s="114" t="s">
        <v>8290</v>
      </c>
    </row>
    <row r="4519" spans="1:14" ht="18.75">
      <c r="A4519" s="12" t="s">
        <v>2204</v>
      </c>
      <c r="B4519" s="1" t="s">
        <v>7110</v>
      </c>
      <c r="I4519" s="109"/>
      <c r="J4519" s="109"/>
      <c r="K4519" s="109"/>
      <c r="L4519" s="109" t="str">
        <f t="shared" si="70"/>
        <v>95-951800004</v>
      </c>
      <c r="M4519" s="114">
        <v>951800004</v>
      </c>
      <c r="N4519" s="114" t="s">
        <v>8291</v>
      </c>
    </row>
    <row r="4520" spans="1:14" ht="18.75">
      <c r="A4520" s="12" t="s">
        <v>2203</v>
      </c>
      <c r="B4520" s="1" t="s">
        <v>7110</v>
      </c>
      <c r="I4520" s="109"/>
      <c r="J4520" s="109"/>
      <c r="K4520" s="109"/>
      <c r="L4520" s="109" t="str">
        <f t="shared" si="70"/>
        <v>95-951400010</v>
      </c>
      <c r="M4520" s="114">
        <v>951400010</v>
      </c>
      <c r="N4520" s="114" t="s">
        <v>8292</v>
      </c>
    </row>
    <row r="4521" spans="1:14" ht="18.75">
      <c r="A4521" s="12" t="s">
        <v>2203</v>
      </c>
      <c r="B4521" s="1" t="s">
        <v>7110</v>
      </c>
      <c r="I4521" s="109"/>
      <c r="J4521" s="109"/>
      <c r="K4521" s="109"/>
      <c r="L4521" s="109" t="str">
        <f t="shared" si="70"/>
        <v>95-951400019</v>
      </c>
      <c r="M4521" s="114">
        <v>951400019</v>
      </c>
      <c r="N4521" s="114" t="s">
        <v>8293</v>
      </c>
    </row>
    <row r="4522" spans="1:14" ht="18.75">
      <c r="A4522" s="12" t="s">
        <v>2204</v>
      </c>
      <c r="B4522" s="1" t="s">
        <v>7110</v>
      </c>
      <c r="I4522" s="109"/>
      <c r="J4522" s="109"/>
      <c r="K4522" s="109"/>
      <c r="L4522" s="109" t="str">
        <f t="shared" si="70"/>
        <v>95-956200158</v>
      </c>
      <c r="M4522" s="114">
        <v>956200158</v>
      </c>
      <c r="N4522" s="114" t="s">
        <v>7980</v>
      </c>
    </row>
    <row r="4523" spans="1:14" ht="18.75">
      <c r="A4523" s="12" t="s">
        <v>1478</v>
      </c>
      <c r="B4523" s="1" t="s">
        <v>7110</v>
      </c>
      <c r="I4523" s="109"/>
      <c r="J4523" s="109"/>
      <c r="K4523" s="109"/>
      <c r="L4523" s="109" t="str">
        <f t="shared" si="70"/>
        <v>96-966200041</v>
      </c>
      <c r="M4523" s="114">
        <v>966200041</v>
      </c>
      <c r="N4523" s="114" t="s">
        <v>7998</v>
      </c>
    </row>
    <row r="4524" spans="1:14" ht="18.75">
      <c r="A4524" s="12" t="s">
        <v>2218</v>
      </c>
      <c r="B4524" s="1" t="s">
        <v>7110</v>
      </c>
      <c r="I4524" s="109"/>
      <c r="J4524" s="109"/>
      <c r="K4524" s="109"/>
      <c r="L4524" s="109" t="str">
        <f t="shared" si="70"/>
        <v>96-966200292</v>
      </c>
      <c r="M4524" s="114">
        <v>966200292</v>
      </c>
      <c r="N4524" s="114" t="s">
        <v>7223</v>
      </c>
    </row>
    <row r="4525" spans="1:14" ht="18.75">
      <c r="A4525" s="12" t="s">
        <v>2218</v>
      </c>
      <c r="B4525" s="1" t="s">
        <v>7110</v>
      </c>
      <c r="I4525" s="109"/>
      <c r="J4525" s="109"/>
      <c r="K4525" s="109"/>
      <c r="L4525" s="109" t="str">
        <f t="shared" si="70"/>
        <v>96-966200153</v>
      </c>
      <c r="M4525" s="114">
        <v>966200153</v>
      </c>
      <c r="N4525" s="114" t="s">
        <v>8491</v>
      </c>
    </row>
    <row r="4526" spans="1:14" ht="18.75">
      <c r="A4526" s="12" t="s">
        <v>2219</v>
      </c>
      <c r="B4526" s="1" t="s">
        <v>7110</v>
      </c>
      <c r="I4526" s="109"/>
      <c r="J4526" s="109"/>
      <c r="K4526" s="109"/>
      <c r="L4526" s="109" t="str">
        <f t="shared" si="70"/>
        <v>95-951600068</v>
      </c>
      <c r="M4526" s="114">
        <v>951600068</v>
      </c>
      <c r="N4526" s="114" t="s">
        <v>8299</v>
      </c>
    </row>
    <row r="4527" spans="1:14" ht="18.75">
      <c r="A4527" s="12" t="s">
        <v>2220</v>
      </c>
      <c r="B4527" s="1" t="s">
        <v>7110</v>
      </c>
      <c r="I4527" s="109"/>
      <c r="J4527" s="109"/>
      <c r="K4527" s="109"/>
      <c r="L4527" s="109" t="str">
        <f t="shared" si="70"/>
        <v>95-951900305</v>
      </c>
      <c r="M4527" s="114">
        <v>951900305</v>
      </c>
      <c r="N4527" s="114" t="s">
        <v>7885</v>
      </c>
    </row>
    <row r="4528" spans="1:14" ht="18.75">
      <c r="A4528" s="12" t="s">
        <v>2221</v>
      </c>
      <c r="B4528" s="1" t="s">
        <v>7110</v>
      </c>
      <c r="I4528" s="109"/>
      <c r="J4528" s="109"/>
      <c r="K4528" s="109"/>
      <c r="L4528" s="109" t="str">
        <f t="shared" si="70"/>
        <v>95-951700357</v>
      </c>
      <c r="M4528" s="114">
        <v>951700357</v>
      </c>
      <c r="N4528" s="114" t="s">
        <v>7885</v>
      </c>
    </row>
    <row r="4529" spans="1:14" ht="18.75">
      <c r="A4529" s="12" t="s">
        <v>1380</v>
      </c>
      <c r="B4529" s="1" t="s">
        <v>7110</v>
      </c>
      <c r="I4529" s="109"/>
      <c r="J4529" s="109"/>
      <c r="K4529" s="109"/>
      <c r="L4529" s="109" t="str">
        <f t="shared" si="70"/>
        <v>96-961900065</v>
      </c>
      <c r="M4529" s="114">
        <v>961900065</v>
      </c>
      <c r="N4529" s="114" t="s">
        <v>8300</v>
      </c>
    </row>
    <row r="4530" spans="1:14" ht="18.75">
      <c r="A4530" s="12" t="s">
        <v>6563</v>
      </c>
      <c r="B4530" s="1" t="s">
        <v>7110</v>
      </c>
      <c r="I4530" s="109"/>
      <c r="J4530" s="109"/>
      <c r="K4530" s="109"/>
      <c r="L4530" s="109" t="str">
        <f t="shared" si="70"/>
        <v>96-961700044</v>
      </c>
      <c r="M4530" s="114">
        <v>961700044</v>
      </c>
      <c r="N4530" s="114" t="s">
        <v>8301</v>
      </c>
    </row>
    <row r="4531" spans="1:14" ht="18.75">
      <c r="A4531" s="12" t="s">
        <v>6564</v>
      </c>
      <c r="B4531" s="1" t="s">
        <v>7110</v>
      </c>
      <c r="I4531" s="109"/>
      <c r="J4531" s="109"/>
      <c r="K4531" s="109"/>
      <c r="L4531" s="109" t="str">
        <f t="shared" si="70"/>
        <v>96-961700116</v>
      </c>
      <c r="M4531" s="114">
        <v>961700116</v>
      </c>
      <c r="N4531" s="114" t="s">
        <v>7160</v>
      </c>
    </row>
    <row r="4532" spans="1:14" ht="18.75">
      <c r="A4532" s="12" t="s">
        <v>6565</v>
      </c>
      <c r="B4532" s="1" t="s">
        <v>7110</v>
      </c>
      <c r="I4532" s="109"/>
      <c r="J4532" s="109"/>
      <c r="K4532" s="109"/>
      <c r="L4532" s="109" t="str">
        <f t="shared" si="70"/>
        <v>96-961700119</v>
      </c>
      <c r="M4532" s="114">
        <v>961700119</v>
      </c>
      <c r="N4532" s="114" t="s">
        <v>7160</v>
      </c>
    </row>
    <row r="4533" spans="1:14" ht="18.75">
      <c r="A4533" s="12" t="s">
        <v>6566</v>
      </c>
      <c r="B4533" s="1" t="s">
        <v>7110</v>
      </c>
      <c r="I4533" s="109"/>
      <c r="J4533" s="109"/>
      <c r="K4533" s="109"/>
      <c r="L4533" s="109" t="str">
        <f t="shared" si="70"/>
        <v>96-961700125</v>
      </c>
      <c r="M4533" s="114">
        <v>961700125</v>
      </c>
      <c r="N4533" s="114" t="s">
        <v>7160</v>
      </c>
    </row>
    <row r="4534" spans="1:14" ht="18.75">
      <c r="A4534" s="12" t="s">
        <v>6567</v>
      </c>
      <c r="B4534" s="1" t="s">
        <v>7110</v>
      </c>
      <c r="I4534" s="109"/>
      <c r="J4534" s="109"/>
      <c r="K4534" s="109"/>
      <c r="L4534" s="109" t="str">
        <f t="shared" si="70"/>
        <v>96-961700126</v>
      </c>
      <c r="M4534" s="114">
        <v>961700126</v>
      </c>
      <c r="N4534" s="114" t="s">
        <v>7160</v>
      </c>
    </row>
    <row r="4535" spans="1:14" ht="18.75">
      <c r="A4535" s="12" t="s">
        <v>6568</v>
      </c>
      <c r="B4535" s="1" t="s">
        <v>7110</v>
      </c>
      <c r="I4535" s="109"/>
      <c r="J4535" s="109"/>
      <c r="K4535" s="109"/>
      <c r="L4535" s="109" t="str">
        <f t="shared" si="70"/>
        <v>96-966200065</v>
      </c>
      <c r="M4535" s="114">
        <v>966200065</v>
      </c>
      <c r="N4535" s="114" t="s">
        <v>8492</v>
      </c>
    </row>
    <row r="4536" spans="1:14" ht="18.75">
      <c r="A4536" s="12" t="s">
        <v>6569</v>
      </c>
      <c r="B4536" s="1" t="s">
        <v>7110</v>
      </c>
      <c r="I4536" s="109"/>
      <c r="J4536" s="109"/>
      <c r="K4536" s="109"/>
      <c r="L4536" s="109" t="str">
        <f t="shared" si="70"/>
        <v>96-966200193</v>
      </c>
      <c r="M4536" s="114">
        <v>966200193</v>
      </c>
      <c r="N4536" s="114" t="s">
        <v>7224</v>
      </c>
    </row>
    <row r="4537" spans="1:14" ht="18.75">
      <c r="A4537" s="12" t="s">
        <v>6570</v>
      </c>
      <c r="B4537" s="1" t="s">
        <v>7110</v>
      </c>
      <c r="I4537" s="109"/>
      <c r="J4537" s="109"/>
      <c r="K4537" s="109"/>
      <c r="L4537" s="109" t="str">
        <f t="shared" si="70"/>
        <v>95-951100147</v>
      </c>
      <c r="M4537" s="114">
        <v>951100147</v>
      </c>
      <c r="N4537" s="114" t="s">
        <v>8493</v>
      </c>
    </row>
    <row r="4538" spans="1:14" ht="18.75">
      <c r="A4538" s="12" t="s">
        <v>6569</v>
      </c>
      <c r="B4538" s="1" t="s">
        <v>7110</v>
      </c>
      <c r="I4538" s="109"/>
      <c r="J4538" s="109"/>
      <c r="K4538" s="109"/>
      <c r="L4538" s="109" t="str">
        <f t="shared" si="70"/>
        <v>96-961100027</v>
      </c>
      <c r="M4538" s="114">
        <v>961100027</v>
      </c>
      <c r="N4538" s="114" t="s">
        <v>8494</v>
      </c>
    </row>
    <row r="4539" spans="1:14" ht="18.75">
      <c r="A4539" s="12" t="s">
        <v>6569</v>
      </c>
      <c r="B4539" s="1" t="s">
        <v>7110</v>
      </c>
      <c r="I4539" s="109"/>
      <c r="J4539" s="109"/>
      <c r="K4539" s="109"/>
      <c r="L4539" s="109" t="str">
        <f t="shared" si="70"/>
        <v>96-966200241</v>
      </c>
      <c r="M4539" s="114">
        <v>966200241</v>
      </c>
      <c r="N4539" s="114" t="s">
        <v>8495</v>
      </c>
    </row>
    <row r="4540" spans="1:14" ht="18.75">
      <c r="A4540" s="12" t="s">
        <v>6569</v>
      </c>
      <c r="B4540" s="1" t="s">
        <v>7110</v>
      </c>
      <c r="I4540" s="109"/>
      <c r="J4540" s="109"/>
      <c r="K4540" s="109"/>
      <c r="L4540" s="109" t="str">
        <f t="shared" si="70"/>
        <v>96-966200132</v>
      </c>
      <c r="M4540" s="114">
        <v>966200132</v>
      </c>
      <c r="N4540" s="114" t="s">
        <v>8488</v>
      </c>
    </row>
    <row r="4541" spans="1:14" ht="18.75">
      <c r="A4541" s="12" t="s">
        <v>6571</v>
      </c>
      <c r="B4541" s="1" t="s">
        <v>7110</v>
      </c>
      <c r="I4541" s="109"/>
      <c r="J4541" s="109"/>
      <c r="K4541" s="109"/>
      <c r="L4541" s="109" t="str">
        <f t="shared" si="70"/>
        <v>95-951400100</v>
      </c>
      <c r="M4541" s="114">
        <v>951400100</v>
      </c>
      <c r="N4541" s="114" t="s">
        <v>7188</v>
      </c>
    </row>
    <row r="4542" spans="1:14" ht="18.75">
      <c r="A4542" s="12" t="s">
        <v>6572</v>
      </c>
      <c r="B4542" s="1" t="s">
        <v>7110</v>
      </c>
      <c r="I4542" s="109"/>
      <c r="J4542" s="109"/>
      <c r="K4542" s="109"/>
      <c r="L4542" s="109" t="str">
        <f t="shared" si="70"/>
        <v>95-951400147</v>
      </c>
      <c r="M4542" s="114">
        <v>951400147</v>
      </c>
      <c r="N4542" s="114" t="s">
        <v>8316</v>
      </c>
    </row>
    <row r="4543" spans="1:14" ht="18.75">
      <c r="A4543" s="12" t="s">
        <v>6573</v>
      </c>
      <c r="B4543" s="1" t="s">
        <v>7110</v>
      </c>
      <c r="I4543" s="109"/>
      <c r="J4543" s="109"/>
      <c r="K4543" s="109"/>
      <c r="L4543" s="109" t="str">
        <f t="shared" si="70"/>
        <v>95-951900317</v>
      </c>
      <c r="M4543" s="114">
        <v>951900317</v>
      </c>
      <c r="N4543" s="114" t="s">
        <v>8317</v>
      </c>
    </row>
    <row r="4544" spans="1:14" ht="18.75">
      <c r="A4544" s="12" t="s">
        <v>6574</v>
      </c>
      <c r="B4544" s="1" t="s">
        <v>7110</v>
      </c>
      <c r="I4544" s="109"/>
      <c r="J4544" s="109"/>
      <c r="K4544" s="109"/>
      <c r="L4544" s="109" t="str">
        <f t="shared" si="70"/>
        <v>95-951800036</v>
      </c>
      <c r="M4544" s="114">
        <v>951800036</v>
      </c>
      <c r="N4544" s="114" t="s">
        <v>7619</v>
      </c>
    </row>
    <row r="4545" spans="1:14" ht="18.75">
      <c r="A4545" s="12" t="s">
        <v>6575</v>
      </c>
      <c r="B4545" s="1" t="s">
        <v>7110</v>
      </c>
      <c r="I4545" s="109"/>
      <c r="J4545" s="109"/>
      <c r="K4545" s="109"/>
      <c r="L4545" s="109" t="str">
        <f t="shared" si="70"/>
        <v>95-951400113</v>
      </c>
      <c r="M4545" s="114">
        <v>951400113</v>
      </c>
      <c r="N4545" s="114" t="s">
        <v>7695</v>
      </c>
    </row>
    <row r="4546" spans="1:14" ht="18.75">
      <c r="A4546" s="12" t="s">
        <v>6576</v>
      </c>
      <c r="B4546" s="1" t="s">
        <v>7110</v>
      </c>
      <c r="I4546" s="109"/>
      <c r="J4546" s="109"/>
      <c r="K4546" s="109"/>
      <c r="L4546" s="109" t="str">
        <f t="shared" si="70"/>
        <v>95-951900296</v>
      </c>
      <c r="M4546" s="114">
        <v>951900296</v>
      </c>
      <c r="N4546" s="114" t="s">
        <v>7612</v>
      </c>
    </row>
    <row r="4547" spans="1:14" ht="18.75">
      <c r="A4547" s="12" t="s">
        <v>6577</v>
      </c>
      <c r="B4547" s="1" t="s">
        <v>7110</v>
      </c>
      <c r="I4547" s="109"/>
      <c r="J4547" s="109"/>
      <c r="K4547" s="109"/>
      <c r="L4547" s="109" t="str">
        <f t="shared" ref="L4547:L4610" si="71">MID(M4547,1,2)&amp;"-"&amp;M4547</f>
        <v>96-961700061</v>
      </c>
      <c r="M4547" s="114">
        <v>961700061</v>
      </c>
      <c r="N4547" s="114" t="s">
        <v>8244</v>
      </c>
    </row>
    <row r="4548" spans="1:14" ht="18.75">
      <c r="A4548" s="12" t="s">
        <v>6578</v>
      </c>
      <c r="B4548" s="1" t="s">
        <v>7110</v>
      </c>
      <c r="I4548" s="109"/>
      <c r="J4548" s="109"/>
      <c r="K4548" s="109"/>
      <c r="L4548" s="109" t="str">
        <f t="shared" si="71"/>
        <v>95-951900265</v>
      </c>
      <c r="M4548" s="114">
        <v>951900265</v>
      </c>
      <c r="N4548" s="114" t="s">
        <v>8326</v>
      </c>
    </row>
    <row r="4549" spans="1:14" ht="18.75">
      <c r="A4549" s="12" t="s">
        <v>6579</v>
      </c>
      <c r="B4549" s="1" t="s">
        <v>7110</v>
      </c>
      <c r="I4549" s="109"/>
      <c r="J4549" s="109"/>
      <c r="K4549" s="109"/>
      <c r="L4549" s="109" t="str">
        <f t="shared" si="71"/>
        <v>96-966200252</v>
      </c>
      <c r="M4549" s="114">
        <v>966200252</v>
      </c>
      <c r="N4549" s="114" t="s">
        <v>7730</v>
      </c>
    </row>
    <row r="4550" spans="1:14" ht="18.75">
      <c r="A4550" s="12" t="s">
        <v>6580</v>
      </c>
      <c r="B4550" s="1" t="s">
        <v>7110</v>
      </c>
      <c r="I4550" s="109"/>
      <c r="J4550" s="109"/>
      <c r="K4550" s="109"/>
      <c r="L4550" s="109" t="str">
        <f t="shared" si="71"/>
        <v>95-951900234</v>
      </c>
      <c r="M4550" s="114">
        <v>951900234</v>
      </c>
      <c r="N4550" s="114" t="s">
        <v>8327</v>
      </c>
    </row>
    <row r="4551" spans="1:14" ht="18.75">
      <c r="A4551" s="12" t="s">
        <v>6581</v>
      </c>
      <c r="B4551" s="1" t="s">
        <v>7110</v>
      </c>
      <c r="I4551" s="109"/>
      <c r="J4551" s="109"/>
      <c r="K4551" s="109"/>
      <c r="L4551" s="109" t="str">
        <f t="shared" si="71"/>
        <v>95-951800112</v>
      </c>
      <c r="M4551" s="114">
        <v>951800112</v>
      </c>
      <c r="N4551" s="114" t="s">
        <v>7190</v>
      </c>
    </row>
    <row r="4552" spans="1:14" ht="18.75">
      <c r="A4552" s="12" t="s">
        <v>6582</v>
      </c>
      <c r="B4552" s="1" t="s">
        <v>7110</v>
      </c>
      <c r="I4552" s="109"/>
      <c r="J4552" s="109"/>
      <c r="K4552" s="109"/>
      <c r="L4552" s="109" t="str">
        <f t="shared" si="71"/>
        <v>95-952500024</v>
      </c>
      <c r="M4552" s="114">
        <v>952500024</v>
      </c>
      <c r="N4552" s="114" t="s">
        <v>5618</v>
      </c>
    </row>
    <row r="4553" spans="1:14" ht="18.75">
      <c r="A4553" s="12" t="s">
        <v>6570</v>
      </c>
      <c r="B4553" s="1" t="s">
        <v>7110</v>
      </c>
      <c r="I4553" s="109"/>
      <c r="J4553" s="109"/>
      <c r="K4553" s="109"/>
      <c r="L4553" s="109" t="str">
        <f t="shared" si="71"/>
        <v>96-966000006</v>
      </c>
      <c r="M4553" s="114">
        <v>966000006</v>
      </c>
      <c r="N4553" s="114" t="s">
        <v>7146</v>
      </c>
    </row>
    <row r="4554" spans="1:14" ht="18.75">
      <c r="A4554" s="12" t="s">
        <v>6570</v>
      </c>
      <c r="B4554" s="1" t="s">
        <v>7110</v>
      </c>
      <c r="I4554" s="109"/>
      <c r="J4554" s="109"/>
      <c r="K4554" s="109"/>
      <c r="L4554" s="109" t="str">
        <f t="shared" si="71"/>
        <v>96-966000009</v>
      </c>
      <c r="M4554" s="114">
        <v>966000009</v>
      </c>
      <c r="N4554" s="114" t="s">
        <v>7146</v>
      </c>
    </row>
    <row r="4555" spans="1:14" ht="18.75">
      <c r="A4555" s="12" t="s">
        <v>6583</v>
      </c>
      <c r="B4555" s="1" t="s">
        <v>7110</v>
      </c>
      <c r="I4555" s="109"/>
      <c r="J4555" s="109"/>
      <c r="K4555" s="109"/>
      <c r="L4555" s="109" t="str">
        <f t="shared" si="71"/>
        <v>96-966200285</v>
      </c>
      <c r="M4555" s="114">
        <v>966200285</v>
      </c>
      <c r="N4555" s="114" t="s">
        <v>7210</v>
      </c>
    </row>
    <row r="4556" spans="1:14" ht="18.75">
      <c r="A4556" s="12" t="s">
        <v>6584</v>
      </c>
      <c r="B4556" s="1" t="s">
        <v>7110</v>
      </c>
      <c r="I4556" s="109"/>
      <c r="J4556" s="109"/>
      <c r="K4556" s="109"/>
      <c r="L4556" s="109" t="str">
        <f t="shared" si="71"/>
        <v>95-951600096</v>
      </c>
      <c r="M4556" s="114">
        <v>951600096</v>
      </c>
      <c r="N4556" s="114" t="s">
        <v>7800</v>
      </c>
    </row>
    <row r="4557" spans="1:14" ht="18.75">
      <c r="A4557" s="12" t="s">
        <v>6585</v>
      </c>
      <c r="B4557" s="1" t="s">
        <v>7110</v>
      </c>
      <c r="I4557" s="109"/>
      <c r="J4557" s="109"/>
      <c r="K4557" s="109"/>
      <c r="L4557" s="109" t="str">
        <f t="shared" si="71"/>
        <v>96-961800065</v>
      </c>
      <c r="M4557" s="114">
        <v>961800065</v>
      </c>
      <c r="N4557" s="114" t="s">
        <v>7166</v>
      </c>
    </row>
    <row r="4558" spans="1:14" ht="18.75">
      <c r="A4558" s="12" t="s">
        <v>6583</v>
      </c>
      <c r="B4558" s="1" t="s">
        <v>7110</v>
      </c>
      <c r="I4558" s="109"/>
      <c r="J4558" s="109"/>
      <c r="K4558" s="109"/>
      <c r="L4558" s="109" t="str">
        <f t="shared" si="71"/>
        <v>96-966200270</v>
      </c>
      <c r="M4558" s="114">
        <v>966200270</v>
      </c>
      <c r="N4558" s="114" t="s">
        <v>7167</v>
      </c>
    </row>
    <row r="4559" spans="1:14" ht="18.75">
      <c r="A4559" s="12" t="s">
        <v>6584</v>
      </c>
      <c r="B4559" s="1" t="s">
        <v>7110</v>
      </c>
      <c r="I4559" s="109"/>
      <c r="J4559" s="109"/>
      <c r="K4559" s="109"/>
      <c r="L4559" s="109" t="str">
        <f t="shared" si="71"/>
        <v>96-966200271</v>
      </c>
      <c r="M4559" s="114">
        <v>966200271</v>
      </c>
      <c r="N4559" s="114" t="s">
        <v>7167</v>
      </c>
    </row>
    <row r="4560" spans="1:14" ht="18.75">
      <c r="A4560" s="12" t="s">
        <v>6585</v>
      </c>
      <c r="B4560" s="1" t="s">
        <v>7110</v>
      </c>
      <c r="I4560" s="109"/>
      <c r="J4560" s="109"/>
      <c r="K4560" s="109"/>
      <c r="L4560" s="109" t="str">
        <f t="shared" si="71"/>
        <v>96-966200162</v>
      </c>
      <c r="M4560" s="114">
        <v>966200162</v>
      </c>
      <c r="N4560" s="114" t="s">
        <v>7859</v>
      </c>
    </row>
    <row r="4561" spans="1:14" ht="18.75">
      <c r="A4561" s="12" t="s">
        <v>6585</v>
      </c>
      <c r="B4561" s="1" t="s">
        <v>7110</v>
      </c>
      <c r="I4561" s="109"/>
      <c r="J4561" s="109"/>
      <c r="K4561" s="109"/>
      <c r="L4561" s="109" t="str">
        <f t="shared" si="71"/>
        <v>95-951700289</v>
      </c>
      <c r="M4561" s="114">
        <v>951700289</v>
      </c>
      <c r="N4561" s="114" t="s">
        <v>8334</v>
      </c>
    </row>
    <row r="4562" spans="1:14" ht="18.75">
      <c r="A4562" s="12" t="s">
        <v>6585</v>
      </c>
      <c r="B4562" s="1" t="s">
        <v>7110</v>
      </c>
      <c r="I4562" s="109"/>
      <c r="J4562" s="109"/>
      <c r="K4562" s="109"/>
      <c r="L4562" s="109" t="str">
        <f t="shared" si="71"/>
        <v>95-956100001</v>
      </c>
      <c r="M4562" s="114">
        <v>956100001</v>
      </c>
      <c r="N4562" s="114" t="s">
        <v>7773</v>
      </c>
    </row>
    <row r="4563" spans="1:14" ht="18.75">
      <c r="A4563" s="12" t="s">
        <v>6585</v>
      </c>
      <c r="B4563" s="1" t="s">
        <v>7110</v>
      </c>
      <c r="I4563" s="109"/>
      <c r="J4563" s="109"/>
      <c r="K4563" s="109"/>
      <c r="L4563" s="109" t="str">
        <f t="shared" si="71"/>
        <v>95-951600086</v>
      </c>
      <c r="M4563" s="114">
        <v>951600086</v>
      </c>
      <c r="N4563" s="114" t="s">
        <v>7779</v>
      </c>
    </row>
    <row r="4564" spans="1:14" ht="18.75">
      <c r="A4564" s="12" t="s">
        <v>6583</v>
      </c>
      <c r="B4564" s="1" t="s">
        <v>7110</v>
      </c>
      <c r="I4564" s="109"/>
      <c r="J4564" s="109"/>
      <c r="K4564" s="109"/>
      <c r="L4564" s="109" t="str">
        <f t="shared" si="71"/>
        <v>96-961900039</v>
      </c>
      <c r="M4564" s="114">
        <v>961900039</v>
      </c>
      <c r="N4564" s="114" t="s">
        <v>8335</v>
      </c>
    </row>
    <row r="4565" spans="1:14" ht="18.75">
      <c r="A4565" s="12" t="s">
        <v>6569</v>
      </c>
      <c r="B4565" s="1" t="s">
        <v>7110</v>
      </c>
      <c r="I4565" s="109"/>
      <c r="J4565" s="109"/>
      <c r="K4565" s="109"/>
      <c r="L4565" s="109" t="str">
        <f t="shared" si="71"/>
        <v>96-961900089</v>
      </c>
      <c r="M4565" s="114">
        <v>961900089</v>
      </c>
      <c r="N4565" s="114" t="s">
        <v>8332</v>
      </c>
    </row>
    <row r="4566" spans="1:14" ht="18.75">
      <c r="A4566" s="12" t="s">
        <v>6586</v>
      </c>
      <c r="B4566" s="1" t="s">
        <v>7110</v>
      </c>
      <c r="I4566" s="109"/>
      <c r="J4566" s="109"/>
      <c r="K4566" s="109"/>
      <c r="L4566" s="109" t="str">
        <f t="shared" si="71"/>
        <v>96-966200015</v>
      </c>
      <c r="M4566" s="114">
        <v>966200015</v>
      </c>
      <c r="N4566" s="114" t="s">
        <v>7988</v>
      </c>
    </row>
    <row r="4567" spans="1:14" ht="18.75">
      <c r="A4567" s="12" t="s">
        <v>6586</v>
      </c>
      <c r="B4567" s="1" t="s">
        <v>7110</v>
      </c>
      <c r="I4567" s="109"/>
      <c r="J4567" s="109"/>
      <c r="K4567" s="109"/>
      <c r="L4567" s="109" t="str">
        <f t="shared" si="71"/>
        <v>96-961100045</v>
      </c>
      <c r="M4567" s="114">
        <v>961100045</v>
      </c>
      <c r="N4567" s="114" t="s">
        <v>8336</v>
      </c>
    </row>
    <row r="4568" spans="1:14" ht="18.75">
      <c r="A4568" s="12" t="s">
        <v>6586</v>
      </c>
      <c r="B4568" s="1" t="s">
        <v>7110</v>
      </c>
      <c r="I4568" s="109"/>
      <c r="J4568" s="109"/>
      <c r="K4568" s="109"/>
      <c r="L4568" s="109" t="str">
        <f t="shared" si="71"/>
        <v>96-961800033</v>
      </c>
      <c r="M4568" s="114">
        <v>961800033</v>
      </c>
      <c r="N4568" s="114" t="s">
        <v>8337</v>
      </c>
    </row>
    <row r="4569" spans="1:14" ht="18.75">
      <c r="A4569" s="12" t="s">
        <v>6587</v>
      </c>
      <c r="B4569" s="1" t="s">
        <v>7110</v>
      </c>
      <c r="I4569" s="109"/>
      <c r="J4569" s="109"/>
      <c r="K4569" s="109"/>
      <c r="L4569" s="109" t="str">
        <f t="shared" si="71"/>
        <v>95-951100077</v>
      </c>
      <c r="M4569" s="114">
        <v>951100077</v>
      </c>
      <c r="N4569" s="114" t="s">
        <v>8338</v>
      </c>
    </row>
    <row r="4570" spans="1:14" ht="18.75">
      <c r="A4570" s="12" t="s">
        <v>6586</v>
      </c>
      <c r="B4570" s="1" t="s">
        <v>7110</v>
      </c>
      <c r="I4570" s="109"/>
      <c r="J4570" s="109"/>
      <c r="K4570" s="109"/>
      <c r="L4570" s="109" t="str">
        <f t="shared" si="71"/>
        <v>95-951900048</v>
      </c>
      <c r="M4570" s="114">
        <v>951900048</v>
      </c>
      <c r="N4570" s="114" t="s">
        <v>8347</v>
      </c>
    </row>
    <row r="4571" spans="1:14" ht="18.75">
      <c r="A4571" s="12" t="s">
        <v>6588</v>
      </c>
      <c r="B4571" s="1" t="s">
        <v>7110</v>
      </c>
      <c r="I4571" s="109"/>
      <c r="J4571" s="109"/>
      <c r="K4571" s="109"/>
      <c r="L4571" s="109" t="str">
        <f t="shared" si="71"/>
        <v>95-951200048</v>
      </c>
      <c r="M4571" s="114">
        <v>951200048</v>
      </c>
      <c r="N4571" s="114" t="s">
        <v>7174</v>
      </c>
    </row>
    <row r="4572" spans="1:14" ht="18.75">
      <c r="A4572" s="12" t="s">
        <v>6589</v>
      </c>
      <c r="B4572" s="1" t="s">
        <v>7110</v>
      </c>
      <c r="I4572" s="109"/>
      <c r="J4572" s="109"/>
      <c r="K4572" s="109"/>
      <c r="L4572" s="109" t="str">
        <f t="shared" si="71"/>
        <v>95-951200096</v>
      </c>
      <c r="M4572" s="114">
        <v>951200096</v>
      </c>
      <c r="N4572" s="114" t="s">
        <v>7218</v>
      </c>
    </row>
    <row r="4573" spans="1:14" ht="18.75">
      <c r="A4573" s="12" t="s">
        <v>6590</v>
      </c>
      <c r="B4573" s="1" t="s">
        <v>7110</v>
      </c>
      <c r="I4573" s="109"/>
      <c r="J4573" s="109"/>
      <c r="K4573" s="109"/>
      <c r="L4573" s="109" t="str">
        <f t="shared" si="71"/>
        <v>95-951100116</v>
      </c>
      <c r="M4573" s="114">
        <v>951100116</v>
      </c>
      <c r="N4573" s="114" t="s">
        <v>7990</v>
      </c>
    </row>
    <row r="4574" spans="1:14" ht="18.75">
      <c r="A4574" s="12" t="s">
        <v>6591</v>
      </c>
      <c r="B4574" s="1" t="s">
        <v>7110</v>
      </c>
      <c r="I4574" s="109"/>
      <c r="J4574" s="109"/>
      <c r="K4574" s="109"/>
      <c r="L4574" s="109" t="str">
        <f t="shared" si="71"/>
        <v>96-962200018</v>
      </c>
      <c r="M4574" s="114">
        <v>962200018</v>
      </c>
      <c r="N4574" s="114" t="s">
        <v>7239</v>
      </c>
    </row>
    <row r="4575" spans="1:14" ht="18.75">
      <c r="A4575" s="12" t="s">
        <v>6587</v>
      </c>
      <c r="B4575" s="1" t="s">
        <v>7110</v>
      </c>
      <c r="I4575" s="109"/>
      <c r="J4575" s="109"/>
      <c r="K4575" s="109"/>
      <c r="L4575" s="109" t="str">
        <f t="shared" si="71"/>
        <v>96-962200034</v>
      </c>
      <c r="M4575" s="114">
        <v>962200034</v>
      </c>
      <c r="N4575" s="114" t="s">
        <v>7173</v>
      </c>
    </row>
    <row r="4576" spans="1:14" ht="18.75">
      <c r="A4576" s="12" t="s">
        <v>6587</v>
      </c>
      <c r="B4576" s="1" t="s">
        <v>7110</v>
      </c>
      <c r="I4576" s="109"/>
      <c r="J4576" s="109"/>
      <c r="K4576" s="109"/>
      <c r="L4576" s="109" t="str">
        <f t="shared" si="71"/>
        <v>96-962500131</v>
      </c>
      <c r="M4576" s="114">
        <v>962500131</v>
      </c>
      <c r="N4576" s="114" t="s">
        <v>8753</v>
      </c>
    </row>
    <row r="4577" spans="1:14" ht="18.75">
      <c r="A4577" s="12" t="s">
        <v>6585</v>
      </c>
      <c r="B4577" s="1" t="s">
        <v>7110</v>
      </c>
      <c r="I4577" s="109"/>
      <c r="J4577" s="109"/>
      <c r="K4577" s="109"/>
      <c r="L4577" s="109" t="str">
        <f t="shared" si="71"/>
        <v>95-951200093</v>
      </c>
      <c r="M4577" s="114">
        <v>951200093</v>
      </c>
      <c r="N4577" s="114" t="s">
        <v>7151</v>
      </c>
    </row>
    <row r="4578" spans="1:14" ht="18.75">
      <c r="A4578" s="12" t="s">
        <v>6592</v>
      </c>
      <c r="B4578" s="1" t="s">
        <v>7110</v>
      </c>
      <c r="I4578" s="109"/>
      <c r="J4578" s="109"/>
      <c r="K4578" s="109"/>
      <c r="L4578" s="109" t="str">
        <f t="shared" si="71"/>
        <v>96-962200035</v>
      </c>
      <c r="M4578" s="114">
        <v>962200035</v>
      </c>
      <c r="N4578" s="114" t="s">
        <v>7173</v>
      </c>
    </row>
    <row r="4579" spans="1:14" ht="18.75">
      <c r="A4579" s="12" t="s">
        <v>6593</v>
      </c>
      <c r="B4579" s="1" t="s">
        <v>7110</v>
      </c>
      <c r="I4579" s="109"/>
      <c r="J4579" s="109"/>
      <c r="K4579" s="109"/>
      <c r="L4579" s="109" t="str">
        <f t="shared" si="71"/>
        <v>96-962500047</v>
      </c>
      <c r="M4579" s="114">
        <v>962500047</v>
      </c>
      <c r="N4579" s="114" t="s">
        <v>5841</v>
      </c>
    </row>
    <row r="4580" spans="1:14" ht="18.75">
      <c r="A4580" s="12" t="s">
        <v>6594</v>
      </c>
      <c r="B4580" s="1" t="s">
        <v>7110</v>
      </c>
      <c r="I4580" s="109"/>
      <c r="J4580" s="109"/>
      <c r="K4580" s="109"/>
      <c r="L4580" s="109" t="str">
        <f t="shared" si="71"/>
        <v>95-956200196</v>
      </c>
      <c r="M4580" s="114">
        <v>956200196</v>
      </c>
      <c r="N4580" s="114" t="s">
        <v>7879</v>
      </c>
    </row>
    <row r="4581" spans="1:14" ht="18.75">
      <c r="A4581" s="12" t="s">
        <v>6595</v>
      </c>
      <c r="B4581" s="1" t="s">
        <v>7110</v>
      </c>
      <c r="I4581" s="109"/>
      <c r="J4581" s="109"/>
      <c r="K4581" s="109"/>
      <c r="L4581" s="109" t="str">
        <f t="shared" si="71"/>
        <v>95-952200020</v>
      </c>
      <c r="M4581" s="114">
        <v>952200020</v>
      </c>
      <c r="N4581" s="114" t="s">
        <v>7174</v>
      </c>
    </row>
    <row r="4582" spans="1:14" ht="18.75">
      <c r="A4582" s="12" t="s">
        <v>6596</v>
      </c>
      <c r="B4582" s="1" t="s">
        <v>7110</v>
      </c>
      <c r="I4582" s="109"/>
      <c r="J4582" s="109"/>
      <c r="K4582" s="109"/>
      <c r="L4582" s="109" t="str">
        <f t="shared" si="71"/>
        <v>95-952200021</v>
      </c>
      <c r="M4582" s="114">
        <v>952200021</v>
      </c>
      <c r="N4582" s="114" t="s">
        <v>7174</v>
      </c>
    </row>
    <row r="4583" spans="1:14" ht="18.75">
      <c r="A4583" s="12" t="s">
        <v>6596</v>
      </c>
      <c r="B4583" s="1" t="s">
        <v>7110</v>
      </c>
      <c r="I4583" s="109"/>
      <c r="J4583" s="109"/>
      <c r="K4583" s="109"/>
      <c r="L4583" s="109" t="str">
        <f t="shared" si="71"/>
        <v>96-962200055</v>
      </c>
      <c r="M4583" s="114">
        <v>962200055</v>
      </c>
      <c r="N4583" s="114" t="s">
        <v>7452</v>
      </c>
    </row>
    <row r="4584" spans="1:14" ht="18.75">
      <c r="A4584" s="12" t="s">
        <v>6597</v>
      </c>
      <c r="B4584" s="1" t="s">
        <v>7110</v>
      </c>
      <c r="I4584" s="109"/>
      <c r="J4584" s="109"/>
      <c r="K4584" s="109"/>
      <c r="L4584" s="109" t="str">
        <f t="shared" si="71"/>
        <v>96-962200068</v>
      </c>
      <c r="M4584" s="114">
        <v>962200068</v>
      </c>
      <c r="N4584" s="114" t="s">
        <v>7125</v>
      </c>
    </row>
    <row r="4585" spans="1:14" ht="18.75">
      <c r="A4585" s="12" t="s">
        <v>6598</v>
      </c>
      <c r="B4585" s="1" t="s">
        <v>7110</v>
      </c>
      <c r="I4585" s="109"/>
      <c r="J4585" s="109"/>
      <c r="K4585" s="109"/>
      <c r="L4585" s="109" t="str">
        <f t="shared" si="71"/>
        <v>95-952500090</v>
      </c>
      <c r="M4585" s="114">
        <v>952500090</v>
      </c>
      <c r="N4585" s="114" t="s">
        <v>5753</v>
      </c>
    </row>
    <row r="4586" spans="1:14" ht="18.75">
      <c r="A4586" s="12" t="s">
        <v>6599</v>
      </c>
      <c r="B4586" s="1" t="s">
        <v>7110</v>
      </c>
      <c r="I4586" s="109"/>
      <c r="J4586" s="109"/>
      <c r="K4586" s="109"/>
      <c r="L4586" s="109" t="str">
        <f t="shared" si="71"/>
        <v>95-952500102</v>
      </c>
      <c r="M4586" s="114">
        <v>952500102</v>
      </c>
      <c r="N4586" s="114" t="s">
        <v>5753</v>
      </c>
    </row>
    <row r="4587" spans="1:14" ht="18.75">
      <c r="A4587" s="12" t="s">
        <v>6600</v>
      </c>
      <c r="B4587" s="1" t="s">
        <v>7110</v>
      </c>
      <c r="I4587" s="109"/>
      <c r="J4587" s="109"/>
      <c r="K4587" s="109"/>
      <c r="L4587" s="109" t="str">
        <f t="shared" si="71"/>
        <v>96-962500016</v>
      </c>
      <c r="M4587" s="114">
        <v>962500016</v>
      </c>
      <c r="N4587" s="114" t="s">
        <v>5781</v>
      </c>
    </row>
    <row r="4588" spans="1:14" ht="18.75">
      <c r="A4588" s="12" t="s">
        <v>6599</v>
      </c>
      <c r="B4588" s="1" t="s">
        <v>7110</v>
      </c>
      <c r="I4588" s="109"/>
      <c r="J4588" s="109"/>
      <c r="K4588" s="109"/>
      <c r="L4588" s="109" t="str">
        <f t="shared" si="71"/>
        <v>95-952500070</v>
      </c>
      <c r="M4588" s="114">
        <v>952500070</v>
      </c>
      <c r="N4588" s="114" t="s">
        <v>5710</v>
      </c>
    </row>
    <row r="4589" spans="1:14" ht="18.75">
      <c r="A4589" s="12" t="s">
        <v>6595</v>
      </c>
      <c r="B4589" s="1" t="s">
        <v>7110</v>
      </c>
      <c r="I4589" s="109"/>
      <c r="J4589" s="109"/>
      <c r="K4589" s="109"/>
      <c r="L4589" s="109" t="str">
        <f t="shared" si="71"/>
        <v>95-952500043</v>
      </c>
      <c r="M4589" s="114">
        <v>952500043</v>
      </c>
      <c r="N4589" s="114" t="s">
        <v>5675</v>
      </c>
    </row>
    <row r="4590" spans="1:14" ht="18.75">
      <c r="A4590" s="12" t="s">
        <v>6601</v>
      </c>
      <c r="B4590" s="1" t="s">
        <v>7110</v>
      </c>
      <c r="I4590" s="109"/>
      <c r="J4590" s="109"/>
      <c r="K4590" s="109"/>
      <c r="L4590" s="109" t="str">
        <f t="shared" si="71"/>
        <v>95-952500092</v>
      </c>
      <c r="M4590" s="114">
        <v>952500092</v>
      </c>
      <c r="N4590" s="114" t="s">
        <v>5733</v>
      </c>
    </row>
    <row r="4591" spans="1:14" ht="18.75">
      <c r="A4591" s="12" t="s">
        <v>6595</v>
      </c>
      <c r="B4591" s="1" t="s">
        <v>7110</v>
      </c>
      <c r="I4591" s="109"/>
      <c r="J4591" s="109"/>
      <c r="K4591" s="109"/>
      <c r="L4591" s="109" t="str">
        <f t="shared" si="71"/>
        <v>96-962500031</v>
      </c>
      <c r="M4591" s="114">
        <v>962500031</v>
      </c>
      <c r="N4591" s="114" t="s">
        <v>5810</v>
      </c>
    </row>
    <row r="4592" spans="1:14" ht="18.75">
      <c r="A4592" s="12" t="s">
        <v>6602</v>
      </c>
      <c r="B4592" s="1" t="s">
        <v>7110</v>
      </c>
      <c r="I4592" s="109"/>
      <c r="J4592" s="109"/>
      <c r="K4592" s="109"/>
      <c r="L4592" s="109" t="str">
        <f t="shared" si="71"/>
        <v>95-952500091</v>
      </c>
      <c r="M4592" s="114">
        <v>952500091</v>
      </c>
      <c r="N4592" s="114" t="s">
        <v>5755</v>
      </c>
    </row>
    <row r="4593" spans="1:14" ht="18.75">
      <c r="A4593" s="12" t="s">
        <v>6595</v>
      </c>
      <c r="B4593" s="1" t="s">
        <v>7110</v>
      </c>
      <c r="I4593" s="109"/>
      <c r="J4593" s="109"/>
      <c r="K4593" s="109"/>
      <c r="L4593" s="109" t="str">
        <f t="shared" si="71"/>
        <v>95-952500096</v>
      </c>
      <c r="M4593" s="114">
        <v>952500096</v>
      </c>
      <c r="N4593" s="114" t="s">
        <v>5755</v>
      </c>
    </row>
    <row r="4594" spans="1:14" ht="18.75">
      <c r="A4594" s="12" t="s">
        <v>6603</v>
      </c>
      <c r="B4594" s="1" t="s">
        <v>7110</v>
      </c>
      <c r="I4594" s="109"/>
      <c r="J4594" s="109"/>
      <c r="K4594" s="109"/>
      <c r="L4594" s="109" t="str">
        <f t="shared" si="71"/>
        <v>96-962500048</v>
      </c>
      <c r="M4594" s="114">
        <v>962500048</v>
      </c>
      <c r="N4594" s="114" t="s">
        <v>5841</v>
      </c>
    </row>
    <row r="4595" spans="1:14" ht="18.75">
      <c r="A4595" s="12" t="s">
        <v>6604</v>
      </c>
      <c r="B4595" s="1" t="s">
        <v>7110</v>
      </c>
      <c r="I4595" s="109"/>
      <c r="J4595" s="109"/>
      <c r="K4595" s="109"/>
      <c r="L4595" s="109" t="str">
        <f t="shared" si="71"/>
        <v>96-962500111</v>
      </c>
      <c r="M4595" s="114">
        <v>962500111</v>
      </c>
      <c r="N4595" s="114" t="s">
        <v>7211</v>
      </c>
    </row>
    <row r="4596" spans="1:14" ht="18.75">
      <c r="A4596" s="12" t="s">
        <v>6605</v>
      </c>
      <c r="B4596" s="1" t="s">
        <v>7110</v>
      </c>
      <c r="I4596" s="109"/>
      <c r="J4596" s="109"/>
      <c r="K4596" s="109"/>
      <c r="L4596" s="109" t="str">
        <f t="shared" si="71"/>
        <v>96-962500058</v>
      </c>
      <c r="M4596" s="114">
        <v>962500058</v>
      </c>
      <c r="N4596" s="114" t="s">
        <v>5856</v>
      </c>
    </row>
    <row r="4597" spans="1:14" ht="18.75">
      <c r="A4597" s="12" t="s">
        <v>6606</v>
      </c>
      <c r="B4597" s="1" t="s">
        <v>7110</v>
      </c>
      <c r="I4597" s="109"/>
      <c r="J4597" s="109"/>
      <c r="K4597" s="109"/>
      <c r="L4597" s="109" t="str">
        <f t="shared" si="71"/>
        <v>96-962500094</v>
      </c>
      <c r="M4597" s="114">
        <v>962500094</v>
      </c>
      <c r="N4597" s="114" t="s">
        <v>5856</v>
      </c>
    </row>
    <row r="4598" spans="1:14" ht="18.75">
      <c r="A4598" s="12" t="s">
        <v>6607</v>
      </c>
      <c r="B4598" s="1" t="s">
        <v>7110</v>
      </c>
      <c r="I4598" s="109"/>
      <c r="J4598" s="109"/>
      <c r="K4598" s="109"/>
      <c r="L4598" s="109" t="str">
        <f t="shared" si="71"/>
        <v>96-966200290</v>
      </c>
      <c r="M4598" s="114">
        <v>966200290</v>
      </c>
      <c r="N4598" s="114" t="s">
        <v>7223</v>
      </c>
    </row>
    <row r="4599" spans="1:14" ht="18.75">
      <c r="A4599" s="12" t="s">
        <v>6608</v>
      </c>
      <c r="B4599" s="1" t="s">
        <v>7110</v>
      </c>
      <c r="I4599" s="109"/>
      <c r="J4599" s="109"/>
      <c r="K4599" s="109"/>
      <c r="L4599" s="109" t="str">
        <f t="shared" si="71"/>
        <v>96-966200058</v>
      </c>
      <c r="M4599" s="114">
        <v>966200058</v>
      </c>
      <c r="N4599" s="114" t="s">
        <v>8002</v>
      </c>
    </row>
    <row r="4600" spans="1:14" ht="18.75">
      <c r="A4600" s="12" t="s">
        <v>6609</v>
      </c>
      <c r="B4600" s="1" t="s">
        <v>7110</v>
      </c>
      <c r="I4600" s="109"/>
      <c r="J4600" s="109"/>
      <c r="K4600" s="109"/>
      <c r="L4600" s="109" t="str">
        <f t="shared" si="71"/>
        <v>95-956200005</v>
      </c>
      <c r="M4600" s="114">
        <v>956200005</v>
      </c>
      <c r="N4600" s="114" t="s">
        <v>8003</v>
      </c>
    </row>
    <row r="4601" spans="1:14" ht="18.75">
      <c r="A4601" s="12" t="s">
        <v>6600</v>
      </c>
      <c r="B4601" s="1" t="s">
        <v>7110</v>
      </c>
      <c r="I4601" s="109"/>
      <c r="J4601" s="109"/>
      <c r="K4601" s="109"/>
      <c r="L4601" s="109" t="str">
        <f t="shared" si="71"/>
        <v>96-966200134</v>
      </c>
      <c r="M4601" s="114">
        <v>966200134</v>
      </c>
      <c r="N4601" s="114" t="s">
        <v>8005</v>
      </c>
    </row>
    <row r="4602" spans="1:14" ht="18.75">
      <c r="A4602" s="12" t="s">
        <v>6610</v>
      </c>
      <c r="B4602" s="1" t="s">
        <v>7110</v>
      </c>
      <c r="I4602" s="109"/>
      <c r="J4602" s="109"/>
      <c r="K4602" s="109"/>
      <c r="L4602" s="109" t="str">
        <f t="shared" si="71"/>
        <v>95-956200408</v>
      </c>
      <c r="M4602" s="114">
        <v>956200408</v>
      </c>
      <c r="N4602" s="114" t="s">
        <v>8006</v>
      </c>
    </row>
    <row r="4603" spans="1:14" ht="18.75">
      <c r="A4603" s="12" t="s">
        <v>6611</v>
      </c>
      <c r="B4603" s="1" t="s">
        <v>7110</v>
      </c>
      <c r="I4603" s="109"/>
      <c r="J4603" s="109"/>
      <c r="K4603" s="109"/>
      <c r="L4603" s="109" t="str">
        <f t="shared" si="71"/>
        <v>95-956200149</v>
      </c>
      <c r="M4603" s="114">
        <v>956200149</v>
      </c>
      <c r="N4603" s="114" t="s">
        <v>7965</v>
      </c>
    </row>
    <row r="4604" spans="1:14" ht="18.75">
      <c r="A4604" s="12" t="s">
        <v>6610</v>
      </c>
      <c r="B4604" s="1" t="s">
        <v>7110</v>
      </c>
      <c r="I4604" s="109"/>
      <c r="J4604" s="109"/>
      <c r="K4604" s="109"/>
      <c r="L4604" s="109" t="str">
        <f t="shared" si="71"/>
        <v>95-956200130</v>
      </c>
      <c r="M4604" s="114">
        <v>956200130</v>
      </c>
      <c r="N4604" s="114" t="s">
        <v>8008</v>
      </c>
    </row>
    <row r="4605" spans="1:14" ht="18.75">
      <c r="A4605" s="12" t="s">
        <v>6609</v>
      </c>
      <c r="B4605" s="1" t="s">
        <v>7110</v>
      </c>
      <c r="I4605" s="109"/>
      <c r="J4605" s="109"/>
      <c r="K4605" s="109"/>
      <c r="L4605" s="109" t="str">
        <f t="shared" si="71"/>
        <v>96-966200195</v>
      </c>
      <c r="M4605" s="114">
        <v>966200195</v>
      </c>
      <c r="N4605" s="114" t="s">
        <v>7224</v>
      </c>
    </row>
    <row r="4606" spans="1:14" ht="18.75">
      <c r="A4606" s="12" t="s">
        <v>6612</v>
      </c>
      <c r="B4606" s="1" t="s">
        <v>7110</v>
      </c>
      <c r="I4606" s="109"/>
      <c r="J4606" s="109"/>
      <c r="K4606" s="109"/>
      <c r="L4606" s="109" t="str">
        <f t="shared" si="71"/>
        <v>95-956200182</v>
      </c>
      <c r="M4606" s="114">
        <v>956200182</v>
      </c>
      <c r="N4606" s="114" t="s">
        <v>8009</v>
      </c>
    </row>
    <row r="4607" spans="1:14" ht="18.75">
      <c r="A4607" s="12" t="s">
        <v>6613</v>
      </c>
      <c r="B4607" s="1" t="s">
        <v>7110</v>
      </c>
      <c r="I4607" s="109"/>
      <c r="J4607" s="109"/>
      <c r="K4607" s="109"/>
      <c r="L4607" s="109" t="str">
        <f t="shared" si="71"/>
        <v>96-961100077</v>
      </c>
      <c r="M4607" s="114">
        <v>961100077</v>
      </c>
      <c r="N4607" s="114" t="s">
        <v>8754</v>
      </c>
    </row>
    <row r="4608" spans="1:14" ht="18.75">
      <c r="A4608" s="12" t="s">
        <v>6595</v>
      </c>
      <c r="B4608" s="1" t="s">
        <v>7110</v>
      </c>
      <c r="I4608" s="109"/>
      <c r="J4608" s="109"/>
      <c r="K4608" s="109"/>
      <c r="L4608" s="109" t="str">
        <f t="shared" si="71"/>
        <v>95-952000124</v>
      </c>
      <c r="M4608" s="114">
        <v>952000124</v>
      </c>
      <c r="N4608" s="114" t="s">
        <v>8010</v>
      </c>
    </row>
    <row r="4609" spans="1:14" ht="18.75">
      <c r="A4609" s="12" t="s">
        <v>6614</v>
      </c>
      <c r="B4609" s="1" t="s">
        <v>7110</v>
      </c>
      <c r="I4609" s="109"/>
      <c r="J4609" s="109"/>
      <c r="K4609" s="109"/>
      <c r="L4609" s="109" t="str">
        <f t="shared" si="71"/>
        <v>95-956200183</v>
      </c>
      <c r="M4609" s="114">
        <v>956200183</v>
      </c>
      <c r="N4609" s="114" t="s">
        <v>8009</v>
      </c>
    </row>
    <row r="4610" spans="1:14" ht="18.75">
      <c r="A4610" s="12" t="s">
        <v>6615</v>
      </c>
      <c r="B4610" s="1" t="s">
        <v>7110</v>
      </c>
      <c r="I4610" s="109"/>
      <c r="J4610" s="109"/>
      <c r="K4610" s="109"/>
      <c r="L4610" s="109" t="str">
        <f t="shared" si="71"/>
        <v>96-966200047</v>
      </c>
      <c r="M4610" s="114">
        <v>966200047</v>
      </c>
      <c r="N4610" s="114" t="s">
        <v>7998</v>
      </c>
    </row>
    <row r="4611" spans="1:14" ht="18.75">
      <c r="A4611" s="12" t="s">
        <v>6616</v>
      </c>
      <c r="B4611" s="1" t="s">
        <v>7110</v>
      </c>
      <c r="I4611" s="109"/>
      <c r="J4611" s="109"/>
      <c r="K4611" s="109"/>
      <c r="L4611" s="109" t="str">
        <f t="shared" ref="L4611:L4674" si="72">MID(M4611,1,2)&amp;"-"&amp;M4611</f>
        <v>96-964100020</v>
      </c>
      <c r="M4611" s="114">
        <v>964100020</v>
      </c>
      <c r="N4611" s="114" t="s">
        <v>5809</v>
      </c>
    </row>
    <row r="4612" spans="1:14" ht="18.75">
      <c r="A4612" s="12" t="s">
        <v>6601</v>
      </c>
      <c r="B4612" s="1" t="s">
        <v>7110</v>
      </c>
      <c r="I4612" s="109"/>
      <c r="J4612" s="109"/>
      <c r="K4612" s="109"/>
      <c r="L4612" s="109" t="str">
        <f t="shared" si="72"/>
        <v>96-964100041</v>
      </c>
      <c r="M4612" s="114">
        <v>964100041</v>
      </c>
      <c r="N4612" s="114" t="s">
        <v>5844</v>
      </c>
    </row>
    <row r="4613" spans="1:14" ht="18.75">
      <c r="A4613" s="12" t="s">
        <v>6593</v>
      </c>
      <c r="B4613" s="1" t="s">
        <v>7110</v>
      </c>
      <c r="I4613" s="109"/>
      <c r="J4613" s="109"/>
      <c r="K4613" s="109"/>
      <c r="L4613" s="109" t="str">
        <f t="shared" si="72"/>
        <v>95-952500021</v>
      </c>
      <c r="M4613" s="114">
        <v>952500021</v>
      </c>
      <c r="N4613" s="114" t="s">
        <v>5618</v>
      </c>
    </row>
    <row r="4614" spans="1:14" ht="18.75">
      <c r="A4614" s="12" t="s">
        <v>6617</v>
      </c>
      <c r="B4614" s="1" t="s">
        <v>7110</v>
      </c>
      <c r="I4614" s="109"/>
      <c r="J4614" s="109"/>
      <c r="K4614" s="109"/>
      <c r="L4614" s="109" t="str">
        <f t="shared" si="72"/>
        <v>96-966000018</v>
      </c>
      <c r="M4614" s="114">
        <v>966000018</v>
      </c>
      <c r="N4614" s="114" t="s">
        <v>7146</v>
      </c>
    </row>
    <row r="4615" spans="1:14" ht="18.75">
      <c r="A4615" s="12" t="s">
        <v>6618</v>
      </c>
      <c r="B4615" s="1" t="s">
        <v>7110</v>
      </c>
      <c r="I4615" s="109"/>
      <c r="J4615" s="109"/>
      <c r="K4615" s="109"/>
      <c r="L4615" s="109" t="str">
        <f t="shared" si="72"/>
        <v>95-952000021</v>
      </c>
      <c r="M4615" s="114">
        <v>952000021</v>
      </c>
      <c r="N4615" s="114" t="s">
        <v>7904</v>
      </c>
    </row>
    <row r="4616" spans="1:14" ht="18.75">
      <c r="A4616" s="12" t="s">
        <v>6618</v>
      </c>
      <c r="B4616" s="1" t="s">
        <v>7110</v>
      </c>
      <c r="I4616" s="109"/>
      <c r="J4616" s="109"/>
      <c r="K4616" s="109"/>
      <c r="L4616" s="109" t="str">
        <f t="shared" si="72"/>
        <v>95-952000215</v>
      </c>
      <c r="M4616" s="114">
        <v>952000215</v>
      </c>
      <c r="N4616" s="114" t="s">
        <v>7905</v>
      </c>
    </row>
    <row r="4617" spans="1:14" ht="18.75">
      <c r="A4617" s="12" t="s">
        <v>6619</v>
      </c>
      <c r="B4617" s="1" t="s">
        <v>7110</v>
      </c>
      <c r="I4617" s="109"/>
      <c r="J4617" s="109"/>
      <c r="K4617" s="109"/>
      <c r="L4617" s="109" t="str">
        <f t="shared" si="72"/>
        <v>95-952000337</v>
      </c>
      <c r="M4617" s="114">
        <v>952000337</v>
      </c>
      <c r="N4617" s="114" t="s">
        <v>7912</v>
      </c>
    </row>
    <row r="4618" spans="1:14" ht="18.75">
      <c r="A4618" s="12" t="s">
        <v>6612</v>
      </c>
      <c r="B4618" s="1" t="s">
        <v>7110</v>
      </c>
      <c r="I4618" s="109"/>
      <c r="J4618" s="109"/>
      <c r="K4618" s="109"/>
      <c r="L4618" s="109" t="str">
        <f t="shared" si="72"/>
        <v>95-952000221</v>
      </c>
      <c r="M4618" s="114">
        <v>952000221</v>
      </c>
      <c r="N4618" s="114" t="s">
        <v>7905</v>
      </c>
    </row>
    <row r="4619" spans="1:14" ht="18.75">
      <c r="A4619" s="12" t="s">
        <v>6619</v>
      </c>
      <c r="B4619" s="1" t="s">
        <v>7110</v>
      </c>
      <c r="I4619" s="109"/>
      <c r="J4619" s="109"/>
      <c r="K4619" s="109"/>
      <c r="L4619" s="109" t="str">
        <f t="shared" si="72"/>
        <v>95-956200311</v>
      </c>
      <c r="M4619" s="114">
        <v>956200311</v>
      </c>
      <c r="N4619" s="114" t="s">
        <v>7951</v>
      </c>
    </row>
    <row r="4620" spans="1:14" ht="18.75">
      <c r="A4620" s="12" t="s">
        <v>6606</v>
      </c>
      <c r="B4620" s="1" t="s">
        <v>7110</v>
      </c>
      <c r="I4620" s="109"/>
      <c r="J4620" s="109"/>
      <c r="K4620" s="109"/>
      <c r="L4620" s="109" t="str">
        <f t="shared" si="72"/>
        <v>95-956200277</v>
      </c>
      <c r="M4620" s="114">
        <v>956200277</v>
      </c>
      <c r="N4620" s="114" t="s">
        <v>7918</v>
      </c>
    </row>
    <row r="4621" spans="1:14" ht="18.75">
      <c r="A4621" s="12" t="s">
        <v>6598</v>
      </c>
      <c r="B4621" s="1" t="s">
        <v>7110</v>
      </c>
      <c r="I4621" s="109"/>
      <c r="J4621" s="109"/>
      <c r="K4621" s="109"/>
      <c r="L4621" s="109" t="str">
        <f t="shared" si="72"/>
        <v>95-952000258</v>
      </c>
      <c r="M4621" s="114">
        <v>952000258</v>
      </c>
      <c r="N4621" s="114" t="s">
        <v>8432</v>
      </c>
    </row>
    <row r="4622" spans="1:14" ht="18.75">
      <c r="A4622" s="12" t="s">
        <v>6595</v>
      </c>
      <c r="B4622" s="1" t="s">
        <v>7110</v>
      </c>
      <c r="I4622" s="109"/>
      <c r="J4622" s="109"/>
      <c r="K4622" s="109"/>
      <c r="L4622" s="109" t="str">
        <f t="shared" si="72"/>
        <v>95-952000007</v>
      </c>
      <c r="M4622" s="114">
        <v>952000007</v>
      </c>
      <c r="N4622" s="114" t="s">
        <v>7904</v>
      </c>
    </row>
    <row r="4623" spans="1:14" ht="18.75">
      <c r="A4623" s="12" t="s">
        <v>6620</v>
      </c>
      <c r="B4623" s="1" t="s">
        <v>7110</v>
      </c>
      <c r="I4623" s="109"/>
      <c r="J4623" s="109"/>
      <c r="K4623" s="109"/>
      <c r="L4623" s="109" t="str">
        <f t="shared" si="72"/>
        <v>95-952000109</v>
      </c>
      <c r="M4623" s="114">
        <v>952000109</v>
      </c>
      <c r="N4623" s="114" t="s">
        <v>8440</v>
      </c>
    </row>
    <row r="4624" spans="1:14" ht="18.75">
      <c r="A4624" s="12" t="s">
        <v>6621</v>
      </c>
      <c r="B4624" s="1" t="s">
        <v>7110</v>
      </c>
      <c r="I4624" s="109"/>
      <c r="J4624" s="109"/>
      <c r="K4624" s="109"/>
      <c r="L4624" s="109" t="str">
        <f t="shared" si="72"/>
        <v>95-952000089</v>
      </c>
      <c r="M4624" s="114">
        <v>952000089</v>
      </c>
      <c r="N4624" s="114" t="s">
        <v>8441</v>
      </c>
    </row>
    <row r="4625" spans="1:14" ht="18.75">
      <c r="A4625" s="12" t="s">
        <v>6593</v>
      </c>
      <c r="B4625" s="1" t="s">
        <v>7110</v>
      </c>
      <c r="I4625" s="109"/>
      <c r="J4625" s="109"/>
      <c r="K4625" s="109"/>
      <c r="L4625" s="109" t="str">
        <f t="shared" si="72"/>
        <v>95-956200027</v>
      </c>
      <c r="M4625" s="114">
        <v>956200027</v>
      </c>
      <c r="N4625" s="114" t="s">
        <v>8442</v>
      </c>
    </row>
    <row r="4626" spans="1:14" ht="18.75">
      <c r="A4626" s="12" t="s">
        <v>6605</v>
      </c>
      <c r="B4626" s="1" t="s">
        <v>7110</v>
      </c>
      <c r="I4626" s="109"/>
      <c r="J4626" s="109"/>
      <c r="K4626" s="109"/>
      <c r="L4626" s="109" t="str">
        <f t="shared" si="72"/>
        <v>96-966200309</v>
      </c>
      <c r="M4626" s="114">
        <v>966200309</v>
      </c>
      <c r="N4626" s="114" t="s">
        <v>8742</v>
      </c>
    </row>
    <row r="4627" spans="1:14" ht="18.75">
      <c r="A4627" s="12" t="s">
        <v>6595</v>
      </c>
      <c r="B4627" s="1" t="s">
        <v>7110</v>
      </c>
      <c r="I4627" s="109"/>
      <c r="J4627" s="109"/>
      <c r="K4627" s="109"/>
      <c r="L4627" s="109" t="str">
        <f t="shared" si="72"/>
        <v>95-956200043</v>
      </c>
      <c r="M4627" s="114">
        <v>956200043</v>
      </c>
      <c r="N4627" s="114" t="s">
        <v>7953</v>
      </c>
    </row>
    <row r="4628" spans="1:14" ht="18.75">
      <c r="A4628" s="12" t="s">
        <v>6622</v>
      </c>
      <c r="B4628" s="1" t="s">
        <v>7110</v>
      </c>
      <c r="I4628" s="109"/>
      <c r="J4628" s="109"/>
      <c r="K4628" s="109"/>
      <c r="L4628" s="109" t="str">
        <f t="shared" si="72"/>
        <v>95-952000008</v>
      </c>
      <c r="M4628" s="114">
        <v>952000008</v>
      </c>
      <c r="N4628" s="114" t="s">
        <v>7904</v>
      </c>
    </row>
    <row r="4629" spans="1:14" ht="18.75">
      <c r="A4629" s="12" t="s">
        <v>6623</v>
      </c>
      <c r="B4629" s="1" t="s">
        <v>7110</v>
      </c>
      <c r="I4629" s="109"/>
      <c r="J4629" s="109"/>
      <c r="K4629" s="109"/>
      <c r="L4629" s="109" t="str">
        <f t="shared" si="72"/>
        <v>95-956200077</v>
      </c>
      <c r="M4629" s="114">
        <v>956200077</v>
      </c>
      <c r="N4629" s="114" t="s">
        <v>8445</v>
      </c>
    </row>
    <row r="4630" spans="1:14" ht="18.75">
      <c r="A4630" s="12" t="s">
        <v>6620</v>
      </c>
      <c r="B4630" s="1" t="s">
        <v>7110</v>
      </c>
      <c r="I4630" s="109"/>
      <c r="J4630" s="109"/>
      <c r="K4630" s="109"/>
      <c r="L4630" s="109" t="str">
        <f t="shared" si="72"/>
        <v>95-956200084</v>
      </c>
      <c r="M4630" s="114">
        <v>956200084</v>
      </c>
      <c r="N4630" s="114" t="s">
        <v>8446</v>
      </c>
    </row>
    <row r="4631" spans="1:14" ht="18.75">
      <c r="A4631" s="12" t="s">
        <v>6607</v>
      </c>
      <c r="B4631" s="1" t="s">
        <v>7110</v>
      </c>
      <c r="I4631" s="109"/>
      <c r="J4631" s="109"/>
      <c r="K4631" s="109"/>
      <c r="L4631" s="109" t="str">
        <f t="shared" si="72"/>
        <v>95-956200085</v>
      </c>
      <c r="M4631" s="114">
        <v>956200085</v>
      </c>
      <c r="N4631" s="114" t="s">
        <v>8446</v>
      </c>
    </row>
    <row r="4632" spans="1:14" ht="18.75">
      <c r="A4632" s="12" t="s">
        <v>6602</v>
      </c>
      <c r="B4632" s="1" t="s">
        <v>7110</v>
      </c>
      <c r="I4632" s="109"/>
      <c r="J4632" s="109"/>
      <c r="K4632" s="109"/>
      <c r="L4632" s="109" t="str">
        <f t="shared" si="72"/>
        <v>95-956200111</v>
      </c>
      <c r="M4632" s="114">
        <v>956200111</v>
      </c>
      <c r="N4632" s="114" t="s">
        <v>8447</v>
      </c>
    </row>
    <row r="4633" spans="1:14" ht="18.75">
      <c r="A4633" s="12" t="s">
        <v>6608</v>
      </c>
      <c r="B4633" s="1" t="s">
        <v>7110</v>
      </c>
      <c r="I4633" s="109"/>
      <c r="J4633" s="109"/>
      <c r="K4633" s="109"/>
      <c r="L4633" s="109" t="str">
        <f t="shared" si="72"/>
        <v>95-956200198</v>
      </c>
      <c r="M4633" s="114">
        <v>956200198</v>
      </c>
      <c r="N4633" s="114" t="s">
        <v>7879</v>
      </c>
    </row>
    <row r="4634" spans="1:14" ht="18.75">
      <c r="A4634" s="12" t="s">
        <v>6624</v>
      </c>
      <c r="B4634" s="1" t="s">
        <v>7110</v>
      </c>
      <c r="I4634" s="109"/>
      <c r="J4634" s="109"/>
      <c r="K4634" s="109"/>
      <c r="L4634" s="109" t="str">
        <f t="shared" si="72"/>
        <v>95-956200218</v>
      </c>
      <c r="M4634" s="114">
        <v>956200218</v>
      </c>
      <c r="N4634" s="114" t="s">
        <v>7919</v>
      </c>
    </row>
    <row r="4635" spans="1:14" ht="18.75">
      <c r="A4635" s="12" t="s">
        <v>6624</v>
      </c>
      <c r="B4635" s="1" t="s">
        <v>7110</v>
      </c>
      <c r="I4635" s="109"/>
      <c r="J4635" s="109"/>
      <c r="K4635" s="109"/>
      <c r="L4635" s="109" t="str">
        <f t="shared" si="72"/>
        <v>95-956200269</v>
      </c>
      <c r="M4635" s="114">
        <v>956200269</v>
      </c>
      <c r="N4635" s="114" t="s">
        <v>7918</v>
      </c>
    </row>
    <row r="4636" spans="1:14" ht="18.75">
      <c r="A4636" s="12" t="s">
        <v>6624</v>
      </c>
      <c r="B4636" s="1" t="s">
        <v>7110</v>
      </c>
      <c r="I4636" s="109"/>
      <c r="J4636" s="109"/>
      <c r="K4636" s="109"/>
      <c r="L4636" s="109" t="str">
        <f t="shared" si="72"/>
        <v>95-956200322</v>
      </c>
      <c r="M4636" s="114">
        <v>956200322</v>
      </c>
      <c r="N4636" s="114" t="s">
        <v>7880</v>
      </c>
    </row>
    <row r="4637" spans="1:14" ht="18.75">
      <c r="A4637" s="12" t="s">
        <v>6624</v>
      </c>
      <c r="B4637" s="1" t="s">
        <v>7110</v>
      </c>
      <c r="I4637" s="109"/>
      <c r="J4637" s="109"/>
      <c r="K4637" s="109"/>
      <c r="L4637" s="109" t="str">
        <f t="shared" si="72"/>
        <v>96-966200066</v>
      </c>
      <c r="M4637" s="114">
        <v>966200066</v>
      </c>
      <c r="N4637" s="114" t="s">
        <v>8448</v>
      </c>
    </row>
    <row r="4638" spans="1:14" ht="18.75">
      <c r="A4638" s="12" t="s">
        <v>6593</v>
      </c>
      <c r="B4638" s="1" t="s">
        <v>7110</v>
      </c>
      <c r="I4638" s="109"/>
      <c r="J4638" s="109"/>
      <c r="K4638" s="109"/>
      <c r="L4638" s="109" t="str">
        <f t="shared" si="72"/>
        <v>95-956200003</v>
      </c>
      <c r="M4638" s="114">
        <v>956200003</v>
      </c>
      <c r="N4638" s="114" t="s">
        <v>8003</v>
      </c>
    </row>
    <row r="4639" spans="1:14" ht="18.75">
      <c r="A4639" s="12" t="s">
        <v>6625</v>
      </c>
      <c r="B4639" s="1" t="s">
        <v>7110</v>
      </c>
      <c r="I4639" s="109"/>
      <c r="J4639" s="109"/>
      <c r="K4639" s="109"/>
      <c r="L4639" s="109" t="str">
        <f t="shared" si="72"/>
        <v>95-956200406</v>
      </c>
      <c r="M4639" s="114">
        <v>956200406</v>
      </c>
      <c r="N4639" s="114" t="s">
        <v>8006</v>
      </c>
    </row>
    <row r="4640" spans="1:14" ht="18.75">
      <c r="A4640" s="12" t="s">
        <v>6600</v>
      </c>
      <c r="B4640" s="1" t="s">
        <v>7110</v>
      </c>
      <c r="I4640" s="109"/>
      <c r="J4640" s="109"/>
      <c r="K4640" s="109"/>
      <c r="L4640" s="109" t="str">
        <f t="shared" si="72"/>
        <v>95-951100059</v>
      </c>
      <c r="M4640" s="114">
        <v>951100059</v>
      </c>
      <c r="N4640" s="114" t="s">
        <v>8452</v>
      </c>
    </row>
    <row r="4641" spans="1:14" ht="18.75">
      <c r="A4641" s="12" t="s">
        <v>6605</v>
      </c>
      <c r="B4641" s="1" t="s">
        <v>7110</v>
      </c>
      <c r="I4641" s="109"/>
      <c r="J4641" s="109"/>
      <c r="K4641" s="109"/>
      <c r="L4641" s="109" t="str">
        <f t="shared" si="72"/>
        <v>95-951500001</v>
      </c>
      <c r="M4641" s="114">
        <v>951500001</v>
      </c>
      <c r="N4641" s="114" t="s">
        <v>5605</v>
      </c>
    </row>
    <row r="4642" spans="1:14" ht="18.75">
      <c r="A4642" s="12" t="s">
        <v>6610</v>
      </c>
      <c r="B4642" s="1" t="s">
        <v>7110</v>
      </c>
      <c r="I4642" s="109"/>
      <c r="J4642" s="109"/>
      <c r="K4642" s="109"/>
      <c r="L4642" s="109" t="str">
        <f t="shared" si="72"/>
        <v>95-951500185</v>
      </c>
      <c r="M4642" s="114">
        <v>951500185</v>
      </c>
      <c r="N4642" s="114" t="s">
        <v>5618</v>
      </c>
    </row>
    <row r="4643" spans="1:14" ht="18.75">
      <c r="A4643" s="12" t="s">
        <v>6600</v>
      </c>
      <c r="B4643" s="1" t="s">
        <v>7110</v>
      </c>
      <c r="I4643" s="109"/>
      <c r="J4643" s="109"/>
      <c r="K4643" s="109"/>
      <c r="L4643" s="109" t="str">
        <f t="shared" si="72"/>
        <v>95-951500207</v>
      </c>
      <c r="M4643" s="114">
        <v>951500207</v>
      </c>
      <c r="N4643" s="114" t="s">
        <v>5618</v>
      </c>
    </row>
    <row r="4644" spans="1:14" ht="18.75">
      <c r="A4644" s="12" t="s">
        <v>6602</v>
      </c>
      <c r="B4644" s="1" t="s">
        <v>7110</v>
      </c>
      <c r="I4644" s="109"/>
      <c r="J4644" s="109"/>
      <c r="K4644" s="109"/>
      <c r="L4644" s="109" t="str">
        <f t="shared" si="72"/>
        <v>95-951500555</v>
      </c>
      <c r="M4644" s="114">
        <v>951500555</v>
      </c>
      <c r="N4644" s="114" t="s">
        <v>5740</v>
      </c>
    </row>
    <row r="4645" spans="1:14" ht="18.75">
      <c r="A4645" s="12" t="s">
        <v>6609</v>
      </c>
      <c r="B4645" s="1" t="s">
        <v>7110</v>
      </c>
      <c r="I4645" s="109"/>
      <c r="J4645" s="109"/>
      <c r="K4645" s="109"/>
      <c r="L4645" s="109" t="str">
        <f t="shared" si="72"/>
        <v>95-951500228</v>
      </c>
      <c r="M4645" s="114">
        <v>951500228</v>
      </c>
      <c r="N4645" s="114" t="s">
        <v>5640</v>
      </c>
    </row>
    <row r="4646" spans="1:14" ht="18.75">
      <c r="A4646" s="12" t="s">
        <v>6626</v>
      </c>
      <c r="B4646" s="1" t="s">
        <v>7110</v>
      </c>
      <c r="I4646" s="109"/>
      <c r="J4646" s="109"/>
      <c r="K4646" s="109"/>
      <c r="L4646" s="109" t="str">
        <f t="shared" si="72"/>
        <v>95-951500249</v>
      </c>
      <c r="M4646" s="114">
        <v>951500249</v>
      </c>
      <c r="N4646" s="114" t="s">
        <v>5635</v>
      </c>
    </row>
    <row r="4647" spans="1:14" ht="18.75">
      <c r="A4647" s="12" t="s">
        <v>6626</v>
      </c>
      <c r="B4647" s="1" t="s">
        <v>7110</v>
      </c>
      <c r="I4647" s="109"/>
      <c r="J4647" s="109"/>
      <c r="K4647" s="109"/>
      <c r="L4647" s="109" t="str">
        <f t="shared" si="72"/>
        <v>96-961500217</v>
      </c>
      <c r="M4647" s="114">
        <v>961500217</v>
      </c>
      <c r="N4647" s="114" t="s">
        <v>5813</v>
      </c>
    </row>
    <row r="4648" spans="1:14" ht="18.75">
      <c r="A4648" s="12" t="s">
        <v>6627</v>
      </c>
      <c r="B4648" s="1" t="s">
        <v>7110</v>
      </c>
      <c r="I4648" s="109"/>
      <c r="J4648" s="109"/>
      <c r="K4648" s="109"/>
      <c r="L4648" s="109" t="str">
        <f t="shared" si="72"/>
        <v>96-961500258</v>
      </c>
      <c r="M4648" s="114">
        <v>961500258</v>
      </c>
      <c r="N4648" s="114" t="s">
        <v>5826</v>
      </c>
    </row>
    <row r="4649" spans="1:14" ht="18.75">
      <c r="A4649" s="12" t="s">
        <v>6595</v>
      </c>
      <c r="B4649" s="1" t="s">
        <v>7110</v>
      </c>
      <c r="I4649" s="109"/>
      <c r="J4649" s="109"/>
      <c r="K4649" s="109"/>
      <c r="L4649" s="109" t="str">
        <f t="shared" si="72"/>
        <v>95-951500039</v>
      </c>
      <c r="M4649" s="114">
        <v>951500039</v>
      </c>
      <c r="N4649" s="114" t="s">
        <v>5608</v>
      </c>
    </row>
    <row r="4650" spans="1:14" ht="18.75">
      <c r="A4650" s="12" t="s">
        <v>6595</v>
      </c>
      <c r="B4650" s="1" t="s">
        <v>7110</v>
      </c>
      <c r="I4650" s="109"/>
      <c r="J4650" s="109"/>
      <c r="K4650" s="109"/>
      <c r="L4650" s="109" t="str">
        <f t="shared" si="72"/>
        <v>95-951500434</v>
      </c>
      <c r="M4650" s="114">
        <v>951500434</v>
      </c>
      <c r="N4650" s="114" t="s">
        <v>5690</v>
      </c>
    </row>
    <row r="4651" spans="1:14" ht="18.75">
      <c r="A4651" s="12" t="s">
        <v>6608</v>
      </c>
      <c r="B4651" s="1" t="s">
        <v>7110</v>
      </c>
      <c r="I4651" s="109"/>
      <c r="J4651" s="109"/>
      <c r="K4651" s="109"/>
      <c r="L4651" s="109" t="str">
        <f t="shared" si="72"/>
        <v>95-951500442</v>
      </c>
      <c r="M4651" s="114">
        <v>951500442</v>
      </c>
      <c r="N4651" s="114" t="s">
        <v>5690</v>
      </c>
    </row>
    <row r="4652" spans="1:14" ht="18.75">
      <c r="A4652" s="12" t="s">
        <v>6628</v>
      </c>
      <c r="B4652" s="1" t="s">
        <v>7110</v>
      </c>
      <c r="I4652" s="109"/>
      <c r="J4652" s="109"/>
      <c r="K4652" s="109"/>
      <c r="L4652" s="109" t="str">
        <f t="shared" si="72"/>
        <v>95-951500444</v>
      </c>
      <c r="M4652" s="114">
        <v>951500444</v>
      </c>
      <c r="N4652" s="114" t="s">
        <v>5690</v>
      </c>
    </row>
    <row r="4653" spans="1:14" ht="18.75">
      <c r="A4653" s="12" t="s">
        <v>6629</v>
      </c>
      <c r="B4653" s="1" t="s">
        <v>7110</v>
      </c>
      <c r="I4653" s="109"/>
      <c r="J4653" s="109"/>
      <c r="K4653" s="109"/>
      <c r="L4653" s="109" t="str">
        <f t="shared" si="72"/>
        <v>95-951500462</v>
      </c>
      <c r="M4653" s="114">
        <v>951500462</v>
      </c>
      <c r="N4653" s="114" t="s">
        <v>5690</v>
      </c>
    </row>
    <row r="4654" spans="1:14" ht="18.75">
      <c r="A4654" s="12" t="s">
        <v>6630</v>
      </c>
      <c r="B4654" s="1" t="s">
        <v>7110</v>
      </c>
      <c r="I4654" s="109"/>
      <c r="J4654" s="109"/>
      <c r="K4654" s="109"/>
      <c r="L4654" s="109" t="str">
        <f t="shared" si="72"/>
        <v>95-951500504</v>
      </c>
      <c r="M4654" s="114">
        <v>951500504</v>
      </c>
      <c r="N4654" s="114" t="s">
        <v>5690</v>
      </c>
    </row>
    <row r="4655" spans="1:14" ht="18.75">
      <c r="A4655" s="12" t="s">
        <v>6631</v>
      </c>
      <c r="B4655" s="1" t="s">
        <v>7110</v>
      </c>
      <c r="I4655" s="109"/>
      <c r="J4655" s="109"/>
      <c r="K4655" s="109"/>
      <c r="L4655" s="109" t="str">
        <f t="shared" si="72"/>
        <v>96-961500526</v>
      </c>
      <c r="M4655" s="114">
        <v>961500526</v>
      </c>
      <c r="N4655" s="114" t="s">
        <v>8497</v>
      </c>
    </row>
    <row r="4656" spans="1:14" ht="18.75">
      <c r="A4656" s="12" t="s">
        <v>6608</v>
      </c>
      <c r="B4656" s="1" t="s">
        <v>7110</v>
      </c>
      <c r="I4656" s="109"/>
      <c r="J4656" s="109"/>
      <c r="K4656" s="109"/>
      <c r="L4656" s="109" t="str">
        <f t="shared" si="72"/>
        <v>95-951500037</v>
      </c>
      <c r="M4656" s="114">
        <v>951500037</v>
      </c>
      <c r="N4656" s="114" t="s">
        <v>5614</v>
      </c>
    </row>
    <row r="4657" spans="1:14" ht="18.75">
      <c r="A4657" s="12" t="s">
        <v>6631</v>
      </c>
      <c r="B4657" s="1" t="s">
        <v>7110</v>
      </c>
      <c r="I4657" s="109"/>
      <c r="J4657" s="109"/>
      <c r="K4657" s="109"/>
      <c r="L4657" s="109" t="str">
        <f t="shared" si="72"/>
        <v>95-951500384</v>
      </c>
      <c r="M4657" s="114">
        <v>951500384</v>
      </c>
      <c r="N4657" s="114" t="s">
        <v>5668</v>
      </c>
    </row>
    <row r="4658" spans="1:14" ht="18.75">
      <c r="A4658" s="12" t="s">
        <v>6632</v>
      </c>
      <c r="B4658" s="1" t="s">
        <v>7110</v>
      </c>
      <c r="I4658" s="109"/>
      <c r="J4658" s="109"/>
      <c r="K4658" s="109"/>
      <c r="L4658" s="109" t="str">
        <f t="shared" si="72"/>
        <v>95-951400043</v>
      </c>
      <c r="M4658" s="114">
        <v>951400043</v>
      </c>
      <c r="N4658" s="114" t="s">
        <v>7196</v>
      </c>
    </row>
    <row r="4659" spans="1:14" ht="18.75">
      <c r="A4659" s="12" t="s">
        <v>6632</v>
      </c>
      <c r="B4659" s="1" t="s">
        <v>7110</v>
      </c>
      <c r="I4659" s="109"/>
      <c r="J4659" s="109"/>
      <c r="K4659" s="109"/>
      <c r="L4659" s="109" t="str">
        <f t="shared" si="72"/>
        <v>95-951400046</v>
      </c>
      <c r="M4659" s="114">
        <v>951400046</v>
      </c>
      <c r="N4659" s="114" t="s">
        <v>7196</v>
      </c>
    </row>
    <row r="4660" spans="1:14" ht="18.75">
      <c r="A4660" s="12" t="s">
        <v>6608</v>
      </c>
      <c r="B4660" s="1" t="s">
        <v>7110</v>
      </c>
      <c r="I4660" s="109"/>
      <c r="J4660" s="109"/>
      <c r="K4660" s="109"/>
      <c r="L4660" s="109" t="str">
        <f t="shared" si="72"/>
        <v>95-951500516</v>
      </c>
      <c r="M4660" s="114">
        <v>951500516</v>
      </c>
      <c r="N4660" s="114" t="s">
        <v>5715</v>
      </c>
    </row>
    <row r="4661" spans="1:14" ht="18.75">
      <c r="A4661" s="12" t="s">
        <v>6633</v>
      </c>
      <c r="B4661" s="1" t="s">
        <v>7110</v>
      </c>
      <c r="I4661" s="109"/>
      <c r="J4661" s="109"/>
      <c r="K4661" s="109"/>
      <c r="L4661" s="109" t="str">
        <f t="shared" si="72"/>
        <v>95-951100171</v>
      </c>
      <c r="M4661" s="114">
        <v>951100171</v>
      </c>
      <c r="N4661" s="114" t="s">
        <v>8455</v>
      </c>
    </row>
    <row r="4662" spans="1:14" ht="18.75">
      <c r="A4662" s="12" t="s">
        <v>6633</v>
      </c>
      <c r="B4662" s="1" t="s">
        <v>7110</v>
      </c>
      <c r="I4662" s="109"/>
      <c r="J4662" s="109"/>
      <c r="K4662" s="109"/>
      <c r="L4662" s="109" t="str">
        <f t="shared" si="72"/>
        <v>95-951400002</v>
      </c>
      <c r="M4662" s="114">
        <v>951400002</v>
      </c>
      <c r="N4662" s="114" t="s">
        <v>7929</v>
      </c>
    </row>
    <row r="4663" spans="1:14" ht="18.75">
      <c r="A4663" s="12" t="s">
        <v>6634</v>
      </c>
      <c r="B4663" s="1" t="s">
        <v>7110</v>
      </c>
      <c r="I4663" s="109"/>
      <c r="J4663" s="109"/>
      <c r="K4663" s="109"/>
      <c r="L4663" s="109" t="str">
        <f t="shared" si="72"/>
        <v>96-961100008</v>
      </c>
      <c r="M4663" s="114">
        <v>961100008</v>
      </c>
      <c r="N4663" s="114" t="s">
        <v>8458</v>
      </c>
    </row>
    <row r="4664" spans="1:14" ht="18.75">
      <c r="A4664" s="12" t="s">
        <v>6635</v>
      </c>
      <c r="B4664" s="1" t="s">
        <v>7110</v>
      </c>
      <c r="I4664" s="109"/>
      <c r="J4664" s="109"/>
      <c r="K4664" s="109"/>
      <c r="L4664" s="109" t="str">
        <f t="shared" si="72"/>
        <v>95-952000218</v>
      </c>
      <c r="M4664" s="114">
        <v>952000218</v>
      </c>
      <c r="N4664" s="114" t="s">
        <v>7905</v>
      </c>
    </row>
    <row r="4665" spans="1:14" ht="18.75">
      <c r="A4665" s="12" t="s">
        <v>6636</v>
      </c>
      <c r="B4665" s="1" t="s">
        <v>7110</v>
      </c>
      <c r="I4665" s="109"/>
      <c r="J4665" s="109"/>
      <c r="K4665" s="109"/>
      <c r="L4665" s="109" t="str">
        <f t="shared" si="72"/>
        <v>95-951100075</v>
      </c>
      <c r="M4665" s="114">
        <v>951100075</v>
      </c>
      <c r="N4665" s="114" t="s">
        <v>8460</v>
      </c>
    </row>
    <row r="4666" spans="1:14" ht="18.75">
      <c r="A4666" s="12" t="s">
        <v>6608</v>
      </c>
      <c r="B4666" s="1" t="s">
        <v>7110</v>
      </c>
      <c r="I4666" s="109"/>
      <c r="J4666" s="109"/>
      <c r="K4666" s="109"/>
      <c r="L4666" s="109" t="str">
        <f t="shared" si="72"/>
        <v>96-966200062</v>
      </c>
      <c r="M4666" s="114">
        <v>966200062</v>
      </c>
      <c r="N4666" s="114" t="s">
        <v>8429</v>
      </c>
    </row>
    <row r="4667" spans="1:14" ht="18.75">
      <c r="A4667" s="12" t="s">
        <v>6635</v>
      </c>
      <c r="B4667" s="1" t="s">
        <v>7110</v>
      </c>
      <c r="I4667" s="109"/>
      <c r="J4667" s="109"/>
      <c r="K4667" s="109"/>
      <c r="L4667" s="109" t="str">
        <f t="shared" si="72"/>
        <v>96-961100076</v>
      </c>
      <c r="M4667" s="114">
        <v>961100076</v>
      </c>
      <c r="N4667" s="114" t="s">
        <v>8755</v>
      </c>
    </row>
    <row r="4668" spans="1:14" ht="18.75">
      <c r="A4668" s="12" t="s">
        <v>6616</v>
      </c>
      <c r="B4668" s="1" t="s">
        <v>7110</v>
      </c>
      <c r="I4668" s="109"/>
      <c r="J4668" s="109"/>
      <c r="K4668" s="109"/>
      <c r="L4668" s="109" t="str">
        <f t="shared" si="72"/>
        <v>95-952000123</v>
      </c>
      <c r="M4668" s="114">
        <v>952000123</v>
      </c>
      <c r="N4668" s="114" t="s">
        <v>8010</v>
      </c>
    </row>
    <row r="4669" spans="1:14" ht="18.75">
      <c r="A4669" s="12" t="s">
        <v>6629</v>
      </c>
      <c r="B4669" s="1" t="s">
        <v>7110</v>
      </c>
      <c r="I4669" s="109"/>
      <c r="J4669" s="109"/>
      <c r="K4669" s="109"/>
      <c r="L4669" s="109" t="str">
        <f t="shared" si="72"/>
        <v>95-956200156</v>
      </c>
      <c r="M4669" s="114">
        <v>956200156</v>
      </c>
      <c r="N4669" s="114" t="s">
        <v>7980</v>
      </c>
    </row>
    <row r="4670" spans="1:14" ht="18.75">
      <c r="A4670" s="12" t="s">
        <v>6637</v>
      </c>
      <c r="B4670" s="1" t="s">
        <v>7110</v>
      </c>
      <c r="I4670" s="109"/>
      <c r="J4670" s="109"/>
      <c r="K4670" s="109"/>
      <c r="L4670" s="109" t="str">
        <f t="shared" si="72"/>
        <v>95-956200050</v>
      </c>
      <c r="M4670" s="114">
        <v>956200050</v>
      </c>
      <c r="N4670" s="114" t="s">
        <v>7916</v>
      </c>
    </row>
    <row r="4671" spans="1:14" ht="18.75">
      <c r="A4671" s="12" t="s">
        <v>6635</v>
      </c>
      <c r="B4671" s="1" t="s">
        <v>7110</v>
      </c>
      <c r="I4671" s="109"/>
      <c r="J4671" s="109"/>
      <c r="K4671" s="109"/>
      <c r="L4671" s="109" t="str">
        <f t="shared" si="72"/>
        <v>95-956200284</v>
      </c>
      <c r="M4671" s="114">
        <v>956200284</v>
      </c>
      <c r="N4671" s="114" t="s">
        <v>8430</v>
      </c>
    </row>
    <row r="4672" spans="1:14" ht="18.75">
      <c r="A4672" s="12" t="s">
        <v>6638</v>
      </c>
      <c r="B4672" s="1" t="s">
        <v>7110</v>
      </c>
      <c r="I4672" s="109"/>
      <c r="J4672" s="109"/>
      <c r="K4672" s="109"/>
      <c r="L4672" s="109" t="str">
        <f t="shared" si="72"/>
        <v>95-956200319</v>
      </c>
      <c r="M4672" s="114">
        <v>956200319</v>
      </c>
      <c r="N4672" s="114" t="s">
        <v>7880</v>
      </c>
    </row>
    <row r="4673" spans="1:14" ht="18.75">
      <c r="A4673" s="12" t="s">
        <v>6635</v>
      </c>
      <c r="B4673" s="1" t="s">
        <v>7110</v>
      </c>
      <c r="I4673" s="109"/>
      <c r="J4673" s="109"/>
      <c r="K4673" s="109"/>
      <c r="L4673" s="109" t="str">
        <f t="shared" si="72"/>
        <v>96-961100072</v>
      </c>
      <c r="M4673" s="114">
        <v>961100072</v>
      </c>
      <c r="N4673" s="114" t="s">
        <v>8462</v>
      </c>
    </row>
    <row r="4674" spans="1:14" ht="18.75">
      <c r="A4674" s="12" t="s">
        <v>6619</v>
      </c>
      <c r="B4674" s="1" t="s">
        <v>7110</v>
      </c>
      <c r="I4674" s="109"/>
      <c r="J4674" s="109"/>
      <c r="K4674" s="109"/>
      <c r="L4674" s="109" t="str">
        <f t="shared" si="72"/>
        <v>95-952000001</v>
      </c>
      <c r="M4674" s="114">
        <v>952000001</v>
      </c>
      <c r="N4674" s="114" t="s">
        <v>8431</v>
      </c>
    </row>
    <row r="4675" spans="1:14" ht="18.75">
      <c r="A4675" s="12" t="s">
        <v>6639</v>
      </c>
      <c r="B4675" s="1" t="s">
        <v>7110</v>
      </c>
      <c r="I4675" s="109"/>
      <c r="J4675" s="109"/>
      <c r="K4675" s="109"/>
      <c r="L4675" s="109" t="str">
        <f t="shared" ref="L4675:L4738" si="73">MID(M4675,1,2)&amp;"-"&amp;M4675</f>
        <v>95-952000232</v>
      </c>
      <c r="M4675" s="114">
        <v>952000232</v>
      </c>
      <c r="N4675" s="114" t="s">
        <v>7903</v>
      </c>
    </row>
    <row r="4676" spans="1:14" ht="18.75">
      <c r="A4676" s="12" t="s">
        <v>6640</v>
      </c>
      <c r="B4676" s="1" t="s">
        <v>7110</v>
      </c>
      <c r="I4676" s="109"/>
      <c r="J4676" s="109"/>
      <c r="K4676" s="109"/>
      <c r="L4676" s="109" t="str">
        <f t="shared" si="73"/>
        <v>95-952000254</v>
      </c>
      <c r="M4676" s="114">
        <v>952000254</v>
      </c>
      <c r="N4676" s="114" t="s">
        <v>8432</v>
      </c>
    </row>
    <row r="4677" spans="1:14" ht="18.75">
      <c r="A4677" s="12" t="s">
        <v>6624</v>
      </c>
      <c r="B4677" s="1" t="s">
        <v>7110</v>
      </c>
      <c r="I4677" s="109"/>
      <c r="J4677" s="109"/>
      <c r="K4677" s="109"/>
      <c r="L4677" s="109" t="str">
        <f t="shared" si="73"/>
        <v>96-962000123</v>
      </c>
      <c r="M4677" s="114">
        <v>962000123</v>
      </c>
      <c r="N4677" s="114" t="s">
        <v>7936</v>
      </c>
    </row>
    <row r="4678" spans="1:14" ht="18.75">
      <c r="A4678" s="12" t="s">
        <v>6624</v>
      </c>
      <c r="B4678" s="1" t="s">
        <v>7110</v>
      </c>
      <c r="I4678" s="109"/>
      <c r="J4678" s="109"/>
      <c r="K4678" s="109"/>
      <c r="L4678" s="109" t="str">
        <f t="shared" si="73"/>
        <v>95-952000035</v>
      </c>
      <c r="M4678" s="114">
        <v>952000035</v>
      </c>
      <c r="N4678" s="114" t="s">
        <v>7904</v>
      </c>
    </row>
    <row r="4679" spans="1:14" ht="18.75">
      <c r="A4679" s="12" t="s">
        <v>6624</v>
      </c>
      <c r="B4679" s="1" t="s">
        <v>7110</v>
      </c>
      <c r="I4679" s="109"/>
      <c r="J4679" s="109"/>
      <c r="K4679" s="109"/>
      <c r="L4679" s="109" t="str">
        <f t="shared" si="73"/>
        <v>95-956200068</v>
      </c>
      <c r="M4679" s="114">
        <v>956200068</v>
      </c>
      <c r="N4679" s="114" t="s">
        <v>8433</v>
      </c>
    </row>
    <row r="4680" spans="1:14" ht="18.75">
      <c r="A4680" s="12" t="s">
        <v>6641</v>
      </c>
      <c r="B4680" s="1" t="s">
        <v>7110</v>
      </c>
      <c r="I4680" s="109"/>
      <c r="J4680" s="109"/>
      <c r="K4680" s="109"/>
      <c r="L4680" s="109" t="str">
        <f t="shared" si="73"/>
        <v>95-956200028</v>
      </c>
      <c r="M4680" s="114">
        <v>956200028</v>
      </c>
      <c r="N4680" s="114" t="s">
        <v>8434</v>
      </c>
    </row>
    <row r="4681" spans="1:14" ht="18.75">
      <c r="A4681" s="12" t="s">
        <v>6640</v>
      </c>
      <c r="B4681" s="1" t="s">
        <v>7110</v>
      </c>
      <c r="I4681" s="109"/>
      <c r="J4681" s="109"/>
      <c r="K4681" s="109"/>
      <c r="L4681" s="109" t="str">
        <f t="shared" si="73"/>
        <v>95-956200170</v>
      </c>
      <c r="M4681" s="114">
        <v>956200170</v>
      </c>
      <c r="N4681" s="114" t="s">
        <v>7938</v>
      </c>
    </row>
    <row r="4682" spans="1:14" ht="18.75">
      <c r="A4682" s="12" t="s">
        <v>6642</v>
      </c>
      <c r="B4682" s="1" t="s">
        <v>7110</v>
      </c>
      <c r="I4682" s="109"/>
      <c r="J4682" s="109"/>
      <c r="K4682" s="109"/>
      <c r="L4682" s="109" t="str">
        <f t="shared" si="73"/>
        <v>95-956200171</v>
      </c>
      <c r="M4682" s="114">
        <v>956200171</v>
      </c>
      <c r="N4682" s="114" t="s">
        <v>7938</v>
      </c>
    </row>
    <row r="4683" spans="1:14" ht="18.75">
      <c r="A4683" s="12" t="s">
        <v>6642</v>
      </c>
      <c r="B4683" s="1" t="s">
        <v>7110</v>
      </c>
      <c r="I4683" s="109"/>
      <c r="J4683" s="109"/>
      <c r="K4683" s="109"/>
      <c r="L4683" s="109" t="str">
        <f t="shared" si="73"/>
        <v>96-966200190</v>
      </c>
      <c r="M4683" s="114">
        <v>966200190</v>
      </c>
      <c r="N4683" s="114" t="s">
        <v>8435</v>
      </c>
    </row>
    <row r="4684" spans="1:14" ht="18.75">
      <c r="A4684" s="12" t="s">
        <v>6643</v>
      </c>
      <c r="B4684" s="1" t="s">
        <v>7110</v>
      </c>
      <c r="I4684" s="109"/>
      <c r="J4684" s="109"/>
      <c r="K4684" s="109"/>
      <c r="L4684" s="109" t="str">
        <f t="shared" si="73"/>
        <v>95-956200138</v>
      </c>
      <c r="M4684" s="114">
        <v>956200138</v>
      </c>
      <c r="N4684" s="114" t="s">
        <v>8463</v>
      </c>
    </row>
    <row r="4685" spans="1:14" ht="18.75">
      <c r="A4685" s="12" t="s">
        <v>6635</v>
      </c>
      <c r="B4685" s="1" t="s">
        <v>7110</v>
      </c>
      <c r="I4685" s="109"/>
      <c r="J4685" s="109"/>
      <c r="K4685" s="109"/>
      <c r="L4685" s="109" t="str">
        <f t="shared" si="73"/>
        <v>95-956200268</v>
      </c>
      <c r="M4685" s="114">
        <v>956200268</v>
      </c>
      <c r="N4685" s="114" t="s">
        <v>7918</v>
      </c>
    </row>
    <row r="4686" spans="1:14" ht="18.75">
      <c r="A4686" s="12" t="s">
        <v>6644</v>
      </c>
      <c r="B4686" s="1" t="s">
        <v>7110</v>
      </c>
      <c r="I4686" s="109"/>
      <c r="J4686" s="109"/>
      <c r="K4686" s="109"/>
      <c r="L4686" s="109" t="str">
        <f t="shared" si="73"/>
        <v>95-956200201</v>
      </c>
      <c r="M4686" s="114">
        <v>956200201</v>
      </c>
      <c r="N4686" s="114" t="s">
        <v>7879</v>
      </c>
    </row>
    <row r="4687" spans="1:14" ht="18.75">
      <c r="A4687" s="12" t="s">
        <v>6616</v>
      </c>
      <c r="B4687" s="1" t="s">
        <v>7110</v>
      </c>
      <c r="I4687" s="109"/>
      <c r="J4687" s="109"/>
      <c r="K4687" s="109"/>
      <c r="L4687" s="109" t="str">
        <f t="shared" si="73"/>
        <v>95-956200203</v>
      </c>
      <c r="M4687" s="114">
        <v>956200203</v>
      </c>
      <c r="N4687" s="114" t="s">
        <v>7879</v>
      </c>
    </row>
    <row r="4688" spans="1:14" ht="18.75">
      <c r="A4688" s="12" t="s">
        <v>6637</v>
      </c>
      <c r="B4688" s="1" t="s">
        <v>7110</v>
      </c>
      <c r="I4688" s="109"/>
      <c r="J4688" s="109"/>
      <c r="K4688" s="109"/>
      <c r="L4688" s="109" t="str">
        <f t="shared" si="73"/>
        <v>95-956200270</v>
      </c>
      <c r="M4688" s="114">
        <v>956200270</v>
      </c>
      <c r="N4688" s="114" t="s">
        <v>7918</v>
      </c>
    </row>
    <row r="4689" spans="1:14" ht="18.75">
      <c r="A4689" s="12" t="s">
        <v>6645</v>
      </c>
      <c r="B4689" s="1" t="s">
        <v>7110</v>
      </c>
      <c r="I4689" s="109"/>
      <c r="J4689" s="109"/>
      <c r="K4689" s="109"/>
      <c r="L4689" s="109" t="str">
        <f t="shared" si="73"/>
        <v>95-956200271</v>
      </c>
      <c r="M4689" s="114">
        <v>956200271</v>
      </c>
      <c r="N4689" s="114" t="s">
        <v>7918</v>
      </c>
    </row>
    <row r="4690" spans="1:14" ht="18.75">
      <c r="A4690" s="12" t="s">
        <v>6646</v>
      </c>
      <c r="B4690" s="1" t="s">
        <v>7110</v>
      </c>
      <c r="I4690" s="109"/>
      <c r="J4690" s="109"/>
      <c r="K4690" s="109"/>
      <c r="L4690" s="109" t="str">
        <f t="shared" si="73"/>
        <v>95-956200274</v>
      </c>
      <c r="M4690" s="114">
        <v>956200274</v>
      </c>
      <c r="N4690" s="114" t="s">
        <v>7918</v>
      </c>
    </row>
    <row r="4691" spans="1:14" ht="18.75">
      <c r="A4691" s="12" t="s">
        <v>6629</v>
      </c>
      <c r="B4691" s="1" t="s">
        <v>7110</v>
      </c>
      <c r="I4691" s="109"/>
      <c r="J4691" s="109"/>
      <c r="K4691" s="109"/>
      <c r="L4691" s="109" t="str">
        <f t="shared" si="73"/>
        <v>95-956200321</v>
      </c>
      <c r="M4691" s="114">
        <v>956200321</v>
      </c>
      <c r="N4691" s="114" t="s">
        <v>7880</v>
      </c>
    </row>
    <row r="4692" spans="1:14" ht="18.75">
      <c r="A4692" s="12" t="s">
        <v>6594</v>
      </c>
      <c r="B4692" s="1" t="s">
        <v>7110</v>
      </c>
      <c r="I4692" s="109"/>
      <c r="J4692" s="109"/>
      <c r="K4692" s="109"/>
      <c r="L4692" s="109" t="str">
        <f t="shared" si="73"/>
        <v>95-956200160</v>
      </c>
      <c r="M4692" s="114">
        <v>956200160</v>
      </c>
      <c r="N4692" s="114" t="s">
        <v>7980</v>
      </c>
    </row>
    <row r="4693" spans="1:14" ht="18.75">
      <c r="A4693" s="12" t="s">
        <v>6621</v>
      </c>
      <c r="B4693" s="1" t="s">
        <v>7110</v>
      </c>
      <c r="I4693" s="109"/>
      <c r="J4693" s="109"/>
      <c r="K4693" s="109"/>
      <c r="L4693" s="109" t="str">
        <f t="shared" si="73"/>
        <v>95-956200162</v>
      </c>
      <c r="M4693" s="114">
        <v>956200162</v>
      </c>
      <c r="N4693" s="114" t="s">
        <v>7980</v>
      </c>
    </row>
    <row r="4694" spans="1:14" ht="18.75">
      <c r="A4694" s="12" t="s">
        <v>6628</v>
      </c>
      <c r="B4694" s="1" t="s">
        <v>7110</v>
      </c>
      <c r="I4694" s="109"/>
      <c r="J4694" s="109"/>
      <c r="K4694" s="109"/>
      <c r="L4694" s="109" t="str">
        <f t="shared" si="73"/>
        <v>95-951100140</v>
      </c>
      <c r="M4694" s="114">
        <v>951100140</v>
      </c>
      <c r="N4694" s="114" t="s">
        <v>8436</v>
      </c>
    </row>
    <row r="4695" spans="1:14" ht="18.75">
      <c r="A4695" s="12" t="s">
        <v>6644</v>
      </c>
      <c r="B4695" s="1" t="s">
        <v>7110</v>
      </c>
      <c r="I4695" s="109"/>
      <c r="J4695" s="109"/>
      <c r="K4695" s="109"/>
      <c r="L4695" s="109" t="str">
        <f t="shared" si="73"/>
        <v>96-961100002</v>
      </c>
      <c r="M4695" s="114">
        <v>961100002</v>
      </c>
      <c r="N4695" s="114" t="s">
        <v>8437</v>
      </c>
    </row>
    <row r="4696" spans="1:14" ht="18.75">
      <c r="A4696" s="12" t="s">
        <v>6644</v>
      </c>
      <c r="B4696" s="1" t="s">
        <v>7110</v>
      </c>
      <c r="I4696" s="109"/>
      <c r="J4696" s="109"/>
      <c r="K4696" s="109"/>
      <c r="L4696" s="109" t="str">
        <f t="shared" si="73"/>
        <v>95-951100104</v>
      </c>
      <c r="M4696" s="114">
        <v>951100104</v>
      </c>
      <c r="N4696" s="114" t="s">
        <v>8438</v>
      </c>
    </row>
    <row r="4697" spans="1:14" ht="18.75">
      <c r="A4697" s="12" t="s">
        <v>6647</v>
      </c>
      <c r="B4697" s="1" t="s">
        <v>7110</v>
      </c>
      <c r="I4697" s="109"/>
      <c r="J4697" s="109"/>
      <c r="K4697" s="109"/>
      <c r="L4697" s="109" t="str">
        <f t="shared" si="73"/>
        <v>95-951100057</v>
      </c>
      <c r="M4697" s="114">
        <v>951100057</v>
      </c>
      <c r="N4697" s="114" t="s">
        <v>8439</v>
      </c>
    </row>
    <row r="4698" spans="1:14" ht="18.75">
      <c r="A4698" s="12" t="s">
        <v>6648</v>
      </c>
      <c r="B4698" s="1" t="s">
        <v>7110</v>
      </c>
      <c r="I4698" s="109"/>
      <c r="J4698" s="109"/>
      <c r="K4698" s="109"/>
      <c r="L4698" s="109" t="str">
        <f t="shared" si="73"/>
        <v>96-961100080</v>
      </c>
      <c r="M4698" s="114">
        <v>961100080</v>
      </c>
      <c r="N4698" s="114" t="s">
        <v>8756</v>
      </c>
    </row>
    <row r="4699" spans="1:14" ht="18.75">
      <c r="A4699" s="12" t="s">
        <v>6644</v>
      </c>
      <c r="B4699" s="1" t="s">
        <v>7110</v>
      </c>
      <c r="I4699" s="109"/>
      <c r="J4699" s="109"/>
      <c r="K4699" s="109"/>
      <c r="L4699" s="109" t="str">
        <f t="shared" si="73"/>
        <v>95-951400001</v>
      </c>
      <c r="M4699" s="114">
        <v>951400001</v>
      </c>
      <c r="N4699" s="114" t="s">
        <v>7929</v>
      </c>
    </row>
    <row r="4700" spans="1:14" ht="18.75">
      <c r="A4700" s="12" t="s">
        <v>6649</v>
      </c>
      <c r="B4700" s="1" t="s">
        <v>7110</v>
      </c>
      <c r="I4700" s="109"/>
      <c r="J4700" s="109"/>
      <c r="K4700" s="109"/>
      <c r="L4700" s="109" t="str">
        <f t="shared" si="73"/>
        <v>95-951400003</v>
      </c>
      <c r="M4700" s="114">
        <v>951400003</v>
      </c>
      <c r="N4700" s="114" t="s">
        <v>7929</v>
      </c>
    </row>
    <row r="4701" spans="1:14" ht="18.75">
      <c r="A4701" s="12" t="s">
        <v>6644</v>
      </c>
      <c r="B4701" s="1" t="s">
        <v>7110</v>
      </c>
      <c r="I4701" s="109"/>
      <c r="J4701" s="109"/>
      <c r="K4701" s="109"/>
      <c r="L4701" s="109" t="str">
        <f t="shared" si="73"/>
        <v>95-951400004</v>
      </c>
      <c r="M4701" s="114">
        <v>951400004</v>
      </c>
      <c r="N4701" s="114" t="s">
        <v>7929</v>
      </c>
    </row>
    <row r="4702" spans="1:14" ht="18.75">
      <c r="A4702" s="12" t="s">
        <v>6650</v>
      </c>
      <c r="B4702" s="1" t="s">
        <v>7110</v>
      </c>
      <c r="I4702" s="109"/>
      <c r="J4702" s="109"/>
      <c r="K4702" s="109"/>
      <c r="L4702" s="109" t="str">
        <f t="shared" si="73"/>
        <v>95-951100048</v>
      </c>
      <c r="M4702" s="114">
        <v>951100048</v>
      </c>
      <c r="N4702" s="114" t="s">
        <v>8443</v>
      </c>
    </row>
    <row r="4703" spans="1:14" ht="18.75">
      <c r="A4703" s="12" t="s">
        <v>6633</v>
      </c>
      <c r="B4703" s="1" t="s">
        <v>7110</v>
      </c>
      <c r="I4703" s="109"/>
      <c r="J4703" s="109"/>
      <c r="K4703" s="109"/>
      <c r="L4703" s="109" t="str">
        <f t="shared" si="73"/>
        <v>95-951700092</v>
      </c>
      <c r="M4703" s="114">
        <v>951700092</v>
      </c>
      <c r="N4703" s="114" t="s">
        <v>8459</v>
      </c>
    </row>
    <row r="4704" spans="1:14" ht="18.75">
      <c r="A4704" s="12" t="s">
        <v>6628</v>
      </c>
      <c r="B4704" s="1" t="s">
        <v>7110</v>
      </c>
      <c r="I4704" s="109"/>
      <c r="J4704" s="109"/>
      <c r="K4704" s="109"/>
      <c r="L4704" s="109" t="str">
        <f t="shared" si="73"/>
        <v>96-961100028</v>
      </c>
      <c r="M4704" s="114">
        <v>961100028</v>
      </c>
      <c r="N4704" s="114" t="s">
        <v>8461</v>
      </c>
    </row>
    <row r="4705" spans="1:14" ht="18.75">
      <c r="A4705" s="12" t="s">
        <v>6651</v>
      </c>
      <c r="B4705" s="1" t="s">
        <v>7110</v>
      </c>
      <c r="I4705" s="109"/>
      <c r="J4705" s="109"/>
      <c r="K4705" s="109"/>
      <c r="L4705" s="109" t="str">
        <f t="shared" si="73"/>
        <v>95-951100073</v>
      </c>
      <c r="M4705" s="114">
        <v>951100073</v>
      </c>
      <c r="N4705" s="114" t="s">
        <v>8470</v>
      </c>
    </row>
    <row r="4706" spans="1:14" ht="18.75">
      <c r="A4706" s="12" t="s">
        <v>6650</v>
      </c>
      <c r="B4706" s="1" t="s">
        <v>7110</v>
      </c>
      <c r="I4706" s="109"/>
      <c r="J4706" s="109"/>
      <c r="K4706" s="109"/>
      <c r="L4706" s="109" t="str">
        <f t="shared" si="73"/>
        <v>96-966200011</v>
      </c>
      <c r="M4706" s="114">
        <v>966200011</v>
      </c>
      <c r="N4706" s="114" t="s">
        <v>7988</v>
      </c>
    </row>
    <row r="4707" spans="1:14" ht="18.75">
      <c r="A4707" s="12" t="s">
        <v>6619</v>
      </c>
      <c r="B4707" s="1" t="s">
        <v>7110</v>
      </c>
      <c r="I4707" s="109"/>
      <c r="J4707" s="109"/>
      <c r="K4707" s="109"/>
      <c r="L4707" s="109" t="str">
        <f t="shared" si="73"/>
        <v>95-956200140</v>
      </c>
      <c r="M4707" s="114">
        <v>956200140</v>
      </c>
      <c r="N4707" s="114" t="s">
        <v>8463</v>
      </c>
    </row>
    <row r="4708" spans="1:14" ht="18.75">
      <c r="A4708" s="12" t="s">
        <v>6652</v>
      </c>
      <c r="B4708" s="1" t="s">
        <v>7110</v>
      </c>
      <c r="I4708" s="109"/>
      <c r="J4708" s="109"/>
      <c r="K4708" s="109"/>
      <c r="L4708" s="109" t="str">
        <f t="shared" si="73"/>
        <v>95-956200400</v>
      </c>
      <c r="M4708" s="114">
        <v>956200400</v>
      </c>
      <c r="N4708" s="114" t="s">
        <v>8006</v>
      </c>
    </row>
    <row r="4709" spans="1:14" ht="18.75">
      <c r="A4709" s="12" t="s">
        <v>6646</v>
      </c>
      <c r="B4709" s="1" t="s">
        <v>7110</v>
      </c>
      <c r="I4709" s="109"/>
      <c r="J4709" s="109"/>
      <c r="K4709" s="109"/>
      <c r="L4709" s="109" t="str">
        <f t="shared" si="73"/>
        <v>96-966200119</v>
      </c>
      <c r="M4709" s="114">
        <v>966200119</v>
      </c>
      <c r="N4709" s="114" t="s">
        <v>8472</v>
      </c>
    </row>
    <row r="4710" spans="1:14" ht="18.75">
      <c r="A4710" s="12" t="s">
        <v>6653</v>
      </c>
      <c r="B4710" s="1" t="s">
        <v>7110</v>
      </c>
      <c r="I4710" s="109"/>
      <c r="J4710" s="109"/>
      <c r="K4710" s="109"/>
      <c r="L4710" s="109" t="str">
        <f t="shared" si="73"/>
        <v>95-956200096</v>
      </c>
      <c r="M4710" s="114">
        <v>956200096</v>
      </c>
      <c r="N4710" s="114" t="s">
        <v>8473</v>
      </c>
    </row>
    <row r="4711" spans="1:14" ht="18.75">
      <c r="A4711" s="12" t="s">
        <v>6654</v>
      </c>
      <c r="B4711" s="1" t="s">
        <v>7110</v>
      </c>
      <c r="I4711" s="109"/>
      <c r="J4711" s="109"/>
      <c r="K4711" s="109"/>
      <c r="L4711" s="109" t="str">
        <f t="shared" si="73"/>
        <v>96-966200323</v>
      </c>
      <c r="M4711" s="114">
        <v>966200323</v>
      </c>
      <c r="N4711" s="114" t="s">
        <v>8720</v>
      </c>
    </row>
    <row r="4712" spans="1:14" ht="18.75">
      <c r="A4712" s="12" t="s">
        <v>6650</v>
      </c>
      <c r="B4712" s="1" t="s">
        <v>7110</v>
      </c>
      <c r="I4712" s="109"/>
      <c r="J4712" s="109"/>
      <c r="K4712" s="109"/>
      <c r="L4712" s="109" t="str">
        <f t="shared" si="73"/>
        <v>95-951100128</v>
      </c>
      <c r="M4712" s="114">
        <v>951100128</v>
      </c>
      <c r="N4712" s="114" t="s">
        <v>8474</v>
      </c>
    </row>
    <row r="4713" spans="1:14" ht="18.75">
      <c r="A4713" s="12" t="s">
        <v>6655</v>
      </c>
      <c r="B4713" s="1" t="s">
        <v>7110</v>
      </c>
      <c r="I4713" s="109"/>
      <c r="J4713" s="109"/>
      <c r="K4713" s="109"/>
      <c r="L4713" s="109" t="str">
        <f t="shared" si="73"/>
        <v>96-961100006</v>
      </c>
      <c r="M4713" s="114">
        <v>961100006</v>
      </c>
      <c r="N4713" s="114" t="s">
        <v>8475</v>
      </c>
    </row>
    <row r="4714" spans="1:14" ht="18.75">
      <c r="A4714" s="12" t="s">
        <v>6656</v>
      </c>
      <c r="B4714" s="1" t="s">
        <v>7110</v>
      </c>
      <c r="I4714" s="109"/>
      <c r="J4714" s="109"/>
      <c r="K4714" s="109"/>
      <c r="L4714" s="109" t="str">
        <f t="shared" si="73"/>
        <v>96-966200049</v>
      </c>
      <c r="M4714" s="114">
        <v>966200049</v>
      </c>
      <c r="N4714" s="114" t="s">
        <v>7998</v>
      </c>
    </row>
    <row r="4715" spans="1:14" ht="18.75">
      <c r="A4715" s="12" t="s">
        <v>6657</v>
      </c>
      <c r="B4715" s="1" t="s">
        <v>7110</v>
      </c>
      <c r="I4715" s="109"/>
      <c r="J4715" s="109"/>
      <c r="K4715" s="109"/>
      <c r="L4715" s="109" t="str">
        <f t="shared" si="73"/>
        <v>96-966200207</v>
      </c>
      <c r="M4715" s="114">
        <v>966200207</v>
      </c>
      <c r="N4715" s="114" t="s">
        <v>8000</v>
      </c>
    </row>
    <row r="4716" spans="1:14" ht="18.75">
      <c r="A4716" s="12" t="s">
        <v>6657</v>
      </c>
      <c r="B4716" s="1" t="s">
        <v>7110</v>
      </c>
      <c r="I4716" s="109"/>
      <c r="J4716" s="109"/>
      <c r="K4716" s="109"/>
      <c r="L4716" s="109" t="str">
        <f t="shared" si="73"/>
        <v>95-954200009</v>
      </c>
      <c r="M4716" s="114">
        <v>954200009</v>
      </c>
      <c r="N4716" s="114" t="s">
        <v>5628</v>
      </c>
    </row>
    <row r="4717" spans="1:14" ht="18.75">
      <c r="A4717" s="12" t="s">
        <v>6657</v>
      </c>
      <c r="B4717" s="1" t="s">
        <v>7110</v>
      </c>
      <c r="I4717" s="109"/>
      <c r="J4717" s="109"/>
      <c r="K4717" s="109"/>
      <c r="L4717" s="109" t="str">
        <f t="shared" si="73"/>
        <v>96-966000003</v>
      </c>
      <c r="M4717" s="114">
        <v>966000003</v>
      </c>
      <c r="N4717" s="114" t="s">
        <v>7146</v>
      </c>
    </row>
    <row r="4718" spans="1:14" ht="18.75">
      <c r="A4718" s="12" t="s">
        <v>6658</v>
      </c>
      <c r="B4718" s="1" t="s">
        <v>7110</v>
      </c>
      <c r="I4718" s="109"/>
      <c r="J4718" s="109"/>
      <c r="K4718" s="109"/>
      <c r="L4718" s="109" t="str">
        <f t="shared" si="73"/>
        <v>95-951100082</v>
      </c>
      <c r="M4718" s="114">
        <v>951100082</v>
      </c>
      <c r="N4718" s="114" t="s">
        <v>8479</v>
      </c>
    </row>
    <row r="4719" spans="1:14" ht="18.75">
      <c r="A4719" s="12" t="s">
        <v>6656</v>
      </c>
      <c r="B4719" s="1" t="s">
        <v>7110</v>
      </c>
      <c r="I4719" s="109"/>
      <c r="J4719" s="109"/>
      <c r="K4719" s="109"/>
      <c r="L4719" s="109" t="str">
        <f t="shared" si="73"/>
        <v>96-966200013</v>
      </c>
      <c r="M4719" s="114">
        <v>966200013</v>
      </c>
      <c r="N4719" s="114" t="s">
        <v>7988</v>
      </c>
    </row>
    <row r="4720" spans="1:14" ht="18.75">
      <c r="A4720" s="12" t="s">
        <v>6655</v>
      </c>
      <c r="B4720" s="1" t="s">
        <v>7110</v>
      </c>
      <c r="I4720" s="109"/>
      <c r="J4720" s="109"/>
      <c r="K4720" s="109"/>
      <c r="L4720" s="109" t="str">
        <f t="shared" si="73"/>
        <v>95-956200164</v>
      </c>
      <c r="M4720" s="114">
        <v>956200164</v>
      </c>
      <c r="N4720" s="114" t="s">
        <v>7980</v>
      </c>
    </row>
    <row r="4721" spans="1:14" ht="18.75">
      <c r="A4721" s="12" t="s">
        <v>6652</v>
      </c>
      <c r="B4721" s="1" t="s">
        <v>7110</v>
      </c>
      <c r="I4721" s="109"/>
      <c r="J4721" s="109"/>
      <c r="K4721" s="109"/>
      <c r="L4721" s="109" t="str">
        <f t="shared" si="73"/>
        <v>96-962000136</v>
      </c>
      <c r="M4721" s="114">
        <v>962000136</v>
      </c>
      <c r="N4721" s="114" t="s">
        <v>8481</v>
      </c>
    </row>
    <row r="4722" spans="1:14" ht="18.75">
      <c r="A4722" s="12" t="s">
        <v>6659</v>
      </c>
      <c r="B4722" s="1" t="s">
        <v>7110</v>
      </c>
      <c r="I4722" s="109"/>
      <c r="J4722" s="109"/>
      <c r="K4722" s="109"/>
      <c r="L4722" s="109" t="str">
        <f t="shared" si="73"/>
        <v>95-956200134</v>
      </c>
      <c r="M4722" s="114">
        <v>956200134</v>
      </c>
      <c r="N4722" s="114" t="s">
        <v>8008</v>
      </c>
    </row>
    <row r="4723" spans="1:14" ht="18.75">
      <c r="A4723" s="12" t="s">
        <v>6654</v>
      </c>
      <c r="B4723" s="1" t="s">
        <v>7110</v>
      </c>
      <c r="I4723" s="109"/>
      <c r="J4723" s="109"/>
      <c r="K4723" s="109"/>
      <c r="L4723" s="109" t="str">
        <f t="shared" si="73"/>
        <v>95-956200099</v>
      </c>
      <c r="M4723" s="114">
        <v>956200099</v>
      </c>
      <c r="N4723" s="114" t="s">
        <v>8482</v>
      </c>
    </row>
    <row r="4724" spans="1:14" ht="18.75">
      <c r="A4724" s="12" t="s">
        <v>6655</v>
      </c>
      <c r="B4724" s="1" t="s">
        <v>7110</v>
      </c>
      <c r="I4724" s="109"/>
      <c r="J4724" s="109"/>
      <c r="K4724" s="109"/>
      <c r="L4724" s="109" t="str">
        <f t="shared" si="73"/>
        <v>95-951100076</v>
      </c>
      <c r="M4724" s="114">
        <v>951100076</v>
      </c>
      <c r="N4724" s="114" t="s">
        <v>8483</v>
      </c>
    </row>
    <row r="4725" spans="1:14" ht="18.75">
      <c r="A4725" s="12" t="s">
        <v>6652</v>
      </c>
      <c r="B4725" s="1" t="s">
        <v>7110</v>
      </c>
      <c r="I4725" s="109"/>
      <c r="J4725" s="109"/>
      <c r="K4725" s="109"/>
      <c r="L4725" s="109" t="str">
        <f t="shared" si="73"/>
        <v>95-951100102</v>
      </c>
      <c r="M4725" s="114">
        <v>951100102</v>
      </c>
      <c r="N4725" s="114" t="s">
        <v>8484</v>
      </c>
    </row>
    <row r="4726" spans="1:14" ht="18.75">
      <c r="A4726" s="12" t="s">
        <v>6639</v>
      </c>
      <c r="B4726" s="1" t="s">
        <v>7110</v>
      </c>
      <c r="I4726" s="109"/>
      <c r="J4726" s="109"/>
      <c r="K4726" s="109"/>
      <c r="L4726" s="109" t="str">
        <f t="shared" si="73"/>
        <v>95-956200014</v>
      </c>
      <c r="M4726" s="114">
        <v>956200014</v>
      </c>
      <c r="N4726" s="114" t="s">
        <v>8485</v>
      </c>
    </row>
    <row r="4727" spans="1:14" ht="18.75">
      <c r="A4727" s="12" t="s">
        <v>6648</v>
      </c>
      <c r="B4727" s="1" t="s">
        <v>7110</v>
      </c>
      <c r="I4727" s="109"/>
      <c r="J4727" s="109"/>
      <c r="K4727" s="109"/>
      <c r="L4727" s="109" t="str">
        <f t="shared" si="73"/>
        <v>96-966200054</v>
      </c>
      <c r="M4727" s="114">
        <v>966200054</v>
      </c>
      <c r="N4727" s="114" t="s">
        <v>7998</v>
      </c>
    </row>
    <row r="4728" spans="1:14" ht="18.75">
      <c r="A4728" s="12" t="s">
        <v>6656</v>
      </c>
      <c r="B4728" s="1" t="s">
        <v>7110</v>
      </c>
      <c r="I4728" s="109"/>
      <c r="J4728" s="109"/>
      <c r="K4728" s="109"/>
      <c r="L4728" s="109" t="str">
        <f t="shared" si="73"/>
        <v>96-966200064</v>
      </c>
      <c r="M4728" s="114">
        <v>966200064</v>
      </c>
      <c r="N4728" s="114" t="s">
        <v>8002</v>
      </c>
    </row>
    <row r="4729" spans="1:14" ht="18.75">
      <c r="A4729" s="12" t="s">
        <v>6653</v>
      </c>
      <c r="B4729" s="1" t="s">
        <v>7110</v>
      </c>
      <c r="I4729" s="109"/>
      <c r="J4729" s="109"/>
      <c r="K4729" s="109"/>
      <c r="L4729" s="109" t="str">
        <f t="shared" si="73"/>
        <v>96-966200139</v>
      </c>
      <c r="M4729" s="114">
        <v>966200139</v>
      </c>
      <c r="N4729" s="114" t="s">
        <v>8486</v>
      </c>
    </row>
    <row r="4730" spans="1:14" ht="18.75">
      <c r="A4730" s="12" t="s">
        <v>6660</v>
      </c>
      <c r="B4730" s="1" t="s">
        <v>7110</v>
      </c>
      <c r="I4730" s="109"/>
      <c r="J4730" s="109"/>
      <c r="K4730" s="109"/>
      <c r="L4730" s="109" t="str">
        <f t="shared" si="73"/>
        <v>95-954200030</v>
      </c>
      <c r="M4730" s="114">
        <v>954200030</v>
      </c>
      <c r="N4730" s="114" t="s">
        <v>5642</v>
      </c>
    </row>
    <row r="4731" spans="1:14" ht="18.75">
      <c r="A4731" s="12" t="s">
        <v>6629</v>
      </c>
      <c r="B4731" s="1" t="s">
        <v>7110</v>
      </c>
      <c r="I4731" s="109"/>
      <c r="J4731" s="109"/>
      <c r="K4731" s="109"/>
      <c r="L4731" s="109" t="str">
        <f t="shared" si="73"/>
        <v>96-966000017</v>
      </c>
      <c r="M4731" s="114">
        <v>966000017</v>
      </c>
      <c r="N4731" s="114" t="s">
        <v>8757</v>
      </c>
    </row>
    <row r="4732" spans="1:14" ht="18.75">
      <c r="A4732" s="12" t="s">
        <v>6650</v>
      </c>
      <c r="B4732" s="1" t="s">
        <v>7110</v>
      </c>
      <c r="I4732" s="109"/>
      <c r="J4732" s="109"/>
      <c r="K4732" s="109"/>
      <c r="L4732" s="109" t="str">
        <f t="shared" si="73"/>
        <v>96-966000010</v>
      </c>
      <c r="M4732" s="114">
        <v>966000010</v>
      </c>
      <c r="N4732" s="114" t="s">
        <v>7146</v>
      </c>
    </row>
    <row r="4733" spans="1:14" ht="18.75">
      <c r="A4733" s="12" t="s">
        <v>6645</v>
      </c>
      <c r="B4733" s="1" t="s">
        <v>7110</v>
      </c>
      <c r="I4733" s="109"/>
      <c r="J4733" s="109"/>
      <c r="K4733" s="109"/>
      <c r="L4733" s="109" t="str">
        <f t="shared" si="73"/>
        <v>95-951200015</v>
      </c>
      <c r="M4733" s="114">
        <v>951200015</v>
      </c>
      <c r="N4733" s="114" t="s">
        <v>7172</v>
      </c>
    </row>
    <row r="4734" spans="1:14" ht="18.75">
      <c r="A4734" s="12" t="s">
        <v>6649</v>
      </c>
      <c r="B4734" s="1" t="s">
        <v>7110</v>
      </c>
      <c r="I4734" s="109"/>
      <c r="J4734" s="109"/>
      <c r="K4734" s="109"/>
      <c r="L4734" s="109" t="str">
        <f t="shared" si="73"/>
        <v>95-951200031</v>
      </c>
      <c r="M4734" s="114">
        <v>951200031</v>
      </c>
      <c r="N4734" s="114" t="s">
        <v>7172</v>
      </c>
    </row>
    <row r="4735" spans="1:14" ht="18.75">
      <c r="A4735" s="12" t="s">
        <v>6661</v>
      </c>
      <c r="B4735" s="1" t="s">
        <v>7110</v>
      </c>
      <c r="I4735" s="109"/>
      <c r="J4735" s="109"/>
      <c r="K4735" s="109"/>
      <c r="L4735" s="109" t="str">
        <f t="shared" si="73"/>
        <v>95-951200034</v>
      </c>
      <c r="M4735" s="114">
        <v>951200034</v>
      </c>
      <c r="N4735" s="114" t="s">
        <v>7172</v>
      </c>
    </row>
    <row r="4736" spans="1:14" ht="18.75">
      <c r="A4736" s="12" t="s">
        <v>6650</v>
      </c>
      <c r="B4736" s="1" t="s">
        <v>7110</v>
      </c>
      <c r="I4736" s="109"/>
      <c r="J4736" s="109"/>
      <c r="K4736" s="109"/>
      <c r="L4736" s="109" t="str">
        <f t="shared" si="73"/>
        <v>95-951200037</v>
      </c>
      <c r="M4736" s="114">
        <v>951200037</v>
      </c>
      <c r="N4736" s="114" t="s">
        <v>7174</v>
      </c>
    </row>
    <row r="4737" spans="1:14" ht="18.75">
      <c r="A4737" s="12" t="s">
        <v>6628</v>
      </c>
      <c r="B4737" s="1" t="s">
        <v>7110</v>
      </c>
      <c r="I4737" s="109"/>
      <c r="J4737" s="109"/>
      <c r="K4737" s="109"/>
      <c r="L4737" s="109" t="str">
        <f t="shared" si="73"/>
        <v>95-951200042</v>
      </c>
      <c r="M4737" s="114">
        <v>951200042</v>
      </c>
      <c r="N4737" s="114" t="s">
        <v>7174</v>
      </c>
    </row>
    <row r="4738" spans="1:14" ht="18.75">
      <c r="A4738" s="12" t="s">
        <v>6662</v>
      </c>
      <c r="B4738" s="1" t="s">
        <v>7110</v>
      </c>
      <c r="I4738" s="109"/>
      <c r="J4738" s="109"/>
      <c r="K4738" s="109"/>
      <c r="L4738" s="109" t="str">
        <f t="shared" si="73"/>
        <v>95-951200045</v>
      </c>
      <c r="M4738" s="114">
        <v>951200045</v>
      </c>
      <c r="N4738" s="114" t="s">
        <v>7174</v>
      </c>
    </row>
    <row r="4739" spans="1:14" ht="18.75">
      <c r="A4739" s="12" t="s">
        <v>6662</v>
      </c>
      <c r="B4739" s="1" t="s">
        <v>7110</v>
      </c>
      <c r="I4739" s="109"/>
      <c r="J4739" s="109"/>
      <c r="K4739" s="109"/>
      <c r="L4739" s="109" t="str">
        <f t="shared" ref="L4739:L4802" si="74">MID(M4739,1,2)&amp;"-"&amp;M4739</f>
        <v>96-961200060</v>
      </c>
      <c r="M4739" s="114">
        <v>961200060</v>
      </c>
      <c r="N4739" s="114" t="s">
        <v>7244</v>
      </c>
    </row>
    <row r="4740" spans="1:14" ht="18.75">
      <c r="A4740" s="12" t="s">
        <v>6642</v>
      </c>
      <c r="B4740" s="1" t="s">
        <v>7110</v>
      </c>
      <c r="I4740" s="109"/>
      <c r="J4740" s="109"/>
      <c r="K4740" s="109"/>
      <c r="L4740" s="109" t="str">
        <f t="shared" si="74"/>
        <v>96-961200063</v>
      </c>
      <c r="M4740" s="114">
        <v>961200063</v>
      </c>
      <c r="N4740" s="114" t="s">
        <v>7244</v>
      </c>
    </row>
    <row r="4741" spans="1:14" ht="18.75">
      <c r="A4741" s="12" t="s">
        <v>6624</v>
      </c>
      <c r="B4741" s="1" t="s">
        <v>7110</v>
      </c>
      <c r="I4741" s="109"/>
      <c r="J4741" s="109"/>
      <c r="K4741" s="109"/>
      <c r="L4741" s="109" t="str">
        <f t="shared" si="74"/>
        <v>95-951500576</v>
      </c>
      <c r="M4741" s="114">
        <v>951500576</v>
      </c>
      <c r="N4741" s="114" t="s">
        <v>5753</v>
      </c>
    </row>
    <row r="4742" spans="1:14" ht="18.75">
      <c r="A4742" s="12" t="s">
        <v>6650</v>
      </c>
      <c r="B4742" s="1" t="s">
        <v>7110</v>
      </c>
      <c r="I4742" s="109"/>
      <c r="J4742" s="109"/>
      <c r="K4742" s="109"/>
      <c r="L4742" s="109" t="str">
        <f t="shared" si="74"/>
        <v>95-951500580</v>
      </c>
      <c r="M4742" s="114">
        <v>951500580</v>
      </c>
      <c r="N4742" s="114" t="s">
        <v>5753</v>
      </c>
    </row>
    <row r="4743" spans="1:14" ht="18.75">
      <c r="A4743" s="12" t="s">
        <v>6663</v>
      </c>
      <c r="B4743" s="1" t="s">
        <v>7110</v>
      </c>
      <c r="I4743" s="109"/>
      <c r="J4743" s="109"/>
      <c r="K4743" s="109"/>
      <c r="L4743" s="109" t="str">
        <f t="shared" si="74"/>
        <v>95-951500592</v>
      </c>
      <c r="M4743" s="114">
        <v>951500592</v>
      </c>
      <c r="N4743" s="114" t="s">
        <v>5753</v>
      </c>
    </row>
    <row r="4744" spans="1:14" ht="18.75">
      <c r="A4744" s="12" t="s">
        <v>6663</v>
      </c>
      <c r="B4744" s="1" t="s">
        <v>7110</v>
      </c>
      <c r="I4744" s="109"/>
      <c r="J4744" s="109"/>
      <c r="K4744" s="109"/>
      <c r="L4744" s="109" t="str">
        <f t="shared" si="74"/>
        <v>95-951500559</v>
      </c>
      <c r="M4744" s="114">
        <v>951500559</v>
      </c>
      <c r="N4744" s="114" t="s">
        <v>5722</v>
      </c>
    </row>
    <row r="4745" spans="1:14" ht="18.75">
      <c r="A4745" s="12" t="s">
        <v>6663</v>
      </c>
      <c r="B4745" s="1" t="s">
        <v>7110</v>
      </c>
      <c r="I4745" s="109"/>
      <c r="J4745" s="109"/>
      <c r="K4745" s="109"/>
      <c r="L4745" s="109" t="str">
        <f t="shared" si="74"/>
        <v>95-951500021</v>
      </c>
      <c r="M4745" s="114">
        <v>951500021</v>
      </c>
      <c r="N4745" s="114" t="s">
        <v>5605</v>
      </c>
    </row>
    <row r="4746" spans="1:14" ht="18.75">
      <c r="A4746" s="12" t="s">
        <v>6642</v>
      </c>
      <c r="B4746" s="1" t="s">
        <v>7110</v>
      </c>
      <c r="I4746" s="109"/>
      <c r="J4746" s="109"/>
      <c r="K4746" s="109"/>
      <c r="L4746" s="109" t="str">
        <f t="shared" si="74"/>
        <v>95-951500028</v>
      </c>
      <c r="M4746" s="114">
        <v>951500028</v>
      </c>
      <c r="N4746" s="114" t="s">
        <v>5605</v>
      </c>
    </row>
    <row r="4747" spans="1:14" ht="18.75">
      <c r="A4747" s="12" t="s">
        <v>6642</v>
      </c>
      <c r="B4747" s="1" t="s">
        <v>7110</v>
      </c>
      <c r="I4747" s="109"/>
      <c r="J4747" s="109"/>
      <c r="K4747" s="109"/>
      <c r="L4747" s="109" t="str">
        <f t="shared" si="74"/>
        <v>95-951500059</v>
      </c>
      <c r="M4747" s="114">
        <v>951500059</v>
      </c>
      <c r="N4747" s="114" t="s">
        <v>5613</v>
      </c>
    </row>
    <row r="4748" spans="1:14" ht="18.75">
      <c r="A4748" s="12" t="s">
        <v>6640</v>
      </c>
      <c r="B4748" s="1" t="s">
        <v>7110</v>
      </c>
      <c r="I4748" s="109"/>
      <c r="J4748" s="109"/>
      <c r="K4748" s="109"/>
      <c r="L4748" s="109" t="str">
        <f t="shared" si="74"/>
        <v>95-951500086</v>
      </c>
      <c r="M4748" s="114">
        <v>951500086</v>
      </c>
      <c r="N4748" s="114" t="s">
        <v>5618</v>
      </c>
    </row>
    <row r="4749" spans="1:14" ht="18.75">
      <c r="A4749" s="12" t="s">
        <v>6664</v>
      </c>
      <c r="B4749" s="1" t="s">
        <v>7110</v>
      </c>
      <c r="I4749" s="109"/>
      <c r="J4749" s="109"/>
      <c r="K4749" s="109"/>
      <c r="L4749" s="109" t="str">
        <f t="shared" si="74"/>
        <v>95-951500087</v>
      </c>
      <c r="M4749" s="114">
        <v>951500087</v>
      </c>
      <c r="N4749" s="114" t="s">
        <v>5613</v>
      </c>
    </row>
    <row r="4750" spans="1:14" ht="18.75">
      <c r="A4750" s="12" t="s">
        <v>6664</v>
      </c>
      <c r="B4750" s="1" t="s">
        <v>7110</v>
      </c>
      <c r="I4750" s="109"/>
      <c r="J4750" s="109"/>
      <c r="K4750" s="109"/>
      <c r="L4750" s="109" t="str">
        <f t="shared" si="74"/>
        <v>95-951500111</v>
      </c>
      <c r="M4750" s="114">
        <v>951500111</v>
      </c>
      <c r="N4750" s="114" t="s">
        <v>5618</v>
      </c>
    </row>
    <row r="4751" spans="1:14" ht="18.75">
      <c r="A4751" s="12" t="s">
        <v>6664</v>
      </c>
      <c r="B4751" s="1" t="s">
        <v>7110</v>
      </c>
      <c r="I4751" s="109"/>
      <c r="J4751" s="109"/>
      <c r="K4751" s="109"/>
      <c r="L4751" s="109" t="str">
        <f t="shared" si="74"/>
        <v>95-951500154</v>
      </c>
      <c r="M4751" s="114">
        <v>951500154</v>
      </c>
      <c r="N4751" s="114" t="s">
        <v>5618</v>
      </c>
    </row>
    <row r="4752" spans="1:14" ht="18.75">
      <c r="A4752" s="12" t="s">
        <v>6665</v>
      </c>
      <c r="B4752" s="1" t="s">
        <v>7110</v>
      </c>
      <c r="I4752" s="109"/>
      <c r="J4752" s="109"/>
      <c r="K4752" s="109"/>
      <c r="L4752" s="109" t="str">
        <f t="shared" si="74"/>
        <v>95-951500241</v>
      </c>
      <c r="M4752" s="114">
        <v>951500241</v>
      </c>
      <c r="N4752" s="114" t="s">
        <v>5643</v>
      </c>
    </row>
    <row r="4753" spans="1:14" ht="18.75">
      <c r="A4753" s="12" t="s">
        <v>6652</v>
      </c>
      <c r="B4753" s="1" t="s">
        <v>7110</v>
      </c>
      <c r="I4753" s="109"/>
      <c r="J4753" s="109"/>
      <c r="K4753" s="109"/>
      <c r="L4753" s="109" t="str">
        <f t="shared" si="74"/>
        <v>95-951500378</v>
      </c>
      <c r="M4753" s="114">
        <v>951500378</v>
      </c>
      <c r="N4753" s="114" t="s">
        <v>5628</v>
      </c>
    </row>
    <row r="4754" spans="1:14" ht="18.75">
      <c r="A4754" s="12" t="s">
        <v>6637</v>
      </c>
      <c r="B4754" s="1" t="s">
        <v>7110</v>
      </c>
      <c r="I4754" s="109"/>
      <c r="J4754" s="109"/>
      <c r="K4754" s="109"/>
      <c r="L4754" s="109" t="str">
        <f t="shared" si="74"/>
        <v>95-951500313</v>
      </c>
      <c r="M4754" s="114">
        <v>951500313</v>
      </c>
      <c r="N4754" s="114" t="s">
        <v>5664</v>
      </c>
    </row>
    <row r="4755" spans="1:14" ht="18.75">
      <c r="A4755" s="12" t="s">
        <v>6666</v>
      </c>
      <c r="B4755" s="1" t="s">
        <v>7110</v>
      </c>
      <c r="I4755" s="109"/>
      <c r="J4755" s="109"/>
      <c r="K4755" s="109"/>
      <c r="L4755" s="109" t="str">
        <f t="shared" si="74"/>
        <v>95-951500345</v>
      </c>
      <c r="M4755" s="114">
        <v>951500345</v>
      </c>
      <c r="N4755" s="114" t="s">
        <v>5667</v>
      </c>
    </row>
    <row r="4756" spans="1:14" ht="18.75">
      <c r="A4756" s="12" t="s">
        <v>6664</v>
      </c>
      <c r="B4756" s="1" t="s">
        <v>7110</v>
      </c>
      <c r="I4756" s="109"/>
      <c r="J4756" s="109"/>
      <c r="K4756" s="109"/>
      <c r="L4756" s="109" t="str">
        <f t="shared" si="74"/>
        <v>95-951500138</v>
      </c>
      <c r="M4756" s="114">
        <v>951500138</v>
      </c>
      <c r="N4756" s="114" t="s">
        <v>5619</v>
      </c>
    </row>
    <row r="4757" spans="1:14" ht="18.75">
      <c r="A4757" s="12" t="s">
        <v>6667</v>
      </c>
      <c r="B4757" s="1" t="s">
        <v>7110</v>
      </c>
      <c r="I4757" s="109"/>
      <c r="J4757" s="109"/>
      <c r="K4757" s="109"/>
      <c r="L4757" s="109" t="str">
        <f t="shared" si="74"/>
        <v>95-951500181</v>
      </c>
      <c r="M4757" s="114">
        <v>951500181</v>
      </c>
      <c r="N4757" s="114" t="s">
        <v>5619</v>
      </c>
    </row>
    <row r="4758" spans="1:14" ht="18.75">
      <c r="A4758" s="12" t="s">
        <v>6651</v>
      </c>
      <c r="B4758" s="1" t="s">
        <v>7110</v>
      </c>
      <c r="I4758" s="109"/>
      <c r="J4758" s="109"/>
      <c r="K4758" s="109"/>
      <c r="L4758" s="109" t="str">
        <f t="shared" si="74"/>
        <v>95-951500195</v>
      </c>
      <c r="M4758" s="114">
        <v>951500195</v>
      </c>
      <c r="N4758" s="114" t="s">
        <v>5619</v>
      </c>
    </row>
    <row r="4759" spans="1:14" ht="18.75">
      <c r="A4759" s="12" t="s">
        <v>6668</v>
      </c>
      <c r="B4759" s="1" t="s">
        <v>7110</v>
      </c>
      <c r="I4759" s="109"/>
      <c r="J4759" s="109"/>
      <c r="K4759" s="109"/>
      <c r="L4759" s="109" t="str">
        <f t="shared" si="74"/>
        <v>95-951500235</v>
      </c>
      <c r="M4759" s="114">
        <v>951500235</v>
      </c>
      <c r="N4759" s="114" t="s">
        <v>5630</v>
      </c>
    </row>
    <row r="4760" spans="1:14" ht="18.75">
      <c r="A4760" s="12" t="s">
        <v>6637</v>
      </c>
      <c r="B4760" s="1" t="s">
        <v>7110</v>
      </c>
      <c r="I4760" s="109"/>
      <c r="J4760" s="109"/>
      <c r="K4760" s="109"/>
      <c r="L4760" s="109" t="str">
        <f t="shared" si="74"/>
        <v>95-951500238</v>
      </c>
      <c r="M4760" s="114">
        <v>951500238</v>
      </c>
      <c r="N4760" s="114" t="s">
        <v>5635</v>
      </c>
    </row>
    <row r="4761" spans="1:14" ht="18.75">
      <c r="A4761" s="12" t="s">
        <v>6669</v>
      </c>
      <c r="B4761" s="1" t="s">
        <v>7110</v>
      </c>
      <c r="I4761" s="109"/>
      <c r="J4761" s="109"/>
      <c r="K4761" s="109"/>
      <c r="L4761" s="109" t="str">
        <f t="shared" si="74"/>
        <v>95-951500250</v>
      </c>
      <c r="M4761" s="114">
        <v>951500250</v>
      </c>
      <c r="N4761" s="114" t="s">
        <v>5635</v>
      </c>
    </row>
    <row r="4762" spans="1:14" ht="18.75">
      <c r="A4762" s="12" t="s">
        <v>6651</v>
      </c>
      <c r="B4762" s="1" t="s">
        <v>7110</v>
      </c>
      <c r="I4762" s="109"/>
      <c r="J4762" s="109"/>
      <c r="K4762" s="109"/>
      <c r="L4762" s="109" t="str">
        <f t="shared" si="74"/>
        <v>95-951500294</v>
      </c>
      <c r="M4762" s="114">
        <v>951500294</v>
      </c>
      <c r="N4762" s="114" t="s">
        <v>5659</v>
      </c>
    </row>
    <row r="4763" spans="1:14" ht="18.75">
      <c r="A4763" s="12" t="s">
        <v>6656</v>
      </c>
      <c r="B4763" s="1" t="s">
        <v>7110</v>
      </c>
      <c r="I4763" s="109"/>
      <c r="J4763" s="109"/>
      <c r="K4763" s="109"/>
      <c r="L4763" s="109" t="str">
        <f t="shared" si="74"/>
        <v>95-951500320</v>
      </c>
      <c r="M4763" s="114">
        <v>951500320</v>
      </c>
      <c r="N4763" s="114" t="s">
        <v>5659</v>
      </c>
    </row>
    <row r="4764" spans="1:14" ht="18.75">
      <c r="A4764" s="12" t="s">
        <v>6664</v>
      </c>
      <c r="B4764" s="1" t="s">
        <v>7110</v>
      </c>
      <c r="I4764" s="109"/>
      <c r="J4764" s="109"/>
      <c r="K4764" s="109"/>
      <c r="L4764" s="109" t="str">
        <f t="shared" si="74"/>
        <v>95-951500327</v>
      </c>
      <c r="M4764" s="114">
        <v>951500327</v>
      </c>
      <c r="N4764" s="114" t="s">
        <v>5659</v>
      </c>
    </row>
    <row r="4765" spans="1:14" ht="18.75">
      <c r="A4765" s="12" t="s">
        <v>6664</v>
      </c>
      <c r="B4765" s="1" t="s">
        <v>7110</v>
      </c>
      <c r="I4765" s="109"/>
      <c r="J4765" s="109"/>
      <c r="K4765" s="109"/>
      <c r="L4765" s="109" t="str">
        <f t="shared" si="74"/>
        <v>95-951500356</v>
      </c>
      <c r="M4765" s="114">
        <v>951500356</v>
      </c>
      <c r="N4765" s="114" t="s">
        <v>5658</v>
      </c>
    </row>
    <row r="4766" spans="1:14" ht="18.75">
      <c r="A4766" s="12" t="s">
        <v>6649</v>
      </c>
      <c r="B4766" s="1" t="s">
        <v>7110</v>
      </c>
      <c r="I4766" s="109"/>
      <c r="J4766" s="109"/>
      <c r="K4766" s="109"/>
      <c r="L4766" s="109" t="str">
        <f t="shared" si="74"/>
        <v>95-951500386</v>
      </c>
      <c r="M4766" s="114">
        <v>951500386</v>
      </c>
      <c r="N4766" s="114" t="s">
        <v>5680</v>
      </c>
    </row>
    <row r="4767" spans="1:14" ht="18.75">
      <c r="A4767" s="12" t="s">
        <v>6670</v>
      </c>
      <c r="B4767" s="1" t="s">
        <v>7110</v>
      </c>
      <c r="I4767" s="109"/>
      <c r="J4767" s="109"/>
      <c r="K4767" s="109"/>
      <c r="L4767" s="109" t="str">
        <f t="shared" si="74"/>
        <v>95-951500394</v>
      </c>
      <c r="M4767" s="114">
        <v>951500394</v>
      </c>
      <c r="N4767" s="114" t="s">
        <v>5680</v>
      </c>
    </row>
    <row r="4768" spans="1:14" ht="18.75">
      <c r="A4768" s="12" t="s">
        <v>6657</v>
      </c>
      <c r="B4768" s="1" t="s">
        <v>7110</v>
      </c>
      <c r="I4768" s="109"/>
      <c r="J4768" s="109"/>
      <c r="K4768" s="109"/>
      <c r="L4768" s="109" t="str">
        <f t="shared" si="74"/>
        <v>95-951500412</v>
      </c>
      <c r="M4768" s="114">
        <v>951500412</v>
      </c>
      <c r="N4768" s="114" t="s">
        <v>5689</v>
      </c>
    </row>
    <row r="4769" spans="1:14" ht="18.75">
      <c r="A4769" s="12" t="s">
        <v>6657</v>
      </c>
      <c r="B4769" s="1" t="s">
        <v>7110</v>
      </c>
      <c r="I4769" s="109"/>
      <c r="J4769" s="109"/>
      <c r="K4769" s="109"/>
      <c r="L4769" s="109" t="str">
        <f t="shared" si="74"/>
        <v>95-951500437</v>
      </c>
      <c r="M4769" s="114">
        <v>951500437</v>
      </c>
      <c r="N4769" s="114" t="s">
        <v>5694</v>
      </c>
    </row>
    <row r="4770" spans="1:14" ht="18.75">
      <c r="A4770" s="12" t="s">
        <v>6671</v>
      </c>
      <c r="B4770" s="1" t="s">
        <v>7110</v>
      </c>
      <c r="I4770" s="109"/>
      <c r="J4770" s="109"/>
      <c r="K4770" s="109"/>
      <c r="L4770" s="109" t="str">
        <f t="shared" si="74"/>
        <v>95-951500438</v>
      </c>
      <c r="M4770" s="114">
        <v>951500438</v>
      </c>
      <c r="N4770" s="114" t="s">
        <v>5694</v>
      </c>
    </row>
    <row r="4771" spans="1:14" ht="18.75">
      <c r="A4771" s="12" t="s">
        <v>6641</v>
      </c>
      <c r="B4771" s="1" t="s">
        <v>7110</v>
      </c>
      <c r="I4771" s="109"/>
      <c r="J4771" s="109"/>
      <c r="K4771" s="109"/>
      <c r="L4771" s="109" t="str">
        <f t="shared" si="74"/>
        <v>95-951500574</v>
      </c>
      <c r="M4771" s="114">
        <v>951500574</v>
      </c>
      <c r="N4771" s="114" t="s">
        <v>5752</v>
      </c>
    </row>
    <row r="4772" spans="1:14" ht="18.75">
      <c r="A4772" s="12" t="s">
        <v>6642</v>
      </c>
      <c r="B4772" s="1" t="s">
        <v>7110</v>
      </c>
      <c r="I4772" s="109"/>
      <c r="J4772" s="109"/>
      <c r="K4772" s="109"/>
      <c r="L4772" s="109" t="str">
        <f t="shared" si="74"/>
        <v>95-951500579</v>
      </c>
      <c r="M4772" s="114">
        <v>951500579</v>
      </c>
      <c r="N4772" s="114" t="s">
        <v>5733</v>
      </c>
    </row>
    <row r="4773" spans="1:14" ht="18.75">
      <c r="A4773" s="12" t="s">
        <v>6671</v>
      </c>
      <c r="B4773" s="1" t="s">
        <v>7110</v>
      </c>
      <c r="I4773" s="109"/>
      <c r="J4773" s="109"/>
      <c r="K4773" s="109"/>
      <c r="L4773" s="109" t="str">
        <f t="shared" si="74"/>
        <v>95-951500585</v>
      </c>
      <c r="M4773" s="114">
        <v>951500585</v>
      </c>
      <c r="N4773" s="114" t="s">
        <v>5758</v>
      </c>
    </row>
    <row r="4774" spans="1:14" ht="18.75">
      <c r="A4774" s="12" t="s">
        <v>6628</v>
      </c>
      <c r="B4774" s="1" t="s">
        <v>7110</v>
      </c>
      <c r="I4774" s="109"/>
      <c r="J4774" s="109"/>
      <c r="K4774" s="109"/>
      <c r="L4774" s="109" t="str">
        <f t="shared" si="74"/>
        <v>95-951500603</v>
      </c>
      <c r="M4774" s="114">
        <v>951500603</v>
      </c>
      <c r="N4774" s="114" t="s">
        <v>5752</v>
      </c>
    </row>
    <row r="4775" spans="1:14" ht="18.75">
      <c r="A4775" s="12" t="s">
        <v>6613</v>
      </c>
      <c r="B4775" s="1" t="s">
        <v>7110</v>
      </c>
      <c r="I4775" s="109"/>
      <c r="J4775" s="109"/>
      <c r="K4775" s="109"/>
      <c r="L4775" s="109" t="str">
        <f t="shared" si="74"/>
        <v>96-961500026</v>
      </c>
      <c r="M4775" s="114">
        <v>961500026</v>
      </c>
      <c r="N4775" s="114" t="s">
        <v>5758</v>
      </c>
    </row>
    <row r="4776" spans="1:14" ht="18.75">
      <c r="A4776" s="12" t="s">
        <v>6671</v>
      </c>
      <c r="B4776" s="1" t="s">
        <v>7110</v>
      </c>
      <c r="I4776" s="109"/>
      <c r="J4776" s="109"/>
      <c r="K4776" s="109"/>
      <c r="L4776" s="109" t="str">
        <f t="shared" si="74"/>
        <v>96-961500031</v>
      </c>
      <c r="M4776" s="114">
        <v>961500031</v>
      </c>
      <c r="N4776" s="114" t="s">
        <v>5758</v>
      </c>
    </row>
    <row r="4777" spans="1:14" ht="18.75">
      <c r="A4777" s="12" t="s">
        <v>6671</v>
      </c>
      <c r="B4777" s="1" t="s">
        <v>7110</v>
      </c>
      <c r="I4777" s="109"/>
      <c r="J4777" s="109"/>
      <c r="K4777" s="109"/>
      <c r="L4777" s="109" t="str">
        <f t="shared" si="74"/>
        <v>96-961500096</v>
      </c>
      <c r="M4777" s="114">
        <v>961500096</v>
      </c>
      <c r="N4777" s="114" t="s">
        <v>5762</v>
      </c>
    </row>
    <row r="4778" spans="1:14" ht="18.75">
      <c r="A4778" s="12" t="s">
        <v>6671</v>
      </c>
      <c r="B4778" s="1" t="s">
        <v>7110</v>
      </c>
      <c r="I4778" s="109"/>
      <c r="J4778" s="109"/>
      <c r="K4778" s="109"/>
      <c r="L4778" s="109" t="str">
        <f t="shared" si="74"/>
        <v>96-961500099</v>
      </c>
      <c r="M4778" s="114">
        <v>961500099</v>
      </c>
      <c r="N4778" s="114" t="s">
        <v>5762</v>
      </c>
    </row>
    <row r="4779" spans="1:14" ht="18.75">
      <c r="A4779" s="12" t="s">
        <v>6672</v>
      </c>
      <c r="B4779" s="1" t="s">
        <v>7110</v>
      </c>
      <c r="I4779" s="109"/>
      <c r="J4779" s="109"/>
      <c r="K4779" s="109"/>
      <c r="L4779" s="109" t="str">
        <f t="shared" si="74"/>
        <v>96-961500106</v>
      </c>
      <c r="M4779" s="114">
        <v>961500106</v>
      </c>
      <c r="N4779" s="114" t="s">
        <v>5762</v>
      </c>
    </row>
    <row r="4780" spans="1:14" ht="18.75">
      <c r="A4780" s="12" t="s">
        <v>6672</v>
      </c>
      <c r="B4780" s="1" t="s">
        <v>7110</v>
      </c>
      <c r="I4780" s="109"/>
      <c r="J4780" s="109"/>
      <c r="K4780" s="109"/>
      <c r="L4780" s="109" t="str">
        <f t="shared" si="74"/>
        <v>96-961500130</v>
      </c>
      <c r="M4780" s="114">
        <v>961500130</v>
      </c>
      <c r="N4780" s="114" t="s">
        <v>5799</v>
      </c>
    </row>
    <row r="4781" spans="1:14" ht="18.75">
      <c r="A4781" s="12" t="s">
        <v>6672</v>
      </c>
      <c r="B4781" s="1" t="s">
        <v>7110</v>
      </c>
      <c r="I4781" s="109"/>
      <c r="J4781" s="109"/>
      <c r="K4781" s="109"/>
      <c r="L4781" s="109" t="str">
        <f t="shared" si="74"/>
        <v>96-961500144</v>
      </c>
      <c r="M4781" s="114">
        <v>961500144</v>
      </c>
      <c r="N4781" s="114" t="s">
        <v>5799</v>
      </c>
    </row>
    <row r="4782" spans="1:14" ht="18.75">
      <c r="A4782" s="12" t="s">
        <v>6673</v>
      </c>
      <c r="B4782" s="1" t="s">
        <v>7110</v>
      </c>
      <c r="I4782" s="109"/>
      <c r="J4782" s="109"/>
      <c r="K4782" s="109"/>
      <c r="L4782" s="109" t="str">
        <f t="shared" si="74"/>
        <v>96-961500160</v>
      </c>
      <c r="M4782" s="114">
        <v>961500160</v>
      </c>
      <c r="N4782" s="114" t="s">
        <v>5810</v>
      </c>
    </row>
    <row r="4783" spans="1:14" ht="18.75">
      <c r="A4783" s="12" t="s">
        <v>6673</v>
      </c>
      <c r="B4783" s="1" t="s">
        <v>7110</v>
      </c>
      <c r="I4783" s="109"/>
      <c r="J4783" s="109"/>
      <c r="K4783" s="109"/>
      <c r="L4783" s="109" t="str">
        <f t="shared" si="74"/>
        <v>96-961500162</v>
      </c>
      <c r="M4783" s="114">
        <v>961500162</v>
      </c>
      <c r="N4783" s="114" t="s">
        <v>5810</v>
      </c>
    </row>
    <row r="4784" spans="1:14" ht="18.75">
      <c r="A4784" s="12" t="s">
        <v>6666</v>
      </c>
      <c r="B4784" s="1" t="s">
        <v>7110</v>
      </c>
      <c r="I4784" s="109"/>
      <c r="J4784" s="109"/>
      <c r="K4784" s="109"/>
      <c r="L4784" s="109" t="str">
        <f t="shared" si="74"/>
        <v>96-961500174</v>
      </c>
      <c r="M4784" s="114">
        <v>961500174</v>
      </c>
      <c r="N4784" s="114" t="s">
        <v>5810</v>
      </c>
    </row>
    <row r="4785" spans="1:14" ht="18.75">
      <c r="A4785" s="12" t="s">
        <v>6673</v>
      </c>
      <c r="B4785" s="1" t="s">
        <v>7110</v>
      </c>
      <c r="I4785" s="109"/>
      <c r="J4785" s="109"/>
      <c r="K4785" s="109"/>
      <c r="L4785" s="109" t="str">
        <f t="shared" si="74"/>
        <v>96-961500182</v>
      </c>
      <c r="M4785" s="114">
        <v>961500182</v>
      </c>
      <c r="N4785" s="114" t="s">
        <v>5813</v>
      </c>
    </row>
    <row r="4786" spans="1:14" ht="18.75">
      <c r="A4786" s="12" t="s">
        <v>6661</v>
      </c>
      <c r="B4786" s="1" t="s">
        <v>7110</v>
      </c>
      <c r="I4786" s="109"/>
      <c r="J4786" s="109"/>
      <c r="K4786" s="109"/>
      <c r="L4786" s="109" t="str">
        <f t="shared" si="74"/>
        <v>96-961500196</v>
      </c>
      <c r="M4786" s="114">
        <v>961500196</v>
      </c>
      <c r="N4786" s="114" t="s">
        <v>5813</v>
      </c>
    </row>
    <row r="4787" spans="1:14" ht="18.75">
      <c r="A4787" s="12" t="s">
        <v>6673</v>
      </c>
      <c r="B4787" s="1" t="s">
        <v>7110</v>
      </c>
      <c r="I4787" s="109"/>
      <c r="J4787" s="109"/>
      <c r="K4787" s="109"/>
      <c r="L4787" s="109" t="str">
        <f t="shared" si="74"/>
        <v>96-961500198</v>
      </c>
      <c r="M4787" s="114">
        <v>961500198</v>
      </c>
      <c r="N4787" s="114" t="s">
        <v>5815</v>
      </c>
    </row>
    <row r="4788" spans="1:14" ht="18.75">
      <c r="A4788" s="12" t="s">
        <v>6673</v>
      </c>
      <c r="B4788" s="1" t="s">
        <v>7110</v>
      </c>
      <c r="I4788" s="109"/>
      <c r="J4788" s="109"/>
      <c r="K4788" s="109"/>
      <c r="L4788" s="109" t="str">
        <f t="shared" si="74"/>
        <v>96-961500227</v>
      </c>
      <c r="M4788" s="114">
        <v>961500227</v>
      </c>
      <c r="N4788" s="114" t="s">
        <v>5813</v>
      </c>
    </row>
    <row r="4789" spans="1:14" ht="18.75">
      <c r="A4789" s="12" t="s">
        <v>6647</v>
      </c>
      <c r="B4789" s="1" t="s">
        <v>7110</v>
      </c>
      <c r="I4789" s="109"/>
      <c r="J4789" s="109"/>
      <c r="K4789" s="109"/>
      <c r="L4789" s="109" t="str">
        <f t="shared" si="74"/>
        <v>96-961500283</v>
      </c>
      <c r="M4789" s="114">
        <v>961500283</v>
      </c>
      <c r="N4789" s="114" t="s">
        <v>5826</v>
      </c>
    </row>
    <row r="4790" spans="1:14" ht="18.75">
      <c r="A4790" s="12" t="s">
        <v>6674</v>
      </c>
      <c r="B4790" s="1" t="s">
        <v>7110</v>
      </c>
      <c r="I4790" s="109"/>
      <c r="J4790" s="109"/>
      <c r="K4790" s="109"/>
      <c r="L4790" s="109" t="str">
        <f t="shared" si="74"/>
        <v>96-961500288</v>
      </c>
      <c r="M4790" s="114">
        <v>961500288</v>
      </c>
      <c r="N4790" s="114" t="s">
        <v>5826</v>
      </c>
    </row>
    <row r="4791" spans="1:14" ht="18.75">
      <c r="A4791" s="12" t="s">
        <v>6674</v>
      </c>
      <c r="B4791" s="1" t="s">
        <v>7110</v>
      </c>
      <c r="I4791" s="109"/>
      <c r="J4791" s="109"/>
      <c r="K4791" s="109"/>
      <c r="L4791" s="109" t="str">
        <f t="shared" si="74"/>
        <v>96-961500296</v>
      </c>
      <c r="M4791" s="114">
        <v>961500296</v>
      </c>
      <c r="N4791" s="114" t="s">
        <v>5826</v>
      </c>
    </row>
    <row r="4792" spans="1:14" ht="18.75">
      <c r="A4792" s="12" t="s">
        <v>6675</v>
      </c>
      <c r="B4792" s="1" t="s">
        <v>7110</v>
      </c>
      <c r="I4792" s="109"/>
      <c r="J4792" s="109"/>
      <c r="K4792" s="109"/>
      <c r="L4792" s="109" t="str">
        <f t="shared" si="74"/>
        <v>96-961500306</v>
      </c>
      <c r="M4792" s="114">
        <v>961500306</v>
      </c>
      <c r="N4792" s="114" t="s">
        <v>5826</v>
      </c>
    </row>
    <row r="4793" spans="1:14" ht="18.75">
      <c r="A4793" s="12" t="s">
        <v>6676</v>
      </c>
      <c r="B4793" s="1" t="s">
        <v>7110</v>
      </c>
      <c r="I4793" s="109"/>
      <c r="J4793" s="109"/>
      <c r="K4793" s="109"/>
      <c r="L4793" s="109" t="str">
        <f t="shared" si="74"/>
        <v>96-961500338</v>
      </c>
      <c r="M4793" s="114">
        <v>961500338</v>
      </c>
      <c r="N4793" s="114" t="s">
        <v>5831</v>
      </c>
    </row>
    <row r="4794" spans="1:14" ht="18.75">
      <c r="A4794" s="12" t="s">
        <v>6676</v>
      </c>
      <c r="B4794" s="1" t="s">
        <v>7110</v>
      </c>
      <c r="I4794" s="109"/>
      <c r="J4794" s="109"/>
      <c r="K4794" s="109"/>
      <c r="L4794" s="109" t="str">
        <f t="shared" si="74"/>
        <v>96-961500347</v>
      </c>
      <c r="M4794" s="114">
        <v>961500347</v>
      </c>
      <c r="N4794" s="114" t="s">
        <v>5831</v>
      </c>
    </row>
    <row r="4795" spans="1:14" ht="18.75">
      <c r="A4795" s="12" t="s">
        <v>6677</v>
      </c>
      <c r="B4795" s="1" t="s">
        <v>7110</v>
      </c>
      <c r="I4795" s="109"/>
      <c r="J4795" s="109"/>
      <c r="K4795" s="109"/>
      <c r="L4795" s="109" t="str">
        <f t="shared" si="74"/>
        <v>96-961500372</v>
      </c>
      <c r="M4795" s="114">
        <v>961500372</v>
      </c>
      <c r="N4795" s="114" t="s">
        <v>7231</v>
      </c>
    </row>
    <row r="4796" spans="1:14" ht="18.75">
      <c r="A4796" s="12" t="s">
        <v>6677</v>
      </c>
      <c r="B4796" s="1" t="s">
        <v>7110</v>
      </c>
      <c r="I4796" s="109"/>
      <c r="J4796" s="109"/>
      <c r="K4796" s="109"/>
      <c r="L4796" s="109" t="str">
        <f t="shared" si="74"/>
        <v>96-961500375</v>
      </c>
      <c r="M4796" s="114">
        <v>961500375</v>
      </c>
      <c r="N4796" s="114" t="s">
        <v>7231</v>
      </c>
    </row>
    <row r="4797" spans="1:14" ht="18.75">
      <c r="A4797" s="12" t="s">
        <v>6678</v>
      </c>
      <c r="B4797" s="1" t="s">
        <v>7110</v>
      </c>
      <c r="I4797" s="109"/>
      <c r="J4797" s="109"/>
      <c r="K4797" s="109"/>
      <c r="L4797" s="109" t="str">
        <f t="shared" si="74"/>
        <v>96-961500391</v>
      </c>
      <c r="M4797" s="114">
        <v>961500391</v>
      </c>
      <c r="N4797" s="114" t="s">
        <v>7231</v>
      </c>
    </row>
    <row r="4798" spans="1:14" ht="18.75">
      <c r="A4798" s="12" t="s">
        <v>6678</v>
      </c>
      <c r="B4798" s="1" t="s">
        <v>7110</v>
      </c>
      <c r="I4798" s="109"/>
      <c r="J4798" s="109"/>
      <c r="K4798" s="109"/>
      <c r="L4798" s="109" t="str">
        <f t="shared" si="74"/>
        <v>96-961500476</v>
      </c>
      <c r="M4798" s="114">
        <v>961500476</v>
      </c>
      <c r="N4798" s="114" t="s">
        <v>7175</v>
      </c>
    </row>
    <row r="4799" spans="1:14" ht="18.75">
      <c r="A4799" s="12" t="s">
        <v>6678</v>
      </c>
      <c r="B4799" s="1" t="s">
        <v>7110</v>
      </c>
      <c r="I4799" s="109"/>
      <c r="J4799" s="109"/>
      <c r="K4799" s="109"/>
      <c r="L4799" s="109" t="str">
        <f t="shared" si="74"/>
        <v>96-961500485</v>
      </c>
      <c r="M4799" s="114">
        <v>961500485</v>
      </c>
      <c r="N4799" s="114" t="s">
        <v>7111</v>
      </c>
    </row>
    <row r="4800" spans="1:14" ht="18.75">
      <c r="A4800" s="12" t="s">
        <v>6678</v>
      </c>
      <c r="B4800" s="1" t="s">
        <v>7110</v>
      </c>
      <c r="I4800" s="109"/>
      <c r="J4800" s="109"/>
      <c r="K4800" s="109"/>
      <c r="L4800" s="109" t="str">
        <f t="shared" si="74"/>
        <v>96-961500487</v>
      </c>
      <c r="M4800" s="114">
        <v>961500487</v>
      </c>
      <c r="N4800" s="114" t="s">
        <v>7111</v>
      </c>
    </row>
    <row r="4801" spans="1:14" ht="18.75">
      <c r="A4801" s="12" t="s">
        <v>6679</v>
      </c>
      <c r="B4801" s="1" t="s">
        <v>7110</v>
      </c>
      <c r="I4801" s="109"/>
      <c r="J4801" s="109"/>
      <c r="K4801" s="109"/>
      <c r="L4801" s="109" t="str">
        <f t="shared" si="74"/>
        <v>95-951500003</v>
      </c>
      <c r="M4801" s="114">
        <v>951500003</v>
      </c>
      <c r="N4801" s="114" t="s">
        <v>5608</v>
      </c>
    </row>
    <row r="4802" spans="1:14" ht="18.75">
      <c r="A4802" s="12" t="s">
        <v>6679</v>
      </c>
      <c r="B4802" s="1" t="s">
        <v>7110</v>
      </c>
      <c r="I4802" s="109"/>
      <c r="J4802" s="109"/>
      <c r="K4802" s="109"/>
      <c r="L4802" s="109" t="str">
        <f t="shared" si="74"/>
        <v>95-951500007</v>
      </c>
      <c r="M4802" s="114">
        <v>951500007</v>
      </c>
      <c r="N4802" s="114" t="s">
        <v>5608</v>
      </c>
    </row>
    <row r="4803" spans="1:14" ht="18.75">
      <c r="A4803" s="12" t="s">
        <v>6680</v>
      </c>
      <c r="B4803" s="1" t="s">
        <v>7110</v>
      </c>
      <c r="I4803" s="109"/>
      <c r="J4803" s="109"/>
      <c r="K4803" s="109"/>
      <c r="L4803" s="109" t="str">
        <f t="shared" ref="L4803:L4866" si="75">MID(M4803,1,2)&amp;"-"&amp;M4803</f>
        <v>95-951500090</v>
      </c>
      <c r="M4803" s="114">
        <v>951500090</v>
      </c>
      <c r="N4803" s="114" t="s">
        <v>5608</v>
      </c>
    </row>
    <row r="4804" spans="1:14" ht="18.75">
      <c r="A4804" s="12" t="s">
        <v>6681</v>
      </c>
      <c r="B4804" s="1" t="s">
        <v>7110</v>
      </c>
      <c r="I4804" s="109"/>
      <c r="J4804" s="109"/>
      <c r="K4804" s="109"/>
      <c r="L4804" s="109" t="str">
        <f t="shared" si="75"/>
        <v>95-951500095</v>
      </c>
      <c r="M4804" s="114">
        <v>951500095</v>
      </c>
      <c r="N4804" s="114" t="s">
        <v>5608</v>
      </c>
    </row>
    <row r="4805" spans="1:14" ht="18.75">
      <c r="A4805" s="12" t="s">
        <v>6681</v>
      </c>
      <c r="B4805" s="1" t="s">
        <v>7110</v>
      </c>
      <c r="I4805" s="109"/>
      <c r="J4805" s="109"/>
      <c r="K4805" s="109"/>
      <c r="L4805" s="109" t="str">
        <f t="shared" si="75"/>
        <v>95-951500190</v>
      </c>
      <c r="M4805" s="114">
        <v>951500190</v>
      </c>
      <c r="N4805" s="114" t="s">
        <v>5622</v>
      </c>
    </row>
    <row r="4806" spans="1:14" ht="18.75">
      <c r="A4806" s="12" t="s">
        <v>6681</v>
      </c>
      <c r="B4806" s="1" t="s">
        <v>7110</v>
      </c>
      <c r="I4806" s="109"/>
      <c r="J4806" s="109"/>
      <c r="K4806" s="109"/>
      <c r="L4806" s="109" t="str">
        <f t="shared" si="75"/>
        <v>95-951500512</v>
      </c>
      <c r="M4806" s="114">
        <v>951500512</v>
      </c>
      <c r="N4806" s="114" t="s">
        <v>5690</v>
      </c>
    </row>
    <row r="4807" spans="1:14" ht="18.75">
      <c r="A4807" s="12" t="s">
        <v>6682</v>
      </c>
      <c r="B4807" s="1" t="s">
        <v>7110</v>
      </c>
      <c r="I4807" s="109"/>
      <c r="J4807" s="109"/>
      <c r="K4807" s="109"/>
      <c r="L4807" s="109" t="str">
        <f t="shared" si="75"/>
        <v>95-951500530</v>
      </c>
      <c r="M4807" s="114">
        <v>951500530</v>
      </c>
      <c r="N4807" s="114" t="s">
        <v>5690</v>
      </c>
    </row>
    <row r="4808" spans="1:14" ht="18.75">
      <c r="A4808" s="12" t="s">
        <v>6683</v>
      </c>
      <c r="B4808" s="1" t="s">
        <v>7110</v>
      </c>
      <c r="I4808" s="109"/>
      <c r="J4808" s="109"/>
      <c r="K4808" s="109"/>
      <c r="L4808" s="109" t="str">
        <f t="shared" si="75"/>
        <v>96-961500344</v>
      </c>
      <c r="M4808" s="114">
        <v>961500344</v>
      </c>
      <c r="N4808" s="114" t="s">
        <v>7233</v>
      </c>
    </row>
    <row r="4809" spans="1:14" ht="18.75">
      <c r="A4809" s="12" t="s">
        <v>6684</v>
      </c>
      <c r="B4809" s="1" t="s">
        <v>7110</v>
      </c>
      <c r="I4809" s="109"/>
      <c r="J4809" s="109"/>
      <c r="K4809" s="109"/>
      <c r="L4809" s="109" t="str">
        <f t="shared" si="75"/>
        <v>96-961500356</v>
      </c>
      <c r="M4809" s="114">
        <v>961500356</v>
      </c>
      <c r="N4809" s="114" t="s">
        <v>7233</v>
      </c>
    </row>
    <row r="4810" spans="1:14" ht="18.75">
      <c r="A4810" s="12" t="s">
        <v>6685</v>
      </c>
      <c r="B4810" s="1" t="s">
        <v>7110</v>
      </c>
      <c r="I4810" s="109"/>
      <c r="J4810" s="109"/>
      <c r="K4810" s="109"/>
      <c r="L4810" s="109" t="str">
        <f t="shared" si="75"/>
        <v>96-961500402</v>
      </c>
      <c r="M4810" s="114">
        <v>961500402</v>
      </c>
      <c r="N4810" s="114" t="s">
        <v>7233</v>
      </c>
    </row>
    <row r="4811" spans="1:14" ht="18.75">
      <c r="A4811" s="12" t="s">
        <v>6683</v>
      </c>
      <c r="B4811" s="1" t="s">
        <v>7110</v>
      </c>
      <c r="I4811" s="109"/>
      <c r="J4811" s="109"/>
      <c r="K4811" s="109"/>
      <c r="L4811" s="109" t="str">
        <f t="shared" si="75"/>
        <v>96-961500413</v>
      </c>
      <c r="M4811" s="114">
        <v>961500413</v>
      </c>
      <c r="N4811" s="114" t="s">
        <v>7233</v>
      </c>
    </row>
    <row r="4812" spans="1:14" ht="18.75">
      <c r="A4812" s="12" t="s">
        <v>6686</v>
      </c>
      <c r="B4812" s="1" t="s">
        <v>7110</v>
      </c>
      <c r="I4812" s="109"/>
      <c r="J4812" s="109"/>
      <c r="K4812" s="109"/>
      <c r="L4812" s="109" t="str">
        <f t="shared" si="75"/>
        <v>96-961500506</v>
      </c>
      <c r="M4812" s="114">
        <v>961500506</v>
      </c>
      <c r="N4812" s="114" t="s">
        <v>8497</v>
      </c>
    </row>
    <row r="4813" spans="1:14" ht="18.75">
      <c r="A4813" s="12" t="s">
        <v>6686</v>
      </c>
      <c r="B4813" s="1" t="s">
        <v>7110</v>
      </c>
      <c r="I4813" s="109"/>
      <c r="J4813" s="109"/>
      <c r="K4813" s="109"/>
      <c r="L4813" s="109" t="str">
        <f t="shared" si="75"/>
        <v>95-951500010</v>
      </c>
      <c r="M4813" s="114">
        <v>951500010</v>
      </c>
      <c r="N4813" s="114" t="s">
        <v>5610</v>
      </c>
    </row>
    <row r="4814" spans="1:14" ht="18.75">
      <c r="A4814" s="12" t="s">
        <v>6686</v>
      </c>
      <c r="B4814" s="1" t="s">
        <v>7110</v>
      </c>
      <c r="I4814" s="109"/>
      <c r="J4814" s="109"/>
      <c r="K4814" s="109"/>
      <c r="L4814" s="109" t="str">
        <f t="shared" si="75"/>
        <v>95-951500047</v>
      </c>
      <c r="M4814" s="114">
        <v>951500047</v>
      </c>
      <c r="N4814" s="114" t="s">
        <v>5614</v>
      </c>
    </row>
    <row r="4815" spans="1:14" ht="18.75">
      <c r="A4815" s="12" t="s">
        <v>6687</v>
      </c>
      <c r="B4815" s="1" t="s">
        <v>7110</v>
      </c>
      <c r="I4815" s="109"/>
      <c r="J4815" s="109"/>
      <c r="K4815" s="109"/>
      <c r="L4815" s="109" t="str">
        <f t="shared" si="75"/>
        <v>95-951500064</v>
      </c>
      <c r="M4815" s="114">
        <v>951500064</v>
      </c>
      <c r="N4815" s="114" t="s">
        <v>5614</v>
      </c>
    </row>
    <row r="4816" spans="1:14" ht="18.75">
      <c r="A4816" s="12" t="s">
        <v>6687</v>
      </c>
      <c r="B4816" s="1" t="s">
        <v>7110</v>
      </c>
      <c r="I4816" s="109"/>
      <c r="J4816" s="109"/>
      <c r="K4816" s="109"/>
      <c r="L4816" s="109" t="str">
        <f t="shared" si="75"/>
        <v>95-951500065</v>
      </c>
      <c r="M4816" s="114">
        <v>951500065</v>
      </c>
      <c r="N4816" s="114" t="s">
        <v>5614</v>
      </c>
    </row>
    <row r="4817" spans="1:14" ht="18.75">
      <c r="A4817" s="12" t="s">
        <v>6687</v>
      </c>
      <c r="B4817" s="1" t="s">
        <v>7110</v>
      </c>
      <c r="I4817" s="109"/>
      <c r="J4817" s="109"/>
      <c r="K4817" s="109"/>
      <c r="L4817" s="109" t="str">
        <f t="shared" si="75"/>
        <v>95-951500169</v>
      </c>
      <c r="M4817" s="114">
        <v>951500169</v>
      </c>
      <c r="N4817" s="114" t="s">
        <v>5614</v>
      </c>
    </row>
    <row r="4818" spans="1:14" ht="18.75">
      <c r="A4818" s="12" t="s">
        <v>6682</v>
      </c>
      <c r="B4818" s="1" t="s">
        <v>7110</v>
      </c>
      <c r="I4818" s="109"/>
      <c r="J4818" s="109"/>
      <c r="K4818" s="109"/>
      <c r="L4818" s="109" t="str">
        <f t="shared" si="75"/>
        <v>95-951500364</v>
      </c>
      <c r="M4818" s="114">
        <v>951500364</v>
      </c>
      <c r="N4818" s="114" t="s">
        <v>5670</v>
      </c>
    </row>
    <row r="4819" spans="1:14" ht="18.75">
      <c r="A4819" s="12" t="s">
        <v>6688</v>
      </c>
      <c r="B4819" s="1" t="s">
        <v>7110</v>
      </c>
      <c r="I4819" s="109"/>
      <c r="J4819" s="109"/>
      <c r="K4819" s="109"/>
      <c r="L4819" s="109" t="str">
        <f t="shared" si="75"/>
        <v>95-951500479</v>
      </c>
      <c r="M4819" s="114">
        <v>951500479</v>
      </c>
      <c r="N4819" s="114" t="s">
        <v>5711</v>
      </c>
    </row>
    <row r="4820" spans="1:14" ht="18.75">
      <c r="A4820" s="12" t="s">
        <v>6689</v>
      </c>
      <c r="B4820" s="1" t="s">
        <v>7110</v>
      </c>
      <c r="I4820" s="109"/>
      <c r="J4820" s="109"/>
      <c r="K4820" s="109"/>
      <c r="L4820" s="109" t="str">
        <f t="shared" si="75"/>
        <v>96-961500255</v>
      </c>
      <c r="M4820" s="114">
        <v>961500255</v>
      </c>
      <c r="N4820" s="114" t="s">
        <v>5821</v>
      </c>
    </row>
    <row r="4821" spans="1:14" ht="18.75">
      <c r="A4821" s="12" t="s">
        <v>6690</v>
      </c>
      <c r="B4821" s="1" t="s">
        <v>7110</v>
      </c>
      <c r="I4821" s="109"/>
      <c r="J4821" s="109"/>
      <c r="K4821" s="109"/>
      <c r="L4821" s="109" t="str">
        <f t="shared" si="75"/>
        <v>96-961500321</v>
      </c>
      <c r="M4821" s="114">
        <v>961500321</v>
      </c>
      <c r="N4821" s="114" t="s">
        <v>5822</v>
      </c>
    </row>
    <row r="4822" spans="1:14" ht="18.75">
      <c r="A4822" s="12" t="s">
        <v>6689</v>
      </c>
      <c r="B4822" s="1" t="s">
        <v>7110</v>
      </c>
      <c r="I4822" s="109"/>
      <c r="J4822" s="109"/>
      <c r="K4822" s="109"/>
      <c r="L4822" s="109" t="str">
        <f t="shared" si="75"/>
        <v>96-961500325</v>
      </c>
      <c r="M4822" s="114">
        <v>961500325</v>
      </c>
      <c r="N4822" s="114" t="s">
        <v>5852</v>
      </c>
    </row>
    <row r="4823" spans="1:14" ht="18.75">
      <c r="A4823" s="12" t="s">
        <v>6688</v>
      </c>
      <c r="B4823" s="1" t="s">
        <v>7110</v>
      </c>
      <c r="I4823" s="109"/>
      <c r="J4823" s="109"/>
      <c r="K4823" s="109"/>
      <c r="L4823" s="109" t="str">
        <f t="shared" si="75"/>
        <v>96-961500422</v>
      </c>
      <c r="M4823" s="114">
        <v>961500422</v>
      </c>
      <c r="N4823" s="114" t="s">
        <v>5852</v>
      </c>
    </row>
    <row r="4824" spans="1:14" ht="18.75">
      <c r="A4824" s="12" t="s">
        <v>6688</v>
      </c>
      <c r="B4824" s="1" t="s">
        <v>7110</v>
      </c>
      <c r="I4824" s="109"/>
      <c r="J4824" s="109"/>
      <c r="K4824" s="109"/>
      <c r="L4824" s="109" t="str">
        <f t="shared" si="75"/>
        <v>96-961500469</v>
      </c>
      <c r="M4824" s="114">
        <v>961500469</v>
      </c>
      <c r="N4824" s="114" t="s">
        <v>7255</v>
      </c>
    </row>
    <row r="4825" spans="1:14" ht="18.75">
      <c r="A4825" s="12" t="s">
        <v>6689</v>
      </c>
      <c r="B4825" s="1" t="s">
        <v>7110</v>
      </c>
      <c r="I4825" s="109"/>
      <c r="J4825" s="109"/>
      <c r="K4825" s="109"/>
      <c r="L4825" s="109" t="str">
        <f t="shared" si="75"/>
        <v>96-961500483</v>
      </c>
      <c r="M4825" s="114">
        <v>961500483</v>
      </c>
      <c r="N4825" s="114" t="s">
        <v>7255</v>
      </c>
    </row>
    <row r="4826" spans="1:14" ht="18.75">
      <c r="A4826" s="12" t="s">
        <v>6689</v>
      </c>
      <c r="B4826" s="1" t="s">
        <v>7110</v>
      </c>
      <c r="I4826" s="109"/>
      <c r="J4826" s="109"/>
      <c r="K4826" s="109"/>
      <c r="L4826" s="109" t="str">
        <f t="shared" si="75"/>
        <v>96-961500513</v>
      </c>
      <c r="M4826" s="114">
        <v>961500513</v>
      </c>
      <c r="N4826" s="114" t="s">
        <v>7118</v>
      </c>
    </row>
    <row r="4827" spans="1:14" ht="18.75">
      <c r="A4827" s="12" t="s">
        <v>6691</v>
      </c>
      <c r="B4827" s="1" t="s">
        <v>7110</v>
      </c>
      <c r="I4827" s="109"/>
      <c r="J4827" s="109"/>
      <c r="K4827" s="109"/>
      <c r="L4827" s="109" t="str">
        <f t="shared" si="75"/>
        <v>95-951500221</v>
      </c>
      <c r="M4827" s="114">
        <v>951500221</v>
      </c>
      <c r="N4827" s="114" t="s">
        <v>5632</v>
      </c>
    </row>
    <row r="4828" spans="1:14" ht="18.75">
      <c r="A4828" s="12" t="s">
        <v>6692</v>
      </c>
      <c r="B4828" s="1" t="s">
        <v>7110</v>
      </c>
      <c r="I4828" s="109"/>
      <c r="J4828" s="109"/>
      <c r="K4828" s="109"/>
      <c r="L4828" s="109" t="str">
        <f t="shared" si="75"/>
        <v>95-951500255</v>
      </c>
      <c r="M4828" s="114">
        <v>951500255</v>
      </c>
      <c r="N4828" s="114" t="s">
        <v>5632</v>
      </c>
    </row>
    <row r="4829" spans="1:14" ht="18.75">
      <c r="A4829" s="12" t="s">
        <v>6693</v>
      </c>
      <c r="B4829" s="1" t="s">
        <v>7110</v>
      </c>
      <c r="I4829" s="109"/>
      <c r="J4829" s="109"/>
      <c r="K4829" s="109"/>
      <c r="L4829" s="109" t="str">
        <f t="shared" si="75"/>
        <v>95-951500261</v>
      </c>
      <c r="M4829" s="114">
        <v>951500261</v>
      </c>
      <c r="N4829" s="114" t="s">
        <v>5651</v>
      </c>
    </row>
    <row r="4830" spans="1:14" ht="18.75">
      <c r="A4830" s="12" t="s">
        <v>6694</v>
      </c>
      <c r="B4830" s="1" t="s">
        <v>7110</v>
      </c>
      <c r="I4830" s="109"/>
      <c r="J4830" s="109"/>
      <c r="K4830" s="109"/>
      <c r="L4830" s="109" t="str">
        <f t="shared" si="75"/>
        <v>95-951500302</v>
      </c>
      <c r="M4830" s="114">
        <v>951500302</v>
      </c>
      <c r="N4830" s="114" t="s">
        <v>5660</v>
      </c>
    </row>
    <row r="4831" spans="1:14" ht="18.75">
      <c r="A4831" s="12" t="s">
        <v>6695</v>
      </c>
      <c r="B4831" s="1" t="s">
        <v>7110</v>
      </c>
      <c r="I4831" s="109"/>
      <c r="J4831" s="109"/>
      <c r="K4831" s="109"/>
      <c r="L4831" s="109" t="str">
        <f t="shared" si="75"/>
        <v>95-951500347</v>
      </c>
      <c r="M4831" s="114">
        <v>951500347</v>
      </c>
      <c r="N4831" s="114" t="s">
        <v>5668</v>
      </c>
    </row>
    <row r="4832" spans="1:14" ht="18.75">
      <c r="A4832" s="12" t="s">
        <v>6695</v>
      </c>
      <c r="B4832" s="1" t="s">
        <v>7110</v>
      </c>
      <c r="I4832" s="109"/>
      <c r="J4832" s="109"/>
      <c r="K4832" s="109"/>
      <c r="L4832" s="109" t="str">
        <f t="shared" si="75"/>
        <v>95-951500395</v>
      </c>
      <c r="M4832" s="114">
        <v>951500395</v>
      </c>
      <c r="N4832" s="114" t="s">
        <v>5668</v>
      </c>
    </row>
    <row r="4833" spans="1:14" ht="18.75">
      <c r="A4833" s="12" t="s">
        <v>6694</v>
      </c>
      <c r="B4833" s="1" t="s">
        <v>7110</v>
      </c>
      <c r="I4833" s="109"/>
      <c r="J4833" s="109"/>
      <c r="K4833" s="109"/>
      <c r="L4833" s="109" t="str">
        <f t="shared" si="75"/>
        <v>95-951500470</v>
      </c>
      <c r="M4833" s="114">
        <v>951500470</v>
      </c>
      <c r="N4833" s="114" t="s">
        <v>5698</v>
      </c>
    </row>
    <row r="4834" spans="1:14" ht="18.75">
      <c r="A4834" s="12" t="s">
        <v>6696</v>
      </c>
      <c r="B4834" s="1" t="s">
        <v>7110</v>
      </c>
      <c r="I4834" s="109"/>
      <c r="J4834" s="109"/>
      <c r="K4834" s="109"/>
      <c r="L4834" s="109" t="str">
        <f t="shared" si="75"/>
        <v>95-951500569</v>
      </c>
      <c r="M4834" s="114">
        <v>951500569</v>
      </c>
      <c r="N4834" s="114" t="s">
        <v>5748</v>
      </c>
    </row>
    <row r="4835" spans="1:14" ht="18.75">
      <c r="A4835" s="12" t="s">
        <v>6697</v>
      </c>
      <c r="B4835" s="1" t="s">
        <v>7110</v>
      </c>
      <c r="I4835" s="109"/>
      <c r="J4835" s="109"/>
      <c r="K4835" s="109"/>
      <c r="L4835" s="109" t="str">
        <f t="shared" si="75"/>
        <v>95-951500590</v>
      </c>
      <c r="M4835" s="114">
        <v>951500590</v>
      </c>
      <c r="N4835" s="114" t="s">
        <v>5748</v>
      </c>
    </row>
    <row r="4836" spans="1:14" ht="18.75">
      <c r="A4836" s="12" t="s">
        <v>6698</v>
      </c>
      <c r="B4836" s="1" t="s">
        <v>7110</v>
      </c>
      <c r="I4836" s="109"/>
      <c r="J4836" s="109"/>
      <c r="K4836" s="109"/>
      <c r="L4836" s="109" t="str">
        <f t="shared" si="75"/>
        <v>96-961500029</v>
      </c>
      <c r="M4836" s="114">
        <v>961500029</v>
      </c>
      <c r="N4836" s="114" t="s">
        <v>5775</v>
      </c>
    </row>
    <row r="4837" spans="1:14" ht="18.75">
      <c r="A4837" s="12" t="s">
        <v>6699</v>
      </c>
      <c r="B4837" s="1" t="s">
        <v>7110</v>
      </c>
      <c r="I4837" s="109"/>
      <c r="J4837" s="109"/>
      <c r="K4837" s="109"/>
      <c r="L4837" s="109" t="str">
        <f t="shared" si="75"/>
        <v>96-961500044</v>
      </c>
      <c r="M4837" s="114">
        <v>961500044</v>
      </c>
      <c r="N4837" s="114" t="s">
        <v>5777</v>
      </c>
    </row>
    <row r="4838" spans="1:14" ht="18.75">
      <c r="A4838" s="12" t="s">
        <v>6700</v>
      </c>
      <c r="B4838" s="1" t="s">
        <v>7110</v>
      </c>
      <c r="I4838" s="109"/>
      <c r="J4838" s="109"/>
      <c r="K4838" s="109"/>
      <c r="L4838" s="109" t="str">
        <f t="shared" si="75"/>
        <v>96-961500059</v>
      </c>
      <c r="M4838" s="114">
        <v>961500059</v>
      </c>
      <c r="N4838" s="114" t="s">
        <v>5777</v>
      </c>
    </row>
    <row r="4839" spans="1:14" ht="18.75">
      <c r="A4839" s="12" t="s">
        <v>6701</v>
      </c>
      <c r="B4839" s="1" t="s">
        <v>7110</v>
      </c>
      <c r="I4839" s="109"/>
      <c r="J4839" s="109"/>
      <c r="K4839" s="109"/>
      <c r="L4839" s="109" t="str">
        <f t="shared" si="75"/>
        <v>96-961500104</v>
      </c>
      <c r="M4839" s="114">
        <v>961500104</v>
      </c>
      <c r="N4839" s="114" t="s">
        <v>5801</v>
      </c>
    </row>
    <row r="4840" spans="1:14" ht="18.75">
      <c r="A4840" s="12" t="s">
        <v>6697</v>
      </c>
      <c r="B4840" s="1" t="s">
        <v>7110</v>
      </c>
      <c r="I4840" s="109"/>
      <c r="J4840" s="109"/>
      <c r="K4840" s="109"/>
      <c r="L4840" s="109" t="str">
        <f t="shared" si="75"/>
        <v>96-961500128</v>
      </c>
      <c r="M4840" s="114">
        <v>961500128</v>
      </c>
      <c r="N4840" s="114" t="s">
        <v>5803</v>
      </c>
    </row>
    <row r="4841" spans="1:14" ht="18.75">
      <c r="A4841" s="12" t="s">
        <v>6702</v>
      </c>
      <c r="B4841" s="1" t="s">
        <v>7110</v>
      </c>
      <c r="I4841" s="109"/>
      <c r="J4841" s="109"/>
      <c r="K4841" s="109"/>
      <c r="L4841" s="109" t="str">
        <f t="shared" si="75"/>
        <v>96-961500137</v>
      </c>
      <c r="M4841" s="114">
        <v>961500137</v>
      </c>
      <c r="N4841" s="114" t="s">
        <v>5803</v>
      </c>
    </row>
    <row r="4842" spans="1:14" ht="18.75">
      <c r="A4842" s="12" t="s">
        <v>6702</v>
      </c>
      <c r="B4842" s="1" t="s">
        <v>7110</v>
      </c>
      <c r="I4842" s="109"/>
      <c r="J4842" s="109"/>
      <c r="K4842" s="109"/>
      <c r="L4842" s="109" t="str">
        <f t="shared" si="75"/>
        <v>96-961500173</v>
      </c>
      <c r="M4842" s="114">
        <v>961500173</v>
      </c>
      <c r="N4842" s="114" t="s">
        <v>5807</v>
      </c>
    </row>
    <row r="4843" spans="1:14" ht="18.75">
      <c r="A4843" s="12" t="s">
        <v>6696</v>
      </c>
      <c r="B4843" s="1" t="s">
        <v>7110</v>
      </c>
      <c r="I4843" s="109"/>
      <c r="J4843" s="109"/>
      <c r="K4843" s="109"/>
      <c r="L4843" s="109" t="str">
        <f t="shared" si="75"/>
        <v>96-961500211</v>
      </c>
      <c r="M4843" s="114">
        <v>961500211</v>
      </c>
      <c r="N4843" s="114" t="s">
        <v>5819</v>
      </c>
    </row>
    <row r="4844" spans="1:14" ht="18.75">
      <c r="A4844" s="12" t="s">
        <v>6702</v>
      </c>
      <c r="B4844" s="1" t="s">
        <v>7110</v>
      </c>
      <c r="I4844" s="109"/>
      <c r="J4844" s="109"/>
      <c r="K4844" s="109"/>
      <c r="L4844" s="109" t="str">
        <f t="shared" si="75"/>
        <v>96-961500235</v>
      </c>
      <c r="M4844" s="114">
        <v>961500235</v>
      </c>
      <c r="N4844" s="114" t="s">
        <v>5819</v>
      </c>
    </row>
    <row r="4845" spans="1:14" ht="18.75">
      <c r="A4845" s="12" t="s">
        <v>6690</v>
      </c>
      <c r="B4845" s="1" t="s">
        <v>7110</v>
      </c>
      <c r="I4845" s="109"/>
      <c r="J4845" s="109"/>
      <c r="K4845" s="109"/>
      <c r="L4845" s="109" t="str">
        <f t="shared" si="75"/>
        <v>96-961500256</v>
      </c>
      <c r="M4845" s="114">
        <v>961500256</v>
      </c>
      <c r="N4845" s="114" t="s">
        <v>5807</v>
      </c>
    </row>
    <row r="4846" spans="1:14" ht="18.75">
      <c r="A4846" s="12" t="s">
        <v>6703</v>
      </c>
      <c r="B4846" s="1" t="s">
        <v>7110</v>
      </c>
      <c r="I4846" s="109"/>
      <c r="J4846" s="109"/>
      <c r="K4846" s="109"/>
      <c r="L4846" s="109" t="str">
        <f t="shared" si="75"/>
        <v>96-961500301</v>
      </c>
      <c r="M4846" s="114">
        <v>961500301</v>
      </c>
      <c r="N4846" s="114" t="s">
        <v>5818</v>
      </c>
    </row>
    <row r="4847" spans="1:14" ht="18.75">
      <c r="A4847" s="12" t="s">
        <v>6704</v>
      </c>
      <c r="B4847" s="1" t="s">
        <v>7110</v>
      </c>
      <c r="I4847" s="109"/>
      <c r="J4847" s="109"/>
      <c r="K4847" s="109"/>
      <c r="L4847" s="109" t="str">
        <f t="shared" si="75"/>
        <v>96-961500316</v>
      </c>
      <c r="M4847" s="114">
        <v>961500316</v>
      </c>
      <c r="N4847" s="114" t="s">
        <v>5818</v>
      </c>
    </row>
    <row r="4848" spans="1:14" ht="18.75">
      <c r="A4848" s="12" t="s">
        <v>6704</v>
      </c>
      <c r="B4848" s="1" t="s">
        <v>7110</v>
      </c>
      <c r="I4848" s="109"/>
      <c r="J4848" s="109"/>
      <c r="K4848" s="109"/>
      <c r="L4848" s="109" t="str">
        <f t="shared" si="75"/>
        <v>96-961500353</v>
      </c>
      <c r="M4848" s="114">
        <v>961500353</v>
      </c>
      <c r="N4848" s="114" t="s">
        <v>5836</v>
      </c>
    </row>
    <row r="4849" spans="1:14" ht="18.75">
      <c r="A4849" s="12" t="s">
        <v>6691</v>
      </c>
      <c r="B4849" s="1" t="s">
        <v>7110</v>
      </c>
      <c r="I4849" s="109"/>
      <c r="J4849" s="109"/>
      <c r="K4849" s="109"/>
      <c r="L4849" s="109" t="str">
        <f t="shared" si="75"/>
        <v>96-961500359</v>
      </c>
      <c r="M4849" s="114">
        <v>961500359</v>
      </c>
      <c r="N4849" s="114" t="s">
        <v>5836</v>
      </c>
    </row>
    <row r="4850" spans="1:14" ht="18.75">
      <c r="A4850" s="12" t="s">
        <v>6703</v>
      </c>
      <c r="B4850" s="1" t="s">
        <v>7110</v>
      </c>
      <c r="I4850" s="109"/>
      <c r="J4850" s="109"/>
      <c r="K4850" s="109"/>
      <c r="L4850" s="109" t="str">
        <f t="shared" si="75"/>
        <v>96-961500430</v>
      </c>
      <c r="M4850" s="114">
        <v>961500430</v>
      </c>
      <c r="N4850" s="114" t="s">
        <v>7237</v>
      </c>
    </row>
    <row r="4851" spans="1:14" ht="18.75">
      <c r="A4851" s="12" t="s">
        <v>6704</v>
      </c>
      <c r="B4851" s="1" t="s">
        <v>7110</v>
      </c>
      <c r="I4851" s="109"/>
      <c r="J4851" s="109"/>
      <c r="K4851" s="109"/>
      <c r="L4851" s="109" t="str">
        <f t="shared" si="75"/>
        <v>96-961500446</v>
      </c>
      <c r="M4851" s="114">
        <v>961500446</v>
      </c>
      <c r="N4851" s="114" t="s">
        <v>5836</v>
      </c>
    </row>
    <row r="4852" spans="1:14" ht="18.75">
      <c r="A4852" s="12" t="s">
        <v>6705</v>
      </c>
      <c r="B4852" s="1" t="s">
        <v>7110</v>
      </c>
      <c r="I4852" s="109"/>
      <c r="J4852" s="109"/>
      <c r="K4852" s="109"/>
      <c r="L4852" s="109" t="str">
        <f t="shared" si="75"/>
        <v>96-961500466</v>
      </c>
      <c r="M4852" s="114">
        <v>961500466</v>
      </c>
      <c r="N4852" s="114" t="s">
        <v>5836</v>
      </c>
    </row>
    <row r="4853" spans="1:14" ht="18.75">
      <c r="A4853" s="12" t="s">
        <v>6706</v>
      </c>
      <c r="B4853" s="1" t="s">
        <v>7110</v>
      </c>
      <c r="I4853" s="109"/>
      <c r="J4853" s="109"/>
      <c r="K4853" s="109"/>
      <c r="L4853" s="109" t="str">
        <f t="shared" si="75"/>
        <v>96-961500528</v>
      </c>
      <c r="M4853" s="114">
        <v>961500528</v>
      </c>
      <c r="N4853" s="114" t="s">
        <v>5842</v>
      </c>
    </row>
    <row r="4854" spans="1:14" ht="18.75">
      <c r="A4854" s="12" t="s">
        <v>6705</v>
      </c>
      <c r="B4854" s="1" t="s">
        <v>7110</v>
      </c>
      <c r="I4854" s="109"/>
      <c r="J4854" s="109"/>
      <c r="K4854" s="109"/>
      <c r="L4854" s="109" t="str">
        <f t="shared" si="75"/>
        <v>96-961500570</v>
      </c>
      <c r="M4854" s="114">
        <v>961500570</v>
      </c>
      <c r="N4854" s="114" t="s">
        <v>8722</v>
      </c>
    </row>
    <row r="4855" spans="1:14" ht="18.75">
      <c r="A4855" s="12" t="s">
        <v>6707</v>
      </c>
      <c r="B4855" s="1" t="s">
        <v>7110</v>
      </c>
      <c r="I4855" s="109"/>
      <c r="J4855" s="109"/>
      <c r="K4855" s="109"/>
      <c r="L4855" s="109" t="str">
        <f t="shared" si="75"/>
        <v>95-951500453</v>
      </c>
      <c r="M4855" s="114">
        <v>951500453</v>
      </c>
      <c r="N4855" s="114" t="s">
        <v>5704</v>
      </c>
    </row>
    <row r="4856" spans="1:14" ht="18.75">
      <c r="A4856" s="12" t="s">
        <v>6682</v>
      </c>
      <c r="B4856" s="1" t="s">
        <v>7110</v>
      </c>
      <c r="I4856" s="109"/>
      <c r="J4856" s="109"/>
      <c r="K4856" s="109"/>
      <c r="L4856" s="109" t="str">
        <f t="shared" si="75"/>
        <v>96-961500002</v>
      </c>
      <c r="M4856" s="114">
        <v>961500002</v>
      </c>
      <c r="N4856" s="114" t="s">
        <v>5764</v>
      </c>
    </row>
    <row r="4857" spans="1:14" ht="18.75">
      <c r="A4857" s="12" t="s">
        <v>6707</v>
      </c>
      <c r="B4857" s="1" t="s">
        <v>7110</v>
      </c>
      <c r="I4857" s="109"/>
      <c r="J4857" s="109"/>
      <c r="K4857" s="109"/>
      <c r="L4857" s="109" t="str">
        <f t="shared" si="75"/>
        <v>96-961500406</v>
      </c>
      <c r="M4857" s="114">
        <v>961500406</v>
      </c>
      <c r="N4857" s="114" t="s">
        <v>8501</v>
      </c>
    </row>
    <row r="4858" spans="1:14" ht="18.75">
      <c r="A4858" s="12" t="s">
        <v>6708</v>
      </c>
      <c r="B4858" s="1" t="s">
        <v>7110</v>
      </c>
      <c r="I4858" s="109"/>
      <c r="J4858" s="109"/>
      <c r="K4858" s="109"/>
      <c r="L4858" s="109" t="str">
        <f t="shared" si="75"/>
        <v>96-961500407</v>
      </c>
      <c r="M4858" s="114">
        <v>961500407</v>
      </c>
      <c r="N4858" s="114" t="s">
        <v>8502</v>
      </c>
    </row>
    <row r="4859" spans="1:14" ht="18.75">
      <c r="A4859" s="12" t="s">
        <v>6709</v>
      </c>
      <c r="B4859" s="1" t="s">
        <v>7110</v>
      </c>
      <c r="I4859" s="109"/>
      <c r="J4859" s="109"/>
      <c r="K4859" s="109"/>
      <c r="L4859" s="109" t="str">
        <f t="shared" si="75"/>
        <v>96-961500419</v>
      </c>
      <c r="M4859" s="114">
        <v>961500419</v>
      </c>
      <c r="N4859" s="114" t="s">
        <v>8502</v>
      </c>
    </row>
    <row r="4860" spans="1:14" ht="18.75">
      <c r="A4860" s="12" t="s">
        <v>6710</v>
      </c>
      <c r="B4860" s="1" t="s">
        <v>7110</v>
      </c>
      <c r="I4860" s="109"/>
      <c r="J4860" s="109"/>
      <c r="K4860" s="109"/>
      <c r="L4860" s="109" t="str">
        <f t="shared" si="75"/>
        <v>95-951200053</v>
      </c>
      <c r="M4860" s="114">
        <v>951200053</v>
      </c>
      <c r="N4860" s="114" t="s">
        <v>7251</v>
      </c>
    </row>
    <row r="4861" spans="1:14" ht="18.75">
      <c r="A4861" s="12" t="s">
        <v>6709</v>
      </c>
      <c r="B4861" s="1" t="s">
        <v>7110</v>
      </c>
      <c r="I4861" s="109"/>
      <c r="J4861" s="109"/>
      <c r="K4861" s="109"/>
      <c r="L4861" s="109" t="str">
        <f t="shared" si="75"/>
        <v>95-951500270</v>
      </c>
      <c r="M4861" s="114">
        <v>951500270</v>
      </c>
      <c r="N4861" s="114" t="s">
        <v>5653</v>
      </c>
    </row>
    <row r="4862" spans="1:14" ht="18.75">
      <c r="A4862" s="12" t="s">
        <v>6711</v>
      </c>
      <c r="B4862" s="1" t="s">
        <v>7110</v>
      </c>
      <c r="I4862" s="109"/>
      <c r="J4862" s="109"/>
      <c r="K4862" s="109"/>
      <c r="L4862" s="109" t="str">
        <f t="shared" si="75"/>
        <v>96-961500061</v>
      </c>
      <c r="M4862" s="114">
        <v>961500061</v>
      </c>
      <c r="N4862" s="114" t="s">
        <v>5786</v>
      </c>
    </row>
    <row r="4863" spans="1:14" ht="18.75">
      <c r="A4863" s="12" t="s">
        <v>6712</v>
      </c>
      <c r="B4863" s="1" t="s">
        <v>7110</v>
      </c>
      <c r="I4863" s="109"/>
      <c r="J4863" s="109"/>
      <c r="K4863" s="109"/>
      <c r="L4863" s="109" t="str">
        <f t="shared" si="75"/>
        <v>95-951200087</v>
      </c>
      <c r="M4863" s="114">
        <v>951200087</v>
      </c>
      <c r="N4863" s="114" t="s">
        <v>7272</v>
      </c>
    </row>
    <row r="4864" spans="1:14" ht="18.75">
      <c r="A4864" s="12" t="s">
        <v>6713</v>
      </c>
      <c r="B4864" s="1" t="s">
        <v>7110</v>
      </c>
      <c r="I4864" s="109"/>
      <c r="J4864" s="109"/>
      <c r="K4864" s="109"/>
      <c r="L4864" s="109" t="str">
        <f t="shared" si="75"/>
        <v>96-961200001</v>
      </c>
      <c r="M4864" s="114">
        <v>961200001</v>
      </c>
      <c r="N4864" s="114" t="s">
        <v>8504</v>
      </c>
    </row>
    <row r="4865" spans="1:14" ht="18.75">
      <c r="A4865" s="12" t="s">
        <v>6711</v>
      </c>
      <c r="B4865" s="1" t="s">
        <v>7110</v>
      </c>
      <c r="I4865" s="109"/>
      <c r="J4865" s="109"/>
      <c r="K4865" s="109"/>
      <c r="L4865" s="109" t="str">
        <f t="shared" si="75"/>
        <v>96-961500071</v>
      </c>
      <c r="M4865" s="114">
        <v>961500071</v>
      </c>
      <c r="N4865" s="114" t="s">
        <v>5780</v>
      </c>
    </row>
    <row r="4866" spans="1:14" ht="18.75">
      <c r="A4866" s="12" t="s">
        <v>6693</v>
      </c>
      <c r="B4866" s="1" t="s">
        <v>7110</v>
      </c>
      <c r="I4866" s="109"/>
      <c r="J4866" s="109"/>
      <c r="K4866" s="109"/>
      <c r="L4866" s="109" t="str">
        <f t="shared" si="75"/>
        <v>96-961500484</v>
      </c>
      <c r="M4866" s="114">
        <v>961500484</v>
      </c>
      <c r="N4866" s="114" t="s">
        <v>8507</v>
      </c>
    </row>
    <row r="4867" spans="1:14" ht="18.75">
      <c r="A4867" s="12" t="s">
        <v>6706</v>
      </c>
      <c r="B4867" s="1" t="s">
        <v>7110</v>
      </c>
      <c r="I4867" s="109"/>
      <c r="J4867" s="109"/>
      <c r="K4867" s="109"/>
      <c r="L4867" s="109" t="str">
        <f t="shared" ref="L4867:L4930" si="76">MID(M4867,1,2)&amp;"-"&amp;M4867</f>
        <v>95-952000152</v>
      </c>
      <c r="M4867" s="114">
        <v>952000152</v>
      </c>
      <c r="N4867" s="114" t="s">
        <v>7332</v>
      </c>
    </row>
    <row r="4868" spans="1:14" ht="18.75">
      <c r="A4868" s="12" t="s">
        <v>6714</v>
      </c>
      <c r="B4868" s="1" t="s">
        <v>7110</v>
      </c>
      <c r="I4868" s="109"/>
      <c r="J4868" s="109"/>
      <c r="K4868" s="109"/>
      <c r="L4868" s="109" t="str">
        <f t="shared" si="76"/>
        <v>95-956200409</v>
      </c>
      <c r="M4868" s="114">
        <v>956200409</v>
      </c>
      <c r="N4868" s="114" t="s">
        <v>7269</v>
      </c>
    </row>
    <row r="4869" spans="1:14" ht="18.75">
      <c r="A4869" s="12" t="s">
        <v>6715</v>
      </c>
      <c r="B4869" s="1" t="s">
        <v>7110</v>
      </c>
      <c r="I4869" s="109"/>
      <c r="J4869" s="109"/>
      <c r="K4869" s="109"/>
      <c r="L4869" s="109" t="str">
        <f t="shared" si="76"/>
        <v>95-951200055</v>
      </c>
      <c r="M4869" s="114">
        <v>951200055</v>
      </c>
      <c r="N4869" s="114" t="s">
        <v>7305</v>
      </c>
    </row>
    <row r="4870" spans="1:14" ht="18.75">
      <c r="A4870" s="12" t="s">
        <v>6684</v>
      </c>
      <c r="B4870" s="1" t="s">
        <v>7110</v>
      </c>
      <c r="I4870" s="109"/>
      <c r="J4870" s="109"/>
      <c r="K4870" s="109"/>
      <c r="L4870" s="109" t="str">
        <f t="shared" si="76"/>
        <v>95-951200062</v>
      </c>
      <c r="M4870" s="114">
        <v>951200062</v>
      </c>
      <c r="N4870" s="114" t="s">
        <v>8508</v>
      </c>
    </row>
    <row r="4871" spans="1:14" ht="18.75">
      <c r="A4871" s="12" t="s">
        <v>6716</v>
      </c>
      <c r="B4871" s="1" t="s">
        <v>7110</v>
      </c>
      <c r="I4871" s="109"/>
      <c r="J4871" s="109"/>
      <c r="K4871" s="109"/>
      <c r="L4871" s="109" t="str">
        <f t="shared" si="76"/>
        <v>96-961200004</v>
      </c>
      <c r="M4871" s="114">
        <v>961200004</v>
      </c>
      <c r="N4871" s="114" t="s">
        <v>8509</v>
      </c>
    </row>
    <row r="4872" spans="1:14" ht="18.75">
      <c r="A4872" s="12" t="s">
        <v>6717</v>
      </c>
      <c r="B4872" s="1" t="s">
        <v>7110</v>
      </c>
      <c r="I4872" s="109"/>
      <c r="J4872" s="109"/>
      <c r="K4872" s="109"/>
      <c r="L4872" s="109" t="str">
        <f t="shared" si="76"/>
        <v>95-956300018</v>
      </c>
      <c r="M4872" s="114">
        <v>956300018</v>
      </c>
      <c r="N4872" s="114" t="s">
        <v>8510</v>
      </c>
    </row>
    <row r="4873" spans="1:14" ht="18.75">
      <c r="A4873" s="12" t="s">
        <v>6717</v>
      </c>
      <c r="B4873" s="1" t="s">
        <v>7110</v>
      </c>
      <c r="I4873" s="109"/>
      <c r="J4873" s="109"/>
      <c r="K4873" s="109"/>
      <c r="L4873" s="109" t="str">
        <f t="shared" si="76"/>
        <v>95-956300019</v>
      </c>
      <c r="M4873" s="114">
        <v>956300019</v>
      </c>
      <c r="N4873" s="114" t="s">
        <v>8510</v>
      </c>
    </row>
    <row r="4874" spans="1:14" ht="18.75">
      <c r="A4874" s="12" t="s">
        <v>6708</v>
      </c>
      <c r="B4874" s="1" t="s">
        <v>7110</v>
      </c>
      <c r="I4874" s="109"/>
      <c r="J4874" s="109"/>
      <c r="K4874" s="109"/>
      <c r="L4874" s="109" t="str">
        <f t="shared" si="76"/>
        <v>95-952000291</v>
      </c>
      <c r="M4874" s="114">
        <v>952000291</v>
      </c>
      <c r="N4874" s="114" t="s">
        <v>7280</v>
      </c>
    </row>
    <row r="4875" spans="1:14" ht="18.75">
      <c r="A4875" s="12" t="s">
        <v>6718</v>
      </c>
      <c r="B4875" s="1" t="s">
        <v>7110</v>
      </c>
      <c r="I4875" s="109"/>
      <c r="J4875" s="109"/>
      <c r="K4875" s="109"/>
      <c r="L4875" s="109" t="str">
        <f t="shared" si="76"/>
        <v>96-962000079</v>
      </c>
      <c r="M4875" s="114">
        <v>962000079</v>
      </c>
      <c r="N4875" s="114" t="s">
        <v>7112</v>
      </c>
    </row>
    <row r="4876" spans="1:14" ht="18.75">
      <c r="A4876" s="12" t="s">
        <v>6719</v>
      </c>
      <c r="B4876" s="1" t="s">
        <v>7110</v>
      </c>
      <c r="I4876" s="109"/>
      <c r="J4876" s="109"/>
      <c r="K4876" s="109"/>
      <c r="L4876" s="109" t="str">
        <f t="shared" si="76"/>
        <v>95-951100014</v>
      </c>
      <c r="M4876" s="114">
        <v>951100014</v>
      </c>
      <c r="N4876" s="114" t="s">
        <v>8511</v>
      </c>
    </row>
    <row r="4877" spans="1:14" ht="18.75">
      <c r="A4877" s="12" t="s">
        <v>6718</v>
      </c>
      <c r="B4877" s="1" t="s">
        <v>7110</v>
      </c>
      <c r="I4877" s="109"/>
      <c r="J4877" s="109"/>
      <c r="K4877" s="109"/>
      <c r="L4877" s="109" t="str">
        <f t="shared" si="76"/>
        <v>95-951100001</v>
      </c>
      <c r="M4877" s="114">
        <v>951100001</v>
      </c>
      <c r="N4877" s="114" t="s">
        <v>8512</v>
      </c>
    </row>
    <row r="4878" spans="1:14" ht="18.75">
      <c r="A4878" s="12" t="s">
        <v>6708</v>
      </c>
      <c r="B4878" s="1" t="s">
        <v>7110</v>
      </c>
      <c r="I4878" s="109"/>
      <c r="J4878" s="109"/>
      <c r="K4878" s="109"/>
      <c r="L4878" s="109" t="str">
        <f t="shared" si="76"/>
        <v>95-956200137</v>
      </c>
      <c r="M4878" s="114">
        <v>956200137</v>
      </c>
      <c r="N4878" s="114" t="s">
        <v>7978</v>
      </c>
    </row>
    <row r="4879" spans="1:14" ht="18.75">
      <c r="A4879" s="12" t="s">
        <v>6720</v>
      </c>
      <c r="B4879" s="1" t="s">
        <v>7110</v>
      </c>
      <c r="I4879" s="109"/>
      <c r="J4879" s="109"/>
      <c r="K4879" s="109"/>
      <c r="L4879" s="109" t="str">
        <f t="shared" si="76"/>
        <v>96-962000151</v>
      </c>
      <c r="M4879" s="114">
        <v>962000151</v>
      </c>
      <c r="N4879" s="114" t="s">
        <v>7112</v>
      </c>
    </row>
    <row r="4880" spans="1:14" ht="18.75">
      <c r="A4880" s="12" t="s">
        <v>6718</v>
      </c>
      <c r="B4880" s="1" t="s">
        <v>7110</v>
      </c>
      <c r="I4880" s="109"/>
      <c r="J4880" s="109"/>
      <c r="K4880" s="109"/>
      <c r="L4880" s="109" t="str">
        <f t="shared" si="76"/>
        <v>95-951100090</v>
      </c>
      <c r="M4880" s="114">
        <v>951100090</v>
      </c>
      <c r="N4880" s="114" t="s">
        <v>8513</v>
      </c>
    </row>
    <row r="4881" spans="1:14" ht="18.75">
      <c r="A4881" s="12" t="s">
        <v>6718</v>
      </c>
      <c r="B4881" s="1" t="s">
        <v>7110</v>
      </c>
      <c r="I4881" s="109"/>
      <c r="J4881" s="109"/>
      <c r="K4881" s="109"/>
      <c r="L4881" s="109" t="str">
        <f t="shared" si="76"/>
        <v>95-956200062</v>
      </c>
      <c r="M4881" s="114">
        <v>956200062</v>
      </c>
      <c r="N4881" s="114" t="s">
        <v>8514</v>
      </c>
    </row>
    <row r="4882" spans="1:14" ht="18.75">
      <c r="A4882" s="12" t="s">
        <v>6708</v>
      </c>
      <c r="B4882" s="1" t="s">
        <v>7110</v>
      </c>
      <c r="I4882" s="109"/>
      <c r="J4882" s="109"/>
      <c r="K4882" s="109"/>
      <c r="L4882" s="109" t="str">
        <f t="shared" si="76"/>
        <v>96-961100043</v>
      </c>
      <c r="M4882" s="114">
        <v>961100043</v>
      </c>
      <c r="N4882" s="114" t="s">
        <v>8515</v>
      </c>
    </row>
    <row r="4883" spans="1:14" ht="18.75">
      <c r="A4883" s="12" t="s">
        <v>6721</v>
      </c>
      <c r="B4883" s="1" t="s">
        <v>7110</v>
      </c>
      <c r="I4883" s="109"/>
      <c r="J4883" s="109"/>
      <c r="K4883" s="109"/>
      <c r="L4883" s="109" t="str">
        <f t="shared" si="76"/>
        <v>96-961100056</v>
      </c>
      <c r="M4883" s="114">
        <v>961100056</v>
      </c>
      <c r="N4883" s="114" t="s">
        <v>8516</v>
      </c>
    </row>
    <row r="4884" spans="1:14" ht="18.75">
      <c r="A4884" s="12" t="s">
        <v>6721</v>
      </c>
      <c r="B4884" s="1" t="s">
        <v>7110</v>
      </c>
      <c r="I4884" s="109"/>
      <c r="J4884" s="109"/>
      <c r="K4884" s="109"/>
      <c r="L4884" s="109" t="str">
        <f t="shared" si="76"/>
        <v>95-951200007</v>
      </c>
      <c r="M4884" s="114">
        <v>951200007</v>
      </c>
      <c r="N4884" s="114" t="s">
        <v>8517</v>
      </c>
    </row>
    <row r="4885" spans="1:14" ht="18.75">
      <c r="A4885" s="12" t="s">
        <v>6721</v>
      </c>
      <c r="B4885" s="1" t="s">
        <v>7110</v>
      </c>
      <c r="I4885" s="109"/>
      <c r="J4885" s="109"/>
      <c r="K4885" s="109"/>
      <c r="L4885" s="109" t="str">
        <f t="shared" si="76"/>
        <v>95-951100040</v>
      </c>
      <c r="M4885" s="114">
        <v>951100040</v>
      </c>
      <c r="N4885" s="114" t="s">
        <v>8518</v>
      </c>
    </row>
    <row r="4886" spans="1:14" ht="18.75">
      <c r="A4886" s="12" t="s">
        <v>6721</v>
      </c>
      <c r="B4886" s="1" t="s">
        <v>7110</v>
      </c>
      <c r="I4886" s="109"/>
      <c r="J4886" s="109"/>
      <c r="K4886" s="109"/>
      <c r="L4886" s="109" t="str">
        <f t="shared" si="76"/>
        <v>95-951100176</v>
      </c>
      <c r="M4886" s="114">
        <v>951100176</v>
      </c>
      <c r="N4886" s="114" t="s">
        <v>8519</v>
      </c>
    </row>
    <row r="4887" spans="1:14" ht="18.75">
      <c r="A4887" s="12" t="s">
        <v>6721</v>
      </c>
      <c r="B4887" s="1" t="s">
        <v>7110</v>
      </c>
      <c r="I4887" s="109"/>
      <c r="J4887" s="109"/>
      <c r="K4887" s="109"/>
      <c r="L4887" s="109" t="str">
        <f t="shared" si="76"/>
        <v>95-956200115</v>
      </c>
      <c r="M4887" s="114">
        <v>956200115</v>
      </c>
      <c r="N4887" s="114" t="s">
        <v>7359</v>
      </c>
    </row>
    <row r="4888" spans="1:14" ht="18.75">
      <c r="A4888" s="12" t="s">
        <v>6722</v>
      </c>
      <c r="B4888" s="1" t="s">
        <v>7110</v>
      </c>
      <c r="I4888" s="109"/>
      <c r="J4888" s="109"/>
      <c r="K4888" s="109"/>
      <c r="L4888" s="109" t="str">
        <f t="shared" si="76"/>
        <v>96-966200170</v>
      </c>
      <c r="M4888" s="114">
        <v>966200170</v>
      </c>
      <c r="N4888" s="114" t="s">
        <v>7363</v>
      </c>
    </row>
    <row r="4889" spans="1:14" ht="18.75">
      <c r="A4889" s="12" t="s">
        <v>1900</v>
      </c>
      <c r="B4889" s="1" t="s">
        <v>7110</v>
      </c>
      <c r="I4889" s="109"/>
      <c r="J4889" s="109"/>
      <c r="K4889" s="109"/>
      <c r="L4889" s="109" t="str">
        <f t="shared" si="76"/>
        <v>96-962000139</v>
      </c>
      <c r="M4889" s="114">
        <v>962000139</v>
      </c>
      <c r="N4889" s="114" t="s">
        <v>7112</v>
      </c>
    </row>
    <row r="4890" spans="1:14" ht="18.75">
      <c r="A4890" s="12" t="s">
        <v>1901</v>
      </c>
      <c r="B4890" s="1" t="s">
        <v>7110</v>
      </c>
      <c r="I4890" s="109"/>
      <c r="J4890" s="109"/>
      <c r="K4890" s="109"/>
      <c r="L4890" s="109" t="str">
        <f t="shared" si="76"/>
        <v>95-951100037</v>
      </c>
      <c r="M4890" s="114">
        <v>951100037</v>
      </c>
      <c r="N4890" s="114" t="s">
        <v>8520</v>
      </c>
    </row>
    <row r="4891" spans="1:14" ht="18.75">
      <c r="A4891" s="12" t="s">
        <v>1902</v>
      </c>
      <c r="B4891" s="1" t="s">
        <v>7110</v>
      </c>
      <c r="I4891" s="109"/>
      <c r="J4891" s="109"/>
      <c r="K4891" s="109"/>
      <c r="L4891" s="109" t="str">
        <f t="shared" si="76"/>
        <v>96-966200219</v>
      </c>
      <c r="M4891" s="114">
        <v>966200219</v>
      </c>
      <c r="N4891" s="114" t="s">
        <v>7479</v>
      </c>
    </row>
    <row r="4892" spans="1:14" ht="18.75">
      <c r="A4892" s="12" t="s">
        <v>1904</v>
      </c>
      <c r="B4892" s="1" t="s">
        <v>7110</v>
      </c>
      <c r="I4892" s="109"/>
      <c r="J4892" s="109"/>
      <c r="K4892" s="109"/>
      <c r="L4892" s="109" t="str">
        <f t="shared" si="76"/>
        <v>95-952000353</v>
      </c>
      <c r="M4892" s="114">
        <v>952000353</v>
      </c>
      <c r="N4892" s="114" t="s">
        <v>8521</v>
      </c>
    </row>
    <row r="4893" spans="1:14" ht="18.75">
      <c r="A4893" s="12" t="s">
        <v>1905</v>
      </c>
      <c r="B4893" s="1" t="s">
        <v>7110</v>
      </c>
      <c r="I4893" s="109"/>
      <c r="J4893" s="109"/>
      <c r="K4893" s="109"/>
      <c r="L4893" s="109" t="str">
        <f t="shared" si="76"/>
        <v>96-962000075</v>
      </c>
      <c r="M4893" s="114">
        <v>962000075</v>
      </c>
      <c r="N4893" s="114" t="s">
        <v>7112</v>
      </c>
    </row>
    <row r="4894" spans="1:14" ht="18.75">
      <c r="A4894" s="12" t="s">
        <v>1906</v>
      </c>
      <c r="B4894" s="1" t="s">
        <v>7110</v>
      </c>
      <c r="I4894" s="109"/>
      <c r="J4894" s="109"/>
      <c r="K4894" s="109"/>
      <c r="L4894" s="109" t="str">
        <f t="shared" si="76"/>
        <v>95-956200013</v>
      </c>
      <c r="M4894" s="114">
        <v>956200013</v>
      </c>
      <c r="N4894" s="114" t="s">
        <v>7376</v>
      </c>
    </row>
    <row r="4895" spans="1:14" ht="18.75">
      <c r="A4895" s="12" t="s">
        <v>1901</v>
      </c>
      <c r="B4895" s="1" t="s">
        <v>7110</v>
      </c>
      <c r="I4895" s="109"/>
      <c r="J4895" s="109"/>
      <c r="K4895" s="109"/>
      <c r="L4895" s="109" t="str">
        <f t="shared" si="76"/>
        <v>96-962000005</v>
      </c>
      <c r="M4895" s="114">
        <v>962000005</v>
      </c>
      <c r="N4895" s="114" t="s">
        <v>7112</v>
      </c>
    </row>
    <row r="4896" spans="1:14" ht="18.75">
      <c r="A4896" s="12" t="s">
        <v>1902</v>
      </c>
      <c r="B4896" s="1" t="s">
        <v>7110</v>
      </c>
      <c r="I4896" s="109"/>
      <c r="J4896" s="109"/>
      <c r="K4896" s="109"/>
      <c r="L4896" s="109" t="str">
        <f t="shared" si="76"/>
        <v>95-952000157</v>
      </c>
      <c r="M4896" s="114">
        <v>952000157</v>
      </c>
      <c r="N4896" s="114" t="s">
        <v>7332</v>
      </c>
    </row>
    <row r="4897" spans="1:14" ht="18.75">
      <c r="A4897" s="12" t="s">
        <v>1901</v>
      </c>
      <c r="B4897" s="1" t="s">
        <v>7110</v>
      </c>
      <c r="I4897" s="109"/>
      <c r="J4897" s="109"/>
      <c r="K4897" s="109"/>
      <c r="L4897" s="109" t="str">
        <f t="shared" si="76"/>
        <v>96-961200027</v>
      </c>
      <c r="M4897" s="114">
        <v>961200027</v>
      </c>
      <c r="N4897" s="114" t="s">
        <v>7403</v>
      </c>
    </row>
    <row r="4898" spans="1:14" ht="18.75">
      <c r="A4898" s="12" t="s">
        <v>1901</v>
      </c>
      <c r="B4898" s="1" t="s">
        <v>7110</v>
      </c>
      <c r="I4898" s="109"/>
      <c r="J4898" s="109"/>
      <c r="K4898" s="109"/>
      <c r="L4898" s="109" t="str">
        <f t="shared" si="76"/>
        <v>96-961200036</v>
      </c>
      <c r="M4898" s="114">
        <v>961200036</v>
      </c>
      <c r="N4898" s="114" t="s">
        <v>7387</v>
      </c>
    </row>
    <row r="4899" spans="1:14" ht="18.75">
      <c r="A4899" s="12" t="s">
        <v>1900</v>
      </c>
      <c r="B4899" s="1" t="s">
        <v>7110</v>
      </c>
      <c r="I4899" s="109"/>
      <c r="J4899" s="109"/>
      <c r="K4899" s="109"/>
      <c r="L4899" s="109" t="str">
        <f t="shared" si="76"/>
        <v>96-961200041</v>
      </c>
      <c r="M4899" s="114">
        <v>961200041</v>
      </c>
      <c r="N4899" s="114" t="s">
        <v>8522</v>
      </c>
    </row>
    <row r="4900" spans="1:14" ht="18.75">
      <c r="A4900" s="12" t="s">
        <v>1901</v>
      </c>
      <c r="B4900" s="1" t="s">
        <v>7110</v>
      </c>
      <c r="I4900" s="109"/>
      <c r="J4900" s="109"/>
      <c r="K4900" s="109"/>
      <c r="L4900" s="109" t="str">
        <f t="shared" si="76"/>
        <v>96-961200042</v>
      </c>
      <c r="M4900" s="114">
        <v>961200042</v>
      </c>
      <c r="N4900" s="114" t="s">
        <v>8522</v>
      </c>
    </row>
    <row r="4901" spans="1:14" ht="18.75">
      <c r="A4901" s="12" t="s">
        <v>1902</v>
      </c>
      <c r="B4901" s="1" t="s">
        <v>7110</v>
      </c>
      <c r="I4901" s="109"/>
      <c r="J4901" s="109"/>
      <c r="K4901" s="109"/>
      <c r="L4901" s="109" t="str">
        <f t="shared" si="76"/>
        <v>96-961200061</v>
      </c>
      <c r="M4901" s="114">
        <v>961200061</v>
      </c>
      <c r="N4901" s="114" t="s">
        <v>7404</v>
      </c>
    </row>
    <row r="4902" spans="1:14" ht="18.75">
      <c r="A4902" s="12" t="s">
        <v>1906</v>
      </c>
      <c r="B4902" s="1" t="s">
        <v>7110</v>
      </c>
      <c r="I4902" s="109"/>
      <c r="J4902" s="109"/>
      <c r="K4902" s="109"/>
      <c r="L4902" s="109" t="str">
        <f t="shared" si="76"/>
        <v>95-951100186</v>
      </c>
      <c r="M4902" s="114">
        <v>951100186</v>
      </c>
      <c r="N4902" s="114" t="s">
        <v>8523</v>
      </c>
    </row>
    <row r="4903" spans="1:14" ht="18.75">
      <c r="A4903" s="12" t="s">
        <v>1902</v>
      </c>
      <c r="B4903" s="1" t="s">
        <v>7110</v>
      </c>
      <c r="I4903" s="109"/>
      <c r="J4903" s="109"/>
      <c r="K4903" s="109"/>
      <c r="L4903" s="109" t="str">
        <f t="shared" si="76"/>
        <v>96-961100060</v>
      </c>
      <c r="M4903" s="114">
        <v>961100060</v>
      </c>
      <c r="N4903" s="114" t="s">
        <v>8524</v>
      </c>
    </row>
    <row r="4904" spans="1:14" ht="18.75">
      <c r="A4904" s="12" t="s">
        <v>6723</v>
      </c>
      <c r="B4904" s="1" t="s">
        <v>7110</v>
      </c>
      <c r="I4904" s="109"/>
      <c r="J4904" s="109"/>
      <c r="K4904" s="109"/>
      <c r="L4904" s="109" t="str">
        <f t="shared" si="76"/>
        <v>95-952000280</v>
      </c>
      <c r="M4904" s="114">
        <v>952000280</v>
      </c>
      <c r="N4904" s="114" t="s">
        <v>7280</v>
      </c>
    </row>
    <row r="4905" spans="1:14" ht="18.75">
      <c r="A4905" s="12" t="s">
        <v>1902</v>
      </c>
      <c r="B4905" s="1" t="s">
        <v>7110</v>
      </c>
      <c r="I4905" s="109"/>
      <c r="J4905" s="109"/>
      <c r="K4905" s="109"/>
      <c r="L4905" s="109" t="str">
        <f t="shared" si="76"/>
        <v>95-952000038</v>
      </c>
      <c r="M4905" s="114">
        <v>952000038</v>
      </c>
      <c r="N4905" s="114" t="s">
        <v>7331</v>
      </c>
    </row>
    <row r="4906" spans="1:14" ht="18.75">
      <c r="A4906" s="12" t="s">
        <v>1925</v>
      </c>
      <c r="B4906" s="1" t="s">
        <v>7110</v>
      </c>
      <c r="I4906" s="109"/>
      <c r="J4906" s="109"/>
      <c r="K4906" s="109"/>
      <c r="L4906" s="109" t="str">
        <f t="shared" si="76"/>
        <v>95-952000243</v>
      </c>
      <c r="M4906" s="114">
        <v>952000243</v>
      </c>
      <c r="N4906" s="114" t="s">
        <v>7327</v>
      </c>
    </row>
    <row r="4907" spans="1:14" ht="18.75">
      <c r="A4907" s="12" t="s">
        <v>1936</v>
      </c>
      <c r="B4907" s="1" t="s">
        <v>7110</v>
      </c>
      <c r="I4907" s="109"/>
      <c r="J4907" s="109"/>
      <c r="K4907" s="109"/>
      <c r="L4907" s="109" t="str">
        <f t="shared" si="76"/>
        <v>95-952000087</v>
      </c>
      <c r="M4907" s="114">
        <v>952000087</v>
      </c>
      <c r="N4907" s="114" t="s">
        <v>8011</v>
      </c>
    </row>
    <row r="4908" spans="1:14" ht="18.75">
      <c r="A4908" s="12" t="s">
        <v>1937</v>
      </c>
      <c r="B4908" s="1" t="s">
        <v>7110</v>
      </c>
      <c r="I4908" s="109"/>
      <c r="J4908" s="109"/>
      <c r="K4908" s="109"/>
      <c r="L4908" s="109" t="str">
        <f t="shared" si="76"/>
        <v>95-952000241</v>
      </c>
      <c r="M4908" s="114">
        <v>952000241</v>
      </c>
      <c r="N4908" s="114" t="s">
        <v>7327</v>
      </c>
    </row>
    <row r="4909" spans="1:14" ht="18.75">
      <c r="A4909" s="12" t="s">
        <v>2013</v>
      </c>
      <c r="B4909" s="1" t="s">
        <v>7110</v>
      </c>
      <c r="I4909" s="109"/>
      <c r="J4909" s="109"/>
      <c r="K4909" s="109"/>
      <c r="L4909" s="109" t="str">
        <f t="shared" si="76"/>
        <v>95-952000044</v>
      </c>
      <c r="M4909" s="114">
        <v>952000044</v>
      </c>
      <c r="N4909" s="114" t="s">
        <v>7331</v>
      </c>
    </row>
    <row r="4910" spans="1:14" ht="18.75">
      <c r="A4910" s="12" t="s">
        <v>2014</v>
      </c>
      <c r="B4910" s="1" t="s">
        <v>7110</v>
      </c>
      <c r="I4910" s="109"/>
      <c r="J4910" s="109"/>
      <c r="K4910" s="109"/>
      <c r="L4910" s="109" t="str">
        <f t="shared" si="76"/>
        <v>95-956200038</v>
      </c>
      <c r="M4910" s="114">
        <v>956200038</v>
      </c>
      <c r="N4910" s="114" t="s">
        <v>7429</v>
      </c>
    </row>
    <row r="4911" spans="1:14" ht="18.75">
      <c r="A4911" s="12" t="s">
        <v>2013</v>
      </c>
      <c r="B4911" s="1" t="s">
        <v>7110</v>
      </c>
      <c r="I4911" s="109"/>
      <c r="J4911" s="109"/>
      <c r="K4911" s="109"/>
      <c r="L4911" s="109" t="str">
        <f t="shared" si="76"/>
        <v>96-962000061</v>
      </c>
      <c r="M4911" s="114">
        <v>962000061</v>
      </c>
      <c r="N4911" s="114" t="s">
        <v>7112</v>
      </c>
    </row>
    <row r="4912" spans="1:14" ht="18.75">
      <c r="A4912" s="12" t="s">
        <v>2013</v>
      </c>
      <c r="B4912" s="1" t="s">
        <v>7110</v>
      </c>
      <c r="I4912" s="109"/>
      <c r="J4912" s="109"/>
      <c r="K4912" s="109"/>
      <c r="L4912" s="109" t="str">
        <f t="shared" si="76"/>
        <v>95-956200242</v>
      </c>
      <c r="M4912" s="114">
        <v>956200242</v>
      </c>
      <c r="N4912" s="114" t="s">
        <v>7428</v>
      </c>
    </row>
    <row r="4913" spans="1:14" ht="18.75">
      <c r="A4913" s="12" t="s">
        <v>2013</v>
      </c>
      <c r="B4913" s="1" t="s">
        <v>7110</v>
      </c>
      <c r="I4913" s="109"/>
      <c r="J4913" s="109"/>
      <c r="K4913" s="109"/>
      <c r="L4913" s="109" t="str">
        <f t="shared" si="76"/>
        <v>96-966200208</v>
      </c>
      <c r="M4913" s="114">
        <v>966200208</v>
      </c>
      <c r="N4913" s="114" t="s">
        <v>7120</v>
      </c>
    </row>
    <row r="4914" spans="1:14" ht="18.75">
      <c r="A4914" s="12" t="s">
        <v>2014</v>
      </c>
      <c r="B4914" s="1" t="s">
        <v>7110</v>
      </c>
      <c r="I4914" s="109"/>
      <c r="J4914" s="109"/>
      <c r="K4914" s="109"/>
      <c r="L4914" s="109" t="str">
        <f t="shared" si="76"/>
        <v>96-966200032</v>
      </c>
      <c r="M4914" s="114">
        <v>966200032</v>
      </c>
      <c r="N4914" s="114" t="s">
        <v>7288</v>
      </c>
    </row>
    <row r="4915" spans="1:14" ht="18.75">
      <c r="A4915" s="12" t="s">
        <v>2038</v>
      </c>
      <c r="B4915" s="1" t="s">
        <v>7110</v>
      </c>
      <c r="I4915" s="109"/>
      <c r="J4915" s="109"/>
      <c r="K4915" s="109"/>
      <c r="L4915" s="109" t="str">
        <f t="shared" si="76"/>
        <v>95-951100182</v>
      </c>
      <c r="M4915" s="114">
        <v>951100182</v>
      </c>
      <c r="N4915" s="114" t="s">
        <v>8525</v>
      </c>
    </row>
    <row r="4916" spans="1:14" ht="18.75">
      <c r="A4916" s="12" t="s">
        <v>2045</v>
      </c>
      <c r="B4916" s="1" t="s">
        <v>7110</v>
      </c>
      <c r="I4916" s="109"/>
      <c r="J4916" s="109"/>
      <c r="K4916" s="109"/>
      <c r="L4916" s="109" t="str">
        <f t="shared" si="76"/>
        <v>95-956200300</v>
      </c>
      <c r="M4916" s="114">
        <v>956200300</v>
      </c>
      <c r="N4916" s="114" t="s">
        <v>7344</v>
      </c>
    </row>
    <row r="4917" spans="1:14" ht="18.75">
      <c r="A4917" s="12" t="s">
        <v>2046</v>
      </c>
      <c r="B4917" s="1" t="s">
        <v>7110</v>
      </c>
      <c r="I4917" s="109"/>
      <c r="J4917" s="109"/>
      <c r="K4917" s="109"/>
      <c r="L4917" s="109" t="str">
        <f t="shared" si="76"/>
        <v>96-966200120</v>
      </c>
      <c r="M4917" s="114">
        <v>966200120</v>
      </c>
      <c r="N4917" s="114" t="s">
        <v>8052</v>
      </c>
    </row>
    <row r="4918" spans="1:14" ht="18.75">
      <c r="A4918" s="12" t="s">
        <v>2047</v>
      </c>
      <c r="B4918" s="1" t="s">
        <v>7110</v>
      </c>
      <c r="I4918" s="109"/>
      <c r="J4918" s="109"/>
      <c r="K4918" s="109"/>
      <c r="L4918" s="109" t="str">
        <f t="shared" si="76"/>
        <v>96-966200113</v>
      </c>
      <c r="M4918" s="114">
        <v>966200113</v>
      </c>
      <c r="N4918" s="114" t="s">
        <v>8526</v>
      </c>
    </row>
    <row r="4919" spans="1:14" ht="18.75">
      <c r="A4919" s="12" t="s">
        <v>1900</v>
      </c>
      <c r="B4919" s="1" t="s">
        <v>7110</v>
      </c>
      <c r="I4919" s="109"/>
      <c r="J4919" s="109"/>
      <c r="K4919" s="109"/>
      <c r="L4919" s="109" t="str">
        <f t="shared" si="76"/>
        <v>95-956200419</v>
      </c>
      <c r="M4919" s="114">
        <v>956200419</v>
      </c>
      <c r="N4919" s="114" t="s">
        <v>7419</v>
      </c>
    </row>
    <row r="4920" spans="1:14" ht="18.75">
      <c r="A4920" s="12" t="s">
        <v>1900</v>
      </c>
      <c r="B4920" s="1" t="s">
        <v>7110</v>
      </c>
      <c r="I4920" s="109"/>
      <c r="J4920" s="109"/>
      <c r="K4920" s="109"/>
      <c r="L4920" s="109" t="str">
        <f t="shared" si="76"/>
        <v>95-956200195</v>
      </c>
      <c r="M4920" s="114">
        <v>956200195</v>
      </c>
      <c r="N4920" s="114" t="s">
        <v>7346</v>
      </c>
    </row>
    <row r="4921" spans="1:14" ht="18.75">
      <c r="A4921" s="12" t="s">
        <v>2049</v>
      </c>
      <c r="B4921" s="1" t="s">
        <v>7110</v>
      </c>
      <c r="I4921" s="109"/>
      <c r="J4921" s="109"/>
      <c r="K4921" s="109"/>
      <c r="L4921" s="109" t="str">
        <f t="shared" si="76"/>
        <v>95-952000228</v>
      </c>
      <c r="M4921" s="114">
        <v>952000228</v>
      </c>
      <c r="N4921" s="114" t="s">
        <v>7385</v>
      </c>
    </row>
    <row r="4922" spans="1:14" ht="18.75">
      <c r="A4922" s="12" t="s">
        <v>1900</v>
      </c>
      <c r="B4922" s="1" t="s">
        <v>7110</v>
      </c>
      <c r="I4922" s="109"/>
      <c r="J4922" s="109"/>
      <c r="K4922" s="109"/>
      <c r="L4922" s="109" t="str">
        <f t="shared" si="76"/>
        <v>95-952000235</v>
      </c>
      <c r="M4922" s="114">
        <v>952000235</v>
      </c>
      <c r="N4922" s="114" t="s">
        <v>8527</v>
      </c>
    </row>
    <row r="4923" spans="1:14" ht="18.75">
      <c r="A4923" s="12" t="s">
        <v>6723</v>
      </c>
      <c r="B4923" s="1" t="s">
        <v>7110</v>
      </c>
      <c r="I4923" s="109"/>
      <c r="J4923" s="109"/>
      <c r="K4923" s="109"/>
      <c r="L4923" s="109" t="str">
        <f t="shared" si="76"/>
        <v>96-962000006</v>
      </c>
      <c r="M4923" s="114">
        <v>962000006</v>
      </c>
      <c r="N4923" s="114" t="s">
        <v>7112</v>
      </c>
    </row>
    <row r="4924" spans="1:14" ht="18.75">
      <c r="A4924" s="12" t="s">
        <v>1906</v>
      </c>
      <c r="B4924" s="1" t="s">
        <v>7110</v>
      </c>
      <c r="I4924" s="109"/>
      <c r="J4924" s="109"/>
      <c r="K4924" s="109"/>
      <c r="L4924" s="109" t="str">
        <f t="shared" si="76"/>
        <v>96-962000095</v>
      </c>
      <c r="M4924" s="114">
        <v>962000095</v>
      </c>
      <c r="N4924" s="114" t="s">
        <v>7112</v>
      </c>
    </row>
    <row r="4925" spans="1:14" ht="18.75">
      <c r="A4925" s="12" t="s">
        <v>1905</v>
      </c>
      <c r="B4925" s="1" t="s">
        <v>7110</v>
      </c>
      <c r="I4925" s="109"/>
      <c r="J4925" s="109"/>
      <c r="K4925" s="109"/>
      <c r="L4925" s="109" t="str">
        <f t="shared" si="76"/>
        <v>95-952000267</v>
      </c>
      <c r="M4925" s="114">
        <v>952000267</v>
      </c>
      <c r="N4925" s="114" t="s">
        <v>7280</v>
      </c>
    </row>
    <row r="4926" spans="1:14" ht="18.75">
      <c r="A4926" s="12" t="s">
        <v>1905</v>
      </c>
      <c r="B4926" s="1" t="s">
        <v>7110</v>
      </c>
      <c r="I4926" s="109"/>
      <c r="J4926" s="109"/>
      <c r="K4926" s="109"/>
      <c r="L4926" s="109" t="str">
        <f t="shared" si="76"/>
        <v>96-962000055</v>
      </c>
      <c r="M4926" s="114">
        <v>962000055</v>
      </c>
      <c r="N4926" s="114" t="s">
        <v>7112</v>
      </c>
    </row>
    <row r="4927" spans="1:14" ht="18.75">
      <c r="A4927" s="12" t="s">
        <v>1905</v>
      </c>
      <c r="B4927" s="1" t="s">
        <v>7110</v>
      </c>
      <c r="I4927" s="109"/>
      <c r="J4927" s="109"/>
      <c r="K4927" s="109"/>
      <c r="L4927" s="109" t="str">
        <f t="shared" si="76"/>
        <v>95-952000305</v>
      </c>
      <c r="M4927" s="114">
        <v>952000305</v>
      </c>
      <c r="N4927" s="114" t="s">
        <v>7329</v>
      </c>
    </row>
    <row r="4928" spans="1:14" ht="18.75">
      <c r="A4928" s="12" t="s">
        <v>1906</v>
      </c>
      <c r="B4928" s="1" t="s">
        <v>7110</v>
      </c>
      <c r="I4928" s="109"/>
      <c r="J4928" s="109"/>
      <c r="K4928" s="109"/>
      <c r="L4928" s="109" t="str">
        <f t="shared" si="76"/>
        <v>96-962000081</v>
      </c>
      <c r="M4928" s="114">
        <v>962000081</v>
      </c>
      <c r="N4928" s="114" t="s">
        <v>7112</v>
      </c>
    </row>
    <row r="4929" spans="1:14" ht="18.75">
      <c r="A4929" s="12" t="s">
        <v>1906</v>
      </c>
      <c r="B4929" s="1" t="s">
        <v>7110</v>
      </c>
      <c r="I4929" s="109"/>
      <c r="J4929" s="109"/>
      <c r="K4929" s="109"/>
      <c r="L4929" s="109" t="str">
        <f t="shared" si="76"/>
        <v>95-952000135</v>
      </c>
      <c r="M4929" s="114">
        <v>952000135</v>
      </c>
      <c r="N4929" s="114" t="s">
        <v>7432</v>
      </c>
    </row>
    <row r="4930" spans="1:14" ht="18.75">
      <c r="A4930" s="12" t="s">
        <v>1906</v>
      </c>
      <c r="B4930" s="1" t="s">
        <v>7110</v>
      </c>
      <c r="I4930" s="109"/>
      <c r="J4930" s="109"/>
      <c r="K4930" s="109"/>
      <c r="L4930" s="109" t="str">
        <f t="shared" si="76"/>
        <v>95-952000048</v>
      </c>
      <c r="M4930" s="114">
        <v>952000048</v>
      </c>
      <c r="N4930" s="114" t="s">
        <v>7331</v>
      </c>
    </row>
    <row r="4931" spans="1:14" ht="18.75">
      <c r="A4931" s="12" t="s">
        <v>1906</v>
      </c>
      <c r="B4931" s="1" t="s">
        <v>7110</v>
      </c>
      <c r="I4931" s="109"/>
      <c r="J4931" s="109"/>
      <c r="K4931" s="109"/>
      <c r="L4931" s="109" t="str">
        <f t="shared" ref="L4931:L4994" si="77">MID(M4931,1,2)&amp;"-"&amp;M4931</f>
        <v>95-952000268</v>
      </c>
      <c r="M4931" s="114">
        <v>952000268</v>
      </c>
      <c r="N4931" s="114" t="s">
        <v>7280</v>
      </c>
    </row>
    <row r="4932" spans="1:14" ht="18.75">
      <c r="A4932" s="12" t="s">
        <v>1906</v>
      </c>
      <c r="B4932" s="1" t="s">
        <v>7110</v>
      </c>
      <c r="I4932" s="109"/>
      <c r="J4932" s="109"/>
      <c r="K4932" s="109"/>
      <c r="L4932" s="109" t="str">
        <f t="shared" si="77"/>
        <v>95-952000112</v>
      </c>
      <c r="M4932" s="114">
        <v>952000112</v>
      </c>
      <c r="N4932" s="114" t="s">
        <v>7321</v>
      </c>
    </row>
    <row r="4933" spans="1:14" ht="18.75">
      <c r="A4933" s="12" t="s">
        <v>2049</v>
      </c>
      <c r="B4933" s="1" t="s">
        <v>7110</v>
      </c>
      <c r="I4933" s="109"/>
      <c r="J4933" s="109"/>
      <c r="K4933" s="109"/>
      <c r="L4933" s="109" t="str">
        <f t="shared" si="77"/>
        <v>95-952000097</v>
      </c>
      <c r="M4933" s="114">
        <v>952000097</v>
      </c>
      <c r="N4933" s="114" t="s">
        <v>7321</v>
      </c>
    </row>
    <row r="4934" spans="1:14" ht="18.75">
      <c r="A4934" s="12" t="s">
        <v>1900</v>
      </c>
      <c r="B4934" s="1" t="s">
        <v>7110</v>
      </c>
      <c r="I4934" s="109"/>
      <c r="J4934" s="109"/>
      <c r="K4934" s="109"/>
      <c r="L4934" s="109" t="str">
        <f t="shared" si="77"/>
        <v>95-951100134</v>
      </c>
      <c r="M4934" s="114">
        <v>951100134</v>
      </c>
      <c r="N4934" s="114" t="s">
        <v>8528</v>
      </c>
    </row>
    <row r="4935" spans="1:14" ht="18.75">
      <c r="A4935" s="12" t="s">
        <v>2049</v>
      </c>
      <c r="B4935" s="1" t="s">
        <v>7110</v>
      </c>
      <c r="I4935" s="109"/>
      <c r="J4935" s="109"/>
      <c r="K4935" s="109"/>
      <c r="L4935" s="109" t="str">
        <f t="shared" si="77"/>
        <v>95-951100159</v>
      </c>
      <c r="M4935" s="114">
        <v>951100159</v>
      </c>
      <c r="N4935" s="114" t="s">
        <v>8529</v>
      </c>
    </row>
    <row r="4936" spans="1:14" ht="18.75">
      <c r="A4936" s="12" t="s">
        <v>1900</v>
      </c>
      <c r="B4936" s="1" t="s">
        <v>7110</v>
      </c>
      <c r="I4936" s="109"/>
      <c r="J4936" s="109"/>
      <c r="K4936" s="109"/>
      <c r="L4936" s="109" t="str">
        <f t="shared" si="77"/>
        <v>96-961100039</v>
      </c>
      <c r="M4936" s="114">
        <v>961100039</v>
      </c>
      <c r="N4936" s="114" t="s">
        <v>8530</v>
      </c>
    </row>
    <row r="4937" spans="1:14" ht="18.75">
      <c r="A4937" s="12" t="s">
        <v>2049</v>
      </c>
      <c r="B4937" s="1" t="s">
        <v>7110</v>
      </c>
      <c r="I4937" s="109"/>
      <c r="J4937" s="109"/>
      <c r="K4937" s="109"/>
      <c r="L4937" s="109" t="str">
        <f t="shared" si="77"/>
        <v>96-961100075</v>
      </c>
      <c r="M4937" s="114">
        <v>961100075</v>
      </c>
      <c r="N4937" s="114" t="s">
        <v>8758</v>
      </c>
    </row>
    <row r="4938" spans="1:14" ht="18.75">
      <c r="A4938" s="12" t="s">
        <v>2049</v>
      </c>
      <c r="B4938" s="1" t="s">
        <v>7110</v>
      </c>
      <c r="I4938" s="109"/>
      <c r="J4938" s="109"/>
      <c r="K4938" s="109"/>
      <c r="L4938" s="109" t="str">
        <f t="shared" si="77"/>
        <v>95-952000242</v>
      </c>
      <c r="M4938" s="114">
        <v>952000242</v>
      </c>
      <c r="N4938" s="114" t="s">
        <v>7327</v>
      </c>
    </row>
    <row r="4939" spans="1:14" ht="18.75">
      <c r="A4939" s="12" t="s">
        <v>1900</v>
      </c>
      <c r="B4939" s="1" t="s">
        <v>7110</v>
      </c>
      <c r="I4939" s="109"/>
      <c r="J4939" s="109"/>
      <c r="K4939" s="109"/>
      <c r="L4939" s="109" t="str">
        <f t="shared" si="77"/>
        <v>96-962000025</v>
      </c>
      <c r="M4939" s="114">
        <v>962000025</v>
      </c>
      <c r="N4939" s="114" t="s">
        <v>7112</v>
      </c>
    </row>
    <row r="4940" spans="1:14" ht="18.75">
      <c r="A4940" s="12" t="s">
        <v>1902</v>
      </c>
      <c r="B4940" s="1" t="s">
        <v>7110</v>
      </c>
      <c r="I4940" s="109"/>
      <c r="J4940" s="109"/>
      <c r="K4940" s="109"/>
      <c r="L4940" s="109" t="str">
        <f t="shared" si="77"/>
        <v>95-952000236</v>
      </c>
      <c r="M4940" s="114">
        <v>952000236</v>
      </c>
      <c r="N4940" s="114" t="s">
        <v>7248</v>
      </c>
    </row>
    <row r="4941" spans="1:14" ht="18.75">
      <c r="A4941" s="12" t="s">
        <v>1905</v>
      </c>
      <c r="B4941" s="1" t="s">
        <v>7110</v>
      </c>
      <c r="I4941" s="109"/>
      <c r="J4941" s="109"/>
      <c r="K4941" s="109"/>
      <c r="L4941" s="109" t="str">
        <f t="shared" si="77"/>
        <v>96-962000053</v>
      </c>
      <c r="M4941" s="114">
        <v>962000053</v>
      </c>
      <c r="N4941" s="114" t="s">
        <v>7112</v>
      </c>
    </row>
    <row r="4942" spans="1:14" ht="18.75">
      <c r="A4942" s="12" t="s">
        <v>2047</v>
      </c>
      <c r="B4942" s="1" t="s">
        <v>7110</v>
      </c>
      <c r="I4942" s="109"/>
      <c r="J4942" s="109"/>
      <c r="K4942" s="109"/>
      <c r="L4942" s="109" t="str">
        <f t="shared" si="77"/>
        <v>96-962000180</v>
      </c>
      <c r="M4942" s="114">
        <v>962000180</v>
      </c>
      <c r="N4942" s="114" t="s">
        <v>7112</v>
      </c>
    </row>
    <row r="4943" spans="1:14" ht="18.75">
      <c r="A4943" s="12" t="s">
        <v>2110</v>
      </c>
      <c r="B4943" s="1" t="s">
        <v>7110</v>
      </c>
      <c r="I4943" s="109"/>
      <c r="J4943" s="109"/>
      <c r="K4943" s="109"/>
      <c r="L4943" s="109" t="str">
        <f t="shared" si="77"/>
        <v>96-962000147</v>
      </c>
      <c r="M4943" s="114">
        <v>962000147</v>
      </c>
      <c r="N4943" s="114" t="s">
        <v>7112</v>
      </c>
    </row>
    <row r="4944" spans="1:14" ht="18.75">
      <c r="A4944" s="12" t="s">
        <v>2111</v>
      </c>
      <c r="B4944" s="1" t="s">
        <v>7110</v>
      </c>
      <c r="I4944" s="109"/>
      <c r="J4944" s="109"/>
      <c r="K4944" s="109"/>
      <c r="L4944" s="109" t="str">
        <f t="shared" si="77"/>
        <v>95-952000348</v>
      </c>
      <c r="M4944" s="114">
        <v>952000348</v>
      </c>
      <c r="N4944" s="114" t="s">
        <v>7420</v>
      </c>
    </row>
    <row r="4945" spans="1:14" ht="18.75">
      <c r="A4945" s="12" t="s">
        <v>2112</v>
      </c>
      <c r="B4945" s="1" t="s">
        <v>7110</v>
      </c>
      <c r="I4945" s="109"/>
      <c r="J4945" s="109"/>
      <c r="K4945" s="109"/>
      <c r="L4945" s="109" t="str">
        <f t="shared" si="77"/>
        <v>95-952000351</v>
      </c>
      <c r="M4945" s="114">
        <v>952000351</v>
      </c>
      <c r="N4945" s="114" t="s">
        <v>7122</v>
      </c>
    </row>
    <row r="4946" spans="1:14" ht="18.75">
      <c r="A4946" s="12" t="s">
        <v>2121</v>
      </c>
      <c r="B4946" s="1" t="s">
        <v>7110</v>
      </c>
      <c r="I4946" s="109"/>
      <c r="J4946" s="109"/>
      <c r="K4946" s="109"/>
      <c r="L4946" s="109" t="str">
        <f t="shared" si="77"/>
        <v>95-952000075</v>
      </c>
      <c r="M4946" s="114">
        <v>952000075</v>
      </c>
      <c r="N4946" s="114" t="s">
        <v>7465</v>
      </c>
    </row>
    <row r="4947" spans="1:14" ht="18.75">
      <c r="A4947" s="12" t="s">
        <v>2121</v>
      </c>
      <c r="B4947" s="1" t="s">
        <v>7110</v>
      </c>
      <c r="I4947" s="109"/>
      <c r="J4947" s="109"/>
      <c r="K4947" s="109"/>
      <c r="L4947" s="109" t="str">
        <f t="shared" si="77"/>
        <v>95-952000131</v>
      </c>
      <c r="M4947" s="114">
        <v>952000131</v>
      </c>
      <c r="N4947" s="114" t="s">
        <v>7405</v>
      </c>
    </row>
    <row r="4948" spans="1:14" ht="18.75">
      <c r="A4948" s="12" t="s">
        <v>2111</v>
      </c>
      <c r="B4948" s="1" t="s">
        <v>7110</v>
      </c>
      <c r="I4948" s="109"/>
      <c r="J4948" s="109"/>
      <c r="K4948" s="109"/>
      <c r="L4948" s="109" t="str">
        <f t="shared" si="77"/>
        <v>96-962000192</v>
      </c>
      <c r="M4948" s="114">
        <v>962000192</v>
      </c>
      <c r="N4948" s="114" t="s">
        <v>7112</v>
      </c>
    </row>
    <row r="4949" spans="1:14" ht="18.75">
      <c r="A4949" s="12" t="s">
        <v>2132</v>
      </c>
      <c r="B4949" s="1" t="s">
        <v>7110</v>
      </c>
      <c r="I4949" s="109"/>
      <c r="J4949" s="109"/>
      <c r="K4949" s="109"/>
      <c r="L4949" s="109" t="str">
        <f t="shared" si="77"/>
        <v>95-952000068</v>
      </c>
      <c r="M4949" s="114">
        <v>952000068</v>
      </c>
      <c r="N4949" s="114" t="s">
        <v>7465</v>
      </c>
    </row>
    <row r="4950" spans="1:14" ht="18.75">
      <c r="A4950" s="12" t="s">
        <v>2133</v>
      </c>
      <c r="B4950" s="1" t="s">
        <v>7110</v>
      </c>
      <c r="I4950" s="109"/>
      <c r="J4950" s="109"/>
      <c r="K4950" s="109"/>
      <c r="L4950" s="109" t="str">
        <f t="shared" si="77"/>
        <v>95-956200339</v>
      </c>
      <c r="M4950" s="114">
        <v>956200339</v>
      </c>
      <c r="N4950" s="114" t="s">
        <v>7292</v>
      </c>
    </row>
    <row r="4951" spans="1:14" ht="18.75">
      <c r="A4951" s="12" t="s">
        <v>1902</v>
      </c>
      <c r="B4951" s="1" t="s">
        <v>7110</v>
      </c>
      <c r="I4951" s="109"/>
      <c r="J4951" s="109"/>
      <c r="K4951" s="109"/>
      <c r="L4951" s="109" t="str">
        <f t="shared" si="77"/>
        <v>95-956200342</v>
      </c>
      <c r="M4951" s="114">
        <v>956200342</v>
      </c>
      <c r="N4951" s="114" t="s">
        <v>7292</v>
      </c>
    </row>
    <row r="4952" spans="1:14" ht="18.75">
      <c r="A4952" s="12" t="s">
        <v>1906</v>
      </c>
      <c r="B4952" s="1" t="s">
        <v>7110</v>
      </c>
      <c r="I4952" s="109"/>
      <c r="J4952" s="109"/>
      <c r="K4952" s="109"/>
      <c r="L4952" s="109" t="str">
        <f t="shared" si="77"/>
        <v>95-956200374</v>
      </c>
      <c r="M4952" s="114">
        <v>956200374</v>
      </c>
      <c r="N4952" s="114" t="s">
        <v>7393</v>
      </c>
    </row>
    <row r="4953" spans="1:14" ht="18.75">
      <c r="A4953" s="12" t="s">
        <v>2142</v>
      </c>
      <c r="B4953" s="1" t="s">
        <v>7110</v>
      </c>
      <c r="I4953" s="109"/>
      <c r="J4953" s="109"/>
      <c r="K4953" s="109"/>
      <c r="L4953" s="109" t="str">
        <f t="shared" si="77"/>
        <v>95-956200375</v>
      </c>
      <c r="M4953" s="114">
        <v>956200375</v>
      </c>
      <c r="N4953" s="114" t="s">
        <v>7393</v>
      </c>
    </row>
    <row r="4954" spans="1:14" ht="18.75">
      <c r="A4954" s="12" t="s">
        <v>1925</v>
      </c>
      <c r="B4954" s="1" t="s">
        <v>7110</v>
      </c>
      <c r="I4954" s="109"/>
      <c r="J4954" s="109"/>
      <c r="K4954" s="109"/>
      <c r="L4954" s="109" t="str">
        <f t="shared" si="77"/>
        <v>95-956200377</v>
      </c>
      <c r="M4954" s="114">
        <v>956200377</v>
      </c>
      <c r="N4954" s="114" t="s">
        <v>7393</v>
      </c>
    </row>
    <row r="4955" spans="1:14" ht="18.75">
      <c r="A4955" s="12" t="s">
        <v>2145</v>
      </c>
      <c r="B4955" s="1" t="s">
        <v>7110</v>
      </c>
      <c r="I4955" s="109"/>
      <c r="J4955" s="109"/>
      <c r="K4955" s="109"/>
      <c r="L4955" s="109" t="str">
        <f t="shared" si="77"/>
        <v>96-962000019</v>
      </c>
      <c r="M4955" s="114">
        <v>962000019</v>
      </c>
      <c r="N4955" s="114" t="s">
        <v>7112</v>
      </c>
    </row>
    <row r="4956" spans="1:14" ht="18.75">
      <c r="A4956" s="12" t="s">
        <v>2145</v>
      </c>
      <c r="B4956" s="1" t="s">
        <v>7110</v>
      </c>
      <c r="I4956" s="109"/>
      <c r="J4956" s="109"/>
      <c r="K4956" s="109"/>
      <c r="L4956" s="109" t="str">
        <f t="shared" si="77"/>
        <v>96-962000187</v>
      </c>
      <c r="M4956" s="114">
        <v>962000187</v>
      </c>
      <c r="N4956" s="114" t="s">
        <v>7112</v>
      </c>
    </row>
    <row r="4957" spans="1:14" ht="18.75">
      <c r="A4957" s="12" t="s">
        <v>2145</v>
      </c>
      <c r="B4957" s="1" t="s">
        <v>7110</v>
      </c>
      <c r="I4957" s="109"/>
      <c r="J4957" s="109"/>
      <c r="K4957" s="109"/>
      <c r="L4957" s="109" t="str">
        <f t="shared" si="77"/>
        <v>96-962000018</v>
      </c>
      <c r="M4957" s="114">
        <v>962000018</v>
      </c>
      <c r="N4957" s="114" t="s">
        <v>7112</v>
      </c>
    </row>
    <row r="4958" spans="1:14" ht="18.75">
      <c r="A4958" s="12" t="s">
        <v>2147</v>
      </c>
      <c r="B4958" s="1" t="s">
        <v>7110</v>
      </c>
      <c r="I4958" s="109"/>
      <c r="J4958" s="109"/>
      <c r="K4958" s="109"/>
      <c r="L4958" s="109" t="str">
        <f t="shared" si="77"/>
        <v>96-962000213</v>
      </c>
      <c r="M4958" s="114">
        <v>962000213</v>
      </c>
      <c r="N4958" s="114" t="s">
        <v>7112</v>
      </c>
    </row>
    <row r="4959" spans="1:14" ht="18.75">
      <c r="A4959" s="12" t="s">
        <v>2147</v>
      </c>
      <c r="B4959" s="1" t="s">
        <v>7110</v>
      </c>
      <c r="I4959" s="109"/>
      <c r="J4959" s="109"/>
      <c r="K4959" s="109"/>
      <c r="L4959" s="109" t="str">
        <f t="shared" si="77"/>
        <v>95-952000076</v>
      </c>
      <c r="M4959" s="114">
        <v>952000076</v>
      </c>
      <c r="N4959" s="114" t="s">
        <v>8156</v>
      </c>
    </row>
    <row r="4960" spans="1:14" ht="18.75">
      <c r="A4960" s="12" t="s">
        <v>2149</v>
      </c>
      <c r="B4960" s="1" t="s">
        <v>7110</v>
      </c>
      <c r="I4960" s="109"/>
      <c r="J4960" s="109"/>
      <c r="K4960" s="109"/>
      <c r="L4960" s="109" t="str">
        <f t="shared" si="77"/>
        <v>95-952000315</v>
      </c>
      <c r="M4960" s="114">
        <v>952000315</v>
      </c>
      <c r="N4960" s="114" t="s">
        <v>7420</v>
      </c>
    </row>
    <row r="4961" spans="1:14" ht="18.75">
      <c r="A4961" s="12" t="s">
        <v>2147</v>
      </c>
      <c r="B4961" s="1" t="s">
        <v>7110</v>
      </c>
      <c r="I4961" s="109"/>
      <c r="J4961" s="109"/>
      <c r="K4961" s="109"/>
      <c r="L4961" s="109" t="str">
        <f t="shared" si="77"/>
        <v>96-962000178</v>
      </c>
      <c r="M4961" s="114">
        <v>962000178</v>
      </c>
      <c r="N4961" s="114" t="s">
        <v>7112</v>
      </c>
    </row>
    <row r="4962" spans="1:14" ht="18.75">
      <c r="A4962" s="12" t="s">
        <v>2149</v>
      </c>
      <c r="B4962" s="1" t="s">
        <v>7110</v>
      </c>
      <c r="I4962" s="109"/>
      <c r="J4962" s="109"/>
      <c r="K4962" s="109"/>
      <c r="L4962" s="109" t="str">
        <f t="shared" si="77"/>
        <v>95-956200351</v>
      </c>
      <c r="M4962" s="114">
        <v>956200351</v>
      </c>
      <c r="N4962" s="114" t="s">
        <v>7292</v>
      </c>
    </row>
    <row r="4963" spans="1:14" ht="18.75">
      <c r="A4963" s="12" t="s">
        <v>2158</v>
      </c>
      <c r="B4963" s="1" t="s">
        <v>7110</v>
      </c>
      <c r="I4963" s="109"/>
      <c r="J4963" s="109"/>
      <c r="K4963" s="109"/>
      <c r="L4963" s="109" t="str">
        <f t="shared" si="77"/>
        <v>95-956200090</v>
      </c>
      <c r="M4963" s="114">
        <v>956200090</v>
      </c>
      <c r="N4963" s="114" t="s">
        <v>7373</v>
      </c>
    </row>
    <row r="4964" spans="1:14" ht="18.75">
      <c r="A4964" s="12" t="s">
        <v>2038</v>
      </c>
      <c r="B4964" s="1" t="s">
        <v>7110</v>
      </c>
      <c r="I4964" s="109"/>
      <c r="J4964" s="109"/>
      <c r="K4964" s="109"/>
      <c r="L4964" s="109" t="str">
        <f t="shared" si="77"/>
        <v>96-966200018</v>
      </c>
      <c r="M4964" s="114">
        <v>966200018</v>
      </c>
      <c r="N4964" s="114" t="s">
        <v>7370</v>
      </c>
    </row>
    <row r="4965" spans="1:14" ht="18.75">
      <c r="A4965" s="12" t="s">
        <v>2164</v>
      </c>
      <c r="B4965" s="1" t="s">
        <v>7110</v>
      </c>
      <c r="I4965" s="109"/>
      <c r="J4965" s="109"/>
      <c r="K4965" s="109"/>
      <c r="L4965" s="109" t="str">
        <f t="shared" si="77"/>
        <v>95-956200167</v>
      </c>
      <c r="M4965" s="114">
        <v>956200167</v>
      </c>
      <c r="N4965" s="114" t="s">
        <v>7369</v>
      </c>
    </row>
    <row r="4966" spans="1:14" ht="18.75">
      <c r="A4966" s="12" t="s">
        <v>2158</v>
      </c>
      <c r="B4966" s="1" t="s">
        <v>7110</v>
      </c>
      <c r="I4966" s="109"/>
      <c r="J4966" s="109"/>
      <c r="K4966" s="109"/>
      <c r="L4966" s="109" t="str">
        <f t="shared" si="77"/>
        <v>96-966200079</v>
      </c>
      <c r="M4966" s="114">
        <v>966200079</v>
      </c>
      <c r="N4966" s="114" t="s">
        <v>7448</v>
      </c>
    </row>
    <row r="4967" spans="1:14" ht="18.75">
      <c r="A4967" s="12" t="s">
        <v>2166</v>
      </c>
      <c r="B4967" s="1" t="s">
        <v>7110</v>
      </c>
      <c r="I4967" s="109"/>
      <c r="J4967" s="109"/>
      <c r="K4967" s="109"/>
      <c r="L4967" s="109" t="str">
        <f t="shared" si="77"/>
        <v>95-956200105</v>
      </c>
      <c r="M4967" s="114">
        <v>956200105</v>
      </c>
      <c r="N4967" s="114" t="s">
        <v>8531</v>
      </c>
    </row>
    <row r="4968" spans="1:14" ht="18.75">
      <c r="A4968" s="12" t="s">
        <v>2173</v>
      </c>
      <c r="B4968" s="1" t="s">
        <v>7110</v>
      </c>
      <c r="I4968" s="109"/>
      <c r="J4968" s="109"/>
      <c r="K4968" s="109"/>
      <c r="L4968" s="109" t="str">
        <f t="shared" si="77"/>
        <v>96-966200322</v>
      </c>
      <c r="M4968" s="114">
        <v>966200322</v>
      </c>
      <c r="N4968" s="114" t="s">
        <v>8697</v>
      </c>
    </row>
    <row r="4969" spans="1:14" ht="18.75">
      <c r="A4969" s="12" t="s">
        <v>2111</v>
      </c>
      <c r="B4969" s="1" t="s">
        <v>7110</v>
      </c>
      <c r="I4969" s="109"/>
      <c r="J4969" s="109"/>
      <c r="K4969" s="109"/>
      <c r="L4969" s="109" t="str">
        <f t="shared" si="77"/>
        <v>95-951100158</v>
      </c>
      <c r="M4969" s="114">
        <v>951100158</v>
      </c>
      <c r="N4969" s="114" t="s">
        <v>8532</v>
      </c>
    </row>
    <row r="4970" spans="1:14" ht="18.75">
      <c r="A4970" s="12" t="s">
        <v>2164</v>
      </c>
      <c r="B4970" s="1" t="s">
        <v>7110</v>
      </c>
      <c r="I4970" s="109"/>
      <c r="J4970" s="109"/>
      <c r="K4970" s="109"/>
      <c r="L4970" s="109" t="str">
        <f t="shared" si="77"/>
        <v>95-956300023</v>
      </c>
      <c r="M4970" s="114">
        <v>956300023</v>
      </c>
      <c r="N4970" s="114" t="s">
        <v>8533</v>
      </c>
    </row>
    <row r="4971" spans="1:14" ht="18.75">
      <c r="A4971" s="12" t="s">
        <v>2166</v>
      </c>
      <c r="B4971" s="1" t="s">
        <v>7110</v>
      </c>
      <c r="I4971" s="109"/>
      <c r="J4971" s="109"/>
      <c r="K4971" s="109"/>
      <c r="L4971" s="109" t="str">
        <f t="shared" si="77"/>
        <v>95-956200104</v>
      </c>
      <c r="M4971" s="114">
        <v>956200104</v>
      </c>
      <c r="N4971" s="114" t="s">
        <v>8531</v>
      </c>
    </row>
    <row r="4972" spans="1:14" ht="18.75">
      <c r="A4972" s="12" t="s">
        <v>2229</v>
      </c>
      <c r="B4972" s="1" t="s">
        <v>7110</v>
      </c>
      <c r="I4972" s="109"/>
      <c r="J4972" s="109"/>
      <c r="K4972" s="109"/>
      <c r="L4972" s="109" t="str">
        <f t="shared" si="77"/>
        <v>95-952000188</v>
      </c>
      <c r="M4972" s="114">
        <v>952000188</v>
      </c>
      <c r="N4972" s="114" t="s">
        <v>7342</v>
      </c>
    </row>
    <row r="4973" spans="1:14" ht="18.75">
      <c r="A4973" s="12" t="s">
        <v>2227</v>
      </c>
      <c r="B4973" s="1" t="s">
        <v>7110</v>
      </c>
      <c r="I4973" s="109"/>
      <c r="J4973" s="109"/>
      <c r="K4973" s="109"/>
      <c r="L4973" s="109" t="str">
        <f t="shared" si="77"/>
        <v>95-952000081</v>
      </c>
      <c r="M4973" s="114">
        <v>952000081</v>
      </c>
      <c r="N4973" s="114" t="s">
        <v>7152</v>
      </c>
    </row>
    <row r="4974" spans="1:14" ht="18.75">
      <c r="A4974" s="12" t="s">
        <v>2228</v>
      </c>
      <c r="B4974" s="1" t="s">
        <v>7110</v>
      </c>
      <c r="I4974" s="109"/>
      <c r="J4974" s="109"/>
      <c r="K4974" s="109"/>
      <c r="L4974" s="109" t="str">
        <f t="shared" si="77"/>
        <v>95-956200081</v>
      </c>
      <c r="M4974" s="114">
        <v>956200081</v>
      </c>
      <c r="N4974" s="114" t="s">
        <v>8534</v>
      </c>
    </row>
    <row r="4975" spans="1:14" ht="18.75">
      <c r="A4975" s="12" t="s">
        <v>1901</v>
      </c>
      <c r="B4975" s="1" t="s">
        <v>7110</v>
      </c>
      <c r="I4975" s="109"/>
      <c r="J4975" s="109"/>
      <c r="K4975" s="109"/>
      <c r="L4975" s="109" t="str">
        <f t="shared" si="77"/>
        <v>95-952000318</v>
      </c>
      <c r="M4975" s="114">
        <v>952000318</v>
      </c>
      <c r="N4975" s="114" t="s">
        <v>7420</v>
      </c>
    </row>
    <row r="4976" spans="1:14" ht="18.75">
      <c r="A4976" s="12" t="s">
        <v>2235</v>
      </c>
      <c r="B4976" s="1" t="s">
        <v>7110</v>
      </c>
      <c r="I4976" s="109"/>
      <c r="J4976" s="109"/>
      <c r="K4976" s="109"/>
      <c r="L4976" s="109" t="str">
        <f t="shared" si="77"/>
        <v>96-962000214</v>
      </c>
      <c r="M4976" s="114">
        <v>962000214</v>
      </c>
      <c r="N4976" s="114" t="s">
        <v>7112</v>
      </c>
    </row>
    <row r="4977" spans="1:14" ht="18.75">
      <c r="A4977" s="12" t="s">
        <v>2235</v>
      </c>
      <c r="B4977" s="1" t="s">
        <v>7110</v>
      </c>
      <c r="I4977" s="109"/>
      <c r="J4977" s="109"/>
      <c r="K4977" s="109"/>
      <c r="L4977" s="109" t="str">
        <f t="shared" si="77"/>
        <v>95-952000331</v>
      </c>
      <c r="M4977" s="114">
        <v>952000331</v>
      </c>
      <c r="N4977" s="114" t="s">
        <v>7420</v>
      </c>
    </row>
    <row r="4978" spans="1:14" ht="18.75">
      <c r="A4978" s="12" t="s">
        <v>1925</v>
      </c>
      <c r="B4978" s="1" t="s">
        <v>7110</v>
      </c>
      <c r="I4978" s="109"/>
      <c r="J4978" s="109"/>
      <c r="K4978" s="109"/>
      <c r="L4978" s="109" t="str">
        <f t="shared" si="77"/>
        <v>96-962000208</v>
      </c>
      <c r="M4978" s="114">
        <v>962000208</v>
      </c>
      <c r="N4978" s="114" t="s">
        <v>7112</v>
      </c>
    </row>
    <row r="4979" spans="1:14" ht="18.75">
      <c r="A4979" s="12" t="s">
        <v>2235</v>
      </c>
      <c r="B4979" s="1" t="s">
        <v>7110</v>
      </c>
      <c r="I4979" s="109"/>
      <c r="J4979" s="109"/>
      <c r="K4979" s="109"/>
      <c r="L4979" s="109" t="str">
        <f t="shared" si="77"/>
        <v>95-952000344</v>
      </c>
      <c r="M4979" s="114">
        <v>952000344</v>
      </c>
      <c r="N4979" s="114" t="s">
        <v>7413</v>
      </c>
    </row>
    <row r="4980" spans="1:14" ht="18.75">
      <c r="A4980" s="12" t="s">
        <v>2142</v>
      </c>
      <c r="B4980" s="1" t="s">
        <v>7110</v>
      </c>
      <c r="I4980" s="109"/>
      <c r="J4980" s="109"/>
      <c r="K4980" s="109"/>
      <c r="L4980" s="109" t="str">
        <f t="shared" si="77"/>
        <v>95-952000176</v>
      </c>
      <c r="M4980" s="114">
        <v>952000176</v>
      </c>
      <c r="N4980" s="114" t="s">
        <v>7392</v>
      </c>
    </row>
    <row r="4981" spans="1:14" ht="18.75">
      <c r="A4981" s="12" t="s">
        <v>2142</v>
      </c>
      <c r="B4981" s="1" t="s">
        <v>7110</v>
      </c>
      <c r="I4981" s="109"/>
      <c r="J4981" s="109"/>
      <c r="K4981" s="109"/>
      <c r="L4981" s="109" t="str">
        <f t="shared" si="77"/>
        <v>95-952000346</v>
      </c>
      <c r="M4981" s="114">
        <v>952000346</v>
      </c>
      <c r="N4981" s="114" t="s">
        <v>7413</v>
      </c>
    </row>
    <row r="4982" spans="1:14" ht="18.75">
      <c r="A4982" s="12" t="s">
        <v>1925</v>
      </c>
      <c r="B4982" s="1" t="s">
        <v>7110</v>
      </c>
      <c r="I4982" s="109"/>
      <c r="J4982" s="109"/>
      <c r="K4982" s="109"/>
      <c r="L4982" s="109" t="str">
        <f t="shared" si="77"/>
        <v>95-952000253</v>
      </c>
      <c r="M4982" s="114">
        <v>952000253</v>
      </c>
      <c r="N4982" s="114" t="s">
        <v>7327</v>
      </c>
    </row>
    <row r="4983" spans="1:14" ht="18.75">
      <c r="A4983" s="12" t="s">
        <v>2142</v>
      </c>
      <c r="B4983" s="1" t="s">
        <v>7110</v>
      </c>
      <c r="I4983" s="109"/>
      <c r="J4983" s="109"/>
      <c r="K4983" s="109"/>
      <c r="L4983" s="109" t="str">
        <f t="shared" si="77"/>
        <v>95-956200100</v>
      </c>
      <c r="M4983" s="114">
        <v>956200100</v>
      </c>
      <c r="N4983" s="114" t="s">
        <v>7467</v>
      </c>
    </row>
    <row r="4984" spans="1:14" ht="18.75">
      <c r="A4984" s="12" t="s">
        <v>2145</v>
      </c>
      <c r="B4984" s="1" t="s">
        <v>7110</v>
      </c>
      <c r="I4984" s="109"/>
      <c r="J4984" s="109"/>
      <c r="K4984" s="109"/>
      <c r="L4984" s="109" t="str">
        <f t="shared" si="77"/>
        <v>95-956200103</v>
      </c>
      <c r="M4984" s="114">
        <v>956200103</v>
      </c>
      <c r="N4984" s="114" t="s">
        <v>8531</v>
      </c>
    </row>
    <row r="4985" spans="1:14" ht="18.75">
      <c r="A4985" s="12" t="s">
        <v>2149</v>
      </c>
      <c r="B4985" s="1" t="s">
        <v>7110</v>
      </c>
      <c r="I4985" s="109"/>
      <c r="J4985" s="109"/>
      <c r="K4985" s="109"/>
      <c r="L4985" s="109" t="str">
        <f t="shared" si="77"/>
        <v>95-956300006</v>
      </c>
      <c r="M4985" s="114">
        <v>956300006</v>
      </c>
      <c r="N4985" s="114" t="s">
        <v>8070</v>
      </c>
    </row>
    <row r="4986" spans="1:14" ht="18.75">
      <c r="A4986" s="12" t="s">
        <v>2254</v>
      </c>
      <c r="B4986" s="1" t="s">
        <v>7110</v>
      </c>
      <c r="I4986" s="109"/>
      <c r="J4986" s="109"/>
      <c r="K4986" s="109"/>
      <c r="L4986" s="109" t="str">
        <f t="shared" si="77"/>
        <v>95-956200110</v>
      </c>
      <c r="M4986" s="114">
        <v>956200110</v>
      </c>
      <c r="N4986" s="114" t="s">
        <v>7358</v>
      </c>
    </row>
    <row r="4987" spans="1:14" ht="18.75">
      <c r="A4987" s="12" t="s">
        <v>2228</v>
      </c>
      <c r="B4987" s="1" t="s">
        <v>7110</v>
      </c>
      <c r="I4987" s="109"/>
      <c r="J4987" s="109"/>
      <c r="K4987" s="109"/>
      <c r="L4987" s="109" t="str">
        <f t="shared" si="77"/>
        <v>95-956300022</v>
      </c>
      <c r="M4987" s="114">
        <v>956300022</v>
      </c>
      <c r="N4987" s="114" t="s">
        <v>8535</v>
      </c>
    </row>
    <row r="4988" spans="1:14" ht="18.75">
      <c r="A4988" s="12" t="s">
        <v>6723</v>
      </c>
      <c r="B4988" s="1" t="s">
        <v>7110</v>
      </c>
      <c r="I4988" s="109"/>
      <c r="J4988" s="109"/>
      <c r="K4988" s="109"/>
      <c r="L4988" s="109" t="str">
        <f t="shared" si="77"/>
        <v>95-956200213</v>
      </c>
      <c r="M4988" s="114">
        <v>956200213</v>
      </c>
      <c r="N4988" s="114" t="s">
        <v>7357</v>
      </c>
    </row>
    <row r="4989" spans="1:14" ht="18.75">
      <c r="A4989" s="12" t="s">
        <v>1901</v>
      </c>
      <c r="B4989" s="1" t="s">
        <v>7110</v>
      </c>
      <c r="I4989" s="109"/>
      <c r="J4989" s="109"/>
      <c r="K4989" s="109"/>
      <c r="L4989" s="109" t="str">
        <f t="shared" si="77"/>
        <v>95-956200314</v>
      </c>
      <c r="M4989" s="114">
        <v>956200314</v>
      </c>
      <c r="N4989" s="114" t="s">
        <v>7436</v>
      </c>
    </row>
    <row r="4990" spans="1:14" ht="18.75">
      <c r="A4990" s="12" t="s">
        <v>2149</v>
      </c>
      <c r="B4990" s="1" t="s">
        <v>7110</v>
      </c>
      <c r="I4990" s="109"/>
      <c r="J4990" s="109"/>
      <c r="K4990" s="109"/>
      <c r="L4990" s="109" t="str">
        <f t="shared" si="77"/>
        <v>95-956200250</v>
      </c>
      <c r="M4990" s="114">
        <v>956200250</v>
      </c>
      <c r="N4990" s="114" t="s">
        <v>7428</v>
      </c>
    </row>
    <row r="4991" spans="1:14" ht="18.75">
      <c r="A4991" s="12" t="s">
        <v>2149</v>
      </c>
      <c r="B4991" s="1" t="s">
        <v>7110</v>
      </c>
      <c r="I4991" s="109"/>
      <c r="J4991" s="109"/>
      <c r="K4991" s="109"/>
      <c r="L4991" s="109" t="str">
        <f t="shared" si="77"/>
        <v>96-966200121</v>
      </c>
      <c r="M4991" s="114">
        <v>966200121</v>
      </c>
      <c r="N4991" s="114" t="s">
        <v>7437</v>
      </c>
    </row>
    <row r="4992" spans="1:14" ht="18.75">
      <c r="A4992" s="12" t="s">
        <v>2145</v>
      </c>
      <c r="B4992" s="1" t="s">
        <v>7110</v>
      </c>
      <c r="I4992" s="109"/>
      <c r="J4992" s="109"/>
      <c r="K4992" s="109"/>
      <c r="L4992" s="109" t="str">
        <f t="shared" si="77"/>
        <v>95-956200306</v>
      </c>
      <c r="M4992" s="114">
        <v>956200306</v>
      </c>
      <c r="N4992" s="114" t="s">
        <v>8039</v>
      </c>
    </row>
    <row r="4993" spans="1:14" ht="18.75">
      <c r="A4993" s="12" t="s">
        <v>1902</v>
      </c>
      <c r="B4993" s="1" t="s">
        <v>7110</v>
      </c>
      <c r="I4993" s="109"/>
      <c r="J4993" s="109"/>
      <c r="K4993" s="109"/>
      <c r="L4993" s="109" t="str">
        <f t="shared" si="77"/>
        <v>95-956200332</v>
      </c>
      <c r="M4993" s="114">
        <v>956200332</v>
      </c>
      <c r="N4993" s="114" t="s">
        <v>7289</v>
      </c>
    </row>
    <row r="4994" spans="1:14" ht="18.75">
      <c r="A4994" s="12" t="s">
        <v>2049</v>
      </c>
      <c r="B4994" s="1" t="s">
        <v>7110</v>
      </c>
      <c r="I4994" s="109"/>
      <c r="J4994" s="109"/>
      <c r="K4994" s="109"/>
      <c r="L4994" s="109" t="str">
        <f t="shared" si="77"/>
        <v>95-956200333</v>
      </c>
      <c r="M4994" s="114">
        <v>956200333</v>
      </c>
      <c r="N4994" s="114" t="s">
        <v>8167</v>
      </c>
    </row>
    <row r="4995" spans="1:14" ht="18.75">
      <c r="A4995" s="12" t="s">
        <v>1902</v>
      </c>
      <c r="B4995" s="1" t="s">
        <v>7110</v>
      </c>
      <c r="I4995" s="109"/>
      <c r="J4995" s="109"/>
      <c r="K4995" s="109"/>
      <c r="L4995" s="109" t="str">
        <f t="shared" ref="L4995:L5058" si="78">MID(M4995,1,2)&amp;"-"&amp;M4995</f>
        <v>95-956200382</v>
      </c>
      <c r="M4995" s="114">
        <v>956200382</v>
      </c>
      <c r="N4995" s="114" t="s">
        <v>7393</v>
      </c>
    </row>
    <row r="4996" spans="1:14" ht="18.75">
      <c r="A4996" s="12" t="s">
        <v>1904</v>
      </c>
      <c r="B4996" s="1" t="s">
        <v>7110</v>
      </c>
      <c r="I4996" s="109"/>
      <c r="J4996" s="109"/>
      <c r="K4996" s="109"/>
      <c r="L4996" s="109" t="str">
        <f t="shared" si="78"/>
        <v>95-956200365</v>
      </c>
      <c r="M4996" s="114">
        <v>956200365</v>
      </c>
      <c r="N4996" s="114" t="s">
        <v>7292</v>
      </c>
    </row>
    <row r="4997" spans="1:14" ht="18.75">
      <c r="A4997" s="12" t="s">
        <v>2262</v>
      </c>
      <c r="B4997" s="1" t="s">
        <v>7110</v>
      </c>
      <c r="I4997" s="109"/>
      <c r="J4997" s="109"/>
      <c r="K4997" s="109"/>
      <c r="L4997" s="109" t="str">
        <f t="shared" si="78"/>
        <v>95-956200389</v>
      </c>
      <c r="M4997" s="114">
        <v>956200389</v>
      </c>
      <c r="N4997" s="114" t="s">
        <v>7393</v>
      </c>
    </row>
    <row r="4998" spans="1:14" ht="18.75">
      <c r="A4998" s="12" t="s">
        <v>2149</v>
      </c>
      <c r="B4998" s="1" t="s">
        <v>7110</v>
      </c>
      <c r="I4998" s="109"/>
      <c r="J4998" s="109"/>
      <c r="K4998" s="109"/>
      <c r="L4998" s="109" t="str">
        <f t="shared" si="78"/>
        <v>96-966200009</v>
      </c>
      <c r="M4998" s="114">
        <v>966200009</v>
      </c>
      <c r="N4998" s="114" t="s">
        <v>7370</v>
      </c>
    </row>
    <row r="4999" spans="1:14" ht="18.75">
      <c r="A4999" s="12" t="s">
        <v>2049</v>
      </c>
      <c r="B4999" s="1" t="s">
        <v>7110</v>
      </c>
      <c r="I4999" s="109"/>
      <c r="J4999" s="109"/>
      <c r="K4999" s="109"/>
      <c r="L4999" s="109" t="str">
        <f t="shared" si="78"/>
        <v>95-956200426</v>
      </c>
      <c r="M4999" s="114">
        <v>956200426</v>
      </c>
      <c r="N4999" s="114" t="s">
        <v>7419</v>
      </c>
    </row>
    <row r="5000" spans="1:14" ht="18.75">
      <c r="A5000" s="12" t="s">
        <v>2227</v>
      </c>
      <c r="B5000" s="1" t="s">
        <v>7110</v>
      </c>
      <c r="I5000" s="109"/>
      <c r="J5000" s="109"/>
      <c r="K5000" s="109"/>
      <c r="L5000" s="109" t="str">
        <f t="shared" si="78"/>
        <v>96-966200095</v>
      </c>
      <c r="M5000" s="114">
        <v>966200095</v>
      </c>
      <c r="N5000" s="114" t="s">
        <v>7476</v>
      </c>
    </row>
    <row r="5001" spans="1:14" ht="18.75">
      <c r="A5001" s="12" t="s">
        <v>2229</v>
      </c>
      <c r="B5001" s="1" t="s">
        <v>7110</v>
      </c>
      <c r="I5001" s="109"/>
      <c r="J5001" s="109"/>
      <c r="K5001" s="109"/>
      <c r="L5001" s="109" t="str">
        <f t="shared" si="78"/>
        <v>96-966200103</v>
      </c>
      <c r="M5001" s="114">
        <v>966200103</v>
      </c>
      <c r="N5001" s="114" t="s">
        <v>7270</v>
      </c>
    </row>
    <row r="5002" spans="1:14" ht="18.75">
      <c r="A5002" s="12" t="s">
        <v>2262</v>
      </c>
      <c r="B5002" s="1" t="s">
        <v>7110</v>
      </c>
      <c r="I5002" s="109"/>
      <c r="J5002" s="109"/>
      <c r="K5002" s="109"/>
      <c r="L5002" s="109" t="str">
        <f t="shared" si="78"/>
        <v>96-966200181</v>
      </c>
      <c r="M5002" s="114">
        <v>966200181</v>
      </c>
      <c r="N5002" s="114" t="s">
        <v>7986</v>
      </c>
    </row>
    <row r="5003" spans="1:14" ht="18.75">
      <c r="A5003" s="12" t="s">
        <v>2228</v>
      </c>
      <c r="B5003" s="1" t="s">
        <v>7110</v>
      </c>
      <c r="I5003" s="109"/>
      <c r="J5003" s="109"/>
      <c r="K5003" s="109"/>
      <c r="L5003" s="109" t="str">
        <f t="shared" si="78"/>
        <v>96-966200211</v>
      </c>
      <c r="M5003" s="114">
        <v>966200211</v>
      </c>
      <c r="N5003" s="114" t="s">
        <v>7478</v>
      </c>
    </row>
    <row r="5004" spans="1:14" ht="18.75">
      <c r="A5004" s="12" t="s">
        <v>2173</v>
      </c>
      <c r="B5004" s="1" t="s">
        <v>7110</v>
      </c>
      <c r="I5004" s="109"/>
      <c r="J5004" s="109"/>
      <c r="K5004" s="109"/>
      <c r="L5004" s="109" t="str">
        <f t="shared" si="78"/>
        <v>96-966200212</v>
      </c>
      <c r="M5004" s="114">
        <v>966200212</v>
      </c>
      <c r="N5004" s="114" t="s">
        <v>7478</v>
      </c>
    </row>
    <row r="5005" spans="1:14" ht="18.75">
      <c r="A5005" s="12" t="s">
        <v>2303</v>
      </c>
      <c r="B5005" s="1" t="s">
        <v>7110</v>
      </c>
      <c r="I5005" s="109"/>
      <c r="J5005" s="109"/>
      <c r="K5005" s="109"/>
      <c r="L5005" s="109" t="str">
        <f t="shared" si="78"/>
        <v>96-966200244</v>
      </c>
      <c r="M5005" s="114">
        <v>966200244</v>
      </c>
      <c r="N5005" s="114" t="s">
        <v>7333</v>
      </c>
    </row>
    <row r="5006" spans="1:14" ht="18.75">
      <c r="A5006" s="12" t="s">
        <v>2228</v>
      </c>
      <c r="B5006" s="1" t="s">
        <v>7110</v>
      </c>
      <c r="I5006" s="109"/>
      <c r="J5006" s="109"/>
      <c r="K5006" s="109"/>
      <c r="L5006" s="109" t="str">
        <f t="shared" si="78"/>
        <v>96-962000102</v>
      </c>
      <c r="M5006" s="114">
        <v>962000102</v>
      </c>
      <c r="N5006" s="114" t="s">
        <v>7112</v>
      </c>
    </row>
    <row r="5007" spans="1:14" ht="18.75">
      <c r="A5007" s="12" t="s">
        <v>2309</v>
      </c>
      <c r="B5007" s="1" t="s">
        <v>7110</v>
      </c>
      <c r="I5007" s="109"/>
      <c r="J5007" s="109"/>
      <c r="K5007" s="109"/>
      <c r="L5007" s="109" t="str">
        <f t="shared" si="78"/>
        <v>95-954100043</v>
      </c>
      <c r="M5007" s="114">
        <v>954100043</v>
      </c>
      <c r="N5007" s="114" t="s">
        <v>5737</v>
      </c>
    </row>
    <row r="5008" spans="1:14" ht="18.75">
      <c r="A5008" s="12" t="s">
        <v>2310</v>
      </c>
      <c r="B5008" s="1" t="s">
        <v>7110</v>
      </c>
      <c r="I5008" s="109"/>
      <c r="J5008" s="109"/>
      <c r="K5008" s="109"/>
      <c r="L5008" s="109" t="str">
        <f t="shared" si="78"/>
        <v>96-962000137</v>
      </c>
      <c r="M5008" s="114">
        <v>962000137</v>
      </c>
      <c r="N5008" s="114" t="s">
        <v>7112</v>
      </c>
    </row>
    <row r="5009" spans="1:14" ht="18.75">
      <c r="A5009" s="12" t="s">
        <v>2229</v>
      </c>
      <c r="B5009" s="1" t="s">
        <v>7110</v>
      </c>
      <c r="I5009" s="109"/>
      <c r="J5009" s="109"/>
      <c r="K5009" s="109"/>
      <c r="L5009" s="109" t="str">
        <f t="shared" si="78"/>
        <v>96-962000153</v>
      </c>
      <c r="M5009" s="114">
        <v>962000153</v>
      </c>
      <c r="N5009" s="114" t="s">
        <v>7112</v>
      </c>
    </row>
    <row r="5010" spans="1:14" ht="18.75">
      <c r="A5010" s="12" t="s">
        <v>6592</v>
      </c>
      <c r="B5010" s="1" t="s">
        <v>7110</v>
      </c>
      <c r="I5010" s="109"/>
      <c r="J5010" s="109"/>
      <c r="K5010" s="109"/>
      <c r="L5010" s="109" t="str">
        <f t="shared" si="78"/>
        <v>96-962000170</v>
      </c>
      <c r="M5010" s="114">
        <v>962000170</v>
      </c>
      <c r="N5010" s="114" t="s">
        <v>7112</v>
      </c>
    </row>
    <row r="5011" spans="1:14" ht="18.75">
      <c r="A5011" s="12" t="s">
        <v>6593</v>
      </c>
      <c r="B5011" s="1" t="s">
        <v>7110</v>
      </c>
      <c r="I5011" s="109"/>
      <c r="J5011" s="109"/>
      <c r="K5011" s="109"/>
      <c r="L5011" s="109" t="str">
        <f t="shared" si="78"/>
        <v>96-962000177</v>
      </c>
      <c r="M5011" s="114">
        <v>962000177</v>
      </c>
      <c r="N5011" s="114" t="s">
        <v>7112</v>
      </c>
    </row>
    <row r="5012" spans="1:14" ht="18.75">
      <c r="A5012" s="12" t="s">
        <v>6594</v>
      </c>
      <c r="B5012" s="1" t="s">
        <v>7110</v>
      </c>
      <c r="I5012" s="109"/>
      <c r="J5012" s="109"/>
      <c r="K5012" s="109"/>
      <c r="L5012" s="109" t="str">
        <f t="shared" si="78"/>
        <v>96-962000184</v>
      </c>
      <c r="M5012" s="114">
        <v>962000184</v>
      </c>
      <c r="N5012" s="114" t="s">
        <v>7112</v>
      </c>
    </row>
    <row r="5013" spans="1:14" ht="18.75">
      <c r="A5013" s="12" t="s">
        <v>6595</v>
      </c>
      <c r="B5013" s="1" t="s">
        <v>7110</v>
      </c>
      <c r="I5013" s="109"/>
      <c r="J5013" s="109"/>
      <c r="K5013" s="109"/>
      <c r="L5013" s="109" t="str">
        <f t="shared" si="78"/>
        <v>96-962000191</v>
      </c>
      <c r="M5013" s="114">
        <v>962000191</v>
      </c>
      <c r="N5013" s="114" t="s">
        <v>7112</v>
      </c>
    </row>
    <row r="5014" spans="1:14" ht="18.75">
      <c r="A5014" s="12" t="s">
        <v>6596</v>
      </c>
      <c r="B5014" s="1" t="s">
        <v>7110</v>
      </c>
      <c r="I5014" s="109"/>
      <c r="J5014" s="109"/>
      <c r="K5014" s="109"/>
      <c r="L5014" s="109" t="str">
        <f t="shared" si="78"/>
        <v>96-962000193</v>
      </c>
      <c r="M5014" s="114">
        <v>962000193</v>
      </c>
      <c r="N5014" s="114" t="s">
        <v>7112</v>
      </c>
    </row>
    <row r="5015" spans="1:14" ht="18.75">
      <c r="A5015" s="12" t="s">
        <v>6596</v>
      </c>
      <c r="B5015" s="1" t="s">
        <v>7110</v>
      </c>
      <c r="I5015" s="109"/>
      <c r="J5015" s="109"/>
      <c r="K5015" s="109"/>
      <c r="L5015" s="109" t="str">
        <f t="shared" si="78"/>
        <v>95-954100002</v>
      </c>
      <c r="M5015" s="114">
        <v>954100002</v>
      </c>
      <c r="N5015" s="114" t="s">
        <v>5615</v>
      </c>
    </row>
    <row r="5016" spans="1:14" ht="18.75">
      <c r="A5016" s="12" t="s">
        <v>6597</v>
      </c>
      <c r="B5016" s="1" t="s">
        <v>7110</v>
      </c>
      <c r="I5016" s="109"/>
      <c r="J5016" s="109"/>
      <c r="K5016" s="109"/>
      <c r="L5016" s="109" t="str">
        <f t="shared" si="78"/>
        <v>95-954100009</v>
      </c>
      <c r="M5016" s="114">
        <v>954100009</v>
      </c>
      <c r="N5016" s="114" t="s">
        <v>5623</v>
      </c>
    </row>
    <row r="5017" spans="1:14" ht="18.75">
      <c r="A5017" s="12" t="s">
        <v>6598</v>
      </c>
      <c r="B5017" s="1" t="s">
        <v>7110</v>
      </c>
      <c r="I5017" s="109"/>
      <c r="J5017" s="109"/>
      <c r="K5017" s="109"/>
      <c r="L5017" s="109" t="str">
        <f t="shared" si="78"/>
        <v>95-954100018</v>
      </c>
      <c r="M5017" s="114">
        <v>954100018</v>
      </c>
      <c r="N5017" s="114" t="s">
        <v>5691</v>
      </c>
    </row>
    <row r="5018" spans="1:14" ht="18.75">
      <c r="A5018" s="12" t="s">
        <v>6599</v>
      </c>
      <c r="B5018" s="1" t="s">
        <v>7110</v>
      </c>
      <c r="I5018" s="109"/>
      <c r="J5018" s="109"/>
      <c r="K5018" s="109"/>
      <c r="L5018" s="109" t="str">
        <f t="shared" si="78"/>
        <v>95-954100019</v>
      </c>
      <c r="M5018" s="114">
        <v>954100019</v>
      </c>
      <c r="N5018" s="114" t="s">
        <v>5691</v>
      </c>
    </row>
    <row r="5019" spans="1:14" ht="18.75">
      <c r="A5019" s="12" t="s">
        <v>6600</v>
      </c>
      <c r="B5019" s="1" t="s">
        <v>7110</v>
      </c>
      <c r="I5019" s="109"/>
      <c r="J5019" s="109"/>
      <c r="K5019" s="109"/>
      <c r="L5019" s="109" t="str">
        <f t="shared" si="78"/>
        <v>95-954100028</v>
      </c>
      <c r="M5019" s="114">
        <v>954100028</v>
      </c>
      <c r="N5019" s="114" t="s">
        <v>5749</v>
      </c>
    </row>
    <row r="5020" spans="1:14" ht="18.75">
      <c r="A5020" s="12" t="s">
        <v>6599</v>
      </c>
      <c r="B5020" s="1" t="s">
        <v>7110</v>
      </c>
      <c r="I5020" s="109"/>
      <c r="J5020" s="109"/>
      <c r="K5020" s="109"/>
      <c r="L5020" s="109" t="str">
        <f t="shared" si="78"/>
        <v>95-954100036</v>
      </c>
      <c r="M5020" s="114">
        <v>954100036</v>
      </c>
      <c r="N5020" s="114" t="s">
        <v>5749</v>
      </c>
    </row>
    <row r="5021" spans="1:14" ht="18.75">
      <c r="A5021" s="12" t="s">
        <v>6595</v>
      </c>
      <c r="B5021" s="1" t="s">
        <v>7110</v>
      </c>
      <c r="I5021" s="109"/>
      <c r="J5021" s="109"/>
      <c r="K5021" s="109"/>
      <c r="L5021" s="109" t="str">
        <f t="shared" si="78"/>
        <v>95-954100040</v>
      </c>
      <c r="M5021" s="114">
        <v>954100040</v>
      </c>
      <c r="N5021" s="114" t="s">
        <v>5761</v>
      </c>
    </row>
    <row r="5022" spans="1:14" ht="18.75">
      <c r="A5022" s="12" t="s">
        <v>6601</v>
      </c>
      <c r="B5022" s="1" t="s">
        <v>7110</v>
      </c>
      <c r="I5022" s="109"/>
      <c r="J5022" s="109"/>
      <c r="K5022" s="109"/>
      <c r="L5022" s="109" t="str">
        <f t="shared" si="78"/>
        <v>96-964100036</v>
      </c>
      <c r="M5022" s="114">
        <v>964100036</v>
      </c>
      <c r="N5022" s="114" t="s">
        <v>5824</v>
      </c>
    </row>
    <row r="5023" spans="1:14" ht="18.75">
      <c r="A5023" s="12" t="s">
        <v>6595</v>
      </c>
      <c r="B5023" s="1" t="s">
        <v>7110</v>
      </c>
      <c r="I5023" s="109"/>
      <c r="J5023" s="109"/>
      <c r="K5023" s="109"/>
      <c r="L5023" s="109" t="str">
        <f t="shared" si="78"/>
        <v>96-964100008</v>
      </c>
      <c r="M5023" s="114">
        <v>964100008</v>
      </c>
      <c r="N5023" s="114" t="s">
        <v>5783</v>
      </c>
    </row>
    <row r="5024" spans="1:14" ht="18.75">
      <c r="A5024" s="12" t="s">
        <v>6602</v>
      </c>
      <c r="B5024" s="1" t="s">
        <v>7110</v>
      </c>
      <c r="I5024" s="109"/>
      <c r="J5024" s="109"/>
      <c r="K5024" s="109"/>
      <c r="L5024" s="109" t="str">
        <f t="shared" si="78"/>
        <v>96-964100017</v>
      </c>
      <c r="M5024" s="114">
        <v>964100017</v>
      </c>
      <c r="N5024" s="114" t="s">
        <v>5804</v>
      </c>
    </row>
    <row r="5025" spans="1:14" ht="18.75">
      <c r="A5025" s="12" t="s">
        <v>6595</v>
      </c>
      <c r="B5025" s="1" t="s">
        <v>7110</v>
      </c>
      <c r="I5025" s="109"/>
      <c r="J5025" s="109"/>
      <c r="K5025" s="109"/>
      <c r="L5025" s="109" t="str">
        <f t="shared" si="78"/>
        <v>96-964100059</v>
      </c>
      <c r="M5025" s="114">
        <v>964100059</v>
      </c>
      <c r="N5025" s="114" t="s">
        <v>7138</v>
      </c>
    </row>
    <row r="5026" spans="1:14" ht="18.75">
      <c r="A5026" s="12" t="s">
        <v>6603</v>
      </c>
      <c r="B5026" s="1" t="s">
        <v>7110</v>
      </c>
      <c r="I5026" s="109"/>
      <c r="J5026" s="109"/>
      <c r="K5026" s="109"/>
      <c r="L5026" s="109" t="str">
        <f t="shared" si="78"/>
        <v>96-964300007</v>
      </c>
      <c r="M5026" s="114">
        <v>964300007</v>
      </c>
      <c r="N5026" s="114" t="s">
        <v>7484</v>
      </c>
    </row>
    <row r="5027" spans="1:14" ht="18.75">
      <c r="A5027" s="12" t="s">
        <v>6604</v>
      </c>
      <c r="B5027" s="1" t="s">
        <v>7110</v>
      </c>
      <c r="I5027" s="109"/>
      <c r="J5027" s="109"/>
      <c r="K5027" s="109"/>
      <c r="L5027" s="109" t="str">
        <f t="shared" si="78"/>
        <v>96-964300014</v>
      </c>
      <c r="M5027" s="114">
        <v>964300014</v>
      </c>
      <c r="N5027" s="114" t="s">
        <v>7125</v>
      </c>
    </row>
    <row r="5028" spans="1:14" ht="18.75">
      <c r="A5028" s="12" t="s">
        <v>6605</v>
      </c>
      <c r="B5028" s="1" t="s">
        <v>7110</v>
      </c>
      <c r="I5028" s="109"/>
      <c r="J5028" s="109"/>
      <c r="K5028" s="109"/>
      <c r="L5028" s="109" t="str">
        <f t="shared" si="78"/>
        <v>95-952200009</v>
      </c>
      <c r="M5028" s="114">
        <v>952200009</v>
      </c>
      <c r="N5028" s="114" t="s">
        <v>7131</v>
      </c>
    </row>
    <row r="5029" spans="1:14" ht="18.75">
      <c r="A5029" s="12" t="s">
        <v>6606</v>
      </c>
      <c r="B5029" s="1" t="s">
        <v>7110</v>
      </c>
      <c r="I5029" s="109"/>
      <c r="J5029" s="109"/>
      <c r="K5029" s="109"/>
      <c r="L5029" s="109" t="str">
        <f t="shared" si="78"/>
        <v>95-952200010</v>
      </c>
      <c r="M5029" s="114">
        <v>952200010</v>
      </c>
      <c r="N5029" s="114" t="s">
        <v>7131</v>
      </c>
    </row>
    <row r="5030" spans="1:14" ht="18.75">
      <c r="A5030" s="12" t="s">
        <v>6607</v>
      </c>
      <c r="B5030" s="1" t="s">
        <v>7110</v>
      </c>
      <c r="I5030" s="109"/>
      <c r="J5030" s="109"/>
      <c r="K5030" s="109"/>
      <c r="L5030" s="109" t="str">
        <f t="shared" si="78"/>
        <v>95-952200012</v>
      </c>
      <c r="M5030" s="114">
        <v>952200012</v>
      </c>
      <c r="N5030" s="114" t="s">
        <v>7172</v>
      </c>
    </row>
    <row r="5031" spans="1:14" ht="18.75">
      <c r="A5031" s="12" t="s">
        <v>6608</v>
      </c>
      <c r="B5031" s="1" t="s">
        <v>7110</v>
      </c>
      <c r="I5031" s="109"/>
      <c r="J5031" s="109"/>
      <c r="K5031" s="109"/>
      <c r="L5031" s="109" t="str">
        <f t="shared" si="78"/>
        <v>95-952200022</v>
      </c>
      <c r="M5031" s="114">
        <v>952200022</v>
      </c>
      <c r="N5031" s="114" t="s">
        <v>7174</v>
      </c>
    </row>
    <row r="5032" spans="1:14" ht="18.75">
      <c r="A5032" s="12" t="s">
        <v>6609</v>
      </c>
      <c r="B5032" s="1" t="s">
        <v>7110</v>
      </c>
      <c r="I5032" s="109"/>
      <c r="J5032" s="109"/>
      <c r="K5032" s="109"/>
      <c r="L5032" s="109" t="str">
        <f t="shared" si="78"/>
        <v>95-952200045</v>
      </c>
      <c r="M5032" s="114">
        <v>952200045</v>
      </c>
      <c r="N5032" s="114" t="s">
        <v>7174</v>
      </c>
    </row>
    <row r="5033" spans="1:14" ht="18.75">
      <c r="A5033" s="12" t="s">
        <v>6600</v>
      </c>
      <c r="B5033" s="1" t="s">
        <v>7110</v>
      </c>
      <c r="I5033" s="109"/>
      <c r="J5033" s="109"/>
      <c r="K5033" s="109"/>
      <c r="L5033" s="109" t="str">
        <f t="shared" si="78"/>
        <v>95-952200079</v>
      </c>
      <c r="M5033" s="114">
        <v>952200079</v>
      </c>
      <c r="N5033" s="114" t="s">
        <v>7236</v>
      </c>
    </row>
    <row r="5034" spans="1:14" ht="18.75">
      <c r="A5034" s="12" t="s">
        <v>6610</v>
      </c>
      <c r="B5034" s="1" t="s">
        <v>7110</v>
      </c>
      <c r="I5034" s="109"/>
      <c r="J5034" s="109"/>
      <c r="K5034" s="109"/>
      <c r="L5034" s="109" t="str">
        <f t="shared" si="78"/>
        <v>96-962200036</v>
      </c>
      <c r="M5034" s="114">
        <v>962200036</v>
      </c>
      <c r="N5034" s="114" t="s">
        <v>7173</v>
      </c>
    </row>
    <row r="5035" spans="1:14" ht="18.75">
      <c r="A5035" s="12" t="s">
        <v>6611</v>
      </c>
      <c r="B5035" s="1" t="s">
        <v>7110</v>
      </c>
      <c r="I5035" s="109"/>
      <c r="J5035" s="109"/>
      <c r="K5035" s="109"/>
      <c r="L5035" s="109" t="str">
        <f t="shared" si="78"/>
        <v>96-962200049</v>
      </c>
      <c r="M5035" s="114">
        <v>962200049</v>
      </c>
      <c r="N5035" s="114" t="s">
        <v>7452</v>
      </c>
    </row>
    <row r="5036" spans="1:14" ht="18.75">
      <c r="A5036" s="12" t="s">
        <v>6610</v>
      </c>
      <c r="B5036" s="1" t="s">
        <v>7110</v>
      </c>
      <c r="I5036" s="109"/>
      <c r="J5036" s="109"/>
      <c r="K5036" s="109"/>
      <c r="L5036" s="109" t="str">
        <f t="shared" si="78"/>
        <v>96-962200076</v>
      </c>
      <c r="M5036" s="114">
        <v>962200076</v>
      </c>
      <c r="N5036" s="114" t="s">
        <v>8721</v>
      </c>
    </row>
    <row r="5037" spans="1:14" ht="18.75">
      <c r="A5037" s="12" t="s">
        <v>6609</v>
      </c>
      <c r="B5037" s="1" t="s">
        <v>7110</v>
      </c>
      <c r="I5037" s="109"/>
      <c r="J5037" s="109"/>
      <c r="K5037" s="109"/>
      <c r="L5037" s="109" t="str">
        <f t="shared" si="78"/>
        <v>96-962200074</v>
      </c>
      <c r="M5037" s="114">
        <v>962200074</v>
      </c>
      <c r="N5037" s="114" t="s">
        <v>7244</v>
      </c>
    </row>
    <row r="5038" spans="1:14" ht="18.75">
      <c r="A5038" s="12" t="s">
        <v>6612</v>
      </c>
      <c r="B5038" s="1" t="s">
        <v>7110</v>
      </c>
      <c r="I5038" s="109"/>
      <c r="J5038" s="109"/>
      <c r="K5038" s="109"/>
      <c r="L5038" s="109" t="str">
        <f t="shared" si="78"/>
        <v>95-952500060</v>
      </c>
      <c r="M5038" s="114">
        <v>952500060</v>
      </c>
      <c r="N5038" s="114" t="s">
        <v>5661</v>
      </c>
    </row>
    <row r="5039" spans="1:14" ht="18.75">
      <c r="A5039" s="12" t="s">
        <v>6613</v>
      </c>
      <c r="B5039" s="1" t="s">
        <v>7110</v>
      </c>
      <c r="I5039" s="109"/>
      <c r="J5039" s="109"/>
      <c r="K5039" s="109"/>
      <c r="L5039" s="109" t="str">
        <f t="shared" si="78"/>
        <v>95-952500098</v>
      </c>
      <c r="M5039" s="114">
        <v>952500098</v>
      </c>
      <c r="N5039" s="114" t="s">
        <v>5753</v>
      </c>
    </row>
    <row r="5040" spans="1:14" ht="18.75">
      <c r="A5040" s="12" t="s">
        <v>6595</v>
      </c>
      <c r="B5040" s="1" t="s">
        <v>7110</v>
      </c>
      <c r="I5040" s="109"/>
      <c r="J5040" s="109"/>
      <c r="K5040" s="109"/>
      <c r="L5040" s="109" t="str">
        <f t="shared" si="78"/>
        <v>95-952500006</v>
      </c>
      <c r="M5040" s="114">
        <v>952500006</v>
      </c>
      <c r="N5040" s="114" t="s">
        <v>5618</v>
      </c>
    </row>
    <row r="5041" spans="1:14" ht="18.75">
      <c r="A5041" s="12" t="s">
        <v>6614</v>
      </c>
      <c r="B5041" s="1" t="s">
        <v>7110</v>
      </c>
      <c r="I5041" s="109"/>
      <c r="J5041" s="109"/>
      <c r="K5041" s="109"/>
      <c r="L5041" s="109" t="str">
        <f t="shared" si="78"/>
        <v>95-952500031</v>
      </c>
      <c r="M5041" s="114">
        <v>952500031</v>
      </c>
      <c r="N5041" s="114" t="s">
        <v>5630</v>
      </c>
    </row>
    <row r="5042" spans="1:14" ht="18.75">
      <c r="A5042" s="12" t="s">
        <v>6615</v>
      </c>
      <c r="B5042" s="1" t="s">
        <v>7110</v>
      </c>
      <c r="I5042" s="109"/>
      <c r="J5042" s="109"/>
      <c r="K5042" s="109"/>
      <c r="L5042" s="109" t="str">
        <f t="shared" si="78"/>
        <v>95-952500042</v>
      </c>
      <c r="M5042" s="114">
        <v>952500042</v>
      </c>
      <c r="N5042" s="114" t="s">
        <v>5675</v>
      </c>
    </row>
    <row r="5043" spans="1:14" ht="18.75">
      <c r="A5043" s="12" t="s">
        <v>6616</v>
      </c>
      <c r="B5043" s="1" t="s">
        <v>7110</v>
      </c>
      <c r="I5043" s="109"/>
      <c r="J5043" s="109"/>
      <c r="K5043" s="109"/>
      <c r="L5043" s="109" t="str">
        <f t="shared" si="78"/>
        <v>95-952500049</v>
      </c>
      <c r="M5043" s="114">
        <v>952500049</v>
      </c>
      <c r="N5043" s="114" t="s">
        <v>5675</v>
      </c>
    </row>
    <row r="5044" spans="1:14" ht="18.75">
      <c r="A5044" s="12" t="s">
        <v>6601</v>
      </c>
      <c r="B5044" s="1" t="s">
        <v>7110</v>
      </c>
      <c r="I5044" s="109"/>
      <c r="J5044" s="109"/>
      <c r="K5044" s="109"/>
      <c r="L5044" s="109" t="str">
        <f t="shared" si="78"/>
        <v>96-962500054</v>
      </c>
      <c r="M5044" s="114">
        <v>962500054</v>
      </c>
      <c r="N5044" s="114" t="s">
        <v>5814</v>
      </c>
    </row>
    <row r="5045" spans="1:14" ht="18.75">
      <c r="A5045" s="12" t="s">
        <v>6593</v>
      </c>
      <c r="B5045" s="1" t="s">
        <v>7110</v>
      </c>
      <c r="I5045" s="109"/>
      <c r="J5045" s="109"/>
      <c r="K5045" s="109"/>
      <c r="L5045" s="109" t="str">
        <f t="shared" si="78"/>
        <v>96-962500061</v>
      </c>
      <c r="M5045" s="114">
        <v>962500061</v>
      </c>
      <c r="N5045" s="114" t="s">
        <v>5814</v>
      </c>
    </row>
    <row r="5046" spans="1:14" ht="18.75">
      <c r="A5046" s="12" t="s">
        <v>6617</v>
      </c>
      <c r="B5046" s="1" t="s">
        <v>7110</v>
      </c>
      <c r="I5046" s="109"/>
      <c r="J5046" s="109"/>
      <c r="K5046" s="109"/>
      <c r="L5046" s="109" t="str">
        <f t="shared" si="78"/>
        <v>95-952500032</v>
      </c>
      <c r="M5046" s="114">
        <v>952500032</v>
      </c>
      <c r="N5046" s="114" t="s">
        <v>5634</v>
      </c>
    </row>
    <row r="5047" spans="1:14" ht="18.75">
      <c r="A5047" s="12" t="s">
        <v>6618</v>
      </c>
      <c r="B5047" s="1" t="s">
        <v>7110</v>
      </c>
      <c r="I5047" s="109"/>
      <c r="J5047" s="109"/>
      <c r="K5047" s="109"/>
      <c r="L5047" s="109" t="str">
        <f t="shared" si="78"/>
        <v>95-952500099</v>
      </c>
      <c r="M5047" s="114">
        <v>952500099</v>
      </c>
      <c r="N5047" s="114" t="s">
        <v>5748</v>
      </c>
    </row>
    <row r="5048" spans="1:14" ht="18.75">
      <c r="A5048" s="12" t="s">
        <v>6618</v>
      </c>
      <c r="B5048" s="1" t="s">
        <v>7110</v>
      </c>
      <c r="I5048" s="109"/>
      <c r="J5048" s="109"/>
      <c r="K5048" s="109"/>
      <c r="L5048" s="109" t="str">
        <f t="shared" si="78"/>
        <v>96-962500009</v>
      </c>
      <c r="M5048" s="114">
        <v>962500009</v>
      </c>
      <c r="N5048" s="114" t="s">
        <v>5778</v>
      </c>
    </row>
    <row r="5049" spans="1:14" ht="18.75">
      <c r="A5049" s="12" t="s">
        <v>6619</v>
      </c>
      <c r="B5049" s="1" t="s">
        <v>7110</v>
      </c>
      <c r="I5049" s="109"/>
      <c r="J5049" s="109"/>
      <c r="K5049" s="109"/>
      <c r="L5049" s="109" t="str">
        <f t="shared" si="78"/>
        <v>95-952500080</v>
      </c>
      <c r="M5049" s="114">
        <v>952500080</v>
      </c>
      <c r="N5049" s="114" t="s">
        <v>5745</v>
      </c>
    </row>
    <row r="5050" spans="1:14" ht="18.75">
      <c r="A5050" s="12" t="s">
        <v>6612</v>
      </c>
      <c r="B5050" s="1" t="s">
        <v>7110</v>
      </c>
      <c r="I5050" s="109"/>
      <c r="J5050" s="109"/>
      <c r="K5050" s="109"/>
      <c r="L5050" s="109" t="str">
        <f t="shared" si="78"/>
        <v>96-962500059</v>
      </c>
      <c r="M5050" s="114">
        <v>962500059</v>
      </c>
      <c r="N5050" s="114" t="s">
        <v>5856</v>
      </c>
    </row>
    <row r="5051" spans="1:14" ht="18.75">
      <c r="A5051" s="12" t="s">
        <v>6619</v>
      </c>
      <c r="B5051" s="1" t="s">
        <v>7110</v>
      </c>
      <c r="I5051" s="109"/>
      <c r="J5051" s="109"/>
      <c r="K5051" s="109"/>
      <c r="L5051" s="109" t="str">
        <f t="shared" si="78"/>
        <v>96-962500072</v>
      </c>
      <c r="M5051" s="114">
        <v>962500072</v>
      </c>
      <c r="N5051" s="114" t="s">
        <v>5856</v>
      </c>
    </row>
    <row r="5052" spans="1:14" ht="18.75">
      <c r="A5052" s="12" t="s">
        <v>6606</v>
      </c>
      <c r="B5052" s="1" t="s">
        <v>7110</v>
      </c>
      <c r="I5052" s="109"/>
      <c r="J5052" s="109"/>
      <c r="K5052" s="109"/>
      <c r="L5052" s="109" t="str">
        <f t="shared" si="78"/>
        <v>95-954200010</v>
      </c>
      <c r="M5052" s="114">
        <v>954200010</v>
      </c>
      <c r="N5052" s="114" t="s">
        <v>5641</v>
      </c>
    </row>
    <row r="5053" spans="1:14" ht="18.75">
      <c r="A5053" s="12" t="s">
        <v>6598</v>
      </c>
      <c r="B5053" s="1" t="s">
        <v>7110</v>
      </c>
      <c r="I5053" s="109"/>
      <c r="J5053" s="109"/>
      <c r="K5053" s="109"/>
      <c r="L5053" s="109" t="str">
        <f t="shared" si="78"/>
        <v>95-954200024</v>
      </c>
      <c r="M5053" s="114">
        <v>954200024</v>
      </c>
      <c r="N5053" s="114" t="s">
        <v>5641</v>
      </c>
    </row>
    <row r="5054" spans="1:14" ht="18.75">
      <c r="A5054" s="12" t="s">
        <v>6595</v>
      </c>
      <c r="B5054" s="1" t="s">
        <v>7110</v>
      </c>
      <c r="I5054" s="109"/>
      <c r="J5054" s="109"/>
      <c r="K5054" s="109"/>
      <c r="L5054" s="109" t="str">
        <f t="shared" si="78"/>
        <v>95-954200029</v>
      </c>
      <c r="M5054" s="114">
        <v>954200029</v>
      </c>
      <c r="N5054" s="114" t="s">
        <v>5641</v>
      </c>
    </row>
    <row r="5055" spans="1:14" ht="18.75">
      <c r="A5055" s="12" t="s">
        <v>6620</v>
      </c>
      <c r="B5055" s="1" t="s">
        <v>7110</v>
      </c>
      <c r="I5055" s="109"/>
      <c r="J5055" s="109"/>
      <c r="K5055" s="109"/>
      <c r="L5055" s="109" t="str">
        <f t="shared" si="78"/>
        <v>95-954200032</v>
      </c>
      <c r="M5055" s="114">
        <v>954200032</v>
      </c>
      <c r="N5055" s="114" t="s">
        <v>5641</v>
      </c>
    </row>
    <row r="5056" spans="1:14" ht="18.75">
      <c r="A5056" s="12" t="s">
        <v>6621</v>
      </c>
      <c r="B5056" s="1" t="s">
        <v>7110</v>
      </c>
      <c r="I5056" s="109"/>
      <c r="J5056" s="109"/>
      <c r="K5056" s="109"/>
      <c r="L5056" s="109" t="str">
        <f t="shared" si="78"/>
        <v>95-954200042</v>
      </c>
      <c r="M5056" s="114">
        <v>954200042</v>
      </c>
      <c r="N5056" s="114" t="s">
        <v>5649</v>
      </c>
    </row>
    <row r="5057" spans="1:14" ht="18.75">
      <c r="A5057" s="12" t="s">
        <v>6593</v>
      </c>
      <c r="B5057" s="1" t="s">
        <v>7110</v>
      </c>
      <c r="I5057" s="109"/>
      <c r="J5057" s="109"/>
      <c r="K5057" s="109"/>
      <c r="L5057" s="109" t="str">
        <f t="shared" si="78"/>
        <v>95-954200043</v>
      </c>
      <c r="M5057" s="114">
        <v>954200043</v>
      </c>
      <c r="N5057" s="114" t="s">
        <v>5675</v>
      </c>
    </row>
    <row r="5058" spans="1:14" ht="18.75">
      <c r="A5058" s="12" t="s">
        <v>6605</v>
      </c>
      <c r="B5058" s="1" t="s">
        <v>7110</v>
      </c>
      <c r="I5058" s="109"/>
      <c r="J5058" s="109"/>
      <c r="K5058" s="109"/>
      <c r="L5058" s="109" t="str">
        <f t="shared" si="78"/>
        <v>95-954200008</v>
      </c>
      <c r="M5058" s="114">
        <v>954200008</v>
      </c>
      <c r="N5058" s="114" t="s">
        <v>5639</v>
      </c>
    </row>
    <row r="5059" spans="1:14" ht="18.75">
      <c r="A5059" s="12" t="s">
        <v>6595</v>
      </c>
      <c r="B5059" s="1" t="s">
        <v>7110</v>
      </c>
      <c r="I5059" s="109"/>
      <c r="J5059" s="109"/>
      <c r="K5059" s="109"/>
      <c r="L5059" s="109" t="str">
        <f t="shared" ref="L5059:L5122" si="79">MID(M5059,1,2)&amp;"-"&amp;M5059</f>
        <v>96-966000002</v>
      </c>
      <c r="M5059" s="114">
        <v>966000002</v>
      </c>
      <c r="N5059" s="114" t="s">
        <v>8537</v>
      </c>
    </row>
    <row r="5060" spans="1:14" ht="18.75">
      <c r="A5060" s="12" t="s">
        <v>6622</v>
      </c>
      <c r="B5060" s="1" t="s">
        <v>7110</v>
      </c>
      <c r="I5060" s="109"/>
      <c r="J5060" s="109"/>
      <c r="K5060" s="109"/>
      <c r="L5060" s="109" t="str">
        <f t="shared" si="79"/>
        <v>95-959000002</v>
      </c>
      <c r="M5060" s="114">
        <v>959000002</v>
      </c>
      <c r="N5060" s="114" t="s">
        <v>5625</v>
      </c>
    </row>
    <row r="5061" spans="1:14" ht="18.75">
      <c r="A5061" s="12" t="s">
        <v>6623</v>
      </c>
      <c r="B5061" s="1" t="s">
        <v>7110</v>
      </c>
      <c r="I5061" s="109"/>
      <c r="J5061" s="109"/>
      <c r="K5061" s="109"/>
      <c r="L5061" s="109" t="str">
        <f t="shared" si="79"/>
        <v>95-959000003</v>
      </c>
      <c r="M5061" s="114">
        <v>959000003</v>
      </c>
      <c r="N5061" s="114" t="s">
        <v>5672</v>
      </c>
    </row>
    <row r="5062" spans="1:14" ht="18.75">
      <c r="A5062" s="12" t="s">
        <v>6620</v>
      </c>
      <c r="B5062" s="1" t="s">
        <v>7110</v>
      </c>
      <c r="I5062" s="109"/>
      <c r="J5062" s="109"/>
      <c r="K5062" s="109"/>
      <c r="L5062" s="109" t="str">
        <f t="shared" si="79"/>
        <v>95-951700059</v>
      </c>
      <c r="M5062" s="114">
        <v>951700059</v>
      </c>
      <c r="N5062" s="114" t="s">
        <v>7566</v>
      </c>
    </row>
    <row r="5063" spans="1:14" ht="18.75">
      <c r="A5063" s="12" t="s">
        <v>6607</v>
      </c>
      <c r="B5063" s="1" t="s">
        <v>7110</v>
      </c>
      <c r="I5063" s="109"/>
      <c r="J5063" s="109"/>
      <c r="K5063" s="109"/>
      <c r="L5063" s="109" t="str">
        <f t="shared" si="79"/>
        <v>95-951900056</v>
      </c>
      <c r="M5063" s="114">
        <v>951900056</v>
      </c>
      <c r="N5063" s="114" t="s">
        <v>8090</v>
      </c>
    </row>
    <row r="5064" spans="1:14" ht="18.75">
      <c r="A5064" s="12" t="s">
        <v>6602</v>
      </c>
      <c r="B5064" s="1" t="s">
        <v>7110</v>
      </c>
      <c r="I5064" s="109"/>
      <c r="J5064" s="109"/>
      <c r="K5064" s="109"/>
      <c r="L5064" s="109" t="str">
        <f t="shared" si="79"/>
        <v>95-951700315</v>
      </c>
      <c r="M5064" s="114">
        <v>951700315</v>
      </c>
      <c r="N5064" s="114" t="s">
        <v>7161</v>
      </c>
    </row>
    <row r="5065" spans="1:14" ht="18.75">
      <c r="A5065" s="12" t="s">
        <v>6608</v>
      </c>
      <c r="B5065" s="1" t="s">
        <v>7110</v>
      </c>
      <c r="I5065" s="109"/>
      <c r="J5065" s="109"/>
      <c r="K5065" s="109"/>
      <c r="L5065" s="109" t="str">
        <f t="shared" si="79"/>
        <v>95-951700318</v>
      </c>
      <c r="M5065" s="114">
        <v>951700318</v>
      </c>
      <c r="N5065" s="114" t="s">
        <v>7481</v>
      </c>
    </row>
    <row r="5066" spans="1:14" ht="18.75">
      <c r="A5066" s="12" t="s">
        <v>6624</v>
      </c>
      <c r="B5066" s="1" t="s">
        <v>7110</v>
      </c>
      <c r="I5066" s="109"/>
      <c r="J5066" s="109"/>
      <c r="K5066" s="109"/>
      <c r="L5066" s="109" t="str">
        <f t="shared" si="79"/>
        <v>95-951700320</v>
      </c>
      <c r="M5066" s="114">
        <v>951700320</v>
      </c>
      <c r="N5066" s="114" t="s">
        <v>7481</v>
      </c>
    </row>
    <row r="5067" spans="1:14" ht="18.75">
      <c r="A5067" s="12" t="s">
        <v>6624</v>
      </c>
      <c r="B5067" s="1" t="s">
        <v>7110</v>
      </c>
      <c r="I5067" s="109"/>
      <c r="J5067" s="109"/>
      <c r="K5067" s="109"/>
      <c r="L5067" s="109" t="str">
        <f t="shared" si="79"/>
        <v>95-951700321</v>
      </c>
      <c r="M5067" s="114">
        <v>951700321</v>
      </c>
      <c r="N5067" s="114" t="s">
        <v>7481</v>
      </c>
    </row>
    <row r="5068" spans="1:14" ht="18.75">
      <c r="A5068" s="12" t="s">
        <v>6624</v>
      </c>
      <c r="B5068" s="1" t="s">
        <v>7110</v>
      </c>
      <c r="I5068" s="109"/>
      <c r="J5068" s="109"/>
      <c r="K5068" s="109"/>
      <c r="L5068" s="109" t="str">
        <f t="shared" si="79"/>
        <v>95-951700340</v>
      </c>
      <c r="M5068" s="114">
        <v>951700340</v>
      </c>
      <c r="N5068" s="114" t="s">
        <v>8538</v>
      </c>
    </row>
    <row r="5069" spans="1:14" ht="18.75">
      <c r="A5069" s="12" t="s">
        <v>6624</v>
      </c>
      <c r="B5069" s="1" t="s">
        <v>7110</v>
      </c>
      <c r="I5069" s="109"/>
      <c r="J5069" s="109"/>
      <c r="K5069" s="109"/>
      <c r="L5069" s="109" t="str">
        <f t="shared" si="79"/>
        <v>96-961700065</v>
      </c>
      <c r="M5069" s="114">
        <v>961700065</v>
      </c>
      <c r="N5069" s="114" t="s">
        <v>7147</v>
      </c>
    </row>
    <row r="5070" spans="1:14" ht="18.75">
      <c r="A5070" s="12" t="s">
        <v>6593</v>
      </c>
      <c r="B5070" s="1" t="s">
        <v>7110</v>
      </c>
      <c r="I5070" s="109"/>
      <c r="J5070" s="109"/>
      <c r="K5070" s="109"/>
      <c r="L5070" s="109" t="str">
        <f t="shared" si="79"/>
        <v>96-961700066</v>
      </c>
      <c r="M5070" s="114">
        <v>961700066</v>
      </c>
      <c r="N5070" s="114" t="s">
        <v>7147</v>
      </c>
    </row>
    <row r="5071" spans="1:14" ht="18.75">
      <c r="A5071" s="12" t="s">
        <v>6625</v>
      </c>
      <c r="B5071" s="1" t="s">
        <v>7110</v>
      </c>
      <c r="I5071" s="109"/>
      <c r="J5071" s="109"/>
      <c r="K5071" s="109"/>
      <c r="L5071" s="109" t="str">
        <f t="shared" si="79"/>
        <v>95-951600063</v>
      </c>
      <c r="M5071" s="114">
        <v>951600063</v>
      </c>
      <c r="N5071" s="114" t="s">
        <v>7482</v>
      </c>
    </row>
    <row r="5072" spans="1:14" ht="18.75">
      <c r="A5072" s="12" t="s">
        <v>6600</v>
      </c>
      <c r="B5072" s="1" t="s">
        <v>7110</v>
      </c>
      <c r="I5072" s="109"/>
      <c r="J5072" s="109"/>
      <c r="K5072" s="109"/>
      <c r="L5072" s="109" t="str">
        <f t="shared" si="79"/>
        <v>95-951900054</v>
      </c>
      <c r="M5072" s="114">
        <v>951900054</v>
      </c>
      <c r="N5072" s="114" t="s">
        <v>8539</v>
      </c>
    </row>
    <row r="5073" spans="1:14" ht="18.75">
      <c r="A5073" s="12" t="s">
        <v>6605</v>
      </c>
      <c r="B5073" s="1" t="s">
        <v>7110</v>
      </c>
      <c r="I5073" s="109"/>
      <c r="J5073" s="109"/>
      <c r="K5073" s="109"/>
      <c r="L5073" s="109" t="str">
        <f t="shared" si="79"/>
        <v>95-951900205</v>
      </c>
      <c r="M5073" s="114">
        <v>951900205</v>
      </c>
      <c r="N5073" s="114" t="s">
        <v>8540</v>
      </c>
    </row>
    <row r="5074" spans="1:14" ht="18.75">
      <c r="A5074" s="12" t="s">
        <v>6610</v>
      </c>
      <c r="B5074" s="1" t="s">
        <v>7110</v>
      </c>
      <c r="I5074" s="109"/>
      <c r="J5074" s="109"/>
      <c r="K5074" s="109"/>
      <c r="L5074" s="109" t="str">
        <f t="shared" si="79"/>
        <v>95-951700352</v>
      </c>
      <c r="M5074" s="114">
        <v>951700352</v>
      </c>
      <c r="N5074" s="114" t="s">
        <v>7486</v>
      </c>
    </row>
    <row r="5075" spans="1:14" ht="18.75">
      <c r="A5075" s="12" t="s">
        <v>6600</v>
      </c>
      <c r="B5075" s="1" t="s">
        <v>7110</v>
      </c>
      <c r="I5075" s="109"/>
      <c r="J5075" s="109"/>
      <c r="K5075" s="109"/>
      <c r="L5075" s="109" t="str">
        <f t="shared" si="79"/>
        <v>96-961900084</v>
      </c>
      <c r="M5075" s="114">
        <v>961900084</v>
      </c>
      <c r="N5075" s="114" t="s">
        <v>8147</v>
      </c>
    </row>
    <row r="5076" spans="1:14" ht="18.75">
      <c r="A5076" s="12" t="s">
        <v>6602</v>
      </c>
      <c r="B5076" s="1" t="s">
        <v>7110</v>
      </c>
      <c r="I5076" s="109"/>
      <c r="J5076" s="109"/>
      <c r="K5076" s="109"/>
      <c r="L5076" s="109" t="str">
        <f t="shared" si="79"/>
        <v>95-951400106</v>
      </c>
      <c r="M5076" s="114">
        <v>951400106</v>
      </c>
      <c r="N5076" s="114" t="s">
        <v>8541</v>
      </c>
    </row>
    <row r="5077" spans="1:14" ht="18.75">
      <c r="A5077" s="12" t="s">
        <v>6609</v>
      </c>
      <c r="B5077" s="1" t="s">
        <v>7110</v>
      </c>
      <c r="I5077" s="109"/>
      <c r="J5077" s="109"/>
      <c r="K5077" s="109"/>
      <c r="L5077" s="109" t="str">
        <f t="shared" si="79"/>
        <v>95-951700317</v>
      </c>
      <c r="M5077" s="114">
        <v>951700317</v>
      </c>
      <c r="N5077" s="114" t="s">
        <v>7127</v>
      </c>
    </row>
    <row r="5078" spans="1:14" ht="18.75">
      <c r="A5078" s="12" t="s">
        <v>6626</v>
      </c>
      <c r="B5078" s="1" t="s">
        <v>7110</v>
      </c>
      <c r="I5078" s="109"/>
      <c r="J5078" s="109"/>
      <c r="K5078" s="109"/>
      <c r="L5078" s="109" t="str">
        <f t="shared" si="79"/>
        <v>95-951600016</v>
      </c>
      <c r="M5078" s="114">
        <v>951600016</v>
      </c>
      <c r="N5078" s="114" t="s">
        <v>8542</v>
      </c>
    </row>
    <row r="5079" spans="1:14" ht="18.75">
      <c r="A5079" s="12" t="s">
        <v>6626</v>
      </c>
      <c r="B5079" s="1" t="s">
        <v>7110</v>
      </c>
      <c r="I5079" s="109"/>
      <c r="J5079" s="109"/>
      <c r="K5079" s="109"/>
      <c r="L5079" s="109" t="str">
        <f t="shared" si="79"/>
        <v>95-951800121</v>
      </c>
      <c r="M5079" s="114">
        <v>951800121</v>
      </c>
      <c r="N5079" s="114" t="s">
        <v>7197</v>
      </c>
    </row>
    <row r="5080" spans="1:14" ht="18.75">
      <c r="A5080" s="12" t="s">
        <v>6627</v>
      </c>
      <c r="B5080" s="1" t="s">
        <v>7110</v>
      </c>
      <c r="I5080" s="109"/>
      <c r="J5080" s="109"/>
      <c r="K5080" s="109"/>
      <c r="L5080" s="109" t="str">
        <f t="shared" si="79"/>
        <v>95-951800126</v>
      </c>
      <c r="M5080" s="114">
        <v>951800126</v>
      </c>
      <c r="N5080" s="114" t="s">
        <v>7132</v>
      </c>
    </row>
    <row r="5081" spans="1:14" ht="18.75">
      <c r="A5081" s="12" t="s">
        <v>6595</v>
      </c>
      <c r="B5081" s="1" t="s">
        <v>7110</v>
      </c>
      <c r="I5081" s="109"/>
      <c r="J5081" s="109"/>
      <c r="K5081" s="109"/>
      <c r="L5081" s="109" t="str">
        <f t="shared" si="79"/>
        <v>95-951400103</v>
      </c>
      <c r="M5081" s="114">
        <v>951400103</v>
      </c>
      <c r="N5081" s="114" t="s">
        <v>8543</v>
      </c>
    </row>
    <row r="5082" spans="1:14" ht="18.75">
      <c r="A5082" s="12" t="s">
        <v>6595</v>
      </c>
      <c r="B5082" s="1" t="s">
        <v>7110</v>
      </c>
      <c r="I5082" s="109"/>
      <c r="J5082" s="109"/>
      <c r="K5082" s="109"/>
      <c r="L5082" s="109" t="str">
        <f t="shared" si="79"/>
        <v>96-961900088</v>
      </c>
      <c r="M5082" s="114">
        <v>961900088</v>
      </c>
      <c r="N5082" s="114" t="s">
        <v>8544</v>
      </c>
    </row>
    <row r="5083" spans="1:14" ht="18.75">
      <c r="A5083" s="12" t="s">
        <v>6608</v>
      </c>
      <c r="B5083" s="1" t="s">
        <v>7110</v>
      </c>
      <c r="I5083" s="109"/>
      <c r="J5083" s="109"/>
      <c r="K5083" s="109"/>
      <c r="L5083" s="109" t="str">
        <f t="shared" si="79"/>
        <v>95-956100010</v>
      </c>
      <c r="M5083" s="114">
        <v>956100010</v>
      </c>
      <c r="N5083" s="114" t="s">
        <v>8114</v>
      </c>
    </row>
    <row r="5084" spans="1:14" ht="18.75">
      <c r="A5084" s="12" t="s">
        <v>6628</v>
      </c>
      <c r="B5084" s="1" t="s">
        <v>7110</v>
      </c>
      <c r="I5084" s="109"/>
      <c r="J5084" s="109"/>
      <c r="K5084" s="109"/>
      <c r="L5084" s="109" t="str">
        <f t="shared" si="79"/>
        <v>96-961900043</v>
      </c>
      <c r="M5084" s="114">
        <v>961900043</v>
      </c>
      <c r="N5084" s="114" t="s">
        <v>8298</v>
      </c>
    </row>
    <row r="5085" spans="1:14" ht="18.75">
      <c r="A5085" s="12" t="s">
        <v>6629</v>
      </c>
      <c r="B5085" s="1" t="s">
        <v>7110</v>
      </c>
      <c r="I5085" s="109"/>
      <c r="J5085" s="109"/>
      <c r="K5085" s="109"/>
      <c r="L5085" s="109" t="str">
        <f t="shared" si="79"/>
        <v>95-951900098</v>
      </c>
      <c r="M5085" s="114">
        <v>951900098</v>
      </c>
      <c r="N5085" s="114" t="s">
        <v>8545</v>
      </c>
    </row>
    <row r="5086" spans="1:14" ht="18.75">
      <c r="A5086" s="12" t="s">
        <v>6630</v>
      </c>
      <c r="B5086" s="1" t="s">
        <v>7110</v>
      </c>
      <c r="I5086" s="109"/>
      <c r="J5086" s="109"/>
      <c r="K5086" s="109"/>
      <c r="L5086" s="109" t="str">
        <f t="shared" si="79"/>
        <v>95-951700310</v>
      </c>
      <c r="M5086" s="114">
        <v>951700310</v>
      </c>
      <c r="N5086" s="114" t="s">
        <v>7177</v>
      </c>
    </row>
    <row r="5087" spans="1:14" ht="18.75">
      <c r="A5087" s="12" t="s">
        <v>6631</v>
      </c>
      <c r="B5087" s="1" t="s">
        <v>7110</v>
      </c>
      <c r="I5087" s="109"/>
      <c r="J5087" s="109"/>
      <c r="K5087" s="109"/>
      <c r="L5087" s="109" t="str">
        <f t="shared" si="79"/>
        <v>96-961400011</v>
      </c>
      <c r="M5087" s="114">
        <v>961400011</v>
      </c>
      <c r="N5087" s="114" t="s">
        <v>8116</v>
      </c>
    </row>
    <row r="5088" spans="1:14" ht="18.75">
      <c r="A5088" s="12" t="s">
        <v>6608</v>
      </c>
      <c r="B5088" s="1" t="s">
        <v>7110</v>
      </c>
      <c r="I5088" s="109"/>
      <c r="J5088" s="109"/>
      <c r="K5088" s="109"/>
      <c r="L5088" s="109" t="str">
        <f t="shared" si="79"/>
        <v>96-961700040</v>
      </c>
      <c r="M5088" s="114">
        <v>961700040</v>
      </c>
      <c r="N5088" s="114" t="s">
        <v>8546</v>
      </c>
    </row>
    <row r="5089" spans="1:14" ht="18.75">
      <c r="A5089" s="12" t="s">
        <v>6631</v>
      </c>
      <c r="B5089" s="1" t="s">
        <v>7110</v>
      </c>
      <c r="I5089" s="109"/>
      <c r="J5089" s="109"/>
      <c r="K5089" s="109"/>
      <c r="L5089" s="109" t="str">
        <f t="shared" si="79"/>
        <v>95-951900244</v>
      </c>
      <c r="M5089" s="114">
        <v>951900244</v>
      </c>
      <c r="N5089" s="114" t="s">
        <v>7149</v>
      </c>
    </row>
    <row r="5090" spans="1:14" ht="18.75">
      <c r="A5090" s="12" t="s">
        <v>6632</v>
      </c>
      <c r="B5090" s="1" t="s">
        <v>7110</v>
      </c>
      <c r="I5090" s="109"/>
      <c r="J5090" s="109"/>
      <c r="K5090" s="109"/>
      <c r="L5090" s="109" t="str">
        <f t="shared" si="79"/>
        <v>96-961800044</v>
      </c>
      <c r="M5090" s="114">
        <v>961800044</v>
      </c>
      <c r="N5090" s="114" t="s">
        <v>8547</v>
      </c>
    </row>
    <row r="5091" spans="1:14" ht="18.75">
      <c r="A5091" s="12" t="s">
        <v>6632</v>
      </c>
      <c r="B5091" s="1" t="s">
        <v>7110</v>
      </c>
      <c r="I5091" s="109"/>
      <c r="J5091" s="109"/>
      <c r="K5091" s="109"/>
      <c r="L5091" s="109" t="str">
        <f t="shared" si="79"/>
        <v>96-961800055</v>
      </c>
      <c r="M5091" s="114">
        <v>961800055</v>
      </c>
      <c r="N5091" s="114" t="s">
        <v>7135</v>
      </c>
    </row>
    <row r="5092" spans="1:14" ht="18.75">
      <c r="A5092" s="12" t="s">
        <v>6608</v>
      </c>
      <c r="B5092" s="1" t="s">
        <v>7110</v>
      </c>
      <c r="I5092" s="109"/>
      <c r="J5092" s="109"/>
      <c r="K5092" s="109"/>
      <c r="L5092" s="109" t="str">
        <f t="shared" si="79"/>
        <v>95-951900011</v>
      </c>
      <c r="M5092" s="114">
        <v>951900011</v>
      </c>
      <c r="N5092" s="114" t="s">
        <v>7620</v>
      </c>
    </row>
    <row r="5093" spans="1:14" ht="18.75">
      <c r="A5093" s="12" t="s">
        <v>6633</v>
      </c>
      <c r="B5093" s="1" t="s">
        <v>7110</v>
      </c>
      <c r="I5093" s="109"/>
      <c r="J5093" s="109"/>
      <c r="K5093" s="109"/>
      <c r="L5093" s="109" t="str">
        <f t="shared" si="79"/>
        <v>95-951700007</v>
      </c>
      <c r="M5093" s="114">
        <v>951700007</v>
      </c>
      <c r="N5093" s="114" t="s">
        <v>7620</v>
      </c>
    </row>
    <row r="5094" spans="1:14" ht="18.75">
      <c r="A5094" s="12" t="s">
        <v>6633</v>
      </c>
      <c r="B5094" s="1" t="s">
        <v>7110</v>
      </c>
      <c r="I5094" s="109"/>
      <c r="J5094" s="109"/>
      <c r="K5094" s="109"/>
      <c r="L5094" s="109" t="str">
        <f t="shared" si="79"/>
        <v>95-951400033</v>
      </c>
      <c r="M5094" s="114">
        <v>951400033</v>
      </c>
      <c r="N5094" s="114" t="s">
        <v>7508</v>
      </c>
    </row>
    <row r="5095" spans="1:14" ht="18.75">
      <c r="A5095" s="12" t="s">
        <v>6634</v>
      </c>
      <c r="B5095" s="1" t="s">
        <v>7110</v>
      </c>
      <c r="I5095" s="109"/>
      <c r="J5095" s="109"/>
      <c r="K5095" s="109"/>
      <c r="L5095" s="109" t="str">
        <f t="shared" si="79"/>
        <v>95-951900035</v>
      </c>
      <c r="M5095" s="114">
        <v>951900035</v>
      </c>
      <c r="N5095" s="114" t="s">
        <v>8548</v>
      </c>
    </row>
    <row r="5096" spans="1:14" ht="18.75">
      <c r="A5096" s="12" t="s">
        <v>6635</v>
      </c>
      <c r="B5096" s="1" t="s">
        <v>7110</v>
      </c>
      <c r="I5096" s="109"/>
      <c r="J5096" s="109"/>
      <c r="K5096" s="109"/>
      <c r="L5096" s="109" t="str">
        <f t="shared" si="79"/>
        <v>95-951700086</v>
      </c>
      <c r="M5096" s="114">
        <v>951700086</v>
      </c>
      <c r="N5096" s="114" t="s">
        <v>8549</v>
      </c>
    </row>
    <row r="5097" spans="1:14" ht="18.75">
      <c r="A5097" s="12" t="s">
        <v>6636</v>
      </c>
      <c r="B5097" s="1" t="s">
        <v>7110</v>
      </c>
      <c r="I5097" s="109"/>
      <c r="J5097" s="109"/>
      <c r="K5097" s="109"/>
      <c r="L5097" s="109" t="str">
        <f t="shared" si="79"/>
        <v>95-951700234</v>
      </c>
      <c r="M5097" s="114">
        <v>951700234</v>
      </c>
      <c r="N5097" s="114" t="s">
        <v>7703</v>
      </c>
    </row>
    <row r="5098" spans="1:14" ht="18.75">
      <c r="A5098" s="12" t="s">
        <v>6608</v>
      </c>
      <c r="B5098" s="1" t="s">
        <v>7110</v>
      </c>
      <c r="I5098" s="109"/>
      <c r="J5098" s="109"/>
      <c r="K5098" s="109"/>
      <c r="L5098" s="109" t="str">
        <f t="shared" si="79"/>
        <v>95-951700261</v>
      </c>
      <c r="M5098" s="114">
        <v>951700261</v>
      </c>
      <c r="N5098" s="114" t="s">
        <v>7703</v>
      </c>
    </row>
    <row r="5099" spans="1:14" ht="18.75">
      <c r="A5099" s="12" t="s">
        <v>6635</v>
      </c>
      <c r="B5099" s="1" t="s">
        <v>7110</v>
      </c>
      <c r="I5099" s="109"/>
      <c r="J5099" s="109"/>
      <c r="K5099" s="109"/>
      <c r="L5099" s="109" t="str">
        <f t="shared" si="79"/>
        <v>95-951400133</v>
      </c>
      <c r="M5099" s="114">
        <v>951400133</v>
      </c>
      <c r="N5099" s="114" t="s">
        <v>7150</v>
      </c>
    </row>
    <row r="5100" spans="1:14" ht="18.75">
      <c r="A5100" s="12" t="s">
        <v>6616</v>
      </c>
      <c r="B5100" s="1" t="s">
        <v>7110</v>
      </c>
      <c r="I5100" s="109"/>
      <c r="J5100" s="109"/>
      <c r="K5100" s="109"/>
      <c r="L5100" s="109" t="str">
        <f t="shared" si="79"/>
        <v>95-951400141</v>
      </c>
      <c r="M5100" s="114">
        <v>951400141</v>
      </c>
      <c r="N5100" s="114" t="s">
        <v>7162</v>
      </c>
    </row>
    <row r="5101" spans="1:14" ht="18.75">
      <c r="A5101" s="12" t="s">
        <v>6629</v>
      </c>
      <c r="B5101" s="1" t="s">
        <v>7110</v>
      </c>
      <c r="I5101" s="109"/>
      <c r="J5101" s="109"/>
      <c r="K5101" s="109"/>
      <c r="L5101" s="109" t="str">
        <f t="shared" si="79"/>
        <v>95-951700360</v>
      </c>
      <c r="M5101" s="114">
        <v>951700360</v>
      </c>
      <c r="N5101" s="114" t="s">
        <v>7514</v>
      </c>
    </row>
    <row r="5102" spans="1:14" ht="18.75">
      <c r="A5102" s="12" t="s">
        <v>6637</v>
      </c>
      <c r="B5102" s="1" t="s">
        <v>7110</v>
      </c>
      <c r="I5102" s="109"/>
      <c r="J5102" s="109"/>
      <c r="K5102" s="109"/>
      <c r="L5102" s="109" t="str">
        <f t="shared" si="79"/>
        <v>95-951400184</v>
      </c>
      <c r="M5102" s="114">
        <v>951400184</v>
      </c>
      <c r="N5102" s="114" t="s">
        <v>7514</v>
      </c>
    </row>
    <row r="5103" spans="1:14" ht="18.75">
      <c r="A5103" s="12" t="s">
        <v>6635</v>
      </c>
      <c r="B5103" s="1" t="s">
        <v>7110</v>
      </c>
      <c r="I5103" s="109"/>
      <c r="J5103" s="109"/>
      <c r="K5103" s="109"/>
      <c r="L5103" s="109" t="str">
        <f t="shared" si="79"/>
        <v>96-961700093</v>
      </c>
      <c r="M5103" s="114">
        <v>961700093</v>
      </c>
      <c r="N5103" s="114" t="s">
        <v>8130</v>
      </c>
    </row>
    <row r="5104" spans="1:14" ht="18.75">
      <c r="A5104" s="12" t="s">
        <v>6638</v>
      </c>
      <c r="B5104" s="1" t="s">
        <v>7110</v>
      </c>
      <c r="I5104" s="109"/>
      <c r="J5104" s="109"/>
      <c r="K5104" s="109"/>
      <c r="L5104" s="109" t="str">
        <f t="shared" si="79"/>
        <v>96-961700094</v>
      </c>
      <c r="M5104" s="114">
        <v>961700094</v>
      </c>
      <c r="N5104" s="114" t="s">
        <v>8130</v>
      </c>
    </row>
    <row r="5105" spans="1:14" ht="18.75">
      <c r="A5105" s="12" t="s">
        <v>6635</v>
      </c>
      <c r="B5105" s="1" t="s">
        <v>7110</v>
      </c>
      <c r="I5105" s="109"/>
      <c r="J5105" s="109"/>
      <c r="K5105" s="109"/>
      <c r="L5105" s="109" t="str">
        <f t="shared" si="79"/>
        <v>95-951900009</v>
      </c>
      <c r="M5105" s="114">
        <v>951900009</v>
      </c>
      <c r="N5105" s="114" t="s">
        <v>8139</v>
      </c>
    </row>
    <row r="5106" spans="1:14" ht="18.75">
      <c r="A5106" s="12" t="s">
        <v>6619</v>
      </c>
      <c r="B5106" s="1" t="s">
        <v>7110</v>
      </c>
      <c r="I5106" s="109"/>
      <c r="J5106" s="109"/>
      <c r="K5106" s="109"/>
      <c r="L5106" s="109" t="str">
        <f t="shared" si="79"/>
        <v>95-951700017</v>
      </c>
      <c r="M5106" s="114">
        <v>951700017</v>
      </c>
      <c r="N5106" s="114" t="s">
        <v>7517</v>
      </c>
    </row>
    <row r="5107" spans="1:14" ht="18.75">
      <c r="A5107" s="12" t="s">
        <v>6639</v>
      </c>
      <c r="B5107" s="1" t="s">
        <v>7110</v>
      </c>
      <c r="I5107" s="109"/>
      <c r="J5107" s="109"/>
      <c r="K5107" s="109"/>
      <c r="L5107" s="109" t="str">
        <f t="shared" si="79"/>
        <v>95-951700021</v>
      </c>
      <c r="M5107" s="114">
        <v>951700021</v>
      </c>
      <c r="N5107" s="114" t="s">
        <v>8550</v>
      </c>
    </row>
    <row r="5108" spans="1:14" ht="18.75">
      <c r="A5108" s="12" t="s">
        <v>6640</v>
      </c>
      <c r="B5108" s="1" t="s">
        <v>7110</v>
      </c>
      <c r="I5108" s="109"/>
      <c r="J5108" s="109"/>
      <c r="K5108" s="109"/>
      <c r="L5108" s="109" t="str">
        <f t="shared" si="79"/>
        <v>95-951700070</v>
      </c>
      <c r="M5108" s="114">
        <v>951700070</v>
      </c>
      <c r="N5108" s="114" t="s">
        <v>7518</v>
      </c>
    </row>
    <row r="5109" spans="1:14" ht="18.75">
      <c r="A5109" s="12" t="s">
        <v>6624</v>
      </c>
      <c r="B5109" s="1" t="s">
        <v>7110</v>
      </c>
      <c r="I5109" s="109"/>
      <c r="J5109" s="109"/>
      <c r="K5109" s="109"/>
      <c r="L5109" s="109" t="str">
        <f t="shared" si="79"/>
        <v>95-951700076</v>
      </c>
      <c r="M5109" s="114">
        <v>951700076</v>
      </c>
      <c r="N5109" s="114" t="s">
        <v>7724</v>
      </c>
    </row>
    <row r="5110" spans="1:14" ht="18.75">
      <c r="A5110" s="12" t="s">
        <v>6624</v>
      </c>
      <c r="B5110" s="1" t="s">
        <v>7110</v>
      </c>
      <c r="I5110" s="109"/>
      <c r="J5110" s="109"/>
      <c r="K5110" s="109"/>
      <c r="L5110" s="109" t="str">
        <f t="shared" si="79"/>
        <v>95-951700177</v>
      </c>
      <c r="M5110" s="114">
        <v>951700177</v>
      </c>
      <c r="N5110" s="114" t="s">
        <v>7528</v>
      </c>
    </row>
    <row r="5111" spans="1:14" ht="18.75">
      <c r="A5111" s="12" t="s">
        <v>6624</v>
      </c>
      <c r="B5111" s="1" t="s">
        <v>7110</v>
      </c>
      <c r="I5111" s="109"/>
      <c r="J5111" s="109"/>
      <c r="K5111" s="109"/>
      <c r="L5111" s="109" t="str">
        <f t="shared" si="79"/>
        <v>95-951700185</v>
      </c>
      <c r="M5111" s="114">
        <v>951700185</v>
      </c>
      <c r="N5111" s="114" t="s">
        <v>7528</v>
      </c>
    </row>
    <row r="5112" spans="1:14" ht="18.75">
      <c r="A5112" s="12" t="s">
        <v>6641</v>
      </c>
      <c r="B5112" s="1" t="s">
        <v>7110</v>
      </c>
      <c r="I5112" s="109"/>
      <c r="J5112" s="109"/>
      <c r="K5112" s="109"/>
      <c r="L5112" s="109" t="str">
        <f t="shared" si="79"/>
        <v>95-951700189</v>
      </c>
      <c r="M5112" s="114">
        <v>951700189</v>
      </c>
      <c r="N5112" s="114" t="s">
        <v>7528</v>
      </c>
    </row>
    <row r="5113" spans="1:14" ht="18.75">
      <c r="A5113" s="12" t="s">
        <v>6640</v>
      </c>
      <c r="B5113" s="1" t="s">
        <v>7110</v>
      </c>
      <c r="I5113" s="109"/>
      <c r="J5113" s="109"/>
      <c r="K5113" s="109"/>
      <c r="L5113" s="109" t="str">
        <f t="shared" si="79"/>
        <v>95-951700288</v>
      </c>
      <c r="M5113" s="114">
        <v>951700288</v>
      </c>
      <c r="N5113" s="114" t="s">
        <v>7153</v>
      </c>
    </row>
    <row r="5114" spans="1:14" ht="18.75">
      <c r="A5114" s="12" t="s">
        <v>6642</v>
      </c>
      <c r="B5114" s="1" t="s">
        <v>7110</v>
      </c>
      <c r="I5114" s="109"/>
      <c r="J5114" s="109"/>
      <c r="K5114" s="109"/>
      <c r="L5114" s="109" t="str">
        <f t="shared" si="79"/>
        <v>95-951800048</v>
      </c>
      <c r="M5114" s="114">
        <v>951800048</v>
      </c>
      <c r="N5114" s="114" t="s">
        <v>8551</v>
      </c>
    </row>
    <row r="5115" spans="1:14" ht="18.75">
      <c r="A5115" s="12" t="s">
        <v>6642</v>
      </c>
      <c r="B5115" s="1" t="s">
        <v>7110</v>
      </c>
      <c r="I5115" s="109"/>
      <c r="J5115" s="109"/>
      <c r="K5115" s="109"/>
      <c r="L5115" s="109" t="str">
        <f t="shared" si="79"/>
        <v>96-961800023</v>
      </c>
      <c r="M5115" s="114">
        <v>961800023</v>
      </c>
      <c r="N5115" s="114" t="s">
        <v>8552</v>
      </c>
    </row>
    <row r="5116" spans="1:14" ht="18.75">
      <c r="A5116" s="12" t="s">
        <v>6643</v>
      </c>
      <c r="B5116" s="1" t="s">
        <v>7110</v>
      </c>
      <c r="I5116" s="109"/>
      <c r="J5116" s="109"/>
      <c r="K5116" s="109"/>
      <c r="L5116" s="109" t="str">
        <f t="shared" si="79"/>
        <v>95-951600069</v>
      </c>
      <c r="M5116" s="114">
        <v>951600069</v>
      </c>
      <c r="N5116" s="114" t="s">
        <v>8553</v>
      </c>
    </row>
    <row r="5117" spans="1:14" ht="18.75">
      <c r="A5117" s="12" t="s">
        <v>6635</v>
      </c>
      <c r="B5117" s="1" t="s">
        <v>7110</v>
      </c>
      <c r="I5117" s="109"/>
      <c r="J5117" s="109"/>
      <c r="K5117" s="109"/>
      <c r="L5117" s="109" t="str">
        <f t="shared" si="79"/>
        <v>95-956100022</v>
      </c>
      <c r="M5117" s="114">
        <v>956100022</v>
      </c>
      <c r="N5117" s="114" t="s">
        <v>7737</v>
      </c>
    </row>
    <row r="5118" spans="1:14" ht="18.75">
      <c r="A5118" s="12" t="s">
        <v>6644</v>
      </c>
      <c r="B5118" s="1" t="s">
        <v>7110</v>
      </c>
      <c r="I5118" s="109"/>
      <c r="J5118" s="109"/>
      <c r="K5118" s="109"/>
      <c r="L5118" s="109" t="str">
        <f t="shared" si="79"/>
        <v>96-961800034</v>
      </c>
      <c r="M5118" s="114">
        <v>961800034</v>
      </c>
      <c r="N5118" s="114" t="s">
        <v>8554</v>
      </c>
    </row>
    <row r="5119" spans="1:14" ht="18.75">
      <c r="A5119" s="12" t="s">
        <v>6616</v>
      </c>
      <c r="B5119" s="1" t="s">
        <v>7110</v>
      </c>
      <c r="I5119" s="109"/>
      <c r="J5119" s="109"/>
      <c r="K5119" s="109"/>
      <c r="L5119" s="109" t="str">
        <f t="shared" si="79"/>
        <v>95-951700205</v>
      </c>
      <c r="M5119" s="114">
        <v>951700205</v>
      </c>
      <c r="N5119" s="114" t="s">
        <v>8555</v>
      </c>
    </row>
    <row r="5120" spans="1:14" ht="18.75">
      <c r="A5120" s="12" t="s">
        <v>6637</v>
      </c>
      <c r="B5120" s="1" t="s">
        <v>7110</v>
      </c>
      <c r="I5120" s="109"/>
      <c r="J5120" s="109"/>
      <c r="K5120" s="109"/>
      <c r="L5120" s="109" t="str">
        <f t="shared" si="79"/>
        <v>95-951700354</v>
      </c>
      <c r="M5120" s="114">
        <v>951700354</v>
      </c>
      <c r="N5120" s="114" t="s">
        <v>8154</v>
      </c>
    </row>
    <row r="5121" spans="1:14" ht="18.75">
      <c r="A5121" s="12" t="s">
        <v>6645</v>
      </c>
      <c r="B5121" s="1" t="s">
        <v>7110</v>
      </c>
      <c r="I5121" s="109"/>
      <c r="J5121" s="109"/>
      <c r="K5121" s="109"/>
      <c r="L5121" s="109" t="str">
        <f t="shared" si="79"/>
        <v>96-961600009</v>
      </c>
      <c r="M5121" s="114">
        <v>961600009</v>
      </c>
      <c r="N5121" s="114" t="s">
        <v>8556</v>
      </c>
    </row>
    <row r="5122" spans="1:14" ht="18.75">
      <c r="A5122" s="12" t="s">
        <v>6646</v>
      </c>
      <c r="B5122" s="1" t="s">
        <v>7110</v>
      </c>
      <c r="I5122" s="109"/>
      <c r="J5122" s="109"/>
      <c r="K5122" s="109"/>
      <c r="L5122" s="109" t="str">
        <f t="shared" si="79"/>
        <v>95-951900023</v>
      </c>
      <c r="M5122" s="114">
        <v>951900023</v>
      </c>
      <c r="N5122" s="114" t="s">
        <v>8557</v>
      </c>
    </row>
    <row r="5123" spans="1:14" ht="18.75">
      <c r="A5123" s="12" t="s">
        <v>6629</v>
      </c>
      <c r="B5123" s="1" t="s">
        <v>7110</v>
      </c>
      <c r="I5123" s="109"/>
      <c r="J5123" s="109"/>
      <c r="K5123" s="109"/>
      <c r="L5123" s="109" t="str">
        <f t="shared" ref="L5123:L5186" si="80">MID(M5123,1,2)&amp;"-"&amp;M5123</f>
        <v>96-961800018</v>
      </c>
      <c r="M5123" s="114">
        <v>961800018</v>
      </c>
      <c r="N5123" s="114" t="s">
        <v>8558</v>
      </c>
    </row>
    <row r="5124" spans="1:14" ht="18.75">
      <c r="A5124" s="12" t="s">
        <v>6594</v>
      </c>
      <c r="B5124" s="1" t="s">
        <v>7110</v>
      </c>
      <c r="I5124" s="109"/>
      <c r="J5124" s="109"/>
      <c r="K5124" s="109"/>
      <c r="L5124" s="109" t="str">
        <f t="shared" si="80"/>
        <v>95-951100161</v>
      </c>
      <c r="M5124" s="114">
        <v>951100161</v>
      </c>
      <c r="N5124" s="114" t="s">
        <v>8559</v>
      </c>
    </row>
    <row r="5125" spans="1:14" ht="18.75">
      <c r="A5125" s="12" t="s">
        <v>6621</v>
      </c>
      <c r="B5125" s="1" t="s">
        <v>7110</v>
      </c>
      <c r="I5125" s="109"/>
      <c r="J5125" s="109"/>
      <c r="K5125" s="109"/>
      <c r="L5125" s="109" t="str">
        <f t="shared" si="80"/>
        <v>95-951800107</v>
      </c>
      <c r="M5125" s="114">
        <v>951800107</v>
      </c>
      <c r="N5125" s="114" t="s">
        <v>7672</v>
      </c>
    </row>
    <row r="5126" spans="1:14" ht="18.75">
      <c r="A5126" s="12" t="s">
        <v>6628</v>
      </c>
      <c r="B5126" s="1" t="s">
        <v>7110</v>
      </c>
      <c r="I5126" s="109"/>
      <c r="J5126" s="109"/>
      <c r="K5126" s="109"/>
      <c r="L5126" s="109" t="str">
        <f t="shared" si="80"/>
        <v>95-951800148</v>
      </c>
      <c r="M5126" s="114">
        <v>951800148</v>
      </c>
      <c r="N5126" s="114" t="s">
        <v>8560</v>
      </c>
    </row>
    <row r="5127" spans="1:14" ht="18.75">
      <c r="A5127" s="12" t="s">
        <v>6644</v>
      </c>
      <c r="B5127" s="1" t="s">
        <v>7110</v>
      </c>
      <c r="I5127" s="109"/>
      <c r="J5127" s="109"/>
      <c r="K5127" s="109"/>
      <c r="L5127" s="109" t="str">
        <f t="shared" si="80"/>
        <v>95-951700269</v>
      </c>
      <c r="M5127" s="114">
        <v>951700269</v>
      </c>
      <c r="N5127" s="114" t="s">
        <v>7549</v>
      </c>
    </row>
    <row r="5128" spans="1:14" ht="18.75">
      <c r="A5128" s="12" t="s">
        <v>6644</v>
      </c>
      <c r="B5128" s="1" t="s">
        <v>7110</v>
      </c>
      <c r="I5128" s="109"/>
      <c r="J5128" s="109"/>
      <c r="K5128" s="109"/>
      <c r="L5128" s="109" t="str">
        <f t="shared" si="80"/>
        <v>95-951700274</v>
      </c>
      <c r="M5128" s="114">
        <v>951700274</v>
      </c>
      <c r="N5128" s="114" t="s">
        <v>7674</v>
      </c>
    </row>
    <row r="5129" spans="1:14" ht="18.75">
      <c r="A5129" s="12" t="s">
        <v>6647</v>
      </c>
      <c r="B5129" s="1" t="s">
        <v>7110</v>
      </c>
      <c r="I5129" s="109"/>
      <c r="J5129" s="109"/>
      <c r="K5129" s="109"/>
      <c r="L5129" s="109" t="str">
        <f t="shared" si="80"/>
        <v>95-951100148</v>
      </c>
      <c r="M5129" s="114">
        <v>951100148</v>
      </c>
      <c r="N5129" s="114" t="s">
        <v>8561</v>
      </c>
    </row>
    <row r="5130" spans="1:14" ht="18.75">
      <c r="A5130" s="12" t="s">
        <v>6648</v>
      </c>
      <c r="B5130" s="1" t="s">
        <v>7110</v>
      </c>
      <c r="I5130" s="109"/>
      <c r="J5130" s="109"/>
      <c r="K5130" s="109"/>
      <c r="L5130" s="109" t="str">
        <f t="shared" si="80"/>
        <v>95-951600032</v>
      </c>
      <c r="M5130" s="114">
        <v>951600032</v>
      </c>
      <c r="N5130" s="114" t="s">
        <v>8562</v>
      </c>
    </row>
    <row r="5131" spans="1:14" ht="18.75">
      <c r="A5131" s="12" t="s">
        <v>6644</v>
      </c>
      <c r="B5131" s="1" t="s">
        <v>7110</v>
      </c>
      <c r="I5131" s="109"/>
      <c r="J5131" s="109"/>
      <c r="K5131" s="109"/>
      <c r="L5131" s="109" t="str">
        <f t="shared" si="80"/>
        <v>96-961900149</v>
      </c>
      <c r="M5131" s="114">
        <v>961900149</v>
      </c>
      <c r="N5131" s="114" t="s">
        <v>8563</v>
      </c>
    </row>
    <row r="5132" spans="1:14" ht="18.75">
      <c r="A5132" s="12" t="s">
        <v>6649</v>
      </c>
      <c r="B5132" s="1" t="s">
        <v>7110</v>
      </c>
      <c r="I5132" s="109"/>
      <c r="J5132" s="109"/>
      <c r="K5132" s="109"/>
      <c r="L5132" s="109" t="str">
        <f t="shared" si="80"/>
        <v>95-951900253</v>
      </c>
      <c r="M5132" s="114">
        <v>951900253</v>
      </c>
      <c r="N5132" s="114" t="s">
        <v>8188</v>
      </c>
    </row>
    <row r="5133" spans="1:14" ht="18.75">
      <c r="A5133" s="12" t="s">
        <v>6644</v>
      </c>
      <c r="B5133" s="1" t="s">
        <v>7110</v>
      </c>
      <c r="I5133" s="109"/>
      <c r="J5133" s="109"/>
      <c r="K5133" s="109"/>
      <c r="L5133" s="109" t="str">
        <f t="shared" si="80"/>
        <v>95-951600059</v>
      </c>
      <c r="M5133" s="114">
        <v>951600059</v>
      </c>
      <c r="N5133" s="114" t="s">
        <v>8375</v>
      </c>
    </row>
    <row r="5134" spans="1:14" ht="18.75">
      <c r="A5134" s="12" t="s">
        <v>6650</v>
      </c>
      <c r="B5134" s="1" t="s">
        <v>7110</v>
      </c>
      <c r="I5134" s="109"/>
      <c r="J5134" s="109"/>
      <c r="K5134" s="109"/>
      <c r="L5134" s="109" t="str">
        <f t="shared" si="80"/>
        <v>95-951600084</v>
      </c>
      <c r="M5134" s="114">
        <v>951600084</v>
      </c>
      <c r="N5134" s="114" t="s">
        <v>8564</v>
      </c>
    </row>
    <row r="5135" spans="1:14" ht="18.75">
      <c r="A5135" s="12" t="s">
        <v>6633</v>
      </c>
      <c r="B5135" s="1" t="s">
        <v>7110</v>
      </c>
      <c r="I5135" s="109"/>
      <c r="J5135" s="109"/>
      <c r="K5135" s="109"/>
      <c r="L5135" s="109" t="str">
        <f t="shared" si="80"/>
        <v>95-951900133</v>
      </c>
      <c r="M5135" s="114">
        <v>951900133</v>
      </c>
      <c r="N5135" s="114" t="s">
        <v>7722</v>
      </c>
    </row>
    <row r="5136" spans="1:14" ht="18.75">
      <c r="A5136" s="12" t="s">
        <v>6628</v>
      </c>
      <c r="B5136" s="1" t="s">
        <v>7110</v>
      </c>
      <c r="I5136" s="109"/>
      <c r="J5136" s="109"/>
      <c r="K5136" s="109"/>
      <c r="L5136" s="109" t="str">
        <f t="shared" si="80"/>
        <v>95-951900184</v>
      </c>
      <c r="M5136" s="114">
        <v>951900184</v>
      </c>
      <c r="N5136" s="114" t="s">
        <v>8189</v>
      </c>
    </row>
    <row r="5137" spans="1:14" ht="18.75">
      <c r="A5137" s="12" t="s">
        <v>6651</v>
      </c>
      <c r="B5137" s="1" t="s">
        <v>7110</v>
      </c>
      <c r="I5137" s="109"/>
      <c r="J5137" s="109"/>
      <c r="K5137" s="109"/>
      <c r="L5137" s="109" t="str">
        <f t="shared" si="80"/>
        <v>95-951100089</v>
      </c>
      <c r="M5137" s="114">
        <v>951100089</v>
      </c>
      <c r="N5137" s="114" t="s">
        <v>8565</v>
      </c>
    </row>
    <row r="5138" spans="1:14" ht="18.75">
      <c r="A5138" s="12" t="s">
        <v>6650</v>
      </c>
      <c r="B5138" s="1" t="s">
        <v>7110</v>
      </c>
      <c r="I5138" s="109"/>
      <c r="J5138" s="109"/>
      <c r="K5138" s="109"/>
      <c r="L5138" s="109" t="str">
        <f t="shared" si="80"/>
        <v>96-961900009</v>
      </c>
      <c r="M5138" s="114">
        <v>961900009</v>
      </c>
      <c r="N5138" s="114" t="s">
        <v>7598</v>
      </c>
    </row>
    <row r="5139" spans="1:14" ht="18.75">
      <c r="A5139" s="12" t="s">
        <v>6619</v>
      </c>
      <c r="B5139" s="1" t="s">
        <v>7110</v>
      </c>
      <c r="I5139" s="109"/>
      <c r="J5139" s="109"/>
      <c r="K5139" s="109"/>
      <c r="L5139" s="109" t="str">
        <f t="shared" si="80"/>
        <v>95-951700171</v>
      </c>
      <c r="M5139" s="114">
        <v>951700171</v>
      </c>
      <c r="N5139" s="114" t="s">
        <v>7725</v>
      </c>
    </row>
    <row r="5140" spans="1:14" ht="18.75">
      <c r="A5140" s="12" t="s">
        <v>6652</v>
      </c>
      <c r="B5140" s="1" t="s">
        <v>7110</v>
      </c>
      <c r="I5140" s="109"/>
      <c r="J5140" s="109"/>
      <c r="K5140" s="109"/>
      <c r="L5140" s="109" t="str">
        <f t="shared" si="80"/>
        <v>95-951800111</v>
      </c>
      <c r="M5140" s="114">
        <v>951800111</v>
      </c>
      <c r="N5140" s="114" t="s">
        <v>7728</v>
      </c>
    </row>
    <row r="5141" spans="1:14" ht="18.75">
      <c r="A5141" s="12" t="s">
        <v>6646</v>
      </c>
      <c r="B5141" s="1" t="s">
        <v>7110</v>
      </c>
      <c r="I5141" s="109"/>
      <c r="J5141" s="109"/>
      <c r="K5141" s="109"/>
      <c r="L5141" s="109" t="str">
        <f t="shared" si="80"/>
        <v>95-951800006</v>
      </c>
      <c r="M5141" s="114">
        <v>951800006</v>
      </c>
      <c r="N5141" s="114" t="s">
        <v>8566</v>
      </c>
    </row>
    <row r="5142" spans="1:14" ht="18.75">
      <c r="A5142" s="12" t="s">
        <v>6653</v>
      </c>
      <c r="B5142" s="1" t="s">
        <v>7110</v>
      </c>
      <c r="I5142" s="109"/>
      <c r="J5142" s="109"/>
      <c r="K5142" s="109"/>
      <c r="L5142" s="109" t="str">
        <f t="shared" si="80"/>
        <v>95-951400049</v>
      </c>
      <c r="M5142" s="114">
        <v>951400049</v>
      </c>
      <c r="N5142" s="114" t="s">
        <v>8568</v>
      </c>
    </row>
    <row r="5143" spans="1:14" ht="18.75">
      <c r="A5143" s="12" t="s">
        <v>6654</v>
      </c>
      <c r="B5143" s="1" t="s">
        <v>7110</v>
      </c>
      <c r="I5143" s="109"/>
      <c r="J5143" s="109"/>
      <c r="K5143" s="109"/>
      <c r="L5143" s="109" t="str">
        <f t="shared" si="80"/>
        <v>96-961600007</v>
      </c>
      <c r="M5143" s="114">
        <v>961600007</v>
      </c>
      <c r="N5143" s="114" t="s">
        <v>8569</v>
      </c>
    </row>
    <row r="5144" spans="1:14" ht="18.75">
      <c r="A5144" s="12" t="s">
        <v>6650</v>
      </c>
      <c r="B5144" s="1" t="s">
        <v>7110</v>
      </c>
      <c r="I5144" s="109"/>
      <c r="J5144" s="109"/>
      <c r="K5144" s="109"/>
      <c r="L5144" s="109" t="str">
        <f t="shared" si="80"/>
        <v>95-951400020</v>
      </c>
      <c r="M5144" s="114">
        <v>951400020</v>
      </c>
      <c r="N5144" s="114" t="s">
        <v>8570</v>
      </c>
    </row>
    <row r="5145" spans="1:14" ht="18.75">
      <c r="A5145" s="12" t="s">
        <v>6655</v>
      </c>
      <c r="B5145" s="1" t="s">
        <v>7110</v>
      </c>
      <c r="I5145" s="109"/>
      <c r="J5145" s="109"/>
      <c r="K5145" s="109"/>
      <c r="L5145" s="109" t="str">
        <f t="shared" si="80"/>
        <v>95-951400053</v>
      </c>
      <c r="M5145" s="114">
        <v>951400053</v>
      </c>
      <c r="N5145" s="114" t="s">
        <v>8571</v>
      </c>
    </row>
    <row r="5146" spans="1:14" ht="18.75">
      <c r="A5146" s="12" t="s">
        <v>6656</v>
      </c>
      <c r="B5146" s="1" t="s">
        <v>7110</v>
      </c>
      <c r="I5146" s="109"/>
      <c r="J5146" s="109"/>
      <c r="K5146" s="109"/>
      <c r="L5146" s="109" t="str">
        <f t="shared" si="80"/>
        <v>95-951400087</v>
      </c>
      <c r="M5146" s="114">
        <v>951400087</v>
      </c>
      <c r="N5146" s="114" t="s">
        <v>8571</v>
      </c>
    </row>
    <row r="5147" spans="1:14" ht="18.75">
      <c r="A5147" s="12" t="s">
        <v>6657</v>
      </c>
      <c r="B5147" s="1" t="s">
        <v>7110</v>
      </c>
      <c r="I5147" s="109"/>
      <c r="J5147" s="109"/>
      <c r="K5147" s="109"/>
      <c r="L5147" s="109" t="str">
        <f t="shared" si="80"/>
        <v>95-951700313</v>
      </c>
      <c r="M5147" s="114">
        <v>951700313</v>
      </c>
      <c r="N5147" s="114" t="s">
        <v>7750</v>
      </c>
    </row>
    <row r="5148" spans="1:14" ht="18.75">
      <c r="A5148" s="12" t="s">
        <v>6657</v>
      </c>
      <c r="B5148" s="1" t="s">
        <v>7110</v>
      </c>
      <c r="I5148" s="109"/>
      <c r="J5148" s="109"/>
      <c r="K5148" s="109"/>
      <c r="L5148" s="109" t="str">
        <f t="shared" si="80"/>
        <v>95-951900108</v>
      </c>
      <c r="M5148" s="114">
        <v>951900108</v>
      </c>
      <c r="N5148" s="114" t="s">
        <v>8572</v>
      </c>
    </row>
    <row r="5149" spans="1:14" ht="18.75">
      <c r="A5149" s="12" t="s">
        <v>6657</v>
      </c>
      <c r="B5149" s="1" t="s">
        <v>7110</v>
      </c>
      <c r="I5149" s="112"/>
      <c r="K5149" s="111"/>
      <c r="L5149" s="109" t="str">
        <f t="shared" si="80"/>
        <v>95-951900166</v>
      </c>
      <c r="M5149" s="114">
        <v>951900166</v>
      </c>
      <c r="N5149" s="114" t="s">
        <v>7837</v>
      </c>
    </row>
    <row r="5150" spans="1:14" ht="18.75">
      <c r="A5150" s="12" t="s">
        <v>6658</v>
      </c>
      <c r="B5150" s="1" t="s">
        <v>7110</v>
      </c>
      <c r="I5150" s="112"/>
      <c r="K5150" s="111"/>
      <c r="L5150" s="109" t="str">
        <f t="shared" si="80"/>
        <v>95-951900206</v>
      </c>
      <c r="M5150" s="114">
        <v>951900206</v>
      </c>
      <c r="N5150" s="114" t="s">
        <v>8573</v>
      </c>
    </row>
    <row r="5151" spans="1:14" ht="18.75">
      <c r="A5151" s="12" t="s">
        <v>6656</v>
      </c>
      <c r="B5151" s="1" t="s">
        <v>7110</v>
      </c>
      <c r="I5151" s="112"/>
      <c r="K5151" s="111"/>
      <c r="L5151" s="109" t="str">
        <f t="shared" si="80"/>
        <v>95-951900112</v>
      </c>
      <c r="M5151" s="114">
        <v>951900112</v>
      </c>
      <c r="N5151" s="114" t="s">
        <v>7192</v>
      </c>
    </row>
    <row r="5152" spans="1:14" ht="18.75">
      <c r="A5152" s="12" t="s">
        <v>6655</v>
      </c>
      <c r="B5152" s="1" t="s">
        <v>7110</v>
      </c>
      <c r="I5152" s="112"/>
      <c r="K5152" s="111"/>
      <c r="L5152" s="109" t="str">
        <f t="shared" si="80"/>
        <v>95-951900241</v>
      </c>
      <c r="M5152" s="114">
        <v>951900241</v>
      </c>
      <c r="N5152" s="114" t="s">
        <v>7839</v>
      </c>
    </row>
    <row r="5153" spans="1:14" ht="18.75">
      <c r="A5153" s="12" t="s">
        <v>6652</v>
      </c>
      <c r="B5153" s="1" t="s">
        <v>7110</v>
      </c>
      <c r="I5153" s="112"/>
      <c r="K5153" s="111"/>
      <c r="L5153" s="109" t="str">
        <f t="shared" si="80"/>
        <v>95-951900155</v>
      </c>
      <c r="M5153" s="114">
        <v>951900155</v>
      </c>
      <c r="N5153" s="114" t="s">
        <v>8408</v>
      </c>
    </row>
    <row r="5154" spans="1:14" ht="18.75">
      <c r="A5154" s="12" t="s">
        <v>6659</v>
      </c>
      <c r="B5154" s="1" t="s">
        <v>7110</v>
      </c>
      <c r="I5154" s="112"/>
      <c r="K5154" s="111"/>
      <c r="L5154" s="109" t="str">
        <f t="shared" si="80"/>
        <v>95-951700073</v>
      </c>
      <c r="M5154" s="114">
        <v>951700073</v>
      </c>
      <c r="N5154" s="114" t="s">
        <v>8297</v>
      </c>
    </row>
    <row r="5155" spans="1:14" ht="18.75">
      <c r="A5155" s="12" t="s">
        <v>6654</v>
      </c>
      <c r="B5155" s="1" t="s">
        <v>7110</v>
      </c>
      <c r="I5155" s="112"/>
      <c r="K5155" s="111"/>
      <c r="L5155" s="109" t="str">
        <f t="shared" si="80"/>
        <v>95-951700133</v>
      </c>
      <c r="M5155" s="114">
        <v>951700133</v>
      </c>
      <c r="N5155" s="114" t="s">
        <v>7766</v>
      </c>
    </row>
    <row r="5156" spans="1:14" ht="18.75">
      <c r="A5156" s="12" t="s">
        <v>6655</v>
      </c>
      <c r="B5156" s="1" t="s">
        <v>7110</v>
      </c>
      <c r="I5156" s="112"/>
      <c r="K5156" s="111"/>
      <c r="L5156" s="109" t="str">
        <f t="shared" si="80"/>
        <v>95-951900050</v>
      </c>
      <c r="M5156" s="114">
        <v>951900050</v>
      </c>
      <c r="N5156" s="114" t="s">
        <v>7858</v>
      </c>
    </row>
    <row r="5157" spans="1:14" ht="18.75">
      <c r="A5157" s="12" t="s">
        <v>6652</v>
      </c>
      <c r="B5157" s="1" t="s">
        <v>7110</v>
      </c>
      <c r="I5157" s="112"/>
      <c r="K5157" s="111"/>
      <c r="L5157" s="109" t="str">
        <f t="shared" si="80"/>
        <v>95-951900101</v>
      </c>
      <c r="M5157" s="114">
        <v>951900101</v>
      </c>
      <c r="N5157" s="114" t="s">
        <v>7582</v>
      </c>
    </row>
    <row r="5158" spans="1:14" ht="18.75">
      <c r="A5158" s="12" t="s">
        <v>6639</v>
      </c>
      <c r="B5158" s="1" t="s">
        <v>7110</v>
      </c>
      <c r="I5158" s="112"/>
      <c r="K5158" s="111"/>
      <c r="L5158" s="109" t="str">
        <f t="shared" si="80"/>
        <v>95-951700150</v>
      </c>
      <c r="M5158" s="114">
        <v>951700150</v>
      </c>
      <c r="N5158" s="114" t="s">
        <v>7192</v>
      </c>
    </row>
    <row r="5159" spans="1:14" ht="18.75">
      <c r="A5159" s="12" t="s">
        <v>6648</v>
      </c>
      <c r="B5159" s="1" t="s">
        <v>7110</v>
      </c>
      <c r="I5159" s="112"/>
      <c r="K5159" s="111"/>
      <c r="L5159" s="109" t="str">
        <f t="shared" si="80"/>
        <v>95-951800055</v>
      </c>
      <c r="M5159" s="114">
        <v>951800055</v>
      </c>
      <c r="N5159" s="114" t="s">
        <v>7609</v>
      </c>
    </row>
    <row r="5160" spans="1:14" ht="18.75">
      <c r="A5160" s="12" t="s">
        <v>6656</v>
      </c>
      <c r="B5160" s="1" t="s">
        <v>7110</v>
      </c>
      <c r="I5160" s="112"/>
      <c r="K5160" s="111"/>
      <c r="L5160" s="109" t="str">
        <f t="shared" si="80"/>
        <v>95-951600070</v>
      </c>
      <c r="M5160" s="114">
        <v>951600070</v>
      </c>
      <c r="N5160" s="114" t="s">
        <v>7806</v>
      </c>
    </row>
    <row r="5161" spans="1:14" ht="18.75">
      <c r="A5161" s="12" t="s">
        <v>6653</v>
      </c>
      <c r="B5161" s="1" t="s">
        <v>7110</v>
      </c>
      <c r="I5161" s="112"/>
      <c r="K5161" s="111"/>
      <c r="L5161" s="109" t="str">
        <f t="shared" si="80"/>
        <v>95-951800136</v>
      </c>
      <c r="M5161" s="114">
        <v>951800136</v>
      </c>
      <c r="N5161" s="114" t="s">
        <v>8574</v>
      </c>
    </row>
    <row r="5162" spans="1:14" ht="18.75">
      <c r="A5162" s="12" t="s">
        <v>6660</v>
      </c>
      <c r="B5162" s="1" t="s">
        <v>7110</v>
      </c>
      <c r="I5162" s="112"/>
      <c r="K5162" s="111"/>
      <c r="L5162" s="109" t="str">
        <f t="shared" si="80"/>
        <v>95-951900268</v>
      </c>
      <c r="M5162" s="114">
        <v>951900268</v>
      </c>
      <c r="N5162" s="114" t="s">
        <v>7610</v>
      </c>
    </row>
    <row r="5163" spans="1:14" ht="18.75">
      <c r="A5163" s="12" t="s">
        <v>6629</v>
      </c>
      <c r="B5163" s="1" t="s">
        <v>7110</v>
      </c>
      <c r="I5163" s="112"/>
      <c r="K5163" s="111"/>
      <c r="L5163" s="109" t="str">
        <f t="shared" si="80"/>
        <v>95-951900279</v>
      </c>
      <c r="M5163" s="114">
        <v>951900279</v>
      </c>
      <c r="N5163" s="114" t="s">
        <v>8575</v>
      </c>
    </row>
    <row r="5164" spans="1:14" ht="18.75">
      <c r="A5164" s="12" t="s">
        <v>6650</v>
      </c>
      <c r="B5164" s="1" t="s">
        <v>7110</v>
      </c>
      <c r="I5164" s="112"/>
      <c r="K5164" s="111"/>
      <c r="L5164" s="109" t="str">
        <f t="shared" si="80"/>
        <v>96-961900021</v>
      </c>
      <c r="M5164" s="114">
        <v>961900021</v>
      </c>
      <c r="N5164" s="114" t="s">
        <v>7613</v>
      </c>
    </row>
    <row r="5165" spans="1:14" ht="18.75">
      <c r="A5165" s="12" t="s">
        <v>6645</v>
      </c>
      <c r="B5165" s="1" t="s">
        <v>7110</v>
      </c>
      <c r="I5165" s="112"/>
      <c r="K5165" s="111"/>
      <c r="L5165" s="109" t="str">
        <f t="shared" si="80"/>
        <v>96-961900023</v>
      </c>
      <c r="M5165" s="114">
        <v>961900023</v>
      </c>
      <c r="N5165" s="114" t="s">
        <v>7786</v>
      </c>
    </row>
    <row r="5166" spans="1:14" ht="18.75">
      <c r="A5166" s="12" t="s">
        <v>6649</v>
      </c>
      <c r="B5166" s="1" t="s">
        <v>7110</v>
      </c>
      <c r="I5166" s="112"/>
      <c r="K5166" s="111"/>
      <c r="L5166" s="109" t="str">
        <f t="shared" si="80"/>
        <v>96-961900024</v>
      </c>
      <c r="M5166" s="114">
        <v>961900024</v>
      </c>
      <c r="N5166" s="114" t="s">
        <v>7786</v>
      </c>
    </row>
    <row r="5167" spans="1:14" ht="18.75">
      <c r="A5167" s="12" t="s">
        <v>6661</v>
      </c>
      <c r="B5167" s="1" t="s">
        <v>7110</v>
      </c>
      <c r="I5167" s="112"/>
      <c r="K5167" s="111"/>
      <c r="L5167" s="109" t="str">
        <f t="shared" si="80"/>
        <v>96-961900025</v>
      </c>
      <c r="M5167" s="114">
        <v>961900025</v>
      </c>
      <c r="N5167" s="114" t="s">
        <v>7786</v>
      </c>
    </row>
    <row r="5168" spans="1:14" ht="18.75">
      <c r="A5168" s="12" t="s">
        <v>6650</v>
      </c>
      <c r="B5168" s="1" t="s">
        <v>7110</v>
      </c>
      <c r="I5168" s="112"/>
      <c r="K5168" s="111"/>
      <c r="L5168" s="109" t="str">
        <f t="shared" si="80"/>
        <v>96-961900050</v>
      </c>
      <c r="M5168" s="114">
        <v>961900050</v>
      </c>
      <c r="N5168" s="114" t="s">
        <v>7615</v>
      </c>
    </row>
    <row r="5169" spans="1:14" ht="18.75">
      <c r="A5169" s="12" t="s">
        <v>6628</v>
      </c>
      <c r="B5169" s="1" t="s">
        <v>7110</v>
      </c>
      <c r="I5169" s="112"/>
      <c r="K5169" s="111"/>
      <c r="L5169" s="109" t="str">
        <f t="shared" si="80"/>
        <v>96-961900103</v>
      </c>
      <c r="M5169" s="114">
        <v>961900103</v>
      </c>
      <c r="N5169" s="114" t="s">
        <v>7787</v>
      </c>
    </row>
    <row r="5170" spans="1:14" ht="18.75">
      <c r="A5170" s="12" t="s">
        <v>6662</v>
      </c>
      <c r="B5170" s="1" t="s">
        <v>7110</v>
      </c>
      <c r="I5170" s="112"/>
      <c r="K5170" s="111"/>
      <c r="L5170" s="109" t="str">
        <f t="shared" si="80"/>
        <v>95-951800049</v>
      </c>
      <c r="M5170" s="114">
        <v>951800049</v>
      </c>
      <c r="N5170" s="114" t="s">
        <v>8576</v>
      </c>
    </row>
    <row r="5171" spans="1:14" ht="18.75">
      <c r="A5171" s="12" t="s">
        <v>6662</v>
      </c>
      <c r="B5171" s="1" t="s">
        <v>7110</v>
      </c>
      <c r="I5171" s="112"/>
      <c r="K5171" s="111"/>
      <c r="L5171" s="109" t="str">
        <f t="shared" si="80"/>
        <v>96-961700074</v>
      </c>
      <c r="M5171" s="114">
        <v>961700074</v>
      </c>
      <c r="N5171" s="114" t="s">
        <v>7159</v>
      </c>
    </row>
    <row r="5172" spans="1:14" ht="18.75">
      <c r="A5172" s="12" t="s">
        <v>6642</v>
      </c>
      <c r="B5172" s="1" t="s">
        <v>7110</v>
      </c>
      <c r="I5172" s="112"/>
      <c r="K5172" s="111"/>
      <c r="L5172" s="109" t="str">
        <f t="shared" si="80"/>
        <v>95-956100006</v>
      </c>
      <c r="M5172" s="114">
        <v>956100006</v>
      </c>
      <c r="N5172" s="114" t="s">
        <v>8577</v>
      </c>
    </row>
    <row r="5173" spans="1:14" ht="18.75">
      <c r="A5173" s="12" t="s">
        <v>6624</v>
      </c>
      <c r="B5173" s="1" t="s">
        <v>7110</v>
      </c>
      <c r="I5173" s="112"/>
      <c r="K5173" s="111"/>
      <c r="L5173" s="109" t="str">
        <f t="shared" si="80"/>
        <v>95-951800020</v>
      </c>
      <c r="M5173" s="114">
        <v>951800020</v>
      </c>
      <c r="N5173" s="114" t="s">
        <v>8578</v>
      </c>
    </row>
    <row r="5174" spans="1:14" ht="18.75">
      <c r="A5174" s="12" t="s">
        <v>6650</v>
      </c>
      <c r="B5174" s="1" t="s">
        <v>7110</v>
      </c>
      <c r="I5174" s="112"/>
      <c r="K5174" s="111"/>
      <c r="L5174" s="109" t="str">
        <f t="shared" si="80"/>
        <v>95-951800101</v>
      </c>
      <c r="M5174" s="114">
        <v>951800101</v>
      </c>
      <c r="N5174" s="114" t="s">
        <v>7626</v>
      </c>
    </row>
    <row r="5175" spans="1:14" ht="18.75">
      <c r="A5175" s="12" t="s">
        <v>6663</v>
      </c>
      <c r="B5175" s="1" t="s">
        <v>7110</v>
      </c>
      <c r="I5175" s="112"/>
      <c r="K5175" s="111"/>
      <c r="L5175" s="109" t="str">
        <f t="shared" si="80"/>
        <v>96-961800022</v>
      </c>
      <c r="M5175" s="114">
        <v>961800022</v>
      </c>
      <c r="N5175" s="114" t="s">
        <v>8579</v>
      </c>
    </row>
    <row r="5176" spans="1:14" ht="18.75">
      <c r="A5176" s="12" t="s">
        <v>6663</v>
      </c>
      <c r="B5176" s="1" t="s">
        <v>7110</v>
      </c>
      <c r="I5176" s="112"/>
      <c r="K5176" s="111"/>
      <c r="L5176" s="109" t="str">
        <f t="shared" si="80"/>
        <v>95-951900224</v>
      </c>
      <c r="M5176" s="114">
        <v>951900224</v>
      </c>
      <c r="N5176" s="114" t="s">
        <v>7630</v>
      </c>
    </row>
    <row r="5177" spans="1:14" ht="18.75">
      <c r="A5177" s="12" t="s">
        <v>6663</v>
      </c>
      <c r="B5177" s="1" t="s">
        <v>7110</v>
      </c>
      <c r="I5177" s="112"/>
      <c r="K5177" s="111"/>
      <c r="L5177" s="109" t="str">
        <f t="shared" si="80"/>
        <v>95-951900288</v>
      </c>
      <c r="M5177" s="114">
        <v>951900288</v>
      </c>
      <c r="N5177" s="114" t="s">
        <v>7819</v>
      </c>
    </row>
    <row r="5178" spans="1:14" ht="18.75">
      <c r="A5178" s="12" t="s">
        <v>6642</v>
      </c>
      <c r="B5178" s="1" t="s">
        <v>7110</v>
      </c>
      <c r="I5178" s="112"/>
      <c r="K5178" s="111"/>
      <c r="L5178" s="109" t="str">
        <f t="shared" si="80"/>
        <v>95-951700350</v>
      </c>
      <c r="M5178" s="114">
        <v>951700350</v>
      </c>
      <c r="N5178" s="114" t="s">
        <v>8229</v>
      </c>
    </row>
    <row r="5179" spans="1:14" ht="18.75">
      <c r="A5179" s="12" t="s">
        <v>6642</v>
      </c>
      <c r="B5179" s="1" t="s">
        <v>7110</v>
      </c>
      <c r="I5179" s="112"/>
      <c r="K5179" s="111"/>
      <c r="L5179" s="109" t="str">
        <f t="shared" si="80"/>
        <v>95-951700348</v>
      </c>
      <c r="M5179" s="114">
        <v>951700348</v>
      </c>
      <c r="N5179" s="114" t="s">
        <v>7819</v>
      </c>
    </row>
    <row r="5180" spans="1:14" ht="18.75">
      <c r="A5180" s="12" t="s">
        <v>6640</v>
      </c>
      <c r="B5180" s="1" t="s">
        <v>7110</v>
      </c>
      <c r="I5180" s="112"/>
      <c r="K5180" s="111"/>
      <c r="L5180" s="109" t="str">
        <f t="shared" si="80"/>
        <v>96-961700027</v>
      </c>
      <c r="M5180" s="114">
        <v>961700027</v>
      </c>
      <c r="N5180" s="114" t="s">
        <v>8253</v>
      </c>
    </row>
    <row r="5181" spans="1:14" ht="18.75">
      <c r="A5181" s="12" t="s">
        <v>6664</v>
      </c>
      <c r="B5181" s="1" t="s">
        <v>7110</v>
      </c>
      <c r="I5181" s="112"/>
      <c r="K5181" s="111"/>
      <c r="L5181" s="109" t="str">
        <f t="shared" si="80"/>
        <v>96-961700032</v>
      </c>
      <c r="M5181" s="114">
        <v>961700032</v>
      </c>
      <c r="N5181" s="114" t="s">
        <v>8349</v>
      </c>
    </row>
    <row r="5182" spans="1:14" ht="18.75">
      <c r="A5182" s="12" t="s">
        <v>6664</v>
      </c>
      <c r="B5182" s="1" t="s">
        <v>7110</v>
      </c>
      <c r="I5182" s="112"/>
      <c r="K5182" s="111"/>
      <c r="L5182" s="109" t="str">
        <f t="shared" si="80"/>
        <v>96-961800038</v>
      </c>
      <c r="M5182" s="114">
        <v>961800038</v>
      </c>
      <c r="N5182" s="114" t="s">
        <v>8580</v>
      </c>
    </row>
    <row r="5183" spans="1:14" ht="18.75">
      <c r="A5183" s="12" t="s">
        <v>6664</v>
      </c>
      <c r="B5183" s="1" t="s">
        <v>7110</v>
      </c>
      <c r="I5183" s="112"/>
      <c r="K5183" s="111"/>
      <c r="L5183" s="109" t="str">
        <f t="shared" si="80"/>
        <v>95-956100002</v>
      </c>
      <c r="M5183" s="114">
        <v>956100002</v>
      </c>
      <c r="N5183" s="114" t="s">
        <v>8303</v>
      </c>
    </row>
    <row r="5184" spans="1:14" ht="18.75">
      <c r="A5184" s="12" t="s">
        <v>6665</v>
      </c>
      <c r="B5184" s="1" t="s">
        <v>7110</v>
      </c>
      <c r="I5184" s="112"/>
      <c r="K5184" s="111"/>
      <c r="L5184" s="109" t="str">
        <f t="shared" si="80"/>
        <v>95-951900122</v>
      </c>
      <c r="M5184" s="114">
        <v>951900122</v>
      </c>
      <c r="N5184" s="114" t="s">
        <v>8581</v>
      </c>
    </row>
    <row r="5185" spans="1:14" ht="18.75">
      <c r="A5185" s="12" t="s">
        <v>6652</v>
      </c>
      <c r="B5185" s="1" t="s">
        <v>7110</v>
      </c>
      <c r="I5185" s="112"/>
      <c r="K5185" s="111"/>
      <c r="L5185" s="109" t="str">
        <f t="shared" si="80"/>
        <v>95-951900200</v>
      </c>
      <c r="M5185" s="114">
        <v>951900200</v>
      </c>
      <c r="N5185" s="114" t="s">
        <v>8582</v>
      </c>
    </row>
    <row r="5186" spans="1:14" ht="18.75">
      <c r="A5186" s="12" t="s">
        <v>6637</v>
      </c>
      <c r="B5186" s="1" t="s">
        <v>7110</v>
      </c>
      <c r="I5186" s="112"/>
      <c r="K5186" s="111"/>
      <c r="L5186" s="109" t="str">
        <f t="shared" si="80"/>
        <v>95-951400057</v>
      </c>
      <c r="M5186" s="114">
        <v>951400057</v>
      </c>
      <c r="N5186" s="114" t="s">
        <v>8583</v>
      </c>
    </row>
    <row r="5187" spans="1:14" ht="18.75">
      <c r="A5187" s="12" t="s">
        <v>6666</v>
      </c>
      <c r="B5187" s="1" t="s">
        <v>7110</v>
      </c>
      <c r="I5187" s="112"/>
      <c r="K5187" s="111"/>
      <c r="L5187" s="109" t="str">
        <f t="shared" ref="L5187:L5250" si="81">MID(M5187,1,2)&amp;"-"&amp;M5187</f>
        <v>95-951700214</v>
      </c>
      <c r="M5187" s="114">
        <v>951700214</v>
      </c>
      <c r="N5187" s="114" t="s">
        <v>8562</v>
      </c>
    </row>
    <row r="5188" spans="1:14" ht="18.75">
      <c r="A5188" s="12" t="s">
        <v>6664</v>
      </c>
      <c r="B5188" s="1" t="s">
        <v>7110</v>
      </c>
      <c r="I5188" s="112"/>
      <c r="K5188" s="111"/>
      <c r="L5188" s="109" t="str">
        <f t="shared" si="81"/>
        <v>95-951900131</v>
      </c>
      <c r="M5188" s="114">
        <v>951900131</v>
      </c>
      <c r="N5188" s="114" t="s">
        <v>7722</v>
      </c>
    </row>
    <row r="5189" spans="1:14" ht="18.75">
      <c r="A5189" s="12" t="s">
        <v>6667</v>
      </c>
      <c r="B5189" s="1" t="s">
        <v>7110</v>
      </c>
      <c r="I5189" s="112"/>
      <c r="K5189" s="111"/>
      <c r="L5189" s="109" t="str">
        <f t="shared" si="81"/>
        <v>95-951800039</v>
      </c>
      <c r="M5189" s="114">
        <v>951800039</v>
      </c>
      <c r="N5189" s="114" t="s">
        <v>8584</v>
      </c>
    </row>
    <row r="5190" spans="1:14" ht="18.75">
      <c r="A5190" s="12" t="s">
        <v>6651</v>
      </c>
      <c r="B5190" s="1" t="s">
        <v>7110</v>
      </c>
      <c r="I5190" s="112"/>
      <c r="K5190" s="111"/>
      <c r="L5190" s="109" t="str">
        <f t="shared" si="81"/>
        <v>96-966200198</v>
      </c>
      <c r="M5190" s="114">
        <v>966200198</v>
      </c>
      <c r="N5190" s="114" t="s">
        <v>8585</v>
      </c>
    </row>
    <row r="5191" spans="1:14" ht="18.75">
      <c r="A5191" s="12" t="s">
        <v>6668</v>
      </c>
      <c r="B5191" s="1" t="s">
        <v>7110</v>
      </c>
      <c r="I5191" s="112"/>
      <c r="K5191" s="111"/>
      <c r="L5191" s="109" t="str">
        <f t="shared" si="81"/>
        <v>95-951900121</v>
      </c>
      <c r="M5191" s="114">
        <v>951900121</v>
      </c>
      <c r="N5191" s="114" t="s">
        <v>7808</v>
      </c>
    </row>
    <row r="5192" spans="1:14" ht="18.75">
      <c r="A5192" s="12" t="s">
        <v>6637</v>
      </c>
      <c r="B5192" s="1" t="s">
        <v>7110</v>
      </c>
      <c r="I5192" s="112"/>
      <c r="K5192" s="111"/>
      <c r="L5192" s="109" t="str">
        <f t="shared" si="81"/>
        <v>95-951700071</v>
      </c>
      <c r="M5192" s="114">
        <v>951700071</v>
      </c>
      <c r="N5192" s="114" t="s">
        <v>8586</v>
      </c>
    </row>
    <row r="5193" spans="1:14" ht="18.75">
      <c r="A5193" s="12" t="s">
        <v>6669</v>
      </c>
      <c r="B5193" s="1" t="s">
        <v>7110</v>
      </c>
      <c r="I5193" s="112"/>
      <c r="K5193" s="111"/>
      <c r="L5193" s="109" t="str">
        <f t="shared" si="81"/>
        <v>95-951300013</v>
      </c>
      <c r="M5193" s="114">
        <v>951300013</v>
      </c>
      <c r="N5193" s="114" t="s">
        <v>7680</v>
      </c>
    </row>
    <row r="5194" spans="1:14" ht="18.75">
      <c r="A5194" s="12" t="s">
        <v>6651</v>
      </c>
      <c r="B5194" s="1" t="s">
        <v>7110</v>
      </c>
      <c r="I5194" s="112"/>
      <c r="K5194" s="111"/>
      <c r="L5194" s="109" t="str">
        <f t="shared" si="81"/>
        <v>95-951900071</v>
      </c>
      <c r="M5194" s="114">
        <v>951900071</v>
      </c>
      <c r="N5194" s="114" t="s">
        <v>7804</v>
      </c>
    </row>
    <row r="5195" spans="1:14" ht="18.75">
      <c r="A5195" s="12" t="s">
        <v>6656</v>
      </c>
      <c r="B5195" s="1" t="s">
        <v>7110</v>
      </c>
      <c r="I5195" s="112"/>
      <c r="K5195" s="111"/>
      <c r="L5195" s="109" t="str">
        <f t="shared" si="81"/>
        <v>95-951600004</v>
      </c>
      <c r="M5195" s="114">
        <v>951600004</v>
      </c>
      <c r="N5195" s="114" t="s">
        <v>8587</v>
      </c>
    </row>
    <row r="5196" spans="1:14" ht="18.75">
      <c r="A5196" s="12" t="s">
        <v>6664</v>
      </c>
      <c r="B5196" s="1" t="s">
        <v>7110</v>
      </c>
      <c r="I5196" s="112"/>
      <c r="K5196" s="111"/>
      <c r="L5196" s="109" t="str">
        <f t="shared" si="81"/>
        <v>95-951900138</v>
      </c>
      <c r="M5196" s="114">
        <v>951900138</v>
      </c>
      <c r="N5196" s="114" t="s">
        <v>8588</v>
      </c>
    </row>
    <row r="5197" spans="1:14" ht="18.75">
      <c r="A5197" s="12" t="s">
        <v>6664</v>
      </c>
      <c r="B5197" s="1" t="s">
        <v>7110</v>
      </c>
      <c r="I5197" s="112"/>
      <c r="K5197" s="111"/>
      <c r="L5197" s="109" t="str">
        <f t="shared" si="81"/>
        <v>95-951900173</v>
      </c>
      <c r="M5197" s="114">
        <v>951900173</v>
      </c>
      <c r="N5197" s="114" t="s">
        <v>8588</v>
      </c>
    </row>
    <row r="5198" spans="1:14" ht="18.75">
      <c r="A5198" s="12" t="s">
        <v>6649</v>
      </c>
      <c r="B5198" s="1" t="s">
        <v>7110</v>
      </c>
      <c r="I5198" s="112"/>
      <c r="K5198" s="111"/>
      <c r="L5198" s="109" t="str">
        <f t="shared" si="81"/>
        <v>95-956100025</v>
      </c>
      <c r="M5198" s="114">
        <v>956100025</v>
      </c>
      <c r="N5198" s="114" t="s">
        <v>7888</v>
      </c>
    </row>
    <row r="5199" spans="1:14" ht="18.75">
      <c r="A5199" s="12" t="s">
        <v>6670</v>
      </c>
      <c r="B5199" s="1" t="s">
        <v>7110</v>
      </c>
      <c r="I5199" s="112"/>
      <c r="K5199" s="111"/>
      <c r="L5199" s="109" t="str">
        <f t="shared" si="81"/>
        <v>95-951400144</v>
      </c>
      <c r="M5199" s="114">
        <v>951400144</v>
      </c>
      <c r="N5199" s="114" t="s">
        <v>8589</v>
      </c>
    </row>
    <row r="5200" spans="1:14" ht="18.75">
      <c r="A5200" s="12" t="s">
        <v>6657</v>
      </c>
      <c r="B5200" s="1" t="s">
        <v>7110</v>
      </c>
      <c r="I5200" s="112"/>
      <c r="K5200" s="111"/>
      <c r="L5200" s="109" t="str">
        <f t="shared" si="81"/>
        <v>95-951400173</v>
      </c>
      <c r="M5200" s="114">
        <v>951400173</v>
      </c>
      <c r="N5200" s="114" t="s">
        <v>7831</v>
      </c>
    </row>
    <row r="5201" spans="1:14" ht="18.75">
      <c r="A5201" s="12" t="s">
        <v>6657</v>
      </c>
      <c r="B5201" s="1" t="s">
        <v>7110</v>
      </c>
      <c r="I5201" s="112"/>
      <c r="K5201" s="111"/>
      <c r="L5201" s="109" t="str">
        <f t="shared" si="81"/>
        <v>96-961800064</v>
      </c>
      <c r="M5201" s="114">
        <v>961800064</v>
      </c>
      <c r="N5201" s="114" t="s">
        <v>7160</v>
      </c>
    </row>
    <row r="5202" spans="1:14" ht="18.75">
      <c r="A5202" s="12" t="s">
        <v>6671</v>
      </c>
      <c r="B5202" s="1" t="s">
        <v>7110</v>
      </c>
      <c r="I5202" s="112"/>
      <c r="K5202" s="111"/>
      <c r="L5202" s="109" t="str">
        <f t="shared" si="81"/>
        <v>96-961700115</v>
      </c>
      <c r="M5202" s="114">
        <v>961700115</v>
      </c>
      <c r="N5202" s="114" t="s">
        <v>7160</v>
      </c>
    </row>
    <row r="5203" spans="1:14" ht="18.75">
      <c r="A5203" s="12" t="s">
        <v>6641</v>
      </c>
      <c r="B5203" s="1" t="s">
        <v>7110</v>
      </c>
      <c r="I5203" s="112"/>
      <c r="K5203" s="111"/>
      <c r="L5203" s="109" t="str">
        <f t="shared" si="81"/>
        <v>96-961700118</v>
      </c>
      <c r="M5203" s="114">
        <v>961700118</v>
      </c>
      <c r="N5203" s="114" t="s">
        <v>7160</v>
      </c>
    </row>
    <row r="5204" spans="1:14" ht="18.75">
      <c r="A5204" s="12" t="s">
        <v>6642</v>
      </c>
      <c r="B5204" s="1" t="s">
        <v>7110</v>
      </c>
      <c r="I5204" s="112"/>
      <c r="K5204" s="111"/>
      <c r="L5204" s="109" t="str">
        <f t="shared" si="81"/>
        <v>96-961700123</v>
      </c>
      <c r="M5204" s="114">
        <v>961700123</v>
      </c>
      <c r="N5204" s="114" t="s">
        <v>7160</v>
      </c>
    </row>
    <row r="5205" spans="1:14" ht="18.75">
      <c r="A5205" s="12" t="s">
        <v>6671</v>
      </c>
      <c r="B5205" s="1" t="s">
        <v>7110</v>
      </c>
      <c r="I5205" s="112"/>
      <c r="K5205" s="111"/>
      <c r="L5205" s="109" t="str">
        <f t="shared" si="81"/>
        <v>96-961700124</v>
      </c>
      <c r="M5205" s="114">
        <v>961700124</v>
      </c>
      <c r="N5205" s="114" t="s">
        <v>7160</v>
      </c>
    </row>
    <row r="5206" spans="1:14" ht="18.75">
      <c r="A5206" s="12" t="s">
        <v>6628</v>
      </c>
      <c r="B5206" s="1" t="s">
        <v>7110</v>
      </c>
      <c r="I5206" s="112"/>
      <c r="K5206" s="111"/>
      <c r="L5206" s="109" t="str">
        <f t="shared" si="81"/>
        <v>96-961900175</v>
      </c>
      <c r="M5206" s="114">
        <v>961900175</v>
      </c>
      <c r="N5206" s="114" t="s">
        <v>8759</v>
      </c>
    </row>
    <row r="5207" spans="1:14" ht="18.75">
      <c r="A5207" s="12" t="s">
        <v>6613</v>
      </c>
      <c r="B5207" s="1" t="s">
        <v>7110</v>
      </c>
      <c r="I5207" s="112"/>
      <c r="K5207" s="111"/>
      <c r="L5207" s="109" t="str">
        <f t="shared" si="81"/>
        <v>96-961700081</v>
      </c>
      <c r="M5207" s="114">
        <v>961700081</v>
      </c>
      <c r="N5207" s="114" t="s">
        <v>7544</v>
      </c>
    </row>
    <row r="5208" spans="1:14" ht="18.75">
      <c r="A5208" s="12" t="s">
        <v>6671</v>
      </c>
      <c r="B5208" s="1" t="s">
        <v>7110</v>
      </c>
      <c r="I5208" s="112"/>
      <c r="K5208" s="111"/>
      <c r="L5208" s="109" t="str">
        <f t="shared" si="81"/>
        <v>95-951900195</v>
      </c>
      <c r="M5208" s="114">
        <v>951900195</v>
      </c>
      <c r="N5208" s="114" t="s">
        <v>7679</v>
      </c>
    </row>
    <row r="5209" spans="1:14" ht="18.75">
      <c r="A5209" s="12" t="s">
        <v>6671</v>
      </c>
      <c r="B5209" s="1" t="s">
        <v>7110</v>
      </c>
      <c r="I5209" s="112"/>
      <c r="K5209" s="111"/>
      <c r="L5209" s="109" t="str">
        <f t="shared" si="81"/>
        <v>95-951900222</v>
      </c>
      <c r="M5209" s="114">
        <v>951900222</v>
      </c>
      <c r="N5209" s="114" t="s">
        <v>7679</v>
      </c>
    </row>
    <row r="5210" spans="1:14" ht="18.75">
      <c r="A5210" s="12" t="s">
        <v>6671</v>
      </c>
      <c r="B5210" s="1" t="s">
        <v>7110</v>
      </c>
      <c r="I5210" s="112"/>
      <c r="K5210" s="111"/>
      <c r="L5210" s="109" t="str">
        <f t="shared" si="81"/>
        <v>95-951900115</v>
      </c>
      <c r="M5210" s="114">
        <v>951900115</v>
      </c>
      <c r="N5210" s="114" t="s">
        <v>7192</v>
      </c>
    </row>
    <row r="5211" spans="1:14" ht="18.75">
      <c r="A5211" s="12" t="s">
        <v>6672</v>
      </c>
      <c r="B5211" s="1" t="s">
        <v>7110</v>
      </c>
      <c r="I5211" s="112"/>
      <c r="K5211" s="111"/>
      <c r="L5211" s="109" t="str">
        <f t="shared" si="81"/>
        <v>95-951300016</v>
      </c>
      <c r="M5211" s="114">
        <v>951300016</v>
      </c>
      <c r="N5211" s="114" t="s">
        <v>7804</v>
      </c>
    </row>
    <row r="5212" spans="1:14" ht="18.75">
      <c r="A5212" s="12" t="s">
        <v>6672</v>
      </c>
      <c r="B5212" s="1" t="s">
        <v>7110</v>
      </c>
      <c r="I5212" s="112"/>
      <c r="K5212" s="111"/>
      <c r="L5212" s="109" t="str">
        <f t="shared" si="81"/>
        <v>95-951700347</v>
      </c>
      <c r="M5212" s="114">
        <v>951700347</v>
      </c>
      <c r="N5212" s="114" t="s">
        <v>7682</v>
      </c>
    </row>
    <row r="5213" spans="1:14" ht="18.75">
      <c r="A5213" s="12" t="s">
        <v>6672</v>
      </c>
      <c r="B5213" s="1" t="s">
        <v>7110</v>
      </c>
      <c r="I5213" s="112"/>
      <c r="K5213" s="111"/>
      <c r="L5213" s="109" t="str">
        <f t="shared" si="81"/>
        <v>95-951400101</v>
      </c>
      <c r="M5213" s="114">
        <v>951400101</v>
      </c>
      <c r="N5213" s="114" t="s">
        <v>7188</v>
      </c>
    </row>
    <row r="5214" spans="1:14" ht="18.75">
      <c r="A5214" s="12" t="s">
        <v>6673</v>
      </c>
      <c r="B5214" s="1" t="s">
        <v>7110</v>
      </c>
      <c r="I5214" s="112"/>
      <c r="K5214" s="111"/>
      <c r="L5214" s="109" t="str">
        <f t="shared" si="81"/>
        <v>95-951400128</v>
      </c>
      <c r="M5214" s="114">
        <v>951400128</v>
      </c>
      <c r="N5214" s="114" t="s">
        <v>7164</v>
      </c>
    </row>
    <row r="5215" spans="1:14" ht="18.75">
      <c r="A5215" s="12" t="s">
        <v>6673</v>
      </c>
      <c r="B5215" s="1" t="s">
        <v>7110</v>
      </c>
      <c r="I5215" s="112"/>
      <c r="K5215" s="111"/>
      <c r="L5215" s="109" t="str">
        <f t="shared" si="81"/>
        <v>95-951400149</v>
      </c>
      <c r="M5215" s="114">
        <v>951400149</v>
      </c>
      <c r="N5215" s="114" t="s">
        <v>7832</v>
      </c>
    </row>
    <row r="5216" spans="1:14" ht="18.75">
      <c r="A5216" s="12" t="s">
        <v>6666</v>
      </c>
      <c r="B5216" s="1" t="s">
        <v>7110</v>
      </c>
      <c r="I5216" s="112"/>
      <c r="K5216" s="111"/>
      <c r="L5216" s="109" t="str">
        <f t="shared" si="81"/>
        <v>95-951900072</v>
      </c>
      <c r="M5216" s="114">
        <v>951900072</v>
      </c>
      <c r="N5216" s="114" t="s">
        <v>7804</v>
      </c>
    </row>
    <row r="5217" spans="1:14" ht="18.75">
      <c r="A5217" s="12" t="s">
        <v>6673</v>
      </c>
      <c r="B5217" s="1" t="s">
        <v>7110</v>
      </c>
      <c r="I5217" s="112"/>
      <c r="K5217" s="111"/>
      <c r="L5217" s="109" t="str">
        <f t="shared" si="81"/>
        <v>95-951900143</v>
      </c>
      <c r="M5217" s="114">
        <v>951900143</v>
      </c>
      <c r="N5217" s="114" t="s">
        <v>8295</v>
      </c>
    </row>
    <row r="5218" spans="1:14" ht="18.75">
      <c r="A5218" s="12" t="s">
        <v>6661</v>
      </c>
      <c r="B5218" s="1" t="s">
        <v>7110</v>
      </c>
      <c r="I5218" s="112"/>
      <c r="K5218" s="111"/>
      <c r="L5218" s="109" t="str">
        <f t="shared" si="81"/>
        <v>95-951900302</v>
      </c>
      <c r="M5218" s="114">
        <v>951900302</v>
      </c>
      <c r="N5218" s="114" t="s">
        <v>7878</v>
      </c>
    </row>
    <row r="5219" spans="1:14" ht="18.75">
      <c r="A5219" s="12" t="s">
        <v>6673</v>
      </c>
      <c r="B5219" s="1" t="s">
        <v>7110</v>
      </c>
      <c r="I5219" s="112"/>
      <c r="K5219" s="111"/>
      <c r="L5219" s="109" t="str">
        <f t="shared" si="81"/>
        <v>95-951900034</v>
      </c>
      <c r="M5219" s="114">
        <v>951900034</v>
      </c>
      <c r="N5219" s="114" t="s">
        <v>7765</v>
      </c>
    </row>
    <row r="5220" spans="1:14" ht="18.75">
      <c r="A5220" s="12" t="s">
        <v>6673</v>
      </c>
      <c r="B5220" s="1" t="s">
        <v>7110</v>
      </c>
      <c r="I5220" s="112"/>
      <c r="K5220" s="111"/>
      <c r="L5220" s="109" t="str">
        <f t="shared" si="81"/>
        <v>95-951900123</v>
      </c>
      <c r="M5220" s="114">
        <v>951900123</v>
      </c>
      <c r="N5220" s="114" t="s">
        <v>8590</v>
      </c>
    </row>
    <row r="5221" spans="1:14" ht="18.75">
      <c r="A5221" s="12" t="s">
        <v>6647</v>
      </c>
      <c r="B5221" s="1" t="s">
        <v>7110</v>
      </c>
      <c r="I5221" s="112"/>
      <c r="K5221" s="111"/>
      <c r="L5221" s="109" t="str">
        <f t="shared" si="81"/>
        <v>95-951900019</v>
      </c>
      <c r="M5221" s="114">
        <v>951900019</v>
      </c>
      <c r="N5221" s="114" t="s">
        <v>8591</v>
      </c>
    </row>
    <row r="5222" spans="1:14" ht="18.75">
      <c r="A5222" s="12" t="s">
        <v>6674</v>
      </c>
      <c r="B5222" s="1" t="s">
        <v>7110</v>
      </c>
      <c r="I5222" s="112"/>
      <c r="K5222" s="111"/>
      <c r="L5222" s="109" t="str">
        <f t="shared" si="81"/>
        <v>95-951900154</v>
      </c>
      <c r="M5222" s="114">
        <v>951900154</v>
      </c>
      <c r="N5222" s="114" t="s">
        <v>7683</v>
      </c>
    </row>
    <row r="5223" spans="1:14" ht="18.75">
      <c r="A5223" s="12" t="s">
        <v>6674</v>
      </c>
      <c r="B5223" s="1" t="s">
        <v>7110</v>
      </c>
      <c r="I5223" s="112"/>
      <c r="K5223" s="111"/>
      <c r="L5223" s="109" t="str">
        <f t="shared" si="81"/>
        <v>96-961800014</v>
      </c>
      <c r="M5223" s="114">
        <v>961800014</v>
      </c>
      <c r="N5223" s="114" t="s">
        <v>8423</v>
      </c>
    </row>
    <row r="5224" spans="1:14" ht="18.75">
      <c r="A5224" s="12" t="s">
        <v>6675</v>
      </c>
      <c r="B5224" s="1" t="s">
        <v>7110</v>
      </c>
      <c r="I5224" s="112"/>
      <c r="K5224" s="111"/>
      <c r="L5224" s="109" t="str">
        <f t="shared" si="81"/>
        <v>95-951400115</v>
      </c>
      <c r="M5224" s="114">
        <v>951400115</v>
      </c>
      <c r="N5224" s="114" t="s">
        <v>7695</v>
      </c>
    </row>
    <row r="5225" spans="1:14" ht="18.75">
      <c r="A5225" s="12" t="s">
        <v>6676</v>
      </c>
      <c r="B5225" s="1" t="s">
        <v>7110</v>
      </c>
      <c r="I5225" s="112"/>
      <c r="K5225" s="111"/>
      <c r="L5225" s="109" t="str">
        <f t="shared" si="81"/>
        <v>96-961900168</v>
      </c>
      <c r="M5225" s="114">
        <v>961900168</v>
      </c>
      <c r="N5225" s="114" t="s">
        <v>7193</v>
      </c>
    </row>
    <row r="5226" spans="1:14" ht="18.75">
      <c r="A5226" s="12" t="s">
        <v>6676</v>
      </c>
      <c r="B5226" s="1" t="s">
        <v>7110</v>
      </c>
      <c r="I5226" s="112"/>
      <c r="K5226" s="111"/>
      <c r="L5226" s="109" t="str">
        <f t="shared" si="81"/>
        <v>95-951900322</v>
      </c>
      <c r="M5226" s="114">
        <v>951900322</v>
      </c>
      <c r="N5226" s="114" t="s">
        <v>7800</v>
      </c>
    </row>
    <row r="5227" spans="1:14" ht="18.75">
      <c r="A5227" s="12" t="s">
        <v>6677</v>
      </c>
      <c r="B5227" s="1" t="s">
        <v>7110</v>
      </c>
      <c r="I5227" s="112"/>
      <c r="K5227" s="111"/>
      <c r="L5227" s="109" t="str">
        <f t="shared" si="81"/>
        <v>95-951800017</v>
      </c>
      <c r="M5227" s="114">
        <v>951800017</v>
      </c>
      <c r="N5227" s="114" t="s">
        <v>8311</v>
      </c>
    </row>
    <row r="5228" spans="1:14" ht="18.75">
      <c r="A5228" s="12" t="s">
        <v>6677</v>
      </c>
      <c r="B5228" s="1" t="s">
        <v>7110</v>
      </c>
      <c r="I5228" s="112"/>
      <c r="K5228" s="111"/>
      <c r="L5228" s="109" t="str">
        <f t="shared" si="81"/>
        <v>95-951800044</v>
      </c>
      <c r="M5228" s="114">
        <v>951800044</v>
      </c>
      <c r="N5228" s="114" t="s">
        <v>8592</v>
      </c>
    </row>
    <row r="5229" spans="1:14" ht="18.75">
      <c r="A5229" s="12" t="s">
        <v>6678</v>
      </c>
      <c r="B5229" s="1" t="s">
        <v>7110</v>
      </c>
      <c r="I5229" s="112"/>
      <c r="K5229" s="111"/>
      <c r="L5229" s="109" t="str">
        <f t="shared" si="81"/>
        <v>96-966200253</v>
      </c>
      <c r="M5229" s="114">
        <v>966200253</v>
      </c>
      <c r="N5229" s="114" t="s">
        <v>7730</v>
      </c>
    </row>
    <row r="5230" spans="1:14" ht="18.75">
      <c r="A5230" s="12" t="s">
        <v>6678</v>
      </c>
      <c r="B5230" s="1" t="s">
        <v>7110</v>
      </c>
      <c r="I5230" s="112"/>
      <c r="K5230" s="111"/>
      <c r="L5230" s="109" t="str">
        <f t="shared" si="81"/>
        <v>95-951400151</v>
      </c>
      <c r="M5230" s="114">
        <v>951400151</v>
      </c>
      <c r="N5230" s="114" t="s">
        <v>7832</v>
      </c>
    </row>
    <row r="5231" spans="1:14" ht="18.75">
      <c r="A5231" s="12" t="s">
        <v>6678</v>
      </c>
      <c r="B5231" s="1" t="s">
        <v>7110</v>
      </c>
      <c r="I5231" s="112"/>
      <c r="K5231" s="111"/>
      <c r="L5231" s="109" t="str">
        <f t="shared" si="81"/>
        <v>95-951700351</v>
      </c>
      <c r="M5231" s="114">
        <v>951700351</v>
      </c>
      <c r="N5231" s="114" t="s">
        <v>7878</v>
      </c>
    </row>
    <row r="5232" spans="1:14" ht="18.75">
      <c r="A5232" s="12" t="s">
        <v>6678</v>
      </c>
      <c r="B5232" s="1" t="s">
        <v>7110</v>
      </c>
      <c r="I5232" s="112"/>
      <c r="K5232" s="111"/>
      <c r="L5232" s="109" t="str">
        <f t="shared" si="81"/>
        <v>96-961800051</v>
      </c>
      <c r="M5232" s="114">
        <v>961800051</v>
      </c>
      <c r="N5232" s="114" t="s">
        <v>8593</v>
      </c>
    </row>
    <row r="5233" spans="1:14" ht="18.75">
      <c r="A5233" s="12" t="s">
        <v>6679</v>
      </c>
      <c r="B5233" s="1" t="s">
        <v>7110</v>
      </c>
      <c r="I5233" s="112"/>
      <c r="K5233" s="111"/>
      <c r="L5233" s="109" t="str">
        <f t="shared" si="81"/>
        <v>95-951800147</v>
      </c>
      <c r="M5233" s="114">
        <v>951800147</v>
      </c>
      <c r="N5233" s="114" t="s">
        <v>8575</v>
      </c>
    </row>
    <row r="5234" spans="1:14" ht="18.75">
      <c r="A5234" s="12" t="s">
        <v>6679</v>
      </c>
      <c r="B5234" s="1" t="s">
        <v>7110</v>
      </c>
      <c r="I5234" s="112"/>
      <c r="K5234" s="111"/>
      <c r="L5234" s="109" t="str">
        <f t="shared" si="81"/>
        <v>95-951300024</v>
      </c>
      <c r="M5234" s="114">
        <v>951300024</v>
      </c>
      <c r="N5234" s="114" t="s">
        <v>7708</v>
      </c>
    </row>
    <row r="5235" spans="1:14" ht="18.75">
      <c r="A5235" s="12" t="s">
        <v>6680</v>
      </c>
      <c r="B5235" s="1" t="s">
        <v>7110</v>
      </c>
      <c r="I5235" s="112"/>
      <c r="K5235" s="111"/>
      <c r="L5235" s="109" t="str">
        <f t="shared" si="81"/>
        <v>95-951300025</v>
      </c>
      <c r="M5235" s="114">
        <v>951300025</v>
      </c>
      <c r="N5235" s="114" t="s">
        <v>7708</v>
      </c>
    </row>
    <row r="5236" spans="1:14" ht="18.75">
      <c r="A5236" s="12" t="s">
        <v>6681</v>
      </c>
      <c r="B5236" s="1" t="s">
        <v>7110</v>
      </c>
      <c r="I5236" s="112"/>
      <c r="K5236" s="111"/>
      <c r="L5236" s="109" t="str">
        <f t="shared" si="81"/>
        <v>95-951300027</v>
      </c>
      <c r="M5236" s="114">
        <v>951300027</v>
      </c>
      <c r="N5236" s="114" t="s">
        <v>7708</v>
      </c>
    </row>
    <row r="5237" spans="1:14" ht="18.75">
      <c r="A5237" s="12" t="s">
        <v>6681</v>
      </c>
      <c r="B5237" s="1" t="s">
        <v>7110</v>
      </c>
      <c r="I5237" s="112"/>
      <c r="K5237" s="111"/>
      <c r="L5237" s="109" t="str">
        <f t="shared" si="81"/>
        <v>96-966200273</v>
      </c>
      <c r="M5237" s="114">
        <v>966200273</v>
      </c>
      <c r="N5237" s="114" t="s">
        <v>7167</v>
      </c>
    </row>
    <row r="5238" spans="1:14" ht="18.75">
      <c r="A5238" s="12" t="s">
        <v>6681</v>
      </c>
      <c r="B5238" s="1" t="s">
        <v>7110</v>
      </c>
      <c r="I5238" s="112"/>
      <c r="K5238" s="111"/>
      <c r="L5238" s="109" t="str">
        <f t="shared" si="81"/>
        <v>95-951900024</v>
      </c>
      <c r="M5238" s="114">
        <v>951900024</v>
      </c>
      <c r="N5238" s="114" t="s">
        <v>7667</v>
      </c>
    </row>
    <row r="5239" spans="1:14" ht="18.75">
      <c r="A5239" s="12" t="s">
        <v>6682</v>
      </c>
      <c r="B5239" s="1" t="s">
        <v>7110</v>
      </c>
      <c r="I5239" s="112"/>
      <c r="K5239" s="111"/>
      <c r="L5239" s="109" t="str">
        <f t="shared" si="81"/>
        <v>96-961800053</v>
      </c>
      <c r="M5239" s="114">
        <v>961800053</v>
      </c>
      <c r="N5239" s="114" t="s">
        <v>7794</v>
      </c>
    </row>
    <row r="5240" spans="1:14" ht="18.75">
      <c r="A5240" s="12" t="s">
        <v>6683</v>
      </c>
      <c r="B5240" s="1" t="s">
        <v>7110</v>
      </c>
      <c r="I5240" s="112"/>
      <c r="K5240" s="111"/>
      <c r="L5240" s="109" t="str">
        <f t="shared" si="81"/>
        <v>95-951600026</v>
      </c>
      <c r="M5240" s="114">
        <v>951600026</v>
      </c>
      <c r="N5240" s="114" t="s">
        <v>7719</v>
      </c>
    </row>
    <row r="5241" spans="1:14" ht="18.75">
      <c r="A5241" s="12" t="s">
        <v>6684</v>
      </c>
      <c r="B5241" s="1" t="s">
        <v>7110</v>
      </c>
      <c r="I5241" s="112"/>
      <c r="K5241" s="111"/>
      <c r="L5241" s="109" t="str">
        <f t="shared" si="81"/>
        <v>95-951900180</v>
      </c>
      <c r="M5241" s="114">
        <v>951900180</v>
      </c>
      <c r="N5241" s="114" t="s">
        <v>7729</v>
      </c>
    </row>
    <row r="5242" spans="1:14" ht="18.75">
      <c r="A5242" s="12" t="s">
        <v>6685</v>
      </c>
      <c r="B5242" s="1" t="s">
        <v>7110</v>
      </c>
      <c r="I5242" s="112"/>
      <c r="K5242" s="111"/>
      <c r="L5242" s="109" t="str">
        <f t="shared" si="81"/>
        <v>95-951400054</v>
      </c>
      <c r="M5242" s="114">
        <v>951400054</v>
      </c>
      <c r="N5242" s="114" t="s">
        <v>8594</v>
      </c>
    </row>
    <row r="5243" spans="1:14" ht="18.75">
      <c r="A5243" s="12" t="s">
        <v>6683</v>
      </c>
      <c r="B5243" s="1" t="s">
        <v>7110</v>
      </c>
      <c r="I5243" s="112"/>
      <c r="K5243" s="111"/>
      <c r="L5243" s="109" t="str">
        <f t="shared" si="81"/>
        <v>96-966200164</v>
      </c>
      <c r="M5243" s="114">
        <v>966200164</v>
      </c>
      <c r="N5243" s="114" t="s">
        <v>7859</v>
      </c>
    </row>
    <row r="5244" spans="1:14" ht="18.75">
      <c r="A5244" s="12" t="s">
        <v>6686</v>
      </c>
      <c r="B5244" s="1" t="s">
        <v>7110</v>
      </c>
      <c r="I5244" s="112"/>
      <c r="K5244" s="111"/>
      <c r="L5244" s="109" t="str">
        <f t="shared" si="81"/>
        <v>96-966200275</v>
      </c>
      <c r="M5244" s="114">
        <v>966200275</v>
      </c>
      <c r="N5244" s="114" t="s">
        <v>7167</v>
      </c>
    </row>
    <row r="5245" spans="1:14" ht="18.75">
      <c r="A5245" s="12" t="s">
        <v>6686</v>
      </c>
      <c r="B5245" s="1" t="s">
        <v>7110</v>
      </c>
      <c r="I5245" s="112"/>
      <c r="K5245" s="111"/>
      <c r="L5245" s="109" t="str">
        <f t="shared" si="81"/>
        <v>96-966200222</v>
      </c>
      <c r="M5245" s="114">
        <v>966200222</v>
      </c>
      <c r="N5245" s="114" t="s">
        <v>7707</v>
      </c>
    </row>
    <row r="5246" spans="1:14" ht="18.75">
      <c r="A5246" s="12" t="s">
        <v>6686</v>
      </c>
      <c r="B5246" s="1" t="s">
        <v>7110</v>
      </c>
      <c r="I5246" s="112"/>
      <c r="K5246" s="111"/>
      <c r="L5246" s="109" t="str">
        <f t="shared" si="81"/>
        <v>96-966200281</v>
      </c>
      <c r="M5246" s="114">
        <v>966200281</v>
      </c>
      <c r="N5246" s="114" t="s">
        <v>7210</v>
      </c>
    </row>
    <row r="5247" spans="1:14" ht="18.75">
      <c r="A5247" s="12" t="s">
        <v>6687</v>
      </c>
      <c r="B5247" s="1" t="s">
        <v>7110</v>
      </c>
      <c r="I5247" s="112"/>
      <c r="K5247" s="111"/>
      <c r="L5247" s="109" t="str">
        <f t="shared" si="81"/>
        <v>95-951900126</v>
      </c>
      <c r="M5247" s="114">
        <v>951900126</v>
      </c>
      <c r="N5247" s="114" t="s">
        <v>8595</v>
      </c>
    </row>
    <row r="5248" spans="1:14" ht="18.75">
      <c r="A5248" s="12" t="s">
        <v>6687</v>
      </c>
      <c r="B5248" s="1" t="s">
        <v>7110</v>
      </c>
      <c r="I5248" s="112"/>
      <c r="K5248" s="111"/>
      <c r="L5248" s="109" t="str">
        <f t="shared" si="81"/>
        <v>95-951600022</v>
      </c>
      <c r="M5248" s="114">
        <v>951600022</v>
      </c>
      <c r="N5248" s="114" t="s">
        <v>8401</v>
      </c>
    </row>
    <row r="5249" spans="1:14" ht="18.75">
      <c r="A5249" s="12" t="s">
        <v>6687</v>
      </c>
      <c r="B5249" s="1" t="s">
        <v>7110</v>
      </c>
      <c r="I5249" s="112"/>
      <c r="K5249" s="111"/>
      <c r="L5249" s="109" t="str">
        <f t="shared" si="81"/>
        <v>96-961900157</v>
      </c>
      <c r="M5249" s="114">
        <v>961900157</v>
      </c>
      <c r="N5249" s="114" t="s">
        <v>8596</v>
      </c>
    </row>
    <row r="5250" spans="1:14" ht="18.75">
      <c r="A5250" s="12" t="s">
        <v>6682</v>
      </c>
      <c r="B5250" s="1" t="s">
        <v>7110</v>
      </c>
      <c r="I5250" s="112"/>
      <c r="K5250" s="111"/>
      <c r="L5250" s="109" t="str">
        <f t="shared" si="81"/>
        <v>96-961800025</v>
      </c>
      <c r="M5250" s="114">
        <v>961800025</v>
      </c>
      <c r="N5250" s="114" t="s">
        <v>8597</v>
      </c>
    </row>
    <row r="5251" spans="1:14" ht="18.75">
      <c r="A5251" s="12" t="s">
        <v>6688</v>
      </c>
      <c r="B5251" s="1" t="s">
        <v>7110</v>
      </c>
      <c r="I5251" s="112"/>
      <c r="K5251" s="111"/>
      <c r="L5251" s="109" t="str">
        <f t="shared" ref="L5251:L5314" si="82">MID(M5251,1,2)&amp;"-"&amp;M5251</f>
        <v>95-956000007</v>
      </c>
      <c r="M5251" s="114">
        <v>956000007</v>
      </c>
      <c r="N5251" s="114" t="s">
        <v>7146</v>
      </c>
    </row>
    <row r="5252" spans="1:14" ht="18.75">
      <c r="A5252" s="12" t="s">
        <v>6689</v>
      </c>
      <c r="B5252" s="1" t="s">
        <v>7110</v>
      </c>
      <c r="I5252" s="112"/>
      <c r="K5252" s="111"/>
      <c r="L5252" s="109" t="str">
        <f t="shared" si="82"/>
        <v>95-952200053</v>
      </c>
      <c r="M5252" s="114">
        <v>952200053</v>
      </c>
      <c r="N5252" s="114" t="s">
        <v>7226</v>
      </c>
    </row>
    <row r="5253" spans="1:14" ht="18.75">
      <c r="A5253" s="12" t="s">
        <v>6690</v>
      </c>
      <c r="B5253" s="1" t="s">
        <v>7110</v>
      </c>
      <c r="I5253" s="112"/>
      <c r="K5253" s="111"/>
      <c r="L5253" s="109" t="str">
        <f t="shared" si="82"/>
        <v>95-952200063</v>
      </c>
      <c r="M5253" s="114">
        <v>952200063</v>
      </c>
      <c r="N5253" s="114" t="s">
        <v>7174</v>
      </c>
    </row>
    <row r="5254" spans="1:14" ht="18.75">
      <c r="A5254" s="12" t="s">
        <v>6689</v>
      </c>
      <c r="B5254" s="1" t="s">
        <v>7110</v>
      </c>
      <c r="I5254" s="112"/>
      <c r="K5254" s="111"/>
      <c r="L5254" s="109" t="str">
        <f t="shared" si="82"/>
        <v>96-962200016</v>
      </c>
      <c r="M5254" s="114">
        <v>962200016</v>
      </c>
      <c r="N5254" s="114" t="s">
        <v>7229</v>
      </c>
    </row>
    <row r="5255" spans="1:14" ht="18.75">
      <c r="A5255" s="12" t="s">
        <v>6688</v>
      </c>
      <c r="B5255" s="1" t="s">
        <v>7110</v>
      </c>
      <c r="I5255" s="112"/>
      <c r="K5255" s="111"/>
      <c r="L5255" s="109" t="str">
        <f t="shared" si="82"/>
        <v>96-962200043</v>
      </c>
      <c r="M5255" s="114">
        <v>962200043</v>
      </c>
      <c r="N5255" s="114" t="s">
        <v>7228</v>
      </c>
    </row>
    <row r="5256" spans="1:14" ht="18.75">
      <c r="A5256" s="12" t="s">
        <v>6688</v>
      </c>
      <c r="B5256" s="1" t="s">
        <v>7110</v>
      </c>
      <c r="I5256" s="112"/>
      <c r="K5256" s="111"/>
      <c r="L5256" s="109" t="str">
        <f t="shared" si="82"/>
        <v>96-962200078</v>
      </c>
      <c r="M5256" s="114">
        <v>962200078</v>
      </c>
      <c r="N5256" s="114" t="s">
        <v>8721</v>
      </c>
    </row>
    <row r="5257" spans="1:14" ht="18.75">
      <c r="A5257" s="12" t="s">
        <v>6689</v>
      </c>
      <c r="B5257" s="1" t="s">
        <v>7110</v>
      </c>
      <c r="I5257" s="112"/>
      <c r="K5257" s="111"/>
      <c r="L5257" s="109" t="str">
        <f t="shared" si="82"/>
        <v>95-952500048</v>
      </c>
      <c r="M5257" s="114">
        <v>952500048</v>
      </c>
      <c r="N5257" s="114" t="s">
        <v>5661</v>
      </c>
    </row>
    <row r="5258" spans="1:14" ht="18.75">
      <c r="A5258" s="12" t="s">
        <v>6689</v>
      </c>
      <c r="B5258" s="1" t="s">
        <v>7110</v>
      </c>
      <c r="I5258" s="112"/>
      <c r="K5258" s="111"/>
      <c r="L5258" s="109" t="str">
        <f t="shared" si="82"/>
        <v>96-962500133</v>
      </c>
      <c r="M5258" s="114">
        <v>962500133</v>
      </c>
      <c r="N5258" s="114" t="s">
        <v>8717</v>
      </c>
    </row>
    <row r="5259" spans="1:14" ht="18.75">
      <c r="A5259" s="12" t="s">
        <v>6691</v>
      </c>
      <c r="B5259" s="1" t="s">
        <v>7110</v>
      </c>
      <c r="I5259" s="112"/>
      <c r="K5259" s="111"/>
      <c r="L5259" s="109" t="str">
        <f t="shared" si="82"/>
        <v>95-952500071</v>
      </c>
      <c r="M5259" s="114">
        <v>952500071</v>
      </c>
      <c r="N5259" s="114" t="s">
        <v>5729</v>
      </c>
    </row>
    <row r="5260" spans="1:14" ht="18.75">
      <c r="A5260" s="12" t="s">
        <v>6692</v>
      </c>
      <c r="B5260" s="1" t="s">
        <v>7110</v>
      </c>
      <c r="I5260" s="112"/>
      <c r="K5260" s="111"/>
      <c r="L5260" s="109" t="str">
        <f t="shared" si="82"/>
        <v>95-952500100</v>
      </c>
      <c r="M5260" s="114">
        <v>952500100</v>
      </c>
      <c r="N5260" s="114" t="s">
        <v>5710</v>
      </c>
    </row>
    <row r="5261" spans="1:14" ht="18.75">
      <c r="A5261" s="12" t="s">
        <v>6693</v>
      </c>
      <c r="B5261" s="1" t="s">
        <v>7110</v>
      </c>
      <c r="I5261" s="112"/>
      <c r="K5261" s="111"/>
      <c r="L5261" s="109" t="str">
        <f t="shared" si="82"/>
        <v>96-962500078</v>
      </c>
      <c r="M5261" s="114">
        <v>962500078</v>
      </c>
      <c r="N5261" s="114" t="s">
        <v>5842</v>
      </c>
    </row>
    <row r="5262" spans="1:14" ht="18.75">
      <c r="A5262" s="12" t="s">
        <v>6694</v>
      </c>
      <c r="B5262" s="1" t="s">
        <v>7110</v>
      </c>
      <c r="I5262" s="112"/>
      <c r="K5262" s="111"/>
      <c r="L5262" s="109" t="str">
        <f t="shared" si="82"/>
        <v>96-962500098</v>
      </c>
      <c r="M5262" s="114">
        <v>962500098</v>
      </c>
      <c r="N5262" s="114" t="s">
        <v>5842</v>
      </c>
    </row>
    <row r="5263" spans="1:14" ht="18.75">
      <c r="A5263" s="12" t="s">
        <v>6695</v>
      </c>
      <c r="B5263" s="1" t="s">
        <v>7110</v>
      </c>
      <c r="I5263" s="112"/>
      <c r="K5263" s="111"/>
      <c r="L5263" s="109" t="str">
        <f t="shared" si="82"/>
        <v>96-962500025</v>
      </c>
      <c r="M5263" s="114">
        <v>962500025</v>
      </c>
      <c r="N5263" s="114" t="s">
        <v>5811</v>
      </c>
    </row>
    <row r="5264" spans="1:14" ht="18.75">
      <c r="A5264" s="12" t="s">
        <v>6695</v>
      </c>
      <c r="B5264" s="1" t="s">
        <v>7110</v>
      </c>
      <c r="I5264" s="112"/>
      <c r="K5264" s="111"/>
      <c r="L5264" s="109" t="str">
        <f t="shared" si="82"/>
        <v>96-962500095</v>
      </c>
      <c r="M5264" s="114">
        <v>962500095</v>
      </c>
      <c r="N5264" s="114" t="s">
        <v>5856</v>
      </c>
    </row>
    <row r="5265" spans="1:14" ht="18.75">
      <c r="A5265" s="12" t="s">
        <v>6694</v>
      </c>
      <c r="B5265" s="1" t="s">
        <v>7110</v>
      </c>
      <c r="I5265" s="112"/>
      <c r="K5265" s="111"/>
      <c r="L5265" s="109" t="str">
        <f t="shared" si="82"/>
        <v>95-954200012</v>
      </c>
      <c r="M5265" s="114">
        <v>954200012</v>
      </c>
      <c r="N5265" s="114" t="s">
        <v>5642</v>
      </c>
    </row>
    <row r="5266" spans="1:14" ht="18.75">
      <c r="A5266" s="12" t="s">
        <v>6696</v>
      </c>
      <c r="B5266" s="1" t="s">
        <v>7110</v>
      </c>
      <c r="I5266" s="112"/>
      <c r="K5266" s="111"/>
      <c r="L5266" s="109" t="str">
        <f t="shared" si="82"/>
        <v>95-954200034</v>
      </c>
      <c r="M5266" s="114">
        <v>954200034</v>
      </c>
      <c r="N5266" s="114" t="s">
        <v>5649</v>
      </c>
    </row>
    <row r="5267" spans="1:14" ht="18.75">
      <c r="A5267" s="12" t="s">
        <v>6697</v>
      </c>
      <c r="B5267" s="1" t="s">
        <v>7110</v>
      </c>
      <c r="I5267" s="112"/>
      <c r="K5267" s="111"/>
      <c r="L5267" s="109" t="str">
        <f t="shared" si="82"/>
        <v>95-951500448</v>
      </c>
      <c r="M5267" s="114">
        <v>951500448</v>
      </c>
      <c r="N5267" s="114" t="s">
        <v>5701</v>
      </c>
    </row>
    <row r="5268" spans="1:14" ht="18.75">
      <c r="A5268" s="12" t="s">
        <v>6698</v>
      </c>
      <c r="B5268" s="1" t="s">
        <v>7110</v>
      </c>
      <c r="I5268" s="112"/>
      <c r="K5268" s="111"/>
      <c r="L5268" s="109" t="str">
        <f t="shared" si="82"/>
        <v>95-951500018</v>
      </c>
      <c r="M5268" s="114">
        <v>951500018</v>
      </c>
      <c r="N5268" s="114" t="s">
        <v>5605</v>
      </c>
    </row>
    <row r="5269" spans="1:14" ht="18.75">
      <c r="A5269" s="12" t="s">
        <v>6699</v>
      </c>
      <c r="B5269" s="1" t="s">
        <v>7110</v>
      </c>
      <c r="I5269" s="112"/>
      <c r="K5269" s="111"/>
      <c r="L5269" s="109" t="str">
        <f t="shared" si="82"/>
        <v>95-951500208</v>
      </c>
      <c r="M5269" s="114">
        <v>951500208</v>
      </c>
      <c r="N5269" s="114" t="s">
        <v>5618</v>
      </c>
    </row>
    <row r="5270" spans="1:14" ht="18.75">
      <c r="A5270" s="12" t="s">
        <v>6700</v>
      </c>
      <c r="B5270" s="1" t="s">
        <v>7110</v>
      </c>
      <c r="I5270" s="112"/>
      <c r="K5270" s="111"/>
      <c r="L5270" s="109" t="str">
        <f t="shared" si="82"/>
        <v>95-951500121</v>
      </c>
      <c r="M5270" s="114">
        <v>951500121</v>
      </c>
      <c r="N5270" s="114" t="s">
        <v>5612</v>
      </c>
    </row>
    <row r="5271" spans="1:14" ht="18.75">
      <c r="A5271" s="12" t="s">
        <v>6701</v>
      </c>
      <c r="B5271" s="1" t="s">
        <v>7110</v>
      </c>
      <c r="I5271" s="112"/>
      <c r="K5271" s="111"/>
      <c r="L5271" s="109" t="str">
        <f t="shared" si="82"/>
        <v>95-951500210</v>
      </c>
      <c r="M5271" s="114">
        <v>951500210</v>
      </c>
      <c r="N5271" s="114" t="s">
        <v>5630</v>
      </c>
    </row>
    <row r="5272" spans="1:14" ht="18.75">
      <c r="A5272" s="12" t="s">
        <v>6697</v>
      </c>
      <c r="B5272" s="1" t="s">
        <v>7110</v>
      </c>
      <c r="I5272" s="112"/>
      <c r="K5272" s="111"/>
      <c r="L5272" s="109" t="str">
        <f t="shared" si="82"/>
        <v>95-951500260</v>
      </c>
      <c r="M5272" s="114">
        <v>951500260</v>
      </c>
      <c r="N5272" s="114" t="s">
        <v>5645</v>
      </c>
    </row>
    <row r="5273" spans="1:14" ht="18.75">
      <c r="A5273" s="12" t="s">
        <v>6702</v>
      </c>
      <c r="B5273" s="1" t="s">
        <v>7110</v>
      </c>
      <c r="I5273" s="112"/>
      <c r="K5273" s="111"/>
      <c r="L5273" s="109" t="str">
        <f t="shared" si="82"/>
        <v>95-951500292</v>
      </c>
      <c r="M5273" s="114">
        <v>951500292</v>
      </c>
      <c r="N5273" s="114" t="s">
        <v>5659</v>
      </c>
    </row>
    <row r="5274" spans="1:14" ht="18.75">
      <c r="A5274" s="12" t="s">
        <v>6702</v>
      </c>
      <c r="B5274" s="1" t="s">
        <v>7110</v>
      </c>
      <c r="I5274" s="112"/>
      <c r="K5274" s="111"/>
      <c r="L5274" s="109" t="str">
        <f t="shared" si="82"/>
        <v>96-961500079</v>
      </c>
      <c r="M5274" s="114">
        <v>961500079</v>
      </c>
      <c r="N5274" s="114" t="s">
        <v>5762</v>
      </c>
    </row>
    <row r="5275" spans="1:14" ht="18.75">
      <c r="A5275" s="12" t="s">
        <v>6696</v>
      </c>
      <c r="B5275" s="1" t="s">
        <v>7110</v>
      </c>
      <c r="I5275" s="112"/>
      <c r="K5275" s="111"/>
      <c r="L5275" s="109" t="str">
        <f t="shared" si="82"/>
        <v>96-961500263</v>
      </c>
      <c r="M5275" s="114">
        <v>961500263</v>
      </c>
      <c r="N5275" s="114" t="s">
        <v>5814</v>
      </c>
    </row>
    <row r="5276" spans="1:14" ht="18.75">
      <c r="A5276" s="12" t="s">
        <v>6702</v>
      </c>
      <c r="B5276" s="1" t="s">
        <v>7110</v>
      </c>
      <c r="I5276" s="112"/>
      <c r="K5276" s="111"/>
      <c r="L5276" s="109" t="str">
        <f t="shared" si="82"/>
        <v>95-951500066</v>
      </c>
      <c r="M5276" s="114">
        <v>951500066</v>
      </c>
      <c r="N5276" s="114" t="s">
        <v>5608</v>
      </c>
    </row>
    <row r="5277" spans="1:14" ht="18.75">
      <c r="A5277" s="12" t="s">
        <v>6690</v>
      </c>
      <c r="B5277" s="1" t="s">
        <v>7110</v>
      </c>
      <c r="I5277" s="112"/>
      <c r="K5277" s="111"/>
      <c r="L5277" s="109" t="str">
        <f t="shared" si="82"/>
        <v>95-951500108</v>
      </c>
      <c r="M5277" s="114">
        <v>951500108</v>
      </c>
      <c r="N5277" s="114" t="s">
        <v>5608</v>
      </c>
    </row>
    <row r="5278" spans="1:14" ht="18.75">
      <c r="A5278" s="12" t="s">
        <v>6703</v>
      </c>
      <c r="B5278" s="1" t="s">
        <v>7110</v>
      </c>
      <c r="I5278" s="112"/>
      <c r="K5278" s="111"/>
      <c r="L5278" s="109" t="str">
        <f t="shared" si="82"/>
        <v>95-951500117</v>
      </c>
      <c r="M5278" s="114">
        <v>951500117</v>
      </c>
      <c r="N5278" s="114" t="s">
        <v>5608</v>
      </c>
    </row>
    <row r="5279" spans="1:14" ht="18.75">
      <c r="A5279" s="12" t="s">
        <v>6704</v>
      </c>
      <c r="B5279" s="1" t="s">
        <v>7110</v>
      </c>
      <c r="I5279" s="112"/>
      <c r="K5279" s="111"/>
      <c r="L5279" s="109" t="str">
        <f t="shared" si="82"/>
        <v>95-951500456</v>
      </c>
      <c r="M5279" s="114">
        <v>951500456</v>
      </c>
      <c r="N5279" s="114" t="s">
        <v>5690</v>
      </c>
    </row>
    <row r="5280" spans="1:14" ht="18.75">
      <c r="A5280" s="12" t="s">
        <v>6704</v>
      </c>
      <c r="B5280" s="1" t="s">
        <v>7110</v>
      </c>
      <c r="I5280" s="112"/>
      <c r="K5280" s="111"/>
      <c r="L5280" s="109" t="str">
        <f t="shared" si="82"/>
        <v>95-951500463</v>
      </c>
      <c r="M5280" s="114">
        <v>951500463</v>
      </c>
      <c r="N5280" s="114" t="s">
        <v>5690</v>
      </c>
    </row>
    <row r="5281" spans="1:14" ht="18.75">
      <c r="A5281" s="12" t="s">
        <v>6691</v>
      </c>
      <c r="B5281" s="1" t="s">
        <v>7110</v>
      </c>
      <c r="I5281" s="112"/>
      <c r="K5281" s="111"/>
      <c r="L5281" s="109" t="str">
        <f t="shared" si="82"/>
        <v>95-951500503</v>
      </c>
      <c r="M5281" s="114">
        <v>951500503</v>
      </c>
      <c r="N5281" s="114" t="s">
        <v>5690</v>
      </c>
    </row>
    <row r="5282" spans="1:14" ht="18.75">
      <c r="A5282" s="12" t="s">
        <v>6703</v>
      </c>
      <c r="B5282" s="1" t="s">
        <v>7110</v>
      </c>
      <c r="I5282" s="112"/>
      <c r="K5282" s="111"/>
      <c r="L5282" s="109" t="str">
        <f t="shared" si="82"/>
        <v>96-961500024</v>
      </c>
      <c r="M5282" s="114">
        <v>961500024</v>
      </c>
      <c r="N5282" s="114" t="s">
        <v>5751</v>
      </c>
    </row>
    <row r="5283" spans="1:14" ht="18.75">
      <c r="A5283" s="12" t="s">
        <v>6704</v>
      </c>
      <c r="B5283" s="1" t="s">
        <v>7110</v>
      </c>
      <c r="I5283" s="112"/>
      <c r="K5283" s="111"/>
      <c r="L5283" s="109" t="str">
        <f t="shared" si="82"/>
        <v>96-961500090</v>
      </c>
      <c r="M5283" s="114">
        <v>961500090</v>
      </c>
      <c r="N5283" s="114" t="s">
        <v>5794</v>
      </c>
    </row>
    <row r="5284" spans="1:14" ht="18.75">
      <c r="A5284" s="12" t="s">
        <v>6705</v>
      </c>
      <c r="B5284" s="1" t="s">
        <v>7110</v>
      </c>
      <c r="I5284" s="112"/>
      <c r="K5284" s="111"/>
      <c r="L5284" s="109" t="str">
        <f t="shared" si="82"/>
        <v>95-951100021</v>
      </c>
      <c r="M5284" s="114">
        <v>951100021</v>
      </c>
      <c r="N5284" s="114" t="s">
        <v>8598</v>
      </c>
    </row>
    <row r="5285" spans="1:14" ht="18.75">
      <c r="A5285" s="12" t="s">
        <v>6706</v>
      </c>
      <c r="B5285" s="1" t="s">
        <v>7110</v>
      </c>
      <c r="I5285" s="112"/>
      <c r="K5285" s="111"/>
      <c r="L5285" s="109" t="str">
        <f t="shared" si="82"/>
        <v>96-961100049</v>
      </c>
      <c r="M5285" s="114">
        <v>961100049</v>
      </c>
      <c r="N5285" s="114" t="s">
        <v>8599</v>
      </c>
    </row>
    <row r="5286" spans="1:14" ht="18.75">
      <c r="A5286" s="12" t="s">
        <v>6705</v>
      </c>
      <c r="B5286" s="1" t="s">
        <v>7110</v>
      </c>
      <c r="I5286" s="112"/>
      <c r="K5286" s="111"/>
      <c r="L5286" s="109" t="str">
        <f t="shared" si="82"/>
        <v>96-961100066</v>
      </c>
      <c r="M5286" s="114">
        <v>961100066</v>
      </c>
      <c r="N5286" s="114" t="s">
        <v>8600</v>
      </c>
    </row>
    <row r="5287" spans="1:14" ht="18.75">
      <c r="A5287" s="12" t="s">
        <v>6707</v>
      </c>
      <c r="B5287" s="1" t="s">
        <v>7110</v>
      </c>
      <c r="I5287" s="112"/>
      <c r="K5287" s="111"/>
      <c r="L5287" s="109" t="str">
        <f t="shared" si="82"/>
        <v>95-952000018</v>
      </c>
      <c r="M5287" s="114">
        <v>952000018</v>
      </c>
      <c r="N5287" s="114" t="s">
        <v>7904</v>
      </c>
    </row>
    <row r="5288" spans="1:14" ht="18.75">
      <c r="A5288" s="12" t="s">
        <v>6682</v>
      </c>
      <c r="B5288" s="1" t="s">
        <v>7110</v>
      </c>
      <c r="I5288" s="112"/>
      <c r="K5288" s="111"/>
      <c r="L5288" s="109" t="str">
        <f t="shared" si="82"/>
        <v>95-952000220</v>
      </c>
      <c r="M5288" s="114">
        <v>952000220</v>
      </c>
      <c r="N5288" s="114" t="s">
        <v>7905</v>
      </c>
    </row>
    <row r="5289" spans="1:14" ht="18.75">
      <c r="A5289" s="12" t="s">
        <v>6707</v>
      </c>
      <c r="B5289" s="1" t="s">
        <v>7110</v>
      </c>
      <c r="I5289" s="112"/>
      <c r="K5289" s="111"/>
      <c r="L5289" s="109" t="str">
        <f t="shared" si="82"/>
        <v>95-956200036</v>
      </c>
      <c r="M5289" s="114">
        <v>956200036</v>
      </c>
      <c r="N5289" s="114" t="s">
        <v>7910</v>
      </c>
    </row>
    <row r="5290" spans="1:14" ht="18.75">
      <c r="A5290" s="12" t="s">
        <v>6708</v>
      </c>
      <c r="B5290" s="1" t="s">
        <v>7110</v>
      </c>
      <c r="I5290" s="112"/>
      <c r="K5290" s="111"/>
      <c r="L5290" s="109" t="str">
        <f t="shared" si="82"/>
        <v>95-952000030</v>
      </c>
      <c r="M5290" s="114">
        <v>952000030</v>
      </c>
      <c r="N5290" s="114" t="s">
        <v>7904</v>
      </c>
    </row>
    <row r="5291" spans="1:14" ht="18.75">
      <c r="A5291" s="12" t="s">
        <v>6709</v>
      </c>
      <c r="B5291" s="1" t="s">
        <v>7110</v>
      </c>
      <c r="I5291" s="112"/>
      <c r="K5291" s="111"/>
      <c r="L5291" s="109" t="str">
        <f t="shared" si="82"/>
        <v>95-956200020</v>
      </c>
      <c r="M5291" s="114">
        <v>956200020</v>
      </c>
      <c r="N5291" s="114" t="s">
        <v>8449</v>
      </c>
    </row>
    <row r="5292" spans="1:14" ht="18.75">
      <c r="A5292" s="12" t="s">
        <v>6710</v>
      </c>
      <c r="B5292" s="1" t="s">
        <v>7110</v>
      </c>
      <c r="I5292" s="112"/>
      <c r="K5292" s="111"/>
      <c r="L5292" s="109" t="str">
        <f t="shared" si="82"/>
        <v>95-952000052</v>
      </c>
      <c r="M5292" s="114">
        <v>952000052</v>
      </c>
      <c r="N5292" s="114" t="s">
        <v>7908</v>
      </c>
    </row>
    <row r="5293" spans="1:14" ht="18.75">
      <c r="A5293" s="12" t="s">
        <v>6709</v>
      </c>
      <c r="B5293" s="1" t="s">
        <v>7110</v>
      </c>
      <c r="I5293" s="112"/>
      <c r="K5293" s="111"/>
      <c r="L5293" s="109" t="str">
        <f t="shared" si="82"/>
        <v>95-952000015</v>
      </c>
      <c r="M5293" s="114">
        <v>952000015</v>
      </c>
      <c r="N5293" s="114" t="s">
        <v>7904</v>
      </c>
    </row>
    <row r="5294" spans="1:14" ht="18.75">
      <c r="A5294" s="12" t="s">
        <v>6711</v>
      </c>
      <c r="B5294" s="1" t="s">
        <v>7110</v>
      </c>
      <c r="I5294" s="112"/>
      <c r="K5294" s="111"/>
      <c r="L5294" s="109" t="str">
        <f t="shared" si="82"/>
        <v>95-952000026</v>
      </c>
      <c r="M5294" s="114">
        <v>952000026</v>
      </c>
      <c r="N5294" s="114" t="s">
        <v>7904</v>
      </c>
    </row>
    <row r="5295" spans="1:14" ht="18.75">
      <c r="A5295" s="12" t="s">
        <v>6712</v>
      </c>
      <c r="B5295" s="1" t="s">
        <v>7110</v>
      </c>
      <c r="I5295" s="112"/>
      <c r="K5295" s="111"/>
      <c r="L5295" s="109" t="str">
        <f t="shared" si="82"/>
        <v>95-952000186</v>
      </c>
      <c r="M5295" s="114">
        <v>952000186</v>
      </c>
      <c r="N5295" s="114" t="s">
        <v>8601</v>
      </c>
    </row>
    <row r="5296" spans="1:14" ht="18.75">
      <c r="A5296" s="12" t="s">
        <v>6713</v>
      </c>
      <c r="B5296" s="1" t="s">
        <v>7110</v>
      </c>
      <c r="I5296" s="112"/>
      <c r="K5296" s="111"/>
      <c r="L5296" s="109" t="str">
        <f t="shared" si="82"/>
        <v>95-952000024</v>
      </c>
      <c r="M5296" s="114">
        <v>952000024</v>
      </c>
      <c r="N5296" s="114" t="s">
        <v>7904</v>
      </c>
    </row>
    <row r="5297" spans="1:14" ht="18.75">
      <c r="A5297" s="12" t="s">
        <v>6711</v>
      </c>
      <c r="B5297" s="1" t="s">
        <v>7110</v>
      </c>
      <c r="I5297" s="112"/>
      <c r="K5297" s="111"/>
      <c r="L5297" s="109" t="str">
        <f t="shared" si="82"/>
        <v>95-956200328</v>
      </c>
      <c r="M5297" s="114">
        <v>956200328</v>
      </c>
      <c r="N5297" s="114" t="s">
        <v>7911</v>
      </c>
    </row>
    <row r="5298" spans="1:14" ht="18.75">
      <c r="A5298" s="12" t="s">
        <v>6693</v>
      </c>
      <c r="B5298" s="1" t="s">
        <v>7110</v>
      </c>
      <c r="I5298" s="112"/>
      <c r="K5298" s="111"/>
      <c r="L5298" s="109" t="str">
        <f t="shared" si="82"/>
        <v>95-952000032</v>
      </c>
      <c r="M5298" s="114">
        <v>952000032</v>
      </c>
      <c r="N5298" s="114" t="s">
        <v>7904</v>
      </c>
    </row>
    <row r="5299" spans="1:14" ht="18.75">
      <c r="A5299" s="12" t="s">
        <v>6706</v>
      </c>
      <c r="B5299" s="1" t="s">
        <v>7110</v>
      </c>
      <c r="I5299" s="112"/>
      <c r="K5299" s="111"/>
      <c r="L5299" s="109" t="str">
        <f t="shared" si="82"/>
        <v>95-952000257</v>
      </c>
      <c r="M5299" s="114">
        <v>952000257</v>
      </c>
      <c r="N5299" s="114" t="s">
        <v>8432</v>
      </c>
    </row>
    <row r="5300" spans="1:14" ht="18.75">
      <c r="A5300" s="12" t="s">
        <v>6714</v>
      </c>
      <c r="B5300" s="1" t="s">
        <v>7110</v>
      </c>
      <c r="I5300" s="112"/>
      <c r="K5300" s="111"/>
      <c r="L5300" s="109" t="str">
        <f t="shared" si="82"/>
        <v>95-956200079</v>
      </c>
      <c r="M5300" s="114">
        <v>956200079</v>
      </c>
      <c r="N5300" s="114" t="s">
        <v>8602</v>
      </c>
    </row>
    <row r="5301" spans="1:14" ht="18.75">
      <c r="A5301" s="12" t="s">
        <v>6715</v>
      </c>
      <c r="B5301" s="1" t="s">
        <v>7110</v>
      </c>
      <c r="I5301" s="112"/>
      <c r="K5301" s="111"/>
      <c r="L5301" s="109" t="str">
        <f t="shared" si="82"/>
        <v>95-956200097</v>
      </c>
      <c r="M5301" s="114">
        <v>956200097</v>
      </c>
      <c r="N5301" s="114" t="s">
        <v>8603</v>
      </c>
    </row>
    <row r="5302" spans="1:14" ht="18.75">
      <c r="A5302" s="12" t="s">
        <v>6684</v>
      </c>
      <c r="B5302" s="1" t="s">
        <v>7110</v>
      </c>
      <c r="I5302" s="112"/>
      <c r="K5302" s="111"/>
      <c r="L5302" s="109" t="str">
        <f t="shared" si="82"/>
        <v>95-956200173</v>
      </c>
      <c r="M5302" s="114">
        <v>956200173</v>
      </c>
      <c r="N5302" s="114" t="s">
        <v>7938</v>
      </c>
    </row>
    <row r="5303" spans="1:14" ht="18.75">
      <c r="A5303" s="12" t="s">
        <v>6716</v>
      </c>
      <c r="B5303" s="1" t="s">
        <v>7110</v>
      </c>
      <c r="I5303" s="112"/>
      <c r="K5303" s="111"/>
      <c r="L5303" s="109" t="str">
        <f t="shared" si="82"/>
        <v>95-956200188</v>
      </c>
      <c r="M5303" s="114">
        <v>956200188</v>
      </c>
      <c r="N5303" s="114" t="s">
        <v>7941</v>
      </c>
    </row>
    <row r="5304" spans="1:14" ht="18.75">
      <c r="A5304" s="12" t="s">
        <v>6717</v>
      </c>
      <c r="B5304" s="1" t="s">
        <v>7110</v>
      </c>
      <c r="I5304" s="112"/>
      <c r="K5304" s="111"/>
      <c r="L5304" s="109" t="str">
        <f t="shared" si="82"/>
        <v>95-956200190</v>
      </c>
      <c r="M5304" s="114">
        <v>956200190</v>
      </c>
      <c r="N5304" s="114" t="s">
        <v>8469</v>
      </c>
    </row>
    <row r="5305" spans="1:14" ht="18.75">
      <c r="A5305" s="12" t="s">
        <v>6717</v>
      </c>
      <c r="B5305" s="1" t="s">
        <v>7110</v>
      </c>
      <c r="I5305" s="112"/>
      <c r="K5305" s="111"/>
      <c r="L5305" s="109" t="str">
        <f t="shared" si="82"/>
        <v>96-966200187</v>
      </c>
      <c r="M5305" s="114">
        <v>966200187</v>
      </c>
      <c r="N5305" s="114" t="s">
        <v>7942</v>
      </c>
    </row>
    <row r="5306" spans="1:14" ht="18.75">
      <c r="A5306" s="12" t="s">
        <v>6708</v>
      </c>
      <c r="B5306" s="1" t="s">
        <v>7110</v>
      </c>
      <c r="I5306" s="112"/>
      <c r="K5306" s="111"/>
      <c r="L5306" s="109" t="str">
        <f t="shared" si="82"/>
        <v>96-966200188</v>
      </c>
      <c r="M5306" s="114">
        <v>966200188</v>
      </c>
      <c r="N5306" s="114" t="s">
        <v>8435</v>
      </c>
    </row>
    <row r="5307" spans="1:14" ht="18.75">
      <c r="A5307" s="12" t="s">
        <v>6718</v>
      </c>
      <c r="B5307" s="1" t="s">
        <v>7110</v>
      </c>
      <c r="I5307" s="112"/>
      <c r="K5307" s="111"/>
      <c r="L5307" s="109" t="str">
        <f t="shared" si="82"/>
        <v>95-956200344</v>
      </c>
      <c r="M5307" s="114">
        <v>956200344</v>
      </c>
      <c r="N5307" s="114" t="s">
        <v>7949</v>
      </c>
    </row>
    <row r="5308" spans="1:14" ht="18.75">
      <c r="A5308" s="12" t="s">
        <v>6719</v>
      </c>
      <c r="B5308" s="1" t="s">
        <v>7110</v>
      </c>
      <c r="I5308" s="112"/>
      <c r="K5308" s="111"/>
      <c r="L5308" s="109" t="str">
        <f t="shared" si="82"/>
        <v>95-956200206</v>
      </c>
      <c r="M5308" s="114">
        <v>956200206</v>
      </c>
      <c r="N5308" s="114" t="s">
        <v>7879</v>
      </c>
    </row>
    <row r="5309" spans="1:14" ht="18.75">
      <c r="A5309" s="12" t="s">
        <v>6718</v>
      </c>
      <c r="B5309" s="1" t="s">
        <v>7110</v>
      </c>
      <c r="I5309" s="112"/>
      <c r="K5309" s="111"/>
      <c r="L5309" s="109" t="str">
        <f t="shared" si="82"/>
        <v>95-956200223</v>
      </c>
      <c r="M5309" s="114">
        <v>956200223</v>
      </c>
      <c r="N5309" s="114" t="s">
        <v>7919</v>
      </c>
    </row>
    <row r="5310" spans="1:14" ht="18.75">
      <c r="A5310" s="12" t="s">
        <v>6708</v>
      </c>
      <c r="B5310" s="1" t="s">
        <v>7110</v>
      </c>
      <c r="I5310" s="112"/>
      <c r="K5310" s="111"/>
      <c r="L5310" s="109" t="str">
        <f t="shared" si="82"/>
        <v>95-956200308</v>
      </c>
      <c r="M5310" s="114">
        <v>956200308</v>
      </c>
      <c r="N5310" s="114" t="s">
        <v>7951</v>
      </c>
    </row>
    <row r="5311" spans="1:14" ht="18.75">
      <c r="A5311" s="12" t="s">
        <v>6720</v>
      </c>
      <c r="B5311" s="1" t="s">
        <v>7110</v>
      </c>
      <c r="I5311" s="112"/>
      <c r="K5311" s="111"/>
      <c r="L5311" s="109" t="str">
        <f t="shared" si="82"/>
        <v>95-956200320</v>
      </c>
      <c r="M5311" s="114">
        <v>956200320</v>
      </c>
      <c r="N5311" s="114" t="s">
        <v>7880</v>
      </c>
    </row>
    <row r="5312" spans="1:14" ht="18.75">
      <c r="A5312" s="12" t="s">
        <v>6718</v>
      </c>
      <c r="B5312" s="1" t="s">
        <v>7110</v>
      </c>
      <c r="I5312" s="112"/>
      <c r="K5312" s="111"/>
      <c r="L5312" s="109" t="str">
        <f t="shared" si="82"/>
        <v>96-966200078</v>
      </c>
      <c r="M5312" s="114">
        <v>966200078</v>
      </c>
      <c r="N5312" s="114" t="s">
        <v>8604</v>
      </c>
    </row>
    <row r="5313" spans="1:14" ht="18.75">
      <c r="A5313" s="12" t="s">
        <v>6718</v>
      </c>
      <c r="B5313" s="1" t="s">
        <v>7110</v>
      </c>
      <c r="I5313" s="112"/>
      <c r="K5313" s="111"/>
      <c r="L5313" s="109" t="str">
        <f t="shared" si="82"/>
        <v>95-951400045</v>
      </c>
      <c r="M5313" s="114">
        <v>951400045</v>
      </c>
      <c r="N5313" s="114" t="s">
        <v>7196</v>
      </c>
    </row>
    <row r="5314" spans="1:14" ht="18.75">
      <c r="A5314" s="12" t="s">
        <v>6708</v>
      </c>
      <c r="B5314" s="1" t="s">
        <v>7110</v>
      </c>
      <c r="I5314" s="112"/>
      <c r="K5314" s="111"/>
      <c r="L5314" s="109" t="str">
        <f t="shared" si="82"/>
        <v>95-951100124</v>
      </c>
      <c r="M5314" s="114">
        <v>951100124</v>
      </c>
      <c r="N5314" s="114" t="s">
        <v>8605</v>
      </c>
    </row>
    <row r="5315" spans="1:14" ht="18.75">
      <c r="A5315" s="12" t="s">
        <v>6721</v>
      </c>
      <c r="B5315" s="1" t="s">
        <v>7110</v>
      </c>
      <c r="I5315" s="112"/>
      <c r="K5315" s="111"/>
      <c r="L5315" s="109" t="str">
        <f t="shared" ref="L5315:L5378" si="83">MID(M5315,1,2)&amp;"-"&amp;M5315</f>
        <v>95-951100034</v>
      </c>
      <c r="M5315" s="114">
        <v>951100034</v>
      </c>
      <c r="N5315" s="114" t="s">
        <v>8606</v>
      </c>
    </row>
    <row r="5316" spans="1:14" ht="18.75">
      <c r="A5316" s="12" t="s">
        <v>6721</v>
      </c>
      <c r="B5316" s="1" t="s">
        <v>7110</v>
      </c>
      <c r="I5316" s="112"/>
      <c r="K5316" s="111"/>
      <c r="L5316" s="109" t="str">
        <f t="shared" si="83"/>
        <v>96-961100021</v>
      </c>
      <c r="M5316" s="114">
        <v>961100021</v>
      </c>
      <c r="N5316" s="114" t="s">
        <v>7961</v>
      </c>
    </row>
    <row r="5317" spans="1:14" ht="18.75">
      <c r="A5317" s="12" t="s">
        <v>6721</v>
      </c>
      <c r="B5317" s="1" t="s">
        <v>7110</v>
      </c>
      <c r="I5317" s="112"/>
      <c r="K5317" s="111"/>
      <c r="L5317" s="109" t="str">
        <f t="shared" si="83"/>
        <v>95-956200154</v>
      </c>
      <c r="M5317" s="114">
        <v>956200154</v>
      </c>
      <c r="N5317" s="114" t="s">
        <v>7980</v>
      </c>
    </row>
    <row r="5318" spans="1:14" ht="18.75">
      <c r="A5318" s="12" t="s">
        <v>6721</v>
      </c>
      <c r="B5318" s="1" t="s">
        <v>7110</v>
      </c>
      <c r="I5318" s="112"/>
      <c r="K5318" s="111"/>
      <c r="L5318" s="109" t="str">
        <f t="shared" si="83"/>
        <v>95-951100127</v>
      </c>
      <c r="M5318" s="114">
        <v>951100127</v>
      </c>
      <c r="N5318" s="114" t="s">
        <v>8607</v>
      </c>
    </row>
    <row r="5319" spans="1:14" ht="18.75">
      <c r="A5319" s="12" t="s">
        <v>6721</v>
      </c>
      <c r="B5319" s="1" t="s">
        <v>7110</v>
      </c>
      <c r="I5319" s="112"/>
      <c r="K5319" s="111"/>
      <c r="L5319" s="109" t="str">
        <f t="shared" si="83"/>
        <v>95-956200166</v>
      </c>
      <c r="M5319" s="114">
        <v>956200166</v>
      </c>
      <c r="N5319" s="114" t="s">
        <v>7980</v>
      </c>
    </row>
    <row r="5320" spans="1:14" ht="18.75">
      <c r="A5320" s="12" t="s">
        <v>1222</v>
      </c>
      <c r="B5320" s="1" t="s">
        <v>7110</v>
      </c>
      <c r="I5320" s="112"/>
      <c r="K5320" s="111"/>
      <c r="L5320" s="109" t="str">
        <f t="shared" si="83"/>
        <v>96-966200199</v>
      </c>
      <c r="M5320" s="114">
        <v>966200199</v>
      </c>
      <c r="N5320" s="114" t="s">
        <v>7224</v>
      </c>
    </row>
    <row r="5321" spans="1:14" ht="18.75">
      <c r="A5321" s="12" t="s">
        <v>948</v>
      </c>
      <c r="B5321" s="1" t="s">
        <v>7110</v>
      </c>
      <c r="I5321" s="112"/>
      <c r="K5321" s="111"/>
      <c r="L5321" s="109" t="str">
        <f t="shared" si="83"/>
        <v>95-951100055</v>
      </c>
      <c r="M5321" s="114">
        <v>951100055</v>
      </c>
      <c r="N5321" s="114" t="s">
        <v>8608</v>
      </c>
    </row>
    <row r="5322" spans="1:14" ht="18.75">
      <c r="A5322" s="12" t="s">
        <v>948</v>
      </c>
      <c r="B5322" s="1" t="s">
        <v>7110</v>
      </c>
      <c r="I5322" s="112"/>
      <c r="K5322" s="111"/>
      <c r="L5322" s="109" t="str">
        <f t="shared" si="83"/>
        <v>96-961100009</v>
      </c>
      <c r="M5322" s="114">
        <v>961100009</v>
      </c>
      <c r="N5322" s="114" t="s">
        <v>8609</v>
      </c>
    </row>
    <row r="5323" spans="1:14" ht="18.75">
      <c r="A5323" s="12" t="s">
        <v>971</v>
      </c>
      <c r="B5323" s="1" t="s">
        <v>7110</v>
      </c>
      <c r="I5323" s="112"/>
      <c r="K5323" s="111"/>
      <c r="L5323" s="109" t="str">
        <f t="shared" si="83"/>
        <v>96-966200110</v>
      </c>
      <c r="M5323" s="114">
        <v>966200110</v>
      </c>
      <c r="N5323" s="114" t="s">
        <v>7979</v>
      </c>
    </row>
    <row r="5324" spans="1:14" ht="18.75">
      <c r="A5324" s="12" t="s">
        <v>948</v>
      </c>
      <c r="B5324" s="1" t="s">
        <v>7110</v>
      </c>
      <c r="I5324" s="112"/>
      <c r="K5324" s="111"/>
      <c r="L5324" s="109" t="str">
        <f t="shared" si="83"/>
        <v>96-966200076</v>
      </c>
      <c r="M5324" s="114">
        <v>966200076</v>
      </c>
      <c r="N5324" s="114" t="s">
        <v>8610</v>
      </c>
    </row>
    <row r="5325" spans="1:14" ht="18.75">
      <c r="A5325" s="85" t="s">
        <v>971</v>
      </c>
      <c r="B5325" s="1" t="s">
        <v>7110</v>
      </c>
      <c r="I5325" s="112"/>
      <c r="K5325" s="111"/>
      <c r="L5325" s="109" t="str">
        <f t="shared" si="83"/>
        <v>96-966200114</v>
      </c>
      <c r="M5325" s="114">
        <v>966200114</v>
      </c>
      <c r="N5325" s="114" t="s">
        <v>7992</v>
      </c>
    </row>
    <row r="5326" spans="1:14" ht="18.75">
      <c r="A5326" s="12" t="s">
        <v>1222</v>
      </c>
      <c r="B5326" s="1" t="s">
        <v>7110</v>
      </c>
      <c r="I5326" s="112"/>
      <c r="K5326" s="111"/>
      <c r="L5326" s="109" t="str">
        <f t="shared" si="83"/>
        <v>95-951100098</v>
      </c>
      <c r="M5326" s="114">
        <v>951100098</v>
      </c>
      <c r="N5326" s="114" t="s">
        <v>8611</v>
      </c>
    </row>
    <row r="5327" spans="1:14" ht="18.75">
      <c r="A5327" s="12" t="s">
        <v>1035</v>
      </c>
      <c r="B5327" s="1" t="s">
        <v>7110</v>
      </c>
      <c r="I5327" s="112"/>
      <c r="K5327" s="111"/>
      <c r="L5327" s="109" t="str">
        <f t="shared" si="83"/>
        <v>96-966200223</v>
      </c>
      <c r="M5327" s="114">
        <v>966200223</v>
      </c>
      <c r="N5327" s="114" t="s">
        <v>8001</v>
      </c>
    </row>
    <row r="5328" spans="1:14" ht="18.75">
      <c r="A5328" s="12" t="s">
        <v>1036</v>
      </c>
      <c r="B5328" s="1" t="s">
        <v>7110</v>
      </c>
      <c r="I5328" s="112"/>
      <c r="K5328" s="111"/>
      <c r="L5328" s="109" t="str">
        <f t="shared" si="83"/>
        <v>95-952000340</v>
      </c>
      <c r="M5328" s="114">
        <v>952000340</v>
      </c>
      <c r="N5328" s="114" t="s">
        <v>8612</v>
      </c>
    </row>
    <row r="5329" spans="1:14" ht="18.75">
      <c r="A5329" s="12" t="s">
        <v>1037</v>
      </c>
      <c r="B5329" s="1" t="s">
        <v>7110</v>
      </c>
      <c r="I5329" s="112"/>
      <c r="K5329" s="111"/>
      <c r="L5329" s="109" t="str">
        <f t="shared" si="83"/>
        <v>96-966200026</v>
      </c>
      <c r="M5329" s="114">
        <v>966200026</v>
      </c>
      <c r="N5329" s="114" t="s">
        <v>8613</v>
      </c>
    </row>
    <row r="5330" spans="1:14" ht="18.75">
      <c r="A5330" s="12" t="s">
        <v>1043</v>
      </c>
      <c r="B5330" s="1" t="s">
        <v>7110</v>
      </c>
      <c r="I5330" s="112"/>
      <c r="K5330" s="111"/>
      <c r="L5330" s="109" t="str">
        <f t="shared" si="83"/>
        <v>96-966200043</v>
      </c>
      <c r="M5330" s="114">
        <v>966200043</v>
      </c>
      <c r="N5330" s="114" t="s">
        <v>7998</v>
      </c>
    </row>
    <row r="5331" spans="1:14" ht="18.75">
      <c r="A5331" s="12" t="s">
        <v>1043</v>
      </c>
      <c r="B5331" s="1" t="s">
        <v>7110</v>
      </c>
      <c r="I5331" s="112"/>
      <c r="K5331" s="111"/>
      <c r="L5331" s="109" t="str">
        <f t="shared" si="83"/>
        <v>96-966200051</v>
      </c>
      <c r="M5331" s="114">
        <v>966200051</v>
      </c>
      <c r="N5331" s="114" t="s">
        <v>7998</v>
      </c>
    </row>
    <row r="5332" spans="1:14" ht="18.75">
      <c r="A5332" s="12" t="s">
        <v>1047</v>
      </c>
      <c r="B5332" s="1" t="s">
        <v>7110</v>
      </c>
      <c r="I5332" s="112"/>
      <c r="K5332" s="111"/>
      <c r="L5332" s="109" t="str">
        <f t="shared" si="83"/>
        <v>96-966200133</v>
      </c>
      <c r="M5332" s="114">
        <v>966200133</v>
      </c>
      <c r="N5332" s="114" t="s">
        <v>8614</v>
      </c>
    </row>
    <row r="5333" spans="1:14" ht="18.75">
      <c r="A5333" s="12" t="s">
        <v>1052</v>
      </c>
      <c r="B5333" s="1" t="s">
        <v>7110</v>
      </c>
      <c r="I5333" s="112"/>
      <c r="K5333" s="111"/>
      <c r="L5333" s="109" t="str">
        <f t="shared" si="83"/>
        <v>96-966200235</v>
      </c>
      <c r="M5333" s="114">
        <v>966200235</v>
      </c>
      <c r="N5333" s="114" t="s">
        <v>8495</v>
      </c>
    </row>
    <row r="5334" spans="1:14" ht="18.75">
      <c r="A5334" s="12" t="s">
        <v>1047</v>
      </c>
      <c r="B5334" s="1" t="s">
        <v>7110</v>
      </c>
      <c r="I5334" s="112"/>
      <c r="K5334" s="111"/>
      <c r="L5334" s="109" t="str">
        <f t="shared" si="83"/>
        <v>96-966000004</v>
      </c>
      <c r="M5334" s="114">
        <v>966000004</v>
      </c>
      <c r="N5334" s="114" t="s">
        <v>7146</v>
      </c>
    </row>
    <row r="5335" spans="1:14" ht="18.75">
      <c r="A5335" s="12" t="s">
        <v>1053</v>
      </c>
      <c r="B5335" s="1" t="s">
        <v>7110</v>
      </c>
      <c r="I5335" s="112"/>
      <c r="K5335" s="111"/>
      <c r="L5335" s="109" t="str">
        <f t="shared" si="83"/>
        <v>-</v>
      </c>
    </row>
    <row r="5336" spans="1:14" ht="18.75">
      <c r="A5336" s="12" t="s">
        <v>1054</v>
      </c>
      <c r="B5336" s="1" t="s">
        <v>7110</v>
      </c>
      <c r="I5336" s="112"/>
      <c r="K5336" s="111"/>
      <c r="L5336" s="109" t="str">
        <f t="shared" si="83"/>
        <v>-</v>
      </c>
    </row>
    <row r="5337" spans="1:14" ht="18.75">
      <c r="A5337" s="12" t="s">
        <v>1057</v>
      </c>
      <c r="B5337" s="1" t="s">
        <v>7110</v>
      </c>
      <c r="I5337" s="112"/>
      <c r="K5337" s="111"/>
      <c r="L5337" s="109" t="str">
        <f t="shared" si="83"/>
        <v>-</v>
      </c>
    </row>
    <row r="5338" spans="1:14" ht="18.75">
      <c r="A5338" s="12" t="s">
        <v>1054</v>
      </c>
      <c r="B5338" s="1" t="s">
        <v>7110</v>
      </c>
      <c r="I5338" s="112"/>
      <c r="K5338" s="111"/>
      <c r="L5338" s="109" t="str">
        <f t="shared" si="83"/>
        <v>-</v>
      </c>
    </row>
    <row r="5339" spans="1:14" ht="18.75">
      <c r="A5339" s="12" t="s">
        <v>1105</v>
      </c>
      <c r="B5339" s="1" t="s">
        <v>7110</v>
      </c>
      <c r="I5339" s="112"/>
      <c r="K5339" s="111"/>
      <c r="L5339" s="109" t="str">
        <f t="shared" si="83"/>
        <v>-</v>
      </c>
    </row>
    <row r="5340" spans="1:14" ht="18.75">
      <c r="A5340" s="12" t="s">
        <v>1106</v>
      </c>
      <c r="B5340" s="1" t="s">
        <v>7110</v>
      </c>
      <c r="I5340" s="112"/>
      <c r="K5340" s="111"/>
      <c r="L5340" s="109" t="str">
        <f t="shared" si="83"/>
        <v>-</v>
      </c>
    </row>
    <row r="5341" spans="1:14" ht="18.75">
      <c r="A5341" s="12" t="s">
        <v>1106</v>
      </c>
      <c r="B5341" s="1" t="s">
        <v>7110</v>
      </c>
      <c r="I5341" s="112"/>
      <c r="K5341" s="111"/>
      <c r="L5341" s="109" t="str">
        <f t="shared" si="83"/>
        <v>-</v>
      </c>
    </row>
    <row r="5342" spans="1:14" ht="18.75">
      <c r="A5342" s="12" t="s">
        <v>1222</v>
      </c>
      <c r="B5342" s="1" t="s">
        <v>7110</v>
      </c>
      <c r="I5342" s="112"/>
      <c r="K5342" s="111"/>
      <c r="L5342" s="109" t="str">
        <f t="shared" si="83"/>
        <v>-</v>
      </c>
    </row>
    <row r="5343" spans="1:14" ht="18.75">
      <c r="A5343" s="12" t="s">
        <v>1222</v>
      </c>
      <c r="B5343" s="1" t="s">
        <v>7110</v>
      </c>
      <c r="I5343" s="112"/>
      <c r="K5343" s="111"/>
      <c r="L5343" s="109" t="str">
        <f t="shared" si="83"/>
        <v>-</v>
      </c>
    </row>
    <row r="5344" spans="1:14" ht="18.75">
      <c r="A5344" s="12" t="s">
        <v>1057</v>
      </c>
      <c r="B5344" s="1" t="s">
        <v>7110</v>
      </c>
      <c r="I5344" s="112"/>
      <c r="K5344" s="111"/>
      <c r="L5344" s="109" t="str">
        <f t="shared" si="83"/>
        <v>-</v>
      </c>
    </row>
    <row r="5345" spans="1:12" ht="18.75">
      <c r="A5345" s="12" t="s">
        <v>1172</v>
      </c>
      <c r="B5345" s="1" t="s">
        <v>7110</v>
      </c>
      <c r="I5345" s="112"/>
      <c r="K5345" s="111"/>
      <c r="L5345" s="109" t="str">
        <f t="shared" si="83"/>
        <v>-</v>
      </c>
    </row>
    <row r="5346" spans="1:12" ht="18.75">
      <c r="A5346" s="12" t="s">
        <v>1105</v>
      </c>
      <c r="B5346" s="1" t="s">
        <v>7110</v>
      </c>
      <c r="I5346" s="112"/>
      <c r="K5346" s="111"/>
      <c r="L5346" s="109" t="str">
        <f t="shared" si="83"/>
        <v>-</v>
      </c>
    </row>
    <row r="5347" spans="1:12" ht="18.75">
      <c r="A5347" s="12" t="s">
        <v>1057</v>
      </c>
      <c r="B5347" s="1" t="s">
        <v>7110</v>
      </c>
      <c r="I5347" s="112"/>
      <c r="K5347" s="111"/>
      <c r="L5347" s="109" t="str">
        <f t="shared" si="83"/>
        <v>-</v>
      </c>
    </row>
    <row r="5348" spans="1:12" ht="18.75">
      <c r="A5348" s="12" t="s">
        <v>1057</v>
      </c>
      <c r="B5348" s="1" t="s">
        <v>7110</v>
      </c>
      <c r="I5348" s="112"/>
      <c r="K5348" s="111"/>
      <c r="L5348" s="109" t="str">
        <f t="shared" si="83"/>
        <v>-</v>
      </c>
    </row>
    <row r="5349" spans="1:12" ht="18.75">
      <c r="A5349" s="12" t="s">
        <v>1156</v>
      </c>
      <c r="B5349" s="1" t="s">
        <v>7110</v>
      </c>
      <c r="I5349" s="112"/>
      <c r="K5349" s="111"/>
      <c r="L5349" s="109" t="str">
        <f t="shared" si="83"/>
        <v>-</v>
      </c>
    </row>
    <row r="5350" spans="1:12" ht="18.75">
      <c r="A5350" s="12" t="s">
        <v>948</v>
      </c>
      <c r="B5350" s="1" t="s">
        <v>7110</v>
      </c>
      <c r="I5350" s="112"/>
      <c r="K5350" s="111"/>
      <c r="L5350" s="109" t="str">
        <f t="shared" si="83"/>
        <v>-</v>
      </c>
    </row>
    <row r="5351" spans="1:12" ht="18.75">
      <c r="A5351" s="12" t="s">
        <v>1172</v>
      </c>
      <c r="B5351" s="1" t="s">
        <v>7110</v>
      </c>
      <c r="I5351" s="112"/>
      <c r="K5351" s="111"/>
      <c r="L5351" s="109" t="str">
        <f t="shared" si="83"/>
        <v>-</v>
      </c>
    </row>
    <row r="5352" spans="1:12" ht="18.75">
      <c r="A5352" s="12" t="s">
        <v>1177</v>
      </c>
      <c r="B5352" s="1" t="s">
        <v>7110</v>
      </c>
      <c r="I5352" s="112"/>
      <c r="K5352" s="111"/>
      <c r="L5352" s="109" t="str">
        <f t="shared" si="83"/>
        <v>-</v>
      </c>
    </row>
    <row r="5353" spans="1:12" ht="18.75">
      <c r="A5353" s="12" t="s">
        <v>1177</v>
      </c>
      <c r="B5353" s="1" t="s">
        <v>7110</v>
      </c>
      <c r="I5353" s="112"/>
      <c r="K5353" s="111"/>
      <c r="L5353" s="109" t="str">
        <f t="shared" si="83"/>
        <v>-</v>
      </c>
    </row>
    <row r="5354" spans="1:12" ht="18.75">
      <c r="A5354" s="12" t="s">
        <v>1177</v>
      </c>
      <c r="B5354" s="1" t="s">
        <v>7110</v>
      </c>
      <c r="I5354" s="112"/>
      <c r="K5354" s="111"/>
      <c r="L5354" s="109" t="str">
        <f t="shared" si="83"/>
        <v>-</v>
      </c>
    </row>
    <row r="5355" spans="1:12" ht="18.75">
      <c r="A5355" s="12" t="s">
        <v>1177</v>
      </c>
      <c r="B5355" s="1" t="s">
        <v>7110</v>
      </c>
      <c r="I5355" s="112"/>
      <c r="K5355" s="111"/>
      <c r="L5355" s="109" t="str">
        <f t="shared" si="83"/>
        <v>-</v>
      </c>
    </row>
    <row r="5356" spans="1:12" ht="18.75">
      <c r="A5356" s="12" t="s">
        <v>1052</v>
      </c>
      <c r="B5356" s="1" t="s">
        <v>7110</v>
      </c>
      <c r="I5356" s="112"/>
      <c r="K5356" s="111"/>
      <c r="L5356" s="109" t="str">
        <f t="shared" si="83"/>
        <v>-</v>
      </c>
    </row>
    <row r="5357" spans="1:12" ht="18.75">
      <c r="A5357" s="12" t="s">
        <v>1052</v>
      </c>
      <c r="B5357" s="1" t="s">
        <v>7110</v>
      </c>
      <c r="I5357" s="112"/>
      <c r="K5357" s="111"/>
      <c r="L5357" s="109" t="str">
        <f t="shared" si="83"/>
        <v>-</v>
      </c>
    </row>
    <row r="5358" spans="1:12" ht="18.75">
      <c r="A5358" s="12" t="s">
        <v>1053</v>
      </c>
      <c r="B5358" s="1" t="s">
        <v>7110</v>
      </c>
      <c r="I5358" s="112"/>
      <c r="K5358" s="111"/>
      <c r="L5358" s="109" t="str">
        <f t="shared" si="83"/>
        <v>-</v>
      </c>
    </row>
    <row r="5359" spans="1:12" ht="18.75">
      <c r="A5359" s="12" t="s">
        <v>1222</v>
      </c>
      <c r="B5359" s="1" t="s">
        <v>7110</v>
      </c>
      <c r="I5359" s="112"/>
      <c r="K5359" s="111"/>
      <c r="L5359" s="109" t="str">
        <f t="shared" si="83"/>
        <v>-</v>
      </c>
    </row>
    <row r="5360" spans="1:12" ht="18.75">
      <c r="A5360" s="12" t="s">
        <v>1222</v>
      </c>
      <c r="B5360" s="1" t="s">
        <v>7110</v>
      </c>
      <c r="I5360" s="112"/>
      <c r="K5360" s="111"/>
      <c r="L5360" s="109" t="str">
        <f t="shared" si="83"/>
        <v>-</v>
      </c>
    </row>
    <row r="5361" spans="1:12" ht="18.75">
      <c r="A5361" s="12" t="s">
        <v>1222</v>
      </c>
      <c r="B5361" s="1" t="s">
        <v>7110</v>
      </c>
      <c r="I5361" s="112"/>
      <c r="K5361" s="111"/>
      <c r="L5361" s="109" t="str">
        <f t="shared" si="83"/>
        <v>-</v>
      </c>
    </row>
    <row r="5362" spans="1:12" ht="18.75">
      <c r="A5362" s="12" t="s">
        <v>947</v>
      </c>
      <c r="B5362" s="1" t="s">
        <v>7110</v>
      </c>
      <c r="I5362" s="112"/>
      <c r="K5362" s="111"/>
      <c r="L5362" s="109" t="str">
        <f t="shared" si="83"/>
        <v>-</v>
      </c>
    </row>
    <row r="5363" spans="1:12" ht="18.75">
      <c r="A5363" s="12" t="s">
        <v>1314</v>
      </c>
      <c r="B5363" s="1" t="s">
        <v>7110</v>
      </c>
      <c r="I5363" s="112"/>
      <c r="K5363" s="111"/>
      <c r="L5363" s="109" t="str">
        <f t="shared" si="83"/>
        <v>-</v>
      </c>
    </row>
    <row r="5364" spans="1:12" ht="18.75">
      <c r="A5364" s="12" t="s">
        <v>1346</v>
      </c>
      <c r="B5364" s="1" t="s">
        <v>7110</v>
      </c>
      <c r="I5364" s="112"/>
      <c r="K5364" s="111"/>
      <c r="L5364" s="109" t="str">
        <f t="shared" si="83"/>
        <v>-</v>
      </c>
    </row>
    <row r="5365" spans="1:12" ht="18.75">
      <c r="A5365" s="12" t="s">
        <v>1346</v>
      </c>
      <c r="B5365" s="1" t="s">
        <v>7110</v>
      </c>
      <c r="I5365" s="112"/>
      <c r="K5365" s="111"/>
      <c r="L5365" s="109" t="str">
        <f t="shared" si="83"/>
        <v>-</v>
      </c>
    </row>
    <row r="5366" spans="1:12" ht="18.75">
      <c r="A5366" s="12" t="s">
        <v>947</v>
      </c>
      <c r="B5366" s="1" t="s">
        <v>7110</v>
      </c>
      <c r="I5366" s="112"/>
      <c r="K5366" s="111"/>
      <c r="L5366" s="109" t="str">
        <f t="shared" si="83"/>
        <v>-</v>
      </c>
    </row>
    <row r="5367" spans="1:12" ht="18.75">
      <c r="A5367" s="12" t="s">
        <v>1346</v>
      </c>
      <c r="B5367" s="1" t="s">
        <v>7110</v>
      </c>
      <c r="I5367" s="112"/>
      <c r="K5367" s="111"/>
      <c r="L5367" s="109" t="str">
        <f t="shared" si="83"/>
        <v>-</v>
      </c>
    </row>
    <row r="5368" spans="1:12" ht="18.75">
      <c r="A5368" s="12" t="s">
        <v>1054</v>
      </c>
      <c r="B5368" s="1" t="s">
        <v>7110</v>
      </c>
      <c r="I5368" s="112"/>
      <c r="K5368" s="111"/>
      <c r="L5368" s="109" t="str">
        <f t="shared" si="83"/>
        <v>-</v>
      </c>
    </row>
    <row r="5369" spans="1:12" ht="18.75">
      <c r="A5369" s="12" t="s">
        <v>1106</v>
      </c>
      <c r="B5369" s="1" t="s">
        <v>7110</v>
      </c>
      <c r="I5369" s="113"/>
      <c r="K5369" s="111"/>
      <c r="L5369" s="109" t="str">
        <f t="shared" si="83"/>
        <v>-</v>
      </c>
    </row>
    <row r="5370" spans="1:12" ht="18.75">
      <c r="A5370" s="12" t="s">
        <v>1222</v>
      </c>
      <c r="B5370" s="1" t="s">
        <v>7110</v>
      </c>
      <c r="I5370" s="113"/>
      <c r="K5370" s="111"/>
      <c r="L5370" s="109" t="str">
        <f t="shared" si="83"/>
        <v>-</v>
      </c>
    </row>
    <row r="5371" spans="1:12" ht="18.75">
      <c r="A5371" s="12" t="s">
        <v>1396</v>
      </c>
      <c r="B5371" s="1" t="s">
        <v>7110</v>
      </c>
      <c r="I5371" s="113"/>
      <c r="K5371" s="111"/>
      <c r="L5371" s="109" t="str">
        <f t="shared" si="83"/>
        <v>-</v>
      </c>
    </row>
    <row r="5372" spans="1:12" ht="18.75">
      <c r="A5372" s="12" t="s">
        <v>1417</v>
      </c>
      <c r="B5372" s="1" t="s">
        <v>7110</v>
      </c>
      <c r="I5372" s="113"/>
      <c r="K5372" s="111"/>
      <c r="L5372" s="109" t="str">
        <f t="shared" si="83"/>
        <v>-</v>
      </c>
    </row>
    <row r="5373" spans="1:12" ht="18.75">
      <c r="A5373" s="12" t="s">
        <v>1396</v>
      </c>
      <c r="B5373" s="1" t="s">
        <v>7110</v>
      </c>
      <c r="I5373" s="113"/>
      <c r="K5373" s="111"/>
      <c r="L5373" s="109" t="str">
        <f t="shared" si="83"/>
        <v>-</v>
      </c>
    </row>
    <row r="5374" spans="1:12" ht="18.75">
      <c r="A5374" s="12" t="s">
        <v>1105</v>
      </c>
      <c r="B5374" s="1" t="s">
        <v>7110</v>
      </c>
      <c r="I5374" s="113"/>
      <c r="K5374" s="111"/>
      <c r="L5374" s="109" t="str">
        <f t="shared" si="83"/>
        <v>-</v>
      </c>
    </row>
    <row r="5375" spans="1:12" ht="18.75">
      <c r="A5375" s="12" t="s">
        <v>1473</v>
      </c>
      <c r="B5375" s="1" t="s">
        <v>7110</v>
      </c>
      <c r="I5375" s="113"/>
      <c r="K5375" s="111"/>
      <c r="L5375" s="109" t="str">
        <f t="shared" si="83"/>
        <v>-</v>
      </c>
    </row>
    <row r="5376" spans="1:12" ht="18.75">
      <c r="A5376" s="12" t="s">
        <v>1396</v>
      </c>
      <c r="B5376" s="1" t="s">
        <v>7110</v>
      </c>
      <c r="I5376" s="113"/>
      <c r="K5376" s="111"/>
      <c r="L5376" s="109" t="str">
        <f t="shared" si="83"/>
        <v>-</v>
      </c>
    </row>
    <row r="5377" spans="1:12" ht="18.75">
      <c r="A5377" s="12" t="s">
        <v>1417</v>
      </c>
      <c r="B5377" s="1" t="s">
        <v>7110</v>
      </c>
      <c r="I5377" s="113"/>
      <c r="K5377" s="111"/>
      <c r="L5377" s="109" t="str">
        <f t="shared" si="83"/>
        <v>-</v>
      </c>
    </row>
    <row r="5378" spans="1:12" ht="18.75">
      <c r="A5378" s="12" t="s">
        <v>1393</v>
      </c>
      <c r="B5378" s="1" t="s">
        <v>7110</v>
      </c>
      <c r="I5378" s="113"/>
      <c r="K5378" s="111"/>
      <c r="L5378" s="109" t="str">
        <f t="shared" si="83"/>
        <v>-</v>
      </c>
    </row>
    <row r="5379" spans="1:12" ht="18.75">
      <c r="A5379" s="12" t="s">
        <v>1346</v>
      </c>
      <c r="B5379" s="1" t="s">
        <v>7110</v>
      </c>
      <c r="I5379" s="113"/>
      <c r="K5379" s="111"/>
      <c r="L5379" s="109" t="str">
        <f t="shared" ref="L5379:L5442" si="84">MID(M5379,1,2)&amp;"-"&amp;M5379</f>
        <v>-</v>
      </c>
    </row>
    <row r="5380" spans="1:12" ht="18.75">
      <c r="A5380" s="12" t="s">
        <v>1346</v>
      </c>
      <c r="B5380" s="1" t="s">
        <v>7110</v>
      </c>
      <c r="I5380" s="113"/>
      <c r="K5380" s="111"/>
      <c r="L5380" s="109" t="str">
        <f t="shared" si="84"/>
        <v>-</v>
      </c>
    </row>
    <row r="5381" spans="1:12" ht="18.75">
      <c r="A5381" s="12" t="s">
        <v>1346</v>
      </c>
      <c r="B5381" s="1" t="s">
        <v>7110</v>
      </c>
      <c r="I5381" s="113"/>
      <c r="K5381" s="111"/>
      <c r="L5381" s="109" t="str">
        <f t="shared" si="84"/>
        <v>-</v>
      </c>
    </row>
    <row r="5382" spans="1:12" ht="18.75">
      <c r="A5382" s="12" t="s">
        <v>1054</v>
      </c>
      <c r="B5382" s="1" t="s">
        <v>7110</v>
      </c>
      <c r="I5382" s="113"/>
      <c r="K5382" s="111"/>
      <c r="L5382" s="109" t="str">
        <f t="shared" si="84"/>
        <v>-</v>
      </c>
    </row>
    <row r="5383" spans="1:12" ht="18.75">
      <c r="A5383" s="12" t="s">
        <v>1417</v>
      </c>
      <c r="B5383" s="1" t="s">
        <v>7110</v>
      </c>
      <c r="I5383" s="113"/>
      <c r="K5383" s="111"/>
      <c r="L5383" s="109" t="str">
        <f t="shared" si="84"/>
        <v>-</v>
      </c>
    </row>
    <row r="5384" spans="1:12" ht="18.75">
      <c r="A5384" s="12" t="s">
        <v>947</v>
      </c>
      <c r="B5384" s="1" t="s">
        <v>7110</v>
      </c>
      <c r="I5384" s="113"/>
      <c r="K5384" s="111"/>
      <c r="L5384" s="109" t="str">
        <f t="shared" si="84"/>
        <v>-</v>
      </c>
    </row>
    <row r="5385" spans="1:12" ht="18.75">
      <c r="A5385" s="12" t="s">
        <v>947</v>
      </c>
      <c r="B5385" s="1" t="s">
        <v>7110</v>
      </c>
      <c r="I5385" s="113"/>
      <c r="K5385" s="111"/>
      <c r="L5385" s="109" t="str">
        <f t="shared" si="84"/>
        <v>-</v>
      </c>
    </row>
    <row r="5386" spans="1:12" ht="18.75">
      <c r="A5386" s="12" t="s">
        <v>947</v>
      </c>
      <c r="B5386" s="1" t="s">
        <v>7110</v>
      </c>
      <c r="I5386" s="113"/>
      <c r="K5386" s="111"/>
      <c r="L5386" s="109" t="str">
        <f t="shared" si="84"/>
        <v>-</v>
      </c>
    </row>
    <row r="5387" spans="1:12" ht="18.75">
      <c r="A5387" s="12" t="s">
        <v>947</v>
      </c>
      <c r="B5387" s="1" t="s">
        <v>7110</v>
      </c>
      <c r="I5387" s="113"/>
      <c r="K5387" s="111"/>
      <c r="L5387" s="109" t="str">
        <f t="shared" si="84"/>
        <v>-</v>
      </c>
    </row>
    <row r="5388" spans="1:12" ht="18.75">
      <c r="A5388" s="12" t="s">
        <v>947</v>
      </c>
      <c r="B5388" s="1" t="s">
        <v>7110</v>
      </c>
      <c r="I5388" s="113"/>
      <c r="K5388" s="111"/>
      <c r="L5388" s="109" t="str">
        <f t="shared" si="84"/>
        <v>-</v>
      </c>
    </row>
    <row r="5389" spans="1:12" ht="18.75">
      <c r="A5389" s="12" t="s">
        <v>1057</v>
      </c>
      <c r="B5389" s="1" t="s">
        <v>7110</v>
      </c>
      <c r="I5389" s="113"/>
      <c r="K5389" s="111"/>
      <c r="L5389" s="109" t="str">
        <f t="shared" si="84"/>
        <v>-</v>
      </c>
    </row>
    <row r="5390" spans="1:12" ht="18.75">
      <c r="A5390" s="12" t="s">
        <v>1393</v>
      </c>
      <c r="B5390" s="1" t="s">
        <v>7110</v>
      </c>
      <c r="I5390" s="113"/>
      <c r="K5390" s="111"/>
      <c r="L5390" s="109" t="str">
        <f t="shared" si="84"/>
        <v>-</v>
      </c>
    </row>
    <row r="5391" spans="1:12" ht="18.75">
      <c r="A5391" s="12" t="s">
        <v>1480</v>
      </c>
      <c r="B5391" s="1" t="s">
        <v>7110</v>
      </c>
      <c r="I5391" s="113"/>
      <c r="K5391" s="111"/>
      <c r="L5391" s="109" t="str">
        <f t="shared" si="84"/>
        <v>-</v>
      </c>
    </row>
    <row r="5392" spans="1:12" ht="18.75">
      <c r="A5392" s="12" t="s">
        <v>1485</v>
      </c>
      <c r="B5392" s="1" t="s">
        <v>7110</v>
      </c>
      <c r="I5392" s="113"/>
      <c r="K5392" s="111"/>
      <c r="L5392" s="109" t="str">
        <f t="shared" si="84"/>
        <v>-</v>
      </c>
    </row>
    <row r="5393" spans="1:12" ht="18.75">
      <c r="A5393" s="12" t="s">
        <v>1480</v>
      </c>
      <c r="B5393" s="1" t="s">
        <v>7110</v>
      </c>
      <c r="I5393" s="113"/>
      <c r="K5393" s="111"/>
      <c r="L5393" s="109" t="str">
        <f t="shared" si="84"/>
        <v>-</v>
      </c>
    </row>
    <row r="5394" spans="1:12" ht="18.75">
      <c r="A5394" s="12" t="s">
        <v>1514</v>
      </c>
      <c r="B5394" s="1" t="s">
        <v>7110</v>
      </c>
      <c r="I5394" s="113"/>
      <c r="K5394" s="111"/>
      <c r="L5394" s="109" t="str">
        <f t="shared" si="84"/>
        <v>-</v>
      </c>
    </row>
    <row r="5395" spans="1:12" ht="18.75">
      <c r="A5395" s="12" t="s">
        <v>1537</v>
      </c>
      <c r="B5395" s="1" t="s">
        <v>7110</v>
      </c>
      <c r="I5395" s="113"/>
      <c r="K5395" s="111"/>
      <c r="L5395" s="109" t="str">
        <f t="shared" si="84"/>
        <v>-</v>
      </c>
    </row>
    <row r="5396" spans="1:12" ht="18.75">
      <c r="A5396" s="12" t="s">
        <v>1546</v>
      </c>
      <c r="B5396" s="1" t="s">
        <v>7110</v>
      </c>
      <c r="I5396" s="113"/>
      <c r="K5396" s="111"/>
      <c r="L5396" s="109" t="str">
        <f t="shared" si="84"/>
        <v>-</v>
      </c>
    </row>
    <row r="5397" spans="1:12" ht="18.75">
      <c r="A5397" s="12" t="s">
        <v>1514</v>
      </c>
      <c r="B5397" s="1" t="s">
        <v>7110</v>
      </c>
      <c r="I5397" s="113"/>
      <c r="K5397" s="111"/>
      <c r="L5397" s="109" t="str">
        <f t="shared" si="84"/>
        <v>-</v>
      </c>
    </row>
    <row r="5398" spans="1:12" ht="18.75">
      <c r="A5398" s="12" t="s">
        <v>1577</v>
      </c>
      <c r="B5398" s="1" t="s">
        <v>7110</v>
      </c>
      <c r="I5398" s="113"/>
      <c r="K5398" s="111"/>
      <c r="L5398" s="109" t="str">
        <f t="shared" si="84"/>
        <v>-</v>
      </c>
    </row>
    <row r="5399" spans="1:12" ht="18.75">
      <c r="A5399" s="12" t="s">
        <v>1546</v>
      </c>
      <c r="B5399" s="1" t="s">
        <v>7110</v>
      </c>
      <c r="I5399" s="113"/>
      <c r="K5399" s="111"/>
      <c r="L5399" s="109" t="str">
        <f t="shared" si="84"/>
        <v>-</v>
      </c>
    </row>
    <row r="5400" spans="1:12" ht="18.75">
      <c r="A5400" s="12" t="s">
        <v>1514</v>
      </c>
      <c r="B5400" s="1" t="s">
        <v>7110</v>
      </c>
      <c r="I5400" s="113"/>
      <c r="K5400" s="111"/>
      <c r="L5400" s="109" t="str">
        <f t="shared" si="84"/>
        <v>-</v>
      </c>
    </row>
    <row r="5401" spans="1:12" ht="18.75">
      <c r="A5401" s="12" t="s">
        <v>1587</v>
      </c>
      <c r="B5401" s="1" t="s">
        <v>7110</v>
      </c>
      <c r="I5401" s="113"/>
      <c r="K5401" s="111"/>
      <c r="L5401" s="109" t="str">
        <f t="shared" si="84"/>
        <v>-</v>
      </c>
    </row>
    <row r="5402" spans="1:12" ht="18.75">
      <c r="A5402" s="12" t="s">
        <v>1537</v>
      </c>
      <c r="B5402" s="1" t="s">
        <v>7110</v>
      </c>
      <c r="I5402" s="113"/>
      <c r="K5402" s="111"/>
      <c r="L5402" s="109" t="str">
        <f t="shared" si="84"/>
        <v>-</v>
      </c>
    </row>
    <row r="5403" spans="1:12" ht="18.75">
      <c r="A5403" s="12" t="s">
        <v>1592</v>
      </c>
      <c r="B5403" s="1" t="s">
        <v>7110</v>
      </c>
      <c r="I5403" s="113"/>
      <c r="K5403" s="111"/>
      <c r="L5403" s="109" t="str">
        <f t="shared" si="84"/>
        <v>-</v>
      </c>
    </row>
    <row r="5404" spans="1:12" ht="18.75">
      <c r="A5404" s="12" t="s">
        <v>1514</v>
      </c>
      <c r="B5404" s="1" t="s">
        <v>7110</v>
      </c>
      <c r="I5404" s="113"/>
      <c r="K5404" s="111"/>
      <c r="L5404" s="109" t="str">
        <f t="shared" si="84"/>
        <v>-</v>
      </c>
    </row>
    <row r="5405" spans="1:12" ht="18.75">
      <c r="A5405" s="12" t="s">
        <v>1765</v>
      </c>
      <c r="B5405" s="1" t="s">
        <v>7110</v>
      </c>
      <c r="I5405" s="113"/>
      <c r="K5405" s="111"/>
      <c r="L5405" s="109" t="str">
        <f t="shared" si="84"/>
        <v>-</v>
      </c>
    </row>
    <row r="5406" spans="1:12" ht="18.75">
      <c r="A5406" s="12" t="s">
        <v>1766</v>
      </c>
      <c r="B5406" s="1" t="s">
        <v>7110</v>
      </c>
      <c r="I5406" s="113"/>
      <c r="K5406" s="111"/>
      <c r="L5406" s="109" t="str">
        <f t="shared" si="84"/>
        <v>-</v>
      </c>
    </row>
    <row r="5407" spans="1:12" ht="18.75">
      <c r="A5407" s="12" t="s">
        <v>1767</v>
      </c>
      <c r="B5407" s="1" t="s">
        <v>7110</v>
      </c>
      <c r="I5407" s="113"/>
      <c r="K5407" s="111"/>
      <c r="L5407" s="109" t="str">
        <f t="shared" si="84"/>
        <v>-</v>
      </c>
    </row>
    <row r="5408" spans="1:12" ht="18.75">
      <c r="A5408" s="12" t="s">
        <v>1768</v>
      </c>
      <c r="B5408" s="1" t="s">
        <v>7110</v>
      </c>
      <c r="I5408" s="113"/>
      <c r="K5408" s="111"/>
      <c r="L5408" s="109" t="str">
        <f t="shared" si="84"/>
        <v>-</v>
      </c>
    </row>
    <row r="5409" spans="1:12" ht="18.75">
      <c r="A5409" s="12" t="s">
        <v>1769</v>
      </c>
      <c r="B5409" s="1" t="s">
        <v>7110</v>
      </c>
      <c r="I5409" s="113"/>
      <c r="K5409" s="111"/>
      <c r="L5409" s="109" t="str">
        <f t="shared" si="84"/>
        <v>-</v>
      </c>
    </row>
    <row r="5410" spans="1:12" ht="18.75">
      <c r="A5410" s="12" t="s">
        <v>1587</v>
      </c>
      <c r="B5410" s="1" t="s">
        <v>7110</v>
      </c>
      <c r="I5410" s="113"/>
      <c r="K5410" s="111"/>
      <c r="L5410" s="109" t="str">
        <f t="shared" si="84"/>
        <v>-</v>
      </c>
    </row>
    <row r="5411" spans="1:12" ht="18.75">
      <c r="A5411" s="12" t="s">
        <v>1770</v>
      </c>
      <c r="B5411" s="1" t="s">
        <v>7110</v>
      </c>
      <c r="I5411" s="113"/>
      <c r="K5411" s="111"/>
      <c r="L5411" s="109" t="str">
        <f t="shared" si="84"/>
        <v>-</v>
      </c>
    </row>
    <row r="5412" spans="1:12" ht="18.75">
      <c r="A5412" s="12" t="s">
        <v>1771</v>
      </c>
      <c r="B5412" s="1" t="s">
        <v>7110</v>
      </c>
      <c r="I5412" s="113"/>
      <c r="K5412" s="111"/>
      <c r="L5412" s="109" t="str">
        <f t="shared" si="84"/>
        <v>-</v>
      </c>
    </row>
    <row r="5413" spans="1:12" ht="18.75">
      <c r="A5413" s="12" t="s">
        <v>1768</v>
      </c>
      <c r="B5413" s="1" t="s">
        <v>7110</v>
      </c>
      <c r="I5413" s="113"/>
      <c r="K5413" s="111"/>
      <c r="L5413" s="109" t="str">
        <f t="shared" si="84"/>
        <v>-</v>
      </c>
    </row>
    <row r="5414" spans="1:12" ht="18.75">
      <c r="A5414" s="12" t="s">
        <v>1772</v>
      </c>
      <c r="B5414" s="1" t="s">
        <v>7110</v>
      </c>
      <c r="I5414" s="113"/>
      <c r="K5414" s="111"/>
      <c r="L5414" s="109" t="str">
        <f t="shared" si="84"/>
        <v>-</v>
      </c>
    </row>
    <row r="5415" spans="1:12" ht="18.75">
      <c r="A5415" s="12" t="s">
        <v>1773</v>
      </c>
      <c r="B5415" s="1" t="s">
        <v>7110</v>
      </c>
      <c r="I5415" s="113"/>
      <c r="K5415" s="111"/>
      <c r="L5415" s="109" t="str">
        <f t="shared" si="84"/>
        <v>-</v>
      </c>
    </row>
    <row r="5416" spans="1:12" ht="18.75">
      <c r="A5416" s="12" t="s">
        <v>1770</v>
      </c>
      <c r="B5416" s="1" t="s">
        <v>7110</v>
      </c>
      <c r="I5416" s="113"/>
      <c r="K5416" s="111"/>
      <c r="L5416" s="109" t="str">
        <f t="shared" si="84"/>
        <v>-</v>
      </c>
    </row>
    <row r="5417" spans="1:12" ht="18.75">
      <c r="A5417" s="12" t="s">
        <v>1587</v>
      </c>
      <c r="B5417" s="1" t="s">
        <v>7110</v>
      </c>
      <c r="I5417" s="113"/>
      <c r="K5417" s="111"/>
      <c r="L5417" s="109" t="str">
        <f t="shared" si="84"/>
        <v>-</v>
      </c>
    </row>
    <row r="5418" spans="1:12" ht="18.75">
      <c r="A5418" s="12" t="s">
        <v>1773</v>
      </c>
      <c r="B5418" s="1" t="s">
        <v>7110</v>
      </c>
      <c r="I5418" s="113"/>
      <c r="K5418" s="111"/>
      <c r="L5418" s="109" t="str">
        <f t="shared" si="84"/>
        <v>-</v>
      </c>
    </row>
    <row r="5419" spans="1:12" ht="18.75">
      <c r="A5419" s="12" t="s">
        <v>1587</v>
      </c>
      <c r="B5419" s="1" t="s">
        <v>7110</v>
      </c>
      <c r="I5419" s="113"/>
      <c r="K5419" s="111"/>
      <c r="L5419" s="109" t="str">
        <f t="shared" si="84"/>
        <v>-</v>
      </c>
    </row>
    <row r="5420" spans="1:12" ht="18.75">
      <c r="A5420" s="12" t="s">
        <v>1773</v>
      </c>
      <c r="B5420" s="1" t="s">
        <v>7110</v>
      </c>
      <c r="I5420" s="113"/>
      <c r="K5420" s="111"/>
      <c r="L5420" s="109" t="str">
        <f t="shared" si="84"/>
        <v>-</v>
      </c>
    </row>
    <row r="5421" spans="1:12" ht="18.75">
      <c r="A5421" s="12" t="s">
        <v>1773</v>
      </c>
      <c r="B5421" s="1" t="s">
        <v>7110</v>
      </c>
      <c r="I5421" s="113"/>
      <c r="K5421" s="111"/>
      <c r="L5421" s="109" t="str">
        <f t="shared" si="84"/>
        <v>-</v>
      </c>
    </row>
    <row r="5422" spans="1:12" ht="18.75">
      <c r="A5422" s="12" t="s">
        <v>1587</v>
      </c>
      <c r="B5422" s="1" t="s">
        <v>7110</v>
      </c>
      <c r="I5422" s="113"/>
      <c r="K5422" s="111"/>
      <c r="L5422" s="109" t="str">
        <f t="shared" si="84"/>
        <v>-</v>
      </c>
    </row>
    <row r="5423" spans="1:12" ht="18.75">
      <c r="A5423" s="12" t="s">
        <v>1771</v>
      </c>
      <c r="B5423" s="1" t="s">
        <v>7110</v>
      </c>
      <c r="I5423" s="113"/>
      <c r="K5423" s="111"/>
      <c r="L5423" s="109" t="str">
        <f t="shared" si="84"/>
        <v>-</v>
      </c>
    </row>
    <row r="5424" spans="1:12" ht="18.75">
      <c r="A5424" s="12" t="s">
        <v>1771</v>
      </c>
      <c r="B5424" s="1" t="s">
        <v>7110</v>
      </c>
      <c r="I5424" s="113"/>
      <c r="K5424" s="111"/>
      <c r="L5424" s="109" t="str">
        <f t="shared" si="84"/>
        <v>-</v>
      </c>
    </row>
    <row r="5425" spans="1:12" ht="18.75">
      <c r="A5425" s="12" t="s">
        <v>1773</v>
      </c>
      <c r="B5425" s="1" t="s">
        <v>7110</v>
      </c>
      <c r="I5425" s="113"/>
      <c r="K5425" s="111"/>
      <c r="L5425" s="109" t="str">
        <f t="shared" si="84"/>
        <v>-</v>
      </c>
    </row>
    <row r="5426" spans="1:12" ht="18.75">
      <c r="A5426" s="12" t="s">
        <v>1587</v>
      </c>
      <c r="B5426" s="1" t="s">
        <v>7110</v>
      </c>
      <c r="I5426" s="113"/>
      <c r="K5426" s="111"/>
      <c r="L5426" s="109" t="str">
        <f t="shared" si="84"/>
        <v>-</v>
      </c>
    </row>
    <row r="5427" spans="1:12" ht="18.75">
      <c r="A5427" s="12" t="s">
        <v>1768</v>
      </c>
      <c r="B5427" s="1" t="s">
        <v>7110</v>
      </c>
      <c r="I5427" s="113"/>
      <c r="K5427" s="111"/>
      <c r="L5427" s="109" t="str">
        <f t="shared" si="84"/>
        <v>-</v>
      </c>
    </row>
    <row r="5428" spans="1:12" ht="18.75">
      <c r="A5428" s="12" t="s">
        <v>1769</v>
      </c>
      <c r="B5428" s="1" t="s">
        <v>7110</v>
      </c>
      <c r="I5428" s="113"/>
      <c r="K5428" s="111"/>
      <c r="L5428" s="109" t="str">
        <f t="shared" si="84"/>
        <v>-</v>
      </c>
    </row>
    <row r="5429" spans="1:12" ht="18.75">
      <c r="A5429" s="12" t="s">
        <v>1587</v>
      </c>
      <c r="B5429" s="1" t="s">
        <v>7110</v>
      </c>
      <c r="I5429" s="113"/>
      <c r="K5429" s="111"/>
      <c r="L5429" s="109" t="str">
        <f t="shared" si="84"/>
        <v>-</v>
      </c>
    </row>
    <row r="5430" spans="1:12" ht="18.75">
      <c r="A5430" s="12" t="s">
        <v>1773</v>
      </c>
      <c r="B5430" s="1" t="s">
        <v>7110</v>
      </c>
      <c r="I5430" s="113"/>
      <c r="K5430" s="111"/>
      <c r="L5430" s="109" t="str">
        <f t="shared" si="84"/>
        <v>-</v>
      </c>
    </row>
    <row r="5431" spans="1:12" ht="18.75">
      <c r="A5431" s="12" t="s">
        <v>1776</v>
      </c>
      <c r="B5431" s="1" t="s">
        <v>7110</v>
      </c>
      <c r="I5431" s="113"/>
      <c r="K5431" s="111"/>
      <c r="L5431" s="109" t="str">
        <f t="shared" si="84"/>
        <v>-</v>
      </c>
    </row>
    <row r="5432" spans="1:12" ht="18.75">
      <c r="A5432" s="12" t="s">
        <v>1768</v>
      </c>
      <c r="B5432" s="1" t="s">
        <v>7110</v>
      </c>
      <c r="I5432" s="113"/>
      <c r="K5432" s="111"/>
      <c r="L5432" s="109" t="str">
        <f t="shared" si="84"/>
        <v>-</v>
      </c>
    </row>
    <row r="5433" spans="1:12" ht="18.75">
      <c r="A5433" s="12" t="s">
        <v>1587</v>
      </c>
      <c r="B5433" s="1" t="s">
        <v>7110</v>
      </c>
      <c r="I5433" s="113"/>
      <c r="K5433" s="111"/>
      <c r="L5433" s="109" t="str">
        <f t="shared" si="84"/>
        <v>-</v>
      </c>
    </row>
    <row r="5434" spans="1:12" ht="18.75">
      <c r="A5434" s="12" t="s">
        <v>1587</v>
      </c>
      <c r="B5434" s="1" t="s">
        <v>7110</v>
      </c>
      <c r="I5434" s="113"/>
      <c r="K5434" s="111"/>
      <c r="L5434" s="109" t="str">
        <f t="shared" si="84"/>
        <v>-</v>
      </c>
    </row>
    <row r="5435" spans="1:12" ht="18.75">
      <c r="A5435" s="12" t="s">
        <v>1777</v>
      </c>
      <c r="B5435" s="1" t="s">
        <v>7110</v>
      </c>
      <c r="I5435" s="113"/>
      <c r="K5435" s="111"/>
      <c r="L5435" s="109" t="str">
        <f t="shared" si="84"/>
        <v>-</v>
      </c>
    </row>
    <row r="5436" spans="1:12" ht="18.75">
      <c r="A5436" s="12" t="s">
        <v>1777</v>
      </c>
      <c r="B5436" s="1" t="s">
        <v>7110</v>
      </c>
      <c r="I5436" s="113"/>
      <c r="K5436" s="111"/>
      <c r="L5436" s="109" t="str">
        <f t="shared" si="84"/>
        <v>-</v>
      </c>
    </row>
    <row r="5437" spans="1:12" ht="18.75">
      <c r="A5437" s="12" t="s">
        <v>1777</v>
      </c>
      <c r="B5437" s="1" t="s">
        <v>7110</v>
      </c>
      <c r="I5437" s="113"/>
      <c r="K5437" s="111"/>
      <c r="L5437" s="109" t="str">
        <f t="shared" si="84"/>
        <v>-</v>
      </c>
    </row>
    <row r="5438" spans="1:12" ht="18.75">
      <c r="A5438" s="12" t="s">
        <v>1778</v>
      </c>
      <c r="B5438" s="1" t="s">
        <v>7110</v>
      </c>
      <c r="I5438" s="113"/>
      <c r="K5438" s="111"/>
      <c r="L5438" s="109" t="str">
        <f t="shared" si="84"/>
        <v>-</v>
      </c>
    </row>
    <row r="5439" spans="1:12" ht="18.75">
      <c r="A5439" s="12" t="s">
        <v>1776</v>
      </c>
      <c r="B5439" s="1" t="s">
        <v>7110</v>
      </c>
      <c r="I5439" s="113"/>
      <c r="K5439" s="111"/>
      <c r="L5439" s="109" t="str">
        <f t="shared" si="84"/>
        <v>-</v>
      </c>
    </row>
    <row r="5440" spans="1:12" ht="18.75">
      <c r="A5440" s="12" t="s">
        <v>1777</v>
      </c>
      <c r="B5440" s="1" t="s">
        <v>7110</v>
      </c>
      <c r="I5440" s="113"/>
      <c r="K5440" s="111"/>
      <c r="L5440" s="109" t="str">
        <f t="shared" si="84"/>
        <v>-</v>
      </c>
    </row>
    <row r="5441" spans="1:12" ht="18.75">
      <c r="A5441" s="12" t="s">
        <v>1587</v>
      </c>
      <c r="B5441" s="1" t="s">
        <v>7110</v>
      </c>
      <c r="I5441" s="113"/>
      <c r="K5441" s="111"/>
      <c r="L5441" s="109" t="str">
        <f t="shared" si="84"/>
        <v>-</v>
      </c>
    </row>
    <row r="5442" spans="1:12" ht="18.75">
      <c r="A5442" s="12" t="s">
        <v>1587</v>
      </c>
      <c r="B5442" s="1" t="s">
        <v>7110</v>
      </c>
      <c r="I5442" s="113"/>
      <c r="K5442" s="111"/>
      <c r="L5442" s="109" t="str">
        <f t="shared" si="84"/>
        <v>-</v>
      </c>
    </row>
    <row r="5443" spans="1:12" ht="18.75">
      <c r="A5443" s="12" t="s">
        <v>1779</v>
      </c>
      <c r="B5443" s="1" t="s">
        <v>7110</v>
      </c>
      <c r="I5443" s="113"/>
      <c r="K5443" s="111"/>
      <c r="L5443" s="109" t="str">
        <f t="shared" ref="L5443:L5464" si="85">MID(M5443,1,2)&amp;"-"&amp;M5443</f>
        <v>-</v>
      </c>
    </row>
    <row r="5444" spans="1:12" ht="18.75">
      <c r="A5444" s="12" t="s">
        <v>1772</v>
      </c>
      <c r="B5444" s="1" t="s">
        <v>7110</v>
      </c>
      <c r="I5444" s="113"/>
      <c r="K5444" s="111"/>
      <c r="L5444" s="109" t="str">
        <f t="shared" si="85"/>
        <v>-</v>
      </c>
    </row>
    <row r="5445" spans="1:12" ht="18.75">
      <c r="A5445" s="12" t="s">
        <v>1780</v>
      </c>
      <c r="B5445" s="1" t="s">
        <v>7110</v>
      </c>
      <c r="I5445" s="113"/>
      <c r="K5445" s="111"/>
      <c r="L5445" s="109" t="str">
        <f t="shared" si="85"/>
        <v>-</v>
      </c>
    </row>
    <row r="5446" spans="1:12" ht="18.75">
      <c r="A5446" s="12" t="s">
        <v>1781</v>
      </c>
      <c r="B5446" s="1" t="s">
        <v>7110</v>
      </c>
      <c r="I5446" s="113"/>
      <c r="K5446" s="111"/>
      <c r="L5446" s="109" t="str">
        <f t="shared" si="85"/>
        <v>-</v>
      </c>
    </row>
    <row r="5447" spans="1:12" ht="18.75">
      <c r="A5447" s="12" t="s">
        <v>1779</v>
      </c>
      <c r="B5447" s="1" t="s">
        <v>7110</v>
      </c>
      <c r="I5447" s="113"/>
      <c r="K5447" s="111"/>
      <c r="L5447" s="109" t="str">
        <f t="shared" si="85"/>
        <v>-</v>
      </c>
    </row>
    <row r="5448" spans="1:12" ht="18.75">
      <c r="A5448" s="12" t="s">
        <v>1782</v>
      </c>
      <c r="B5448" s="1" t="s">
        <v>7110</v>
      </c>
      <c r="I5448" s="113"/>
      <c r="K5448" s="111"/>
      <c r="L5448" s="109" t="str">
        <f t="shared" si="85"/>
        <v>-</v>
      </c>
    </row>
    <row r="5449" spans="1:12" ht="18.75">
      <c r="A5449" s="12" t="s">
        <v>1783</v>
      </c>
      <c r="B5449" s="1" t="s">
        <v>7110</v>
      </c>
      <c r="I5449" s="113"/>
      <c r="K5449" s="111"/>
      <c r="L5449" s="109" t="str">
        <f t="shared" si="85"/>
        <v>-</v>
      </c>
    </row>
    <row r="5450" spans="1:12" ht="18.75">
      <c r="A5450" s="12" t="s">
        <v>1782</v>
      </c>
      <c r="B5450" s="1" t="s">
        <v>7110</v>
      </c>
      <c r="I5450" s="113"/>
      <c r="K5450" s="111"/>
      <c r="L5450" s="109" t="str">
        <f t="shared" si="85"/>
        <v>-</v>
      </c>
    </row>
    <row r="5451" spans="1:12" ht="18.75">
      <c r="A5451" s="12" t="s">
        <v>1782</v>
      </c>
      <c r="B5451" s="1" t="s">
        <v>7110</v>
      </c>
      <c r="I5451" s="113"/>
      <c r="K5451" s="111"/>
      <c r="L5451" s="109" t="str">
        <f t="shared" si="85"/>
        <v>-</v>
      </c>
    </row>
    <row r="5452" spans="1:12" ht="18.75">
      <c r="A5452" s="12" t="s">
        <v>1771</v>
      </c>
      <c r="B5452" s="1" t="s">
        <v>7110</v>
      </c>
      <c r="I5452" s="113"/>
      <c r="K5452" s="111"/>
      <c r="L5452" s="109" t="str">
        <f t="shared" si="85"/>
        <v>-</v>
      </c>
    </row>
    <row r="5453" spans="1:12" ht="18.75">
      <c r="A5453" s="12" t="s">
        <v>1771</v>
      </c>
      <c r="B5453" s="1" t="s">
        <v>7110</v>
      </c>
      <c r="I5453" s="113"/>
      <c r="K5453" s="111"/>
      <c r="L5453" s="109" t="str">
        <f t="shared" si="85"/>
        <v>-</v>
      </c>
    </row>
    <row r="5454" spans="1:12" ht="18.75">
      <c r="A5454" s="12" t="s">
        <v>1785</v>
      </c>
      <c r="B5454" s="1" t="s">
        <v>7110</v>
      </c>
      <c r="I5454" s="113"/>
      <c r="K5454" s="111"/>
      <c r="L5454" s="109" t="str">
        <f t="shared" si="85"/>
        <v>-</v>
      </c>
    </row>
    <row r="5455" spans="1:12" ht="18.75">
      <c r="A5455" s="12" t="s">
        <v>1786</v>
      </c>
      <c r="B5455" s="1" t="s">
        <v>7110</v>
      </c>
      <c r="I5455" s="113"/>
      <c r="K5455" s="111"/>
      <c r="L5455" s="109" t="str">
        <f t="shared" si="85"/>
        <v>-</v>
      </c>
    </row>
    <row r="5456" spans="1:12" ht="18.75">
      <c r="A5456" s="12" t="s">
        <v>1787</v>
      </c>
      <c r="B5456" s="1" t="s">
        <v>7110</v>
      </c>
      <c r="I5456" s="113"/>
      <c r="K5456" s="111"/>
      <c r="L5456" s="109" t="str">
        <f t="shared" si="85"/>
        <v>-</v>
      </c>
    </row>
    <row r="5457" spans="1:12" ht="18.75">
      <c r="A5457" s="12" t="s">
        <v>1765</v>
      </c>
      <c r="B5457" s="1" t="s">
        <v>7110</v>
      </c>
      <c r="I5457" s="113"/>
      <c r="K5457" s="111"/>
      <c r="L5457" s="109" t="str">
        <f t="shared" si="85"/>
        <v>-</v>
      </c>
    </row>
    <row r="5458" spans="1:12" ht="18.75">
      <c r="A5458" s="12" t="s">
        <v>1790</v>
      </c>
      <c r="B5458" s="1" t="s">
        <v>7110</v>
      </c>
      <c r="I5458" s="113"/>
      <c r="K5458" s="111"/>
      <c r="L5458" s="109" t="str">
        <f t="shared" si="85"/>
        <v>-</v>
      </c>
    </row>
    <row r="5459" spans="1:12" ht="18.75">
      <c r="A5459" s="12" t="s">
        <v>1766</v>
      </c>
      <c r="B5459" s="1" t="s">
        <v>7110</v>
      </c>
      <c r="I5459" s="113"/>
      <c r="K5459" s="111"/>
      <c r="L5459" s="109" t="str">
        <f t="shared" si="85"/>
        <v>-</v>
      </c>
    </row>
    <row r="5460" spans="1:12" ht="18.75">
      <c r="A5460" s="12" t="s">
        <v>1791</v>
      </c>
      <c r="B5460" s="1" t="s">
        <v>7110</v>
      </c>
      <c r="I5460" s="113"/>
      <c r="K5460" s="111"/>
      <c r="L5460" s="109" t="str">
        <f t="shared" si="85"/>
        <v>-</v>
      </c>
    </row>
    <row r="5461" spans="1:12" ht="18.75">
      <c r="A5461" s="12" t="s">
        <v>1772</v>
      </c>
      <c r="B5461" s="1" t="s">
        <v>7110</v>
      </c>
      <c r="I5461" s="113"/>
      <c r="K5461" s="111"/>
      <c r="L5461" s="109" t="str">
        <f t="shared" si="85"/>
        <v>-</v>
      </c>
    </row>
    <row r="5462" spans="1:12" ht="18.75">
      <c r="A5462" s="12" t="s">
        <v>1805</v>
      </c>
      <c r="B5462" s="1" t="s">
        <v>7110</v>
      </c>
      <c r="I5462" s="113"/>
      <c r="K5462" s="111"/>
      <c r="L5462" s="109" t="str">
        <f t="shared" si="85"/>
        <v>-</v>
      </c>
    </row>
    <row r="5463" spans="1:12" ht="18.75">
      <c r="A5463" s="12" t="s">
        <v>1807</v>
      </c>
      <c r="B5463" s="1" t="s">
        <v>7110</v>
      </c>
      <c r="I5463" s="113"/>
      <c r="K5463" s="111"/>
      <c r="L5463" s="109" t="str">
        <f t="shared" si="85"/>
        <v>-</v>
      </c>
    </row>
    <row r="5464" spans="1:12" ht="18.75">
      <c r="A5464" s="12" t="s">
        <v>1808</v>
      </c>
      <c r="B5464" s="1" t="s">
        <v>7110</v>
      </c>
      <c r="I5464" s="113"/>
      <c r="K5464" s="111"/>
      <c r="L5464" s="109" t="str">
        <f t="shared" si="85"/>
        <v>-</v>
      </c>
    </row>
    <row r="5465" spans="1:12" ht="18.75">
      <c r="A5465" s="12" t="s">
        <v>1781</v>
      </c>
      <c r="B5465" s="1" t="s">
        <v>7110</v>
      </c>
    </row>
    <row r="5466" spans="1:12" ht="18.75">
      <c r="A5466" s="12" t="s">
        <v>1781</v>
      </c>
      <c r="B5466" s="1" t="s">
        <v>7110</v>
      </c>
    </row>
    <row r="5467" spans="1:12" ht="18.75">
      <c r="A5467" s="12" t="s">
        <v>1805</v>
      </c>
      <c r="B5467" s="1" t="s">
        <v>7110</v>
      </c>
    </row>
    <row r="5468" spans="1:12" ht="18.75">
      <c r="A5468" s="12" t="s">
        <v>1805</v>
      </c>
      <c r="B5468" s="1" t="s">
        <v>7110</v>
      </c>
    </row>
    <row r="5469" spans="1:12" ht="18.75">
      <c r="A5469" s="12" t="s">
        <v>1822</v>
      </c>
      <c r="B5469" s="1" t="s">
        <v>7110</v>
      </c>
    </row>
    <row r="5470" spans="1:12" ht="18.75">
      <c r="A5470" s="12" t="s">
        <v>1823</v>
      </c>
      <c r="B5470" s="1" t="s">
        <v>7110</v>
      </c>
    </row>
    <row r="5471" spans="1:12" ht="18.75">
      <c r="A5471" s="12" t="s">
        <v>1824</v>
      </c>
      <c r="B5471" s="1" t="s">
        <v>7110</v>
      </c>
    </row>
    <row r="5472" spans="1:12" ht="18.75">
      <c r="A5472" s="12" t="s">
        <v>1825</v>
      </c>
      <c r="B5472" s="1" t="s">
        <v>7110</v>
      </c>
    </row>
    <row r="5473" spans="1:2" ht="18.75">
      <c r="A5473" s="12" t="s">
        <v>1827</v>
      </c>
      <c r="B5473" s="1" t="s">
        <v>7110</v>
      </c>
    </row>
    <row r="5474" spans="1:2" ht="18.75">
      <c r="A5474" s="12" t="s">
        <v>1829</v>
      </c>
      <c r="B5474" s="1" t="s">
        <v>7110</v>
      </c>
    </row>
    <row r="5475" spans="1:2" ht="18.75">
      <c r="A5475" s="12" t="s">
        <v>1805</v>
      </c>
      <c r="B5475" s="1" t="s">
        <v>7110</v>
      </c>
    </row>
    <row r="5476" spans="1:2" ht="18.75">
      <c r="A5476" s="12" t="s">
        <v>1781</v>
      </c>
      <c r="B5476" s="1" t="s">
        <v>7110</v>
      </c>
    </row>
    <row r="5477" spans="1:2" ht="18.75">
      <c r="A5477" s="12" t="s">
        <v>1780</v>
      </c>
      <c r="B5477" s="1" t="s">
        <v>7110</v>
      </c>
    </row>
    <row r="5478" spans="1:2" ht="18.75">
      <c r="A5478" s="12" t="s">
        <v>1805</v>
      </c>
      <c r="B5478" s="1" t="s">
        <v>7110</v>
      </c>
    </row>
    <row r="5479" spans="1:2" ht="18.75">
      <c r="A5479" s="12" t="s">
        <v>1780</v>
      </c>
      <c r="B5479" s="1" t="s">
        <v>7110</v>
      </c>
    </row>
    <row r="5480" spans="1:2" ht="18.75">
      <c r="A5480" s="12" t="s">
        <v>1808</v>
      </c>
      <c r="B5480" s="1" t="s">
        <v>7110</v>
      </c>
    </row>
    <row r="5481" spans="1:2" ht="18.75">
      <c r="A5481" s="12" t="s">
        <v>1805</v>
      </c>
      <c r="B5481" s="1" t="s">
        <v>7110</v>
      </c>
    </row>
    <row r="5482" spans="1:2" ht="18.75">
      <c r="A5482" s="12" t="s">
        <v>1805</v>
      </c>
      <c r="B5482" s="1" t="s">
        <v>7110</v>
      </c>
    </row>
    <row r="5483" spans="1:2" ht="18.75">
      <c r="A5483" s="12" t="s">
        <v>1807</v>
      </c>
      <c r="B5483" s="1" t="s">
        <v>7110</v>
      </c>
    </row>
    <row r="5484" spans="1:2" ht="18.75">
      <c r="A5484" s="12" t="s">
        <v>1772</v>
      </c>
      <c r="B5484" s="1" t="s">
        <v>7110</v>
      </c>
    </row>
    <row r="5485" spans="1:2" ht="18.75">
      <c r="A5485" s="12" t="s">
        <v>1783</v>
      </c>
      <c r="B5485" s="1" t="s">
        <v>7110</v>
      </c>
    </row>
    <row r="5486" spans="1:2" ht="18.75">
      <c r="A5486" s="12" t="s">
        <v>1783</v>
      </c>
      <c r="B5486" s="1" t="s">
        <v>7110</v>
      </c>
    </row>
    <row r="5487" spans="1:2" ht="18.75">
      <c r="A5487" s="12" t="s">
        <v>1781</v>
      </c>
      <c r="B5487" s="1" t="s">
        <v>7110</v>
      </c>
    </row>
    <row r="5488" spans="1:2" ht="18.75">
      <c r="A5488" s="12" t="s">
        <v>1779</v>
      </c>
      <c r="B5488" s="1" t="s">
        <v>7110</v>
      </c>
    </row>
    <row r="5489" spans="1:2" ht="18.75">
      <c r="A5489" s="12" t="s">
        <v>1779</v>
      </c>
      <c r="B5489" s="1" t="s">
        <v>7110</v>
      </c>
    </row>
    <row r="5490" spans="1:2" ht="18.75">
      <c r="A5490" s="12" t="s">
        <v>1779</v>
      </c>
      <c r="B5490" s="1" t="s">
        <v>7110</v>
      </c>
    </row>
    <row r="5491" spans="1:2" ht="18.75">
      <c r="A5491" s="12" t="s">
        <v>1808</v>
      </c>
      <c r="B5491" s="1" t="s">
        <v>7110</v>
      </c>
    </row>
    <row r="5492" spans="1:2" ht="18.75">
      <c r="A5492" s="12" t="s">
        <v>1805</v>
      </c>
      <c r="B5492" s="1" t="s">
        <v>7110</v>
      </c>
    </row>
    <row r="5493" spans="1:2" ht="18.75">
      <c r="A5493" s="12" t="s">
        <v>1772</v>
      </c>
      <c r="B5493" s="1" t="s">
        <v>7110</v>
      </c>
    </row>
    <row r="5494" spans="1:2" ht="18.75">
      <c r="A5494" s="12" t="s">
        <v>1783</v>
      </c>
      <c r="B5494" s="1" t="s">
        <v>7110</v>
      </c>
    </row>
    <row r="5495" spans="1:2" ht="18.75">
      <c r="A5495" s="12" t="s">
        <v>1837</v>
      </c>
      <c r="B5495" s="1" t="s">
        <v>7110</v>
      </c>
    </row>
    <row r="5496" spans="1:2" ht="18.75">
      <c r="A5496" s="12" t="s">
        <v>1837</v>
      </c>
      <c r="B5496" s="1" t="s">
        <v>7110</v>
      </c>
    </row>
    <row r="5497" spans="1:2" ht="18.75">
      <c r="A5497" s="12" t="s">
        <v>1839</v>
      </c>
      <c r="B5497" s="1" t="s">
        <v>7110</v>
      </c>
    </row>
    <row r="5498" spans="1:2" ht="18.75">
      <c r="A5498" s="12" t="s">
        <v>1822</v>
      </c>
      <c r="B5498" s="1" t="s">
        <v>7110</v>
      </c>
    </row>
    <row r="5499" spans="1:2" ht="18.75">
      <c r="A5499" s="12" t="s">
        <v>1844</v>
      </c>
      <c r="B5499" s="1" t="s">
        <v>7110</v>
      </c>
    </row>
    <row r="5500" spans="1:2" ht="18.75">
      <c r="A5500" s="12" t="s">
        <v>1790</v>
      </c>
      <c r="B5500" s="1" t="s">
        <v>7110</v>
      </c>
    </row>
    <row r="5501" spans="1:2" ht="18.75">
      <c r="A5501" s="12" t="s">
        <v>1849</v>
      </c>
      <c r="B5501" s="1" t="s">
        <v>7110</v>
      </c>
    </row>
    <row r="5502" spans="1:2" ht="18.75">
      <c r="A5502" s="12" t="s">
        <v>1850</v>
      </c>
      <c r="B5502" s="1" t="s">
        <v>7110</v>
      </c>
    </row>
    <row r="5503" spans="1:2" ht="18.75">
      <c r="A5503" s="12" t="s">
        <v>1851</v>
      </c>
      <c r="B5503" s="1" t="s">
        <v>7110</v>
      </c>
    </row>
    <row r="5504" spans="1:2" ht="18.75">
      <c r="A5504" s="12" t="s">
        <v>1839</v>
      </c>
      <c r="B5504" s="1" t="s">
        <v>7110</v>
      </c>
    </row>
    <row r="5505" spans="1:2" ht="18.75">
      <c r="A5505" s="12" t="s">
        <v>1852</v>
      </c>
      <c r="B5505" s="1" t="s">
        <v>7110</v>
      </c>
    </row>
    <row r="5506" spans="1:2" ht="18.75">
      <c r="A5506" s="12" t="s">
        <v>1829</v>
      </c>
      <c r="B5506" s="1" t="s">
        <v>7110</v>
      </c>
    </row>
    <row r="5507" spans="1:2" ht="18.75">
      <c r="A5507" s="12" t="s">
        <v>1790</v>
      </c>
      <c r="B5507" s="1" t="s">
        <v>7110</v>
      </c>
    </row>
    <row r="5508" spans="1:2" ht="18.75">
      <c r="A5508" s="12" t="s">
        <v>1867</v>
      </c>
      <c r="B5508" s="1" t="s">
        <v>7110</v>
      </c>
    </row>
    <row r="5509" spans="1:2" ht="18.75">
      <c r="A5509" s="12" t="s">
        <v>1868</v>
      </c>
      <c r="B5509" s="1" t="s">
        <v>7110</v>
      </c>
    </row>
    <row r="5510" spans="1:2" ht="18.75">
      <c r="A5510" s="12" t="s">
        <v>1824</v>
      </c>
      <c r="B5510" s="1" t="s">
        <v>7110</v>
      </c>
    </row>
    <row r="5511" spans="1:2" ht="18.75">
      <c r="A5511" s="12" t="s">
        <v>1825</v>
      </c>
      <c r="B5511" s="1" t="s">
        <v>7110</v>
      </c>
    </row>
    <row r="5512" spans="1:2" ht="18.75">
      <c r="A5512" s="12" t="s">
        <v>1870</v>
      </c>
      <c r="B5512" s="1" t="s">
        <v>7110</v>
      </c>
    </row>
    <row r="5513" spans="1:2" ht="18.75">
      <c r="A5513" s="12" t="s">
        <v>1920</v>
      </c>
      <c r="B5513" s="1" t="s">
        <v>7110</v>
      </c>
    </row>
    <row r="5514" spans="1:2" ht="18.75">
      <c r="A5514" s="12" t="s">
        <v>1921</v>
      </c>
      <c r="B5514" s="1" t="s">
        <v>7110</v>
      </c>
    </row>
    <row r="5515" spans="1:2" ht="18.75">
      <c r="A5515" s="12" t="s">
        <v>1837</v>
      </c>
      <c r="B5515" s="1" t="s">
        <v>7110</v>
      </c>
    </row>
    <row r="5516" spans="1:2" ht="18.75">
      <c r="A5516" s="12" t="s">
        <v>1808</v>
      </c>
      <c r="B5516" s="1" t="s">
        <v>7110</v>
      </c>
    </row>
    <row r="5517" spans="1:2" ht="18.75">
      <c r="A5517" s="12" t="s">
        <v>1829</v>
      </c>
      <c r="B5517" s="1" t="s">
        <v>7110</v>
      </c>
    </row>
    <row r="5518" spans="1:2" ht="18.75">
      <c r="A5518" s="12" t="s">
        <v>1931</v>
      </c>
      <c r="B5518" s="1" t="s">
        <v>7110</v>
      </c>
    </row>
    <row r="5519" spans="1:2" ht="18.75">
      <c r="A5519" s="12" t="s">
        <v>1938</v>
      </c>
      <c r="B5519" s="1" t="s">
        <v>7110</v>
      </c>
    </row>
    <row r="5520" spans="1:2" ht="18.75">
      <c r="A5520" s="12" t="s">
        <v>2035</v>
      </c>
      <c r="B5520" s="1" t="s">
        <v>7110</v>
      </c>
    </row>
    <row r="5521" spans="1:2" ht="18.75">
      <c r="A5521" s="12" t="s">
        <v>1945</v>
      </c>
      <c r="B5521" s="1" t="s">
        <v>7110</v>
      </c>
    </row>
    <row r="5522" spans="1:2" ht="18.75">
      <c r="A5522" s="12" t="s">
        <v>1867</v>
      </c>
      <c r="B5522" s="1" t="s">
        <v>7110</v>
      </c>
    </row>
    <row r="5523" spans="1:2" ht="18.75">
      <c r="A5523" s="12" t="s">
        <v>1949</v>
      </c>
      <c r="B5523" s="1" t="s">
        <v>7110</v>
      </c>
    </row>
    <row r="5524" spans="1:2" ht="18.75">
      <c r="A5524" s="12" t="s">
        <v>1950</v>
      </c>
      <c r="B5524" s="1" t="s">
        <v>7110</v>
      </c>
    </row>
    <row r="5525" spans="1:2" ht="18.75">
      <c r="A5525" s="12" t="s">
        <v>1951</v>
      </c>
      <c r="B5525" s="1" t="s">
        <v>7110</v>
      </c>
    </row>
    <row r="5526" spans="1:2" ht="18.75">
      <c r="A5526" s="12" t="s">
        <v>1952</v>
      </c>
      <c r="B5526" s="1" t="s">
        <v>7110</v>
      </c>
    </row>
    <row r="5527" spans="1:2" ht="18.75">
      <c r="A5527" s="12" t="s">
        <v>1938</v>
      </c>
      <c r="B5527" s="1" t="s">
        <v>7110</v>
      </c>
    </row>
    <row r="5528" spans="1:2" ht="18.75">
      <c r="A5528" s="12" t="s">
        <v>1938</v>
      </c>
      <c r="B5528" s="1" t="s">
        <v>7110</v>
      </c>
    </row>
    <row r="5529" spans="1:2" ht="18.75">
      <c r="A5529" s="12" t="s">
        <v>1945</v>
      </c>
      <c r="B5529" s="1" t="s">
        <v>7110</v>
      </c>
    </row>
    <row r="5530" spans="1:2" ht="18.75">
      <c r="A5530" s="12" t="s">
        <v>1974</v>
      </c>
      <c r="B5530" s="1" t="s">
        <v>7110</v>
      </c>
    </row>
    <row r="5531" spans="1:2" ht="18.75">
      <c r="A5531" s="12" t="s">
        <v>1974</v>
      </c>
      <c r="B5531" s="1" t="s">
        <v>7110</v>
      </c>
    </row>
    <row r="5532" spans="1:2" ht="18.75">
      <c r="A5532" s="12" t="s">
        <v>1986</v>
      </c>
      <c r="B5532" s="1" t="s">
        <v>7110</v>
      </c>
    </row>
    <row r="5533" spans="1:2" ht="18.75">
      <c r="A5533" s="12" t="s">
        <v>1988</v>
      </c>
      <c r="B5533" s="1" t="s">
        <v>7110</v>
      </c>
    </row>
    <row r="5534" spans="1:2" ht="18.75">
      <c r="A5534" s="12" t="s">
        <v>1986</v>
      </c>
      <c r="B5534" s="1" t="s">
        <v>7110</v>
      </c>
    </row>
    <row r="5535" spans="1:2" ht="18.75">
      <c r="A5535" s="12" t="s">
        <v>1998</v>
      </c>
      <c r="B5535" s="1" t="s">
        <v>7110</v>
      </c>
    </row>
    <row r="5536" spans="1:2" ht="18.75">
      <c r="A5536" s="12" t="s">
        <v>2000</v>
      </c>
      <c r="B5536" s="1" t="s">
        <v>7110</v>
      </c>
    </row>
    <row r="5537" spans="1:2" ht="18.75">
      <c r="A5537" s="12" t="s">
        <v>1950</v>
      </c>
      <c r="B5537" s="1" t="s">
        <v>7110</v>
      </c>
    </row>
    <row r="5538" spans="1:2" ht="18.75">
      <c r="A5538" s="12" t="s">
        <v>2001</v>
      </c>
      <c r="B5538" s="1" t="s">
        <v>7110</v>
      </c>
    </row>
    <row r="5539" spans="1:2" ht="18.75">
      <c r="A5539" s="12" t="s">
        <v>1950</v>
      </c>
      <c r="B5539" s="1" t="s">
        <v>7110</v>
      </c>
    </row>
    <row r="5540" spans="1:2" ht="18.75">
      <c r="A5540" s="12" t="s">
        <v>1974</v>
      </c>
      <c r="B5540" s="1" t="s">
        <v>7110</v>
      </c>
    </row>
    <row r="5541" spans="1:2" ht="18.75">
      <c r="A5541" s="12" t="s">
        <v>1950</v>
      </c>
      <c r="B5541" s="1" t="s">
        <v>7110</v>
      </c>
    </row>
    <row r="5542" spans="1:2" ht="18.75">
      <c r="A5542" s="12" t="s">
        <v>1938</v>
      </c>
      <c r="B5542" s="1" t="s">
        <v>7110</v>
      </c>
    </row>
    <row r="5543" spans="1:2" ht="18.75">
      <c r="A5543" s="12" t="s">
        <v>2035</v>
      </c>
      <c r="B5543" s="1" t="s">
        <v>7110</v>
      </c>
    </row>
    <row r="5544" spans="1:2" ht="18.75">
      <c r="A5544" s="12" t="s">
        <v>2035</v>
      </c>
      <c r="B5544" s="1" t="s">
        <v>7110</v>
      </c>
    </row>
    <row r="5545" spans="1:2" ht="18.75">
      <c r="A5545" s="12" t="s">
        <v>1920</v>
      </c>
      <c r="B5545" s="1" t="s">
        <v>7110</v>
      </c>
    </row>
    <row r="5546" spans="1:2" ht="18.75">
      <c r="A5546" s="12" t="s">
        <v>1825</v>
      </c>
      <c r="B5546" s="1" t="s">
        <v>7110</v>
      </c>
    </row>
    <row r="5547" spans="1:2" ht="18.75">
      <c r="A5547" s="12" t="s">
        <v>2107</v>
      </c>
      <c r="B5547" s="1" t="s">
        <v>7110</v>
      </c>
    </row>
    <row r="5548" spans="1:2" ht="18.75">
      <c r="A5548" s="12" t="s">
        <v>1998</v>
      </c>
      <c r="B5548" s="1" t="s">
        <v>7110</v>
      </c>
    </row>
    <row r="5549" spans="1:2" ht="18.75">
      <c r="A5549" s="12" t="s">
        <v>1950</v>
      </c>
      <c r="B5549" s="1" t="s">
        <v>7110</v>
      </c>
    </row>
    <row r="5550" spans="1:2" ht="18.75">
      <c r="A5550" s="12" t="s">
        <v>2107</v>
      </c>
      <c r="B5550" s="1" t="s">
        <v>7110</v>
      </c>
    </row>
    <row r="5551" spans="1:2" ht="18.75">
      <c r="A5551" s="12" t="s">
        <v>2035</v>
      </c>
      <c r="B5551" s="1" t="s">
        <v>7110</v>
      </c>
    </row>
    <row r="5552" spans="1:2" ht="18.75">
      <c r="A5552" s="12" t="s">
        <v>2134</v>
      </c>
      <c r="B5552" s="1" t="s">
        <v>7110</v>
      </c>
    </row>
    <row r="5553" spans="1:2" ht="18.75">
      <c r="A5553" s="12" t="s">
        <v>1782</v>
      </c>
      <c r="B5553" s="1" t="s">
        <v>7110</v>
      </c>
    </row>
    <row r="5554" spans="1:2" ht="18.75">
      <c r="A5554" s="12" t="s">
        <v>1783</v>
      </c>
      <c r="B5554" s="1" t="s">
        <v>7110</v>
      </c>
    </row>
    <row r="5555" spans="1:2" ht="18.75">
      <c r="A5555" s="12" t="s">
        <v>1780</v>
      </c>
      <c r="B5555" s="1" t="s">
        <v>7110</v>
      </c>
    </row>
    <row r="5556" spans="1:2" ht="18.75">
      <c r="A5556" s="12" t="s">
        <v>1807</v>
      </c>
      <c r="B5556" s="1" t="s">
        <v>7110</v>
      </c>
    </row>
    <row r="5557" spans="1:2" ht="18.75">
      <c r="A5557" s="12" t="s">
        <v>1949</v>
      </c>
      <c r="B5557" s="1" t="s">
        <v>7110</v>
      </c>
    </row>
    <row r="5558" spans="1:2" ht="18.75">
      <c r="A5558" s="12" t="s">
        <v>2134</v>
      </c>
      <c r="B5558" s="1" t="s">
        <v>7110</v>
      </c>
    </row>
    <row r="5559" spans="1:2" ht="18.75">
      <c r="A5559" s="12" t="s">
        <v>1781</v>
      </c>
      <c r="B5559" s="1" t="s">
        <v>7110</v>
      </c>
    </row>
    <row r="5560" spans="1:2" ht="18.75">
      <c r="A5560" s="12" t="s">
        <v>1807</v>
      </c>
      <c r="B5560" s="1" t="s">
        <v>7110</v>
      </c>
    </row>
    <row r="5561" spans="1:2" ht="18.75">
      <c r="A5561" s="12" t="s">
        <v>1805</v>
      </c>
      <c r="B5561" s="1" t="s">
        <v>7110</v>
      </c>
    </row>
    <row r="5562" spans="1:2" ht="18.75">
      <c r="A5562" s="12" t="s">
        <v>1807</v>
      </c>
      <c r="B5562" s="1" t="s">
        <v>7110</v>
      </c>
    </row>
    <row r="5563" spans="1:2" ht="18.75">
      <c r="A5563" s="12" t="s">
        <v>1837</v>
      </c>
      <c r="B5563" s="1" t="s">
        <v>7110</v>
      </c>
    </row>
    <row r="5564" spans="1:2" ht="18.75">
      <c r="A5564" s="12" t="s">
        <v>1920</v>
      </c>
      <c r="B5564" s="1" t="s">
        <v>7110</v>
      </c>
    </row>
    <row r="5565" spans="1:2" ht="18.75">
      <c r="A5565" s="12" t="s">
        <v>1921</v>
      </c>
      <c r="B5565" s="1" t="s">
        <v>7110</v>
      </c>
    </row>
    <row r="5566" spans="1:2" ht="18.75">
      <c r="A5566" s="12" t="s">
        <v>1950</v>
      </c>
      <c r="B5566" s="1" t="s">
        <v>7110</v>
      </c>
    </row>
    <row r="5567" spans="1:2" ht="18.75">
      <c r="A5567" s="12" t="s">
        <v>1771</v>
      </c>
      <c r="B5567" s="1" t="s">
        <v>7110</v>
      </c>
    </row>
    <row r="5568" spans="1:2" ht="18.75">
      <c r="A5568" s="12" t="s">
        <v>1950</v>
      </c>
      <c r="B5568" s="1" t="s">
        <v>7110</v>
      </c>
    </row>
    <row r="5569" spans="1:2" ht="18.75">
      <c r="A5569" s="12" t="s">
        <v>1988</v>
      </c>
      <c r="B5569" s="1" t="s">
        <v>7110</v>
      </c>
    </row>
    <row r="5570" spans="1:2" ht="18.75">
      <c r="A5570" s="12" t="s">
        <v>1837</v>
      </c>
      <c r="B5570" s="1" t="s">
        <v>7110</v>
      </c>
    </row>
    <row r="5571" spans="1:2" ht="18.75">
      <c r="A5571" s="12" t="s">
        <v>1921</v>
      </c>
      <c r="B5571" s="1" t="s">
        <v>7110</v>
      </c>
    </row>
    <row r="5572" spans="1:2" ht="18.75">
      <c r="A5572" s="12" t="s">
        <v>1920</v>
      </c>
      <c r="B5572" s="1" t="s">
        <v>7110</v>
      </c>
    </row>
    <row r="5573" spans="1:2" ht="18.75">
      <c r="A5573" s="12" t="s">
        <v>1921</v>
      </c>
      <c r="B5573" s="1" t="s">
        <v>7110</v>
      </c>
    </row>
    <row r="5574" spans="1:2" ht="18.75">
      <c r="A5574" s="12" t="s">
        <v>2134</v>
      </c>
      <c r="B5574" s="1" t="s">
        <v>7110</v>
      </c>
    </row>
    <row r="5575" spans="1:2" ht="18.75">
      <c r="A5575" s="12" t="s">
        <v>1921</v>
      </c>
      <c r="B5575" s="1" t="s">
        <v>7110</v>
      </c>
    </row>
    <row r="5576" spans="1:2" ht="18.75">
      <c r="A5576" s="12" t="s">
        <v>1921</v>
      </c>
      <c r="B5576" s="1" t="s">
        <v>7110</v>
      </c>
    </row>
    <row r="5577" spans="1:2" ht="18.75">
      <c r="A5577" s="12" t="s">
        <v>2134</v>
      </c>
      <c r="B5577" s="1" t="s">
        <v>7110</v>
      </c>
    </row>
    <row r="5578" spans="1:2" ht="18.75">
      <c r="A5578" s="12" t="s">
        <v>1514</v>
      </c>
      <c r="B5578" s="1" t="s">
        <v>7110</v>
      </c>
    </row>
    <row r="5579" spans="1:2" ht="18.75">
      <c r="A5579" s="12" t="s">
        <v>1849</v>
      </c>
      <c r="B5579" s="1" t="s">
        <v>7110</v>
      </c>
    </row>
    <row r="5580" spans="1:2" ht="18.75">
      <c r="A5580" s="12" t="s">
        <v>1786</v>
      </c>
      <c r="B5580" s="1" t="s">
        <v>7110</v>
      </c>
    </row>
    <row r="5581" spans="1:2" ht="18.75">
      <c r="A5581" s="12" t="s">
        <v>1870</v>
      </c>
      <c r="B5581" s="1" t="s">
        <v>7110</v>
      </c>
    </row>
    <row r="5582" spans="1:2" ht="18.75">
      <c r="A5582" s="12" t="s">
        <v>1837</v>
      </c>
      <c r="B5582" s="1" t="s">
        <v>7110</v>
      </c>
    </row>
    <row r="5583" spans="1:2" ht="18.75">
      <c r="A5583" s="12" t="s">
        <v>2134</v>
      </c>
      <c r="B5583" s="1" t="s">
        <v>7110</v>
      </c>
    </row>
    <row r="5584" spans="1:2" ht="18.75">
      <c r="A5584" s="12" t="s">
        <v>2134</v>
      </c>
      <c r="B5584" s="1" t="s">
        <v>7110</v>
      </c>
    </row>
    <row r="5585" spans="1:2" ht="18.75">
      <c r="A5585" s="12" t="s">
        <v>1820</v>
      </c>
      <c r="B5585" s="1" t="s">
        <v>7110</v>
      </c>
    </row>
    <row r="5586" spans="1:2" ht="18.75">
      <c r="A5586" s="12" t="s">
        <v>1840</v>
      </c>
      <c r="B5586" s="1" t="s">
        <v>7110</v>
      </c>
    </row>
    <row r="5587" spans="1:2" ht="18.75">
      <c r="A5587" s="12" t="s">
        <v>1841</v>
      </c>
      <c r="B5587" s="1" t="s">
        <v>7110</v>
      </c>
    </row>
    <row r="5588" spans="1:2" ht="18.75">
      <c r="A5588" s="12" t="s">
        <v>1841</v>
      </c>
      <c r="B5588" s="1" t="s">
        <v>7110</v>
      </c>
    </row>
    <row r="5589" spans="1:2" ht="18.75">
      <c r="A5589" s="12" t="s">
        <v>1848</v>
      </c>
      <c r="B5589" s="1" t="s">
        <v>7110</v>
      </c>
    </row>
    <row r="5590" spans="1:2" ht="18.75">
      <c r="A5590" s="12" t="s">
        <v>1848</v>
      </c>
      <c r="B5590" s="1" t="s">
        <v>7110</v>
      </c>
    </row>
    <row r="5591" spans="1:2" ht="18.75">
      <c r="A5591" s="12" t="s">
        <v>1820</v>
      </c>
      <c r="B5591" s="1" t="s">
        <v>7110</v>
      </c>
    </row>
    <row r="5592" spans="1:2" ht="18.75">
      <c r="A5592" s="12" t="s">
        <v>1854</v>
      </c>
      <c r="B5592" s="1" t="s">
        <v>7110</v>
      </c>
    </row>
    <row r="5593" spans="1:2" ht="18.75">
      <c r="A5593" s="12" t="s">
        <v>1854</v>
      </c>
      <c r="B5593" s="1" t="s">
        <v>7110</v>
      </c>
    </row>
    <row r="5594" spans="1:2" ht="18.75">
      <c r="A5594" s="12" t="s">
        <v>1859</v>
      </c>
      <c r="B5594" s="1" t="s">
        <v>7110</v>
      </c>
    </row>
    <row r="5595" spans="1:2" ht="18.75">
      <c r="A5595" s="12" t="s">
        <v>1854</v>
      </c>
      <c r="B5595" s="1" t="s">
        <v>7110</v>
      </c>
    </row>
    <row r="5596" spans="1:2" ht="18.75">
      <c r="A5596" s="12" t="s">
        <v>1861</v>
      </c>
      <c r="B5596" s="1" t="s">
        <v>7110</v>
      </c>
    </row>
    <row r="5597" spans="1:2" ht="18.75">
      <c r="A5597" s="12" t="s">
        <v>1862</v>
      </c>
      <c r="B5597" s="1" t="s">
        <v>7110</v>
      </c>
    </row>
    <row r="5598" spans="1:2" ht="18.75">
      <c r="A5598" s="12" t="s">
        <v>1861</v>
      </c>
      <c r="B5598" s="1" t="s">
        <v>7110</v>
      </c>
    </row>
    <row r="5599" spans="1:2" ht="18.75">
      <c r="A5599" s="12" t="s">
        <v>1859</v>
      </c>
      <c r="B5599" s="1" t="s">
        <v>7110</v>
      </c>
    </row>
    <row r="5600" spans="1:2" ht="18.75">
      <c r="A5600" s="12" t="s">
        <v>1869</v>
      </c>
      <c r="B5600" s="1" t="s">
        <v>7110</v>
      </c>
    </row>
    <row r="5601" spans="1:2" ht="18.75">
      <c r="A5601" s="12" t="s">
        <v>1840</v>
      </c>
      <c r="B5601" s="1" t="s">
        <v>7110</v>
      </c>
    </row>
    <row r="5602" spans="1:2" ht="18.75">
      <c r="A5602" s="12" t="s">
        <v>1947</v>
      </c>
      <c r="B5602" s="1" t="s">
        <v>7110</v>
      </c>
    </row>
    <row r="5603" spans="1:2" ht="18.75">
      <c r="A5603" s="12" t="s">
        <v>1848</v>
      </c>
      <c r="B5603" s="1" t="s">
        <v>7110</v>
      </c>
    </row>
    <row r="5604" spans="1:2" ht="18.75">
      <c r="A5604" s="12" t="s">
        <v>1954</v>
      </c>
      <c r="B5604" s="1" t="s">
        <v>7110</v>
      </c>
    </row>
    <row r="5605" spans="1:2" ht="18.75">
      <c r="A5605" s="12" t="s">
        <v>1848</v>
      </c>
      <c r="B5605" s="1" t="s">
        <v>7110</v>
      </c>
    </row>
    <row r="5606" spans="1:2" ht="18.75">
      <c r="A5606" s="12" t="s">
        <v>1973</v>
      </c>
      <c r="B5606" s="1" t="s">
        <v>7110</v>
      </c>
    </row>
    <row r="5607" spans="1:2" ht="18.75">
      <c r="A5607" s="12" t="s">
        <v>1947</v>
      </c>
      <c r="B5607" s="1" t="s">
        <v>7110</v>
      </c>
    </row>
    <row r="5608" spans="1:2" ht="18.75">
      <c r="A5608" s="12" t="s">
        <v>1992</v>
      </c>
      <c r="B5608" s="1" t="s">
        <v>7110</v>
      </c>
    </row>
    <row r="5609" spans="1:2" ht="18.75">
      <c r="A5609" s="12" t="s">
        <v>1992</v>
      </c>
      <c r="B5609" s="1" t="s">
        <v>7110</v>
      </c>
    </row>
    <row r="5610" spans="1:2" ht="18.75">
      <c r="A5610" s="12" t="s">
        <v>1996</v>
      </c>
      <c r="B5610" s="1" t="s">
        <v>7110</v>
      </c>
    </row>
    <row r="5611" spans="1:2" ht="18.75">
      <c r="A5611" s="12" t="s">
        <v>1997</v>
      </c>
      <c r="B5611" s="1" t="s">
        <v>7110</v>
      </c>
    </row>
    <row r="5612" spans="1:2" ht="18.75">
      <c r="A5612" s="12" t="s">
        <v>1992</v>
      </c>
      <c r="B5612" s="1" t="s">
        <v>7110</v>
      </c>
    </row>
    <row r="5613" spans="1:2" ht="18.75">
      <c r="A5613" s="12" t="s">
        <v>1999</v>
      </c>
      <c r="B5613" s="1" t="s">
        <v>7110</v>
      </c>
    </row>
    <row r="5614" spans="1:2" ht="18.75">
      <c r="A5614" s="12" t="s">
        <v>1996</v>
      </c>
      <c r="B5614" s="1" t="s">
        <v>7110</v>
      </c>
    </row>
    <row r="5615" spans="1:2" ht="18.75">
      <c r="A5615" s="12" t="s">
        <v>1997</v>
      </c>
      <c r="B5615" s="1" t="s">
        <v>7110</v>
      </c>
    </row>
    <row r="5616" spans="1:2" ht="18.75">
      <c r="A5616" s="12" t="s">
        <v>1992</v>
      </c>
      <c r="B5616" s="1" t="s">
        <v>7110</v>
      </c>
    </row>
    <row r="5617" spans="1:2" ht="18.75">
      <c r="A5617" s="12" t="s">
        <v>2015</v>
      </c>
      <c r="B5617" s="1" t="s">
        <v>7110</v>
      </c>
    </row>
    <row r="5618" spans="1:2" ht="18.75">
      <c r="A5618" s="12" t="s">
        <v>2021</v>
      </c>
      <c r="B5618" s="1" t="s">
        <v>7110</v>
      </c>
    </row>
    <row r="5619" spans="1:2" ht="18.75">
      <c r="A5619" s="12" t="s">
        <v>2024</v>
      </c>
      <c r="B5619" s="1" t="s">
        <v>7110</v>
      </c>
    </row>
    <row r="5620" spans="1:2" ht="18.75">
      <c r="A5620" s="12" t="s">
        <v>2025</v>
      </c>
      <c r="B5620" s="1" t="s">
        <v>7110</v>
      </c>
    </row>
    <row r="5621" spans="1:2" ht="18.75">
      <c r="A5621" s="12" t="s">
        <v>2025</v>
      </c>
      <c r="B5621" s="1" t="s">
        <v>7110</v>
      </c>
    </row>
    <row r="5622" spans="1:2" ht="18.75">
      <c r="A5622" s="12" t="s">
        <v>2015</v>
      </c>
      <c r="B5622" s="1" t="s">
        <v>7110</v>
      </c>
    </row>
    <row r="5623" spans="1:2" ht="18.75">
      <c r="A5623" s="12" t="s">
        <v>2015</v>
      </c>
      <c r="B5623" s="1" t="s">
        <v>7110</v>
      </c>
    </row>
    <row r="5624" spans="1:2" ht="18.75">
      <c r="A5624" s="12" t="s">
        <v>2029</v>
      </c>
      <c r="B5624" s="1" t="s">
        <v>7110</v>
      </c>
    </row>
    <row r="5625" spans="1:2" ht="18.75">
      <c r="A5625" s="12" t="s">
        <v>1999</v>
      </c>
      <c r="B5625" s="1" t="s">
        <v>7110</v>
      </c>
    </row>
    <row r="5626" spans="1:2" ht="18.75">
      <c r="A5626" s="12" t="s">
        <v>2037</v>
      </c>
      <c r="B5626" s="1" t="s">
        <v>7110</v>
      </c>
    </row>
    <row r="5627" spans="1:2" ht="18.75">
      <c r="A5627" s="12" t="s">
        <v>1999</v>
      </c>
      <c r="B5627" s="1" t="s">
        <v>7110</v>
      </c>
    </row>
    <row r="5628" spans="1:2" ht="18.75">
      <c r="A5628" s="12" t="s">
        <v>2039</v>
      </c>
      <c r="B5628" s="1" t="s">
        <v>7110</v>
      </c>
    </row>
    <row r="5629" spans="1:2" ht="18.75">
      <c r="A5629" s="12" t="s">
        <v>2037</v>
      </c>
      <c r="B5629" s="1" t="s">
        <v>7110</v>
      </c>
    </row>
    <row r="5630" spans="1:2" ht="18.75">
      <c r="A5630" s="12" t="s">
        <v>2040</v>
      </c>
      <c r="B5630" s="1" t="s">
        <v>7110</v>
      </c>
    </row>
    <row r="5631" spans="1:2" ht="18.75">
      <c r="A5631" s="12" t="s">
        <v>2042</v>
      </c>
      <c r="B5631" s="1" t="s">
        <v>7110</v>
      </c>
    </row>
    <row r="5632" spans="1:2" ht="18.75">
      <c r="A5632" s="12" t="s">
        <v>2042</v>
      </c>
      <c r="B5632" s="1" t="s">
        <v>7110</v>
      </c>
    </row>
    <row r="5633" spans="1:2" ht="18.75">
      <c r="A5633" s="12" t="s">
        <v>2039</v>
      </c>
      <c r="B5633" s="1" t="s">
        <v>7110</v>
      </c>
    </row>
    <row r="5634" spans="1:2" ht="18.75">
      <c r="A5634" s="12" t="s">
        <v>2021</v>
      </c>
      <c r="B5634" s="1" t="s">
        <v>7110</v>
      </c>
    </row>
    <row r="5635" spans="1:2" ht="18.75">
      <c r="A5635" s="12" t="s">
        <v>2048</v>
      </c>
      <c r="B5635" s="1" t="s">
        <v>7110</v>
      </c>
    </row>
    <row r="5636" spans="1:2" ht="18.75">
      <c r="A5636" s="12" t="s">
        <v>2040</v>
      </c>
      <c r="B5636" s="1" t="s">
        <v>7110</v>
      </c>
    </row>
    <row r="5637" spans="1:2" ht="18.75">
      <c r="A5637" s="12" t="s">
        <v>2055</v>
      </c>
      <c r="B5637" s="1" t="s">
        <v>7110</v>
      </c>
    </row>
    <row r="5638" spans="1:2" ht="18.75">
      <c r="A5638" s="12" t="s">
        <v>2076</v>
      </c>
      <c r="B5638" s="1" t="s">
        <v>7110</v>
      </c>
    </row>
    <row r="5639" spans="1:2" ht="18.75">
      <c r="A5639" s="12" t="s">
        <v>2024</v>
      </c>
      <c r="B5639" s="1" t="s">
        <v>7110</v>
      </c>
    </row>
    <row r="5640" spans="1:2" ht="18.75">
      <c r="A5640" s="12" t="s">
        <v>2077</v>
      </c>
      <c r="B5640" s="1" t="s">
        <v>7110</v>
      </c>
    </row>
    <row r="5641" spans="1:2" ht="18.75">
      <c r="A5641" s="12" t="s">
        <v>2024</v>
      </c>
      <c r="B5641" s="1" t="s">
        <v>7110</v>
      </c>
    </row>
    <row r="5642" spans="1:2" ht="18.75">
      <c r="A5642" s="12" t="s">
        <v>2042</v>
      </c>
      <c r="B5642" s="1" t="s">
        <v>7110</v>
      </c>
    </row>
    <row r="5643" spans="1:2" ht="18.75">
      <c r="A5643" s="12" t="s">
        <v>2077</v>
      </c>
      <c r="B5643" s="1" t="s">
        <v>7110</v>
      </c>
    </row>
    <row r="5644" spans="1:2" ht="18.75">
      <c r="A5644" s="12" t="s">
        <v>2079</v>
      </c>
      <c r="B5644" s="1" t="s">
        <v>7110</v>
      </c>
    </row>
    <row r="5645" spans="1:2" ht="18.75">
      <c r="A5645" s="12" t="s">
        <v>2024</v>
      </c>
      <c r="B5645" s="1" t="s">
        <v>7110</v>
      </c>
    </row>
    <row r="5646" spans="1:2" ht="18.75">
      <c r="A5646" s="12" t="s">
        <v>2081</v>
      </c>
      <c r="B5646" s="1" t="s">
        <v>7110</v>
      </c>
    </row>
    <row r="5647" spans="1:2" ht="18.75">
      <c r="A5647" s="12" t="s">
        <v>2082</v>
      </c>
      <c r="B5647" s="1" t="s">
        <v>7110</v>
      </c>
    </row>
    <row r="5648" spans="1:2" ht="18.75">
      <c r="A5648" s="12" t="s">
        <v>2081</v>
      </c>
      <c r="B5648" s="1" t="s">
        <v>7110</v>
      </c>
    </row>
    <row r="5649" spans="1:2" ht="18.75">
      <c r="A5649" s="12" t="s">
        <v>1996</v>
      </c>
      <c r="B5649" s="1" t="s">
        <v>7110</v>
      </c>
    </row>
    <row r="5650" spans="1:2" ht="18.75">
      <c r="A5650" s="12" t="s">
        <v>2048</v>
      </c>
      <c r="B5650" s="1" t="s">
        <v>7110</v>
      </c>
    </row>
    <row r="5651" spans="1:2" ht="18.75">
      <c r="A5651" s="12" t="s">
        <v>2090</v>
      </c>
      <c r="B5651" s="1" t="s">
        <v>7110</v>
      </c>
    </row>
    <row r="5652" spans="1:2" ht="18.75">
      <c r="A5652" s="12" t="s">
        <v>2091</v>
      </c>
      <c r="B5652" s="1" t="s">
        <v>7110</v>
      </c>
    </row>
    <row r="5653" spans="1:2" ht="18.75">
      <c r="A5653" s="12" t="s">
        <v>1973</v>
      </c>
      <c r="B5653" s="1" t="s">
        <v>7110</v>
      </c>
    </row>
    <row r="5654" spans="1:2" ht="18.75">
      <c r="A5654" s="12" t="s">
        <v>1973</v>
      </c>
      <c r="B5654" s="1" t="s">
        <v>7110</v>
      </c>
    </row>
    <row r="5655" spans="1:2" ht="18.75">
      <c r="A5655" s="12" t="s">
        <v>1954</v>
      </c>
      <c r="B5655" s="1" t="s">
        <v>7110</v>
      </c>
    </row>
    <row r="5656" spans="1:2" ht="18.75">
      <c r="A5656" s="12" t="s">
        <v>1947</v>
      </c>
      <c r="B5656" s="1" t="s">
        <v>7110</v>
      </c>
    </row>
    <row r="5657" spans="1:2" ht="18.75">
      <c r="A5657" s="12" t="s">
        <v>1862</v>
      </c>
      <c r="B5657" s="1" t="s">
        <v>7110</v>
      </c>
    </row>
    <row r="5658" spans="1:2" ht="18.75">
      <c r="A5658" s="12" t="s">
        <v>1869</v>
      </c>
      <c r="B5658" s="1" t="s">
        <v>7110</v>
      </c>
    </row>
    <row r="5659" spans="1:2" ht="18.75">
      <c r="A5659" s="12" t="s">
        <v>2172</v>
      </c>
      <c r="B5659" s="1" t="s">
        <v>7110</v>
      </c>
    </row>
    <row r="5660" spans="1:2" ht="18.75">
      <c r="A5660" s="12" t="s">
        <v>1848</v>
      </c>
      <c r="B5660" s="1" t="s">
        <v>7110</v>
      </c>
    </row>
    <row r="5661" spans="1:2" ht="18.75">
      <c r="A5661" s="12" t="s">
        <v>2055</v>
      </c>
      <c r="B5661" s="1" t="s">
        <v>7110</v>
      </c>
    </row>
    <row r="5662" spans="1:2" ht="18.75">
      <c r="A5662" s="12" t="s">
        <v>2055</v>
      </c>
      <c r="B5662" s="1" t="s">
        <v>7110</v>
      </c>
    </row>
    <row r="5663" spans="1:2" ht="18.75">
      <c r="A5663" s="12" t="s">
        <v>1954</v>
      </c>
      <c r="B5663" s="1" t="s">
        <v>7110</v>
      </c>
    </row>
    <row r="5664" spans="1:2" ht="18.75">
      <c r="A5664" s="12" t="s">
        <v>2029</v>
      </c>
      <c r="B5664" s="1" t="s">
        <v>7110</v>
      </c>
    </row>
    <row r="5665" spans="1:2" ht="18.75">
      <c r="A5665" s="12" t="s">
        <v>2082</v>
      </c>
      <c r="B5665" s="1" t="s">
        <v>7110</v>
      </c>
    </row>
    <row r="5666" spans="1:2" ht="18.75">
      <c r="A5666" s="12" t="s">
        <v>2021</v>
      </c>
      <c r="B5666" s="1" t="s">
        <v>7110</v>
      </c>
    </row>
    <row r="5667" spans="1:2" ht="18.75">
      <c r="A5667" s="12" t="s">
        <v>2024</v>
      </c>
      <c r="B5667" s="1" t="s">
        <v>7110</v>
      </c>
    </row>
    <row r="5668" spans="1:2" ht="18.75">
      <c r="A5668" s="12" t="s">
        <v>2015</v>
      </c>
      <c r="B5668" s="1" t="s">
        <v>7110</v>
      </c>
    </row>
    <row r="5669" spans="1:2" ht="18.75">
      <c r="A5669" s="12" t="s">
        <v>1999</v>
      </c>
      <c r="B5669" s="1" t="s">
        <v>7110</v>
      </c>
    </row>
    <row r="5670" spans="1:2" ht="18.75">
      <c r="A5670" s="12" t="s">
        <v>1999</v>
      </c>
      <c r="B5670" s="1" t="s">
        <v>7110</v>
      </c>
    </row>
    <row r="5671" spans="1:2" ht="18.75">
      <c r="A5671" s="12" t="s">
        <v>2123</v>
      </c>
      <c r="B5671" s="1" t="s">
        <v>7110</v>
      </c>
    </row>
    <row r="5672" spans="1:2" ht="18.75">
      <c r="A5672" s="12" t="s">
        <v>2123</v>
      </c>
      <c r="B5672" s="1" t="s">
        <v>7110</v>
      </c>
    </row>
    <row r="5673" spans="1:2" ht="18.75">
      <c r="A5673" s="12" t="s">
        <v>2154</v>
      </c>
      <c r="B5673" s="1" t="s">
        <v>7110</v>
      </c>
    </row>
    <row r="5674" spans="1:2" ht="18.75">
      <c r="A5674" s="12" t="s">
        <v>2040</v>
      </c>
      <c r="B5674" s="1" t="s">
        <v>7110</v>
      </c>
    </row>
    <row r="5675" spans="1:2" ht="18.75">
      <c r="A5675" s="12" t="s">
        <v>2079</v>
      </c>
      <c r="B5675" s="1" t="s">
        <v>7110</v>
      </c>
    </row>
    <row r="5676" spans="1:2" ht="18.75">
      <c r="A5676" s="12" t="s">
        <v>2160</v>
      </c>
      <c r="B5676" s="1" t="s">
        <v>7110</v>
      </c>
    </row>
    <row r="5677" spans="1:2" ht="18.75">
      <c r="A5677" s="12" t="s">
        <v>2161</v>
      </c>
      <c r="B5677" s="1" t="s">
        <v>7110</v>
      </c>
    </row>
    <row r="5678" spans="1:2" ht="18.75">
      <c r="A5678" s="12" t="s">
        <v>2160</v>
      </c>
      <c r="B5678" s="1" t="s">
        <v>7110</v>
      </c>
    </row>
    <row r="5679" spans="1:2" ht="18.75">
      <c r="A5679" s="12" t="s">
        <v>2165</v>
      </c>
      <c r="B5679" s="1" t="s">
        <v>7110</v>
      </c>
    </row>
    <row r="5680" spans="1:2" ht="18.75">
      <c r="A5680" s="12" t="s">
        <v>2167</v>
      </c>
      <c r="B5680" s="1" t="s">
        <v>7110</v>
      </c>
    </row>
    <row r="5681" spans="1:2" ht="18.75">
      <c r="A5681" s="12" t="s">
        <v>2161</v>
      </c>
      <c r="B5681" s="1" t="s">
        <v>7110</v>
      </c>
    </row>
    <row r="5682" spans="1:2" ht="18.75">
      <c r="A5682" s="12" t="s">
        <v>2167</v>
      </c>
      <c r="B5682" s="1" t="s">
        <v>7110</v>
      </c>
    </row>
    <row r="5683" spans="1:2" ht="18.75">
      <c r="A5683" s="12" t="s">
        <v>2168</v>
      </c>
      <c r="B5683" s="1" t="s">
        <v>7110</v>
      </c>
    </row>
    <row r="5684" spans="1:2" ht="18.75">
      <c r="A5684" s="12" t="s">
        <v>2169</v>
      </c>
      <c r="B5684" s="1" t="s">
        <v>7110</v>
      </c>
    </row>
    <row r="5685" spans="1:2" ht="18.75">
      <c r="A5685" s="12" t="s">
        <v>2168</v>
      </c>
      <c r="B5685" s="1" t="s">
        <v>7110</v>
      </c>
    </row>
    <row r="5686" spans="1:2" ht="18.75">
      <c r="A5686" s="12" t="s">
        <v>2167</v>
      </c>
      <c r="B5686" s="1" t="s">
        <v>7110</v>
      </c>
    </row>
    <row r="5687" spans="1:2" ht="18.75">
      <c r="A5687" s="12" t="s">
        <v>2172</v>
      </c>
      <c r="B5687" s="1" t="s">
        <v>7110</v>
      </c>
    </row>
    <row r="5688" spans="1:2" ht="18.75">
      <c r="A5688" s="12" t="s">
        <v>1973</v>
      </c>
      <c r="B5688" s="1" t="s">
        <v>7110</v>
      </c>
    </row>
    <row r="5689" spans="1:2" ht="18.75">
      <c r="A5689" s="12" t="s">
        <v>2160</v>
      </c>
      <c r="B5689" s="1" t="s">
        <v>7110</v>
      </c>
    </row>
    <row r="5690" spans="1:2" ht="18.75">
      <c r="A5690" s="12" t="s">
        <v>2169</v>
      </c>
      <c r="B5690" s="1" t="s">
        <v>7110</v>
      </c>
    </row>
    <row r="5691" spans="1:2" ht="18.75">
      <c r="A5691" s="12" t="s">
        <v>2167</v>
      </c>
      <c r="B5691" s="1" t="s">
        <v>7110</v>
      </c>
    </row>
    <row r="5692" spans="1:2" ht="18.75">
      <c r="A5692" s="12" t="s">
        <v>2167</v>
      </c>
      <c r="B5692" s="1" t="s">
        <v>7110</v>
      </c>
    </row>
    <row r="5693" spans="1:2" ht="18.75">
      <c r="A5693" s="12" t="s">
        <v>2169</v>
      </c>
      <c r="B5693" s="1" t="s">
        <v>7110</v>
      </c>
    </row>
    <row r="5694" spans="1:2" ht="18.75">
      <c r="A5694" s="12" t="s">
        <v>2178</v>
      </c>
      <c r="B5694" s="1" t="s">
        <v>7110</v>
      </c>
    </row>
    <row r="5695" spans="1:2" ht="18.75">
      <c r="A5695" s="12" t="s">
        <v>2029</v>
      </c>
      <c r="B5695" s="1" t="s">
        <v>7110</v>
      </c>
    </row>
    <row r="5696" spans="1:2" ht="18.75">
      <c r="A5696" s="12" t="s">
        <v>2082</v>
      </c>
      <c r="B5696" s="1" t="s">
        <v>7110</v>
      </c>
    </row>
    <row r="5697" spans="1:2" ht="18.75">
      <c r="A5697" s="12" t="s">
        <v>2189</v>
      </c>
      <c r="B5697" s="1" t="s">
        <v>7110</v>
      </c>
    </row>
    <row r="5698" spans="1:2" ht="18.75">
      <c r="A5698" s="12" t="s">
        <v>2184</v>
      </c>
      <c r="B5698" s="1" t="s">
        <v>7110</v>
      </c>
    </row>
    <row r="5699" spans="1:2" ht="18.75">
      <c r="A5699" s="12" t="s">
        <v>2184</v>
      </c>
      <c r="B5699" s="1" t="s">
        <v>7110</v>
      </c>
    </row>
    <row r="5700" spans="1:2" ht="18.75">
      <c r="A5700" s="12" t="s">
        <v>2160</v>
      </c>
      <c r="B5700" s="1" t="s">
        <v>7110</v>
      </c>
    </row>
    <row r="5701" spans="1:2" ht="18.75">
      <c r="A5701" s="12" t="s">
        <v>2161</v>
      </c>
      <c r="B5701" s="1" t="s">
        <v>7110</v>
      </c>
    </row>
    <row r="5702" spans="1:2" ht="18.75">
      <c r="A5702" s="12" t="s">
        <v>2178</v>
      </c>
      <c r="B5702" s="1" t="s">
        <v>7110</v>
      </c>
    </row>
    <row r="5703" spans="1:2" ht="18.75">
      <c r="A5703" s="12" t="s">
        <v>2169</v>
      </c>
      <c r="B5703" s="1" t="s">
        <v>7110</v>
      </c>
    </row>
    <row r="5704" spans="1:2" ht="18.75">
      <c r="A5704" s="12" t="s">
        <v>2184</v>
      </c>
      <c r="B5704" s="1" t="s">
        <v>7110</v>
      </c>
    </row>
    <row r="5705" spans="1:2" ht="18.75">
      <c r="A5705" s="12" t="s">
        <v>2169</v>
      </c>
      <c r="B5705" s="1" t="s">
        <v>7110</v>
      </c>
    </row>
    <row r="5706" spans="1:2" ht="18.75">
      <c r="A5706" s="12" t="s">
        <v>2192</v>
      </c>
      <c r="B5706" s="1" t="s">
        <v>7110</v>
      </c>
    </row>
    <row r="5707" spans="1:2" ht="18.75">
      <c r="A5707" s="12" t="s">
        <v>2192</v>
      </c>
      <c r="B5707" s="1" t="s">
        <v>7110</v>
      </c>
    </row>
    <row r="5708" spans="1:2" ht="18.75">
      <c r="A5708" s="12" t="s">
        <v>2184</v>
      </c>
      <c r="B5708" s="1" t="s">
        <v>7110</v>
      </c>
    </row>
    <row r="5709" spans="1:2" ht="18.75">
      <c r="A5709" s="12" t="s">
        <v>2184</v>
      </c>
      <c r="B5709" s="1" t="s">
        <v>7110</v>
      </c>
    </row>
    <row r="5710" spans="1:2" ht="18.75">
      <c r="A5710" s="12" t="s">
        <v>2191</v>
      </c>
      <c r="B5710" s="1" t="s">
        <v>7110</v>
      </c>
    </row>
    <row r="5711" spans="1:2" ht="18.75">
      <c r="A5711" s="12" t="s">
        <v>2184</v>
      </c>
      <c r="B5711" s="1" t="s">
        <v>7110</v>
      </c>
    </row>
    <row r="5712" spans="1:2" ht="18.75">
      <c r="A5712" s="12" t="s">
        <v>2191</v>
      </c>
      <c r="B5712" s="1" t="s">
        <v>7110</v>
      </c>
    </row>
    <row r="5713" spans="1:2" ht="18.75">
      <c r="A5713" s="12" t="s">
        <v>2191</v>
      </c>
      <c r="B5713" s="1" t="s">
        <v>7110</v>
      </c>
    </row>
    <row r="5714" spans="1:2" ht="18.75">
      <c r="A5714" s="12" t="s">
        <v>2180</v>
      </c>
      <c r="B5714" s="1" t="s">
        <v>7110</v>
      </c>
    </row>
    <row r="5715" spans="1:2" ht="18.75">
      <c r="A5715" s="12" t="s">
        <v>2191</v>
      </c>
      <c r="B5715" s="1" t="s">
        <v>7110</v>
      </c>
    </row>
    <row r="5716" spans="1:2" ht="18.75">
      <c r="A5716" s="12" t="s">
        <v>2184</v>
      </c>
      <c r="B5716" s="1" t="s">
        <v>7110</v>
      </c>
    </row>
    <row r="5717" spans="1:2" ht="18.75">
      <c r="A5717" s="12" t="s">
        <v>2168</v>
      </c>
      <c r="B5717" s="1" t="s">
        <v>7110</v>
      </c>
    </row>
    <row r="5718" spans="1:2" ht="18.75">
      <c r="A5718" s="12" t="s">
        <v>2189</v>
      </c>
      <c r="B5718" s="1" t="s">
        <v>7110</v>
      </c>
    </row>
    <row r="5719" spans="1:2" ht="18.75">
      <c r="A5719" s="12" t="s">
        <v>2081</v>
      </c>
      <c r="B5719" s="1" t="s">
        <v>7110</v>
      </c>
    </row>
    <row r="5720" spans="1:2" ht="18.75">
      <c r="A5720" s="12" t="s">
        <v>2178</v>
      </c>
      <c r="B5720" s="1" t="s">
        <v>7110</v>
      </c>
    </row>
    <row r="5721" spans="1:2" ht="18.75">
      <c r="A5721" s="12" t="s">
        <v>2178</v>
      </c>
      <c r="B5721" s="1" t="s">
        <v>7110</v>
      </c>
    </row>
    <row r="5722" spans="1:2" ht="18.75">
      <c r="A5722" s="12" t="s">
        <v>2165</v>
      </c>
      <c r="B5722" s="1" t="s">
        <v>7110</v>
      </c>
    </row>
    <row r="5723" spans="1:2" ht="18.75">
      <c r="A5723" s="12" t="s">
        <v>2167</v>
      </c>
      <c r="B5723" s="1" t="s">
        <v>7110</v>
      </c>
    </row>
    <row r="5724" spans="1:2" ht="18.75">
      <c r="A5724" s="12" t="s">
        <v>2169</v>
      </c>
      <c r="B5724" s="1" t="s">
        <v>7110</v>
      </c>
    </row>
    <row r="5725" spans="1:2" ht="18.75">
      <c r="A5725" s="12" t="s">
        <v>2183</v>
      </c>
      <c r="B5725" s="1" t="s">
        <v>7110</v>
      </c>
    </row>
    <row r="5726" spans="1:2" ht="18.75">
      <c r="A5726" s="12" t="s">
        <v>2186</v>
      </c>
      <c r="B5726" s="1" t="s">
        <v>7110</v>
      </c>
    </row>
    <row r="5727" spans="1:2" ht="18.75">
      <c r="A5727" s="12" t="s">
        <v>2192</v>
      </c>
      <c r="B5727" s="1" t="s">
        <v>7110</v>
      </c>
    </row>
    <row r="5728" spans="1:2" ht="18.75">
      <c r="A5728" s="12" t="s">
        <v>2186</v>
      </c>
      <c r="B5728" s="1" t="s">
        <v>7110</v>
      </c>
    </row>
    <row r="5729" spans="1:2" ht="18.75">
      <c r="A5729" s="12" t="s">
        <v>2186</v>
      </c>
      <c r="B5729" s="1" t="s">
        <v>7110</v>
      </c>
    </row>
    <row r="5730" spans="1:2" ht="18.75">
      <c r="A5730" s="12" t="s">
        <v>2184</v>
      </c>
      <c r="B5730" s="1" t="s">
        <v>7110</v>
      </c>
    </row>
    <row r="5731" spans="1:2" ht="18.75">
      <c r="A5731" s="86" t="s">
        <v>2185</v>
      </c>
      <c r="B5731" s="1" t="s">
        <v>7110</v>
      </c>
    </row>
    <row r="5732" spans="1:2" ht="18.75">
      <c r="A5732" s="12" t="s">
        <v>2188</v>
      </c>
      <c r="B5732" s="1" t="s">
        <v>7110</v>
      </c>
    </row>
    <row r="5733" spans="1:2" ht="18.75">
      <c r="A5733" s="12" t="s">
        <v>2180</v>
      </c>
      <c r="B5733" s="1" t="s">
        <v>7110</v>
      </c>
    </row>
    <row r="5734" spans="1:2" ht="18.75">
      <c r="A5734" s="12" t="s">
        <v>2182</v>
      </c>
      <c r="B5734" s="1" t="s">
        <v>7110</v>
      </c>
    </row>
    <row r="5735" spans="1:2" ht="18.75">
      <c r="A5735" s="12" t="s">
        <v>2274</v>
      </c>
      <c r="B5735" s="1" t="s">
        <v>7110</v>
      </c>
    </row>
    <row r="5736" spans="1:2" ht="18.75">
      <c r="A5736" s="12" t="s">
        <v>2165</v>
      </c>
      <c r="B5736" s="1" t="s">
        <v>7110</v>
      </c>
    </row>
    <row r="5737" spans="1:2" ht="18.75">
      <c r="A5737" s="12" t="s">
        <v>2192</v>
      </c>
      <c r="B5737" s="1" t="s">
        <v>7110</v>
      </c>
    </row>
    <row r="5738" spans="1:2" ht="18.75">
      <c r="A5738" s="12" t="s">
        <v>2186</v>
      </c>
      <c r="B5738" s="1" t="s">
        <v>7110</v>
      </c>
    </row>
    <row r="5739" spans="1:2" ht="18.75">
      <c r="A5739" s="12" t="s">
        <v>2189</v>
      </c>
      <c r="B5739" s="1" t="s">
        <v>7110</v>
      </c>
    </row>
    <row r="5740" spans="1:2" ht="18.75">
      <c r="A5740" s="12" t="s">
        <v>2165</v>
      </c>
      <c r="B5740" s="1" t="s">
        <v>7110</v>
      </c>
    </row>
    <row r="5741" spans="1:2" ht="18.75">
      <c r="A5741" s="12" t="s">
        <v>2185</v>
      </c>
      <c r="B5741" s="1" t="s">
        <v>7110</v>
      </c>
    </row>
    <row r="5742" spans="1:2" ht="18.75">
      <c r="A5742" s="12" t="s">
        <v>2184</v>
      </c>
      <c r="B5742" s="1" t="s">
        <v>7110</v>
      </c>
    </row>
    <row r="5743" spans="1:2" ht="18.75">
      <c r="A5743" s="12" t="s">
        <v>2188</v>
      </c>
      <c r="B5743" s="1" t="s">
        <v>7110</v>
      </c>
    </row>
    <row r="5744" spans="1:2" ht="18.75">
      <c r="A5744" s="12" t="s">
        <v>2182</v>
      </c>
      <c r="B5744" s="1" t="s">
        <v>7110</v>
      </c>
    </row>
    <row r="5745" spans="1:2" ht="18.75">
      <c r="A5745" s="12" t="s">
        <v>2182</v>
      </c>
      <c r="B5745" s="1" t="s">
        <v>7110</v>
      </c>
    </row>
    <row r="5746" spans="1:2" ht="18.75">
      <c r="A5746" s="12" t="s">
        <v>2181</v>
      </c>
      <c r="B5746" s="1" t="s">
        <v>7110</v>
      </c>
    </row>
    <row r="5747" spans="1:2" ht="18.75">
      <c r="A5747" s="12" t="s">
        <v>2182</v>
      </c>
      <c r="B5747" s="1" t="s">
        <v>7110</v>
      </c>
    </row>
    <row r="5748" spans="1:2" ht="18.75">
      <c r="A5748" s="12" t="s">
        <v>2181</v>
      </c>
      <c r="B5748" s="1" t="s">
        <v>7110</v>
      </c>
    </row>
    <row r="5749" spans="1:2" ht="18.75">
      <c r="A5749" s="12" t="s">
        <v>2181</v>
      </c>
      <c r="B5749" s="1" t="s">
        <v>7110</v>
      </c>
    </row>
    <row r="5750" spans="1:2" ht="18.75">
      <c r="A5750" s="12" t="s">
        <v>2188</v>
      </c>
      <c r="B5750" s="1" t="s">
        <v>7110</v>
      </c>
    </row>
    <row r="5751" spans="1:2" ht="18.75">
      <c r="A5751" s="12" t="s">
        <v>2190</v>
      </c>
      <c r="B5751" s="1" t="s">
        <v>7110</v>
      </c>
    </row>
    <row r="5752" spans="1:2" ht="18.75">
      <c r="A5752" s="12" t="s">
        <v>2181</v>
      </c>
      <c r="B5752" s="1" t="s">
        <v>7110</v>
      </c>
    </row>
    <row r="5753" spans="1:2" ht="18.75">
      <c r="A5753" s="12" t="s">
        <v>2187</v>
      </c>
      <c r="B5753" s="1" t="s">
        <v>7110</v>
      </c>
    </row>
    <row r="5754" spans="1:2" ht="18.75">
      <c r="A5754" s="12" t="s">
        <v>2168</v>
      </c>
      <c r="B5754" s="1" t="s">
        <v>7110</v>
      </c>
    </row>
    <row r="5755" spans="1:2" ht="18.75">
      <c r="A5755" s="12" t="s">
        <v>2187</v>
      </c>
      <c r="B5755" s="1" t="s">
        <v>7110</v>
      </c>
    </row>
    <row r="5756" spans="1:2" ht="18.75">
      <c r="A5756" s="12" t="s">
        <v>2183</v>
      </c>
      <c r="B5756" s="1" t="s">
        <v>7110</v>
      </c>
    </row>
    <row r="5757" spans="1:2" ht="18.75">
      <c r="A5757" s="12" t="s">
        <v>2278</v>
      </c>
      <c r="B5757" s="1" t="s">
        <v>7110</v>
      </c>
    </row>
    <row r="5758" spans="1:2" ht="18.75">
      <c r="A5758" s="12" t="s">
        <v>2025</v>
      </c>
      <c r="B5758" s="1" t="s">
        <v>7110</v>
      </c>
    </row>
    <row r="5759" spans="1:2" ht="18.75">
      <c r="A5759" s="12" t="s">
        <v>2188</v>
      </c>
      <c r="B5759" s="1" t="s">
        <v>7110</v>
      </c>
    </row>
    <row r="5760" spans="1:2" ht="18.75">
      <c r="A5760" s="12" t="s">
        <v>2278</v>
      </c>
      <c r="B5760" s="1" t="s">
        <v>7110</v>
      </c>
    </row>
    <row r="5761" spans="1:2" ht="18.75">
      <c r="A5761" s="12" t="s">
        <v>2123</v>
      </c>
      <c r="B5761" s="1" t="s">
        <v>7110</v>
      </c>
    </row>
    <row r="5762" spans="1:2" ht="18.75">
      <c r="A5762" s="12" t="s">
        <v>2184</v>
      </c>
      <c r="B5762" s="1" t="s">
        <v>7110</v>
      </c>
    </row>
    <row r="5763" spans="1:2" ht="18.75">
      <c r="A5763" s="12" t="s">
        <v>2191</v>
      </c>
      <c r="B5763" s="1" t="s">
        <v>7110</v>
      </c>
    </row>
    <row r="5764" spans="1:2" ht="18.75">
      <c r="A5764" s="12" t="s">
        <v>2191</v>
      </c>
      <c r="B5764" s="1" t="s">
        <v>7110</v>
      </c>
    </row>
    <row r="5765" spans="1:2" ht="18.75">
      <c r="A5765" s="12" t="s">
        <v>2185</v>
      </c>
      <c r="B5765" s="1" t="s">
        <v>7110</v>
      </c>
    </row>
    <row r="5766" spans="1:2" ht="18.75">
      <c r="A5766" s="12" t="s">
        <v>2191</v>
      </c>
      <c r="B5766" s="1" t="s">
        <v>7110</v>
      </c>
    </row>
    <row r="5767" spans="1:2" ht="18.75">
      <c r="A5767" s="12" t="s">
        <v>2187</v>
      </c>
      <c r="B5767" s="1" t="s">
        <v>7110</v>
      </c>
    </row>
    <row r="5768" spans="1:2" ht="18.75">
      <c r="A5768" s="12" t="s">
        <v>2190</v>
      </c>
      <c r="B5768" s="1" t="s">
        <v>7110</v>
      </c>
    </row>
    <row r="5769" spans="1:2" ht="18.75">
      <c r="A5769" s="12" t="s">
        <v>2190</v>
      </c>
      <c r="B5769" s="1" t="s">
        <v>7110</v>
      </c>
    </row>
    <row r="5770" spans="1:2" ht="18.75">
      <c r="A5770" s="12" t="s">
        <v>2274</v>
      </c>
      <c r="B5770" s="1" t="s">
        <v>7110</v>
      </c>
    </row>
    <row r="5771" spans="1:2" ht="18.75">
      <c r="A5771" s="12" t="s">
        <v>2274</v>
      </c>
      <c r="B5771" s="1" t="s">
        <v>7110</v>
      </c>
    </row>
    <row r="5772" spans="1:2" ht="18.75">
      <c r="A5772" s="12" t="s">
        <v>2180</v>
      </c>
      <c r="B5772" s="1" t="s">
        <v>7110</v>
      </c>
    </row>
    <row r="5773" spans="1:2" ht="18.75">
      <c r="A5773" s="12" t="s">
        <v>2182</v>
      </c>
      <c r="B5773" s="1" t="s">
        <v>7110</v>
      </c>
    </row>
    <row r="5774" spans="1:2" ht="18.75">
      <c r="A5774" s="12" t="s">
        <v>2182</v>
      </c>
      <c r="B5774" s="1" t="s">
        <v>7110</v>
      </c>
    </row>
    <row r="5775" spans="1:2" ht="18.75">
      <c r="A5775" s="12" t="s">
        <v>2168</v>
      </c>
      <c r="B5775" s="1" t="s">
        <v>7110</v>
      </c>
    </row>
    <row r="5776" spans="1:2" ht="18.75">
      <c r="A5776" s="12" t="s">
        <v>2274</v>
      </c>
      <c r="B5776" s="1" t="s">
        <v>7110</v>
      </c>
    </row>
    <row r="5777" spans="1:2" ht="18.75">
      <c r="A5777" s="12" t="s">
        <v>2182</v>
      </c>
      <c r="B5777" s="1" t="s">
        <v>7110</v>
      </c>
    </row>
    <row r="5778" spans="1:2" ht="18.75">
      <c r="A5778" s="12" t="s">
        <v>2190</v>
      </c>
      <c r="B5778" s="1" t="s">
        <v>7110</v>
      </c>
    </row>
    <row r="5779" spans="1:2" ht="18.75">
      <c r="A5779" s="12" t="s">
        <v>2179</v>
      </c>
      <c r="B5779" s="1" t="s">
        <v>7110</v>
      </c>
    </row>
    <row r="5780" spans="1:2" ht="18.75">
      <c r="A5780" s="12" t="s">
        <v>2179</v>
      </c>
      <c r="B5780" s="1" t="s">
        <v>7110</v>
      </c>
    </row>
    <row r="5781" spans="1:2" ht="18.75">
      <c r="A5781" s="12" t="s">
        <v>2179</v>
      </c>
      <c r="B5781" s="1" t="s">
        <v>7110</v>
      </c>
    </row>
    <row r="5782" spans="1:2" ht="18.75">
      <c r="A5782" s="12" t="s">
        <v>2165</v>
      </c>
      <c r="B5782" s="1" t="s">
        <v>7110</v>
      </c>
    </row>
    <row r="5783" spans="1:2" ht="18.75">
      <c r="A5783" s="12" t="s">
        <v>2168</v>
      </c>
      <c r="B5783" s="1" t="s">
        <v>7110</v>
      </c>
    </row>
    <row r="5784" spans="1:2" ht="18.75">
      <c r="A5784" s="12" t="s">
        <v>2192</v>
      </c>
      <c r="B5784" s="1" t="s">
        <v>7110</v>
      </c>
    </row>
    <row r="5785" spans="1:2" ht="18.75">
      <c r="A5785" s="12" t="s">
        <v>2274</v>
      </c>
      <c r="B5785" s="1" t="s">
        <v>7110</v>
      </c>
    </row>
    <row r="5786" spans="1:2" ht="18.75">
      <c r="A5786" s="12" t="s">
        <v>2274</v>
      </c>
      <c r="B5786" s="1" t="s">
        <v>7110</v>
      </c>
    </row>
    <row r="5787" spans="1:2" ht="18.75">
      <c r="A5787" s="12" t="s">
        <v>2287</v>
      </c>
      <c r="B5787" s="1" t="s">
        <v>7110</v>
      </c>
    </row>
    <row r="5788" spans="1:2" ht="18.75">
      <c r="A5788" s="12" t="s">
        <v>2290</v>
      </c>
      <c r="B5788" s="1" t="s">
        <v>7110</v>
      </c>
    </row>
    <row r="5789" spans="1:2" ht="18.75">
      <c r="A5789" s="12" t="s">
        <v>2293</v>
      </c>
      <c r="B5789" s="1" t="s">
        <v>7110</v>
      </c>
    </row>
    <row r="5790" spans="1:2" ht="18.75">
      <c r="A5790" s="12" t="s">
        <v>2293</v>
      </c>
      <c r="B5790" s="1" t="s">
        <v>7110</v>
      </c>
    </row>
    <row r="5791" spans="1:2" ht="18.75">
      <c r="A5791" s="12" t="s">
        <v>2296</v>
      </c>
      <c r="B5791" s="1" t="s">
        <v>7110</v>
      </c>
    </row>
    <row r="5792" spans="1:2" ht="18.75">
      <c r="A5792" s="12" t="s">
        <v>2293</v>
      </c>
      <c r="B5792" s="1" t="s">
        <v>7110</v>
      </c>
    </row>
    <row r="5793" spans="1:2" ht="18.75">
      <c r="A5793" s="12" t="s">
        <v>2307</v>
      </c>
      <c r="B5793" s="1" t="s">
        <v>7110</v>
      </c>
    </row>
    <row r="5794" spans="1:2" ht="18.75">
      <c r="A5794" s="12" t="s">
        <v>2081</v>
      </c>
      <c r="B5794" s="1" t="s">
        <v>7110</v>
      </c>
    </row>
    <row r="5795" spans="1:2" ht="18.75">
      <c r="A5795" s="12" t="s">
        <v>2180</v>
      </c>
      <c r="B5795" s="1" t="s">
        <v>7110</v>
      </c>
    </row>
    <row r="5796" spans="1:2" ht="18.75">
      <c r="A5796" s="12" t="s">
        <v>2180</v>
      </c>
      <c r="B5796" s="1" t="s">
        <v>7110</v>
      </c>
    </row>
    <row r="5797" spans="1:2" ht="18.75">
      <c r="A5797" s="12" t="s">
        <v>2192</v>
      </c>
      <c r="B5797" s="1" t="s">
        <v>7110</v>
      </c>
    </row>
    <row r="5798" spans="1:2" ht="18.75">
      <c r="A5798" s="12" t="s">
        <v>2290</v>
      </c>
      <c r="B5798" s="1" t="s">
        <v>7110</v>
      </c>
    </row>
    <row r="5799" spans="1:2" ht="18.75">
      <c r="A5799" s="12" t="s">
        <v>2290</v>
      </c>
      <c r="B5799" s="1" t="s">
        <v>7110</v>
      </c>
    </row>
    <row r="5800" spans="1:2" ht="18.75">
      <c r="A5800" s="12" t="s">
        <v>2290</v>
      </c>
      <c r="B5800" s="1" t="s">
        <v>7110</v>
      </c>
    </row>
    <row r="5801" spans="1:2" ht="18.75">
      <c r="A5801" s="12" t="s">
        <v>2290</v>
      </c>
      <c r="B5801" s="1" t="s">
        <v>7110</v>
      </c>
    </row>
    <row r="5802" spans="1:2" ht="18.75">
      <c r="A5802" s="12" t="s">
        <v>2296</v>
      </c>
      <c r="B5802" s="1" t="s">
        <v>7110</v>
      </c>
    </row>
    <row r="5803" spans="1:2" ht="18.75">
      <c r="A5803" s="12" t="s">
        <v>2190</v>
      </c>
      <c r="B5803" s="1" t="s">
        <v>7110</v>
      </c>
    </row>
    <row r="5804" spans="1:2" ht="18.75">
      <c r="A5804" s="12" t="s">
        <v>2314</v>
      </c>
      <c r="B5804" s="1" t="s">
        <v>7110</v>
      </c>
    </row>
    <row r="5805" spans="1:2" ht="18.75">
      <c r="A5805" s="12" t="s">
        <v>2290</v>
      </c>
      <c r="B5805" s="1" t="s">
        <v>7110</v>
      </c>
    </row>
    <row r="5806" spans="1:2" ht="18.75">
      <c r="A5806" s="12" t="s">
        <v>2290</v>
      </c>
      <c r="B5806" s="1" t="s">
        <v>7110</v>
      </c>
    </row>
    <row r="5807" spans="1:2" ht="18.75">
      <c r="A5807" s="12" t="s">
        <v>2290</v>
      </c>
      <c r="B5807" s="1" t="s">
        <v>7110</v>
      </c>
    </row>
    <row r="5808" spans="1:2" ht="18.75">
      <c r="A5808" s="12" t="s">
        <v>2190</v>
      </c>
      <c r="B5808" s="1" t="s">
        <v>7110</v>
      </c>
    </row>
    <row r="5809" spans="1:2" ht="18.75">
      <c r="A5809" s="12" t="s">
        <v>2317</v>
      </c>
      <c r="B5809" s="1" t="s">
        <v>7110</v>
      </c>
    </row>
    <row r="5810" spans="1:2" ht="18.75">
      <c r="A5810" s="12" t="s">
        <v>2316</v>
      </c>
      <c r="B5810" s="1" t="s">
        <v>7110</v>
      </c>
    </row>
    <row r="5811" spans="1:2" ht="18.75">
      <c r="A5811" s="12" t="s">
        <v>2307</v>
      </c>
      <c r="B5811" s="1" t="s">
        <v>7110</v>
      </c>
    </row>
    <row r="5812" spans="1:2" ht="18.75">
      <c r="A5812" s="12" t="s">
        <v>2274</v>
      </c>
      <c r="B5812" s="1" t="s">
        <v>7110</v>
      </c>
    </row>
    <row r="5813" spans="1:2" ht="18.75">
      <c r="A5813" s="12" t="s">
        <v>2278</v>
      </c>
      <c r="B5813" s="1" t="s">
        <v>7110</v>
      </c>
    </row>
    <row r="5814" spans="1:2" ht="18.75">
      <c r="A5814" s="12" t="s">
        <v>2076</v>
      </c>
      <c r="B5814" s="1" t="s">
        <v>7110</v>
      </c>
    </row>
    <row r="5815" spans="1:2" ht="18.75">
      <c r="A5815" s="12" t="s">
        <v>2387</v>
      </c>
      <c r="B5815" s="1" t="s">
        <v>7110</v>
      </c>
    </row>
    <row r="5816" spans="1:2" ht="18.75">
      <c r="A5816" s="12" t="s">
        <v>2387</v>
      </c>
      <c r="B5816" s="1" t="s">
        <v>7110</v>
      </c>
    </row>
    <row r="5817" spans="1:2" ht="18.75">
      <c r="A5817" s="12" t="s">
        <v>2389</v>
      </c>
      <c r="B5817" s="1" t="s">
        <v>7110</v>
      </c>
    </row>
    <row r="5818" spans="1:2" ht="18.75">
      <c r="A5818" s="12" t="s">
        <v>2389</v>
      </c>
      <c r="B5818" s="1" t="s">
        <v>7110</v>
      </c>
    </row>
    <row r="5819" spans="1:2" ht="18.75">
      <c r="A5819" s="12" t="s">
        <v>2390</v>
      </c>
      <c r="B5819" s="1" t="s">
        <v>7110</v>
      </c>
    </row>
    <row r="5820" spans="1:2" ht="18.75">
      <c r="A5820" s="12" t="s">
        <v>2389</v>
      </c>
      <c r="B5820" s="1" t="s">
        <v>7110</v>
      </c>
    </row>
    <row r="5821" spans="1:2" ht="18.75">
      <c r="A5821" s="12" t="s">
        <v>2389</v>
      </c>
      <c r="B5821" s="1" t="s">
        <v>7110</v>
      </c>
    </row>
    <row r="5822" spans="1:2" ht="18.75">
      <c r="A5822" s="12" t="s">
        <v>2389</v>
      </c>
      <c r="B5822" s="1" t="s">
        <v>7110</v>
      </c>
    </row>
    <row r="5823" spans="1:2" ht="18.75">
      <c r="A5823" s="12" t="s">
        <v>2389</v>
      </c>
      <c r="B5823" s="1" t="s">
        <v>7110</v>
      </c>
    </row>
    <row r="5824" spans="1:2" ht="18.75">
      <c r="A5824" s="12" t="s">
        <v>2389</v>
      </c>
      <c r="B5824" s="1" t="s">
        <v>7110</v>
      </c>
    </row>
    <row r="5825" spans="1:2" ht="18.75">
      <c r="A5825" s="12" t="s">
        <v>2439</v>
      </c>
      <c r="B5825" s="1" t="s">
        <v>7110</v>
      </c>
    </row>
    <row r="5826" spans="1:2" ht="18.75">
      <c r="A5826" s="12" t="s">
        <v>2440</v>
      </c>
      <c r="B5826" s="1" t="s">
        <v>7110</v>
      </c>
    </row>
    <row r="5827" spans="1:2" ht="18.75">
      <c r="A5827" s="12" t="s">
        <v>2441</v>
      </c>
      <c r="B5827" s="1" t="s">
        <v>7110</v>
      </c>
    </row>
    <row r="5828" spans="1:2" ht="18.75">
      <c r="A5828" s="12" t="s">
        <v>2442</v>
      </c>
      <c r="B5828" s="1" t="s">
        <v>7110</v>
      </c>
    </row>
    <row r="5829" spans="1:2" ht="18.75">
      <c r="A5829" s="12" t="s">
        <v>2443</v>
      </c>
      <c r="B5829" s="1" t="s">
        <v>7110</v>
      </c>
    </row>
    <row r="5830" spans="1:2" ht="18.75">
      <c r="A5830" s="12" t="s">
        <v>2444</v>
      </c>
      <c r="B5830" s="1" t="s">
        <v>7110</v>
      </c>
    </row>
    <row r="5831" spans="1:2" ht="18.75">
      <c r="A5831" s="12" t="s">
        <v>2445</v>
      </c>
      <c r="B5831" s="1" t="s">
        <v>7110</v>
      </c>
    </row>
    <row r="5832" spans="1:2" ht="18.75">
      <c r="A5832" s="12" t="s">
        <v>2446</v>
      </c>
      <c r="B5832" s="1" t="s">
        <v>7110</v>
      </c>
    </row>
    <row r="5833" spans="1:2" ht="18.75">
      <c r="A5833" s="12" t="s">
        <v>2445</v>
      </c>
      <c r="B5833" s="1" t="s">
        <v>7110</v>
      </c>
    </row>
    <row r="5834" spans="1:2" ht="18.75">
      <c r="A5834" s="12" t="s">
        <v>2447</v>
      </c>
      <c r="B5834" s="1" t="s">
        <v>7110</v>
      </c>
    </row>
    <row r="5835" spans="1:2" ht="18.75">
      <c r="A5835" s="12" t="s">
        <v>2448</v>
      </c>
      <c r="B5835" s="1" t="s">
        <v>7110</v>
      </c>
    </row>
    <row r="5836" spans="1:2" ht="18.75">
      <c r="A5836" s="12" t="s">
        <v>2446</v>
      </c>
      <c r="B5836" s="1" t="s">
        <v>7110</v>
      </c>
    </row>
    <row r="5837" spans="1:2" ht="18.75">
      <c r="A5837" s="12" t="s">
        <v>22</v>
      </c>
      <c r="B5837" s="1" t="s">
        <v>7110</v>
      </c>
    </row>
    <row r="5838" spans="1:2" ht="18.75">
      <c r="A5838" s="12" t="s">
        <v>31</v>
      </c>
      <c r="B5838" s="1" t="s">
        <v>7110</v>
      </c>
    </row>
    <row r="5839" spans="1:2" ht="18.75">
      <c r="A5839" s="12" t="s">
        <v>56</v>
      </c>
      <c r="B5839" s="1" t="s">
        <v>7110</v>
      </c>
    </row>
    <row r="5840" spans="1:2" ht="18.75">
      <c r="A5840" s="12" t="s">
        <v>59</v>
      </c>
      <c r="B5840" s="1" t="s">
        <v>7110</v>
      </c>
    </row>
    <row r="5841" spans="1:2" ht="18.75">
      <c r="A5841" s="12" t="s">
        <v>71</v>
      </c>
      <c r="B5841" s="1" t="s">
        <v>7110</v>
      </c>
    </row>
    <row r="5842" spans="1:2" ht="18.75">
      <c r="A5842" s="12" t="s">
        <v>72</v>
      </c>
      <c r="B5842" s="1" t="s">
        <v>7110</v>
      </c>
    </row>
    <row r="5843" spans="1:2" ht="18.75">
      <c r="A5843" s="12" t="s">
        <v>79</v>
      </c>
      <c r="B5843" s="1" t="s">
        <v>7110</v>
      </c>
    </row>
    <row r="5844" spans="1:2" ht="18.75">
      <c r="A5844" s="12" t="s">
        <v>79</v>
      </c>
      <c r="B5844" s="1" t="s">
        <v>7110</v>
      </c>
    </row>
    <row r="5845" spans="1:2" ht="18.75">
      <c r="A5845" s="12" t="s">
        <v>79</v>
      </c>
      <c r="B5845" s="1" t="s">
        <v>7110</v>
      </c>
    </row>
    <row r="5846" spans="1:2" ht="18.75">
      <c r="A5846" s="12" t="s">
        <v>79</v>
      </c>
      <c r="B5846" s="1" t="s">
        <v>7110</v>
      </c>
    </row>
    <row r="5847" spans="1:2" ht="18.75">
      <c r="A5847" s="12" t="s">
        <v>79</v>
      </c>
      <c r="B5847" s="1" t="s">
        <v>7110</v>
      </c>
    </row>
    <row r="5848" spans="1:2" ht="18.75">
      <c r="A5848" s="12" t="s">
        <v>173</v>
      </c>
      <c r="B5848" s="1" t="s">
        <v>7110</v>
      </c>
    </row>
    <row r="5849" spans="1:2" ht="18.75">
      <c r="A5849" s="12" t="s">
        <v>176</v>
      </c>
      <c r="B5849" s="1" t="s">
        <v>7110</v>
      </c>
    </row>
    <row r="5850" spans="1:2" ht="18.75">
      <c r="A5850" s="12" t="s">
        <v>189</v>
      </c>
      <c r="B5850" s="1" t="s">
        <v>7110</v>
      </c>
    </row>
    <row r="5851" spans="1:2" ht="18.75">
      <c r="A5851" s="12" t="s">
        <v>189</v>
      </c>
      <c r="B5851" s="1" t="s">
        <v>7110</v>
      </c>
    </row>
    <row r="5852" spans="1:2" ht="18.75">
      <c r="A5852" s="12" t="s">
        <v>193</v>
      </c>
      <c r="B5852" s="1" t="s">
        <v>7110</v>
      </c>
    </row>
    <row r="5853" spans="1:2" ht="18.75">
      <c r="A5853" s="12" t="s">
        <v>194</v>
      </c>
      <c r="B5853" s="1" t="s">
        <v>7110</v>
      </c>
    </row>
    <row r="5854" spans="1:2" ht="18.75">
      <c r="A5854" s="12" t="s">
        <v>22</v>
      </c>
      <c r="B5854" s="1" t="s">
        <v>7110</v>
      </c>
    </row>
    <row r="5855" spans="1:2" ht="18.75">
      <c r="A5855" s="12" t="s">
        <v>71</v>
      </c>
      <c r="B5855" s="1" t="s">
        <v>7110</v>
      </c>
    </row>
    <row r="5856" spans="1:2" ht="18.75">
      <c r="A5856" s="12" t="s">
        <v>71</v>
      </c>
      <c r="B5856" s="1" t="s">
        <v>7110</v>
      </c>
    </row>
    <row r="5857" spans="1:2" ht="18.75">
      <c r="A5857" s="12" t="s">
        <v>71</v>
      </c>
      <c r="B5857" s="1" t="s">
        <v>7110</v>
      </c>
    </row>
    <row r="5858" spans="1:2" ht="18.75">
      <c r="A5858" s="12" t="s">
        <v>72</v>
      </c>
      <c r="B5858" s="1" t="s">
        <v>7110</v>
      </c>
    </row>
    <row r="5859" spans="1:2" ht="18.75">
      <c r="A5859" s="12" t="s">
        <v>216</v>
      </c>
      <c r="B5859" s="1" t="s">
        <v>7110</v>
      </c>
    </row>
    <row r="5860" spans="1:2" ht="18.75">
      <c r="A5860" s="12" t="s">
        <v>216</v>
      </c>
      <c r="B5860" s="1" t="s">
        <v>7110</v>
      </c>
    </row>
    <row r="5861" spans="1:2" ht="18.75">
      <c r="A5861" s="12" t="s">
        <v>216</v>
      </c>
      <c r="B5861" s="1" t="s">
        <v>7110</v>
      </c>
    </row>
    <row r="5862" spans="1:2" ht="18.75">
      <c r="A5862" s="12" t="s">
        <v>216</v>
      </c>
      <c r="B5862" s="1" t="s">
        <v>7110</v>
      </c>
    </row>
    <row r="5863" spans="1:2" ht="18.75">
      <c r="A5863" s="12" t="s">
        <v>79</v>
      </c>
      <c r="B5863" s="1" t="s">
        <v>7110</v>
      </c>
    </row>
    <row r="5864" spans="1:2" ht="18.75">
      <c r="A5864" s="12" t="s">
        <v>31</v>
      </c>
      <c r="B5864" s="1" t="s">
        <v>7110</v>
      </c>
    </row>
    <row r="5865" spans="1:2" ht="18.75">
      <c r="A5865" s="12" t="s">
        <v>31</v>
      </c>
      <c r="B5865" s="1" t="s">
        <v>7110</v>
      </c>
    </row>
    <row r="5866" spans="1:2" ht="18.75">
      <c r="A5866" s="12" t="s">
        <v>31</v>
      </c>
      <c r="B5866" s="1" t="s">
        <v>7110</v>
      </c>
    </row>
    <row r="5867" spans="1:2" ht="18.75">
      <c r="A5867" s="12" t="s">
        <v>31</v>
      </c>
      <c r="B5867" s="1" t="s">
        <v>7110</v>
      </c>
    </row>
    <row r="5868" spans="1:2" ht="18.75">
      <c r="A5868" s="12" t="s">
        <v>279</v>
      </c>
      <c r="B5868" s="1" t="s">
        <v>7110</v>
      </c>
    </row>
    <row r="5869" spans="1:2" ht="18.75">
      <c r="A5869" s="12" t="s">
        <v>176</v>
      </c>
      <c r="B5869" s="1" t="s">
        <v>7110</v>
      </c>
    </row>
    <row r="5870" spans="1:2" ht="18.75">
      <c r="A5870" s="12" t="s">
        <v>279</v>
      </c>
      <c r="B5870" s="1" t="s">
        <v>7110</v>
      </c>
    </row>
    <row r="5871" spans="1:2" ht="18.75">
      <c r="A5871" s="12" t="s">
        <v>279</v>
      </c>
      <c r="B5871" s="1" t="s">
        <v>7110</v>
      </c>
    </row>
    <row r="5872" spans="1:2" ht="18.75">
      <c r="A5872" s="12" t="s">
        <v>31</v>
      </c>
      <c r="B5872" s="1" t="s">
        <v>7110</v>
      </c>
    </row>
    <row r="5873" spans="1:2" ht="18.75">
      <c r="A5873" s="12" t="s">
        <v>176</v>
      </c>
      <c r="B5873" s="1" t="s">
        <v>7110</v>
      </c>
    </row>
    <row r="5874" spans="1:2" ht="18.75">
      <c r="A5874" s="12" t="s">
        <v>176</v>
      </c>
      <c r="B5874" s="1" t="s">
        <v>7110</v>
      </c>
    </row>
    <row r="5875" spans="1:2" ht="18.75">
      <c r="A5875" s="12" t="s">
        <v>312</v>
      </c>
      <c r="B5875" s="1" t="s">
        <v>7110</v>
      </c>
    </row>
    <row r="5876" spans="1:2" ht="18.75">
      <c r="A5876" s="12" t="s">
        <v>59</v>
      </c>
      <c r="B5876" s="1" t="s">
        <v>7110</v>
      </c>
    </row>
    <row r="5877" spans="1:2" ht="18.75">
      <c r="A5877" s="12" t="s">
        <v>320</v>
      </c>
      <c r="B5877" s="1" t="s">
        <v>7110</v>
      </c>
    </row>
    <row r="5878" spans="1:2" ht="18.75">
      <c r="A5878" s="12" t="s">
        <v>321</v>
      </c>
      <c r="B5878" s="1" t="s">
        <v>7110</v>
      </c>
    </row>
    <row r="5879" spans="1:2" ht="18.75">
      <c r="A5879" s="12" t="s">
        <v>56</v>
      </c>
      <c r="B5879" s="1" t="s">
        <v>7110</v>
      </c>
    </row>
    <row r="5880" spans="1:2" ht="18.75">
      <c r="A5880" s="12" t="s">
        <v>324</v>
      </c>
      <c r="B5880" s="1" t="s">
        <v>7110</v>
      </c>
    </row>
    <row r="5881" spans="1:2" ht="18.75">
      <c r="A5881" s="12" t="s">
        <v>324</v>
      </c>
      <c r="B5881" s="1" t="s">
        <v>7110</v>
      </c>
    </row>
    <row r="5882" spans="1:2" ht="18.75">
      <c r="A5882" s="12" t="s">
        <v>321</v>
      </c>
      <c r="B5882" s="1" t="s">
        <v>7110</v>
      </c>
    </row>
    <row r="5883" spans="1:2" ht="18.75">
      <c r="A5883" s="12" t="s">
        <v>321</v>
      </c>
      <c r="B5883" s="1" t="s">
        <v>7110</v>
      </c>
    </row>
    <row r="5884" spans="1:2" ht="18.75">
      <c r="A5884" s="12" t="s">
        <v>330</v>
      </c>
      <c r="B5884" s="1" t="s">
        <v>7110</v>
      </c>
    </row>
    <row r="5885" spans="1:2" ht="18.75">
      <c r="A5885" s="12" t="s">
        <v>330</v>
      </c>
      <c r="B5885" s="1" t="s">
        <v>7110</v>
      </c>
    </row>
    <row r="5886" spans="1:2" ht="18.75">
      <c r="A5886" s="12" t="s">
        <v>173</v>
      </c>
      <c r="B5886" s="1" t="s">
        <v>7110</v>
      </c>
    </row>
    <row r="5887" spans="1:2" ht="18.75">
      <c r="A5887" s="12" t="s">
        <v>331</v>
      </c>
      <c r="B5887" s="1" t="s">
        <v>7110</v>
      </c>
    </row>
    <row r="5888" spans="1:2" ht="18.75">
      <c r="A5888" s="12" t="s">
        <v>59</v>
      </c>
      <c r="B5888" s="1" t="s">
        <v>7110</v>
      </c>
    </row>
    <row r="5889" spans="1:2" ht="18.75">
      <c r="A5889" s="12" t="s">
        <v>312</v>
      </c>
      <c r="B5889" s="1" t="s">
        <v>7110</v>
      </c>
    </row>
    <row r="5890" spans="1:2" ht="18.75">
      <c r="A5890" s="12" t="s">
        <v>331</v>
      </c>
      <c r="B5890" s="1" t="s">
        <v>7110</v>
      </c>
    </row>
    <row r="5891" spans="1:2" ht="18.75">
      <c r="A5891" s="12" t="s">
        <v>59</v>
      </c>
      <c r="B5891" s="1" t="s">
        <v>7110</v>
      </c>
    </row>
    <row r="5892" spans="1:2" ht="18.75">
      <c r="A5892" s="12" t="s">
        <v>334</v>
      </c>
      <c r="B5892" s="1" t="s">
        <v>7110</v>
      </c>
    </row>
    <row r="5893" spans="1:2" ht="18.75">
      <c r="A5893" s="12" t="s">
        <v>320</v>
      </c>
      <c r="B5893" s="1" t="s">
        <v>7110</v>
      </c>
    </row>
    <row r="5894" spans="1:2" ht="18.75">
      <c r="A5894" s="12" t="s">
        <v>189</v>
      </c>
      <c r="B5894" s="1" t="s">
        <v>7110</v>
      </c>
    </row>
    <row r="5895" spans="1:2" ht="18.75">
      <c r="A5895" s="12" t="s">
        <v>193</v>
      </c>
      <c r="B5895" s="1" t="s">
        <v>7110</v>
      </c>
    </row>
    <row r="5896" spans="1:2" ht="18.75">
      <c r="A5896" s="12" t="s">
        <v>194</v>
      </c>
      <c r="B5896" s="1" t="s">
        <v>7110</v>
      </c>
    </row>
    <row r="5897" spans="1:2" ht="18.75">
      <c r="A5897" s="12" t="s">
        <v>312</v>
      </c>
      <c r="B5897" s="1" t="s">
        <v>7110</v>
      </c>
    </row>
    <row r="5898" spans="1:2" ht="18.75">
      <c r="A5898" s="12" t="s">
        <v>385</v>
      </c>
      <c r="B5898" s="1" t="s">
        <v>7110</v>
      </c>
    </row>
    <row r="5899" spans="1:2" ht="18.75">
      <c r="A5899" s="12" t="s">
        <v>390</v>
      </c>
      <c r="B5899" s="1" t="s">
        <v>7110</v>
      </c>
    </row>
    <row r="5900" spans="1:2" ht="18.75">
      <c r="A5900" s="12" t="s">
        <v>418</v>
      </c>
      <c r="B5900" s="1" t="s">
        <v>7110</v>
      </c>
    </row>
    <row r="5901" spans="1:2" ht="18.75">
      <c r="A5901" s="12" t="s">
        <v>418</v>
      </c>
      <c r="B5901" s="1" t="s">
        <v>7110</v>
      </c>
    </row>
    <row r="5902" spans="1:2" ht="18.75">
      <c r="A5902" s="12" t="s">
        <v>418</v>
      </c>
      <c r="B5902" s="1" t="s">
        <v>7110</v>
      </c>
    </row>
    <row r="5903" spans="1:2" ht="18.75">
      <c r="A5903" s="12" t="s">
        <v>418</v>
      </c>
      <c r="B5903" s="1" t="s">
        <v>7110</v>
      </c>
    </row>
    <row r="5904" spans="1:2" ht="18.75">
      <c r="A5904" s="12" t="s">
        <v>490</v>
      </c>
      <c r="B5904" s="1" t="s">
        <v>7110</v>
      </c>
    </row>
    <row r="5905" spans="1:2" ht="18.75">
      <c r="A5905" s="12" t="s">
        <v>491</v>
      </c>
      <c r="B5905" s="1" t="s">
        <v>7110</v>
      </c>
    </row>
    <row r="5906" spans="1:2" ht="18.75">
      <c r="A5906" s="12" t="s">
        <v>492</v>
      </c>
      <c r="B5906" s="1" t="s">
        <v>7110</v>
      </c>
    </row>
    <row r="5907" spans="1:2" ht="18.75">
      <c r="A5907" s="12" t="s">
        <v>493</v>
      </c>
      <c r="B5907" s="1" t="s">
        <v>7110</v>
      </c>
    </row>
    <row r="5908" spans="1:2" ht="18.75">
      <c r="A5908" s="12" t="s">
        <v>418</v>
      </c>
      <c r="B5908" s="1" t="s">
        <v>7110</v>
      </c>
    </row>
    <row r="5909" spans="1:2" ht="18.75">
      <c r="A5909" s="12" t="s">
        <v>418</v>
      </c>
      <c r="B5909" s="1" t="s">
        <v>7110</v>
      </c>
    </row>
    <row r="5910" spans="1:2" ht="18.75">
      <c r="A5910" s="12" t="s">
        <v>418</v>
      </c>
      <c r="B5910" s="1" t="s">
        <v>7110</v>
      </c>
    </row>
    <row r="5911" spans="1:2" ht="18.75">
      <c r="A5911" s="12" t="s">
        <v>490</v>
      </c>
      <c r="B5911" s="1" t="s">
        <v>7110</v>
      </c>
    </row>
    <row r="5912" spans="1:2" ht="18.75">
      <c r="A5912" s="12" t="s">
        <v>496</v>
      </c>
      <c r="B5912" s="1" t="s">
        <v>7110</v>
      </c>
    </row>
    <row r="5913" spans="1:2" ht="18.75">
      <c r="A5913" s="12" t="s">
        <v>418</v>
      </c>
      <c r="B5913" s="1" t="s">
        <v>7110</v>
      </c>
    </row>
    <row r="5914" spans="1:2" ht="18.75">
      <c r="A5914" s="12" t="s">
        <v>496</v>
      </c>
      <c r="B5914" s="1" t="s">
        <v>7110</v>
      </c>
    </row>
    <row r="5915" spans="1:2" ht="18.75">
      <c r="A5915" s="12" t="s">
        <v>497</v>
      </c>
      <c r="B5915" s="1" t="s">
        <v>7110</v>
      </c>
    </row>
    <row r="5916" spans="1:2" ht="18.75">
      <c r="A5916" s="12" t="s">
        <v>497</v>
      </c>
      <c r="B5916" s="1" t="s">
        <v>7110</v>
      </c>
    </row>
    <row r="5917" spans="1:2" ht="18.75">
      <c r="A5917" s="12" t="s">
        <v>497</v>
      </c>
      <c r="B5917" s="1" t="s">
        <v>7110</v>
      </c>
    </row>
    <row r="5918" spans="1:2" ht="18.75">
      <c r="A5918" s="12" t="s">
        <v>497</v>
      </c>
      <c r="B5918" s="1" t="s">
        <v>7110</v>
      </c>
    </row>
    <row r="5919" spans="1:2" ht="18.75">
      <c r="A5919" s="12" t="s">
        <v>497</v>
      </c>
      <c r="B5919" s="1" t="s">
        <v>7110</v>
      </c>
    </row>
    <row r="5920" spans="1:2" ht="18.75">
      <c r="A5920" s="12" t="s">
        <v>497</v>
      </c>
      <c r="B5920" s="1" t="s">
        <v>7110</v>
      </c>
    </row>
    <row r="5921" spans="1:2" ht="18.75">
      <c r="A5921" s="12" t="s">
        <v>497</v>
      </c>
      <c r="B5921" s="1" t="s">
        <v>7110</v>
      </c>
    </row>
    <row r="5922" spans="1:2" ht="18.75">
      <c r="A5922" s="12" t="s">
        <v>498</v>
      </c>
      <c r="B5922" s="1" t="s">
        <v>7110</v>
      </c>
    </row>
    <row r="5923" spans="1:2" ht="18.75">
      <c r="A5923" s="12" t="s">
        <v>498</v>
      </c>
      <c r="B5923" s="1" t="s">
        <v>7110</v>
      </c>
    </row>
    <row r="5924" spans="1:2" ht="18.75">
      <c r="A5924" s="12" t="s">
        <v>498</v>
      </c>
      <c r="B5924" s="1" t="s">
        <v>7110</v>
      </c>
    </row>
    <row r="5925" spans="1:2" ht="18.75">
      <c r="A5925" s="12" t="s">
        <v>521</v>
      </c>
      <c r="B5925" s="1" t="s">
        <v>7110</v>
      </c>
    </row>
    <row r="5926" spans="1:2" ht="18.75">
      <c r="A5926" s="12" t="s">
        <v>532</v>
      </c>
      <c r="B5926" s="1" t="s">
        <v>7110</v>
      </c>
    </row>
    <row r="5927" spans="1:2" ht="18.75">
      <c r="A5927" s="12" t="s">
        <v>189</v>
      </c>
      <c r="B5927" s="1" t="s">
        <v>7110</v>
      </c>
    </row>
    <row r="5928" spans="1:2" ht="18.75">
      <c r="A5928" s="12" t="s">
        <v>540</v>
      </c>
      <c r="B5928" s="1" t="s">
        <v>7110</v>
      </c>
    </row>
    <row r="5929" spans="1:2" ht="18.75">
      <c r="A5929" s="12" t="s">
        <v>541</v>
      </c>
      <c r="B5929" s="1" t="s">
        <v>7110</v>
      </c>
    </row>
    <row r="5930" spans="1:2" ht="18.75">
      <c r="A5930" s="12" t="s">
        <v>541</v>
      </c>
      <c r="B5930" s="1" t="s">
        <v>7110</v>
      </c>
    </row>
    <row r="5931" spans="1:2" ht="18.75">
      <c r="A5931" s="12" t="s">
        <v>544</v>
      </c>
      <c r="B5931" s="1" t="s">
        <v>7110</v>
      </c>
    </row>
    <row r="5932" spans="1:2" ht="18.75">
      <c r="A5932" s="12" t="s">
        <v>544</v>
      </c>
      <c r="B5932" s="1" t="s">
        <v>7110</v>
      </c>
    </row>
    <row r="5933" spans="1:2" ht="18.75">
      <c r="A5933" s="12" t="s">
        <v>194</v>
      </c>
      <c r="B5933" s="1" t="s">
        <v>7110</v>
      </c>
    </row>
    <row r="5934" spans="1:2" ht="18.75">
      <c r="A5934" s="12" t="s">
        <v>194</v>
      </c>
      <c r="B5934" s="1" t="s">
        <v>7110</v>
      </c>
    </row>
    <row r="5935" spans="1:2" ht="18.75">
      <c r="A5935" s="12" t="s">
        <v>548</v>
      </c>
      <c r="B5935" s="1" t="s">
        <v>7110</v>
      </c>
    </row>
    <row r="5936" spans="1:2" ht="18.75">
      <c r="A5936" s="12" t="s">
        <v>194</v>
      </c>
      <c r="B5936" s="1" t="s">
        <v>7110</v>
      </c>
    </row>
    <row r="5937" spans="1:2" ht="18.75">
      <c r="A5937" s="12" t="s">
        <v>194</v>
      </c>
      <c r="B5937" s="1" t="s">
        <v>7110</v>
      </c>
    </row>
    <row r="5938" spans="1:2" ht="18.75">
      <c r="A5938" s="12" t="s">
        <v>548</v>
      </c>
      <c r="B5938" s="1" t="s">
        <v>7110</v>
      </c>
    </row>
    <row r="5939" spans="1:2" ht="18.75">
      <c r="A5939" s="12" t="s">
        <v>548</v>
      </c>
      <c r="B5939" s="1" t="s">
        <v>7110</v>
      </c>
    </row>
    <row r="5940" spans="1:2" ht="18.75">
      <c r="A5940" s="12" t="s">
        <v>548</v>
      </c>
      <c r="B5940" s="1" t="s">
        <v>7110</v>
      </c>
    </row>
    <row r="5941" spans="1:2" ht="18.75">
      <c r="A5941" s="12" t="s">
        <v>559</v>
      </c>
      <c r="B5941" s="1" t="s">
        <v>7110</v>
      </c>
    </row>
    <row r="5942" spans="1:2" ht="18.75">
      <c r="A5942" s="12" t="s">
        <v>566</v>
      </c>
      <c r="B5942" s="1" t="s">
        <v>7110</v>
      </c>
    </row>
    <row r="5943" spans="1:2" ht="18.75">
      <c r="A5943" s="12" t="s">
        <v>532</v>
      </c>
      <c r="B5943" s="1" t="s">
        <v>7110</v>
      </c>
    </row>
    <row r="5944" spans="1:2" ht="18.75">
      <c r="A5944" s="12" t="s">
        <v>580</v>
      </c>
      <c r="B5944" s="1" t="s">
        <v>7110</v>
      </c>
    </row>
    <row r="5945" spans="1:2" ht="18.75">
      <c r="A5945" s="12" t="s">
        <v>582</v>
      </c>
      <c r="B5945" s="1" t="s">
        <v>7110</v>
      </c>
    </row>
    <row r="5946" spans="1:2" ht="18.75">
      <c r="A5946" s="12" t="s">
        <v>586</v>
      </c>
      <c r="B5946" s="1" t="s">
        <v>7110</v>
      </c>
    </row>
    <row r="5947" spans="1:2" ht="18.75">
      <c r="A5947" s="12" t="s">
        <v>176</v>
      </c>
      <c r="B5947" s="1" t="s">
        <v>7110</v>
      </c>
    </row>
    <row r="5948" spans="1:2" ht="18.75">
      <c r="A5948" s="12" t="s">
        <v>321</v>
      </c>
      <c r="B5948" s="1" t="s">
        <v>7110</v>
      </c>
    </row>
    <row r="5949" spans="1:2" ht="18.75">
      <c r="A5949" s="12" t="s">
        <v>331</v>
      </c>
      <c r="B5949" s="1" t="s">
        <v>7110</v>
      </c>
    </row>
    <row r="5950" spans="1:2" ht="18.75">
      <c r="A5950" s="12" t="s">
        <v>320</v>
      </c>
      <c r="B5950" s="1" t="s">
        <v>7110</v>
      </c>
    </row>
    <row r="5951" spans="1:2" ht="18.75">
      <c r="A5951" s="12" t="s">
        <v>532</v>
      </c>
      <c r="B5951" s="1" t="s">
        <v>7110</v>
      </c>
    </row>
    <row r="5952" spans="1:2" ht="18.75">
      <c r="A5952" s="12" t="s">
        <v>330</v>
      </c>
      <c r="B5952" s="1" t="s">
        <v>7110</v>
      </c>
    </row>
    <row r="5953" spans="1:2" ht="18.75">
      <c r="A5953" s="12" t="s">
        <v>532</v>
      </c>
      <c r="B5953" s="1" t="s">
        <v>7110</v>
      </c>
    </row>
    <row r="5954" spans="1:2" ht="18.75">
      <c r="A5954" s="12" t="s">
        <v>602</v>
      </c>
      <c r="B5954" s="1" t="s">
        <v>7110</v>
      </c>
    </row>
    <row r="5955" spans="1:2" ht="18.75">
      <c r="A5955" s="12" t="s">
        <v>385</v>
      </c>
      <c r="B5955" s="1" t="s">
        <v>7110</v>
      </c>
    </row>
    <row r="5956" spans="1:2" ht="18.75">
      <c r="A5956" s="12" t="s">
        <v>540</v>
      </c>
      <c r="B5956" s="1" t="s">
        <v>7110</v>
      </c>
    </row>
    <row r="5957" spans="1:2" ht="18.75">
      <c r="A5957" s="12" t="s">
        <v>541</v>
      </c>
      <c r="B5957" s="1" t="s">
        <v>7110</v>
      </c>
    </row>
    <row r="5958" spans="1:2" ht="18.75">
      <c r="A5958" s="12" t="s">
        <v>609</v>
      </c>
      <c r="B5958" s="1" t="s">
        <v>7110</v>
      </c>
    </row>
    <row r="5959" spans="1:2" ht="18.75">
      <c r="A5959" s="12" t="s">
        <v>193</v>
      </c>
      <c r="B5959" s="1" t="s">
        <v>7110</v>
      </c>
    </row>
    <row r="5960" spans="1:2" ht="18.75">
      <c r="A5960" s="12" t="s">
        <v>544</v>
      </c>
      <c r="B5960" s="1" t="s">
        <v>7110</v>
      </c>
    </row>
    <row r="5961" spans="1:2" ht="18.75">
      <c r="A5961" s="12" t="s">
        <v>548</v>
      </c>
      <c r="B5961" s="1" t="s">
        <v>7110</v>
      </c>
    </row>
    <row r="5962" spans="1:2" ht="18.75">
      <c r="A5962" s="12" t="s">
        <v>548</v>
      </c>
      <c r="B5962" s="1" t="s">
        <v>7110</v>
      </c>
    </row>
    <row r="5963" spans="1:2" ht="18.75">
      <c r="A5963" s="12" t="s">
        <v>548</v>
      </c>
      <c r="B5963" s="1" t="s">
        <v>7110</v>
      </c>
    </row>
    <row r="5964" spans="1:2" ht="18.75">
      <c r="A5964" s="12" t="s">
        <v>548</v>
      </c>
      <c r="B5964" s="1" t="s">
        <v>7110</v>
      </c>
    </row>
    <row r="5965" spans="1:2" ht="18.75">
      <c r="A5965" s="12" t="s">
        <v>559</v>
      </c>
      <c r="B5965" s="1" t="s">
        <v>7110</v>
      </c>
    </row>
    <row r="5966" spans="1:2" ht="18.75">
      <c r="A5966" s="12" t="s">
        <v>614</v>
      </c>
      <c r="B5966" s="1" t="s">
        <v>7110</v>
      </c>
    </row>
    <row r="5967" spans="1:2" ht="18.75">
      <c r="A5967" s="12" t="s">
        <v>616</v>
      </c>
      <c r="B5967" s="1" t="s">
        <v>7110</v>
      </c>
    </row>
    <row r="5968" spans="1:2" ht="18.75">
      <c r="A5968" s="12" t="s">
        <v>521</v>
      </c>
      <c r="B5968" s="1" t="s">
        <v>7110</v>
      </c>
    </row>
    <row r="5969" spans="1:2" ht="18.75">
      <c r="A5969" s="12" t="s">
        <v>532</v>
      </c>
      <c r="B5969" s="1" t="s">
        <v>7110</v>
      </c>
    </row>
    <row r="5970" spans="1:2" ht="18.75">
      <c r="A5970" s="12" t="s">
        <v>532</v>
      </c>
      <c r="B5970" s="1" t="s">
        <v>7110</v>
      </c>
    </row>
    <row r="5971" spans="1:2" ht="18.75">
      <c r="A5971" s="12" t="s">
        <v>582</v>
      </c>
      <c r="B5971" s="1" t="s">
        <v>7110</v>
      </c>
    </row>
    <row r="5972" spans="1:2" ht="18.75">
      <c r="A5972" s="12" t="s">
        <v>582</v>
      </c>
      <c r="B5972" s="1" t="s">
        <v>7110</v>
      </c>
    </row>
    <row r="5973" spans="1:2" ht="18.75">
      <c r="A5973" s="12" t="s">
        <v>521</v>
      </c>
      <c r="B5973" s="1" t="s">
        <v>7110</v>
      </c>
    </row>
    <row r="5974" spans="1:2" ht="18.75">
      <c r="A5974" s="12" t="s">
        <v>582</v>
      </c>
      <c r="B5974" s="1" t="s">
        <v>7110</v>
      </c>
    </row>
    <row r="5975" spans="1:2" ht="18.75">
      <c r="A5975" s="12" t="s">
        <v>622</v>
      </c>
      <c r="B5975" s="1" t="s">
        <v>7110</v>
      </c>
    </row>
    <row r="5976" spans="1:2" ht="18.75">
      <c r="A5976" s="12" t="s">
        <v>623</v>
      </c>
      <c r="B5976" s="1" t="s">
        <v>7110</v>
      </c>
    </row>
    <row r="5977" spans="1:2" ht="18.75">
      <c r="A5977" s="12" t="s">
        <v>541</v>
      </c>
      <c r="B5977" s="1" t="s">
        <v>7110</v>
      </c>
    </row>
    <row r="5978" spans="1:2" ht="18.75">
      <c r="A5978" s="12" t="s">
        <v>623</v>
      </c>
      <c r="B5978" s="1" t="s">
        <v>7110</v>
      </c>
    </row>
    <row r="5979" spans="1:2" ht="18.75">
      <c r="A5979" s="12" t="s">
        <v>626</v>
      </c>
      <c r="B5979" s="1" t="s">
        <v>7110</v>
      </c>
    </row>
    <row r="5980" spans="1:2" ht="18.75">
      <c r="A5980" s="12" t="s">
        <v>631</v>
      </c>
      <c r="B5980" s="1" t="s">
        <v>7110</v>
      </c>
    </row>
    <row r="5981" spans="1:2" ht="18.75">
      <c r="A5981" s="12" t="s">
        <v>632</v>
      </c>
      <c r="B5981" s="1" t="s">
        <v>7110</v>
      </c>
    </row>
    <row r="5982" spans="1:2" ht="18.75">
      <c r="A5982" s="12" t="s">
        <v>637</v>
      </c>
      <c r="B5982" s="1" t="s">
        <v>7110</v>
      </c>
    </row>
    <row r="5983" spans="1:2" ht="18.75">
      <c r="A5983" s="12" t="s">
        <v>638</v>
      </c>
      <c r="B5983" s="1" t="s">
        <v>7110</v>
      </c>
    </row>
    <row r="5984" spans="1:2" ht="18.75">
      <c r="A5984" s="12" t="s">
        <v>639</v>
      </c>
      <c r="B5984" s="1" t="s">
        <v>7110</v>
      </c>
    </row>
    <row r="5985" spans="1:2" ht="18.75">
      <c r="A5985" s="12" t="s">
        <v>632</v>
      </c>
      <c r="B5985" s="1" t="s">
        <v>7110</v>
      </c>
    </row>
    <row r="5986" spans="1:2" ht="18.75">
      <c r="A5986" s="12" t="s">
        <v>639</v>
      </c>
      <c r="B5986" s="1" t="s">
        <v>7110</v>
      </c>
    </row>
    <row r="5987" spans="1:2" ht="18.75">
      <c r="A5987" s="12" t="s">
        <v>638</v>
      </c>
      <c r="B5987" s="1" t="s">
        <v>7110</v>
      </c>
    </row>
    <row r="5988" spans="1:2" ht="18.75">
      <c r="A5988" s="12" t="s">
        <v>643</v>
      </c>
      <c r="B5988" s="1" t="s">
        <v>7110</v>
      </c>
    </row>
    <row r="5989" spans="1:2" ht="18.75">
      <c r="A5989" s="12" t="s">
        <v>532</v>
      </c>
      <c r="B5989" s="1" t="s">
        <v>7110</v>
      </c>
    </row>
    <row r="5990" spans="1:2" ht="18.75">
      <c r="A5990" s="12" t="s">
        <v>616</v>
      </c>
      <c r="B5990" s="1" t="s">
        <v>7110</v>
      </c>
    </row>
    <row r="5991" spans="1:2" ht="18.75">
      <c r="A5991" s="12" t="s">
        <v>582</v>
      </c>
      <c r="B5991" s="1" t="s">
        <v>7110</v>
      </c>
    </row>
    <row r="5992" spans="1:2" ht="18.75">
      <c r="A5992" s="12" t="s">
        <v>586</v>
      </c>
      <c r="B5992" s="1" t="s">
        <v>7110</v>
      </c>
    </row>
    <row r="5993" spans="1:2" ht="18.75">
      <c r="A5993" s="12" t="s">
        <v>622</v>
      </c>
      <c r="B5993" s="1" t="s">
        <v>7110</v>
      </c>
    </row>
    <row r="5994" spans="1:2" ht="18.75">
      <c r="A5994" s="12" t="s">
        <v>586</v>
      </c>
      <c r="B5994" s="1" t="s">
        <v>7110</v>
      </c>
    </row>
    <row r="5995" spans="1:2" ht="18.75">
      <c r="A5995" s="12" t="s">
        <v>582</v>
      </c>
      <c r="B5995" s="1" t="s">
        <v>7110</v>
      </c>
    </row>
    <row r="5996" spans="1:2" ht="18.75">
      <c r="A5996" s="12" t="s">
        <v>649</v>
      </c>
      <c r="B5996" s="1" t="s">
        <v>7110</v>
      </c>
    </row>
    <row r="5997" spans="1:2" ht="18.75">
      <c r="A5997" s="12" t="s">
        <v>651</v>
      </c>
      <c r="B5997" s="1" t="s">
        <v>7110</v>
      </c>
    </row>
    <row r="5998" spans="1:2" ht="18.75">
      <c r="A5998" s="12" t="s">
        <v>652</v>
      </c>
      <c r="B5998" s="1" t="s">
        <v>7110</v>
      </c>
    </row>
    <row r="5999" spans="1:2" ht="18.75">
      <c r="A5999" s="12" t="s">
        <v>653</v>
      </c>
      <c r="B5999" s="1" t="s">
        <v>7110</v>
      </c>
    </row>
    <row r="6000" spans="1:2" ht="18.75">
      <c r="A6000" s="12" t="s">
        <v>654</v>
      </c>
      <c r="B6000" s="1" t="s">
        <v>7110</v>
      </c>
    </row>
    <row r="6001" spans="1:2" ht="18.75">
      <c r="A6001" s="12" t="s">
        <v>655</v>
      </c>
      <c r="B6001" s="1" t="s">
        <v>7110</v>
      </c>
    </row>
    <row r="6002" spans="1:2" ht="18.75">
      <c r="A6002" s="12" t="s">
        <v>656</v>
      </c>
      <c r="B6002" s="1" t="s">
        <v>7110</v>
      </c>
    </row>
    <row r="6003" spans="1:2" ht="18.75">
      <c r="A6003" s="12" t="s">
        <v>661</v>
      </c>
      <c r="B6003" s="1" t="s">
        <v>7110</v>
      </c>
    </row>
    <row r="6004" spans="1:2" ht="18.75">
      <c r="A6004" s="12" t="s">
        <v>638</v>
      </c>
      <c r="B6004" s="1" t="s">
        <v>7110</v>
      </c>
    </row>
    <row r="6005" spans="1:2" ht="18.75">
      <c r="A6005" s="12" t="s">
        <v>662</v>
      </c>
      <c r="B6005" s="1" t="s">
        <v>7110</v>
      </c>
    </row>
    <row r="6006" spans="1:2" ht="18.75">
      <c r="A6006" s="12" t="s">
        <v>663</v>
      </c>
      <c r="B6006" s="1" t="s">
        <v>7110</v>
      </c>
    </row>
    <row r="6007" spans="1:2" ht="18.75">
      <c r="A6007" s="12" t="s">
        <v>665</v>
      </c>
      <c r="B6007" s="1" t="s">
        <v>7110</v>
      </c>
    </row>
    <row r="6008" spans="1:2" ht="18.75">
      <c r="A6008" s="12" t="s">
        <v>652</v>
      </c>
      <c r="B6008" s="1" t="s">
        <v>7110</v>
      </c>
    </row>
    <row r="6009" spans="1:2" ht="18.75">
      <c r="A6009" s="12" t="s">
        <v>666</v>
      </c>
      <c r="B6009" s="1" t="s">
        <v>7110</v>
      </c>
    </row>
    <row r="6010" spans="1:2" ht="18.75">
      <c r="A6010" s="12" t="s">
        <v>652</v>
      </c>
      <c r="B6010" s="1" t="s">
        <v>7110</v>
      </c>
    </row>
    <row r="6011" spans="1:2" ht="18.75">
      <c r="A6011" s="12" t="s">
        <v>668</v>
      </c>
      <c r="B6011" s="1" t="s">
        <v>7110</v>
      </c>
    </row>
    <row r="6012" spans="1:2" ht="18.75">
      <c r="A6012" s="12" t="s">
        <v>649</v>
      </c>
      <c r="B6012" s="1" t="s">
        <v>7110</v>
      </c>
    </row>
    <row r="6013" spans="1:2" ht="18.75">
      <c r="A6013" s="12" t="s">
        <v>672</v>
      </c>
      <c r="B6013" s="1" t="s">
        <v>7110</v>
      </c>
    </row>
    <row r="6014" spans="1:2" ht="18.75">
      <c r="A6014" s="12" t="s">
        <v>673</v>
      </c>
      <c r="B6014" s="1" t="s">
        <v>7110</v>
      </c>
    </row>
    <row r="6015" spans="1:2" ht="18.75">
      <c r="A6015" s="12" t="s">
        <v>682</v>
      </c>
      <c r="B6015" s="1" t="s">
        <v>7110</v>
      </c>
    </row>
    <row r="6016" spans="1:2" ht="18.75">
      <c r="A6016" s="12" t="s">
        <v>690</v>
      </c>
      <c r="B6016" s="1" t="s">
        <v>7110</v>
      </c>
    </row>
    <row r="6017" spans="1:2" ht="18.75">
      <c r="A6017" s="12" t="s">
        <v>193</v>
      </c>
      <c r="B6017" s="1" t="s">
        <v>7110</v>
      </c>
    </row>
    <row r="6018" spans="1:2" ht="18.75">
      <c r="A6018" s="12" t="s">
        <v>582</v>
      </c>
      <c r="B6018" s="1" t="s">
        <v>7110</v>
      </c>
    </row>
    <row r="6019" spans="1:2" ht="18.75">
      <c r="A6019" s="12" t="s">
        <v>702</v>
      </c>
      <c r="B6019" s="1" t="s">
        <v>7110</v>
      </c>
    </row>
    <row r="6020" spans="1:2" ht="18.75">
      <c r="A6020" s="12" t="s">
        <v>532</v>
      </c>
      <c r="B6020" s="1" t="s">
        <v>7110</v>
      </c>
    </row>
    <row r="6021" spans="1:2" ht="18.75">
      <c r="A6021" s="12" t="s">
        <v>632</v>
      </c>
      <c r="B6021" s="1" t="s">
        <v>7110</v>
      </c>
    </row>
    <row r="6022" spans="1:2" ht="18.75">
      <c r="A6022" s="12" t="s">
        <v>637</v>
      </c>
      <c r="B6022" s="1" t="s">
        <v>7110</v>
      </c>
    </row>
    <row r="6023" spans="1:2" ht="18.75">
      <c r="A6023" s="12" t="s">
        <v>704</v>
      </c>
      <c r="B6023" s="1" t="s">
        <v>7110</v>
      </c>
    </row>
    <row r="6024" spans="1:2" ht="18.75">
      <c r="A6024" s="12" t="s">
        <v>637</v>
      </c>
      <c r="B6024" s="1" t="s">
        <v>7110</v>
      </c>
    </row>
    <row r="6025" spans="1:2" ht="18.75">
      <c r="A6025" s="12" t="s">
        <v>706</v>
      </c>
      <c r="B6025" s="1" t="s">
        <v>7110</v>
      </c>
    </row>
    <row r="6026" spans="1:2" ht="18.75">
      <c r="A6026" s="12" t="s">
        <v>586</v>
      </c>
      <c r="B6026" s="1" t="s">
        <v>7110</v>
      </c>
    </row>
    <row r="6027" spans="1:2" ht="18.75">
      <c r="A6027" s="12" t="s">
        <v>639</v>
      </c>
      <c r="B6027" s="1" t="s">
        <v>7110</v>
      </c>
    </row>
    <row r="6028" spans="1:2" ht="18.75">
      <c r="A6028" s="12" t="s">
        <v>631</v>
      </c>
      <c r="B6028" s="1" t="s">
        <v>7110</v>
      </c>
    </row>
    <row r="6029" spans="1:2" ht="18.75">
      <c r="A6029" s="12" t="s">
        <v>651</v>
      </c>
      <c r="B6029" s="1" t="s">
        <v>7110</v>
      </c>
    </row>
    <row r="6030" spans="1:2" ht="18.75">
      <c r="A6030" s="12" t="s">
        <v>614</v>
      </c>
      <c r="B6030" s="1" t="s">
        <v>7110</v>
      </c>
    </row>
    <row r="6031" spans="1:2" ht="18.75">
      <c r="A6031" s="12" t="s">
        <v>707</v>
      </c>
      <c r="B6031" s="1" t="s">
        <v>7110</v>
      </c>
    </row>
    <row r="6032" spans="1:2" ht="18.75">
      <c r="A6032" s="12" t="s">
        <v>710</v>
      </c>
      <c r="B6032" s="1" t="s">
        <v>7110</v>
      </c>
    </row>
    <row r="6033" spans="1:2" ht="18.75">
      <c r="A6033" s="12" t="s">
        <v>715</v>
      </c>
      <c r="B6033" s="1" t="s">
        <v>7110</v>
      </c>
    </row>
    <row r="6034" spans="1:2" ht="18.75">
      <c r="A6034" s="12" t="s">
        <v>716</v>
      </c>
      <c r="B6034" s="1" t="s">
        <v>7110</v>
      </c>
    </row>
    <row r="6035" spans="1:2" ht="18.75">
      <c r="A6035" s="12" t="s">
        <v>717</v>
      </c>
      <c r="B6035" s="1" t="s">
        <v>7110</v>
      </c>
    </row>
    <row r="6036" spans="1:2" ht="18.75">
      <c r="A6036" s="12" t="s">
        <v>718</v>
      </c>
      <c r="B6036" s="1" t="s">
        <v>7110</v>
      </c>
    </row>
    <row r="6037" spans="1:2" ht="18.75">
      <c r="A6037" s="12" t="s">
        <v>719</v>
      </c>
      <c r="B6037" s="1" t="s">
        <v>7110</v>
      </c>
    </row>
    <row r="6038" spans="1:2" ht="18.75">
      <c r="A6038" s="12" t="s">
        <v>722</v>
      </c>
      <c r="B6038" s="1" t="s">
        <v>7110</v>
      </c>
    </row>
    <row r="6039" spans="1:2" ht="18.75">
      <c r="A6039" s="12" t="s">
        <v>719</v>
      </c>
      <c r="B6039" s="1" t="s">
        <v>7110</v>
      </c>
    </row>
    <row r="6040" spans="1:2" ht="18.75">
      <c r="A6040" s="12" t="s">
        <v>723</v>
      </c>
      <c r="B6040" s="1" t="s">
        <v>7110</v>
      </c>
    </row>
    <row r="6041" spans="1:2" ht="18.75">
      <c r="A6041" s="12" t="s">
        <v>724</v>
      </c>
      <c r="B6041" s="1" t="s">
        <v>7110</v>
      </c>
    </row>
    <row r="6042" spans="1:2" ht="18.75">
      <c r="A6042" s="12" t="s">
        <v>733</v>
      </c>
      <c r="B6042" s="1" t="s">
        <v>7110</v>
      </c>
    </row>
    <row r="6043" spans="1:2" ht="18.75">
      <c r="A6043" s="12" t="s">
        <v>735</v>
      </c>
      <c r="B6043" s="1" t="s">
        <v>7110</v>
      </c>
    </row>
    <row r="6044" spans="1:2" ht="18.75">
      <c r="A6044" s="12" t="s">
        <v>736</v>
      </c>
      <c r="B6044" s="1" t="s">
        <v>7110</v>
      </c>
    </row>
    <row r="6045" spans="1:2" ht="18.75">
      <c r="A6045" s="12" t="s">
        <v>744</v>
      </c>
      <c r="B6045" s="1" t="s">
        <v>7110</v>
      </c>
    </row>
    <row r="6046" spans="1:2" ht="18.75">
      <c r="A6046" s="12" t="s">
        <v>661</v>
      </c>
      <c r="B6046" s="1" t="s">
        <v>7110</v>
      </c>
    </row>
    <row r="6047" spans="1:2" ht="18.75">
      <c r="A6047" s="12" t="s">
        <v>580</v>
      </c>
      <c r="B6047" s="1" t="s">
        <v>7110</v>
      </c>
    </row>
    <row r="6048" spans="1:2" ht="18.75">
      <c r="A6048" s="12" t="s">
        <v>582</v>
      </c>
      <c r="B6048" s="1" t="s">
        <v>7110</v>
      </c>
    </row>
    <row r="6049" spans="1:2" ht="18.75">
      <c r="A6049" s="12" t="s">
        <v>643</v>
      </c>
      <c r="B6049" s="1" t="s">
        <v>7110</v>
      </c>
    </row>
    <row r="6050" spans="1:2" ht="18.75">
      <c r="A6050" s="12" t="s">
        <v>751</v>
      </c>
      <c r="B6050" s="1" t="s">
        <v>7110</v>
      </c>
    </row>
    <row r="6051" spans="1:2" ht="18.75">
      <c r="A6051" s="12" t="s">
        <v>673</v>
      </c>
      <c r="B6051" s="1" t="s">
        <v>7110</v>
      </c>
    </row>
    <row r="6052" spans="1:2" ht="18.75">
      <c r="A6052" s="12" t="s">
        <v>752</v>
      </c>
      <c r="B6052" s="1" t="s">
        <v>7110</v>
      </c>
    </row>
    <row r="6053" spans="1:2" ht="18.75">
      <c r="A6053" s="12" t="s">
        <v>751</v>
      </c>
      <c r="B6053" s="1" t="s">
        <v>7110</v>
      </c>
    </row>
    <row r="6054" spans="1:2" ht="18.75">
      <c r="A6054" s="12" t="s">
        <v>758</v>
      </c>
      <c r="B6054" s="1" t="s">
        <v>7110</v>
      </c>
    </row>
    <row r="6055" spans="1:2" ht="18.75">
      <c r="A6055" s="12" t="s">
        <v>759</v>
      </c>
      <c r="B6055" s="1" t="s">
        <v>7110</v>
      </c>
    </row>
    <row r="6056" spans="1:2" ht="18.75">
      <c r="A6056" s="12" t="s">
        <v>662</v>
      </c>
      <c r="B6056" s="1" t="s">
        <v>7110</v>
      </c>
    </row>
    <row r="6057" spans="1:2" ht="18.75">
      <c r="A6057" s="12" t="s">
        <v>663</v>
      </c>
      <c r="B6057" s="1" t="s">
        <v>7110</v>
      </c>
    </row>
    <row r="6058" spans="1:2" ht="18.75">
      <c r="A6058" s="12" t="s">
        <v>672</v>
      </c>
      <c r="B6058" s="1" t="s">
        <v>7110</v>
      </c>
    </row>
    <row r="6059" spans="1:2" ht="18.75">
      <c r="A6059" s="12" t="s">
        <v>672</v>
      </c>
      <c r="B6059" s="1" t="s">
        <v>7110</v>
      </c>
    </row>
    <row r="6060" spans="1:2" ht="18.75">
      <c r="A6060" s="12" t="s">
        <v>672</v>
      </c>
      <c r="B6060" s="1" t="s">
        <v>7110</v>
      </c>
    </row>
    <row r="6061" spans="1:2" ht="18.75">
      <c r="A6061" s="12" t="s">
        <v>758</v>
      </c>
      <c r="B6061" s="1" t="s">
        <v>7110</v>
      </c>
    </row>
    <row r="6062" spans="1:2" ht="18.75">
      <c r="A6062" s="12" t="s">
        <v>665</v>
      </c>
      <c r="B6062" s="1" t="s">
        <v>7110</v>
      </c>
    </row>
    <row r="6063" spans="1:2" ht="18.75">
      <c r="A6063" s="12" t="s">
        <v>616</v>
      </c>
      <c r="B6063" s="1" t="s">
        <v>7110</v>
      </c>
    </row>
    <row r="6064" spans="1:2" ht="18.75">
      <c r="A6064" s="12" t="s">
        <v>758</v>
      </c>
      <c r="B6064" s="1" t="s">
        <v>7110</v>
      </c>
    </row>
    <row r="6065" spans="1:2" ht="18.75">
      <c r="A6065" s="12" t="s">
        <v>766</v>
      </c>
      <c r="B6065" s="1" t="s">
        <v>7110</v>
      </c>
    </row>
    <row r="6066" spans="1:2" ht="18.75">
      <c r="A6066" s="12" t="s">
        <v>766</v>
      </c>
      <c r="B6066" s="1" t="s">
        <v>7110</v>
      </c>
    </row>
    <row r="6067" spans="1:2" ht="18.75">
      <c r="A6067" s="12" t="s">
        <v>767</v>
      </c>
      <c r="B6067" s="1" t="s">
        <v>7110</v>
      </c>
    </row>
    <row r="6068" spans="1:2" ht="18.75">
      <c r="A6068" s="12" t="s">
        <v>643</v>
      </c>
      <c r="B6068" s="1" t="s">
        <v>7110</v>
      </c>
    </row>
    <row r="6069" spans="1:2" ht="18.75">
      <c r="A6069" s="12" t="s">
        <v>770</v>
      </c>
      <c r="B6069" s="1" t="s">
        <v>7110</v>
      </c>
    </row>
    <row r="6070" spans="1:2" ht="18.75">
      <c r="A6070" s="12" t="s">
        <v>771</v>
      </c>
      <c r="B6070" s="1" t="s">
        <v>7110</v>
      </c>
    </row>
    <row r="6071" spans="1:2" ht="18.75">
      <c r="A6071" s="12" t="s">
        <v>772</v>
      </c>
      <c r="B6071" s="1" t="s">
        <v>7110</v>
      </c>
    </row>
    <row r="6072" spans="1:2" ht="18.75">
      <c r="A6072" s="12" t="s">
        <v>766</v>
      </c>
      <c r="B6072" s="1" t="s">
        <v>7110</v>
      </c>
    </row>
    <row r="6073" spans="1:2" ht="18.75">
      <c r="A6073" s="12" t="s">
        <v>773</v>
      </c>
      <c r="B6073" s="1" t="s">
        <v>7110</v>
      </c>
    </row>
    <row r="6074" spans="1:2" ht="18.75">
      <c r="A6074" s="12" t="s">
        <v>79</v>
      </c>
      <c r="B6074" s="1" t="s">
        <v>7110</v>
      </c>
    </row>
    <row r="6075" spans="1:2" ht="18">
      <c r="A6075" s="87" t="s">
        <v>779</v>
      </c>
      <c r="B6075" s="1" t="s">
        <v>7110</v>
      </c>
    </row>
    <row r="6076" spans="1:2" ht="18">
      <c r="A6076" s="87" t="s">
        <v>780</v>
      </c>
      <c r="B6076" s="1" t="s">
        <v>7110</v>
      </c>
    </row>
    <row r="6077" spans="1:2" ht="18">
      <c r="A6077" s="87" t="s">
        <v>789</v>
      </c>
      <c r="B6077" s="1" t="s">
        <v>7110</v>
      </c>
    </row>
    <row r="6078" spans="1:2" ht="18">
      <c r="A6078" s="87" t="s">
        <v>790</v>
      </c>
      <c r="B6078" s="1" t="s">
        <v>7110</v>
      </c>
    </row>
    <row r="6079" spans="1:2" ht="18">
      <c r="A6079" s="87" t="s">
        <v>794</v>
      </c>
      <c r="B6079" s="1" t="s">
        <v>7110</v>
      </c>
    </row>
    <row r="6080" spans="1:2" ht="18">
      <c r="A6080" s="87" t="s">
        <v>733</v>
      </c>
      <c r="B6080" s="1" t="s">
        <v>7110</v>
      </c>
    </row>
    <row r="6081" spans="1:2" ht="18">
      <c r="A6081" s="87" t="s">
        <v>795</v>
      </c>
      <c r="B6081" s="1" t="s">
        <v>7110</v>
      </c>
    </row>
    <row r="6082" spans="1:2" ht="18">
      <c r="A6082" s="87" t="s">
        <v>779</v>
      </c>
      <c r="B6082" s="1" t="s">
        <v>7110</v>
      </c>
    </row>
    <row r="6083" spans="1:2" ht="18">
      <c r="A6083" s="87" t="s">
        <v>796</v>
      </c>
      <c r="B6083" s="1" t="s">
        <v>7110</v>
      </c>
    </row>
    <row r="6084" spans="1:2" ht="18">
      <c r="A6084" s="87" t="s">
        <v>736</v>
      </c>
      <c r="B6084" s="1" t="s">
        <v>7110</v>
      </c>
    </row>
    <row r="6085" spans="1:2" ht="18">
      <c r="A6085" s="87" t="s">
        <v>799</v>
      </c>
      <c r="B6085" s="1" t="s">
        <v>7110</v>
      </c>
    </row>
    <row r="6086" spans="1:2" ht="18">
      <c r="A6086" s="87" t="s">
        <v>804</v>
      </c>
      <c r="B6086" s="1" t="s">
        <v>7110</v>
      </c>
    </row>
    <row r="6087" spans="1:2" ht="18">
      <c r="A6087" s="87" t="s">
        <v>806</v>
      </c>
      <c r="B6087" s="1" t="s">
        <v>7110</v>
      </c>
    </row>
    <row r="6088" spans="1:2" ht="18">
      <c r="A6088" s="87" t="s">
        <v>717</v>
      </c>
      <c r="B6088" s="1" t="s">
        <v>7110</v>
      </c>
    </row>
    <row r="6089" spans="1:2" ht="18">
      <c r="A6089" s="87" t="s">
        <v>799</v>
      </c>
      <c r="B6089" s="1" t="s">
        <v>7110</v>
      </c>
    </row>
    <row r="6090" spans="1:2" ht="18">
      <c r="A6090" s="87" t="s">
        <v>809</v>
      </c>
      <c r="B6090" s="1" t="s">
        <v>7110</v>
      </c>
    </row>
    <row r="6091" spans="1:2" ht="18">
      <c r="A6091" s="87" t="s">
        <v>810</v>
      </c>
      <c r="B6091" s="1" t="s">
        <v>7110</v>
      </c>
    </row>
    <row r="6092" spans="1:2" ht="18">
      <c r="A6092" s="87" t="s">
        <v>811</v>
      </c>
      <c r="B6092" s="1" t="s">
        <v>7110</v>
      </c>
    </row>
    <row r="6093" spans="1:2" ht="18">
      <c r="A6093" s="87" t="s">
        <v>812</v>
      </c>
      <c r="B6093" s="1" t="s">
        <v>7110</v>
      </c>
    </row>
    <row r="6094" spans="1:2" ht="18">
      <c r="A6094" s="87" t="s">
        <v>813</v>
      </c>
      <c r="B6094" s="1" t="s">
        <v>7110</v>
      </c>
    </row>
    <row r="6095" spans="1:2" ht="18">
      <c r="A6095" s="87" t="s">
        <v>814</v>
      </c>
      <c r="B6095" s="1" t="s">
        <v>7110</v>
      </c>
    </row>
    <row r="6096" spans="1:2" ht="18">
      <c r="A6096" s="87" t="s">
        <v>819</v>
      </c>
      <c r="B6096" s="1" t="s">
        <v>7110</v>
      </c>
    </row>
    <row r="6097" spans="1:2" ht="18">
      <c r="A6097" s="87" t="s">
        <v>789</v>
      </c>
      <c r="B6097" s="1" t="s">
        <v>7110</v>
      </c>
    </row>
    <row r="6098" spans="1:2" ht="18">
      <c r="A6098" s="87" t="s">
        <v>814</v>
      </c>
      <c r="B6098" s="1" t="s">
        <v>7110</v>
      </c>
    </row>
    <row r="6099" spans="1:2" ht="18">
      <c r="A6099" s="87" t="s">
        <v>820</v>
      </c>
      <c r="B6099" s="1" t="s">
        <v>7110</v>
      </c>
    </row>
    <row r="6100" spans="1:2" ht="18">
      <c r="A6100" s="87" t="s">
        <v>822</v>
      </c>
      <c r="B6100" s="1" t="s">
        <v>7110</v>
      </c>
    </row>
    <row r="6101" spans="1:2" ht="18">
      <c r="A6101" s="87" t="s">
        <v>825</v>
      </c>
      <c r="B6101" s="1" t="s">
        <v>7110</v>
      </c>
    </row>
    <row r="6102" spans="1:2" ht="18">
      <c r="A6102" s="87" t="s">
        <v>744</v>
      </c>
      <c r="B6102" s="1" t="s">
        <v>7110</v>
      </c>
    </row>
    <row r="6103" spans="1:2" ht="18">
      <c r="A6103" s="87" t="s">
        <v>773</v>
      </c>
      <c r="B6103" s="1" t="s">
        <v>7110</v>
      </c>
    </row>
    <row r="6104" spans="1:2" ht="18">
      <c r="A6104" s="87" t="s">
        <v>836</v>
      </c>
      <c r="B6104" s="1" t="s">
        <v>7110</v>
      </c>
    </row>
    <row r="6105" spans="1:2" ht="18">
      <c r="A6105" s="87" t="s">
        <v>837</v>
      </c>
      <c r="B6105" s="1" t="s">
        <v>7110</v>
      </c>
    </row>
    <row r="6106" spans="1:2" ht="18">
      <c r="A6106" s="87" t="s">
        <v>840</v>
      </c>
      <c r="B6106" s="1" t="s">
        <v>7110</v>
      </c>
    </row>
    <row r="6107" spans="1:2" ht="18">
      <c r="A6107" s="87" t="s">
        <v>841</v>
      </c>
      <c r="B6107" s="1" t="s">
        <v>7110</v>
      </c>
    </row>
    <row r="6108" spans="1:2" ht="18">
      <c r="A6108" s="87" t="s">
        <v>845</v>
      </c>
      <c r="B6108" s="1" t="s">
        <v>7110</v>
      </c>
    </row>
    <row r="6109" spans="1:2" ht="18">
      <c r="A6109" s="87" t="s">
        <v>847</v>
      </c>
      <c r="B6109" s="1" t="s">
        <v>7110</v>
      </c>
    </row>
    <row r="6110" spans="1:2" ht="18">
      <c r="A6110" s="87" t="s">
        <v>848</v>
      </c>
      <c r="B6110" s="1" t="s">
        <v>7110</v>
      </c>
    </row>
    <row r="6111" spans="1:2" ht="18">
      <c r="A6111" s="87" t="s">
        <v>849</v>
      </c>
      <c r="B6111" s="1" t="s">
        <v>7110</v>
      </c>
    </row>
    <row r="6112" spans="1:2" ht="18">
      <c r="A6112" s="87" t="s">
        <v>851</v>
      </c>
      <c r="B6112" s="1" t="s">
        <v>7110</v>
      </c>
    </row>
    <row r="6113" spans="1:2" ht="18">
      <c r="A6113" s="87" t="s">
        <v>851</v>
      </c>
      <c r="B6113" s="1" t="s">
        <v>7110</v>
      </c>
    </row>
    <row r="6114" spans="1:2" ht="18">
      <c r="A6114" s="87" t="s">
        <v>849</v>
      </c>
      <c r="B6114" s="1" t="s">
        <v>7110</v>
      </c>
    </row>
    <row r="6115" spans="1:2" ht="18">
      <c r="A6115" s="87" t="s">
        <v>847</v>
      </c>
      <c r="B6115" s="1" t="s">
        <v>7110</v>
      </c>
    </row>
    <row r="6116" spans="1:2" ht="18">
      <c r="A6116" s="87" t="s">
        <v>847</v>
      </c>
      <c r="B6116" s="1" t="s">
        <v>7110</v>
      </c>
    </row>
    <row r="6117" spans="1:2" ht="18">
      <c r="A6117" s="87" t="s">
        <v>847</v>
      </c>
      <c r="B6117" s="1" t="s">
        <v>7110</v>
      </c>
    </row>
    <row r="6118" spans="1:2" ht="18">
      <c r="A6118" s="87" t="s">
        <v>847</v>
      </c>
      <c r="B6118" s="1" t="s">
        <v>7110</v>
      </c>
    </row>
    <row r="6119" spans="1:2" ht="18">
      <c r="A6119" s="87" t="s">
        <v>847</v>
      </c>
      <c r="B6119" s="1" t="s">
        <v>7110</v>
      </c>
    </row>
    <row r="6120" spans="1:2" ht="18">
      <c r="A6120" s="87" t="s">
        <v>849</v>
      </c>
      <c r="B6120" s="1" t="s">
        <v>7110</v>
      </c>
    </row>
    <row r="6121" spans="1:2" ht="18">
      <c r="A6121" s="87" t="s">
        <v>847</v>
      </c>
      <c r="B6121" s="1" t="s">
        <v>7110</v>
      </c>
    </row>
    <row r="6122" spans="1:2" ht="18">
      <c r="A6122" s="87" t="s">
        <v>847</v>
      </c>
      <c r="B6122" s="1" t="s">
        <v>7110</v>
      </c>
    </row>
    <row r="6123" spans="1:2" ht="18">
      <c r="A6123" s="87" t="s">
        <v>851</v>
      </c>
      <c r="B6123" s="1" t="s">
        <v>7110</v>
      </c>
    </row>
    <row r="6124" spans="1:2" ht="18">
      <c r="A6124" s="87" t="s">
        <v>851</v>
      </c>
      <c r="B6124" s="1" t="s">
        <v>7110</v>
      </c>
    </row>
    <row r="6125" spans="1:2" ht="18">
      <c r="A6125" s="87" t="s">
        <v>851</v>
      </c>
      <c r="B6125" s="1" t="s">
        <v>7110</v>
      </c>
    </row>
    <row r="6126" spans="1:2" ht="18">
      <c r="A6126" s="87" t="s">
        <v>851</v>
      </c>
      <c r="B6126" s="1" t="s">
        <v>7110</v>
      </c>
    </row>
    <row r="6127" spans="1:2" ht="18">
      <c r="A6127" s="87" t="s">
        <v>851</v>
      </c>
      <c r="B6127" s="1" t="s">
        <v>7110</v>
      </c>
    </row>
    <row r="6128" spans="1:2" ht="18">
      <c r="A6128" s="87" t="s">
        <v>548</v>
      </c>
      <c r="B6128" s="1" t="s">
        <v>7110</v>
      </c>
    </row>
    <row r="6129" spans="1:2" ht="18">
      <c r="A6129" s="87" t="s">
        <v>858</v>
      </c>
      <c r="B6129" s="1" t="s">
        <v>7110</v>
      </c>
    </row>
    <row r="6130" spans="1:2" ht="18">
      <c r="A6130" s="87" t="s">
        <v>861</v>
      </c>
      <c r="B6130" s="1" t="s">
        <v>7110</v>
      </c>
    </row>
    <row r="6131" spans="1:2" ht="18">
      <c r="A6131" s="87" t="s">
        <v>862</v>
      </c>
      <c r="B6131" s="1" t="s">
        <v>7110</v>
      </c>
    </row>
    <row r="6132" spans="1:2" ht="18">
      <c r="A6132" s="87" t="s">
        <v>652</v>
      </c>
      <c r="B6132" s="1" t="s">
        <v>7110</v>
      </c>
    </row>
    <row r="6133" spans="1:2" ht="18">
      <c r="A6133" s="87" t="s">
        <v>652</v>
      </c>
      <c r="B6133" s="1" t="s">
        <v>7110</v>
      </c>
    </row>
    <row r="6134" spans="1:2" ht="18">
      <c r="A6134" s="87" t="s">
        <v>870</v>
      </c>
      <c r="B6134" s="1" t="s">
        <v>7110</v>
      </c>
    </row>
    <row r="6135" spans="1:2" ht="18">
      <c r="A6135" s="87" t="s">
        <v>871</v>
      </c>
      <c r="B6135" s="1" t="s">
        <v>7110</v>
      </c>
    </row>
    <row r="6136" spans="1:2" ht="18">
      <c r="A6136" s="87" t="s">
        <v>870</v>
      </c>
      <c r="B6136" s="1" t="s">
        <v>7110</v>
      </c>
    </row>
    <row r="6137" spans="1:2" ht="18">
      <c r="A6137" s="87" t="s">
        <v>872</v>
      </c>
      <c r="B6137" s="1" t="s">
        <v>7110</v>
      </c>
    </row>
    <row r="6138" spans="1:2" ht="18">
      <c r="A6138" s="87" t="s">
        <v>716</v>
      </c>
      <c r="B6138" s="1" t="s">
        <v>7110</v>
      </c>
    </row>
    <row r="6139" spans="1:2" ht="18">
      <c r="A6139" s="87" t="s">
        <v>653</v>
      </c>
      <c r="B6139" s="1" t="s">
        <v>7110</v>
      </c>
    </row>
    <row r="6140" spans="1:2" ht="18">
      <c r="A6140" s="87" t="s">
        <v>874</v>
      </c>
      <c r="B6140" s="1" t="s">
        <v>7110</v>
      </c>
    </row>
    <row r="6141" spans="1:2" ht="18">
      <c r="A6141" s="87" t="s">
        <v>654</v>
      </c>
      <c r="B6141" s="1" t="s">
        <v>7110</v>
      </c>
    </row>
    <row r="6142" spans="1:2" ht="18">
      <c r="A6142" s="87" t="s">
        <v>884</v>
      </c>
      <c r="B6142" s="1" t="s">
        <v>7110</v>
      </c>
    </row>
    <row r="6143" spans="1:2" ht="18">
      <c r="A6143" s="87" t="s">
        <v>885</v>
      </c>
      <c r="B6143" s="1" t="s">
        <v>7110</v>
      </c>
    </row>
    <row r="6144" spans="1:2" ht="18">
      <c r="A6144" s="87" t="s">
        <v>887</v>
      </c>
      <c r="B6144" s="1" t="s">
        <v>7110</v>
      </c>
    </row>
    <row r="6145" spans="1:2" ht="18">
      <c r="A6145" s="87" t="s">
        <v>887</v>
      </c>
      <c r="B6145" s="1" t="s">
        <v>7110</v>
      </c>
    </row>
    <row r="6146" spans="1:2" ht="18">
      <c r="A6146" s="87" t="s">
        <v>888</v>
      </c>
      <c r="B6146" s="1" t="s">
        <v>7110</v>
      </c>
    </row>
    <row r="6147" spans="1:2" ht="18">
      <c r="A6147" s="87" t="s">
        <v>891</v>
      </c>
      <c r="B6147" s="1" t="s">
        <v>7110</v>
      </c>
    </row>
    <row r="6148" spans="1:2" ht="18">
      <c r="A6148" s="87" t="s">
        <v>892</v>
      </c>
      <c r="B6148" s="1" t="s">
        <v>7110</v>
      </c>
    </row>
    <row r="6149" spans="1:2" ht="18">
      <c r="A6149" s="87" t="s">
        <v>893</v>
      </c>
      <c r="B6149" s="1" t="s">
        <v>7110</v>
      </c>
    </row>
    <row r="6150" spans="1:2" ht="18">
      <c r="A6150" s="87" t="s">
        <v>894</v>
      </c>
      <c r="B6150" s="1" t="s">
        <v>7110</v>
      </c>
    </row>
    <row r="6151" spans="1:2" ht="18">
      <c r="A6151" s="87" t="s">
        <v>892</v>
      </c>
      <c r="B6151" s="1" t="s">
        <v>7110</v>
      </c>
    </row>
    <row r="6152" spans="1:2" ht="18">
      <c r="A6152" s="87" t="s">
        <v>707</v>
      </c>
      <c r="B6152" s="1" t="s">
        <v>7110</v>
      </c>
    </row>
    <row r="6153" spans="1:2" ht="18">
      <c r="A6153" s="87" t="s">
        <v>896</v>
      </c>
      <c r="B6153" s="1" t="s">
        <v>7110</v>
      </c>
    </row>
    <row r="6154" spans="1:2" ht="18">
      <c r="A6154" s="87" t="s">
        <v>897</v>
      </c>
      <c r="B6154" s="1" t="s">
        <v>7110</v>
      </c>
    </row>
    <row r="6155" spans="1:2" ht="18">
      <c r="A6155" s="87" t="s">
        <v>898</v>
      </c>
      <c r="B6155" s="1" t="s">
        <v>7110</v>
      </c>
    </row>
    <row r="6156" spans="1:2" ht="18">
      <c r="A6156" s="87" t="s">
        <v>899</v>
      </c>
      <c r="B6156" s="1" t="s">
        <v>7110</v>
      </c>
    </row>
    <row r="6157" spans="1:2" ht="18">
      <c r="A6157" s="87" t="s">
        <v>888</v>
      </c>
      <c r="B6157" s="1" t="s">
        <v>7110</v>
      </c>
    </row>
    <row r="6158" spans="1:2" ht="18">
      <c r="A6158" s="87" t="s">
        <v>903</v>
      </c>
      <c r="B6158" s="1" t="s">
        <v>7110</v>
      </c>
    </row>
    <row r="6159" spans="1:2" ht="18">
      <c r="A6159" s="87" t="s">
        <v>884</v>
      </c>
      <c r="B6159" s="1" t="s">
        <v>7110</v>
      </c>
    </row>
    <row r="6160" spans="1:2" ht="18">
      <c r="A6160" s="87" t="s">
        <v>909</v>
      </c>
      <c r="B6160" s="1" t="s">
        <v>7110</v>
      </c>
    </row>
    <row r="6161" spans="1:2" ht="18">
      <c r="A6161" s="87" t="s">
        <v>6724</v>
      </c>
      <c r="B6161" s="1" t="s">
        <v>7110</v>
      </c>
    </row>
    <row r="6162" spans="1:2" ht="18">
      <c r="A6162" s="87" t="s">
        <v>914</v>
      </c>
      <c r="B6162" s="1" t="s">
        <v>7110</v>
      </c>
    </row>
    <row r="6163" spans="1:2" ht="18">
      <c r="A6163" s="87" t="s">
        <v>899</v>
      </c>
      <c r="B6163" s="1" t="s">
        <v>7110</v>
      </c>
    </row>
    <row r="6164" spans="1:2" ht="18">
      <c r="A6164" s="87" t="s">
        <v>921</v>
      </c>
      <c r="B6164" s="1" t="s">
        <v>7110</v>
      </c>
    </row>
    <row r="6165" spans="1:2" ht="18">
      <c r="A6165" s="87" t="s">
        <v>809</v>
      </c>
      <c r="B6165" s="1" t="s">
        <v>7110</v>
      </c>
    </row>
    <row r="6166" spans="1:2" ht="18">
      <c r="A6166" s="87" t="s">
        <v>922</v>
      </c>
      <c r="B6166" s="1" t="s">
        <v>7110</v>
      </c>
    </row>
    <row r="6167" spans="1:2" ht="18">
      <c r="A6167" s="87" t="s">
        <v>819</v>
      </c>
      <c r="B6167" s="1" t="s">
        <v>7110</v>
      </c>
    </row>
    <row r="6168" spans="1:2" ht="18">
      <c r="A6168" s="87" t="s">
        <v>923</v>
      </c>
      <c r="B6168" s="1" t="s">
        <v>7110</v>
      </c>
    </row>
    <row r="6169" spans="1:2" ht="18">
      <c r="A6169" s="87" t="s">
        <v>820</v>
      </c>
      <c r="B6169" s="1" t="s">
        <v>7110</v>
      </c>
    </row>
    <row r="6170" spans="1:2" ht="18">
      <c r="A6170" s="87" t="s">
        <v>723</v>
      </c>
      <c r="B6170" s="1" t="s">
        <v>7110</v>
      </c>
    </row>
    <row r="6171" spans="1:2" ht="18">
      <c r="A6171" s="87" t="s">
        <v>803</v>
      </c>
      <c r="B6171" s="1" t="s">
        <v>7110</v>
      </c>
    </row>
    <row r="6172" spans="1:2" ht="18">
      <c r="A6172" s="87" t="s">
        <v>803</v>
      </c>
      <c r="B6172" s="1" t="s">
        <v>7110</v>
      </c>
    </row>
    <row r="6173" spans="1:2" ht="18">
      <c r="A6173" s="87" t="s">
        <v>789</v>
      </c>
      <c r="B6173" s="1" t="s">
        <v>7110</v>
      </c>
    </row>
    <row r="6174" spans="1:2" ht="18">
      <c r="A6174" s="87" t="s">
        <v>822</v>
      </c>
      <c r="B6174" s="1" t="s">
        <v>7110</v>
      </c>
    </row>
    <row r="6175" spans="1:2" ht="18">
      <c r="A6175" s="87" t="s">
        <v>922</v>
      </c>
      <c r="B6175" s="1" t="s">
        <v>7110</v>
      </c>
    </row>
    <row r="6176" spans="1:2" ht="18">
      <c r="A6176" s="87" t="s">
        <v>929</v>
      </c>
      <c r="B6176" s="1" t="s">
        <v>7110</v>
      </c>
    </row>
    <row r="6177" spans="1:2" ht="18">
      <c r="A6177" s="87" t="s">
        <v>858</v>
      </c>
      <c r="B6177" s="1" t="s">
        <v>7110</v>
      </c>
    </row>
    <row r="6178" spans="1:2" ht="18">
      <c r="A6178" s="87" t="s">
        <v>790</v>
      </c>
      <c r="B6178" s="1" t="s">
        <v>7110</v>
      </c>
    </row>
    <row r="6179" spans="1:2" ht="18">
      <c r="A6179" s="87" t="s">
        <v>717</v>
      </c>
      <c r="B6179" s="1" t="s">
        <v>7110</v>
      </c>
    </row>
    <row r="6180" spans="1:2" ht="18">
      <c r="A6180" s="87" t="s">
        <v>758</v>
      </c>
      <c r="B6180" s="1" t="s">
        <v>7110</v>
      </c>
    </row>
    <row r="6181" spans="1:2" ht="18">
      <c r="A6181" s="87" t="s">
        <v>672</v>
      </c>
      <c r="B6181" s="1" t="s">
        <v>7110</v>
      </c>
    </row>
    <row r="6182" spans="1:2" ht="18">
      <c r="A6182" s="87" t="s">
        <v>813</v>
      </c>
      <c r="B6182" s="1" t="s">
        <v>7110</v>
      </c>
    </row>
    <row r="6183" spans="1:2" ht="18">
      <c r="A6183" s="87" t="s">
        <v>936</v>
      </c>
      <c r="B6183" s="1" t="s">
        <v>7110</v>
      </c>
    </row>
    <row r="6184" spans="1:2" ht="18.75">
      <c r="A6184" s="12" t="s">
        <v>723</v>
      </c>
      <c r="B6184" s="1" t="s">
        <v>7110</v>
      </c>
    </row>
    <row r="6185" spans="1:2" ht="18.75">
      <c r="A6185" s="12" t="s">
        <v>940</v>
      </c>
      <c r="B6185" s="1" t="s">
        <v>7110</v>
      </c>
    </row>
    <row r="6186" spans="1:2" ht="18.75">
      <c r="A6186" s="12" t="s">
        <v>6725</v>
      </c>
      <c r="B6186" s="1" t="s">
        <v>7110</v>
      </c>
    </row>
    <row r="6187" spans="1:2" ht="18.75">
      <c r="A6187" s="12" t="s">
        <v>941</v>
      </c>
      <c r="B6187" s="1" t="s">
        <v>7110</v>
      </c>
    </row>
    <row r="6188" spans="1:2" ht="18.75">
      <c r="A6188" s="12" t="s">
        <v>803</v>
      </c>
      <c r="B6188" s="1" t="s">
        <v>7110</v>
      </c>
    </row>
    <row r="6189" spans="1:2" ht="18.75">
      <c r="A6189" s="12" t="s">
        <v>944</v>
      </c>
      <c r="B6189" s="1" t="s">
        <v>7110</v>
      </c>
    </row>
    <row r="6190" spans="1:2" ht="18.75">
      <c r="A6190" s="12" t="s">
        <v>946</v>
      </c>
      <c r="B6190" s="1" t="s">
        <v>7110</v>
      </c>
    </row>
    <row r="6191" spans="1:2" ht="18.75">
      <c r="A6191" s="12" t="s">
        <v>946</v>
      </c>
      <c r="B6191" s="1" t="s">
        <v>7110</v>
      </c>
    </row>
    <row r="6192" spans="1:2" ht="18.75">
      <c r="A6192" s="12" t="s">
        <v>949</v>
      </c>
      <c r="B6192" s="1" t="s">
        <v>7110</v>
      </c>
    </row>
    <row r="6193" spans="1:2" ht="18.75">
      <c r="A6193" s="12" t="s">
        <v>954</v>
      </c>
      <c r="B6193" s="1" t="s">
        <v>7110</v>
      </c>
    </row>
    <row r="6194" spans="1:2" ht="18.75">
      <c r="A6194" s="12" t="s">
        <v>957</v>
      </c>
      <c r="B6194" s="1" t="s">
        <v>7110</v>
      </c>
    </row>
    <row r="6195" spans="1:2" ht="18.75">
      <c r="A6195" s="12" t="s">
        <v>961</v>
      </c>
      <c r="B6195" s="1" t="s">
        <v>7110</v>
      </c>
    </row>
    <row r="6196" spans="1:2" ht="18.75">
      <c r="A6196" s="12" t="s">
        <v>6726</v>
      </c>
      <c r="B6196" s="1" t="s">
        <v>7110</v>
      </c>
    </row>
    <row r="6197" spans="1:2" ht="18.75">
      <c r="A6197" s="12" t="s">
        <v>653</v>
      </c>
      <c r="B6197" s="1" t="s">
        <v>7110</v>
      </c>
    </row>
    <row r="6198" spans="1:2" ht="18.75">
      <c r="A6198" s="12" t="s">
        <v>796</v>
      </c>
      <c r="B6198" s="1" t="s">
        <v>7110</v>
      </c>
    </row>
    <row r="6199" spans="1:2" ht="18.75">
      <c r="A6199" s="12" t="s">
        <v>888</v>
      </c>
      <c r="B6199" s="1" t="s">
        <v>7110</v>
      </c>
    </row>
    <row r="6200" spans="1:2" ht="18.75">
      <c r="A6200" s="12" t="s">
        <v>974</v>
      </c>
      <c r="B6200" s="1" t="s">
        <v>7110</v>
      </c>
    </row>
    <row r="6201" spans="1:2" ht="18.75">
      <c r="A6201" s="12" t="s">
        <v>975</v>
      </c>
      <c r="B6201" s="1" t="s">
        <v>7110</v>
      </c>
    </row>
    <row r="6202" spans="1:2" ht="18.75">
      <c r="A6202" s="12" t="s">
        <v>894</v>
      </c>
      <c r="B6202" s="1" t="s">
        <v>7110</v>
      </c>
    </row>
    <row r="6203" spans="1:2" ht="18.75">
      <c r="A6203" s="12" t="s">
        <v>189</v>
      </c>
      <c r="B6203" s="1" t="s">
        <v>7110</v>
      </c>
    </row>
    <row r="6204" spans="1:2" ht="18.75">
      <c r="A6204" s="12" t="s">
        <v>189</v>
      </c>
      <c r="B6204" s="1" t="s">
        <v>7110</v>
      </c>
    </row>
    <row r="6205" spans="1:2" ht="18.75">
      <c r="A6205" s="12" t="s">
        <v>189</v>
      </c>
      <c r="B6205" s="1" t="s">
        <v>7110</v>
      </c>
    </row>
    <row r="6206" spans="1:2" ht="18.75">
      <c r="A6206" s="12" t="s">
        <v>320</v>
      </c>
      <c r="B6206" s="1" t="s">
        <v>7110</v>
      </c>
    </row>
    <row r="6207" spans="1:2" ht="18.75">
      <c r="A6207" s="12" t="s">
        <v>320</v>
      </c>
      <c r="B6207" s="1" t="s">
        <v>7110</v>
      </c>
    </row>
    <row r="6208" spans="1:2" ht="18.75">
      <c r="A6208" s="12" t="s">
        <v>320</v>
      </c>
      <c r="B6208" s="1" t="s">
        <v>7110</v>
      </c>
    </row>
    <row r="6209" spans="1:2" ht="18.75">
      <c r="A6209" s="12" t="s">
        <v>978</v>
      </c>
      <c r="B6209" s="1" t="s">
        <v>7110</v>
      </c>
    </row>
    <row r="6210" spans="1:2" ht="18.75">
      <c r="A6210" s="12" t="s">
        <v>978</v>
      </c>
      <c r="B6210" s="1" t="s">
        <v>7110</v>
      </c>
    </row>
    <row r="6211" spans="1:2" ht="18.75">
      <c r="A6211" s="12" t="s">
        <v>544</v>
      </c>
      <c r="B6211" s="1" t="s">
        <v>7110</v>
      </c>
    </row>
    <row r="6212" spans="1:2" ht="18.75">
      <c r="A6212" s="12" t="s">
        <v>544</v>
      </c>
      <c r="B6212" s="1" t="s">
        <v>7110</v>
      </c>
    </row>
    <row r="6213" spans="1:2" ht="18.75">
      <c r="A6213" s="12" t="s">
        <v>194</v>
      </c>
      <c r="B6213" s="1" t="s">
        <v>7110</v>
      </c>
    </row>
    <row r="6214" spans="1:2" ht="18.75">
      <c r="A6214" s="12" t="s">
        <v>194</v>
      </c>
      <c r="B6214" s="1" t="s">
        <v>7110</v>
      </c>
    </row>
    <row r="6215" spans="1:2" ht="18.75">
      <c r="A6215" s="12" t="s">
        <v>548</v>
      </c>
      <c r="B6215" s="1" t="s">
        <v>7110</v>
      </c>
    </row>
    <row r="6216" spans="1:2" ht="18.75">
      <c r="A6216" s="12" t="s">
        <v>548</v>
      </c>
      <c r="B6216" s="1" t="s">
        <v>7110</v>
      </c>
    </row>
    <row r="6217" spans="1:2" ht="18.75">
      <c r="A6217" s="12" t="s">
        <v>548</v>
      </c>
      <c r="B6217" s="1" t="s">
        <v>7110</v>
      </c>
    </row>
    <row r="6218" spans="1:2" ht="18.75">
      <c r="A6218" s="12" t="s">
        <v>548</v>
      </c>
      <c r="B6218" s="1" t="s">
        <v>7110</v>
      </c>
    </row>
    <row r="6219" spans="1:2" ht="18.75">
      <c r="A6219" s="12" t="s">
        <v>548</v>
      </c>
      <c r="B6219" s="1" t="s">
        <v>7110</v>
      </c>
    </row>
    <row r="6220" spans="1:2" ht="18.75">
      <c r="A6220" s="12" t="s">
        <v>982</v>
      </c>
      <c r="B6220" s="1" t="s">
        <v>7110</v>
      </c>
    </row>
    <row r="6221" spans="1:2" ht="18.75">
      <c r="A6221" s="12" t="s">
        <v>548</v>
      </c>
      <c r="B6221" s="1" t="s">
        <v>7110</v>
      </c>
    </row>
    <row r="6222" spans="1:2" ht="18.75">
      <c r="A6222" s="12" t="s">
        <v>194</v>
      </c>
      <c r="B6222" s="1" t="s">
        <v>7110</v>
      </c>
    </row>
    <row r="6223" spans="1:2" ht="18.75">
      <c r="A6223" s="12" t="s">
        <v>982</v>
      </c>
      <c r="B6223" s="1" t="s">
        <v>7110</v>
      </c>
    </row>
    <row r="6224" spans="1:2" ht="18.75">
      <c r="A6224" s="12" t="s">
        <v>548</v>
      </c>
      <c r="B6224" s="1" t="s">
        <v>7110</v>
      </c>
    </row>
    <row r="6225" spans="1:2" ht="18.75">
      <c r="A6225" s="12" t="s">
        <v>548</v>
      </c>
      <c r="B6225" s="1" t="s">
        <v>7110</v>
      </c>
    </row>
    <row r="6226" spans="1:2" ht="18.75">
      <c r="A6226" s="12" t="s">
        <v>983</v>
      </c>
      <c r="B6226" s="1" t="s">
        <v>7110</v>
      </c>
    </row>
    <row r="6227" spans="1:2" ht="18.75">
      <c r="A6227" s="12" t="s">
        <v>559</v>
      </c>
      <c r="B6227" s="1" t="s">
        <v>7110</v>
      </c>
    </row>
    <row r="6228" spans="1:2" ht="18.75">
      <c r="A6228" s="12" t="s">
        <v>559</v>
      </c>
      <c r="B6228" s="1" t="s">
        <v>7110</v>
      </c>
    </row>
    <row r="6229" spans="1:2" ht="18.75">
      <c r="A6229" s="12" t="s">
        <v>983</v>
      </c>
      <c r="B6229" s="1" t="s">
        <v>7110</v>
      </c>
    </row>
    <row r="6230" spans="1:2" ht="18.75">
      <c r="A6230" s="12" t="s">
        <v>983</v>
      </c>
      <c r="B6230" s="1" t="s">
        <v>7110</v>
      </c>
    </row>
    <row r="6231" spans="1:2" ht="18.75">
      <c r="A6231" s="12" t="s">
        <v>559</v>
      </c>
      <c r="B6231" s="1" t="s">
        <v>7110</v>
      </c>
    </row>
    <row r="6232" spans="1:2" ht="18.75">
      <c r="A6232" s="12" t="s">
        <v>983</v>
      </c>
      <c r="B6232" s="1" t="s">
        <v>7110</v>
      </c>
    </row>
    <row r="6233" spans="1:2" ht="18.75">
      <c r="A6233" s="12" t="s">
        <v>983</v>
      </c>
      <c r="B6233" s="1" t="s">
        <v>7110</v>
      </c>
    </row>
    <row r="6234" spans="1:2" ht="18.75">
      <c r="A6234" s="12" t="s">
        <v>614</v>
      </c>
      <c r="B6234" s="1" t="s">
        <v>7110</v>
      </c>
    </row>
    <row r="6235" spans="1:2" ht="18.75">
      <c r="A6235" s="88" t="s">
        <v>614</v>
      </c>
      <c r="B6235" s="1" t="s">
        <v>7110</v>
      </c>
    </row>
    <row r="6236" spans="1:2" ht="18.75">
      <c r="A6236" s="88" t="s">
        <v>614</v>
      </c>
      <c r="B6236" s="1" t="s">
        <v>7110</v>
      </c>
    </row>
    <row r="6237" spans="1:2" ht="18.75">
      <c r="A6237" s="88" t="s">
        <v>983</v>
      </c>
      <c r="B6237" s="1" t="s">
        <v>7110</v>
      </c>
    </row>
    <row r="6238" spans="1:2" ht="18.75">
      <c r="A6238" s="85" t="s">
        <v>984</v>
      </c>
      <c r="B6238" s="1" t="s">
        <v>7110</v>
      </c>
    </row>
    <row r="6239" spans="1:2" ht="18.75">
      <c r="A6239" s="85" t="s">
        <v>985</v>
      </c>
      <c r="B6239" s="1" t="s">
        <v>7110</v>
      </c>
    </row>
    <row r="6240" spans="1:2" ht="18.75">
      <c r="A6240" s="85" t="s">
        <v>986</v>
      </c>
      <c r="B6240" s="1" t="s">
        <v>7110</v>
      </c>
    </row>
    <row r="6241" spans="1:2" ht="18.75">
      <c r="A6241" s="85" t="s">
        <v>987</v>
      </c>
      <c r="B6241" s="1" t="s">
        <v>7110</v>
      </c>
    </row>
    <row r="6242" spans="1:2" ht="18.75">
      <c r="A6242" s="85" t="s">
        <v>986</v>
      </c>
      <c r="B6242" s="1" t="s">
        <v>7110</v>
      </c>
    </row>
    <row r="6243" spans="1:2" ht="18.75">
      <c r="A6243" s="85" t="s">
        <v>988</v>
      </c>
      <c r="B6243" s="1" t="s">
        <v>7110</v>
      </c>
    </row>
    <row r="6244" spans="1:2" ht="18.75">
      <c r="A6244" s="85" t="s">
        <v>923</v>
      </c>
      <c r="B6244" s="1" t="s">
        <v>7110</v>
      </c>
    </row>
    <row r="6245" spans="1:2" ht="18.75">
      <c r="A6245" s="85" t="s">
        <v>989</v>
      </c>
      <c r="B6245" s="1" t="s">
        <v>7110</v>
      </c>
    </row>
    <row r="6246" spans="1:2" ht="18.75">
      <c r="A6246" s="85" t="s">
        <v>990</v>
      </c>
      <c r="B6246" s="1" t="s">
        <v>7110</v>
      </c>
    </row>
    <row r="6247" spans="1:2" ht="18.75">
      <c r="A6247" s="85" t="s">
        <v>985</v>
      </c>
      <c r="B6247" s="1" t="s">
        <v>7110</v>
      </c>
    </row>
    <row r="6248" spans="1:2" ht="18.75">
      <c r="A6248" s="85" t="s">
        <v>6724</v>
      </c>
      <c r="B6248" s="1" t="s">
        <v>7110</v>
      </c>
    </row>
    <row r="6249" spans="1:2" ht="18.75">
      <c r="A6249" s="85" t="s">
        <v>995</v>
      </c>
      <c r="B6249" s="1" t="s">
        <v>7110</v>
      </c>
    </row>
    <row r="6250" spans="1:2" ht="18.75">
      <c r="A6250" s="85" t="s">
        <v>946</v>
      </c>
      <c r="B6250" s="1" t="s">
        <v>7110</v>
      </c>
    </row>
    <row r="6251" spans="1:2" ht="18.75">
      <c r="A6251" s="85" t="s">
        <v>996</v>
      </c>
      <c r="B6251" s="1" t="s">
        <v>7110</v>
      </c>
    </row>
    <row r="6252" spans="1:2" ht="18.75">
      <c r="A6252" s="85" t="s">
        <v>997</v>
      </c>
      <c r="B6252" s="1" t="s">
        <v>7110</v>
      </c>
    </row>
    <row r="6253" spans="1:2" ht="18.75">
      <c r="A6253" s="85" t="s">
        <v>949</v>
      </c>
      <c r="B6253" s="1" t="s">
        <v>7110</v>
      </c>
    </row>
    <row r="6254" spans="1:2" ht="18.75">
      <c r="A6254" s="85" t="s">
        <v>1012</v>
      </c>
      <c r="B6254" s="1" t="s">
        <v>7110</v>
      </c>
    </row>
    <row r="6255" spans="1:2" ht="18.75">
      <c r="A6255" s="85" t="s">
        <v>975</v>
      </c>
      <c r="B6255" s="1" t="s">
        <v>7110</v>
      </c>
    </row>
    <row r="6256" spans="1:2" ht="18.75">
      <c r="A6256" s="85" t="s">
        <v>974</v>
      </c>
      <c r="B6256" s="1" t="s">
        <v>7110</v>
      </c>
    </row>
    <row r="6257" spans="1:2" ht="18.75">
      <c r="A6257" s="85" t="s">
        <v>861</v>
      </c>
      <c r="B6257" s="1" t="s">
        <v>7110</v>
      </c>
    </row>
    <row r="6258" spans="1:2" ht="18.75">
      <c r="A6258" s="85" t="s">
        <v>1017</v>
      </c>
      <c r="B6258" s="1" t="s">
        <v>7110</v>
      </c>
    </row>
    <row r="6259" spans="1:2" ht="18.75">
      <c r="A6259" s="85" t="s">
        <v>1018</v>
      </c>
      <c r="B6259" s="1" t="s">
        <v>7110</v>
      </c>
    </row>
    <row r="6260" spans="1:2" ht="18.75">
      <c r="A6260" s="85" t="s">
        <v>989</v>
      </c>
      <c r="B6260" s="1" t="s">
        <v>7110</v>
      </c>
    </row>
    <row r="6261" spans="1:2" ht="18.75">
      <c r="A6261" s="85" t="s">
        <v>1021</v>
      </c>
      <c r="B6261" s="1" t="s">
        <v>7110</v>
      </c>
    </row>
    <row r="6262" spans="1:2" ht="18.75">
      <c r="A6262" s="85" t="s">
        <v>1022</v>
      </c>
      <c r="B6262" s="1" t="s">
        <v>7110</v>
      </c>
    </row>
    <row r="6263" spans="1:2" ht="18.75">
      <c r="A6263" s="85" t="s">
        <v>914</v>
      </c>
      <c r="B6263" s="1" t="s">
        <v>7110</v>
      </c>
    </row>
    <row r="6264" spans="1:2" ht="18.75">
      <c r="A6264" s="85" t="s">
        <v>1023</v>
      </c>
      <c r="B6264" s="1" t="s">
        <v>7110</v>
      </c>
    </row>
    <row r="6265" spans="1:2" ht="18.75">
      <c r="A6265" s="85" t="s">
        <v>888</v>
      </c>
      <c r="B6265" s="1" t="s">
        <v>7110</v>
      </c>
    </row>
    <row r="6266" spans="1:2" ht="18.75">
      <c r="A6266" s="85" t="s">
        <v>6724</v>
      </c>
      <c r="B6266" s="1" t="s">
        <v>7110</v>
      </c>
    </row>
    <row r="6267" spans="1:2" ht="18.75">
      <c r="A6267" s="85" t="s">
        <v>1017</v>
      </c>
      <c r="B6267" s="1" t="s">
        <v>7110</v>
      </c>
    </row>
    <row r="6268" spans="1:2" ht="18.75">
      <c r="A6268" s="85" t="s">
        <v>1018</v>
      </c>
      <c r="B6268" s="1" t="s">
        <v>7110</v>
      </c>
    </row>
    <row r="6269" spans="1:2" ht="18.75">
      <c r="A6269" s="85" t="s">
        <v>1024</v>
      </c>
      <c r="B6269" s="1" t="s">
        <v>7110</v>
      </c>
    </row>
    <row r="6270" spans="1:2" ht="18.75">
      <c r="A6270" s="85" t="s">
        <v>1025</v>
      </c>
      <c r="B6270" s="1" t="s">
        <v>7110</v>
      </c>
    </row>
    <row r="6271" spans="1:2" ht="18.75">
      <c r="A6271" s="85" t="s">
        <v>1026</v>
      </c>
      <c r="B6271" s="1" t="s">
        <v>7110</v>
      </c>
    </row>
    <row r="6272" spans="1:2" ht="18.75">
      <c r="A6272" s="85" t="s">
        <v>896</v>
      </c>
      <c r="B6272" s="1" t="s">
        <v>7110</v>
      </c>
    </row>
    <row r="6273" spans="1:2" ht="18.75">
      <c r="A6273" s="85" t="s">
        <v>1029</v>
      </c>
      <c r="B6273" s="1" t="s">
        <v>7110</v>
      </c>
    </row>
    <row r="6274" spans="1:2" ht="18.75">
      <c r="A6274" s="85" t="s">
        <v>803</v>
      </c>
      <c r="B6274" s="1" t="s">
        <v>7110</v>
      </c>
    </row>
    <row r="6275" spans="1:2" ht="18.75">
      <c r="A6275" s="85" t="s">
        <v>884</v>
      </c>
      <c r="B6275" s="1" t="s">
        <v>7110</v>
      </c>
    </row>
    <row r="6276" spans="1:2" ht="18.75">
      <c r="A6276" s="12" t="s">
        <v>921</v>
      </c>
      <c r="B6276" s="1" t="s">
        <v>7110</v>
      </c>
    </row>
    <row r="6277" spans="1:2" ht="18.75">
      <c r="A6277" s="12" t="s">
        <v>990</v>
      </c>
      <c r="B6277" s="1" t="s">
        <v>7110</v>
      </c>
    </row>
    <row r="6278" spans="1:2" ht="18.75">
      <c r="A6278" s="12" t="s">
        <v>849</v>
      </c>
      <c r="B6278" s="1" t="s">
        <v>7110</v>
      </c>
    </row>
    <row r="6279" spans="1:2" ht="18.75">
      <c r="A6279" s="12" t="s">
        <v>982</v>
      </c>
      <c r="B6279" s="1" t="s">
        <v>7110</v>
      </c>
    </row>
    <row r="6280" spans="1:2" ht="18.75">
      <c r="A6280" s="12" t="s">
        <v>566</v>
      </c>
      <c r="B6280" s="1" t="s">
        <v>7110</v>
      </c>
    </row>
    <row r="6281" spans="1:2" ht="18.75">
      <c r="A6281" s="12" t="s">
        <v>6725</v>
      </c>
      <c r="B6281" s="1" t="s">
        <v>7110</v>
      </c>
    </row>
    <row r="6282" spans="1:2" ht="18.75">
      <c r="A6282" s="12" t="s">
        <v>941</v>
      </c>
      <c r="B6282" s="1" t="s">
        <v>7110</v>
      </c>
    </row>
    <row r="6283" spans="1:2" ht="18.75">
      <c r="A6283" s="12" t="s">
        <v>1012</v>
      </c>
      <c r="B6283" s="1" t="s">
        <v>7110</v>
      </c>
    </row>
    <row r="6284" spans="1:2" ht="18.75">
      <c r="A6284" s="12" t="s">
        <v>862</v>
      </c>
      <c r="B6284" s="1" t="s">
        <v>7110</v>
      </c>
    </row>
    <row r="6285" spans="1:2" ht="18.75">
      <c r="A6285" s="12" t="s">
        <v>1033</v>
      </c>
      <c r="B6285" s="1" t="s">
        <v>7110</v>
      </c>
    </row>
    <row r="6286" spans="1:2" ht="18.75">
      <c r="A6286" s="12" t="s">
        <v>1034</v>
      </c>
      <c r="B6286" s="1" t="s">
        <v>7110</v>
      </c>
    </row>
    <row r="6287" spans="1:2" ht="18.75">
      <c r="A6287" s="89" t="s">
        <v>1033</v>
      </c>
      <c r="B6287" s="1" t="s">
        <v>7110</v>
      </c>
    </row>
    <row r="6288" spans="1:2" ht="18.75">
      <c r="A6288" s="12" t="s">
        <v>1040</v>
      </c>
      <c r="B6288" s="1" t="s">
        <v>7110</v>
      </c>
    </row>
    <row r="6289" spans="1:2" ht="18.75">
      <c r="A6289" s="12" t="s">
        <v>1041</v>
      </c>
      <c r="B6289" s="1" t="s">
        <v>7110</v>
      </c>
    </row>
    <row r="6290" spans="1:2" ht="18.75">
      <c r="A6290" s="12" t="s">
        <v>2231</v>
      </c>
      <c r="B6290" s="1" t="s">
        <v>7110</v>
      </c>
    </row>
    <row r="6291" spans="1:2" ht="18.75">
      <c r="A6291" s="12" t="s">
        <v>957</v>
      </c>
      <c r="B6291" s="1" t="s">
        <v>7110</v>
      </c>
    </row>
    <row r="6292" spans="1:2" ht="18.75">
      <c r="A6292" s="12" t="s">
        <v>961</v>
      </c>
      <c r="B6292" s="1" t="s">
        <v>7110</v>
      </c>
    </row>
    <row r="6293" spans="1:2" ht="18.75">
      <c r="A6293" s="12" t="s">
        <v>845</v>
      </c>
      <c r="B6293" s="1" t="s">
        <v>7110</v>
      </c>
    </row>
    <row r="6294" spans="1:2" ht="18.75">
      <c r="A6294" s="12" t="s">
        <v>1034</v>
      </c>
      <c r="B6294" s="1" t="s">
        <v>7110</v>
      </c>
    </row>
    <row r="6295" spans="1:2" ht="18.75">
      <c r="A6295" s="12" t="s">
        <v>799</v>
      </c>
      <c r="B6295" s="1" t="s">
        <v>7110</v>
      </c>
    </row>
    <row r="6296" spans="1:2" ht="18.75">
      <c r="A6296" s="12" t="s">
        <v>548</v>
      </c>
      <c r="B6296" s="1" t="s">
        <v>7110</v>
      </c>
    </row>
    <row r="6297" spans="1:2" ht="18.75">
      <c r="A6297" s="12" t="s">
        <v>548</v>
      </c>
      <c r="B6297" s="1" t="s">
        <v>7110</v>
      </c>
    </row>
    <row r="6298" spans="1:2" ht="18.75">
      <c r="A6298" s="12" t="s">
        <v>1065</v>
      </c>
      <c r="B6298" s="1" t="s">
        <v>7110</v>
      </c>
    </row>
    <row r="6299" spans="1:2" ht="18.75">
      <c r="A6299" s="12" t="s">
        <v>1066</v>
      </c>
      <c r="B6299" s="1" t="s">
        <v>7110</v>
      </c>
    </row>
    <row r="6300" spans="1:2" ht="18.75">
      <c r="A6300" s="12" t="s">
        <v>849</v>
      </c>
      <c r="B6300" s="1" t="s">
        <v>7110</v>
      </c>
    </row>
    <row r="6301" spans="1:2" ht="18.75">
      <c r="A6301" s="12" t="s">
        <v>847</v>
      </c>
      <c r="B6301" s="1" t="s">
        <v>7110</v>
      </c>
    </row>
    <row r="6302" spans="1:2" ht="18.75">
      <c r="A6302" s="12" t="s">
        <v>2230</v>
      </c>
      <c r="B6302" s="1" t="s">
        <v>7110</v>
      </c>
    </row>
    <row r="6303" spans="1:2" ht="18.75">
      <c r="A6303" s="12" t="s">
        <v>845</v>
      </c>
      <c r="B6303" s="1" t="s">
        <v>7110</v>
      </c>
    </row>
    <row r="6304" spans="1:2" ht="18.75">
      <c r="A6304" s="12" t="s">
        <v>1073</v>
      </c>
      <c r="B6304" s="1" t="s">
        <v>7110</v>
      </c>
    </row>
    <row r="6305" spans="1:2" ht="18.75">
      <c r="A6305" s="12" t="s">
        <v>1073</v>
      </c>
      <c r="B6305" s="1" t="s">
        <v>7110</v>
      </c>
    </row>
    <row r="6306" spans="1:2" ht="18.75">
      <c r="A6306" s="12" t="s">
        <v>1073</v>
      </c>
      <c r="B6306" s="1" t="s">
        <v>7110</v>
      </c>
    </row>
    <row r="6307" spans="1:2" ht="18.75">
      <c r="A6307" s="12" t="s">
        <v>1073</v>
      </c>
      <c r="B6307" s="1" t="s">
        <v>7110</v>
      </c>
    </row>
    <row r="6308" spans="1:2" ht="18.75">
      <c r="A6308" s="12" t="s">
        <v>1073</v>
      </c>
      <c r="B6308" s="1" t="s">
        <v>7110</v>
      </c>
    </row>
    <row r="6309" spans="1:2" ht="18.75">
      <c r="A6309" s="12" t="s">
        <v>1073</v>
      </c>
      <c r="B6309" s="1" t="s">
        <v>7110</v>
      </c>
    </row>
    <row r="6310" spans="1:2" ht="18.75">
      <c r="A6310" s="12" t="s">
        <v>1073</v>
      </c>
      <c r="B6310" s="1" t="s">
        <v>7110</v>
      </c>
    </row>
    <row r="6311" spans="1:2" ht="18.75">
      <c r="A6311" s="12" t="s">
        <v>643</v>
      </c>
      <c r="B6311" s="1" t="s">
        <v>7110</v>
      </c>
    </row>
    <row r="6312" spans="1:2" ht="18.75">
      <c r="A6312" s="12" t="s">
        <v>1079</v>
      </c>
      <c r="B6312" s="1" t="s">
        <v>7110</v>
      </c>
    </row>
    <row r="6313" spans="1:2" ht="18.75">
      <c r="A6313" s="12" t="s">
        <v>1102</v>
      </c>
      <c r="B6313" s="1" t="s">
        <v>7110</v>
      </c>
    </row>
    <row r="6314" spans="1:2" ht="18.75">
      <c r="A6314" s="12" t="s">
        <v>1205</v>
      </c>
      <c r="B6314" s="1" t="s">
        <v>7110</v>
      </c>
    </row>
    <row r="6315" spans="1:2" ht="18.75">
      <c r="A6315" s="12" t="s">
        <v>893</v>
      </c>
      <c r="B6315" s="1" t="s">
        <v>7110</v>
      </c>
    </row>
    <row r="6316" spans="1:2" ht="18.75">
      <c r="A6316" s="12" t="s">
        <v>1233</v>
      </c>
      <c r="B6316" s="1" t="s">
        <v>7110</v>
      </c>
    </row>
    <row r="6317" spans="1:2" ht="18.75">
      <c r="A6317" s="12" t="s">
        <v>1228</v>
      </c>
      <c r="B6317" s="1" t="s">
        <v>7110</v>
      </c>
    </row>
    <row r="6318" spans="1:2" ht="18.75">
      <c r="A6318" s="12" t="s">
        <v>1206</v>
      </c>
      <c r="B6318" s="1" t="s">
        <v>7110</v>
      </c>
    </row>
    <row r="6319" spans="1:2" ht="18.75">
      <c r="A6319" s="12" t="s">
        <v>1213</v>
      </c>
      <c r="B6319" s="1" t="s">
        <v>7110</v>
      </c>
    </row>
    <row r="6320" spans="1:2" ht="18.75">
      <c r="A6320" s="12" t="s">
        <v>1214</v>
      </c>
      <c r="B6320" s="1" t="s">
        <v>7110</v>
      </c>
    </row>
    <row r="6321" spans="1:2" ht="18.75">
      <c r="A6321" s="12" t="s">
        <v>1206</v>
      </c>
      <c r="B6321" s="1" t="s">
        <v>7110</v>
      </c>
    </row>
    <row r="6322" spans="1:2" ht="18.75">
      <c r="A6322" s="12" t="s">
        <v>1206</v>
      </c>
      <c r="B6322" s="1" t="s">
        <v>7110</v>
      </c>
    </row>
    <row r="6323" spans="1:2" ht="18.75">
      <c r="A6323" s="12" t="s">
        <v>1214</v>
      </c>
      <c r="B6323" s="1" t="s">
        <v>7110</v>
      </c>
    </row>
    <row r="6324" spans="1:2" ht="18.75">
      <c r="A6324" s="12" t="s">
        <v>1214</v>
      </c>
      <c r="B6324" s="1" t="s">
        <v>7110</v>
      </c>
    </row>
    <row r="6325" spans="1:2" ht="18.75">
      <c r="A6325" s="12" t="s">
        <v>1214</v>
      </c>
      <c r="B6325" s="1" t="s">
        <v>7110</v>
      </c>
    </row>
    <row r="6326" spans="1:2" ht="18.75">
      <c r="A6326" s="12" t="s">
        <v>1214</v>
      </c>
      <c r="B6326" s="1" t="s">
        <v>7110</v>
      </c>
    </row>
    <row r="6327" spans="1:2" ht="18.75">
      <c r="A6327" s="12" t="s">
        <v>1214</v>
      </c>
      <c r="B6327" s="1" t="s">
        <v>7110</v>
      </c>
    </row>
    <row r="6328" spans="1:2" ht="18.75">
      <c r="A6328" s="12" t="s">
        <v>1220</v>
      </c>
      <c r="B6328" s="1" t="s">
        <v>7110</v>
      </c>
    </row>
    <row r="6329" spans="1:2" ht="18.75">
      <c r="A6329" s="12" t="s">
        <v>1220</v>
      </c>
      <c r="B6329" s="1" t="s">
        <v>7110</v>
      </c>
    </row>
    <row r="6330" spans="1:2" ht="18.75">
      <c r="A6330" s="12" t="s">
        <v>1228</v>
      </c>
      <c r="B6330" s="1" t="s">
        <v>7110</v>
      </c>
    </row>
    <row r="6331" spans="1:2" ht="18.75">
      <c r="A6331" s="12" t="s">
        <v>1220</v>
      </c>
      <c r="B6331" s="1" t="s">
        <v>7110</v>
      </c>
    </row>
    <row r="6332" spans="1:2" ht="18.75">
      <c r="A6332" s="12" t="s">
        <v>1204</v>
      </c>
      <c r="B6332" s="1" t="s">
        <v>7110</v>
      </c>
    </row>
    <row r="6333" spans="1:2" ht="18.75">
      <c r="A6333" s="12" t="s">
        <v>1202</v>
      </c>
      <c r="B6333" s="1" t="s">
        <v>7110</v>
      </c>
    </row>
    <row r="6334" spans="1:2" ht="18.75">
      <c r="A6334" s="12" t="s">
        <v>1202</v>
      </c>
      <c r="B6334" s="1" t="s">
        <v>7110</v>
      </c>
    </row>
    <row r="6335" spans="1:2" ht="18.75">
      <c r="A6335" s="12" t="s">
        <v>1206</v>
      </c>
      <c r="B6335" s="1" t="s">
        <v>7110</v>
      </c>
    </row>
    <row r="6336" spans="1:2" ht="18.75">
      <c r="A6336" s="12" t="s">
        <v>1230</v>
      </c>
      <c r="B6336" s="1" t="s">
        <v>7110</v>
      </c>
    </row>
    <row r="6337" spans="1:2" ht="18.75">
      <c r="A6337" s="12" t="s">
        <v>1214</v>
      </c>
      <c r="B6337" s="1" t="s">
        <v>7110</v>
      </c>
    </row>
    <row r="6338" spans="1:2" ht="18.75">
      <c r="A6338" s="12" t="s">
        <v>1220</v>
      </c>
      <c r="B6338" s="1" t="s">
        <v>7110</v>
      </c>
    </row>
    <row r="6339" spans="1:2" ht="18.75">
      <c r="A6339" s="12" t="s">
        <v>1213</v>
      </c>
      <c r="B6339" s="1" t="s">
        <v>7110</v>
      </c>
    </row>
    <row r="6340" spans="1:2" ht="18.75">
      <c r="A6340" s="12" t="s">
        <v>1213</v>
      </c>
      <c r="B6340" s="1" t="s">
        <v>7110</v>
      </c>
    </row>
    <row r="6341" spans="1:2" ht="18.75">
      <c r="A6341" s="12" t="s">
        <v>1220</v>
      </c>
      <c r="B6341" s="1" t="s">
        <v>7110</v>
      </c>
    </row>
    <row r="6342" spans="1:2" ht="18.75">
      <c r="A6342" s="12" t="s">
        <v>1228</v>
      </c>
      <c r="B6342" s="1" t="s">
        <v>7110</v>
      </c>
    </row>
    <row r="6343" spans="1:2" ht="18.75">
      <c r="A6343" s="12" t="s">
        <v>1228</v>
      </c>
      <c r="B6343" s="1" t="s">
        <v>7110</v>
      </c>
    </row>
    <row r="6344" spans="1:2" ht="18.75">
      <c r="A6344" s="12" t="s">
        <v>1228</v>
      </c>
      <c r="B6344" s="1" t="s">
        <v>7110</v>
      </c>
    </row>
    <row r="6345" spans="1:2" ht="18.75">
      <c r="A6345" s="12" t="s">
        <v>1220</v>
      </c>
      <c r="B6345" s="1" t="s">
        <v>7110</v>
      </c>
    </row>
    <row r="6346" spans="1:2" ht="18.75">
      <c r="A6346" s="12" t="s">
        <v>1234</v>
      </c>
      <c r="B6346" s="1" t="s">
        <v>7110</v>
      </c>
    </row>
    <row r="6347" spans="1:2" ht="18.75">
      <c r="A6347" s="12" t="s">
        <v>1233</v>
      </c>
      <c r="B6347" s="1" t="s">
        <v>7110</v>
      </c>
    </row>
    <row r="6348" spans="1:2" ht="18.75">
      <c r="A6348" s="12" t="s">
        <v>1228</v>
      </c>
      <c r="B6348" s="1" t="s">
        <v>7110</v>
      </c>
    </row>
    <row r="6349" spans="1:2" ht="18.75">
      <c r="A6349" s="12" t="s">
        <v>1233</v>
      </c>
      <c r="B6349" s="1" t="s">
        <v>7110</v>
      </c>
    </row>
    <row r="6350" spans="1:2" ht="18.75">
      <c r="A6350" s="12" t="s">
        <v>1213</v>
      </c>
      <c r="B6350" s="1" t="s">
        <v>7110</v>
      </c>
    </row>
    <row r="6351" spans="1:2" ht="18.75">
      <c r="A6351" s="12" t="s">
        <v>1228</v>
      </c>
      <c r="B6351" s="1" t="s">
        <v>7110</v>
      </c>
    </row>
    <row r="6352" spans="1:2" ht="18.75">
      <c r="A6352" s="12" t="s">
        <v>1206</v>
      </c>
      <c r="B6352" s="1" t="s">
        <v>7110</v>
      </c>
    </row>
    <row r="6353" spans="1:2" ht="18.75">
      <c r="A6353" s="12" t="s">
        <v>1233</v>
      </c>
      <c r="B6353" s="1" t="s">
        <v>7110</v>
      </c>
    </row>
    <row r="6354" spans="1:2" ht="18.75">
      <c r="A6354" s="12" t="s">
        <v>1213</v>
      </c>
      <c r="B6354" s="1" t="s">
        <v>7110</v>
      </c>
    </row>
    <row r="6355" spans="1:2" ht="18.75">
      <c r="A6355" s="12" t="s">
        <v>2455</v>
      </c>
      <c r="B6355" s="1" t="s">
        <v>7110</v>
      </c>
    </row>
    <row r="6356" spans="1:2" ht="18.75">
      <c r="A6356" s="12" t="s">
        <v>1167</v>
      </c>
      <c r="B6356" s="1" t="s">
        <v>7110</v>
      </c>
    </row>
    <row r="6357" spans="1:2" ht="18.75">
      <c r="A6357" s="12" t="s">
        <v>1166</v>
      </c>
      <c r="B6357" s="1" t="s">
        <v>7110</v>
      </c>
    </row>
    <row r="6358" spans="1:2" ht="18.75">
      <c r="A6358" s="12" t="s">
        <v>1236</v>
      </c>
      <c r="B6358" s="1" t="s">
        <v>7110</v>
      </c>
    </row>
    <row r="6359" spans="1:2" ht="18.75">
      <c r="A6359" s="12" t="s">
        <v>1159</v>
      </c>
      <c r="B6359" s="1" t="s">
        <v>7110</v>
      </c>
    </row>
    <row r="6360" spans="1:2" ht="18.75">
      <c r="A6360" s="12" t="s">
        <v>1044</v>
      </c>
      <c r="B6360" s="1" t="s">
        <v>7110</v>
      </c>
    </row>
    <row r="6361" spans="1:2" ht="18.75">
      <c r="A6361" s="12" t="s">
        <v>2455</v>
      </c>
      <c r="B6361" s="1" t="s">
        <v>7110</v>
      </c>
    </row>
    <row r="6362" spans="1:2" ht="18.75">
      <c r="A6362" s="12" t="s">
        <v>1158</v>
      </c>
      <c r="B6362" s="1" t="s">
        <v>7110</v>
      </c>
    </row>
    <row r="6363" spans="1:2" ht="18.75">
      <c r="A6363" s="12" t="s">
        <v>2232</v>
      </c>
      <c r="B6363" s="1" t="s">
        <v>7110</v>
      </c>
    </row>
    <row r="6364" spans="1:2" ht="18.75">
      <c r="A6364" s="12" t="s">
        <v>2232</v>
      </c>
      <c r="B6364" s="1" t="s">
        <v>7110</v>
      </c>
    </row>
    <row r="6365" spans="1:2" ht="18.75">
      <c r="A6365" s="12" t="s">
        <v>941</v>
      </c>
      <c r="B6365" s="1" t="s">
        <v>7110</v>
      </c>
    </row>
    <row r="6366" spans="1:2" ht="18.75">
      <c r="A6366" s="12" t="s">
        <v>1140</v>
      </c>
      <c r="B6366" s="1" t="s">
        <v>7110</v>
      </c>
    </row>
    <row r="6367" spans="1:2" ht="18.75">
      <c r="A6367" s="12" t="s">
        <v>1041</v>
      </c>
      <c r="B6367" s="1" t="s">
        <v>7110</v>
      </c>
    </row>
    <row r="6368" spans="1:2" ht="18.75">
      <c r="A6368" s="12" t="s">
        <v>1102</v>
      </c>
      <c r="B6368" s="1" t="s">
        <v>7110</v>
      </c>
    </row>
    <row r="6369" spans="1:2" ht="18.75">
      <c r="A6369" s="12" t="s">
        <v>1179</v>
      </c>
      <c r="B6369" s="1" t="s">
        <v>7110</v>
      </c>
    </row>
    <row r="6370" spans="1:2" ht="18.75">
      <c r="A6370" s="12" t="s">
        <v>1179</v>
      </c>
      <c r="B6370" s="1" t="s">
        <v>7110</v>
      </c>
    </row>
    <row r="6371" spans="1:2" ht="18.75">
      <c r="A6371" s="12" t="s">
        <v>990</v>
      </c>
      <c r="B6371" s="1" t="s">
        <v>7110</v>
      </c>
    </row>
    <row r="6372" spans="1:2" ht="18.75">
      <c r="A6372" s="12" t="s">
        <v>921</v>
      </c>
      <c r="B6372" s="1" t="s">
        <v>7110</v>
      </c>
    </row>
    <row r="6373" spans="1:2" ht="18.75">
      <c r="A6373" s="12" t="s">
        <v>944</v>
      </c>
      <c r="B6373" s="1" t="s">
        <v>7110</v>
      </c>
    </row>
    <row r="6374" spans="1:2" ht="18.75">
      <c r="A6374" s="12" t="s">
        <v>1245</v>
      </c>
      <c r="B6374" s="1" t="s">
        <v>7110</v>
      </c>
    </row>
    <row r="6375" spans="1:2" ht="18.75">
      <c r="A6375" s="12" t="s">
        <v>1246</v>
      </c>
      <c r="B6375" s="1" t="s">
        <v>7110</v>
      </c>
    </row>
    <row r="6376" spans="1:2" ht="18.75">
      <c r="A6376" s="12" t="s">
        <v>1102</v>
      </c>
      <c r="B6376" s="1" t="s">
        <v>7110</v>
      </c>
    </row>
    <row r="6377" spans="1:2" ht="18.75">
      <c r="A6377" s="12" t="s">
        <v>1195</v>
      </c>
      <c r="B6377" s="1" t="s">
        <v>7110</v>
      </c>
    </row>
    <row r="6378" spans="1:2" ht="18.75">
      <c r="A6378" s="12" t="s">
        <v>848</v>
      </c>
      <c r="B6378" s="1" t="s">
        <v>7110</v>
      </c>
    </row>
    <row r="6379" spans="1:2" ht="18.75">
      <c r="A6379" s="12" t="s">
        <v>848</v>
      </c>
      <c r="B6379" s="1" t="s">
        <v>7110</v>
      </c>
    </row>
    <row r="6380" spans="1:2" ht="18.75">
      <c r="A6380" s="12" t="s">
        <v>1192</v>
      </c>
      <c r="B6380" s="1" t="s">
        <v>7110</v>
      </c>
    </row>
    <row r="6381" spans="1:2" ht="18.75">
      <c r="A6381" s="12" t="s">
        <v>848</v>
      </c>
      <c r="B6381" s="1" t="s">
        <v>7110</v>
      </c>
    </row>
    <row r="6382" spans="1:2" ht="18.75">
      <c r="A6382" s="12" t="s">
        <v>1192</v>
      </c>
      <c r="B6382" s="1" t="s">
        <v>7110</v>
      </c>
    </row>
    <row r="6383" spans="1:2" ht="18.75">
      <c r="A6383" s="12" t="s">
        <v>848</v>
      </c>
      <c r="B6383" s="1" t="s">
        <v>7110</v>
      </c>
    </row>
    <row r="6384" spans="1:2" ht="18.75">
      <c r="A6384" s="12" t="s">
        <v>851</v>
      </c>
      <c r="B6384" s="1" t="s">
        <v>7110</v>
      </c>
    </row>
    <row r="6385" spans="1:2" ht="18.75">
      <c r="A6385" s="12" t="s">
        <v>544</v>
      </c>
      <c r="B6385" s="1" t="s">
        <v>7110</v>
      </c>
    </row>
    <row r="6386" spans="1:2" ht="18.75">
      <c r="A6386" s="12" t="s">
        <v>194</v>
      </c>
      <c r="B6386" s="1" t="s">
        <v>7110</v>
      </c>
    </row>
    <row r="6387" spans="1:2" ht="18.75">
      <c r="A6387" s="12" t="s">
        <v>194</v>
      </c>
      <c r="B6387" s="1" t="s">
        <v>7110</v>
      </c>
    </row>
    <row r="6388" spans="1:2" ht="18.75">
      <c r="A6388" s="12" t="s">
        <v>544</v>
      </c>
      <c r="B6388" s="1" t="s">
        <v>7110</v>
      </c>
    </row>
    <row r="6389" spans="1:2" ht="18.75">
      <c r="A6389" s="12" t="s">
        <v>544</v>
      </c>
      <c r="B6389" s="1" t="s">
        <v>7110</v>
      </c>
    </row>
    <row r="6390" spans="1:2" ht="18.75">
      <c r="A6390" s="12" t="s">
        <v>983</v>
      </c>
      <c r="B6390" s="1" t="s">
        <v>7110</v>
      </c>
    </row>
    <row r="6391" spans="1:2" ht="18.75">
      <c r="A6391" s="12" t="s">
        <v>544</v>
      </c>
      <c r="B6391" s="1" t="s">
        <v>7110</v>
      </c>
    </row>
    <row r="6392" spans="1:2" ht="18.75">
      <c r="A6392" s="12" t="s">
        <v>189</v>
      </c>
      <c r="B6392" s="1" t="s">
        <v>7110</v>
      </c>
    </row>
    <row r="6393" spans="1:2" ht="18.75">
      <c r="A6393" s="12" t="s">
        <v>978</v>
      </c>
      <c r="B6393" s="1" t="s">
        <v>7110</v>
      </c>
    </row>
    <row r="6394" spans="1:2" ht="18.75">
      <c r="A6394" s="12" t="s">
        <v>983</v>
      </c>
      <c r="B6394" s="1" t="s">
        <v>7110</v>
      </c>
    </row>
    <row r="6395" spans="1:2" ht="18.75">
      <c r="A6395" s="12" t="s">
        <v>544</v>
      </c>
      <c r="B6395" s="1" t="s">
        <v>7110</v>
      </c>
    </row>
    <row r="6396" spans="1:2" ht="18.75">
      <c r="A6396" s="12" t="s">
        <v>189</v>
      </c>
      <c r="B6396" s="1" t="s">
        <v>7110</v>
      </c>
    </row>
    <row r="6397" spans="1:2" ht="18.75">
      <c r="A6397" s="12" t="s">
        <v>559</v>
      </c>
      <c r="B6397" s="1" t="s">
        <v>7110</v>
      </c>
    </row>
    <row r="6398" spans="1:2" ht="18.75">
      <c r="A6398" s="12" t="s">
        <v>1202</v>
      </c>
      <c r="B6398" s="1" t="s">
        <v>7110</v>
      </c>
    </row>
    <row r="6399" spans="1:2" ht="18.75">
      <c r="A6399" s="12" t="s">
        <v>1332</v>
      </c>
      <c r="B6399" s="1" t="s">
        <v>7110</v>
      </c>
    </row>
    <row r="6400" spans="1:2" ht="18.75">
      <c r="A6400" s="12" t="s">
        <v>983</v>
      </c>
      <c r="B6400" s="1" t="s">
        <v>7110</v>
      </c>
    </row>
    <row r="6401" spans="1:2" ht="18.75">
      <c r="A6401" s="12" t="s">
        <v>1230</v>
      </c>
      <c r="B6401" s="1" t="s">
        <v>7110</v>
      </c>
    </row>
    <row r="6402" spans="1:2" ht="18.75">
      <c r="A6402" s="12" t="s">
        <v>1387</v>
      </c>
      <c r="B6402" s="1" t="s">
        <v>7110</v>
      </c>
    </row>
    <row r="6403" spans="1:2" ht="18.75">
      <c r="A6403" s="12" t="s">
        <v>847</v>
      </c>
      <c r="B6403" s="1" t="s">
        <v>7110</v>
      </c>
    </row>
    <row r="6404" spans="1:2" ht="18.75">
      <c r="A6404" s="12" t="s">
        <v>978</v>
      </c>
      <c r="B6404" s="1" t="s">
        <v>7110</v>
      </c>
    </row>
    <row r="6405" spans="1:2" ht="18.75">
      <c r="A6405" s="12" t="s">
        <v>847</v>
      </c>
      <c r="B6405" s="1" t="s">
        <v>7110</v>
      </c>
    </row>
    <row r="6406" spans="1:2" ht="18.75">
      <c r="A6406" s="12" t="s">
        <v>673</v>
      </c>
      <c r="B6406" s="1" t="s">
        <v>7110</v>
      </c>
    </row>
    <row r="6407" spans="1:2" ht="18.75">
      <c r="A6407" s="12" t="s">
        <v>848</v>
      </c>
      <c r="B6407" s="1" t="s">
        <v>7110</v>
      </c>
    </row>
    <row r="6408" spans="1:2" ht="18.75">
      <c r="A6408" s="12" t="s">
        <v>1204</v>
      </c>
      <c r="B6408" s="1" t="s">
        <v>7110</v>
      </c>
    </row>
    <row r="6409" spans="1:2" ht="18.75">
      <c r="A6409" s="12" t="s">
        <v>193</v>
      </c>
      <c r="B6409" s="1" t="s">
        <v>7110</v>
      </c>
    </row>
    <row r="6410" spans="1:2" ht="18.75">
      <c r="A6410" s="12" t="s">
        <v>544</v>
      </c>
      <c r="B6410" s="1" t="s">
        <v>7110</v>
      </c>
    </row>
    <row r="6411" spans="1:2" ht="18.75">
      <c r="A6411" s="12" t="s">
        <v>1432</v>
      </c>
      <c r="B6411" s="1" t="s">
        <v>7110</v>
      </c>
    </row>
    <row r="6412" spans="1:2" ht="18.75">
      <c r="A6412" s="12" t="s">
        <v>1202</v>
      </c>
      <c r="B6412" s="1" t="s">
        <v>7110</v>
      </c>
    </row>
    <row r="6413" spans="1:2" ht="18.75">
      <c r="A6413" s="12" t="s">
        <v>1214</v>
      </c>
      <c r="B6413" s="1" t="s">
        <v>7110</v>
      </c>
    </row>
    <row r="6414" spans="1:2" ht="18.75">
      <c r="A6414" s="12" t="s">
        <v>851</v>
      </c>
      <c r="B6414" s="1" t="s">
        <v>7110</v>
      </c>
    </row>
    <row r="6415" spans="1:2" ht="18.75">
      <c r="A6415" s="12" t="s">
        <v>848</v>
      </c>
      <c r="B6415" s="1" t="s">
        <v>7110</v>
      </c>
    </row>
    <row r="6416" spans="1:2" ht="18.75">
      <c r="A6416" s="12" t="s">
        <v>1213</v>
      </c>
      <c r="B6416" s="1" t="s">
        <v>7110</v>
      </c>
    </row>
    <row r="6417" spans="1:2" ht="18.75">
      <c r="A6417" s="12" t="s">
        <v>1234</v>
      </c>
      <c r="B6417" s="1" t="s">
        <v>7110</v>
      </c>
    </row>
    <row r="6418" spans="1:2" ht="18.75">
      <c r="A6418" s="12" t="s">
        <v>1204</v>
      </c>
      <c r="B6418" s="1" t="s">
        <v>7110</v>
      </c>
    </row>
    <row r="6419" spans="1:2" ht="18.75">
      <c r="A6419" s="12" t="s">
        <v>1204</v>
      </c>
      <c r="B6419" s="1" t="s">
        <v>7110</v>
      </c>
    </row>
    <row r="6420" spans="1:2" ht="18.75">
      <c r="A6420" s="12" t="s">
        <v>851</v>
      </c>
      <c r="B6420" s="1" t="s">
        <v>7110</v>
      </c>
    </row>
    <row r="6421" spans="1:2" ht="18.75">
      <c r="A6421" s="12" t="s">
        <v>848</v>
      </c>
      <c r="B6421" s="1" t="s">
        <v>7110</v>
      </c>
    </row>
    <row r="6422" spans="1:2" ht="18.75">
      <c r="A6422" s="12" t="s">
        <v>1234</v>
      </c>
      <c r="B6422" s="1" t="s">
        <v>7110</v>
      </c>
    </row>
    <row r="6423" spans="1:2" ht="18.75">
      <c r="A6423" s="12" t="s">
        <v>1432</v>
      </c>
      <c r="B6423" s="1" t="s">
        <v>7110</v>
      </c>
    </row>
    <row r="6424" spans="1:2" ht="18.75">
      <c r="A6424" s="12" t="s">
        <v>1442</v>
      </c>
      <c r="B6424" s="1" t="s">
        <v>7110</v>
      </c>
    </row>
    <row r="6425" spans="1:2" ht="18.75">
      <c r="A6425" s="12" t="s">
        <v>1236</v>
      </c>
      <c r="B6425" s="1" t="s">
        <v>7110</v>
      </c>
    </row>
    <row r="6426" spans="1:2" ht="18.75">
      <c r="A6426" s="12" t="s">
        <v>1158</v>
      </c>
      <c r="B6426" s="1" t="s">
        <v>7110</v>
      </c>
    </row>
    <row r="6427" spans="1:2" ht="18.75">
      <c r="A6427" s="12" t="s">
        <v>1444</v>
      </c>
      <c r="B6427" s="1" t="s">
        <v>7110</v>
      </c>
    </row>
    <row r="6428" spans="1:2" ht="18.75">
      <c r="A6428" s="12" t="s">
        <v>1445</v>
      </c>
      <c r="B6428" s="1" t="s">
        <v>7110</v>
      </c>
    </row>
    <row r="6429" spans="1:2" ht="18.75">
      <c r="A6429" s="12" t="s">
        <v>752</v>
      </c>
      <c r="B6429" s="1" t="s">
        <v>7110</v>
      </c>
    </row>
    <row r="6430" spans="1:2" ht="18.75">
      <c r="A6430" s="12" t="s">
        <v>707</v>
      </c>
      <c r="B6430" s="1" t="s">
        <v>7110</v>
      </c>
    </row>
    <row r="6431" spans="1:2" ht="18.75">
      <c r="A6431" s="12" t="s">
        <v>707</v>
      </c>
      <c r="B6431" s="1" t="s">
        <v>7110</v>
      </c>
    </row>
    <row r="6432" spans="1:2" ht="18.75">
      <c r="A6432" s="12" t="s">
        <v>1204</v>
      </c>
      <c r="B6432" s="1" t="s">
        <v>7110</v>
      </c>
    </row>
    <row r="6433" spans="1:2" ht="18.75">
      <c r="A6433" s="12" t="s">
        <v>1204</v>
      </c>
      <c r="B6433" s="1" t="s">
        <v>7110</v>
      </c>
    </row>
    <row r="6434" spans="1:2" ht="18.75">
      <c r="A6434" s="12" t="s">
        <v>1204</v>
      </c>
      <c r="B6434" s="1" t="s">
        <v>7110</v>
      </c>
    </row>
    <row r="6435" spans="1:2" ht="18.75">
      <c r="A6435" s="12" t="s">
        <v>1204</v>
      </c>
      <c r="B6435" s="1" t="s">
        <v>7110</v>
      </c>
    </row>
    <row r="6436" spans="1:2" ht="18.75">
      <c r="A6436" s="12" t="s">
        <v>1202</v>
      </c>
      <c r="B6436" s="1" t="s">
        <v>7110</v>
      </c>
    </row>
    <row r="6437" spans="1:2" ht="18.75">
      <c r="A6437" s="12" t="s">
        <v>845</v>
      </c>
      <c r="B6437" s="1" t="s">
        <v>7110</v>
      </c>
    </row>
    <row r="6438" spans="1:2" ht="18.75">
      <c r="A6438" s="12" t="s">
        <v>1432</v>
      </c>
      <c r="B6438" s="1" t="s">
        <v>7110</v>
      </c>
    </row>
    <row r="6439" spans="1:2" ht="18.75">
      <c r="A6439" s="12" t="s">
        <v>845</v>
      </c>
      <c r="B6439" s="1" t="s">
        <v>7110</v>
      </c>
    </row>
    <row r="6440" spans="1:2" ht="18.75">
      <c r="A6440" s="12" t="s">
        <v>851</v>
      </c>
      <c r="B6440" s="1" t="s">
        <v>7110</v>
      </c>
    </row>
    <row r="6441" spans="1:2" ht="18.75">
      <c r="A6441" s="12" t="s">
        <v>848</v>
      </c>
      <c r="B6441" s="1" t="s">
        <v>7110</v>
      </c>
    </row>
    <row r="6442" spans="1:2" ht="18.75">
      <c r="A6442" s="12" t="s">
        <v>847</v>
      </c>
      <c r="B6442" s="1" t="s">
        <v>7110</v>
      </c>
    </row>
    <row r="6443" spans="1:2" ht="18.75">
      <c r="A6443" s="12" t="s">
        <v>848</v>
      </c>
      <c r="B6443" s="1" t="s">
        <v>7110</v>
      </c>
    </row>
    <row r="6444" spans="1:2" ht="18.75">
      <c r="A6444" s="12" t="s">
        <v>851</v>
      </c>
      <c r="B6444" s="1" t="s">
        <v>7110</v>
      </c>
    </row>
    <row r="6445" spans="1:2" ht="18.75">
      <c r="A6445" s="12" t="s">
        <v>845</v>
      </c>
      <c r="B6445" s="1" t="s">
        <v>7110</v>
      </c>
    </row>
    <row r="6446" spans="1:2" ht="18.75">
      <c r="A6446" s="12" t="s">
        <v>1159</v>
      </c>
      <c r="B6446" s="1" t="s">
        <v>7110</v>
      </c>
    </row>
    <row r="6447" spans="1:2" ht="18.75">
      <c r="A6447" s="12" t="s">
        <v>1159</v>
      </c>
      <c r="B6447" s="1" t="s">
        <v>7110</v>
      </c>
    </row>
    <row r="6448" spans="1:2" ht="18.75">
      <c r="A6448" s="12" t="s">
        <v>1469</v>
      </c>
      <c r="B6448" s="1" t="s">
        <v>7110</v>
      </c>
    </row>
    <row r="6449" spans="1:2" ht="18.75">
      <c r="A6449" s="12" t="s">
        <v>1332</v>
      </c>
      <c r="B6449" s="1" t="s">
        <v>7110</v>
      </c>
    </row>
    <row r="6450" spans="1:2" ht="18.75">
      <c r="A6450" s="12" t="s">
        <v>851</v>
      </c>
      <c r="B6450" s="1" t="s">
        <v>7110</v>
      </c>
    </row>
    <row r="6451" spans="1:2" ht="18.75">
      <c r="A6451" s="12" t="s">
        <v>559</v>
      </c>
      <c r="B6451" s="1" t="s">
        <v>7110</v>
      </c>
    </row>
    <row r="6452" spans="1:2" ht="18.75">
      <c r="A6452" s="12" t="s">
        <v>849</v>
      </c>
      <c r="B6452" s="1" t="s">
        <v>7110</v>
      </c>
    </row>
    <row r="6453" spans="1:2" ht="18.75">
      <c r="A6453" s="12" t="s">
        <v>1179</v>
      </c>
      <c r="B6453" s="1" t="s">
        <v>7110</v>
      </c>
    </row>
    <row r="6454" spans="1:2" ht="18.75">
      <c r="A6454" s="12" t="s">
        <v>1213</v>
      </c>
      <c r="B6454" s="1" t="s">
        <v>7110</v>
      </c>
    </row>
    <row r="6455" spans="1:2" ht="18.75">
      <c r="A6455" s="12" t="s">
        <v>1213</v>
      </c>
      <c r="B6455" s="1" t="s">
        <v>7110</v>
      </c>
    </row>
    <row r="6456" spans="1:2" ht="18.75">
      <c r="A6456" s="12" t="s">
        <v>845</v>
      </c>
      <c r="B6456" s="1" t="s">
        <v>7110</v>
      </c>
    </row>
    <row r="6457" spans="1:2" ht="18.75">
      <c r="A6457" s="90" t="s">
        <v>845</v>
      </c>
      <c r="B6457" s="1" t="s">
        <v>7110</v>
      </c>
    </row>
    <row r="6458" spans="1:2" ht="18.75">
      <c r="A6458" s="12" t="s">
        <v>845</v>
      </c>
      <c r="B6458" s="1" t="s">
        <v>7110</v>
      </c>
    </row>
    <row r="6459" spans="1:2" ht="18.75">
      <c r="A6459" s="12" t="s">
        <v>1606</v>
      </c>
      <c r="B6459" s="1" t="s">
        <v>7110</v>
      </c>
    </row>
    <row r="6460" spans="1:2" ht="18.75">
      <c r="A6460" s="12" t="s">
        <v>1606</v>
      </c>
      <c r="B6460" s="1" t="s">
        <v>7110</v>
      </c>
    </row>
    <row r="6461" spans="1:2" ht="18.75">
      <c r="A6461" s="12" t="s">
        <v>1606</v>
      </c>
      <c r="B6461" s="1" t="s">
        <v>7110</v>
      </c>
    </row>
    <row r="6462" spans="1:2" ht="18.75">
      <c r="A6462" s="12" t="s">
        <v>1607</v>
      </c>
      <c r="B6462" s="1" t="s">
        <v>7110</v>
      </c>
    </row>
    <row r="6463" spans="1:2" ht="18.75">
      <c r="A6463" s="12" t="s">
        <v>548</v>
      </c>
      <c r="B6463" s="1" t="s">
        <v>7110</v>
      </c>
    </row>
    <row r="6464" spans="1:2" ht="18.75">
      <c r="A6464" s="12" t="s">
        <v>851</v>
      </c>
      <c r="B6464" s="1" t="s">
        <v>7110</v>
      </c>
    </row>
    <row r="6465" spans="1:2" ht="18.75">
      <c r="A6465" s="12" t="s">
        <v>1775</v>
      </c>
      <c r="B6465" s="1" t="s">
        <v>7110</v>
      </c>
    </row>
    <row r="6466" spans="1:2" ht="18.75">
      <c r="A6466" s="12" t="s">
        <v>1775</v>
      </c>
      <c r="B6466" s="1" t="s">
        <v>7110</v>
      </c>
    </row>
    <row r="6467" spans="1:2" ht="18.75">
      <c r="A6467" s="12" t="s">
        <v>1775</v>
      </c>
      <c r="B6467" s="1" t="s">
        <v>7110</v>
      </c>
    </row>
    <row r="6468" spans="1:2" ht="18.75">
      <c r="A6468" s="12" t="s">
        <v>79</v>
      </c>
      <c r="B6468" s="1" t="s">
        <v>7110</v>
      </c>
    </row>
    <row r="6469" spans="1:2" ht="18.75">
      <c r="A6469" s="12" t="s">
        <v>851</v>
      </c>
      <c r="B6469" s="1" t="s">
        <v>7110</v>
      </c>
    </row>
    <row r="6470" spans="1:2" ht="18.75">
      <c r="A6470" s="12" t="s">
        <v>1213</v>
      </c>
      <c r="B6470" s="1" t="s">
        <v>7110</v>
      </c>
    </row>
    <row r="6471" spans="1:2" ht="18.75">
      <c r="A6471" s="12" t="s">
        <v>1775</v>
      </c>
      <c r="B6471" s="1" t="s">
        <v>7110</v>
      </c>
    </row>
    <row r="6472" spans="1:2" ht="18.75">
      <c r="A6472" s="12" t="s">
        <v>1775</v>
      </c>
      <c r="B6472" s="1" t="s">
        <v>7110</v>
      </c>
    </row>
    <row r="6473" spans="1:2" ht="18.75">
      <c r="A6473" s="12" t="s">
        <v>1775</v>
      </c>
      <c r="B6473" s="1" t="s">
        <v>7110</v>
      </c>
    </row>
    <row r="6474" spans="1:2" ht="18.75">
      <c r="A6474" s="12" t="s">
        <v>189</v>
      </c>
      <c r="B6474" s="1" t="s">
        <v>7110</v>
      </c>
    </row>
    <row r="6475" spans="1:2" ht="18.75">
      <c r="A6475" s="12" t="s">
        <v>1607</v>
      </c>
      <c r="B6475" s="1" t="s">
        <v>7110</v>
      </c>
    </row>
    <row r="6476" spans="1:2" ht="18.75">
      <c r="A6476" s="12" t="s">
        <v>1775</v>
      </c>
      <c r="B6476" s="1" t="s">
        <v>7110</v>
      </c>
    </row>
    <row r="6477" spans="1:2" ht="18.75">
      <c r="A6477" s="12" t="s">
        <v>1213</v>
      </c>
      <c r="B6477" s="1" t="s">
        <v>7110</v>
      </c>
    </row>
    <row r="6478" spans="1:2" ht="18.75">
      <c r="A6478" s="12" t="s">
        <v>845</v>
      </c>
      <c r="B6478" s="1" t="s">
        <v>7110</v>
      </c>
    </row>
    <row r="6479" spans="1:2" ht="18.75">
      <c r="A6479" s="12" t="s">
        <v>975</v>
      </c>
      <c r="B6479" s="1" t="s">
        <v>7110</v>
      </c>
    </row>
    <row r="6480" spans="1:2" ht="18.75">
      <c r="A6480" s="12" t="s">
        <v>1228</v>
      </c>
      <c r="B6480" s="1" t="s">
        <v>7110</v>
      </c>
    </row>
    <row r="6481" spans="1:2" ht="18.75">
      <c r="A6481" s="12" t="s">
        <v>1206</v>
      </c>
      <c r="B6481" s="1" t="s">
        <v>7110</v>
      </c>
    </row>
    <row r="6482" spans="1:2" ht="18.75">
      <c r="A6482" s="12" t="s">
        <v>1073</v>
      </c>
      <c r="B6482" s="1" t="s">
        <v>7110</v>
      </c>
    </row>
    <row r="6483" spans="1:2" ht="18.75">
      <c r="A6483" s="12" t="s">
        <v>2214</v>
      </c>
      <c r="B6483" s="1" t="s">
        <v>7110</v>
      </c>
    </row>
    <row r="6484" spans="1:2" ht="18.75">
      <c r="A6484" s="12" t="s">
        <v>2215</v>
      </c>
      <c r="B6484" s="1" t="s">
        <v>7110</v>
      </c>
    </row>
    <row r="6485" spans="1:2" ht="18.75">
      <c r="A6485" s="12" t="s">
        <v>1469</v>
      </c>
      <c r="B6485" s="1" t="s">
        <v>7110</v>
      </c>
    </row>
    <row r="6486" spans="1:2" ht="18.75">
      <c r="A6486" s="12" t="s">
        <v>631</v>
      </c>
      <c r="B6486" s="1" t="s">
        <v>7110</v>
      </c>
    </row>
    <row r="6487" spans="1:2" ht="18.75">
      <c r="A6487" s="12" t="s">
        <v>1442</v>
      </c>
      <c r="B6487" s="1" t="s">
        <v>7110</v>
      </c>
    </row>
    <row r="6488" spans="1:2" ht="18.75">
      <c r="A6488" s="12" t="s">
        <v>2216</v>
      </c>
      <c r="B6488" s="1" t="s">
        <v>7110</v>
      </c>
    </row>
    <row r="6489" spans="1:2" ht="18.75">
      <c r="A6489" s="12" t="s">
        <v>2217</v>
      </c>
      <c r="B6489" s="1" t="s">
        <v>7110</v>
      </c>
    </row>
    <row r="6490" spans="1:2" ht="18">
      <c r="A6490" s="91" t="s">
        <v>654</v>
      </c>
      <c r="B6490" s="1" t="s">
        <v>7110</v>
      </c>
    </row>
    <row r="6491" spans="1:2" ht="18">
      <c r="A6491" s="91" t="s">
        <v>1204</v>
      </c>
      <c r="B6491" s="1" t="s">
        <v>7110</v>
      </c>
    </row>
    <row r="6492" spans="1:2" ht="18">
      <c r="A6492" s="91" t="s">
        <v>1202</v>
      </c>
      <c r="B6492" s="1" t="s">
        <v>7110</v>
      </c>
    </row>
    <row r="6493" spans="1:2" ht="18">
      <c r="A6493" s="91" t="s">
        <v>845</v>
      </c>
      <c r="B6493" s="1" t="s">
        <v>7110</v>
      </c>
    </row>
    <row r="6494" spans="1:2" ht="18">
      <c r="A6494" s="91" t="s">
        <v>1228</v>
      </c>
      <c r="B6494" s="1" t="s">
        <v>7110</v>
      </c>
    </row>
    <row r="6495" spans="1:2" ht="18">
      <c r="A6495" s="92" t="s">
        <v>2455</v>
      </c>
      <c r="B6495" s="1" t="s">
        <v>7110</v>
      </c>
    </row>
    <row r="6496" spans="1:2" ht="18.75">
      <c r="A6496" s="12" t="s">
        <v>60</v>
      </c>
      <c r="B6496" s="1" t="s">
        <v>7110</v>
      </c>
    </row>
    <row r="6497" spans="1:2" ht="18.75">
      <c r="A6497" s="12" t="s">
        <v>60</v>
      </c>
      <c r="B6497" s="1" t="s">
        <v>7110</v>
      </c>
    </row>
    <row r="6498" spans="1:2" ht="18.75">
      <c r="A6498" s="12" t="s">
        <v>60</v>
      </c>
      <c r="B6498" s="1" t="s">
        <v>7110</v>
      </c>
    </row>
    <row r="6499" spans="1:2" ht="18.75">
      <c r="A6499" s="12" t="s">
        <v>60</v>
      </c>
      <c r="B6499" s="1" t="s">
        <v>7110</v>
      </c>
    </row>
    <row r="6500" spans="1:2" ht="18.75">
      <c r="A6500" s="12" t="s">
        <v>60</v>
      </c>
      <c r="B6500" s="1" t="s">
        <v>7110</v>
      </c>
    </row>
    <row r="6501" spans="1:2" ht="18.75">
      <c r="A6501" s="12" t="s">
        <v>60</v>
      </c>
      <c r="B6501" s="1" t="s">
        <v>7110</v>
      </c>
    </row>
    <row r="6502" spans="1:2" ht="18.75">
      <c r="A6502" s="12" t="s">
        <v>60</v>
      </c>
      <c r="B6502" s="1" t="s">
        <v>7110</v>
      </c>
    </row>
    <row r="6503" spans="1:2" ht="18.75">
      <c r="A6503" s="12" t="s">
        <v>60</v>
      </c>
      <c r="B6503" s="1" t="s">
        <v>7110</v>
      </c>
    </row>
    <row r="6504" spans="1:2" ht="18.75">
      <c r="A6504" s="12" t="s">
        <v>60</v>
      </c>
      <c r="B6504" s="1" t="s">
        <v>7110</v>
      </c>
    </row>
    <row r="6505" spans="1:2" ht="18.75">
      <c r="A6505" s="12" t="s">
        <v>60</v>
      </c>
      <c r="B6505" s="1" t="s">
        <v>7110</v>
      </c>
    </row>
    <row r="6506" spans="1:2" ht="18.75">
      <c r="A6506" s="12" t="s">
        <v>732</v>
      </c>
      <c r="B6506" s="1" t="s">
        <v>7110</v>
      </c>
    </row>
    <row r="6507" spans="1:2" ht="18">
      <c r="A6507" s="93" t="s">
        <v>882</v>
      </c>
      <c r="B6507" s="1" t="s">
        <v>7110</v>
      </c>
    </row>
    <row r="6508" spans="1:2" ht="18">
      <c r="A6508" s="93" t="s">
        <v>881</v>
      </c>
      <c r="B6508" s="1" t="s">
        <v>7110</v>
      </c>
    </row>
    <row r="6509" spans="1:2" ht="18">
      <c r="A6509" s="93" t="s">
        <v>792</v>
      </c>
      <c r="B6509" s="1" t="s">
        <v>7110</v>
      </c>
    </row>
    <row r="6510" spans="1:2" ht="18">
      <c r="A6510" s="93" t="s">
        <v>798</v>
      </c>
      <c r="B6510" s="1" t="s">
        <v>7110</v>
      </c>
    </row>
    <row r="6511" spans="1:2" ht="18">
      <c r="A6511" s="93" t="s">
        <v>798</v>
      </c>
      <c r="B6511" s="1" t="s">
        <v>7110</v>
      </c>
    </row>
    <row r="6512" spans="1:2" ht="18">
      <c r="A6512" s="93" t="s">
        <v>798</v>
      </c>
      <c r="B6512" s="1" t="s">
        <v>7110</v>
      </c>
    </row>
    <row r="6513" spans="1:2" ht="18">
      <c r="A6513" s="93" t="s">
        <v>798</v>
      </c>
      <c r="B6513" s="1" t="s">
        <v>7110</v>
      </c>
    </row>
    <row r="6514" spans="1:2" ht="18">
      <c r="A6514" s="93" t="s">
        <v>798</v>
      </c>
      <c r="B6514" s="1" t="s">
        <v>7110</v>
      </c>
    </row>
    <row r="6515" spans="1:2" ht="18.75">
      <c r="A6515" s="12" t="s">
        <v>6727</v>
      </c>
      <c r="B6515" s="1" t="s">
        <v>7110</v>
      </c>
    </row>
    <row r="6516" spans="1:2" ht="18.75">
      <c r="A6516" s="12" t="s">
        <v>6728</v>
      </c>
      <c r="B6516" s="1" t="s">
        <v>7110</v>
      </c>
    </row>
    <row r="6517" spans="1:2" ht="18.75">
      <c r="A6517" s="12" t="s">
        <v>6729</v>
      </c>
      <c r="B6517" s="1" t="s">
        <v>7110</v>
      </c>
    </row>
    <row r="6518" spans="1:2" ht="18.75">
      <c r="A6518" s="12" t="s">
        <v>6730</v>
      </c>
      <c r="B6518" s="1" t="s">
        <v>7110</v>
      </c>
    </row>
    <row r="6519" spans="1:2" ht="18.75">
      <c r="A6519" s="12" t="s">
        <v>6731</v>
      </c>
      <c r="B6519" s="1" t="s">
        <v>7110</v>
      </c>
    </row>
    <row r="6520" spans="1:2" ht="18.75">
      <c r="A6520" s="12" t="s">
        <v>6732</v>
      </c>
      <c r="B6520" s="1" t="s">
        <v>7110</v>
      </c>
    </row>
    <row r="6521" spans="1:2" ht="18.75">
      <c r="A6521" s="12" t="s">
        <v>6733</v>
      </c>
      <c r="B6521" s="1" t="s">
        <v>7110</v>
      </c>
    </row>
    <row r="6522" spans="1:2" ht="18.75">
      <c r="A6522" s="12" t="s">
        <v>6734</v>
      </c>
      <c r="B6522" s="1" t="s">
        <v>7110</v>
      </c>
    </row>
    <row r="6523" spans="1:2" ht="18.75">
      <c r="A6523" s="12" t="s">
        <v>6735</v>
      </c>
      <c r="B6523" s="1" t="s">
        <v>7110</v>
      </c>
    </row>
    <row r="6524" spans="1:2" ht="18.75">
      <c r="A6524" s="94" t="s">
        <v>6736</v>
      </c>
      <c r="B6524" s="1" t="s">
        <v>7110</v>
      </c>
    </row>
    <row r="6525" spans="1:2" ht="18.75">
      <c r="A6525" s="94" t="s">
        <v>6736</v>
      </c>
      <c r="B6525" s="1" t="s">
        <v>7110</v>
      </c>
    </row>
    <row r="6526" spans="1:2" ht="18.75">
      <c r="A6526" s="94" t="s">
        <v>6737</v>
      </c>
      <c r="B6526" s="1" t="s">
        <v>7110</v>
      </c>
    </row>
    <row r="6527" spans="1:2" ht="18.75">
      <c r="A6527" s="94" t="s">
        <v>6736</v>
      </c>
      <c r="B6527" s="1" t="s">
        <v>7110</v>
      </c>
    </row>
    <row r="6528" spans="1:2" ht="18.75">
      <c r="A6528" s="94" t="s">
        <v>6737</v>
      </c>
      <c r="B6528" s="1" t="s">
        <v>7110</v>
      </c>
    </row>
    <row r="6529" spans="1:2" ht="18.75">
      <c r="A6529" s="94" t="s">
        <v>6738</v>
      </c>
      <c r="B6529" s="1" t="s">
        <v>7110</v>
      </c>
    </row>
    <row r="6530" spans="1:2" ht="18.75">
      <c r="A6530" s="94" t="s">
        <v>6738</v>
      </c>
      <c r="B6530" s="1" t="s">
        <v>7110</v>
      </c>
    </row>
    <row r="6531" spans="1:2" ht="18.75">
      <c r="A6531" s="94" t="s">
        <v>6738</v>
      </c>
      <c r="B6531" s="1" t="s">
        <v>7110</v>
      </c>
    </row>
    <row r="6532" spans="1:2" ht="18.75">
      <c r="A6532" s="94" t="s">
        <v>6739</v>
      </c>
      <c r="B6532" s="1" t="s">
        <v>7110</v>
      </c>
    </row>
    <row r="6533" spans="1:2" ht="18.75">
      <c r="A6533" s="94" t="s">
        <v>6738</v>
      </c>
      <c r="B6533" s="1" t="s">
        <v>7110</v>
      </c>
    </row>
    <row r="6534" spans="1:2" ht="18.75">
      <c r="A6534" s="94" t="s">
        <v>6740</v>
      </c>
      <c r="B6534" s="1" t="s">
        <v>7110</v>
      </c>
    </row>
    <row r="6535" spans="1:2" ht="18.75">
      <c r="A6535" s="94" t="s">
        <v>6737</v>
      </c>
      <c r="B6535" s="1" t="s">
        <v>7110</v>
      </c>
    </row>
    <row r="6536" spans="1:2" ht="18.75">
      <c r="A6536" s="94" t="s">
        <v>6740</v>
      </c>
      <c r="B6536" s="1" t="s">
        <v>7110</v>
      </c>
    </row>
    <row r="6537" spans="1:2" ht="18.75">
      <c r="A6537" s="94" t="s">
        <v>6741</v>
      </c>
      <c r="B6537" s="1" t="s">
        <v>7110</v>
      </c>
    </row>
    <row r="6538" spans="1:2" ht="18.75">
      <c r="A6538" s="94" t="s">
        <v>6740</v>
      </c>
      <c r="B6538" s="1" t="s">
        <v>7110</v>
      </c>
    </row>
    <row r="6539" spans="1:2" ht="18.75">
      <c r="A6539" s="94" t="s">
        <v>6741</v>
      </c>
      <c r="B6539" s="1" t="s">
        <v>7110</v>
      </c>
    </row>
    <row r="6540" spans="1:2" ht="18.75">
      <c r="A6540" s="94" t="s">
        <v>6737</v>
      </c>
      <c r="B6540" s="1" t="s">
        <v>7110</v>
      </c>
    </row>
    <row r="6541" spans="1:2" ht="18.75">
      <c r="A6541" s="94" t="s">
        <v>6736</v>
      </c>
      <c r="B6541" s="1" t="s">
        <v>7110</v>
      </c>
    </row>
    <row r="6542" spans="1:2" ht="18.75">
      <c r="A6542" s="94" t="s">
        <v>6739</v>
      </c>
      <c r="B6542" s="1" t="s">
        <v>7110</v>
      </c>
    </row>
    <row r="6543" spans="1:2" ht="18.75">
      <c r="A6543" s="94" t="s">
        <v>6742</v>
      </c>
      <c r="B6543" s="1" t="s">
        <v>7110</v>
      </c>
    </row>
    <row r="6544" spans="1:2" ht="18.75">
      <c r="A6544" s="94" t="s">
        <v>6741</v>
      </c>
      <c r="B6544" s="1" t="s">
        <v>7110</v>
      </c>
    </row>
    <row r="6545" spans="1:2" ht="18.75">
      <c r="A6545" s="94" t="s">
        <v>6740</v>
      </c>
      <c r="B6545" s="1" t="s">
        <v>7110</v>
      </c>
    </row>
    <row r="6546" spans="1:2" ht="18.75">
      <c r="A6546" s="94" t="s">
        <v>6740</v>
      </c>
      <c r="B6546" s="1" t="s">
        <v>7110</v>
      </c>
    </row>
    <row r="6547" spans="1:2" ht="18.75">
      <c r="A6547" s="94" t="s">
        <v>6740</v>
      </c>
      <c r="B6547" s="1" t="s">
        <v>7110</v>
      </c>
    </row>
    <row r="6548" spans="1:2" ht="18.75">
      <c r="A6548" s="94" t="s">
        <v>6743</v>
      </c>
      <c r="B6548" s="1" t="s">
        <v>7110</v>
      </c>
    </row>
    <row r="6549" spans="1:2" ht="18.75">
      <c r="A6549" s="94" t="s">
        <v>6741</v>
      </c>
      <c r="B6549" s="1" t="s">
        <v>7110</v>
      </c>
    </row>
    <row r="6550" spans="1:2" ht="18">
      <c r="A6550" s="95" t="s">
        <v>6740</v>
      </c>
      <c r="B6550" s="1" t="s">
        <v>7110</v>
      </c>
    </row>
    <row r="6551" spans="1:2" ht="18.75">
      <c r="A6551" s="12" t="s">
        <v>6744</v>
      </c>
      <c r="B6551" s="1" t="s">
        <v>7110</v>
      </c>
    </row>
    <row r="6552" spans="1:2" ht="18.75">
      <c r="A6552" s="12" t="s">
        <v>6745</v>
      </c>
      <c r="B6552" s="1" t="s">
        <v>7110</v>
      </c>
    </row>
    <row r="6553" spans="1:2" ht="18.75">
      <c r="A6553" s="12" t="s">
        <v>6746</v>
      </c>
      <c r="B6553" s="1" t="s">
        <v>7110</v>
      </c>
    </row>
    <row r="6554" spans="1:2" ht="18.75">
      <c r="A6554" s="12" t="s">
        <v>6747</v>
      </c>
      <c r="B6554" s="1" t="s">
        <v>7110</v>
      </c>
    </row>
    <row r="6555" spans="1:2" ht="18.75">
      <c r="A6555" s="12" t="s">
        <v>6748</v>
      </c>
      <c r="B6555" s="1" t="s">
        <v>7110</v>
      </c>
    </row>
    <row r="6556" spans="1:2" ht="18.75">
      <c r="A6556" s="12" t="s">
        <v>6749</v>
      </c>
      <c r="B6556" s="1" t="s">
        <v>7110</v>
      </c>
    </row>
    <row r="6557" spans="1:2" ht="18.75">
      <c r="A6557" s="12" t="s">
        <v>6750</v>
      </c>
      <c r="B6557" s="1" t="s">
        <v>7110</v>
      </c>
    </row>
    <row r="6558" spans="1:2" ht="18.75">
      <c r="A6558" s="12" t="s">
        <v>6751</v>
      </c>
      <c r="B6558" s="1" t="s">
        <v>7110</v>
      </c>
    </row>
    <row r="6559" spans="1:2" ht="18.75">
      <c r="A6559" s="12" t="s">
        <v>6752</v>
      </c>
      <c r="B6559" s="1" t="s">
        <v>7110</v>
      </c>
    </row>
    <row r="6560" spans="1:2" ht="18.75">
      <c r="A6560" s="12" t="s">
        <v>6753</v>
      </c>
      <c r="B6560" s="1" t="s">
        <v>7110</v>
      </c>
    </row>
    <row r="6561" spans="1:2" ht="18.75">
      <c r="A6561" s="12" t="s">
        <v>6754</v>
      </c>
      <c r="B6561" s="1" t="s">
        <v>7110</v>
      </c>
    </row>
    <row r="6562" spans="1:2" ht="18.75">
      <c r="A6562" s="12" t="s">
        <v>6755</v>
      </c>
      <c r="B6562" s="1" t="s">
        <v>7110</v>
      </c>
    </row>
    <row r="6563" spans="1:2" ht="18.75">
      <c r="A6563" s="12" t="s">
        <v>6756</v>
      </c>
      <c r="B6563" s="1" t="s">
        <v>7110</v>
      </c>
    </row>
    <row r="6564" spans="1:2" ht="18.75">
      <c r="A6564" s="12" t="s">
        <v>6757</v>
      </c>
      <c r="B6564" s="1" t="s">
        <v>7110</v>
      </c>
    </row>
    <row r="6565" spans="1:2" ht="18.75">
      <c r="A6565" s="12" t="s">
        <v>6757</v>
      </c>
      <c r="B6565" s="1" t="s">
        <v>7110</v>
      </c>
    </row>
    <row r="6566" spans="1:2" ht="18.75">
      <c r="A6566" s="12" t="s">
        <v>6758</v>
      </c>
      <c r="B6566" s="1" t="s">
        <v>7110</v>
      </c>
    </row>
    <row r="6567" spans="1:2" ht="18.75">
      <c r="A6567" s="12" t="s">
        <v>6758</v>
      </c>
      <c r="B6567" s="1" t="s">
        <v>7110</v>
      </c>
    </row>
    <row r="6568" spans="1:2" ht="18.75">
      <c r="A6568" s="12" t="s">
        <v>6759</v>
      </c>
      <c r="B6568" s="1" t="s">
        <v>7110</v>
      </c>
    </row>
    <row r="6569" spans="1:2" ht="18.75">
      <c r="A6569" s="12" t="s">
        <v>6759</v>
      </c>
      <c r="B6569" s="1" t="s">
        <v>7110</v>
      </c>
    </row>
    <row r="6570" spans="1:2" ht="18.75">
      <c r="A6570" s="12" t="s">
        <v>6760</v>
      </c>
      <c r="B6570" s="1" t="s">
        <v>7110</v>
      </c>
    </row>
    <row r="6571" spans="1:2" ht="18.75">
      <c r="A6571" s="12" t="s">
        <v>6757</v>
      </c>
      <c r="B6571" s="1" t="s">
        <v>7110</v>
      </c>
    </row>
    <row r="6572" spans="1:2" ht="18.75">
      <c r="A6572" s="12" t="s">
        <v>6757</v>
      </c>
      <c r="B6572" s="1" t="s">
        <v>7110</v>
      </c>
    </row>
    <row r="6573" spans="1:2" ht="18.75">
      <c r="A6573" s="12" t="s">
        <v>6761</v>
      </c>
      <c r="B6573" s="1" t="s">
        <v>7110</v>
      </c>
    </row>
    <row r="6574" spans="1:2" ht="18.75">
      <c r="A6574" s="12" t="s">
        <v>6761</v>
      </c>
      <c r="B6574" s="1" t="s">
        <v>7110</v>
      </c>
    </row>
    <row r="6575" spans="1:2" ht="18.75">
      <c r="A6575" s="12" t="s">
        <v>6762</v>
      </c>
      <c r="B6575" s="1" t="s">
        <v>7110</v>
      </c>
    </row>
    <row r="6576" spans="1:2" ht="18.75">
      <c r="A6576" s="12" t="s">
        <v>6763</v>
      </c>
      <c r="B6576" s="1" t="s">
        <v>7110</v>
      </c>
    </row>
    <row r="6577" spans="1:2" ht="18.75">
      <c r="A6577" s="12" t="s">
        <v>6763</v>
      </c>
      <c r="B6577" s="1" t="s">
        <v>7110</v>
      </c>
    </row>
    <row r="6578" spans="1:2" ht="18.75">
      <c r="A6578" s="12" t="s">
        <v>6763</v>
      </c>
      <c r="B6578" s="1" t="s">
        <v>7110</v>
      </c>
    </row>
    <row r="6579" spans="1:2" ht="18.75">
      <c r="A6579" s="12" t="s">
        <v>6763</v>
      </c>
      <c r="B6579" s="1" t="s">
        <v>7110</v>
      </c>
    </row>
    <row r="6580" spans="1:2" ht="18.75">
      <c r="A6580" s="12" t="s">
        <v>6764</v>
      </c>
      <c r="B6580" s="1" t="s">
        <v>7110</v>
      </c>
    </row>
    <row r="6581" spans="1:2" ht="18.75">
      <c r="A6581" s="12" t="s">
        <v>6744</v>
      </c>
      <c r="B6581" s="1" t="s">
        <v>7110</v>
      </c>
    </row>
    <row r="6582" spans="1:2" ht="18.75">
      <c r="A6582" s="12" t="s">
        <v>6764</v>
      </c>
      <c r="B6582" s="1" t="s">
        <v>7110</v>
      </c>
    </row>
    <row r="6583" spans="1:2" ht="18.75">
      <c r="A6583" s="12" t="s">
        <v>6762</v>
      </c>
      <c r="B6583" s="1" t="s">
        <v>7110</v>
      </c>
    </row>
    <row r="6584" spans="1:2" ht="18.75">
      <c r="A6584" s="12" t="s">
        <v>6765</v>
      </c>
      <c r="B6584" s="1" t="s">
        <v>7110</v>
      </c>
    </row>
    <row r="6585" spans="1:2" ht="18.75">
      <c r="A6585" s="12" t="s">
        <v>6765</v>
      </c>
      <c r="B6585" s="1" t="s">
        <v>7110</v>
      </c>
    </row>
    <row r="6586" spans="1:2" ht="18.75">
      <c r="A6586" s="12" t="s">
        <v>6766</v>
      </c>
      <c r="B6586" s="1" t="s">
        <v>7110</v>
      </c>
    </row>
    <row r="6587" spans="1:2" ht="18.75">
      <c r="A6587" s="12" t="s">
        <v>6767</v>
      </c>
      <c r="B6587" s="1" t="s">
        <v>7110</v>
      </c>
    </row>
    <row r="6588" spans="1:2" ht="18.75">
      <c r="A6588" s="12" t="s">
        <v>6768</v>
      </c>
      <c r="B6588" s="1" t="s">
        <v>7110</v>
      </c>
    </row>
    <row r="6589" spans="1:2" ht="18.75">
      <c r="A6589" s="12" t="s">
        <v>6768</v>
      </c>
      <c r="B6589" s="1" t="s">
        <v>7110</v>
      </c>
    </row>
    <row r="6590" spans="1:2" ht="18.75">
      <c r="A6590" s="12" t="s">
        <v>6768</v>
      </c>
      <c r="B6590" s="1" t="s">
        <v>7110</v>
      </c>
    </row>
    <row r="6591" spans="1:2" ht="18.75">
      <c r="A6591" s="12" t="s">
        <v>6769</v>
      </c>
      <c r="B6591" s="1" t="s">
        <v>7110</v>
      </c>
    </row>
    <row r="6592" spans="1:2" ht="18.75">
      <c r="A6592" s="12" t="s">
        <v>6763</v>
      </c>
      <c r="B6592" s="1" t="s">
        <v>7110</v>
      </c>
    </row>
    <row r="6593" spans="1:2" ht="18.75">
      <c r="A6593" s="12" t="s">
        <v>6768</v>
      </c>
      <c r="B6593" s="1" t="s">
        <v>7110</v>
      </c>
    </row>
    <row r="6594" spans="1:2" ht="18.75">
      <c r="A6594" s="12" t="s">
        <v>6769</v>
      </c>
      <c r="B6594" s="1" t="s">
        <v>7110</v>
      </c>
    </row>
    <row r="6595" spans="1:2" ht="18.75">
      <c r="A6595" s="12" t="s">
        <v>6744</v>
      </c>
      <c r="B6595" s="1" t="s">
        <v>7110</v>
      </c>
    </row>
    <row r="6596" spans="1:2" ht="18.75">
      <c r="A6596" s="12" t="s">
        <v>6747</v>
      </c>
      <c r="B6596" s="1" t="s">
        <v>7110</v>
      </c>
    </row>
    <row r="6597" spans="1:2" ht="18.75">
      <c r="A6597" s="12" t="s">
        <v>6770</v>
      </c>
      <c r="B6597" s="1" t="s">
        <v>7110</v>
      </c>
    </row>
    <row r="6598" spans="1:2" ht="18.75">
      <c r="A6598" s="12" t="s">
        <v>6771</v>
      </c>
      <c r="B6598" s="1" t="s">
        <v>7110</v>
      </c>
    </row>
    <row r="6599" spans="1:2" ht="18.75">
      <c r="A6599" s="12" t="s">
        <v>6770</v>
      </c>
      <c r="B6599" s="1" t="s">
        <v>7110</v>
      </c>
    </row>
    <row r="6600" spans="1:2" ht="18.75">
      <c r="A6600" s="12" t="s">
        <v>6770</v>
      </c>
      <c r="B6600" s="1" t="s">
        <v>7110</v>
      </c>
    </row>
    <row r="6601" spans="1:2" ht="18.75">
      <c r="A6601" s="12" t="s">
        <v>6770</v>
      </c>
      <c r="B6601" s="1" t="s">
        <v>7110</v>
      </c>
    </row>
    <row r="6602" spans="1:2" ht="18.75">
      <c r="A6602" s="12" t="s">
        <v>6770</v>
      </c>
      <c r="B6602" s="1" t="s">
        <v>7110</v>
      </c>
    </row>
    <row r="6603" spans="1:2" ht="18.75">
      <c r="A6603" s="12" t="s">
        <v>6770</v>
      </c>
      <c r="B6603" s="1" t="s">
        <v>7110</v>
      </c>
    </row>
    <row r="6604" spans="1:2" ht="18.75">
      <c r="A6604" s="12" t="s">
        <v>6756</v>
      </c>
      <c r="B6604" s="1" t="s">
        <v>7110</v>
      </c>
    </row>
    <row r="6605" spans="1:2" ht="18.75">
      <c r="A6605" s="12" t="s">
        <v>6772</v>
      </c>
      <c r="B6605" s="1" t="s">
        <v>7110</v>
      </c>
    </row>
    <row r="6606" spans="1:2" ht="18.75">
      <c r="A6606" s="86" t="s">
        <v>6773</v>
      </c>
      <c r="B6606" s="1" t="s">
        <v>7110</v>
      </c>
    </row>
    <row r="6607" spans="1:2" ht="18.75">
      <c r="A6607" s="12" t="s">
        <v>6774</v>
      </c>
      <c r="B6607" s="1" t="s">
        <v>7110</v>
      </c>
    </row>
    <row r="6608" spans="1:2" ht="18.75">
      <c r="A6608" s="12" t="s">
        <v>6775</v>
      </c>
      <c r="B6608" s="1" t="s">
        <v>7110</v>
      </c>
    </row>
    <row r="6609" spans="1:2" ht="18.75">
      <c r="A6609" s="12" t="s">
        <v>6775</v>
      </c>
      <c r="B6609" s="1" t="s">
        <v>7110</v>
      </c>
    </row>
    <row r="6610" spans="1:2" ht="18.75">
      <c r="A6610" s="12" t="s">
        <v>6775</v>
      </c>
      <c r="B6610" s="1" t="s">
        <v>7110</v>
      </c>
    </row>
    <row r="6611" spans="1:2" ht="18.75">
      <c r="A6611" s="12" t="s">
        <v>6762</v>
      </c>
      <c r="B6611" s="1" t="s">
        <v>7110</v>
      </c>
    </row>
    <row r="6612" spans="1:2" ht="18.75">
      <c r="A6612" s="12" t="s">
        <v>6776</v>
      </c>
      <c r="B6612" s="1" t="s">
        <v>7110</v>
      </c>
    </row>
    <row r="6613" spans="1:2" ht="18.75">
      <c r="A6613" s="12" t="s">
        <v>6770</v>
      </c>
      <c r="B6613" s="1" t="s">
        <v>7110</v>
      </c>
    </row>
    <row r="6614" spans="1:2" ht="18.75">
      <c r="A6614" s="12" t="s">
        <v>6777</v>
      </c>
      <c r="B6614" s="1" t="s">
        <v>7110</v>
      </c>
    </row>
    <row r="6615" spans="1:2" ht="18.75">
      <c r="A6615" s="12" t="s">
        <v>6778</v>
      </c>
      <c r="B6615" s="1" t="s">
        <v>7110</v>
      </c>
    </row>
    <row r="6616" spans="1:2" ht="18.75">
      <c r="A6616" s="12" t="s">
        <v>6778</v>
      </c>
      <c r="B6616" s="1" t="s">
        <v>7110</v>
      </c>
    </row>
    <row r="6617" spans="1:2" ht="18.75">
      <c r="A6617" s="12" t="s">
        <v>6778</v>
      </c>
      <c r="B6617" s="1" t="s">
        <v>7110</v>
      </c>
    </row>
    <row r="6618" spans="1:2" ht="18.75">
      <c r="A6618" s="12" t="s">
        <v>6774</v>
      </c>
      <c r="B6618" s="1" t="s">
        <v>7110</v>
      </c>
    </row>
    <row r="6619" spans="1:2" ht="18.75">
      <c r="A6619" s="12" t="s">
        <v>6775</v>
      </c>
      <c r="B6619" s="1" t="s">
        <v>7110</v>
      </c>
    </row>
    <row r="6620" spans="1:2" ht="18.75">
      <c r="A6620" s="12" t="s">
        <v>6770</v>
      </c>
      <c r="B6620" s="1" t="s">
        <v>7110</v>
      </c>
    </row>
    <row r="6621" spans="1:2" ht="18">
      <c r="A6621" s="96" t="s">
        <v>859</v>
      </c>
      <c r="B6621" s="1" t="s">
        <v>7110</v>
      </c>
    </row>
    <row r="6622" spans="1:2" ht="18">
      <c r="A6622" s="96" t="s">
        <v>859</v>
      </c>
      <c r="B6622" s="1" t="s">
        <v>7110</v>
      </c>
    </row>
    <row r="6623" spans="1:2" ht="18">
      <c r="A6623" s="96" t="s">
        <v>859</v>
      </c>
      <c r="B6623" s="1" t="s">
        <v>7110</v>
      </c>
    </row>
    <row r="6624" spans="1:2" ht="18">
      <c r="A6624" s="96" t="s">
        <v>859</v>
      </c>
      <c r="B6624" s="1" t="s">
        <v>7110</v>
      </c>
    </row>
    <row r="6625" spans="1:2" ht="18">
      <c r="A6625" s="96" t="s">
        <v>859</v>
      </c>
      <c r="B6625" s="1" t="s">
        <v>7110</v>
      </c>
    </row>
    <row r="6626" spans="1:2" ht="18">
      <c r="A6626" s="96" t="s">
        <v>859</v>
      </c>
      <c r="B6626" s="1" t="s">
        <v>7110</v>
      </c>
    </row>
    <row r="6627" spans="1:2" ht="18">
      <c r="A6627" s="96" t="s">
        <v>859</v>
      </c>
      <c r="B6627" s="1" t="s">
        <v>7110</v>
      </c>
    </row>
    <row r="6628" spans="1:2" ht="18">
      <c r="A6628" s="96" t="s">
        <v>860</v>
      </c>
      <c r="B6628" s="1" t="s">
        <v>7110</v>
      </c>
    </row>
    <row r="6629" spans="1:2" ht="18">
      <c r="A6629" s="96" t="s">
        <v>860</v>
      </c>
      <c r="B6629" s="1" t="s">
        <v>7110</v>
      </c>
    </row>
    <row r="6630" spans="1:2" ht="18.75">
      <c r="A6630" s="12" t="s">
        <v>976</v>
      </c>
      <c r="B6630" s="1" t="s">
        <v>7110</v>
      </c>
    </row>
    <row r="6631" spans="1:2" ht="18.75">
      <c r="A6631" s="12" t="s">
        <v>976</v>
      </c>
      <c r="B6631" s="1" t="s">
        <v>7110</v>
      </c>
    </row>
    <row r="6632" spans="1:2" ht="18.75">
      <c r="A6632" s="12" t="s">
        <v>976</v>
      </c>
      <c r="B6632" s="1" t="s">
        <v>7110</v>
      </c>
    </row>
    <row r="6633" spans="1:2" ht="18.75">
      <c r="A6633" s="12" t="s">
        <v>976</v>
      </c>
      <c r="B6633" s="1" t="s">
        <v>7110</v>
      </c>
    </row>
    <row r="6634" spans="1:2" ht="18.75">
      <c r="A6634" s="12" t="s">
        <v>1237</v>
      </c>
      <c r="B6634" s="1" t="s">
        <v>7110</v>
      </c>
    </row>
    <row r="6635" spans="1:2" ht="18.75">
      <c r="A6635" s="12" t="s">
        <v>859</v>
      </c>
      <c r="B6635" s="1" t="s">
        <v>7110</v>
      </c>
    </row>
    <row r="6636" spans="1:2" ht="18.75">
      <c r="A6636" s="12" t="s">
        <v>976</v>
      </c>
      <c r="B6636" s="1" t="s">
        <v>7110</v>
      </c>
    </row>
    <row r="6637" spans="1:2" ht="18.75">
      <c r="A6637" s="12" t="s">
        <v>859</v>
      </c>
      <c r="B6637" s="1" t="s">
        <v>7110</v>
      </c>
    </row>
    <row r="6638" spans="1:2" ht="18.75">
      <c r="A6638" s="12" t="s">
        <v>68</v>
      </c>
      <c r="B6638" s="1" t="s">
        <v>7110</v>
      </c>
    </row>
    <row r="6639" spans="1:2" ht="18.75">
      <c r="A6639" s="12" t="s">
        <v>68</v>
      </c>
      <c r="B6639" s="1" t="s">
        <v>7110</v>
      </c>
    </row>
    <row r="6640" spans="1:2" ht="18.75">
      <c r="A6640" s="12" t="s">
        <v>69</v>
      </c>
      <c r="B6640" s="1" t="s">
        <v>7110</v>
      </c>
    </row>
    <row r="6641" spans="1:2" ht="18.75">
      <c r="A6641" s="12" t="s">
        <v>69</v>
      </c>
      <c r="B6641" s="1" t="s">
        <v>7110</v>
      </c>
    </row>
    <row r="6642" spans="1:2" ht="18.75">
      <c r="A6642" s="12" t="s">
        <v>68</v>
      </c>
      <c r="B6642" s="1" t="s">
        <v>7110</v>
      </c>
    </row>
    <row r="6643" spans="1:2" ht="18.75">
      <c r="A6643" s="12" t="s">
        <v>205</v>
      </c>
      <c r="B6643" s="1" t="s">
        <v>7110</v>
      </c>
    </row>
    <row r="6644" spans="1:2" ht="18.75">
      <c r="A6644" s="12" t="s">
        <v>206</v>
      </c>
      <c r="B6644" s="1" t="s">
        <v>7110</v>
      </c>
    </row>
    <row r="6645" spans="1:2" ht="18.75">
      <c r="A6645" s="12" t="s">
        <v>69</v>
      </c>
      <c r="B6645" s="1" t="s">
        <v>7110</v>
      </c>
    </row>
    <row r="6646" spans="1:2" ht="18.75">
      <c r="A6646" s="12" t="s">
        <v>69</v>
      </c>
      <c r="B6646" s="1" t="s">
        <v>7110</v>
      </c>
    </row>
    <row r="6647" spans="1:2" ht="18.75">
      <c r="A6647" s="12" t="s">
        <v>205</v>
      </c>
      <c r="B6647" s="1" t="s">
        <v>7110</v>
      </c>
    </row>
    <row r="6648" spans="1:2" ht="18.75">
      <c r="A6648" s="12" t="s">
        <v>213</v>
      </c>
      <c r="B6648" s="1" t="s">
        <v>7110</v>
      </c>
    </row>
    <row r="6649" spans="1:2" ht="18.75">
      <c r="A6649" s="12" t="s">
        <v>344</v>
      </c>
      <c r="B6649" s="1" t="s">
        <v>7110</v>
      </c>
    </row>
    <row r="6650" spans="1:2" ht="18.75">
      <c r="A6650" s="12" t="s">
        <v>400</v>
      </c>
      <c r="B6650" s="1" t="s">
        <v>7110</v>
      </c>
    </row>
    <row r="6651" spans="1:2" ht="18.75">
      <c r="A6651" s="12" t="s">
        <v>409</v>
      </c>
      <c r="B6651" s="1" t="s">
        <v>7110</v>
      </c>
    </row>
    <row r="6652" spans="1:2" ht="18.75">
      <c r="A6652" s="12" t="s">
        <v>419</v>
      </c>
      <c r="B6652" s="1" t="s">
        <v>7110</v>
      </c>
    </row>
    <row r="6653" spans="1:2" ht="18.75">
      <c r="A6653" s="12" t="s">
        <v>422</v>
      </c>
      <c r="B6653" s="1" t="s">
        <v>7110</v>
      </c>
    </row>
    <row r="6654" spans="1:2" ht="18.75">
      <c r="A6654" s="12" t="s">
        <v>429</v>
      </c>
      <c r="B6654" s="1" t="s">
        <v>7110</v>
      </c>
    </row>
    <row r="6655" spans="1:2" ht="18.75">
      <c r="A6655" s="12" t="s">
        <v>430</v>
      </c>
      <c r="B6655" s="1" t="s">
        <v>7110</v>
      </c>
    </row>
    <row r="6656" spans="1:2" ht="18.75">
      <c r="A6656" s="12" t="s">
        <v>400</v>
      </c>
      <c r="B6656" s="1" t="s">
        <v>7110</v>
      </c>
    </row>
    <row r="6657" spans="1:2" ht="18.75">
      <c r="A6657" s="12" t="s">
        <v>434</v>
      </c>
      <c r="B6657" s="1" t="s">
        <v>7110</v>
      </c>
    </row>
    <row r="6658" spans="1:2" ht="18.75">
      <c r="A6658" s="12" t="s">
        <v>441</v>
      </c>
      <c r="B6658" s="1" t="s">
        <v>7110</v>
      </c>
    </row>
    <row r="6659" spans="1:2" ht="18.75">
      <c r="A6659" s="12" t="s">
        <v>409</v>
      </c>
      <c r="B6659" s="1" t="s">
        <v>7110</v>
      </c>
    </row>
    <row r="6660" spans="1:2" ht="18.75">
      <c r="A6660" s="12" t="s">
        <v>475</v>
      </c>
      <c r="B6660" s="1" t="s">
        <v>7110</v>
      </c>
    </row>
    <row r="6661" spans="1:2" ht="18.75">
      <c r="A6661" s="12" t="s">
        <v>476</v>
      </c>
      <c r="B6661" s="1" t="s">
        <v>7110</v>
      </c>
    </row>
    <row r="6662" spans="1:2" ht="18.75">
      <c r="A6662" s="12" t="s">
        <v>477</v>
      </c>
      <c r="B6662" s="1" t="s">
        <v>7110</v>
      </c>
    </row>
    <row r="6663" spans="1:2" ht="18.75">
      <c r="A6663" s="12" t="s">
        <v>478</v>
      </c>
      <c r="B6663" s="1" t="s">
        <v>7110</v>
      </c>
    </row>
    <row r="6664" spans="1:2" ht="18.75">
      <c r="A6664" s="12" t="s">
        <v>479</v>
      </c>
      <c r="B6664" s="1" t="s">
        <v>7110</v>
      </c>
    </row>
    <row r="6665" spans="1:2" ht="18.75">
      <c r="A6665" s="12" t="s">
        <v>480</v>
      </c>
      <c r="B6665" s="1" t="s">
        <v>7110</v>
      </c>
    </row>
    <row r="6666" spans="1:2" ht="18.75">
      <c r="A6666" s="12" t="s">
        <v>481</v>
      </c>
      <c r="B6666" s="1" t="s">
        <v>7110</v>
      </c>
    </row>
    <row r="6667" spans="1:2" ht="18.75">
      <c r="A6667" s="12" t="s">
        <v>482</v>
      </c>
      <c r="B6667" s="1" t="s">
        <v>7110</v>
      </c>
    </row>
    <row r="6668" spans="1:2" ht="18.75">
      <c r="A6668" s="12" t="s">
        <v>495</v>
      </c>
      <c r="B6668" s="1" t="s">
        <v>7110</v>
      </c>
    </row>
    <row r="6669" spans="1:2" ht="18.75">
      <c r="A6669" s="12" t="s">
        <v>419</v>
      </c>
      <c r="B6669" s="1" t="s">
        <v>7110</v>
      </c>
    </row>
    <row r="6670" spans="1:2" ht="18.75">
      <c r="A6670" s="12" t="s">
        <v>419</v>
      </c>
      <c r="B6670" s="1" t="s">
        <v>7110</v>
      </c>
    </row>
    <row r="6671" spans="1:2" ht="18.75">
      <c r="A6671" s="12" t="s">
        <v>1391</v>
      </c>
      <c r="B6671" s="1" t="s">
        <v>7110</v>
      </c>
    </row>
    <row r="6672" spans="1:2" ht="18.75">
      <c r="A6672" s="12" t="s">
        <v>1074</v>
      </c>
      <c r="B6672" s="1" t="s">
        <v>7110</v>
      </c>
    </row>
    <row r="6673" spans="1:2" ht="18.75">
      <c r="A6673" s="12" t="s">
        <v>1075</v>
      </c>
      <c r="B6673" s="1" t="s">
        <v>7110</v>
      </c>
    </row>
    <row r="6674" spans="1:2" ht="18.75">
      <c r="A6674" s="12" t="s">
        <v>1076</v>
      </c>
      <c r="B6674" s="1" t="s">
        <v>7110</v>
      </c>
    </row>
    <row r="6675" spans="1:2" ht="18.75">
      <c r="A6675" s="12" t="s">
        <v>1075</v>
      </c>
      <c r="B6675" s="1" t="s">
        <v>7110</v>
      </c>
    </row>
    <row r="6676" spans="1:2" ht="18.75">
      <c r="A6676" s="12" t="s">
        <v>1076</v>
      </c>
      <c r="B6676" s="1" t="s">
        <v>7110</v>
      </c>
    </row>
    <row r="6677" spans="1:2" ht="18.75">
      <c r="A6677" s="12" t="s">
        <v>1076</v>
      </c>
      <c r="B6677" s="1" t="s">
        <v>7110</v>
      </c>
    </row>
    <row r="6678" spans="1:2" ht="18.75">
      <c r="A6678" s="12" t="s">
        <v>1075</v>
      </c>
      <c r="B6678" s="1" t="s">
        <v>7110</v>
      </c>
    </row>
    <row r="6679" spans="1:2" ht="18.75">
      <c r="A6679" s="12" t="s">
        <v>1075</v>
      </c>
      <c r="B6679" s="1" t="s">
        <v>7110</v>
      </c>
    </row>
    <row r="6680" spans="1:2" ht="18.75">
      <c r="A6680" s="12" t="s">
        <v>1076</v>
      </c>
      <c r="B6680" s="1" t="s">
        <v>7110</v>
      </c>
    </row>
    <row r="6681" spans="1:2" ht="18.75">
      <c r="A6681" s="12" t="s">
        <v>1075</v>
      </c>
      <c r="B6681" s="1" t="s">
        <v>7110</v>
      </c>
    </row>
    <row r="6682" spans="1:2" ht="18.75">
      <c r="A6682" s="12" t="s">
        <v>1075</v>
      </c>
      <c r="B6682" s="1" t="s">
        <v>7110</v>
      </c>
    </row>
    <row r="6683" spans="1:2" ht="18.75">
      <c r="A6683" s="12" t="s">
        <v>1075</v>
      </c>
      <c r="B6683" s="1" t="s">
        <v>7110</v>
      </c>
    </row>
    <row r="6684" spans="1:2" ht="18.75">
      <c r="A6684" s="12" t="s">
        <v>1075</v>
      </c>
      <c r="B6684" s="1" t="s">
        <v>7110</v>
      </c>
    </row>
    <row r="6685" spans="1:2" ht="18.75">
      <c r="A6685" s="12" t="s">
        <v>1075</v>
      </c>
      <c r="B6685" s="1" t="s">
        <v>7110</v>
      </c>
    </row>
    <row r="6686" spans="1:2" ht="18.75">
      <c r="A6686" s="12" t="s">
        <v>1075</v>
      </c>
      <c r="B6686" s="1" t="s">
        <v>7110</v>
      </c>
    </row>
    <row r="6687" spans="1:2" ht="18.75">
      <c r="A6687" s="12" t="s">
        <v>1076</v>
      </c>
      <c r="B6687" s="1" t="s">
        <v>7110</v>
      </c>
    </row>
    <row r="6688" spans="1:2" ht="18.75">
      <c r="A6688" s="12" t="s">
        <v>1075</v>
      </c>
      <c r="B6688" s="1" t="s">
        <v>7110</v>
      </c>
    </row>
    <row r="6689" spans="1:2" ht="18.75">
      <c r="A6689" s="12" t="s">
        <v>1075</v>
      </c>
      <c r="B6689" s="1" t="s">
        <v>7110</v>
      </c>
    </row>
    <row r="6690" spans="1:2" ht="18.75">
      <c r="A6690" s="12" t="s">
        <v>1075</v>
      </c>
      <c r="B6690" s="1" t="s">
        <v>7110</v>
      </c>
    </row>
    <row r="6691" spans="1:2" ht="18.75">
      <c r="A6691" s="12" t="s">
        <v>1075</v>
      </c>
      <c r="B6691" s="1" t="s">
        <v>7110</v>
      </c>
    </row>
    <row r="6692" spans="1:2" ht="18.75">
      <c r="A6692" s="12" t="s">
        <v>1075</v>
      </c>
      <c r="B6692" s="1" t="s">
        <v>7110</v>
      </c>
    </row>
    <row r="6693" spans="1:2" ht="18.75">
      <c r="A6693" s="12" t="s">
        <v>1075</v>
      </c>
      <c r="B6693" s="1" t="s">
        <v>7110</v>
      </c>
    </row>
    <row r="6694" spans="1:2" ht="18.75">
      <c r="A6694" s="12" t="s">
        <v>1076</v>
      </c>
      <c r="B6694" s="1" t="s">
        <v>7110</v>
      </c>
    </row>
    <row r="6695" spans="1:2" ht="18.75">
      <c r="A6695" s="12" t="s">
        <v>1075</v>
      </c>
      <c r="B6695" s="1" t="s">
        <v>7110</v>
      </c>
    </row>
    <row r="6696" spans="1:2" ht="18.75">
      <c r="A6696" s="12" t="s">
        <v>1074</v>
      </c>
      <c r="B6696" s="1" t="s">
        <v>7110</v>
      </c>
    </row>
    <row r="6697" spans="1:2" ht="18.75">
      <c r="A6697" s="12" t="s">
        <v>1074</v>
      </c>
      <c r="B6697" s="1" t="s">
        <v>7110</v>
      </c>
    </row>
    <row r="6698" spans="1:2" ht="18.75">
      <c r="A6698" s="12" t="s">
        <v>1074</v>
      </c>
      <c r="B6698" s="1" t="s">
        <v>7110</v>
      </c>
    </row>
    <row r="6699" spans="1:2" ht="18.75">
      <c r="A6699" s="12" t="s">
        <v>1074</v>
      </c>
      <c r="B6699" s="1" t="s">
        <v>7110</v>
      </c>
    </row>
    <row r="6700" spans="1:2" ht="18.75">
      <c r="A6700" s="12" t="s">
        <v>1074</v>
      </c>
      <c r="B6700" s="1" t="s">
        <v>7110</v>
      </c>
    </row>
    <row r="6701" spans="1:2" ht="18.75">
      <c r="A6701" s="12" t="s">
        <v>1074</v>
      </c>
      <c r="B6701" s="1" t="s">
        <v>7110</v>
      </c>
    </row>
    <row r="6702" spans="1:2" ht="18.75">
      <c r="A6702" s="12" t="s">
        <v>1074</v>
      </c>
      <c r="B6702" s="1" t="s">
        <v>7110</v>
      </c>
    </row>
    <row r="6703" spans="1:2" ht="18.75">
      <c r="A6703" s="12" t="s">
        <v>1074</v>
      </c>
      <c r="B6703" s="1" t="s">
        <v>7110</v>
      </c>
    </row>
    <row r="6704" spans="1:2" ht="18.75">
      <c r="A6704" s="12" t="s">
        <v>1074</v>
      </c>
      <c r="B6704" s="1" t="s">
        <v>7110</v>
      </c>
    </row>
    <row r="6705" spans="1:2" ht="18.75">
      <c r="A6705" s="12" t="s">
        <v>1074</v>
      </c>
      <c r="B6705" s="1" t="s">
        <v>7110</v>
      </c>
    </row>
    <row r="6706" spans="1:2" ht="18.75">
      <c r="A6706" s="12" t="s">
        <v>1074</v>
      </c>
      <c r="B6706" s="1" t="s">
        <v>7110</v>
      </c>
    </row>
    <row r="6707" spans="1:2" ht="18.75">
      <c r="A6707" s="12" t="s">
        <v>1074</v>
      </c>
      <c r="B6707" s="1" t="s">
        <v>7110</v>
      </c>
    </row>
    <row r="6708" spans="1:2" ht="18.75">
      <c r="A6708" s="12" t="s">
        <v>1074</v>
      </c>
      <c r="B6708" s="1" t="s">
        <v>7110</v>
      </c>
    </row>
    <row r="6709" spans="1:2" ht="18.75">
      <c r="A6709" s="12" t="s">
        <v>1074</v>
      </c>
      <c r="B6709" s="1" t="s">
        <v>7110</v>
      </c>
    </row>
    <row r="6710" spans="1:2" ht="18.75">
      <c r="A6710" s="12" t="s">
        <v>1074</v>
      </c>
      <c r="B6710" s="1" t="s">
        <v>7110</v>
      </c>
    </row>
    <row r="6711" spans="1:2" ht="18.75">
      <c r="A6711" s="12" t="s">
        <v>1074</v>
      </c>
      <c r="B6711" s="1" t="s">
        <v>7110</v>
      </c>
    </row>
    <row r="6712" spans="1:2" ht="18.75">
      <c r="A6712" s="12" t="s">
        <v>1075</v>
      </c>
      <c r="B6712" s="1" t="s">
        <v>7110</v>
      </c>
    </row>
    <row r="6713" spans="1:2" ht="18.75">
      <c r="A6713" s="12" t="s">
        <v>1075</v>
      </c>
      <c r="B6713" s="1" t="s">
        <v>7110</v>
      </c>
    </row>
    <row r="6714" spans="1:2" ht="18.75">
      <c r="A6714" s="12" t="s">
        <v>1075</v>
      </c>
      <c r="B6714" s="1" t="s">
        <v>7110</v>
      </c>
    </row>
    <row r="6715" spans="1:2" ht="18.75">
      <c r="A6715" s="12" t="s">
        <v>1075</v>
      </c>
      <c r="B6715" s="1" t="s">
        <v>7110</v>
      </c>
    </row>
    <row r="6716" spans="1:2" ht="18.75">
      <c r="A6716" s="12" t="s">
        <v>1075</v>
      </c>
      <c r="B6716" s="1" t="s">
        <v>7110</v>
      </c>
    </row>
    <row r="6717" spans="1:2" ht="18.75">
      <c r="A6717" s="12" t="s">
        <v>1075</v>
      </c>
      <c r="B6717" s="1" t="s">
        <v>7110</v>
      </c>
    </row>
    <row r="6718" spans="1:2" ht="18.75">
      <c r="A6718" s="12" t="s">
        <v>1075</v>
      </c>
      <c r="B6718" s="1" t="s">
        <v>7110</v>
      </c>
    </row>
    <row r="6719" spans="1:2" ht="18.75">
      <c r="A6719" s="12" t="s">
        <v>260</v>
      </c>
      <c r="B6719" s="1" t="s">
        <v>7110</v>
      </c>
    </row>
    <row r="6720" spans="1:2" ht="18.75">
      <c r="A6720" s="12" t="s">
        <v>260</v>
      </c>
      <c r="B6720" s="1" t="s">
        <v>7110</v>
      </c>
    </row>
    <row r="6721" spans="1:2" ht="18.75">
      <c r="A6721" s="12" t="s">
        <v>260</v>
      </c>
      <c r="B6721" s="1" t="s">
        <v>7110</v>
      </c>
    </row>
    <row r="6722" spans="1:2" ht="18.75">
      <c r="A6722" s="12" t="s">
        <v>260</v>
      </c>
      <c r="B6722" s="1" t="s">
        <v>7110</v>
      </c>
    </row>
    <row r="6723" spans="1:2" ht="18.75">
      <c r="A6723" s="12" t="s">
        <v>260</v>
      </c>
      <c r="B6723" s="1" t="s">
        <v>7110</v>
      </c>
    </row>
    <row r="6724" spans="1:2" ht="18.75">
      <c r="A6724" s="12" t="s">
        <v>274</v>
      </c>
      <c r="B6724" s="1" t="s">
        <v>7110</v>
      </c>
    </row>
    <row r="6725" spans="1:2" ht="18.75">
      <c r="A6725" s="12" t="s">
        <v>280</v>
      </c>
      <c r="B6725" s="1" t="s">
        <v>7110</v>
      </c>
    </row>
    <row r="6726" spans="1:2" ht="18.75">
      <c r="A6726" s="12" t="s">
        <v>296</v>
      </c>
      <c r="B6726" s="1" t="s">
        <v>7110</v>
      </c>
    </row>
    <row r="6727" spans="1:2" ht="18.75">
      <c r="A6727" s="12" t="s">
        <v>296</v>
      </c>
      <c r="B6727" s="1" t="s">
        <v>7110</v>
      </c>
    </row>
    <row r="6728" spans="1:2" ht="18.75">
      <c r="A6728" s="12" t="s">
        <v>298</v>
      </c>
      <c r="B6728" s="1" t="s">
        <v>7110</v>
      </c>
    </row>
    <row r="6729" spans="1:2" ht="18.75">
      <c r="A6729" s="12" t="s">
        <v>296</v>
      </c>
      <c r="B6729" s="1" t="s">
        <v>7110</v>
      </c>
    </row>
    <row r="6730" spans="1:2" ht="18.75">
      <c r="A6730" s="12" t="s">
        <v>280</v>
      </c>
      <c r="B6730" s="1" t="s">
        <v>7110</v>
      </c>
    </row>
    <row r="6731" spans="1:2" ht="18.75">
      <c r="A6731" s="12" t="s">
        <v>280</v>
      </c>
      <c r="B6731" s="1" t="s">
        <v>7110</v>
      </c>
    </row>
    <row r="6732" spans="1:2" ht="18.75">
      <c r="A6732" s="12" t="s">
        <v>280</v>
      </c>
      <c r="B6732" s="1" t="s">
        <v>7110</v>
      </c>
    </row>
    <row r="6733" spans="1:2" ht="18.75">
      <c r="A6733" s="12" t="s">
        <v>317</v>
      </c>
      <c r="B6733" s="1" t="s">
        <v>7110</v>
      </c>
    </row>
    <row r="6734" spans="1:2" ht="18.75">
      <c r="A6734" s="12" t="s">
        <v>325</v>
      </c>
      <c r="B6734" s="1" t="s">
        <v>7110</v>
      </c>
    </row>
    <row r="6735" spans="1:2" ht="18.75">
      <c r="A6735" s="12" t="s">
        <v>274</v>
      </c>
      <c r="B6735" s="1" t="s">
        <v>7110</v>
      </c>
    </row>
    <row r="6736" spans="1:2" ht="18.75">
      <c r="A6736" s="12" t="s">
        <v>274</v>
      </c>
      <c r="B6736" s="1" t="s">
        <v>7110</v>
      </c>
    </row>
    <row r="6737" spans="1:2" ht="18.75">
      <c r="A6737" s="12" t="s">
        <v>260</v>
      </c>
      <c r="B6737" s="1" t="s">
        <v>7110</v>
      </c>
    </row>
    <row r="6738" spans="1:2" ht="18.75">
      <c r="A6738" s="12" t="s">
        <v>274</v>
      </c>
      <c r="B6738" s="1" t="s">
        <v>7110</v>
      </c>
    </row>
    <row r="6739" spans="1:2" ht="18.75">
      <c r="A6739" s="12" t="s">
        <v>274</v>
      </c>
      <c r="B6739" s="1" t="s">
        <v>7110</v>
      </c>
    </row>
    <row r="6740" spans="1:2" ht="18.75">
      <c r="A6740" s="12" t="s">
        <v>274</v>
      </c>
      <c r="B6740" s="1" t="s">
        <v>7110</v>
      </c>
    </row>
    <row r="6741" spans="1:2" ht="18.75">
      <c r="A6741" s="12" t="s">
        <v>325</v>
      </c>
      <c r="B6741" s="1" t="s">
        <v>7110</v>
      </c>
    </row>
    <row r="6742" spans="1:2" ht="18">
      <c r="A6742" s="93" t="s">
        <v>325</v>
      </c>
      <c r="B6742" s="1" t="s">
        <v>7110</v>
      </c>
    </row>
    <row r="6743" spans="1:2" ht="18.75">
      <c r="A6743" s="12" t="s">
        <v>317</v>
      </c>
      <c r="B6743" s="1" t="s">
        <v>7110</v>
      </c>
    </row>
    <row r="6744" spans="1:2" ht="18.75">
      <c r="A6744" s="12" t="s">
        <v>296</v>
      </c>
      <c r="B6744" s="1" t="s">
        <v>7110</v>
      </c>
    </row>
    <row r="6745" spans="1:2" ht="18.75">
      <c r="A6745" s="12" t="s">
        <v>1077</v>
      </c>
      <c r="B6745" s="1" t="s">
        <v>7110</v>
      </c>
    </row>
    <row r="6746" spans="1:2" ht="18.75">
      <c r="A6746" s="12" t="s">
        <v>1421</v>
      </c>
      <c r="B6746" s="1" t="s">
        <v>7110</v>
      </c>
    </row>
    <row r="6747" spans="1:2" ht="18.75">
      <c r="A6747" s="12" t="s">
        <v>1422</v>
      </c>
      <c r="B6747" s="1" t="s">
        <v>7110</v>
      </c>
    </row>
    <row r="6748" spans="1:2" ht="18.75">
      <c r="A6748" s="12" t="s">
        <v>298</v>
      </c>
      <c r="B6748" s="1" t="s">
        <v>7110</v>
      </c>
    </row>
    <row r="6749" spans="1:2" ht="18.75">
      <c r="A6749" s="12" t="s">
        <v>1077</v>
      </c>
      <c r="B6749" s="1" t="s">
        <v>7110</v>
      </c>
    </row>
    <row r="6750" spans="1:2" ht="18.75">
      <c r="A6750" s="12" t="s">
        <v>325</v>
      </c>
      <c r="B6750" s="1" t="s">
        <v>7110</v>
      </c>
    </row>
    <row r="6751" spans="1:2" ht="18.75">
      <c r="A6751" s="12" t="s">
        <v>280</v>
      </c>
      <c r="B6751" s="1" t="s">
        <v>7110</v>
      </c>
    </row>
    <row r="6752" spans="1:2" ht="18.75">
      <c r="A6752" s="12" t="s">
        <v>274</v>
      </c>
      <c r="B6752" s="1" t="s">
        <v>7110</v>
      </c>
    </row>
    <row r="6753" spans="1:2" ht="18.75">
      <c r="A6753" s="12" t="s">
        <v>1077</v>
      </c>
      <c r="B6753" s="1" t="s">
        <v>7110</v>
      </c>
    </row>
    <row r="6754" spans="1:2" ht="18.75">
      <c r="A6754" s="12" t="s">
        <v>1599</v>
      </c>
      <c r="B6754" s="1" t="s">
        <v>7110</v>
      </c>
    </row>
    <row r="6755" spans="1:2" ht="18.75">
      <c r="A6755" s="12" t="s">
        <v>1605</v>
      </c>
      <c r="B6755" s="1" t="s">
        <v>7110</v>
      </c>
    </row>
    <row r="6756" spans="1:2" ht="18.75">
      <c r="A6756" s="12" t="s">
        <v>1803</v>
      </c>
      <c r="B6756" s="1" t="s">
        <v>7110</v>
      </c>
    </row>
    <row r="6757" spans="1:2" ht="18.75">
      <c r="A6757" s="12" t="s">
        <v>2272</v>
      </c>
      <c r="B6757" s="1" t="s">
        <v>7110</v>
      </c>
    </row>
    <row r="6758" spans="1:2" ht="18.75">
      <c r="A6758" s="12" t="s">
        <v>2279</v>
      </c>
      <c r="B6758" s="1" t="s">
        <v>7110</v>
      </c>
    </row>
    <row r="6759" spans="1:2" ht="18.75">
      <c r="A6759" s="12" t="s">
        <v>2272</v>
      </c>
      <c r="B6759" s="1" t="s">
        <v>7110</v>
      </c>
    </row>
    <row r="6760" spans="1:2" ht="18.75">
      <c r="A6760" s="12" t="s">
        <v>2280</v>
      </c>
      <c r="B6760" s="1" t="s">
        <v>7110</v>
      </c>
    </row>
    <row r="6761" spans="1:2" ht="18.75">
      <c r="A6761" s="12" t="s">
        <v>2279</v>
      </c>
      <c r="B6761" s="1" t="s">
        <v>7110</v>
      </c>
    </row>
    <row r="6762" spans="1:2" ht="18.75">
      <c r="A6762" s="12" t="s">
        <v>2279</v>
      </c>
      <c r="B6762" s="1" t="s">
        <v>7110</v>
      </c>
    </row>
    <row r="6763" spans="1:2" ht="18.75">
      <c r="A6763" s="12" t="s">
        <v>2295</v>
      </c>
      <c r="B6763" s="1" t="s">
        <v>7110</v>
      </c>
    </row>
    <row r="6764" spans="1:2" ht="18.75">
      <c r="A6764" s="12" t="s">
        <v>2280</v>
      </c>
      <c r="B6764" s="1" t="s">
        <v>7110</v>
      </c>
    </row>
    <row r="6765" spans="1:2" ht="18.75">
      <c r="A6765" s="12" t="s">
        <v>2304</v>
      </c>
      <c r="B6765" s="1" t="s">
        <v>7110</v>
      </c>
    </row>
    <row r="6766" spans="1:2" ht="18.75">
      <c r="A6766" s="12" t="s">
        <v>2304</v>
      </c>
      <c r="B6766" s="1" t="s">
        <v>7110</v>
      </c>
    </row>
    <row r="6767" spans="1:2" ht="18.75">
      <c r="A6767" s="12" t="s">
        <v>2305</v>
      </c>
      <c r="B6767" s="1" t="s">
        <v>7110</v>
      </c>
    </row>
    <row r="6768" spans="1:2" ht="18.75">
      <c r="A6768" s="12" t="s">
        <v>2280</v>
      </c>
      <c r="B6768" s="1" t="s">
        <v>7110</v>
      </c>
    </row>
    <row r="6769" spans="1:2" ht="18.75">
      <c r="A6769" s="12" t="s">
        <v>2280</v>
      </c>
      <c r="B6769" s="1" t="s">
        <v>7110</v>
      </c>
    </row>
    <row r="6770" spans="1:2" ht="18.75">
      <c r="A6770" s="12" t="s">
        <v>2306</v>
      </c>
      <c r="B6770" s="1" t="s">
        <v>7110</v>
      </c>
    </row>
    <row r="6771" spans="1:2" ht="18.75">
      <c r="A6771" s="12" t="s">
        <v>2308</v>
      </c>
      <c r="B6771" s="1" t="s">
        <v>7110</v>
      </c>
    </row>
    <row r="6772" spans="1:2" ht="18.75">
      <c r="A6772" s="12" t="s">
        <v>2308</v>
      </c>
      <c r="B6772" s="1" t="s">
        <v>7110</v>
      </c>
    </row>
    <row r="6773" spans="1:2" ht="18.75">
      <c r="A6773" s="12" t="s">
        <v>2306</v>
      </c>
      <c r="B6773" s="1" t="s">
        <v>7110</v>
      </c>
    </row>
    <row r="6774" spans="1:2" ht="18">
      <c r="A6774" s="96" t="s">
        <v>908</v>
      </c>
      <c r="B6774" s="1" t="s">
        <v>7110</v>
      </c>
    </row>
    <row r="6775" spans="1:2" ht="18">
      <c r="A6775" s="96" t="s">
        <v>908</v>
      </c>
      <c r="B6775" s="1" t="s">
        <v>7110</v>
      </c>
    </row>
    <row r="6776" spans="1:2" ht="18.75">
      <c r="A6776" s="94" t="s">
        <v>937</v>
      </c>
      <c r="B6776" s="1" t="s">
        <v>7110</v>
      </c>
    </row>
    <row r="6777" spans="1:2" ht="18.75">
      <c r="A6777" s="94" t="s">
        <v>938</v>
      </c>
      <c r="B6777" s="1" t="s">
        <v>7110</v>
      </c>
    </row>
    <row r="6778" spans="1:2" ht="18.75">
      <c r="A6778" s="94" t="s">
        <v>939</v>
      </c>
      <c r="B6778" s="1" t="s">
        <v>7110</v>
      </c>
    </row>
    <row r="6779" spans="1:2" ht="18.75">
      <c r="A6779" s="94" t="s">
        <v>955</v>
      </c>
      <c r="B6779" s="1" t="s">
        <v>7110</v>
      </c>
    </row>
    <row r="6780" spans="1:2" ht="18.75">
      <c r="A6780" s="94" t="s">
        <v>959</v>
      </c>
      <c r="B6780" s="1" t="s">
        <v>7110</v>
      </c>
    </row>
    <row r="6781" spans="1:2" ht="18.75">
      <c r="A6781" s="94" t="s">
        <v>960</v>
      </c>
      <c r="B6781" s="1" t="s">
        <v>7110</v>
      </c>
    </row>
    <row r="6782" spans="1:2" ht="18.75">
      <c r="A6782" s="94" t="s">
        <v>955</v>
      </c>
      <c r="B6782" s="1" t="s">
        <v>7110</v>
      </c>
    </row>
    <row r="6783" spans="1:2" ht="18.75">
      <c r="A6783" s="94" t="s">
        <v>965</v>
      </c>
      <c r="B6783" s="1" t="s">
        <v>7110</v>
      </c>
    </row>
    <row r="6784" spans="1:2" ht="18.75">
      <c r="A6784" s="94" t="s">
        <v>967</v>
      </c>
      <c r="B6784" s="1" t="s">
        <v>7110</v>
      </c>
    </row>
    <row r="6785" spans="1:2" ht="18.75">
      <c r="A6785" s="94" t="s">
        <v>968</v>
      </c>
      <c r="B6785" s="1" t="s">
        <v>7110</v>
      </c>
    </row>
    <row r="6786" spans="1:2" ht="18.75">
      <c r="A6786" s="94" t="s">
        <v>972</v>
      </c>
      <c r="B6786" s="1" t="s">
        <v>7110</v>
      </c>
    </row>
    <row r="6787" spans="1:2" ht="18.75">
      <c r="A6787" s="94" t="s">
        <v>973</v>
      </c>
      <c r="B6787" s="1" t="s">
        <v>7110</v>
      </c>
    </row>
    <row r="6788" spans="1:2" ht="18.75">
      <c r="A6788" s="97" t="s">
        <v>955</v>
      </c>
      <c r="B6788" s="1" t="s">
        <v>7110</v>
      </c>
    </row>
    <row r="6789" spans="1:2" ht="18.75">
      <c r="A6789" s="97" t="s">
        <v>992</v>
      </c>
      <c r="B6789" s="1" t="s">
        <v>7110</v>
      </c>
    </row>
    <row r="6790" spans="1:2" ht="18.75">
      <c r="A6790" s="97" t="s">
        <v>993</v>
      </c>
      <c r="B6790" s="1" t="s">
        <v>7110</v>
      </c>
    </row>
    <row r="6791" spans="1:2" ht="18.75">
      <c r="A6791" s="97" t="s">
        <v>999</v>
      </c>
      <c r="B6791" s="1" t="s">
        <v>7110</v>
      </c>
    </row>
    <row r="6792" spans="1:2" ht="18.75">
      <c r="A6792" s="97" t="s">
        <v>1000</v>
      </c>
      <c r="B6792" s="1" t="s">
        <v>7110</v>
      </c>
    </row>
    <row r="6793" spans="1:2" ht="18.75">
      <c r="A6793" s="97" t="s">
        <v>1001</v>
      </c>
      <c r="B6793" s="1" t="s">
        <v>7110</v>
      </c>
    </row>
    <row r="6794" spans="1:2" ht="18.75">
      <c r="A6794" s="97" t="s">
        <v>1005</v>
      </c>
      <c r="B6794" s="1" t="s">
        <v>7110</v>
      </c>
    </row>
    <row r="6795" spans="1:2" ht="18.75">
      <c r="A6795" s="97" t="s">
        <v>1006</v>
      </c>
      <c r="B6795" s="1" t="s">
        <v>7110</v>
      </c>
    </row>
    <row r="6796" spans="1:2" ht="18.75">
      <c r="A6796" s="97" t="s">
        <v>1007</v>
      </c>
      <c r="B6796" s="1" t="s">
        <v>7110</v>
      </c>
    </row>
    <row r="6797" spans="1:2" ht="18.75">
      <c r="A6797" s="97" t="s">
        <v>955</v>
      </c>
      <c r="B6797" s="1" t="s">
        <v>7110</v>
      </c>
    </row>
    <row r="6798" spans="1:2" ht="18.75">
      <c r="A6798" s="97" t="s">
        <v>1014</v>
      </c>
      <c r="B6798" s="1" t="s">
        <v>7110</v>
      </c>
    </row>
    <row r="6799" spans="1:2" ht="18.75">
      <c r="A6799" s="97" t="s">
        <v>1015</v>
      </c>
      <c r="B6799" s="1" t="s">
        <v>7110</v>
      </c>
    </row>
    <row r="6800" spans="1:2" ht="18.75">
      <c r="A6800" s="97" t="s">
        <v>1016</v>
      </c>
      <c r="B6800" s="1" t="s">
        <v>7110</v>
      </c>
    </row>
    <row r="6801" spans="1:2" ht="18.75">
      <c r="A6801" s="97" t="s">
        <v>1027</v>
      </c>
      <c r="B6801" s="1" t="s">
        <v>7110</v>
      </c>
    </row>
    <row r="6802" spans="1:2" ht="18.75">
      <c r="A6802" s="97" t="s">
        <v>1028</v>
      </c>
      <c r="B6802" s="1" t="s">
        <v>7110</v>
      </c>
    </row>
    <row r="6803" spans="1:2" ht="18.75">
      <c r="A6803" s="97" t="s">
        <v>1014</v>
      </c>
      <c r="B6803" s="1" t="s">
        <v>7110</v>
      </c>
    </row>
    <row r="6804" spans="1:2" ht="18.75">
      <c r="A6804" s="94" t="s">
        <v>1038</v>
      </c>
      <c r="B6804" s="1" t="s">
        <v>7110</v>
      </c>
    </row>
    <row r="6805" spans="1:2" ht="18.75">
      <c r="A6805" s="94" t="s">
        <v>1039</v>
      </c>
      <c r="B6805" s="1" t="s">
        <v>7110</v>
      </c>
    </row>
    <row r="6806" spans="1:2" ht="18.75">
      <c r="A6806" s="94" t="s">
        <v>1039</v>
      </c>
      <c r="B6806" s="1" t="s">
        <v>7110</v>
      </c>
    </row>
    <row r="6807" spans="1:2" ht="18.75">
      <c r="A6807" s="94" t="s">
        <v>1045</v>
      </c>
      <c r="B6807" s="1" t="s">
        <v>7110</v>
      </c>
    </row>
    <row r="6808" spans="1:2" ht="18.75">
      <c r="A6808" s="94" t="s">
        <v>1006</v>
      </c>
      <c r="B6808" s="1" t="s">
        <v>7110</v>
      </c>
    </row>
    <row r="6809" spans="1:2" ht="18.75">
      <c r="A6809" s="94" t="s">
        <v>939</v>
      </c>
      <c r="B6809" s="1" t="s">
        <v>7110</v>
      </c>
    </row>
    <row r="6810" spans="1:2" ht="18.75">
      <c r="A6810" s="94" t="s">
        <v>968</v>
      </c>
      <c r="B6810" s="1" t="s">
        <v>7110</v>
      </c>
    </row>
    <row r="6811" spans="1:2" ht="18.75">
      <c r="A6811" s="94" t="s">
        <v>1051</v>
      </c>
      <c r="B6811" s="1" t="s">
        <v>7110</v>
      </c>
    </row>
    <row r="6812" spans="1:2" ht="18.75">
      <c r="A6812" s="94" t="s">
        <v>1055</v>
      </c>
      <c r="B6812" s="1" t="s">
        <v>7110</v>
      </c>
    </row>
    <row r="6813" spans="1:2" ht="18.75">
      <c r="A6813" s="94" t="s">
        <v>1038</v>
      </c>
      <c r="B6813" s="1" t="s">
        <v>7110</v>
      </c>
    </row>
    <row r="6814" spans="1:2" ht="18.75">
      <c r="A6814" s="94" t="s">
        <v>1059</v>
      </c>
      <c r="B6814" s="1" t="s">
        <v>7110</v>
      </c>
    </row>
    <row r="6815" spans="1:2" ht="18.75">
      <c r="A6815" s="94" t="s">
        <v>955</v>
      </c>
      <c r="B6815" s="1" t="s">
        <v>7110</v>
      </c>
    </row>
    <row r="6816" spans="1:2" ht="18.75">
      <c r="A6816" s="94" t="s">
        <v>938</v>
      </c>
      <c r="B6816" s="1" t="s">
        <v>7110</v>
      </c>
    </row>
    <row r="6817" spans="1:2" ht="18.75">
      <c r="A6817" s="94" t="s">
        <v>968</v>
      </c>
      <c r="B6817" s="1" t="s">
        <v>7110</v>
      </c>
    </row>
    <row r="6818" spans="1:2" ht="18.75">
      <c r="A6818" s="98" t="s">
        <v>1061</v>
      </c>
      <c r="B6818" s="1" t="s">
        <v>7110</v>
      </c>
    </row>
    <row r="6819" spans="1:2" ht="18.75">
      <c r="A6819" s="98" t="s">
        <v>1062</v>
      </c>
      <c r="B6819" s="1" t="s">
        <v>7110</v>
      </c>
    </row>
    <row r="6820" spans="1:2" ht="18.75">
      <c r="A6820" s="94" t="s">
        <v>1070</v>
      </c>
      <c r="B6820" s="1" t="s">
        <v>7110</v>
      </c>
    </row>
    <row r="6821" spans="1:2" ht="18.75">
      <c r="A6821" s="94" t="s">
        <v>1006</v>
      </c>
      <c r="B6821" s="1" t="s">
        <v>7110</v>
      </c>
    </row>
    <row r="6822" spans="1:2" ht="18.75">
      <c r="A6822" s="94" t="s">
        <v>1071</v>
      </c>
      <c r="B6822" s="1" t="s">
        <v>7110</v>
      </c>
    </row>
    <row r="6823" spans="1:2" ht="18.75">
      <c r="A6823" s="94" t="s">
        <v>1072</v>
      </c>
      <c r="B6823" s="1" t="s">
        <v>7110</v>
      </c>
    </row>
    <row r="6824" spans="1:2" ht="18.75">
      <c r="A6824" s="94" t="s">
        <v>1083</v>
      </c>
      <c r="B6824" s="1" t="s">
        <v>7110</v>
      </c>
    </row>
    <row r="6825" spans="1:2" ht="18.75">
      <c r="A6825" s="94" t="s">
        <v>1084</v>
      </c>
      <c r="B6825" s="1" t="s">
        <v>7110</v>
      </c>
    </row>
    <row r="6826" spans="1:2" ht="18.75">
      <c r="A6826" s="94" t="s">
        <v>1088</v>
      </c>
      <c r="B6826" s="1" t="s">
        <v>7110</v>
      </c>
    </row>
    <row r="6827" spans="1:2" ht="18.75">
      <c r="A6827" s="94" t="s">
        <v>994</v>
      </c>
      <c r="B6827" s="1" t="s">
        <v>7110</v>
      </c>
    </row>
    <row r="6828" spans="1:2" ht="18.75">
      <c r="A6828" s="94" t="s">
        <v>1089</v>
      </c>
      <c r="B6828" s="1" t="s">
        <v>7110</v>
      </c>
    </row>
    <row r="6829" spans="1:2" ht="18.75">
      <c r="A6829" s="94" t="s">
        <v>1090</v>
      </c>
      <c r="B6829" s="1" t="s">
        <v>7110</v>
      </c>
    </row>
    <row r="6830" spans="1:2" ht="18.75">
      <c r="A6830" s="94" t="s">
        <v>1090</v>
      </c>
      <c r="B6830" s="1" t="s">
        <v>7110</v>
      </c>
    </row>
    <row r="6831" spans="1:2" ht="18.75">
      <c r="A6831" s="94" t="s">
        <v>1100</v>
      </c>
      <c r="B6831" s="1" t="s">
        <v>7110</v>
      </c>
    </row>
    <row r="6832" spans="1:2" ht="18.75">
      <c r="A6832" s="94" t="s">
        <v>1103</v>
      </c>
      <c r="B6832" s="1" t="s">
        <v>7110</v>
      </c>
    </row>
    <row r="6833" spans="1:2" ht="18.75">
      <c r="A6833" s="94" t="s">
        <v>1107</v>
      </c>
      <c r="B6833" s="1" t="s">
        <v>7110</v>
      </c>
    </row>
    <row r="6834" spans="1:2" ht="18.75">
      <c r="A6834" s="94" t="s">
        <v>1111</v>
      </c>
      <c r="B6834" s="1" t="s">
        <v>7110</v>
      </c>
    </row>
    <row r="6835" spans="1:2" ht="18.75">
      <c r="A6835" s="94" t="s">
        <v>1113</v>
      </c>
      <c r="B6835" s="1" t="s">
        <v>7110</v>
      </c>
    </row>
    <row r="6836" spans="1:2" ht="18.75">
      <c r="A6836" s="94" t="s">
        <v>1114</v>
      </c>
      <c r="B6836" s="1" t="s">
        <v>7110</v>
      </c>
    </row>
    <row r="6837" spans="1:2" ht="18.75">
      <c r="A6837" s="94" t="s">
        <v>1116</v>
      </c>
      <c r="B6837" s="1" t="s">
        <v>7110</v>
      </c>
    </row>
    <row r="6838" spans="1:2" ht="18.75">
      <c r="A6838" s="94" t="s">
        <v>1116</v>
      </c>
      <c r="B6838" s="1" t="s">
        <v>7110</v>
      </c>
    </row>
    <row r="6839" spans="1:2" ht="18.75">
      <c r="A6839" s="94" t="s">
        <v>1117</v>
      </c>
      <c r="B6839" s="1" t="s">
        <v>7110</v>
      </c>
    </row>
    <row r="6840" spans="1:2" ht="18.75">
      <c r="A6840" s="94" t="s">
        <v>1118</v>
      </c>
      <c r="B6840" s="1" t="s">
        <v>7110</v>
      </c>
    </row>
    <row r="6841" spans="1:2" ht="18.75">
      <c r="A6841" s="94" t="s">
        <v>1090</v>
      </c>
      <c r="B6841" s="1" t="s">
        <v>7110</v>
      </c>
    </row>
    <row r="6842" spans="1:2" ht="18.75">
      <c r="A6842" s="94" t="s">
        <v>1111</v>
      </c>
      <c r="B6842" s="1" t="s">
        <v>7110</v>
      </c>
    </row>
    <row r="6843" spans="1:2" ht="18.75">
      <c r="A6843" s="94" t="s">
        <v>1121</v>
      </c>
      <c r="B6843" s="1" t="s">
        <v>7110</v>
      </c>
    </row>
    <row r="6844" spans="1:2" ht="18.75">
      <c r="A6844" s="94" t="s">
        <v>1122</v>
      </c>
      <c r="B6844" s="1" t="s">
        <v>7110</v>
      </c>
    </row>
    <row r="6845" spans="1:2" ht="18.75">
      <c r="A6845" s="94" t="s">
        <v>1123</v>
      </c>
      <c r="B6845" s="1" t="s">
        <v>7110</v>
      </c>
    </row>
    <row r="6846" spans="1:2" ht="18.75">
      <c r="A6846" s="94" t="s">
        <v>1132</v>
      </c>
      <c r="B6846" s="1" t="s">
        <v>7110</v>
      </c>
    </row>
    <row r="6847" spans="1:2" ht="18.75">
      <c r="A6847" s="94" t="s">
        <v>1100</v>
      </c>
      <c r="B6847" s="1" t="s">
        <v>7110</v>
      </c>
    </row>
    <row r="6848" spans="1:2" ht="18.75">
      <c r="A6848" s="94" t="s">
        <v>1100</v>
      </c>
      <c r="B6848" s="1" t="s">
        <v>7110</v>
      </c>
    </row>
    <row r="6849" spans="1:2" ht="18.75">
      <c r="A6849" s="94" t="s">
        <v>1089</v>
      </c>
      <c r="B6849" s="1" t="s">
        <v>7110</v>
      </c>
    </row>
    <row r="6850" spans="1:2" ht="18.75">
      <c r="A6850" s="94" t="s">
        <v>1100</v>
      </c>
      <c r="B6850" s="1" t="s">
        <v>7110</v>
      </c>
    </row>
    <row r="6851" spans="1:2" ht="18.75">
      <c r="A6851" s="94" t="s">
        <v>1138</v>
      </c>
      <c r="B6851" s="1" t="s">
        <v>7110</v>
      </c>
    </row>
    <row r="6852" spans="1:2" ht="18.75">
      <c r="A6852" s="94" t="s">
        <v>1103</v>
      </c>
      <c r="B6852" s="1" t="s">
        <v>7110</v>
      </c>
    </row>
    <row r="6853" spans="1:2" ht="18.75">
      <c r="A6853" s="94" t="s">
        <v>1139</v>
      </c>
      <c r="B6853" s="1" t="s">
        <v>7110</v>
      </c>
    </row>
    <row r="6854" spans="1:2" ht="18.75">
      <c r="A6854" s="94" t="s">
        <v>1208</v>
      </c>
      <c r="B6854" s="1" t="s">
        <v>7110</v>
      </c>
    </row>
    <row r="6855" spans="1:2" ht="18.75">
      <c r="A6855" s="94" t="s">
        <v>1210</v>
      </c>
      <c r="B6855" s="1" t="s">
        <v>7110</v>
      </c>
    </row>
    <row r="6856" spans="1:2" ht="18.75">
      <c r="A6856" s="94" t="s">
        <v>1211</v>
      </c>
      <c r="B6856" s="1" t="s">
        <v>7110</v>
      </c>
    </row>
    <row r="6857" spans="1:2" ht="18.75">
      <c r="A6857" s="94" t="s">
        <v>1212</v>
      </c>
      <c r="B6857" s="1" t="s">
        <v>7110</v>
      </c>
    </row>
    <row r="6858" spans="1:2" ht="18.75">
      <c r="A6858" s="94" t="s">
        <v>1211</v>
      </c>
      <c r="B6858" s="1" t="s">
        <v>7110</v>
      </c>
    </row>
    <row r="6859" spans="1:2" ht="18.75">
      <c r="A6859" s="94" t="s">
        <v>1212</v>
      </c>
      <c r="B6859" s="1" t="s">
        <v>7110</v>
      </c>
    </row>
    <row r="6860" spans="1:2" ht="18.75">
      <c r="A6860" s="94" t="s">
        <v>1212</v>
      </c>
      <c r="B6860" s="1" t="s">
        <v>7110</v>
      </c>
    </row>
    <row r="6861" spans="1:2" ht="18.75">
      <c r="A6861" s="94" t="s">
        <v>1217</v>
      </c>
      <c r="B6861" s="1" t="s">
        <v>7110</v>
      </c>
    </row>
    <row r="6862" spans="1:2" ht="18.75">
      <c r="A6862" s="94" t="s">
        <v>1217</v>
      </c>
      <c r="B6862" s="1" t="s">
        <v>7110</v>
      </c>
    </row>
    <row r="6863" spans="1:2" ht="18.75">
      <c r="A6863" s="94" t="s">
        <v>1217</v>
      </c>
      <c r="B6863" s="1" t="s">
        <v>7110</v>
      </c>
    </row>
    <row r="6864" spans="1:2" ht="18.75">
      <c r="A6864" s="94" t="s">
        <v>1217</v>
      </c>
      <c r="B6864" s="1" t="s">
        <v>7110</v>
      </c>
    </row>
    <row r="6865" spans="1:2" ht="18.75">
      <c r="A6865" s="94" t="s">
        <v>1219</v>
      </c>
      <c r="B6865" s="1" t="s">
        <v>7110</v>
      </c>
    </row>
    <row r="6866" spans="1:2" ht="18.75">
      <c r="A6866" s="94" t="s">
        <v>1212</v>
      </c>
      <c r="B6866" s="1" t="s">
        <v>7110</v>
      </c>
    </row>
    <row r="6867" spans="1:2" ht="18.75">
      <c r="A6867" s="94" t="s">
        <v>1212</v>
      </c>
      <c r="B6867" s="1" t="s">
        <v>7110</v>
      </c>
    </row>
    <row r="6868" spans="1:2" ht="18.75">
      <c r="A6868" s="94" t="s">
        <v>1224</v>
      </c>
      <c r="B6868" s="1" t="s">
        <v>7110</v>
      </c>
    </row>
    <row r="6869" spans="1:2" ht="18.75">
      <c r="A6869" s="94" t="s">
        <v>1219</v>
      </c>
      <c r="B6869" s="1" t="s">
        <v>7110</v>
      </c>
    </row>
    <row r="6870" spans="1:2" ht="18.75">
      <c r="A6870" s="94" t="s">
        <v>1225</v>
      </c>
      <c r="B6870" s="1" t="s">
        <v>7110</v>
      </c>
    </row>
    <row r="6871" spans="1:2" ht="18.75">
      <c r="A6871" s="94" t="s">
        <v>1225</v>
      </c>
      <c r="B6871" s="1" t="s">
        <v>7110</v>
      </c>
    </row>
    <row r="6872" spans="1:2" ht="18.75">
      <c r="A6872" s="94" t="s">
        <v>1226</v>
      </c>
      <c r="B6872" s="1" t="s">
        <v>7110</v>
      </c>
    </row>
    <row r="6873" spans="1:2" ht="18.75">
      <c r="A6873" s="94" t="s">
        <v>1227</v>
      </c>
      <c r="B6873" s="1" t="s">
        <v>7110</v>
      </c>
    </row>
    <row r="6874" spans="1:2" ht="18.75">
      <c r="A6874" s="94" t="s">
        <v>1227</v>
      </c>
      <c r="B6874" s="1" t="s">
        <v>7110</v>
      </c>
    </row>
    <row r="6875" spans="1:2" ht="18.75">
      <c r="A6875" s="94" t="s">
        <v>1210</v>
      </c>
      <c r="B6875" s="1" t="s">
        <v>7110</v>
      </c>
    </row>
    <row r="6876" spans="1:2" ht="18.75">
      <c r="A6876" s="94" t="s">
        <v>1210</v>
      </c>
      <c r="B6876" s="1" t="s">
        <v>7110</v>
      </c>
    </row>
    <row r="6877" spans="1:2" ht="18.75">
      <c r="A6877" s="94" t="s">
        <v>1226</v>
      </c>
      <c r="B6877" s="1" t="s">
        <v>7110</v>
      </c>
    </row>
    <row r="6878" spans="1:2" ht="18.75">
      <c r="A6878" s="94" t="s">
        <v>1226</v>
      </c>
      <c r="B6878" s="1" t="s">
        <v>7110</v>
      </c>
    </row>
    <row r="6879" spans="1:2" ht="18.75">
      <c r="A6879" s="94" t="s">
        <v>1170</v>
      </c>
      <c r="B6879" s="1" t="s">
        <v>7110</v>
      </c>
    </row>
    <row r="6880" spans="1:2" ht="18.75">
      <c r="A6880" s="94" t="s">
        <v>908</v>
      </c>
      <c r="B6880" s="1" t="s">
        <v>7110</v>
      </c>
    </row>
    <row r="6881" spans="1:2" ht="18.75">
      <c r="A6881" s="94" t="s">
        <v>1184</v>
      </c>
      <c r="B6881" s="1" t="s">
        <v>7110</v>
      </c>
    </row>
    <row r="6882" spans="1:2" ht="18.75">
      <c r="A6882" s="94" t="s">
        <v>1183</v>
      </c>
      <c r="B6882" s="1" t="s">
        <v>7110</v>
      </c>
    </row>
    <row r="6883" spans="1:2" ht="18.75">
      <c r="A6883" s="94" t="s">
        <v>1088</v>
      </c>
      <c r="B6883" s="1" t="s">
        <v>7110</v>
      </c>
    </row>
    <row r="6884" spans="1:2" ht="18.75">
      <c r="A6884" s="94" t="s">
        <v>1038</v>
      </c>
      <c r="B6884" s="1" t="s">
        <v>7110</v>
      </c>
    </row>
    <row r="6885" spans="1:2" ht="18.75">
      <c r="A6885" s="94" t="s">
        <v>1170</v>
      </c>
      <c r="B6885" s="1" t="s">
        <v>7110</v>
      </c>
    </row>
    <row r="6886" spans="1:2" ht="18.75">
      <c r="A6886" s="94" t="s">
        <v>1071</v>
      </c>
      <c r="B6886" s="1" t="s">
        <v>7110</v>
      </c>
    </row>
    <row r="6887" spans="1:2" ht="18.75">
      <c r="A6887" s="94" t="s">
        <v>1171</v>
      </c>
      <c r="B6887" s="1" t="s">
        <v>7110</v>
      </c>
    </row>
    <row r="6888" spans="1:2" ht="18.75">
      <c r="A6888" s="94" t="s">
        <v>1051</v>
      </c>
      <c r="B6888" s="1" t="s">
        <v>7110</v>
      </c>
    </row>
    <row r="6889" spans="1:2" ht="18.75">
      <c r="A6889" s="94" t="s">
        <v>1169</v>
      </c>
      <c r="B6889" s="1" t="s">
        <v>7110</v>
      </c>
    </row>
    <row r="6890" spans="1:2" ht="18.75">
      <c r="A6890" s="94" t="s">
        <v>1168</v>
      </c>
      <c r="B6890" s="1" t="s">
        <v>7110</v>
      </c>
    </row>
    <row r="6891" spans="1:2" ht="18.75">
      <c r="A6891" s="94" t="s">
        <v>1150</v>
      </c>
      <c r="B6891" s="1" t="s">
        <v>7110</v>
      </c>
    </row>
    <row r="6892" spans="1:2" ht="18.75">
      <c r="A6892" s="94" t="s">
        <v>1088</v>
      </c>
      <c r="B6892" s="1" t="s">
        <v>7110</v>
      </c>
    </row>
    <row r="6893" spans="1:2" ht="18.75">
      <c r="A6893" s="94" t="s">
        <v>1155</v>
      </c>
      <c r="B6893" s="1" t="s">
        <v>7110</v>
      </c>
    </row>
    <row r="6894" spans="1:2" ht="18.75">
      <c r="A6894" s="94" t="s">
        <v>1051</v>
      </c>
      <c r="B6894" s="1" t="s">
        <v>7110</v>
      </c>
    </row>
    <row r="6895" spans="1:2" ht="18.75">
      <c r="A6895" s="94" t="s">
        <v>1107</v>
      </c>
      <c r="B6895" s="1" t="s">
        <v>7110</v>
      </c>
    </row>
    <row r="6896" spans="1:2" ht="18.75">
      <c r="A6896" s="94" t="s">
        <v>1154</v>
      </c>
      <c r="B6896" s="1" t="s">
        <v>7110</v>
      </c>
    </row>
    <row r="6897" spans="1:2" ht="18.75">
      <c r="A6897" s="94" t="s">
        <v>1149</v>
      </c>
      <c r="B6897" s="1" t="s">
        <v>7110</v>
      </c>
    </row>
    <row r="6898" spans="1:2" ht="18.75">
      <c r="A6898" s="94" t="s">
        <v>1149</v>
      </c>
      <c r="B6898" s="1" t="s">
        <v>7110</v>
      </c>
    </row>
    <row r="6899" spans="1:2" ht="18.75">
      <c r="A6899" s="94" t="s">
        <v>1150</v>
      </c>
      <c r="B6899" s="1" t="s">
        <v>7110</v>
      </c>
    </row>
    <row r="6900" spans="1:2" ht="18.75">
      <c r="A6900" s="94" t="s">
        <v>1148</v>
      </c>
      <c r="B6900" s="1" t="s">
        <v>7110</v>
      </c>
    </row>
    <row r="6901" spans="1:2" ht="18.75">
      <c r="A6901" s="94" t="s">
        <v>1147</v>
      </c>
      <c r="B6901" s="1" t="s">
        <v>7110</v>
      </c>
    </row>
    <row r="6902" spans="1:2" ht="18.75">
      <c r="A6902" s="94" t="s">
        <v>1146</v>
      </c>
      <c r="B6902" s="1" t="s">
        <v>7110</v>
      </c>
    </row>
    <row r="6903" spans="1:2" ht="18.75">
      <c r="A6903" s="94" t="s">
        <v>1143</v>
      </c>
      <c r="B6903" s="1" t="s">
        <v>7110</v>
      </c>
    </row>
    <row r="6904" spans="1:2" ht="18.75">
      <c r="A6904" s="94" t="s">
        <v>1142</v>
      </c>
      <c r="B6904" s="1" t="s">
        <v>7110</v>
      </c>
    </row>
    <row r="6905" spans="1:2" ht="18.75">
      <c r="A6905" s="94" t="s">
        <v>1141</v>
      </c>
      <c r="B6905" s="1" t="s">
        <v>7110</v>
      </c>
    </row>
    <row r="6906" spans="1:2" ht="18.75">
      <c r="A6906" s="94" t="s">
        <v>1039</v>
      </c>
      <c r="B6906" s="1" t="s">
        <v>7110</v>
      </c>
    </row>
    <row r="6907" spans="1:2" ht="18.75">
      <c r="A6907" s="94" t="s">
        <v>1038</v>
      </c>
      <c r="B6907" s="1" t="s">
        <v>7110</v>
      </c>
    </row>
    <row r="6908" spans="1:2" ht="18.75">
      <c r="A6908" s="94" t="s">
        <v>992</v>
      </c>
      <c r="B6908" s="1" t="s">
        <v>7110</v>
      </c>
    </row>
    <row r="6909" spans="1:2" ht="18.75">
      <c r="A6909" s="94" t="s">
        <v>1071</v>
      </c>
      <c r="B6909" s="1" t="s">
        <v>7110</v>
      </c>
    </row>
    <row r="6910" spans="1:2" ht="18.75">
      <c r="A6910" s="94" t="s">
        <v>1039</v>
      </c>
      <c r="B6910" s="1" t="s">
        <v>7110</v>
      </c>
    </row>
    <row r="6911" spans="1:2" ht="18.75">
      <c r="A6911" s="94" t="s">
        <v>1176</v>
      </c>
      <c r="B6911" s="1" t="s">
        <v>7110</v>
      </c>
    </row>
    <row r="6912" spans="1:2" ht="18.75">
      <c r="A6912" s="94" t="s">
        <v>1154</v>
      </c>
      <c r="B6912" s="1" t="s">
        <v>7110</v>
      </c>
    </row>
    <row r="6913" spans="1:2" ht="18.75">
      <c r="A6913" s="94" t="s">
        <v>1181</v>
      </c>
      <c r="B6913" s="1" t="s">
        <v>7110</v>
      </c>
    </row>
    <row r="6914" spans="1:2" ht="18.75">
      <c r="A6914" s="94" t="s">
        <v>973</v>
      </c>
      <c r="B6914" s="1" t="s">
        <v>7110</v>
      </c>
    </row>
    <row r="6915" spans="1:2" ht="18.75">
      <c r="A6915" s="94" t="s">
        <v>1038</v>
      </c>
      <c r="B6915" s="1" t="s">
        <v>7110</v>
      </c>
    </row>
    <row r="6916" spans="1:2" ht="18.75">
      <c r="A6916" s="94" t="s">
        <v>1132</v>
      </c>
      <c r="B6916" s="1" t="s">
        <v>7110</v>
      </c>
    </row>
    <row r="6917" spans="1:2" ht="18.75">
      <c r="A6917" s="94" t="s">
        <v>1132</v>
      </c>
      <c r="B6917" s="1" t="s">
        <v>7110</v>
      </c>
    </row>
    <row r="6918" spans="1:2" ht="18.75">
      <c r="A6918" s="94" t="s">
        <v>1051</v>
      </c>
      <c r="B6918" s="1" t="s">
        <v>7110</v>
      </c>
    </row>
    <row r="6919" spans="1:2" ht="18.75">
      <c r="A6919" s="94" t="s">
        <v>1240</v>
      </c>
      <c r="B6919" s="1" t="s">
        <v>7110</v>
      </c>
    </row>
    <row r="6920" spans="1:2" ht="18.75">
      <c r="A6920" s="94" t="s">
        <v>1241</v>
      </c>
      <c r="B6920" s="1" t="s">
        <v>7110</v>
      </c>
    </row>
    <row r="6921" spans="1:2" ht="18.75">
      <c r="A6921" s="94" t="s">
        <v>1242</v>
      </c>
      <c r="B6921" s="1" t="s">
        <v>7110</v>
      </c>
    </row>
    <row r="6922" spans="1:2" ht="18.75">
      <c r="A6922" s="94" t="s">
        <v>1083</v>
      </c>
      <c r="B6922" s="1" t="s">
        <v>7110</v>
      </c>
    </row>
    <row r="6923" spans="1:2" ht="18.75">
      <c r="A6923" s="94" t="s">
        <v>1243</v>
      </c>
      <c r="B6923" s="1" t="s">
        <v>7110</v>
      </c>
    </row>
    <row r="6924" spans="1:2" ht="18.75">
      <c r="A6924" s="94" t="s">
        <v>1244</v>
      </c>
      <c r="B6924" s="1" t="s">
        <v>7110</v>
      </c>
    </row>
    <row r="6925" spans="1:2" ht="18.75">
      <c r="A6925" s="94" t="s">
        <v>1149</v>
      </c>
      <c r="B6925" s="1" t="s">
        <v>7110</v>
      </c>
    </row>
    <row r="6926" spans="1:2" ht="18.75">
      <c r="A6926" s="94" t="s">
        <v>1241</v>
      </c>
      <c r="B6926" s="1" t="s">
        <v>7110</v>
      </c>
    </row>
    <row r="6927" spans="1:2" ht="18.75">
      <c r="A6927" s="94" t="s">
        <v>1247</v>
      </c>
      <c r="B6927" s="1" t="s">
        <v>7110</v>
      </c>
    </row>
    <row r="6928" spans="1:2" ht="18.75">
      <c r="A6928" s="94" t="s">
        <v>1244</v>
      </c>
      <c r="B6928" s="1" t="s">
        <v>7110</v>
      </c>
    </row>
    <row r="6929" spans="1:2" ht="18.75">
      <c r="A6929" s="94" t="s">
        <v>1247</v>
      </c>
      <c r="B6929" s="1" t="s">
        <v>7110</v>
      </c>
    </row>
    <row r="6930" spans="1:2" ht="18.75">
      <c r="A6930" s="94" t="s">
        <v>1248</v>
      </c>
      <c r="B6930" s="1" t="s">
        <v>7110</v>
      </c>
    </row>
    <row r="6931" spans="1:2" ht="18.75">
      <c r="A6931" s="94" t="s">
        <v>1169</v>
      </c>
      <c r="B6931" s="1" t="s">
        <v>7110</v>
      </c>
    </row>
    <row r="6932" spans="1:2" ht="18.75">
      <c r="A6932" s="94" t="s">
        <v>1249</v>
      </c>
      <c r="B6932" s="1" t="s">
        <v>7110</v>
      </c>
    </row>
    <row r="6933" spans="1:2" ht="18.75">
      <c r="A6933" s="94" t="s">
        <v>1250</v>
      </c>
      <c r="B6933" s="1" t="s">
        <v>7110</v>
      </c>
    </row>
    <row r="6934" spans="1:2" ht="18.75">
      <c r="A6934" s="94" t="s">
        <v>1249</v>
      </c>
      <c r="B6934" s="1" t="s">
        <v>7110</v>
      </c>
    </row>
    <row r="6935" spans="1:2" ht="18.75">
      <c r="A6935" s="94" t="s">
        <v>1252</v>
      </c>
      <c r="B6935" s="1" t="s">
        <v>7110</v>
      </c>
    </row>
    <row r="6936" spans="1:2" ht="18.75">
      <c r="A6936" s="94" t="s">
        <v>1253</v>
      </c>
      <c r="B6936" s="1" t="s">
        <v>7110</v>
      </c>
    </row>
    <row r="6937" spans="1:2" ht="18.75">
      <c r="A6937" s="94" t="s">
        <v>1016</v>
      </c>
      <c r="B6937" s="1" t="s">
        <v>7110</v>
      </c>
    </row>
    <row r="6938" spans="1:2" ht="18.75">
      <c r="A6938" s="94" t="s">
        <v>993</v>
      </c>
      <c r="B6938" s="1" t="s">
        <v>7110</v>
      </c>
    </row>
    <row r="6939" spans="1:2" ht="18.75">
      <c r="A6939" s="94" t="s">
        <v>1255</v>
      </c>
      <c r="B6939" s="1" t="s">
        <v>7110</v>
      </c>
    </row>
    <row r="6940" spans="1:2" ht="18.75">
      <c r="A6940" s="94" t="s">
        <v>1255</v>
      </c>
      <c r="B6940" s="1" t="s">
        <v>7110</v>
      </c>
    </row>
    <row r="6941" spans="1:2" ht="18.75">
      <c r="A6941" s="94" t="s">
        <v>1256</v>
      </c>
      <c r="B6941" s="1" t="s">
        <v>7110</v>
      </c>
    </row>
    <row r="6942" spans="1:2" ht="18.75">
      <c r="A6942" s="94" t="s">
        <v>1256</v>
      </c>
      <c r="B6942" s="1" t="s">
        <v>7110</v>
      </c>
    </row>
    <row r="6943" spans="1:2" ht="18.75">
      <c r="A6943" s="94" t="s">
        <v>1255</v>
      </c>
      <c r="B6943" s="1" t="s">
        <v>7110</v>
      </c>
    </row>
    <row r="6944" spans="1:2" ht="18.75">
      <c r="A6944" s="94" t="s">
        <v>1256</v>
      </c>
      <c r="B6944" s="1" t="s">
        <v>7110</v>
      </c>
    </row>
    <row r="6945" spans="1:2" ht="18.75">
      <c r="A6945" s="94" t="s">
        <v>1255</v>
      </c>
      <c r="B6945" s="1" t="s">
        <v>7110</v>
      </c>
    </row>
    <row r="6946" spans="1:2" ht="18.75">
      <c r="A6946" s="94" t="s">
        <v>1256</v>
      </c>
      <c r="B6946" s="1" t="s">
        <v>7110</v>
      </c>
    </row>
    <row r="6947" spans="1:2" ht="18.75">
      <c r="A6947" s="94" t="s">
        <v>1255</v>
      </c>
      <c r="B6947" s="1" t="s">
        <v>7110</v>
      </c>
    </row>
    <row r="6948" spans="1:2" ht="18.75">
      <c r="A6948" s="94" t="s">
        <v>1224</v>
      </c>
      <c r="B6948" s="1" t="s">
        <v>7110</v>
      </c>
    </row>
    <row r="6949" spans="1:2" ht="18.75">
      <c r="A6949" s="94" t="s">
        <v>1272</v>
      </c>
      <c r="B6949" s="1" t="s">
        <v>7110</v>
      </c>
    </row>
    <row r="6950" spans="1:2" ht="18.75">
      <c r="A6950" s="94" t="s">
        <v>1272</v>
      </c>
      <c r="B6950" s="1" t="s">
        <v>7110</v>
      </c>
    </row>
    <row r="6951" spans="1:2" ht="18.75">
      <c r="A6951" s="94" t="s">
        <v>1276</v>
      </c>
      <c r="B6951" s="1" t="s">
        <v>7110</v>
      </c>
    </row>
    <row r="6952" spans="1:2" ht="18.75">
      <c r="A6952" s="94" t="s">
        <v>1279</v>
      </c>
      <c r="B6952" s="1" t="s">
        <v>7110</v>
      </c>
    </row>
    <row r="6953" spans="1:2" ht="18.75">
      <c r="A6953" s="94" t="s">
        <v>1280</v>
      </c>
      <c r="B6953" s="1" t="s">
        <v>7110</v>
      </c>
    </row>
    <row r="6954" spans="1:2" ht="18.75">
      <c r="A6954" s="94" t="s">
        <v>1107</v>
      </c>
      <c r="B6954" s="1" t="s">
        <v>7110</v>
      </c>
    </row>
    <row r="6955" spans="1:2" ht="18.75">
      <c r="A6955" s="94" t="s">
        <v>1283</v>
      </c>
      <c r="B6955" s="1" t="s">
        <v>7110</v>
      </c>
    </row>
    <row r="6956" spans="1:2" ht="18.75">
      <c r="A6956" s="94" t="s">
        <v>1283</v>
      </c>
      <c r="B6956" s="1" t="s">
        <v>7110</v>
      </c>
    </row>
    <row r="6957" spans="1:2" ht="18.75">
      <c r="A6957" s="94" t="s">
        <v>1113</v>
      </c>
      <c r="B6957" s="1" t="s">
        <v>7110</v>
      </c>
    </row>
    <row r="6958" spans="1:2" ht="18.75">
      <c r="A6958" s="94" t="s">
        <v>1285</v>
      </c>
      <c r="B6958" s="1" t="s">
        <v>7110</v>
      </c>
    </row>
    <row r="6959" spans="1:2" ht="18.75">
      <c r="A6959" s="94" t="s">
        <v>1285</v>
      </c>
      <c r="B6959" s="1" t="s">
        <v>7110</v>
      </c>
    </row>
    <row r="6960" spans="1:2" ht="18.75">
      <c r="A6960" s="94" t="s">
        <v>1107</v>
      </c>
      <c r="B6960" s="1" t="s">
        <v>7110</v>
      </c>
    </row>
    <row r="6961" spans="1:2" ht="18.75">
      <c r="A6961" s="94" t="s">
        <v>1295</v>
      </c>
      <c r="B6961" s="1" t="s">
        <v>7110</v>
      </c>
    </row>
    <row r="6962" spans="1:2" ht="18.75">
      <c r="A6962" s="94" t="s">
        <v>1224</v>
      </c>
      <c r="B6962" s="1" t="s">
        <v>7110</v>
      </c>
    </row>
    <row r="6963" spans="1:2" ht="18.75">
      <c r="A6963" s="94" t="s">
        <v>1312</v>
      </c>
      <c r="B6963" s="1" t="s">
        <v>7110</v>
      </c>
    </row>
    <row r="6964" spans="1:2" ht="18.75">
      <c r="A6964" s="94" t="s">
        <v>1313</v>
      </c>
      <c r="B6964" s="1" t="s">
        <v>7110</v>
      </c>
    </row>
    <row r="6965" spans="1:2" ht="18.75">
      <c r="A6965" s="94" t="s">
        <v>1315</v>
      </c>
      <c r="B6965" s="1" t="s">
        <v>7110</v>
      </c>
    </row>
    <row r="6966" spans="1:2" ht="18.75">
      <c r="A6966" s="94" t="s">
        <v>1316</v>
      </c>
      <c r="B6966" s="1" t="s">
        <v>7110</v>
      </c>
    </row>
    <row r="6967" spans="1:2" ht="18.75">
      <c r="A6967" s="94" t="s">
        <v>1320</v>
      </c>
      <c r="B6967" s="1" t="s">
        <v>7110</v>
      </c>
    </row>
    <row r="6968" spans="1:2" ht="18.75">
      <c r="A6968" s="94" t="s">
        <v>1118</v>
      </c>
      <c r="B6968" s="1" t="s">
        <v>7110</v>
      </c>
    </row>
    <row r="6969" spans="1:2" ht="18.75">
      <c r="A6969" s="94" t="s">
        <v>1279</v>
      </c>
      <c r="B6969" s="1" t="s">
        <v>7110</v>
      </c>
    </row>
    <row r="6970" spans="1:2" ht="18.75">
      <c r="A6970" s="94" t="s">
        <v>1322</v>
      </c>
      <c r="B6970" s="1" t="s">
        <v>7110</v>
      </c>
    </row>
    <row r="6971" spans="1:2" ht="18.75">
      <c r="A6971" s="94" t="s">
        <v>1324</v>
      </c>
      <c r="B6971" s="1" t="s">
        <v>7110</v>
      </c>
    </row>
    <row r="6972" spans="1:2" ht="18.75">
      <c r="A6972" s="94" t="s">
        <v>1312</v>
      </c>
      <c r="B6972" s="1" t="s">
        <v>7110</v>
      </c>
    </row>
    <row r="6973" spans="1:2" ht="18.75">
      <c r="A6973" s="94" t="s">
        <v>1279</v>
      </c>
      <c r="B6973" s="1" t="s">
        <v>7110</v>
      </c>
    </row>
    <row r="6974" spans="1:2" ht="18.75">
      <c r="A6974" s="94" t="s">
        <v>1326</v>
      </c>
      <c r="B6974" s="1" t="s">
        <v>7110</v>
      </c>
    </row>
    <row r="6975" spans="1:2" ht="18.75">
      <c r="A6975" s="94" t="s">
        <v>1327</v>
      </c>
      <c r="B6975" s="1" t="s">
        <v>7110</v>
      </c>
    </row>
    <row r="6976" spans="1:2" ht="18.75">
      <c r="A6976" s="94" t="s">
        <v>1328</v>
      </c>
      <c r="B6976" s="1" t="s">
        <v>7110</v>
      </c>
    </row>
    <row r="6977" spans="1:2" ht="18.75">
      <c r="A6977" s="94" t="s">
        <v>1329</v>
      </c>
      <c r="B6977" s="1" t="s">
        <v>7110</v>
      </c>
    </row>
    <row r="6978" spans="1:2" ht="18.75">
      <c r="A6978" s="94" t="s">
        <v>1330</v>
      </c>
      <c r="B6978" s="1" t="s">
        <v>7110</v>
      </c>
    </row>
    <row r="6979" spans="1:2" ht="18.75">
      <c r="A6979" s="94" t="s">
        <v>1331</v>
      </c>
      <c r="B6979" s="1" t="s">
        <v>7110</v>
      </c>
    </row>
    <row r="6980" spans="1:2" ht="18.75">
      <c r="A6980" s="94" t="s">
        <v>1113</v>
      </c>
      <c r="B6980" s="1" t="s">
        <v>7110</v>
      </c>
    </row>
    <row r="6981" spans="1:2" ht="18.75">
      <c r="A6981" s="94" t="s">
        <v>1113</v>
      </c>
      <c r="B6981" s="1" t="s">
        <v>7110</v>
      </c>
    </row>
    <row r="6982" spans="1:2" ht="18.75">
      <c r="A6982" s="94" t="s">
        <v>1335</v>
      </c>
      <c r="B6982" s="1" t="s">
        <v>7110</v>
      </c>
    </row>
    <row r="6983" spans="1:2" ht="18.75">
      <c r="A6983" s="94" t="s">
        <v>1279</v>
      </c>
      <c r="B6983" s="1" t="s">
        <v>7110</v>
      </c>
    </row>
    <row r="6984" spans="1:2" ht="18.75">
      <c r="A6984" s="94" t="s">
        <v>994</v>
      </c>
      <c r="B6984" s="1" t="s">
        <v>7110</v>
      </c>
    </row>
    <row r="6985" spans="1:2" ht="18.75">
      <c r="A6985" s="94" t="s">
        <v>1344</v>
      </c>
      <c r="B6985" s="1" t="s">
        <v>7110</v>
      </c>
    </row>
    <row r="6986" spans="1:2" ht="18.75">
      <c r="A6986" s="94" t="s">
        <v>1344</v>
      </c>
      <c r="B6986" s="1" t="s">
        <v>7110</v>
      </c>
    </row>
    <row r="6987" spans="1:2" ht="18.75">
      <c r="A6987" s="94" t="s">
        <v>1347</v>
      </c>
      <c r="B6987" s="1" t="s">
        <v>7110</v>
      </c>
    </row>
    <row r="6988" spans="1:2" ht="18.75">
      <c r="A6988" s="94" t="s">
        <v>1347</v>
      </c>
      <c r="B6988" s="1" t="s">
        <v>7110</v>
      </c>
    </row>
    <row r="6989" spans="1:2" ht="18.75">
      <c r="A6989" s="94" t="s">
        <v>1348</v>
      </c>
      <c r="B6989" s="1" t="s">
        <v>7110</v>
      </c>
    </row>
    <row r="6990" spans="1:2" ht="18.75">
      <c r="A6990" s="94" t="s">
        <v>1349</v>
      </c>
      <c r="B6990" s="1" t="s">
        <v>7110</v>
      </c>
    </row>
    <row r="6991" spans="1:2" ht="18.75">
      <c r="A6991" s="94" t="s">
        <v>1348</v>
      </c>
      <c r="B6991" s="1" t="s">
        <v>7110</v>
      </c>
    </row>
    <row r="6992" spans="1:2" ht="18.75">
      <c r="A6992" s="94" t="s">
        <v>1348</v>
      </c>
      <c r="B6992" s="1" t="s">
        <v>7110</v>
      </c>
    </row>
    <row r="6993" spans="1:2" ht="18.75">
      <c r="A6993" s="94" t="s">
        <v>1348</v>
      </c>
      <c r="B6993" s="1" t="s">
        <v>7110</v>
      </c>
    </row>
    <row r="6994" spans="1:2" ht="18.75">
      <c r="A6994" s="94" t="s">
        <v>1344</v>
      </c>
      <c r="B6994" s="1" t="s">
        <v>7110</v>
      </c>
    </row>
    <row r="6995" spans="1:2" ht="18.75">
      <c r="A6995" s="94" t="s">
        <v>1349</v>
      </c>
      <c r="B6995" s="1" t="s">
        <v>7110</v>
      </c>
    </row>
    <row r="6996" spans="1:2" ht="18.75">
      <c r="A6996" s="94" t="s">
        <v>1348</v>
      </c>
      <c r="B6996" s="1" t="s">
        <v>7110</v>
      </c>
    </row>
    <row r="6997" spans="1:2" ht="18.75">
      <c r="A6997" s="94" t="s">
        <v>1344</v>
      </c>
      <c r="B6997" s="1" t="s">
        <v>7110</v>
      </c>
    </row>
    <row r="6998" spans="1:2" ht="18.75">
      <c r="A6998" s="94" t="s">
        <v>1347</v>
      </c>
      <c r="B6998" s="1" t="s">
        <v>7110</v>
      </c>
    </row>
    <row r="6999" spans="1:2" ht="18.75">
      <c r="A6999" s="94" t="s">
        <v>1347</v>
      </c>
      <c r="B6999" s="1" t="s">
        <v>7110</v>
      </c>
    </row>
    <row r="7000" spans="1:2" ht="18.75">
      <c r="A7000" s="94" t="s">
        <v>1347</v>
      </c>
      <c r="B7000" s="1" t="s">
        <v>7110</v>
      </c>
    </row>
    <row r="7001" spans="1:2" ht="18.75">
      <c r="A7001" s="94" t="s">
        <v>1344</v>
      </c>
      <c r="B7001" s="1" t="s">
        <v>7110</v>
      </c>
    </row>
    <row r="7002" spans="1:2" ht="18.75">
      <c r="A7002" s="94" t="s">
        <v>1344</v>
      </c>
      <c r="B7002" s="1" t="s">
        <v>7110</v>
      </c>
    </row>
    <row r="7003" spans="1:2" ht="18.75">
      <c r="A7003" s="94" t="s">
        <v>1352</v>
      </c>
      <c r="B7003" s="1" t="s">
        <v>7110</v>
      </c>
    </row>
    <row r="7004" spans="1:2" ht="18.75">
      <c r="A7004" s="94" t="s">
        <v>1116</v>
      </c>
      <c r="B7004" s="1" t="s">
        <v>7110</v>
      </c>
    </row>
    <row r="7005" spans="1:2" ht="18.75">
      <c r="A7005" s="94" t="s">
        <v>1113</v>
      </c>
      <c r="B7005" s="1" t="s">
        <v>7110</v>
      </c>
    </row>
    <row r="7006" spans="1:2" ht="18.75">
      <c r="A7006" s="94" t="s">
        <v>1360</v>
      </c>
      <c r="B7006" s="1" t="s">
        <v>7110</v>
      </c>
    </row>
    <row r="7007" spans="1:2" ht="18.75">
      <c r="A7007" s="94" t="s">
        <v>1329</v>
      </c>
      <c r="B7007" s="1" t="s">
        <v>7110</v>
      </c>
    </row>
    <row r="7008" spans="1:2" ht="18.75">
      <c r="A7008" s="94" t="s">
        <v>1103</v>
      </c>
      <c r="B7008" s="1" t="s">
        <v>7110</v>
      </c>
    </row>
    <row r="7009" spans="1:2" ht="18.75">
      <c r="A7009" s="94" t="s">
        <v>1361</v>
      </c>
      <c r="B7009" s="1" t="s">
        <v>7110</v>
      </c>
    </row>
    <row r="7010" spans="1:2" ht="18.75">
      <c r="A7010" s="94" t="s">
        <v>994</v>
      </c>
      <c r="B7010" s="1" t="s">
        <v>7110</v>
      </c>
    </row>
    <row r="7011" spans="1:2" ht="18.75">
      <c r="A7011" s="94" t="s">
        <v>1367</v>
      </c>
      <c r="B7011" s="1" t="s">
        <v>7110</v>
      </c>
    </row>
    <row r="7012" spans="1:2" ht="18.75">
      <c r="A7012" s="94" t="s">
        <v>1368</v>
      </c>
      <c r="B7012" s="1" t="s">
        <v>7110</v>
      </c>
    </row>
    <row r="7013" spans="1:2" ht="18.75">
      <c r="A7013" s="94" t="s">
        <v>1361</v>
      </c>
      <c r="B7013" s="1" t="s">
        <v>7110</v>
      </c>
    </row>
    <row r="7014" spans="1:2" ht="18.75">
      <c r="A7014" s="94" t="s">
        <v>1373</v>
      </c>
      <c r="B7014" s="1" t="s">
        <v>7110</v>
      </c>
    </row>
    <row r="7015" spans="1:2" ht="18.75">
      <c r="A7015" s="94" t="s">
        <v>1374</v>
      </c>
      <c r="B7015" s="1" t="s">
        <v>7110</v>
      </c>
    </row>
    <row r="7016" spans="1:2" ht="18.75">
      <c r="A7016" s="94" t="s">
        <v>1375</v>
      </c>
      <c r="B7016" s="1" t="s">
        <v>7110</v>
      </c>
    </row>
    <row r="7017" spans="1:2" ht="18.75">
      <c r="A7017" s="94" t="s">
        <v>1376</v>
      </c>
      <c r="B7017" s="1" t="s">
        <v>7110</v>
      </c>
    </row>
    <row r="7018" spans="1:2" ht="18.75">
      <c r="A7018" s="94" t="s">
        <v>1377</v>
      </c>
      <c r="B7018" s="1" t="s">
        <v>7110</v>
      </c>
    </row>
    <row r="7019" spans="1:2" ht="18.75">
      <c r="A7019" s="94" t="s">
        <v>1276</v>
      </c>
      <c r="B7019" s="1" t="s">
        <v>7110</v>
      </c>
    </row>
    <row r="7020" spans="1:2" ht="18.75">
      <c r="A7020" s="94" t="s">
        <v>1378</v>
      </c>
      <c r="B7020" s="1" t="s">
        <v>7110</v>
      </c>
    </row>
    <row r="7021" spans="1:2" ht="18.75">
      <c r="A7021" s="94" t="s">
        <v>1615</v>
      </c>
      <c r="B7021" s="1" t="s">
        <v>7110</v>
      </c>
    </row>
    <row r="7022" spans="1:2" ht="18.75">
      <c r="A7022" s="94" t="s">
        <v>1382</v>
      </c>
      <c r="B7022" s="1" t="s">
        <v>7110</v>
      </c>
    </row>
    <row r="7023" spans="1:2" ht="18.75">
      <c r="A7023" s="94" t="s">
        <v>1347</v>
      </c>
      <c r="B7023" s="1" t="s">
        <v>7110</v>
      </c>
    </row>
    <row r="7024" spans="1:2" ht="18.75">
      <c r="A7024" s="94" t="s">
        <v>1344</v>
      </c>
      <c r="B7024" s="1" t="s">
        <v>7110</v>
      </c>
    </row>
    <row r="7025" spans="1:2" ht="18.75">
      <c r="A7025" s="94" t="s">
        <v>1344</v>
      </c>
      <c r="B7025" s="1" t="s">
        <v>7110</v>
      </c>
    </row>
    <row r="7026" spans="1:2" ht="18.75">
      <c r="A7026" s="94" t="s">
        <v>1384</v>
      </c>
      <c r="B7026" s="1" t="s">
        <v>7110</v>
      </c>
    </row>
    <row r="7027" spans="1:2" ht="18.75">
      <c r="A7027" s="94" t="s">
        <v>1349</v>
      </c>
      <c r="B7027" s="1" t="s">
        <v>7110</v>
      </c>
    </row>
    <row r="7028" spans="1:2" ht="18.75">
      <c r="A7028" s="94" t="s">
        <v>1349</v>
      </c>
      <c r="B7028" s="1" t="s">
        <v>7110</v>
      </c>
    </row>
    <row r="7029" spans="1:2" ht="18.75">
      <c r="A7029" s="94" t="s">
        <v>1384</v>
      </c>
      <c r="B7029" s="1" t="s">
        <v>7110</v>
      </c>
    </row>
    <row r="7030" spans="1:2" ht="18.75">
      <c r="A7030" s="94" t="s">
        <v>1224</v>
      </c>
      <c r="B7030" s="1" t="s">
        <v>7110</v>
      </c>
    </row>
    <row r="7031" spans="1:2" ht="18.75">
      <c r="A7031" s="94" t="s">
        <v>1344</v>
      </c>
      <c r="B7031" s="1" t="s">
        <v>7110</v>
      </c>
    </row>
    <row r="7032" spans="1:2" ht="18.75">
      <c r="A7032" s="94" t="s">
        <v>1385</v>
      </c>
      <c r="B7032" s="1" t="s">
        <v>7110</v>
      </c>
    </row>
    <row r="7033" spans="1:2" ht="18.75">
      <c r="A7033" s="94" t="s">
        <v>1386</v>
      </c>
      <c r="B7033" s="1" t="s">
        <v>7110</v>
      </c>
    </row>
    <row r="7034" spans="1:2" ht="18.75">
      <c r="A7034" s="94" t="s">
        <v>1344</v>
      </c>
      <c r="B7034" s="1" t="s">
        <v>7110</v>
      </c>
    </row>
    <row r="7035" spans="1:2" ht="18.75">
      <c r="A7035" s="94" t="s">
        <v>1344</v>
      </c>
      <c r="B7035" s="1" t="s">
        <v>7110</v>
      </c>
    </row>
    <row r="7036" spans="1:2" ht="18.75">
      <c r="A7036" s="94" t="s">
        <v>1390</v>
      </c>
      <c r="B7036" s="1" t="s">
        <v>7110</v>
      </c>
    </row>
    <row r="7037" spans="1:2" ht="18.75">
      <c r="A7037" s="94" t="s">
        <v>1285</v>
      </c>
      <c r="B7037" s="1" t="s">
        <v>7110</v>
      </c>
    </row>
    <row r="7038" spans="1:2" ht="18.75">
      <c r="A7038" s="94" t="s">
        <v>1394</v>
      </c>
      <c r="B7038" s="1" t="s">
        <v>7110</v>
      </c>
    </row>
    <row r="7039" spans="1:2" ht="18.75">
      <c r="A7039" s="94" t="s">
        <v>1618</v>
      </c>
      <c r="B7039" s="1" t="s">
        <v>7110</v>
      </c>
    </row>
    <row r="7040" spans="1:2" ht="18.75">
      <c r="A7040" s="94" t="s">
        <v>1377</v>
      </c>
      <c r="B7040" s="1" t="s">
        <v>7110</v>
      </c>
    </row>
    <row r="7041" spans="1:2" ht="18.75">
      <c r="A7041" s="94" t="s">
        <v>1295</v>
      </c>
      <c r="B7041" s="1" t="s">
        <v>7110</v>
      </c>
    </row>
    <row r="7042" spans="1:2" ht="18.75">
      <c r="A7042" s="94" t="s">
        <v>1295</v>
      </c>
      <c r="B7042" s="1" t="s">
        <v>7110</v>
      </c>
    </row>
    <row r="7043" spans="1:2" ht="18.75">
      <c r="A7043" s="94" t="s">
        <v>1401</v>
      </c>
      <c r="B7043" s="1" t="s">
        <v>7110</v>
      </c>
    </row>
    <row r="7044" spans="1:2" ht="18.75">
      <c r="A7044" s="94" t="s">
        <v>1402</v>
      </c>
      <c r="B7044" s="1" t="s">
        <v>7110</v>
      </c>
    </row>
    <row r="7045" spans="1:2" ht="18.75">
      <c r="A7045" s="94" t="s">
        <v>1361</v>
      </c>
      <c r="B7045" s="1" t="s">
        <v>7110</v>
      </c>
    </row>
    <row r="7046" spans="1:2" ht="18.75">
      <c r="A7046" s="94" t="s">
        <v>1403</v>
      </c>
      <c r="B7046" s="1" t="s">
        <v>7110</v>
      </c>
    </row>
    <row r="7047" spans="1:2" ht="18.75">
      <c r="A7047" s="94" t="s">
        <v>1116</v>
      </c>
      <c r="B7047" s="1" t="s">
        <v>7110</v>
      </c>
    </row>
    <row r="7048" spans="1:2" ht="18.75">
      <c r="A7048" s="94" t="s">
        <v>1404</v>
      </c>
      <c r="B7048" s="1" t="s">
        <v>7110</v>
      </c>
    </row>
    <row r="7049" spans="1:2" ht="18.75">
      <c r="A7049" s="94" t="s">
        <v>1405</v>
      </c>
      <c r="B7049" s="1" t="s">
        <v>7110</v>
      </c>
    </row>
    <row r="7050" spans="1:2" ht="18.75">
      <c r="A7050" s="94" t="s">
        <v>1116</v>
      </c>
      <c r="B7050" s="1" t="s">
        <v>7110</v>
      </c>
    </row>
    <row r="7051" spans="1:2" ht="18.75">
      <c r="A7051" s="94" t="s">
        <v>1378</v>
      </c>
      <c r="B7051" s="1" t="s">
        <v>7110</v>
      </c>
    </row>
    <row r="7052" spans="1:2" ht="18.75">
      <c r="A7052" s="94" t="s">
        <v>1406</v>
      </c>
      <c r="B7052" s="1" t="s">
        <v>7110</v>
      </c>
    </row>
    <row r="7053" spans="1:2" ht="18.75">
      <c r="A7053" s="94" t="s">
        <v>1407</v>
      </c>
      <c r="B7053" s="1" t="s">
        <v>7110</v>
      </c>
    </row>
    <row r="7054" spans="1:2" ht="18.75">
      <c r="A7054" s="94" t="s">
        <v>1408</v>
      </c>
      <c r="B7054" s="1" t="s">
        <v>7110</v>
      </c>
    </row>
    <row r="7055" spans="1:2" ht="18.75">
      <c r="A7055" s="94" t="s">
        <v>1295</v>
      </c>
      <c r="B7055" s="1" t="s">
        <v>7110</v>
      </c>
    </row>
    <row r="7056" spans="1:2" ht="18.75">
      <c r="A7056" s="94" t="s">
        <v>1409</v>
      </c>
      <c r="B7056" s="1" t="s">
        <v>7110</v>
      </c>
    </row>
    <row r="7057" spans="1:2" ht="18.75">
      <c r="A7057" s="94" t="s">
        <v>1406</v>
      </c>
      <c r="B7057" s="1" t="s">
        <v>7110</v>
      </c>
    </row>
    <row r="7058" spans="1:2" ht="18.75">
      <c r="A7058" s="94" t="s">
        <v>1411</v>
      </c>
      <c r="B7058" s="1" t="s">
        <v>7110</v>
      </c>
    </row>
    <row r="7059" spans="1:2" ht="18.75">
      <c r="A7059" s="94" t="s">
        <v>1412</v>
      </c>
      <c r="B7059" s="1" t="s">
        <v>7110</v>
      </c>
    </row>
    <row r="7060" spans="1:2" ht="18.75">
      <c r="A7060" s="94" t="s">
        <v>1415</v>
      </c>
      <c r="B7060" s="1" t="s">
        <v>7110</v>
      </c>
    </row>
    <row r="7061" spans="1:2" ht="18.75">
      <c r="A7061" s="94" t="s">
        <v>1416</v>
      </c>
      <c r="B7061" s="1" t="s">
        <v>7110</v>
      </c>
    </row>
    <row r="7062" spans="1:2" ht="18.75">
      <c r="A7062" s="94" t="s">
        <v>1406</v>
      </c>
      <c r="B7062" s="1" t="s">
        <v>7110</v>
      </c>
    </row>
    <row r="7063" spans="1:2" ht="18.75">
      <c r="A7063" s="94" t="s">
        <v>1418</v>
      </c>
      <c r="B7063" s="1" t="s">
        <v>7110</v>
      </c>
    </row>
    <row r="7064" spans="1:2" ht="18.75">
      <c r="A7064" s="94" t="s">
        <v>1419</v>
      </c>
      <c r="B7064" s="1" t="s">
        <v>7110</v>
      </c>
    </row>
    <row r="7065" spans="1:2" ht="18.75">
      <c r="A7065" s="94" t="s">
        <v>1116</v>
      </c>
      <c r="B7065" s="1" t="s">
        <v>7110</v>
      </c>
    </row>
    <row r="7066" spans="1:2" ht="18.75">
      <c r="A7066" s="94" t="s">
        <v>1116</v>
      </c>
      <c r="B7066" s="1" t="s">
        <v>7110</v>
      </c>
    </row>
    <row r="7067" spans="1:2" ht="18.75">
      <c r="A7067" s="94" t="s">
        <v>1405</v>
      </c>
      <c r="B7067" s="1" t="s">
        <v>7110</v>
      </c>
    </row>
    <row r="7068" spans="1:2" ht="18.75">
      <c r="A7068" s="94" t="s">
        <v>1423</v>
      </c>
      <c r="B7068" s="1" t="s">
        <v>7110</v>
      </c>
    </row>
    <row r="7069" spans="1:2" ht="18.75">
      <c r="A7069" s="94" t="s">
        <v>1424</v>
      </c>
      <c r="B7069" s="1" t="s">
        <v>7110</v>
      </c>
    </row>
    <row r="7070" spans="1:2" ht="18.75">
      <c r="A7070" s="94" t="s">
        <v>1116</v>
      </c>
      <c r="B7070" s="1" t="s">
        <v>7110</v>
      </c>
    </row>
    <row r="7071" spans="1:2" ht="18.75">
      <c r="A7071" s="94" t="s">
        <v>1425</v>
      </c>
      <c r="B7071" s="1" t="s">
        <v>7110</v>
      </c>
    </row>
    <row r="7072" spans="1:2" ht="18.75">
      <c r="A7072" s="94" t="s">
        <v>1295</v>
      </c>
      <c r="B7072" s="1" t="s">
        <v>7110</v>
      </c>
    </row>
    <row r="7073" spans="1:2" ht="18.75">
      <c r="A7073" s="94" t="s">
        <v>1113</v>
      </c>
      <c r="B7073" s="1" t="s">
        <v>7110</v>
      </c>
    </row>
    <row r="7074" spans="1:2" ht="18.75">
      <c r="A7074" s="94" t="s">
        <v>1113</v>
      </c>
      <c r="B7074" s="1" t="s">
        <v>7110</v>
      </c>
    </row>
    <row r="7075" spans="1:2" ht="18.75">
      <c r="A7075" s="94" t="s">
        <v>1427</v>
      </c>
      <c r="B7075" s="1" t="s">
        <v>7110</v>
      </c>
    </row>
    <row r="7076" spans="1:2" ht="18.75">
      <c r="A7076" s="94" t="s">
        <v>1428</v>
      </c>
      <c r="B7076" s="1" t="s">
        <v>7110</v>
      </c>
    </row>
    <row r="7077" spans="1:2" ht="18.75">
      <c r="A7077" s="94" t="s">
        <v>1429</v>
      </c>
      <c r="B7077" s="1" t="s">
        <v>7110</v>
      </c>
    </row>
    <row r="7078" spans="1:2" ht="18.75">
      <c r="A7078" s="94" t="s">
        <v>1430</v>
      </c>
      <c r="B7078" s="1" t="s">
        <v>7110</v>
      </c>
    </row>
    <row r="7079" spans="1:2" ht="18.75">
      <c r="A7079" s="94" t="s">
        <v>1212</v>
      </c>
      <c r="B7079" s="1" t="s">
        <v>7110</v>
      </c>
    </row>
    <row r="7080" spans="1:2" ht="18.75">
      <c r="A7080" s="94" t="s">
        <v>1217</v>
      </c>
      <c r="B7080" s="1" t="s">
        <v>7110</v>
      </c>
    </row>
    <row r="7081" spans="1:2" ht="18.75">
      <c r="A7081" s="94" t="s">
        <v>1450</v>
      </c>
      <c r="B7081" s="1" t="s">
        <v>7110</v>
      </c>
    </row>
    <row r="7082" spans="1:2" ht="18.75">
      <c r="A7082" s="94" t="s">
        <v>1390</v>
      </c>
      <c r="B7082" s="1" t="s">
        <v>7110</v>
      </c>
    </row>
    <row r="7083" spans="1:2" ht="18.75">
      <c r="A7083" s="94" t="s">
        <v>1384</v>
      </c>
      <c r="B7083" s="1" t="s">
        <v>7110</v>
      </c>
    </row>
    <row r="7084" spans="1:2" ht="18.75">
      <c r="A7084" s="94" t="s">
        <v>1390</v>
      </c>
      <c r="B7084" s="1" t="s">
        <v>7110</v>
      </c>
    </row>
    <row r="7085" spans="1:2" ht="18.75">
      <c r="A7085" s="94" t="s">
        <v>1458</v>
      </c>
      <c r="B7085" s="1" t="s">
        <v>7110</v>
      </c>
    </row>
    <row r="7086" spans="1:2" ht="18.75">
      <c r="A7086" s="94" t="s">
        <v>1459</v>
      </c>
      <c r="B7086" s="1" t="s">
        <v>7110</v>
      </c>
    </row>
    <row r="7087" spans="1:2" ht="18.75">
      <c r="A7087" s="94" t="s">
        <v>1460</v>
      </c>
      <c r="B7087" s="1" t="s">
        <v>7110</v>
      </c>
    </row>
    <row r="7088" spans="1:2" ht="18.75">
      <c r="A7088" s="94" t="s">
        <v>1462</v>
      </c>
      <c r="B7088" s="1" t="s">
        <v>7110</v>
      </c>
    </row>
    <row r="7089" spans="1:2" ht="18.75">
      <c r="A7089" s="94" t="s">
        <v>1465</v>
      </c>
      <c r="B7089" s="1" t="s">
        <v>7110</v>
      </c>
    </row>
    <row r="7090" spans="1:2" ht="18.75">
      <c r="A7090" s="94" t="s">
        <v>1103</v>
      </c>
      <c r="B7090" s="1" t="s">
        <v>7110</v>
      </c>
    </row>
    <row r="7091" spans="1:2" ht="18.75">
      <c r="A7091" s="94" t="s">
        <v>1459</v>
      </c>
      <c r="B7091" s="1" t="s">
        <v>7110</v>
      </c>
    </row>
    <row r="7092" spans="1:2" ht="18.75">
      <c r="A7092" s="94" t="s">
        <v>1376</v>
      </c>
      <c r="B7092" s="1" t="s">
        <v>7110</v>
      </c>
    </row>
    <row r="7093" spans="1:2" ht="18.75">
      <c r="A7093" s="94" t="s">
        <v>1402</v>
      </c>
      <c r="B7093" s="1" t="s">
        <v>7110</v>
      </c>
    </row>
    <row r="7094" spans="1:2" ht="18.75">
      <c r="A7094" s="94" t="s">
        <v>1360</v>
      </c>
      <c r="B7094" s="1" t="s">
        <v>7110</v>
      </c>
    </row>
    <row r="7095" spans="1:2" ht="18.75">
      <c r="A7095" s="94" t="s">
        <v>1377</v>
      </c>
      <c r="B7095" s="1" t="s">
        <v>7110</v>
      </c>
    </row>
    <row r="7096" spans="1:2" ht="18.75">
      <c r="A7096" s="94" t="s">
        <v>1113</v>
      </c>
      <c r="B7096" s="1" t="s">
        <v>7110</v>
      </c>
    </row>
    <row r="7097" spans="1:2" ht="18.75">
      <c r="A7097" s="94" t="s">
        <v>1472</v>
      </c>
      <c r="B7097" s="1" t="s">
        <v>7110</v>
      </c>
    </row>
    <row r="7098" spans="1:2" ht="18.75">
      <c r="A7098" s="94" t="s">
        <v>1458</v>
      </c>
      <c r="B7098" s="1" t="s">
        <v>7110</v>
      </c>
    </row>
    <row r="7099" spans="1:2" ht="18.75">
      <c r="A7099" s="94" t="s">
        <v>1474</v>
      </c>
      <c r="B7099" s="1" t="s">
        <v>7110</v>
      </c>
    </row>
    <row r="7100" spans="1:2" ht="18.75">
      <c r="A7100" s="94" t="s">
        <v>1475</v>
      </c>
      <c r="B7100" s="1" t="s">
        <v>7110</v>
      </c>
    </row>
    <row r="7101" spans="1:2" ht="18.75">
      <c r="A7101" s="94" t="s">
        <v>1476</v>
      </c>
      <c r="B7101" s="1" t="s">
        <v>7110</v>
      </c>
    </row>
    <row r="7102" spans="1:2" ht="18.75">
      <c r="A7102" s="94" t="s">
        <v>1367</v>
      </c>
      <c r="B7102" s="1" t="s">
        <v>7110</v>
      </c>
    </row>
    <row r="7103" spans="1:2" ht="18.75">
      <c r="A7103" s="94" t="s">
        <v>1477</v>
      </c>
      <c r="B7103" s="1" t="s">
        <v>7110</v>
      </c>
    </row>
    <row r="7104" spans="1:2" ht="18.75">
      <c r="A7104" s="94" t="s">
        <v>1408</v>
      </c>
      <c r="B7104" s="1" t="s">
        <v>7110</v>
      </c>
    </row>
    <row r="7105" spans="1:2" ht="18.75">
      <c r="A7105" s="94" t="s">
        <v>1479</v>
      </c>
      <c r="B7105" s="1" t="s">
        <v>7110</v>
      </c>
    </row>
    <row r="7106" spans="1:2" ht="18.75">
      <c r="A7106" s="94" t="s">
        <v>1406</v>
      </c>
      <c r="B7106" s="1" t="s">
        <v>7110</v>
      </c>
    </row>
    <row r="7107" spans="1:2" ht="18.75">
      <c r="A7107" s="94" t="s">
        <v>1481</v>
      </c>
      <c r="B7107" s="1" t="s">
        <v>7110</v>
      </c>
    </row>
    <row r="7108" spans="1:2" ht="18.75">
      <c r="A7108" s="94" t="s">
        <v>1482</v>
      </c>
      <c r="B7108" s="1" t="s">
        <v>7110</v>
      </c>
    </row>
    <row r="7109" spans="1:2" ht="18.75">
      <c r="A7109" s="94" t="s">
        <v>1481</v>
      </c>
      <c r="B7109" s="1" t="s">
        <v>7110</v>
      </c>
    </row>
    <row r="7110" spans="1:2" ht="18.75">
      <c r="A7110" s="94" t="s">
        <v>1482</v>
      </c>
      <c r="B7110" s="1" t="s">
        <v>7110</v>
      </c>
    </row>
    <row r="7111" spans="1:2" ht="18.75">
      <c r="A7111" s="94" t="s">
        <v>1484</v>
      </c>
      <c r="B7111" s="1" t="s">
        <v>7110</v>
      </c>
    </row>
    <row r="7112" spans="1:2" ht="18.75">
      <c r="A7112" s="94" t="s">
        <v>1472</v>
      </c>
      <c r="B7112" s="1" t="s">
        <v>7110</v>
      </c>
    </row>
    <row r="7113" spans="1:2" ht="18.75">
      <c r="A7113" s="94" t="s">
        <v>1352</v>
      </c>
      <c r="B7113" s="1" t="s">
        <v>7110</v>
      </c>
    </row>
    <row r="7114" spans="1:2" ht="18.75">
      <c r="A7114" s="94" t="s">
        <v>1460</v>
      </c>
      <c r="B7114" s="1" t="s">
        <v>7110</v>
      </c>
    </row>
    <row r="7115" spans="1:2" ht="18.75">
      <c r="A7115" s="94" t="s">
        <v>1411</v>
      </c>
      <c r="B7115" s="1" t="s">
        <v>7110</v>
      </c>
    </row>
    <row r="7116" spans="1:2" ht="18.75">
      <c r="A7116" s="94" t="s">
        <v>1408</v>
      </c>
      <c r="B7116" s="1" t="s">
        <v>7110</v>
      </c>
    </row>
    <row r="7117" spans="1:2" ht="18.75">
      <c r="A7117" s="94" t="s">
        <v>1481</v>
      </c>
      <c r="B7117" s="1" t="s">
        <v>7110</v>
      </c>
    </row>
    <row r="7118" spans="1:2" ht="18.75">
      <c r="A7118" s="94" t="s">
        <v>1347</v>
      </c>
      <c r="B7118" s="1" t="s">
        <v>7110</v>
      </c>
    </row>
    <row r="7119" spans="1:2" ht="18.75">
      <c r="A7119" s="94" t="s">
        <v>1348</v>
      </c>
      <c r="B7119" s="1" t="s">
        <v>7110</v>
      </c>
    </row>
    <row r="7120" spans="1:2" ht="18.75">
      <c r="A7120" s="94" t="s">
        <v>1491</v>
      </c>
      <c r="B7120" s="1" t="s">
        <v>7110</v>
      </c>
    </row>
    <row r="7121" spans="1:2" ht="18.75">
      <c r="A7121" s="94" t="s">
        <v>1491</v>
      </c>
      <c r="B7121" s="1" t="s">
        <v>7110</v>
      </c>
    </row>
    <row r="7122" spans="1:2" ht="18.75">
      <c r="A7122" s="94" t="s">
        <v>1492</v>
      </c>
      <c r="B7122" s="1" t="s">
        <v>7110</v>
      </c>
    </row>
    <row r="7123" spans="1:2" ht="18.75">
      <c r="A7123" s="94" t="s">
        <v>1491</v>
      </c>
      <c r="B7123" s="1" t="s">
        <v>7110</v>
      </c>
    </row>
    <row r="7124" spans="1:2" ht="18.75">
      <c r="A7124" s="94" t="s">
        <v>1493</v>
      </c>
      <c r="B7124" s="1" t="s">
        <v>7110</v>
      </c>
    </row>
    <row r="7125" spans="1:2" ht="18.75">
      <c r="A7125" s="94" t="s">
        <v>1347</v>
      </c>
      <c r="B7125" s="1" t="s">
        <v>7110</v>
      </c>
    </row>
    <row r="7126" spans="1:2" ht="18.75">
      <c r="A7126" s="94" t="s">
        <v>1384</v>
      </c>
      <c r="B7126" s="1" t="s">
        <v>7110</v>
      </c>
    </row>
    <row r="7127" spans="1:2" ht="18.75">
      <c r="A7127" s="94" t="s">
        <v>1347</v>
      </c>
      <c r="B7127" s="1" t="s">
        <v>7110</v>
      </c>
    </row>
    <row r="7128" spans="1:2" ht="18.75">
      <c r="A7128" s="94" t="s">
        <v>1347</v>
      </c>
      <c r="B7128" s="1" t="s">
        <v>7110</v>
      </c>
    </row>
    <row r="7129" spans="1:2" ht="18.75">
      <c r="A7129" s="94" t="s">
        <v>1495</v>
      </c>
      <c r="B7129" s="1" t="s">
        <v>7110</v>
      </c>
    </row>
    <row r="7130" spans="1:2" ht="18.75">
      <c r="A7130" s="94" t="s">
        <v>1493</v>
      </c>
      <c r="B7130" s="1" t="s">
        <v>7110</v>
      </c>
    </row>
    <row r="7131" spans="1:2" ht="18.75">
      <c r="A7131" s="94" t="s">
        <v>1495</v>
      </c>
      <c r="B7131" s="1" t="s">
        <v>7110</v>
      </c>
    </row>
    <row r="7132" spans="1:2" ht="18.75">
      <c r="A7132" s="94" t="s">
        <v>1493</v>
      </c>
      <c r="B7132" s="1" t="s">
        <v>7110</v>
      </c>
    </row>
    <row r="7133" spans="1:2" ht="18.75">
      <c r="A7133" s="94" t="s">
        <v>1347</v>
      </c>
      <c r="B7133" s="1" t="s">
        <v>7110</v>
      </c>
    </row>
    <row r="7134" spans="1:2" ht="18.75">
      <c r="A7134" s="94" t="s">
        <v>1347</v>
      </c>
      <c r="B7134" s="1" t="s">
        <v>7110</v>
      </c>
    </row>
    <row r="7135" spans="1:2" ht="18.75">
      <c r="A7135" s="94" t="s">
        <v>1348</v>
      </c>
      <c r="B7135" s="1" t="s">
        <v>7110</v>
      </c>
    </row>
    <row r="7136" spans="1:2" ht="18.75">
      <c r="A7136" s="94" t="s">
        <v>1390</v>
      </c>
      <c r="B7136" s="1" t="s">
        <v>7110</v>
      </c>
    </row>
    <row r="7137" spans="1:2" ht="18.75">
      <c r="A7137" s="94" t="s">
        <v>1348</v>
      </c>
      <c r="B7137" s="1" t="s">
        <v>7110</v>
      </c>
    </row>
    <row r="7138" spans="1:2" ht="18.75">
      <c r="A7138" s="94" t="s">
        <v>1496</v>
      </c>
      <c r="B7138" s="1" t="s">
        <v>7110</v>
      </c>
    </row>
    <row r="7139" spans="1:2" ht="18.75">
      <c r="A7139" s="94" t="s">
        <v>1344</v>
      </c>
      <c r="B7139" s="1" t="s">
        <v>7110</v>
      </c>
    </row>
    <row r="7140" spans="1:2" ht="18.75">
      <c r="A7140" s="94" t="s">
        <v>1497</v>
      </c>
      <c r="B7140" s="1" t="s">
        <v>7110</v>
      </c>
    </row>
    <row r="7141" spans="1:2" ht="18.75">
      <c r="A7141" s="94" t="s">
        <v>1497</v>
      </c>
      <c r="B7141" s="1" t="s">
        <v>7110</v>
      </c>
    </row>
    <row r="7142" spans="1:2" ht="18.75">
      <c r="A7142" s="94" t="s">
        <v>1224</v>
      </c>
      <c r="B7142" s="1" t="s">
        <v>7110</v>
      </c>
    </row>
    <row r="7143" spans="1:2" ht="18.75">
      <c r="A7143" s="94" t="s">
        <v>1497</v>
      </c>
      <c r="B7143" s="1" t="s">
        <v>7110</v>
      </c>
    </row>
    <row r="7144" spans="1:2" ht="18.75">
      <c r="A7144" s="94" t="s">
        <v>1384</v>
      </c>
      <c r="B7144" s="1" t="s">
        <v>7110</v>
      </c>
    </row>
    <row r="7145" spans="1:2" ht="18.75">
      <c r="A7145" s="94" t="s">
        <v>1500</v>
      </c>
      <c r="B7145" s="1" t="s">
        <v>7110</v>
      </c>
    </row>
    <row r="7146" spans="1:2" ht="18.75">
      <c r="A7146" s="94" t="s">
        <v>1502</v>
      </c>
      <c r="B7146" s="1" t="s">
        <v>7110</v>
      </c>
    </row>
    <row r="7147" spans="1:2" ht="18.75">
      <c r="A7147" s="94" t="s">
        <v>1504</v>
      </c>
      <c r="B7147" s="1" t="s">
        <v>7110</v>
      </c>
    </row>
    <row r="7148" spans="1:2" ht="18.75">
      <c r="A7148" s="94" t="s">
        <v>1504</v>
      </c>
      <c r="B7148" s="1" t="s">
        <v>7110</v>
      </c>
    </row>
    <row r="7149" spans="1:2" ht="18.75">
      <c r="A7149" s="94" t="s">
        <v>1450</v>
      </c>
      <c r="B7149" s="1" t="s">
        <v>7110</v>
      </c>
    </row>
    <row r="7150" spans="1:2" ht="18.75">
      <c r="A7150" s="94" t="s">
        <v>1504</v>
      </c>
      <c r="B7150" s="1" t="s">
        <v>7110</v>
      </c>
    </row>
    <row r="7151" spans="1:2" ht="18.75">
      <c r="A7151" s="94" t="s">
        <v>1506</v>
      </c>
      <c r="B7151" s="1" t="s">
        <v>7110</v>
      </c>
    </row>
    <row r="7152" spans="1:2" ht="18.75">
      <c r="A7152" s="94" t="s">
        <v>1507</v>
      </c>
      <c r="B7152" s="1" t="s">
        <v>7110</v>
      </c>
    </row>
    <row r="7153" spans="1:2" ht="18.75">
      <c r="A7153" s="94" t="s">
        <v>1508</v>
      </c>
      <c r="B7153" s="1" t="s">
        <v>7110</v>
      </c>
    </row>
    <row r="7154" spans="1:2" ht="18.75">
      <c r="A7154" s="94" t="s">
        <v>1509</v>
      </c>
      <c r="B7154" s="1" t="s">
        <v>7110</v>
      </c>
    </row>
    <row r="7155" spans="1:2" ht="18.75">
      <c r="A7155" s="94" t="s">
        <v>1459</v>
      </c>
      <c r="B7155" s="1" t="s">
        <v>7110</v>
      </c>
    </row>
    <row r="7156" spans="1:2" ht="18.75">
      <c r="A7156" s="94" t="s">
        <v>1511</v>
      </c>
      <c r="B7156" s="1" t="s">
        <v>7110</v>
      </c>
    </row>
    <row r="7157" spans="1:2" ht="18.75">
      <c r="A7157" s="94" t="s">
        <v>1512</v>
      </c>
      <c r="B7157" s="1" t="s">
        <v>7110</v>
      </c>
    </row>
    <row r="7158" spans="1:2" ht="18.75">
      <c r="A7158" s="94" t="s">
        <v>1403</v>
      </c>
      <c r="B7158" s="1" t="s">
        <v>7110</v>
      </c>
    </row>
    <row r="7159" spans="1:2" ht="18.75">
      <c r="A7159" s="94" t="s">
        <v>1513</v>
      </c>
      <c r="B7159" s="1" t="s">
        <v>7110</v>
      </c>
    </row>
    <row r="7160" spans="1:2" ht="18.75">
      <c r="A7160" s="94" t="s">
        <v>1507</v>
      </c>
      <c r="B7160" s="1" t="s">
        <v>7110</v>
      </c>
    </row>
    <row r="7161" spans="1:2" ht="18.75">
      <c r="A7161" s="94" t="s">
        <v>1515</v>
      </c>
      <c r="B7161" s="1" t="s">
        <v>7110</v>
      </c>
    </row>
    <row r="7162" spans="1:2" ht="18.75">
      <c r="A7162" s="94" t="s">
        <v>1516</v>
      </c>
      <c r="B7162" s="1" t="s">
        <v>7110</v>
      </c>
    </row>
    <row r="7163" spans="1:2" ht="18.75">
      <c r="A7163" s="94" t="s">
        <v>1517</v>
      </c>
      <c r="B7163" s="1" t="s">
        <v>7110</v>
      </c>
    </row>
    <row r="7164" spans="1:2" ht="18.75">
      <c r="A7164" s="94" t="s">
        <v>1518</v>
      </c>
      <c r="B7164" s="1" t="s">
        <v>7110</v>
      </c>
    </row>
    <row r="7165" spans="1:2" ht="18.75">
      <c r="A7165" s="94" t="s">
        <v>1519</v>
      </c>
      <c r="B7165" s="1" t="s">
        <v>7110</v>
      </c>
    </row>
    <row r="7166" spans="1:2" ht="18.75">
      <c r="A7166" s="94" t="s">
        <v>1520</v>
      </c>
      <c r="B7166" s="1" t="s">
        <v>7110</v>
      </c>
    </row>
    <row r="7167" spans="1:2" ht="18.75">
      <c r="A7167" s="94" t="s">
        <v>1521</v>
      </c>
      <c r="B7167" s="1" t="s">
        <v>7110</v>
      </c>
    </row>
    <row r="7168" spans="1:2" ht="18.75">
      <c r="A7168" s="94" t="s">
        <v>1522</v>
      </c>
      <c r="B7168" s="1" t="s">
        <v>7110</v>
      </c>
    </row>
    <row r="7169" spans="1:2" ht="18.75">
      <c r="A7169" s="94" t="s">
        <v>1523</v>
      </c>
      <c r="B7169" s="1" t="s">
        <v>7110</v>
      </c>
    </row>
    <row r="7170" spans="1:2" ht="18.75">
      <c r="A7170" s="94" t="s">
        <v>1513</v>
      </c>
      <c r="B7170" s="1" t="s">
        <v>7110</v>
      </c>
    </row>
    <row r="7171" spans="1:2" ht="18.75">
      <c r="A7171" s="94" t="s">
        <v>1525</v>
      </c>
      <c r="B7171" s="1" t="s">
        <v>7110</v>
      </c>
    </row>
    <row r="7172" spans="1:2" ht="18.75">
      <c r="A7172" s="94" t="s">
        <v>1526</v>
      </c>
      <c r="B7172" s="1" t="s">
        <v>7110</v>
      </c>
    </row>
    <row r="7173" spans="1:2" ht="18.75">
      <c r="A7173" s="94" t="s">
        <v>1552</v>
      </c>
      <c r="B7173" s="1" t="s">
        <v>7110</v>
      </c>
    </row>
    <row r="7174" spans="1:2" ht="18.75">
      <c r="A7174" s="94" t="s">
        <v>1525</v>
      </c>
      <c r="B7174" s="1" t="s">
        <v>7110</v>
      </c>
    </row>
    <row r="7175" spans="1:2" ht="18.75">
      <c r="A7175" s="94" t="s">
        <v>1527</v>
      </c>
      <c r="B7175" s="1" t="s">
        <v>7110</v>
      </c>
    </row>
    <row r="7176" spans="1:2" ht="18.75">
      <c r="A7176" s="94" t="s">
        <v>1528</v>
      </c>
      <c r="B7176" s="1" t="s">
        <v>7110</v>
      </c>
    </row>
    <row r="7177" spans="1:2" ht="18.75">
      <c r="A7177" s="94" t="s">
        <v>1529</v>
      </c>
      <c r="B7177" s="1" t="s">
        <v>7110</v>
      </c>
    </row>
    <row r="7178" spans="1:2" ht="18.75">
      <c r="A7178" s="94" t="s">
        <v>1530</v>
      </c>
      <c r="B7178" s="1" t="s">
        <v>7110</v>
      </c>
    </row>
    <row r="7179" spans="1:2" ht="18.75">
      <c r="A7179" s="94" t="s">
        <v>1531</v>
      </c>
      <c r="B7179" s="1" t="s">
        <v>7110</v>
      </c>
    </row>
    <row r="7180" spans="1:2" ht="18.75">
      <c r="A7180" s="94" t="s">
        <v>1224</v>
      </c>
      <c r="B7180" s="1" t="s">
        <v>7110</v>
      </c>
    </row>
    <row r="7181" spans="1:2" ht="18.75">
      <c r="A7181" s="94" t="s">
        <v>1386</v>
      </c>
      <c r="B7181" s="1" t="s">
        <v>7110</v>
      </c>
    </row>
    <row r="7182" spans="1:2" ht="18.75">
      <c r="A7182" s="94" t="s">
        <v>1384</v>
      </c>
      <c r="B7182" s="1" t="s">
        <v>7110</v>
      </c>
    </row>
    <row r="7183" spans="1:2" ht="18.75">
      <c r="A7183" s="94" t="s">
        <v>1272</v>
      </c>
      <c r="B7183" s="1" t="s">
        <v>7110</v>
      </c>
    </row>
    <row r="7184" spans="1:2" ht="18.75">
      <c r="A7184" s="94" t="s">
        <v>1384</v>
      </c>
      <c r="B7184" s="1" t="s">
        <v>7110</v>
      </c>
    </row>
    <row r="7185" spans="1:2" ht="18.75">
      <c r="A7185" s="94" t="s">
        <v>1272</v>
      </c>
      <c r="B7185" s="1" t="s">
        <v>7110</v>
      </c>
    </row>
    <row r="7186" spans="1:2" ht="18.75">
      <c r="A7186" s="94" t="s">
        <v>1535</v>
      </c>
      <c r="B7186" s="1" t="s">
        <v>7110</v>
      </c>
    </row>
    <row r="7187" spans="1:2" ht="18.75">
      <c r="A7187" s="94" t="s">
        <v>1536</v>
      </c>
      <c r="B7187" s="1" t="s">
        <v>7110</v>
      </c>
    </row>
    <row r="7188" spans="1:2" ht="18.75">
      <c r="A7188" s="94" t="s">
        <v>1404</v>
      </c>
      <c r="B7188" s="1" t="s">
        <v>7110</v>
      </c>
    </row>
    <row r="7189" spans="1:2" ht="18.75">
      <c r="A7189" s="94" t="s">
        <v>1538</v>
      </c>
      <c r="B7189" s="1" t="s">
        <v>7110</v>
      </c>
    </row>
    <row r="7190" spans="1:2" ht="18.75">
      <c r="A7190" s="94" t="s">
        <v>1411</v>
      </c>
      <c r="B7190" s="1" t="s">
        <v>7110</v>
      </c>
    </row>
    <row r="7191" spans="1:2" ht="18.75">
      <c r="A7191" s="94" t="s">
        <v>1412</v>
      </c>
      <c r="B7191" s="1" t="s">
        <v>7110</v>
      </c>
    </row>
    <row r="7192" spans="1:2" ht="18.75">
      <c r="A7192" s="94" t="s">
        <v>1539</v>
      </c>
      <c r="B7192" s="1" t="s">
        <v>7110</v>
      </c>
    </row>
    <row r="7193" spans="1:2" ht="18.75">
      <c r="A7193" s="94" t="s">
        <v>1113</v>
      </c>
      <c r="B7193" s="1" t="s">
        <v>7110</v>
      </c>
    </row>
    <row r="7194" spans="1:2" ht="18.75">
      <c r="A7194" s="94" t="s">
        <v>1540</v>
      </c>
      <c r="B7194" s="1" t="s">
        <v>7110</v>
      </c>
    </row>
    <row r="7195" spans="1:2" ht="18.75">
      <c r="A7195" s="94" t="s">
        <v>1507</v>
      </c>
      <c r="B7195" s="1" t="s">
        <v>7110</v>
      </c>
    </row>
    <row r="7196" spans="1:2" ht="18.75">
      <c r="A7196" s="94" t="s">
        <v>1411</v>
      </c>
      <c r="B7196" s="1" t="s">
        <v>7110</v>
      </c>
    </row>
    <row r="7197" spans="1:2" ht="18.75">
      <c r="A7197" s="94" t="s">
        <v>1543</v>
      </c>
      <c r="B7197" s="1" t="s">
        <v>7110</v>
      </c>
    </row>
    <row r="7198" spans="1:2" ht="18.75">
      <c r="A7198" s="94" t="s">
        <v>1545</v>
      </c>
      <c r="B7198" s="1" t="s">
        <v>7110</v>
      </c>
    </row>
    <row r="7199" spans="1:2" ht="18.75">
      <c r="A7199" s="94" t="s">
        <v>1545</v>
      </c>
      <c r="B7199" s="1" t="s">
        <v>7110</v>
      </c>
    </row>
    <row r="7200" spans="1:2" ht="18.75">
      <c r="A7200" s="94" t="s">
        <v>1504</v>
      </c>
      <c r="B7200" s="1" t="s">
        <v>7110</v>
      </c>
    </row>
    <row r="7201" spans="1:2" ht="18.75">
      <c r="A7201" s="94" t="s">
        <v>1543</v>
      </c>
      <c r="B7201" s="1" t="s">
        <v>7110</v>
      </c>
    </row>
    <row r="7202" spans="1:2" ht="18.75">
      <c r="A7202" s="94" t="s">
        <v>1549</v>
      </c>
      <c r="B7202" s="1" t="s">
        <v>7110</v>
      </c>
    </row>
    <row r="7203" spans="1:2" ht="18.75">
      <c r="A7203" s="94" t="s">
        <v>1550</v>
      </c>
      <c r="B7203" s="1" t="s">
        <v>7110</v>
      </c>
    </row>
    <row r="7204" spans="1:2" ht="18.75">
      <c r="A7204" s="94" t="s">
        <v>1411</v>
      </c>
      <c r="B7204" s="1" t="s">
        <v>7110</v>
      </c>
    </row>
    <row r="7205" spans="1:2" ht="18.75">
      <c r="A7205" s="94" t="s">
        <v>1552</v>
      </c>
      <c r="B7205" s="1" t="s">
        <v>7110</v>
      </c>
    </row>
    <row r="7206" spans="1:2" ht="18.75">
      <c r="A7206" s="94" t="s">
        <v>1504</v>
      </c>
      <c r="B7206" s="1" t="s">
        <v>7110</v>
      </c>
    </row>
    <row r="7207" spans="1:2" ht="18.75">
      <c r="A7207" s="94" t="s">
        <v>1347</v>
      </c>
      <c r="B7207" s="1" t="s">
        <v>7110</v>
      </c>
    </row>
    <row r="7208" spans="1:2" ht="18.75">
      <c r="A7208" s="94" t="s">
        <v>1347</v>
      </c>
      <c r="B7208" s="1" t="s">
        <v>7110</v>
      </c>
    </row>
    <row r="7209" spans="1:2" ht="18.75">
      <c r="A7209" s="94" t="s">
        <v>1344</v>
      </c>
      <c r="B7209" s="1" t="s">
        <v>7110</v>
      </c>
    </row>
    <row r="7210" spans="1:2" ht="18.75">
      <c r="A7210" s="94" t="s">
        <v>1390</v>
      </c>
      <c r="B7210" s="1" t="s">
        <v>7110</v>
      </c>
    </row>
    <row r="7211" spans="1:2" ht="18.75">
      <c r="A7211" s="94" t="s">
        <v>1344</v>
      </c>
      <c r="B7211" s="1" t="s">
        <v>7110</v>
      </c>
    </row>
    <row r="7212" spans="1:2" ht="18.75">
      <c r="A7212" s="94" t="s">
        <v>1491</v>
      </c>
      <c r="B7212" s="1" t="s">
        <v>7110</v>
      </c>
    </row>
    <row r="7213" spans="1:2" ht="18.75">
      <c r="A7213" s="94" t="s">
        <v>1344</v>
      </c>
      <c r="B7213" s="1" t="s">
        <v>7110</v>
      </c>
    </row>
    <row r="7214" spans="1:2" ht="18.75">
      <c r="A7214" s="94" t="s">
        <v>1492</v>
      </c>
      <c r="B7214" s="1" t="s">
        <v>7110</v>
      </c>
    </row>
    <row r="7215" spans="1:2" ht="18.75">
      <c r="A7215" s="94" t="s">
        <v>1491</v>
      </c>
      <c r="B7215" s="1" t="s">
        <v>7110</v>
      </c>
    </row>
    <row r="7216" spans="1:2" ht="18.75">
      <c r="A7216" s="94" t="s">
        <v>1495</v>
      </c>
      <c r="B7216" s="1" t="s">
        <v>7110</v>
      </c>
    </row>
    <row r="7217" spans="1:2" ht="18.75">
      <c r="A7217" s="94" t="s">
        <v>1390</v>
      </c>
      <c r="B7217" s="1" t="s">
        <v>7110</v>
      </c>
    </row>
    <row r="7218" spans="1:2" ht="18.75">
      <c r="A7218" s="94" t="s">
        <v>1554</v>
      </c>
      <c r="B7218" s="1" t="s">
        <v>7110</v>
      </c>
    </row>
    <row r="7219" spans="1:2" ht="18.75">
      <c r="A7219" s="94" t="s">
        <v>1555</v>
      </c>
      <c r="B7219" s="1" t="s">
        <v>7110</v>
      </c>
    </row>
    <row r="7220" spans="1:2" ht="18.75">
      <c r="A7220" s="94" t="s">
        <v>1555</v>
      </c>
      <c r="B7220" s="1" t="s">
        <v>7110</v>
      </c>
    </row>
    <row r="7221" spans="1:2" ht="18.75">
      <c r="A7221" s="94" t="s">
        <v>1556</v>
      </c>
      <c r="B7221" s="1" t="s">
        <v>7110</v>
      </c>
    </row>
    <row r="7222" spans="1:2" ht="18.75">
      <c r="A7222" s="94" t="s">
        <v>1554</v>
      </c>
      <c r="B7222" s="1" t="s">
        <v>7110</v>
      </c>
    </row>
    <row r="7223" spans="1:2" ht="18.75">
      <c r="A7223" s="94" t="s">
        <v>1557</v>
      </c>
      <c r="B7223" s="1" t="s">
        <v>7110</v>
      </c>
    </row>
    <row r="7224" spans="1:2" ht="18.75">
      <c r="A7224" s="94" t="s">
        <v>1555</v>
      </c>
      <c r="B7224" s="1" t="s">
        <v>7110</v>
      </c>
    </row>
    <row r="7225" spans="1:2" ht="18.75">
      <c r="A7225" s="94" t="s">
        <v>1557</v>
      </c>
      <c r="B7225" s="1" t="s">
        <v>7110</v>
      </c>
    </row>
    <row r="7226" spans="1:2" ht="18.75">
      <c r="A7226" s="94" t="s">
        <v>1495</v>
      </c>
      <c r="B7226" s="1" t="s">
        <v>7110</v>
      </c>
    </row>
    <row r="7227" spans="1:2" ht="18.75">
      <c r="A7227" s="94" t="s">
        <v>1492</v>
      </c>
      <c r="B7227" s="1" t="s">
        <v>7110</v>
      </c>
    </row>
    <row r="7228" spans="1:2" ht="18.75">
      <c r="A7228" s="94" t="s">
        <v>1492</v>
      </c>
      <c r="B7228" s="1" t="s">
        <v>7110</v>
      </c>
    </row>
    <row r="7229" spans="1:2" ht="18.75">
      <c r="A7229" s="94" t="s">
        <v>1495</v>
      </c>
      <c r="B7229" s="1" t="s">
        <v>7110</v>
      </c>
    </row>
    <row r="7230" spans="1:2" ht="18.75">
      <c r="A7230" s="94" t="s">
        <v>1557</v>
      </c>
      <c r="B7230" s="1" t="s">
        <v>7110</v>
      </c>
    </row>
    <row r="7231" spans="1:2" ht="18.75">
      <c r="A7231" s="94" t="s">
        <v>1555</v>
      </c>
      <c r="B7231" s="1" t="s">
        <v>7110</v>
      </c>
    </row>
    <row r="7232" spans="1:2" ht="18.75">
      <c r="A7232" s="94" t="s">
        <v>1557</v>
      </c>
      <c r="B7232" s="1" t="s">
        <v>7110</v>
      </c>
    </row>
    <row r="7233" spans="1:2" ht="18.75">
      <c r="A7233" s="94" t="s">
        <v>1555</v>
      </c>
      <c r="B7233" s="1" t="s">
        <v>7110</v>
      </c>
    </row>
    <row r="7234" spans="1:2" ht="18.75">
      <c r="A7234" s="94" t="s">
        <v>1492</v>
      </c>
      <c r="B7234" s="1" t="s">
        <v>7110</v>
      </c>
    </row>
    <row r="7235" spans="1:2" ht="18.75">
      <c r="A7235" s="94" t="s">
        <v>1390</v>
      </c>
      <c r="B7235" s="1" t="s">
        <v>7110</v>
      </c>
    </row>
    <row r="7236" spans="1:2" ht="18.75">
      <c r="A7236" s="94" t="s">
        <v>1227</v>
      </c>
      <c r="B7236" s="1" t="s">
        <v>7110</v>
      </c>
    </row>
    <row r="7237" spans="1:2" ht="18.75">
      <c r="A7237" s="94" t="s">
        <v>1492</v>
      </c>
      <c r="B7237" s="1" t="s">
        <v>7110</v>
      </c>
    </row>
    <row r="7238" spans="1:2" ht="18.75">
      <c r="A7238" s="94" t="s">
        <v>1555</v>
      </c>
      <c r="B7238" s="1" t="s">
        <v>7110</v>
      </c>
    </row>
    <row r="7239" spans="1:2" ht="18.75">
      <c r="A7239" s="94" t="s">
        <v>1555</v>
      </c>
      <c r="B7239" s="1" t="s">
        <v>7110</v>
      </c>
    </row>
    <row r="7240" spans="1:2" ht="18.75">
      <c r="A7240" s="94" t="s">
        <v>1555</v>
      </c>
      <c r="B7240" s="1" t="s">
        <v>7110</v>
      </c>
    </row>
    <row r="7241" spans="1:2" ht="18.75">
      <c r="A7241" s="94" t="s">
        <v>1554</v>
      </c>
      <c r="B7241" s="1" t="s">
        <v>7110</v>
      </c>
    </row>
    <row r="7242" spans="1:2" ht="18.75">
      <c r="A7242" s="94" t="s">
        <v>1558</v>
      </c>
      <c r="B7242" s="1" t="s">
        <v>7110</v>
      </c>
    </row>
    <row r="7243" spans="1:2" ht="18.75">
      <c r="A7243" s="94" t="s">
        <v>1559</v>
      </c>
      <c r="B7243" s="1" t="s">
        <v>7110</v>
      </c>
    </row>
    <row r="7244" spans="1:2" ht="18.75">
      <c r="A7244" s="94" t="s">
        <v>1558</v>
      </c>
      <c r="B7244" s="1" t="s">
        <v>7110</v>
      </c>
    </row>
    <row r="7245" spans="1:2" ht="18.75">
      <c r="A7245" s="94" t="s">
        <v>1560</v>
      </c>
      <c r="B7245" s="1" t="s">
        <v>7110</v>
      </c>
    </row>
    <row r="7246" spans="1:2" ht="18.75">
      <c r="A7246" s="94" t="s">
        <v>1563</v>
      </c>
      <c r="B7246" s="1" t="s">
        <v>7110</v>
      </c>
    </row>
    <row r="7247" spans="1:2" ht="18.75">
      <c r="A7247" s="94" t="s">
        <v>1513</v>
      </c>
      <c r="B7247" s="1" t="s">
        <v>7110</v>
      </c>
    </row>
    <row r="7248" spans="1:2" ht="18.75">
      <c r="A7248" s="94" t="s">
        <v>1285</v>
      </c>
      <c r="B7248" s="1" t="s">
        <v>7110</v>
      </c>
    </row>
    <row r="7249" spans="1:2" ht="18.75">
      <c r="A7249" s="94" t="s">
        <v>1419</v>
      </c>
      <c r="B7249" s="1" t="s">
        <v>7110</v>
      </c>
    </row>
    <row r="7250" spans="1:2" ht="18.75">
      <c r="A7250" s="94" t="s">
        <v>1407</v>
      </c>
      <c r="B7250" s="1" t="s">
        <v>7110</v>
      </c>
    </row>
    <row r="7251" spans="1:2" ht="18.75">
      <c r="A7251" s="94" t="s">
        <v>1564</v>
      </c>
      <c r="B7251" s="1" t="s">
        <v>7110</v>
      </c>
    </row>
    <row r="7252" spans="1:2" ht="18.75">
      <c r="A7252" s="94" t="s">
        <v>1569</v>
      </c>
      <c r="B7252" s="1" t="s">
        <v>7110</v>
      </c>
    </row>
    <row r="7253" spans="1:2" ht="18.75">
      <c r="A7253" s="94" t="s">
        <v>1570</v>
      </c>
      <c r="B7253" s="1" t="s">
        <v>7110</v>
      </c>
    </row>
    <row r="7254" spans="1:2" ht="18.75">
      <c r="A7254" s="94" t="s">
        <v>1571</v>
      </c>
      <c r="B7254" s="1" t="s">
        <v>7110</v>
      </c>
    </row>
    <row r="7255" spans="1:2" ht="18.75">
      <c r="A7255" s="94" t="s">
        <v>1572</v>
      </c>
      <c r="B7255" s="1" t="s">
        <v>7110</v>
      </c>
    </row>
    <row r="7256" spans="1:2" ht="18.75">
      <c r="A7256" s="94" t="s">
        <v>1412</v>
      </c>
      <c r="B7256" s="1" t="s">
        <v>7110</v>
      </c>
    </row>
    <row r="7257" spans="1:2" ht="18.75">
      <c r="A7257" s="94" t="s">
        <v>1520</v>
      </c>
      <c r="B7257" s="1" t="s">
        <v>7110</v>
      </c>
    </row>
    <row r="7258" spans="1:2" ht="18.75">
      <c r="A7258" s="94" t="s">
        <v>1574</v>
      </c>
      <c r="B7258" s="1" t="s">
        <v>7110</v>
      </c>
    </row>
    <row r="7259" spans="1:2" ht="18.75">
      <c r="A7259" s="94" t="s">
        <v>1575</v>
      </c>
      <c r="B7259" s="1" t="s">
        <v>7110</v>
      </c>
    </row>
    <row r="7260" spans="1:2" ht="18.75">
      <c r="A7260" s="94" t="s">
        <v>1543</v>
      </c>
      <c r="B7260" s="1" t="s">
        <v>7110</v>
      </c>
    </row>
    <row r="7261" spans="1:2" ht="18.75">
      <c r="A7261" s="94" t="s">
        <v>1513</v>
      </c>
      <c r="B7261" s="1" t="s">
        <v>7110</v>
      </c>
    </row>
    <row r="7262" spans="1:2" ht="18.75">
      <c r="A7262" s="94" t="s">
        <v>1419</v>
      </c>
      <c r="B7262" s="1" t="s">
        <v>7110</v>
      </c>
    </row>
    <row r="7263" spans="1:2" ht="18.75">
      <c r="A7263" s="94" t="s">
        <v>1576</v>
      </c>
      <c r="B7263" s="1" t="s">
        <v>7110</v>
      </c>
    </row>
    <row r="7264" spans="1:2" ht="18.75">
      <c r="A7264" s="94" t="s">
        <v>1507</v>
      </c>
      <c r="B7264" s="1" t="s">
        <v>7110</v>
      </c>
    </row>
    <row r="7265" spans="1:2" ht="18.75">
      <c r="A7265" s="94" t="s">
        <v>1574</v>
      </c>
      <c r="B7265" s="1" t="s">
        <v>7110</v>
      </c>
    </row>
    <row r="7266" spans="1:2" ht="18.75">
      <c r="A7266" s="94" t="s">
        <v>1579</v>
      </c>
      <c r="B7266" s="1" t="s">
        <v>7110</v>
      </c>
    </row>
    <row r="7267" spans="1:2" ht="18.75">
      <c r="A7267" s="94" t="s">
        <v>1520</v>
      </c>
      <c r="B7267" s="1" t="s">
        <v>7110</v>
      </c>
    </row>
    <row r="7268" spans="1:2" ht="18.75">
      <c r="A7268" s="94" t="s">
        <v>1580</v>
      </c>
      <c r="B7268" s="1" t="s">
        <v>7110</v>
      </c>
    </row>
    <row r="7269" spans="1:2" ht="18.75">
      <c r="A7269" s="94" t="s">
        <v>1481</v>
      </c>
      <c r="B7269" s="1" t="s">
        <v>7110</v>
      </c>
    </row>
    <row r="7270" spans="1:2" ht="18.75">
      <c r="A7270" s="94" t="s">
        <v>1521</v>
      </c>
      <c r="B7270" s="1" t="s">
        <v>7110</v>
      </c>
    </row>
    <row r="7271" spans="1:2" ht="18.75">
      <c r="A7271" s="94" t="s">
        <v>1581</v>
      </c>
      <c r="B7271" s="1" t="s">
        <v>7110</v>
      </c>
    </row>
    <row r="7272" spans="1:2" ht="18.75">
      <c r="A7272" s="94" t="s">
        <v>1582</v>
      </c>
      <c r="B7272" s="1" t="s">
        <v>7110</v>
      </c>
    </row>
    <row r="7273" spans="1:2" ht="18.75">
      <c r="A7273" s="94" t="s">
        <v>1584</v>
      </c>
      <c r="B7273" s="1" t="s">
        <v>7110</v>
      </c>
    </row>
    <row r="7274" spans="1:2" ht="18.75">
      <c r="A7274" s="94" t="s">
        <v>1491</v>
      </c>
      <c r="B7274" s="1" t="s">
        <v>7110</v>
      </c>
    </row>
    <row r="7275" spans="1:2" ht="18.75">
      <c r="A7275" s="94" t="s">
        <v>1557</v>
      </c>
      <c r="B7275" s="1" t="s">
        <v>7110</v>
      </c>
    </row>
    <row r="7276" spans="1:2" ht="18.75">
      <c r="A7276" s="94" t="s">
        <v>1212</v>
      </c>
      <c r="B7276" s="1" t="s">
        <v>7110</v>
      </c>
    </row>
    <row r="7277" spans="1:2" ht="18.75">
      <c r="A7277" s="94" t="s">
        <v>1212</v>
      </c>
      <c r="B7277" s="1" t="s">
        <v>7110</v>
      </c>
    </row>
    <row r="7278" spans="1:2" ht="18.75">
      <c r="A7278" s="94" t="s">
        <v>1586</v>
      </c>
      <c r="B7278" s="1" t="s">
        <v>7110</v>
      </c>
    </row>
    <row r="7279" spans="1:2" ht="18.75">
      <c r="A7279" s="94" t="s">
        <v>1557</v>
      </c>
      <c r="B7279" s="1" t="s">
        <v>7110</v>
      </c>
    </row>
    <row r="7280" spans="1:2" ht="18.75">
      <c r="A7280" s="94" t="s">
        <v>1557</v>
      </c>
      <c r="B7280" s="1" t="s">
        <v>7110</v>
      </c>
    </row>
    <row r="7281" spans="1:2" ht="18.75">
      <c r="A7281" s="94" t="s">
        <v>1556</v>
      </c>
      <c r="B7281" s="1" t="s">
        <v>7110</v>
      </c>
    </row>
    <row r="7282" spans="1:2" ht="18.75">
      <c r="A7282" s="94" t="s">
        <v>1556</v>
      </c>
      <c r="B7282" s="1" t="s">
        <v>7110</v>
      </c>
    </row>
    <row r="7283" spans="1:2" ht="18.75">
      <c r="A7283" s="94" t="s">
        <v>1224</v>
      </c>
      <c r="B7283" s="1" t="s">
        <v>7110</v>
      </c>
    </row>
    <row r="7284" spans="1:2" ht="18.75">
      <c r="A7284" s="94" t="s">
        <v>1224</v>
      </c>
      <c r="B7284" s="1" t="s">
        <v>7110</v>
      </c>
    </row>
    <row r="7285" spans="1:2" ht="18.75">
      <c r="A7285" s="94" t="s">
        <v>1556</v>
      </c>
      <c r="B7285" s="1" t="s">
        <v>7110</v>
      </c>
    </row>
    <row r="7286" spans="1:2" ht="18.75">
      <c r="A7286" s="94" t="s">
        <v>1113</v>
      </c>
      <c r="B7286" s="1" t="s">
        <v>7110</v>
      </c>
    </row>
    <row r="7287" spans="1:2" ht="18.75">
      <c r="A7287" s="94" t="s">
        <v>1589</v>
      </c>
      <c r="B7287" s="1" t="s">
        <v>7110</v>
      </c>
    </row>
    <row r="7288" spans="1:2" ht="18.75">
      <c r="A7288" s="94" t="s">
        <v>1590</v>
      </c>
      <c r="B7288" s="1" t="s">
        <v>7110</v>
      </c>
    </row>
    <row r="7289" spans="1:2" ht="18.75">
      <c r="A7289" s="94" t="s">
        <v>1515</v>
      </c>
      <c r="B7289" s="1" t="s">
        <v>7110</v>
      </c>
    </row>
    <row r="7290" spans="1:2" ht="18.75">
      <c r="A7290" s="94" t="s">
        <v>1484</v>
      </c>
      <c r="B7290" s="1" t="s">
        <v>7110</v>
      </c>
    </row>
    <row r="7291" spans="1:2" ht="18.75">
      <c r="A7291" s="94" t="s">
        <v>1535</v>
      </c>
      <c r="B7291" s="1" t="s">
        <v>7110</v>
      </c>
    </row>
    <row r="7292" spans="1:2" ht="18.75">
      <c r="A7292" s="94" t="s">
        <v>1507</v>
      </c>
      <c r="B7292" s="1" t="s">
        <v>7110</v>
      </c>
    </row>
    <row r="7293" spans="1:2" ht="18.75">
      <c r="A7293" s="94" t="s">
        <v>1509</v>
      </c>
      <c r="B7293" s="1" t="s">
        <v>7110</v>
      </c>
    </row>
    <row r="7294" spans="1:2" ht="18.75">
      <c r="A7294" s="94" t="s">
        <v>1593</v>
      </c>
      <c r="B7294" s="1" t="s">
        <v>7110</v>
      </c>
    </row>
    <row r="7295" spans="1:2" ht="18.75">
      <c r="A7295" s="94" t="s">
        <v>1563</v>
      </c>
      <c r="B7295" s="1" t="s">
        <v>7110</v>
      </c>
    </row>
    <row r="7296" spans="1:2" ht="18.75">
      <c r="A7296" s="94" t="s">
        <v>1593</v>
      </c>
      <c r="B7296" s="1" t="s">
        <v>7110</v>
      </c>
    </row>
    <row r="7297" spans="1:2" ht="18.75">
      <c r="A7297" s="94" t="s">
        <v>1527</v>
      </c>
      <c r="B7297" s="1" t="s">
        <v>7110</v>
      </c>
    </row>
    <row r="7298" spans="1:2" ht="18.75">
      <c r="A7298" s="94" t="s">
        <v>1596</v>
      </c>
      <c r="B7298" s="1" t="s">
        <v>7110</v>
      </c>
    </row>
    <row r="7299" spans="1:2" ht="18.75">
      <c r="A7299" s="94" t="s">
        <v>1569</v>
      </c>
      <c r="B7299" s="1" t="s">
        <v>7110</v>
      </c>
    </row>
    <row r="7300" spans="1:2" ht="18.75">
      <c r="A7300" s="94" t="s">
        <v>1217</v>
      </c>
      <c r="B7300" s="1" t="s">
        <v>7110</v>
      </c>
    </row>
    <row r="7301" spans="1:2" ht="18.75">
      <c r="A7301" s="94" t="s">
        <v>1609</v>
      </c>
      <c r="B7301" s="1" t="s">
        <v>7110</v>
      </c>
    </row>
    <row r="7302" spans="1:2" ht="18.75">
      <c r="A7302" s="94" t="s">
        <v>1610</v>
      </c>
      <c r="B7302" s="1" t="s">
        <v>7110</v>
      </c>
    </row>
    <row r="7303" spans="1:2" ht="18.75">
      <c r="A7303" s="94" t="s">
        <v>1611</v>
      </c>
      <c r="B7303" s="1" t="s">
        <v>7110</v>
      </c>
    </row>
    <row r="7304" spans="1:2" ht="18.75">
      <c r="A7304" s="94" t="s">
        <v>1584</v>
      </c>
      <c r="B7304" s="1" t="s">
        <v>7110</v>
      </c>
    </row>
    <row r="7305" spans="1:2" ht="18.75">
      <c r="A7305" s="94" t="s">
        <v>1584</v>
      </c>
      <c r="B7305" s="1" t="s">
        <v>7110</v>
      </c>
    </row>
    <row r="7306" spans="1:2" ht="18.75">
      <c r="A7306" s="94" t="s">
        <v>1580</v>
      </c>
      <c r="B7306" s="1" t="s">
        <v>7110</v>
      </c>
    </row>
    <row r="7307" spans="1:2" ht="18.75">
      <c r="A7307" s="94" t="s">
        <v>1612</v>
      </c>
      <c r="B7307" s="1" t="s">
        <v>7110</v>
      </c>
    </row>
    <row r="7308" spans="1:2" ht="18.75">
      <c r="A7308" s="94" t="s">
        <v>1668</v>
      </c>
      <c r="B7308" s="1" t="s">
        <v>7110</v>
      </c>
    </row>
    <row r="7309" spans="1:2" ht="18.75">
      <c r="A7309" s="94" t="s">
        <v>1653</v>
      </c>
      <c r="B7309" s="1" t="s">
        <v>7110</v>
      </c>
    </row>
    <row r="7310" spans="1:2" ht="18.75">
      <c r="A7310" s="94" t="s">
        <v>1611</v>
      </c>
      <c r="B7310" s="1" t="s">
        <v>7110</v>
      </c>
    </row>
    <row r="7311" spans="1:2" ht="18.75">
      <c r="A7311" s="94" t="s">
        <v>1622</v>
      </c>
      <c r="B7311" s="1" t="s">
        <v>7110</v>
      </c>
    </row>
    <row r="7312" spans="1:2" ht="18.75">
      <c r="A7312" s="94" t="s">
        <v>1571</v>
      </c>
      <c r="B7312" s="1" t="s">
        <v>7110</v>
      </c>
    </row>
    <row r="7313" spans="1:2" ht="18.75">
      <c r="A7313" s="94" t="s">
        <v>1751</v>
      </c>
      <c r="B7313" s="1" t="s">
        <v>7110</v>
      </c>
    </row>
    <row r="7314" spans="1:2" ht="18.75">
      <c r="A7314" s="94" t="s">
        <v>1113</v>
      </c>
      <c r="B7314" s="1" t="s">
        <v>7110</v>
      </c>
    </row>
    <row r="7315" spans="1:2" ht="18.75">
      <c r="A7315" s="94" t="s">
        <v>1375</v>
      </c>
      <c r="B7315" s="1" t="s">
        <v>7110</v>
      </c>
    </row>
    <row r="7316" spans="1:2" ht="18.75">
      <c r="A7316" s="94" t="s">
        <v>1406</v>
      </c>
      <c r="B7316" s="1" t="s">
        <v>7110</v>
      </c>
    </row>
    <row r="7317" spans="1:2" ht="18.75">
      <c r="A7317" s="94" t="s">
        <v>1635</v>
      </c>
      <c r="B7317" s="1" t="s">
        <v>7110</v>
      </c>
    </row>
    <row r="7318" spans="1:2" ht="18.75">
      <c r="A7318" s="94" t="s">
        <v>1662</v>
      </c>
      <c r="B7318" s="1" t="s">
        <v>7110</v>
      </c>
    </row>
    <row r="7319" spans="1:2" ht="18.75">
      <c r="A7319" s="94" t="s">
        <v>1403</v>
      </c>
      <c r="B7319" s="1" t="s">
        <v>7110</v>
      </c>
    </row>
    <row r="7320" spans="1:2" ht="18.75">
      <c r="A7320" s="94" t="s">
        <v>1620</v>
      </c>
      <c r="B7320" s="1" t="s">
        <v>7110</v>
      </c>
    </row>
    <row r="7321" spans="1:2" ht="18.75">
      <c r="A7321" s="94" t="s">
        <v>1429</v>
      </c>
      <c r="B7321" s="1" t="s">
        <v>7110</v>
      </c>
    </row>
    <row r="7322" spans="1:2" ht="18.75">
      <c r="A7322" s="94" t="s">
        <v>1633</v>
      </c>
      <c r="B7322" s="1" t="s">
        <v>7110</v>
      </c>
    </row>
    <row r="7323" spans="1:2" ht="18.75">
      <c r="A7323" s="94" t="s">
        <v>1536</v>
      </c>
      <c r="B7323" s="1" t="s">
        <v>7110</v>
      </c>
    </row>
    <row r="7324" spans="1:2" ht="18.75">
      <c r="A7324" s="94" t="s">
        <v>1552</v>
      </c>
      <c r="B7324" s="1" t="s">
        <v>7110</v>
      </c>
    </row>
    <row r="7325" spans="1:2" ht="18.75">
      <c r="A7325" s="94" t="s">
        <v>1631</v>
      </c>
      <c r="B7325" s="1" t="s">
        <v>7110</v>
      </c>
    </row>
    <row r="7326" spans="1:2" ht="18.75">
      <c r="A7326" s="94" t="s">
        <v>1520</v>
      </c>
      <c r="B7326" s="1" t="s">
        <v>7110</v>
      </c>
    </row>
    <row r="7327" spans="1:2" ht="18.75">
      <c r="A7327" s="94" t="s">
        <v>1655</v>
      </c>
      <c r="B7327" s="1" t="s">
        <v>7110</v>
      </c>
    </row>
    <row r="7328" spans="1:2" ht="18.75">
      <c r="A7328" s="94" t="s">
        <v>1658</v>
      </c>
      <c r="B7328" s="1" t="s">
        <v>7110</v>
      </c>
    </row>
    <row r="7329" spans="1:2" ht="18.75">
      <c r="A7329" s="94" t="s">
        <v>1412</v>
      </c>
      <c r="B7329" s="1" t="s">
        <v>7110</v>
      </c>
    </row>
    <row r="7330" spans="1:2" ht="18.75">
      <c r="A7330" s="94" t="s">
        <v>1535</v>
      </c>
      <c r="B7330" s="1" t="s">
        <v>7110</v>
      </c>
    </row>
    <row r="7331" spans="1:2" ht="18.75">
      <c r="A7331" s="94" t="s">
        <v>1649</v>
      </c>
      <c r="B7331" s="1" t="s">
        <v>7110</v>
      </c>
    </row>
    <row r="7332" spans="1:2" ht="18.75">
      <c r="A7332" s="94" t="s">
        <v>1569</v>
      </c>
      <c r="B7332" s="1" t="s">
        <v>7110</v>
      </c>
    </row>
    <row r="7333" spans="1:2" ht="18.75">
      <c r="A7333" s="94" t="s">
        <v>1655</v>
      </c>
      <c r="B7333" s="1" t="s">
        <v>7110</v>
      </c>
    </row>
    <row r="7334" spans="1:2" ht="18.75">
      <c r="A7334" s="94" t="s">
        <v>1740</v>
      </c>
      <c r="B7334" s="1" t="s">
        <v>7110</v>
      </c>
    </row>
    <row r="7335" spans="1:2" ht="18.75">
      <c r="A7335" s="94" t="s">
        <v>1507</v>
      </c>
      <c r="B7335" s="1" t="s">
        <v>7110</v>
      </c>
    </row>
    <row r="7336" spans="1:2" ht="18.75">
      <c r="A7336" s="94" t="s">
        <v>1658</v>
      </c>
      <c r="B7336" s="1" t="s">
        <v>7110</v>
      </c>
    </row>
    <row r="7337" spans="1:2" ht="18.75">
      <c r="A7337" s="94" t="s">
        <v>1584</v>
      </c>
      <c r="B7337" s="1" t="s">
        <v>7110</v>
      </c>
    </row>
    <row r="7338" spans="1:2" ht="18.75">
      <c r="A7338" s="94" t="s">
        <v>1655</v>
      </c>
      <c r="B7338" s="1" t="s">
        <v>7110</v>
      </c>
    </row>
    <row r="7339" spans="1:2" ht="18.75">
      <c r="A7339" s="94" t="s">
        <v>1500</v>
      </c>
      <c r="B7339" s="1" t="s">
        <v>7110</v>
      </c>
    </row>
    <row r="7340" spans="1:2" ht="18.75">
      <c r="A7340" s="94" t="s">
        <v>1612</v>
      </c>
      <c r="B7340" s="1" t="s">
        <v>7110</v>
      </c>
    </row>
    <row r="7341" spans="1:2" ht="18.75">
      <c r="A7341" s="94" t="s">
        <v>1572</v>
      </c>
      <c r="B7341" s="1" t="s">
        <v>7110</v>
      </c>
    </row>
    <row r="7342" spans="1:2" ht="18.75">
      <c r="A7342" s="94" t="s">
        <v>1653</v>
      </c>
      <c r="B7342" s="1" t="s">
        <v>7110</v>
      </c>
    </row>
    <row r="7343" spans="1:2" ht="18.75">
      <c r="A7343" s="94" t="s">
        <v>1741</v>
      </c>
      <c r="B7343" s="1" t="s">
        <v>7110</v>
      </c>
    </row>
    <row r="7344" spans="1:2" ht="18.75">
      <c r="A7344" s="94" t="s">
        <v>1629</v>
      </c>
      <c r="B7344" s="1" t="s">
        <v>7110</v>
      </c>
    </row>
    <row r="7345" spans="1:2" ht="18.75">
      <c r="A7345" s="94" t="s">
        <v>1637</v>
      </c>
      <c r="B7345" s="1" t="s">
        <v>7110</v>
      </c>
    </row>
    <row r="7346" spans="1:2" ht="18.75">
      <c r="A7346" s="94" t="s">
        <v>1636</v>
      </c>
      <c r="B7346" s="1" t="s">
        <v>7110</v>
      </c>
    </row>
    <row r="7347" spans="1:2" ht="18.75">
      <c r="A7347" s="94" t="s">
        <v>1624</v>
      </c>
      <c r="B7347" s="1" t="s">
        <v>7110</v>
      </c>
    </row>
    <row r="7348" spans="1:2" ht="18.75">
      <c r="A7348" s="94" t="s">
        <v>1641</v>
      </c>
      <c r="B7348" s="1" t="s">
        <v>7110</v>
      </c>
    </row>
    <row r="7349" spans="1:2" ht="18.75">
      <c r="A7349" s="94" t="s">
        <v>1633</v>
      </c>
      <c r="B7349" s="1" t="s">
        <v>7110</v>
      </c>
    </row>
    <row r="7350" spans="1:2" ht="18.75">
      <c r="A7350" s="94" t="s">
        <v>1540</v>
      </c>
      <c r="B7350" s="1" t="s">
        <v>7110</v>
      </c>
    </row>
    <row r="7351" spans="1:2" ht="18.75">
      <c r="A7351" s="94" t="s">
        <v>1502</v>
      </c>
      <c r="B7351" s="1" t="s">
        <v>7110</v>
      </c>
    </row>
    <row r="7352" spans="1:2" ht="18.75">
      <c r="A7352" s="94" t="s">
        <v>1655</v>
      </c>
      <c r="B7352" s="1" t="s">
        <v>7110</v>
      </c>
    </row>
    <row r="7353" spans="1:2" ht="18.75">
      <c r="A7353" s="94" t="s">
        <v>1689</v>
      </c>
      <c r="B7353" s="1" t="s">
        <v>7110</v>
      </c>
    </row>
    <row r="7354" spans="1:2" ht="18.75">
      <c r="A7354" s="94" t="s">
        <v>1658</v>
      </c>
      <c r="B7354" s="1" t="s">
        <v>7110</v>
      </c>
    </row>
    <row r="7355" spans="1:2" ht="18.75">
      <c r="A7355" s="94" t="s">
        <v>1736</v>
      </c>
      <c r="B7355" s="1" t="s">
        <v>7110</v>
      </c>
    </row>
    <row r="7356" spans="1:2" ht="18.75">
      <c r="A7356" s="94" t="s">
        <v>1627</v>
      </c>
      <c r="B7356" s="1" t="s">
        <v>7110</v>
      </c>
    </row>
    <row r="7357" spans="1:2" ht="18.75">
      <c r="A7357" s="94" t="s">
        <v>1652</v>
      </c>
      <c r="B7357" s="1" t="s">
        <v>7110</v>
      </c>
    </row>
    <row r="7358" spans="1:2" ht="18.75">
      <c r="A7358" s="94" t="s">
        <v>1556</v>
      </c>
      <c r="B7358" s="1" t="s">
        <v>7110</v>
      </c>
    </row>
    <row r="7359" spans="1:2" ht="18.75">
      <c r="A7359" s="94" t="s">
        <v>1557</v>
      </c>
      <c r="B7359" s="1" t="s">
        <v>7110</v>
      </c>
    </row>
    <row r="7360" spans="1:2" ht="18.75">
      <c r="A7360" s="94" t="s">
        <v>1656</v>
      </c>
      <c r="B7360" s="1" t="s">
        <v>7110</v>
      </c>
    </row>
    <row r="7361" spans="1:2" ht="18.75">
      <c r="A7361" s="94" t="s">
        <v>1736</v>
      </c>
      <c r="B7361" s="1" t="s">
        <v>7110</v>
      </c>
    </row>
    <row r="7362" spans="1:2" ht="18.75">
      <c r="A7362" s="94" t="s">
        <v>1652</v>
      </c>
      <c r="B7362" s="1" t="s">
        <v>7110</v>
      </c>
    </row>
    <row r="7363" spans="1:2" ht="18.75">
      <c r="A7363" s="94" t="s">
        <v>1659</v>
      </c>
      <c r="B7363" s="1" t="s">
        <v>7110</v>
      </c>
    </row>
    <row r="7364" spans="1:2" ht="18.75">
      <c r="A7364" s="94" t="s">
        <v>1554</v>
      </c>
      <c r="B7364" s="1" t="s">
        <v>7110</v>
      </c>
    </row>
    <row r="7365" spans="1:2" ht="18.75">
      <c r="A7365" s="94" t="s">
        <v>1224</v>
      </c>
      <c r="B7365" s="1" t="s">
        <v>7110</v>
      </c>
    </row>
    <row r="7366" spans="1:2" ht="18.75">
      <c r="A7366" s="94" t="s">
        <v>1659</v>
      </c>
      <c r="B7366" s="1" t="s">
        <v>7110</v>
      </c>
    </row>
    <row r="7367" spans="1:2" ht="18.75">
      <c r="A7367" s="94" t="s">
        <v>1349</v>
      </c>
      <c r="B7367" s="1" t="s">
        <v>7110</v>
      </c>
    </row>
    <row r="7368" spans="1:2" ht="18.75">
      <c r="A7368" s="94" t="s">
        <v>1659</v>
      </c>
      <c r="B7368" s="1" t="s">
        <v>7110</v>
      </c>
    </row>
    <row r="7369" spans="1:2" ht="18.75">
      <c r="A7369" s="94" t="s">
        <v>1656</v>
      </c>
      <c r="B7369" s="1" t="s">
        <v>7110</v>
      </c>
    </row>
    <row r="7370" spans="1:2" ht="18.75">
      <c r="A7370" s="94" t="s">
        <v>1349</v>
      </c>
      <c r="B7370" s="1" t="s">
        <v>7110</v>
      </c>
    </row>
    <row r="7371" spans="1:2" ht="18.75">
      <c r="A7371" s="94" t="s">
        <v>1349</v>
      </c>
      <c r="B7371" s="1" t="s">
        <v>7110</v>
      </c>
    </row>
    <row r="7372" spans="1:2" ht="18.75">
      <c r="A7372" s="94" t="s">
        <v>1491</v>
      </c>
      <c r="B7372" s="1" t="s">
        <v>7110</v>
      </c>
    </row>
    <row r="7373" spans="1:2" ht="18.75">
      <c r="A7373" s="94" t="s">
        <v>1652</v>
      </c>
      <c r="B7373" s="1" t="s">
        <v>7110</v>
      </c>
    </row>
    <row r="7374" spans="1:2" ht="18.75">
      <c r="A7374" s="94" t="s">
        <v>1652</v>
      </c>
      <c r="B7374" s="1" t="s">
        <v>7110</v>
      </c>
    </row>
    <row r="7375" spans="1:2" ht="18.75">
      <c r="A7375" s="94" t="s">
        <v>1586</v>
      </c>
      <c r="B7375" s="1" t="s">
        <v>7110</v>
      </c>
    </row>
    <row r="7376" spans="1:2" ht="18.75">
      <c r="A7376" s="94" t="s">
        <v>1627</v>
      </c>
      <c r="B7376" s="1" t="s">
        <v>7110</v>
      </c>
    </row>
    <row r="7377" spans="1:2" ht="18.75">
      <c r="A7377" s="94" t="s">
        <v>1531</v>
      </c>
      <c r="B7377" s="1" t="s">
        <v>7110</v>
      </c>
    </row>
    <row r="7378" spans="1:2" ht="18.75">
      <c r="A7378" s="94" t="s">
        <v>1385</v>
      </c>
      <c r="B7378" s="1" t="s">
        <v>7110</v>
      </c>
    </row>
    <row r="7379" spans="1:2" ht="18.75">
      <c r="A7379" s="94" t="s">
        <v>1531</v>
      </c>
      <c r="B7379" s="1" t="s">
        <v>7110</v>
      </c>
    </row>
    <row r="7380" spans="1:2" ht="18.75">
      <c r="A7380" s="94" t="s">
        <v>1648</v>
      </c>
      <c r="B7380" s="1" t="s">
        <v>7110</v>
      </c>
    </row>
    <row r="7381" spans="1:2" ht="18.75">
      <c r="A7381" s="94" t="s">
        <v>1660</v>
      </c>
      <c r="B7381" s="1" t="s">
        <v>7110</v>
      </c>
    </row>
    <row r="7382" spans="1:2" ht="18.75">
      <c r="A7382" s="94" t="s">
        <v>1660</v>
      </c>
      <c r="B7382" s="1" t="s">
        <v>7110</v>
      </c>
    </row>
    <row r="7383" spans="1:2" ht="18.75">
      <c r="A7383" s="94" t="s">
        <v>1556</v>
      </c>
      <c r="B7383" s="1" t="s">
        <v>7110</v>
      </c>
    </row>
    <row r="7384" spans="1:2" ht="18.75">
      <c r="A7384" s="94" t="s">
        <v>1660</v>
      </c>
      <c r="B7384" s="1" t="s">
        <v>7110</v>
      </c>
    </row>
    <row r="7385" spans="1:2" ht="18.75">
      <c r="A7385" s="94" t="s">
        <v>1386</v>
      </c>
      <c r="B7385" s="1" t="s">
        <v>7110</v>
      </c>
    </row>
    <row r="7386" spans="1:2" ht="18.75">
      <c r="A7386" s="94" t="s">
        <v>1531</v>
      </c>
      <c r="B7386" s="1" t="s">
        <v>7110</v>
      </c>
    </row>
    <row r="7387" spans="1:2" ht="18.75">
      <c r="A7387" s="94" t="s">
        <v>1648</v>
      </c>
      <c r="B7387" s="1" t="s">
        <v>7110</v>
      </c>
    </row>
    <row r="7388" spans="1:2" ht="18.75">
      <c r="A7388" s="94" t="s">
        <v>1651</v>
      </c>
      <c r="B7388" s="1" t="s">
        <v>7110</v>
      </c>
    </row>
    <row r="7389" spans="1:2" ht="18.75">
      <c r="A7389" s="94" t="s">
        <v>1651</v>
      </c>
      <c r="B7389" s="1" t="s">
        <v>7110</v>
      </c>
    </row>
    <row r="7390" spans="1:2" ht="18.75">
      <c r="A7390" s="94" t="s">
        <v>1735</v>
      </c>
      <c r="B7390" s="1" t="s">
        <v>7110</v>
      </c>
    </row>
    <row r="7391" spans="1:2" ht="18.75">
      <c r="A7391" s="94" t="s">
        <v>1689</v>
      </c>
      <c r="B7391" s="1" t="s">
        <v>7110</v>
      </c>
    </row>
    <row r="7392" spans="1:2" ht="18.75">
      <c r="A7392" s="94" t="s">
        <v>1732</v>
      </c>
      <c r="B7392" s="1" t="s">
        <v>7110</v>
      </c>
    </row>
    <row r="7393" spans="1:2" ht="18.75">
      <c r="A7393" s="94" t="s">
        <v>1670</v>
      </c>
      <c r="B7393" s="1" t="s">
        <v>7110</v>
      </c>
    </row>
    <row r="7394" spans="1:2" ht="18.75">
      <c r="A7394" s="94" t="s">
        <v>1655</v>
      </c>
      <c r="B7394" s="1" t="s">
        <v>7110</v>
      </c>
    </row>
    <row r="7395" spans="1:2" ht="18.75">
      <c r="A7395" s="94" t="s">
        <v>1738</v>
      </c>
      <c r="B7395" s="1" t="s">
        <v>7110</v>
      </c>
    </row>
    <row r="7396" spans="1:2" ht="18.75">
      <c r="A7396" s="94" t="s">
        <v>1535</v>
      </c>
      <c r="B7396" s="1" t="s">
        <v>7110</v>
      </c>
    </row>
    <row r="7397" spans="1:2" ht="18.75">
      <c r="A7397" s="94" t="s">
        <v>1647</v>
      </c>
      <c r="B7397" s="1" t="s">
        <v>7110</v>
      </c>
    </row>
    <row r="7398" spans="1:2" ht="18.75">
      <c r="A7398" s="94" t="s">
        <v>1564</v>
      </c>
      <c r="B7398" s="1" t="s">
        <v>7110</v>
      </c>
    </row>
    <row r="7399" spans="1:2" ht="18.75">
      <c r="A7399" s="94" t="s">
        <v>1635</v>
      </c>
      <c r="B7399" s="1" t="s">
        <v>7110</v>
      </c>
    </row>
    <row r="7400" spans="1:2" ht="18.75">
      <c r="A7400" s="94" t="s">
        <v>1635</v>
      </c>
      <c r="B7400" s="1" t="s">
        <v>7110</v>
      </c>
    </row>
    <row r="7401" spans="1:2" ht="18.75">
      <c r="A7401" s="94" t="s">
        <v>1669</v>
      </c>
      <c r="B7401" s="1" t="s">
        <v>7110</v>
      </c>
    </row>
    <row r="7402" spans="1:2" ht="18.75">
      <c r="A7402" s="94" t="s">
        <v>1661</v>
      </c>
      <c r="B7402" s="1" t="s">
        <v>7110</v>
      </c>
    </row>
    <row r="7403" spans="1:2" ht="18.75">
      <c r="A7403" s="94" t="s">
        <v>1574</v>
      </c>
      <c r="B7403" s="1" t="s">
        <v>7110</v>
      </c>
    </row>
    <row r="7404" spans="1:2" ht="18.75">
      <c r="A7404" s="94" t="s">
        <v>1743</v>
      </c>
      <c r="B7404" s="1" t="s">
        <v>7110</v>
      </c>
    </row>
    <row r="7405" spans="1:2" ht="18.75">
      <c r="A7405" s="94" t="s">
        <v>1517</v>
      </c>
      <c r="B7405" s="1" t="s">
        <v>7110</v>
      </c>
    </row>
    <row r="7406" spans="1:2" ht="18.75">
      <c r="A7406" s="94" t="s">
        <v>1626</v>
      </c>
      <c r="B7406" s="1" t="s">
        <v>7110</v>
      </c>
    </row>
    <row r="7407" spans="1:2" ht="18.75">
      <c r="A7407" s="94" t="s">
        <v>1653</v>
      </c>
      <c r="B7407" s="1" t="s">
        <v>7110</v>
      </c>
    </row>
    <row r="7408" spans="1:2" ht="18.75">
      <c r="A7408" s="94" t="s">
        <v>1742</v>
      </c>
      <c r="B7408" s="1" t="s">
        <v>7110</v>
      </c>
    </row>
    <row r="7409" spans="1:2" ht="18.75">
      <c r="A7409" s="94" t="s">
        <v>1743</v>
      </c>
      <c r="B7409" s="1" t="s">
        <v>7110</v>
      </c>
    </row>
    <row r="7410" spans="1:2" ht="18.75">
      <c r="A7410" s="94" t="s">
        <v>1564</v>
      </c>
      <c r="B7410" s="1" t="s">
        <v>7110</v>
      </c>
    </row>
    <row r="7411" spans="1:2" ht="18.75">
      <c r="A7411" s="94" t="s">
        <v>1377</v>
      </c>
      <c r="B7411" s="1" t="s">
        <v>7110</v>
      </c>
    </row>
    <row r="7412" spans="1:2" ht="18.75">
      <c r="A7412" s="94" t="s">
        <v>1520</v>
      </c>
      <c r="B7412" s="1" t="s">
        <v>7110</v>
      </c>
    </row>
    <row r="7413" spans="1:2" ht="18.75">
      <c r="A7413" s="94" t="s">
        <v>1569</v>
      </c>
      <c r="B7413" s="1" t="s">
        <v>7110</v>
      </c>
    </row>
    <row r="7414" spans="1:2" ht="18.75">
      <c r="A7414" s="94" t="s">
        <v>1654</v>
      </c>
      <c r="B7414" s="1" t="s">
        <v>7110</v>
      </c>
    </row>
    <row r="7415" spans="1:2" ht="18.75">
      <c r="A7415" s="94" t="s">
        <v>1570</v>
      </c>
      <c r="B7415" s="1" t="s">
        <v>7110</v>
      </c>
    </row>
    <row r="7416" spans="1:2" ht="18.75">
      <c r="A7416" s="94" t="s">
        <v>1688</v>
      </c>
      <c r="B7416" s="1" t="s">
        <v>7110</v>
      </c>
    </row>
    <row r="7417" spans="1:2" ht="18.75">
      <c r="A7417" s="94" t="s">
        <v>1661</v>
      </c>
      <c r="B7417" s="1" t="s">
        <v>7110</v>
      </c>
    </row>
    <row r="7418" spans="1:2" ht="18.75">
      <c r="A7418" s="94" t="s">
        <v>1728</v>
      </c>
      <c r="B7418" s="1" t="s">
        <v>7110</v>
      </c>
    </row>
    <row r="7419" spans="1:2" ht="18.75">
      <c r="A7419" s="94" t="s">
        <v>1667</v>
      </c>
      <c r="B7419" s="1" t="s">
        <v>7110</v>
      </c>
    </row>
    <row r="7420" spans="1:2" ht="18.75">
      <c r="A7420" s="94" t="s">
        <v>1638</v>
      </c>
      <c r="B7420" s="1" t="s">
        <v>7110</v>
      </c>
    </row>
    <row r="7421" spans="1:2" ht="18.75">
      <c r="A7421" s="94" t="s">
        <v>1642</v>
      </c>
      <c r="B7421" s="1" t="s">
        <v>7110</v>
      </c>
    </row>
    <row r="7422" spans="1:2" ht="18.75">
      <c r="A7422" s="94" t="s">
        <v>1738</v>
      </c>
      <c r="B7422" s="1" t="s">
        <v>7110</v>
      </c>
    </row>
    <row r="7423" spans="1:2" ht="18.75">
      <c r="A7423" s="94" t="s">
        <v>1734</v>
      </c>
      <c r="B7423" s="1" t="s">
        <v>7110</v>
      </c>
    </row>
    <row r="7424" spans="1:2" ht="18.75">
      <c r="A7424" s="94" t="s">
        <v>1344</v>
      </c>
      <c r="B7424" s="1" t="s">
        <v>7110</v>
      </c>
    </row>
    <row r="7425" spans="1:2" ht="18.75">
      <c r="A7425" s="94" t="s">
        <v>1614</v>
      </c>
      <c r="B7425" s="1" t="s">
        <v>7110</v>
      </c>
    </row>
    <row r="7426" spans="1:2" ht="18.75">
      <c r="A7426" s="94" t="s">
        <v>1613</v>
      </c>
      <c r="B7426" s="1" t="s">
        <v>7110</v>
      </c>
    </row>
    <row r="7427" spans="1:2" ht="18.75">
      <c r="A7427" s="94" t="s">
        <v>1405</v>
      </c>
      <c r="B7427" s="1" t="s">
        <v>7110</v>
      </c>
    </row>
    <row r="7428" spans="1:2" ht="18.75">
      <c r="A7428" s="94" t="s">
        <v>1427</v>
      </c>
      <c r="B7428" s="1" t="s">
        <v>7110</v>
      </c>
    </row>
    <row r="7429" spans="1:2" ht="18.75">
      <c r="A7429" s="94" t="s">
        <v>1744</v>
      </c>
      <c r="B7429" s="1" t="s">
        <v>7110</v>
      </c>
    </row>
    <row r="7430" spans="1:2" ht="18.75">
      <c r="A7430" s="94" t="s">
        <v>1409</v>
      </c>
      <c r="B7430" s="1" t="s">
        <v>7110</v>
      </c>
    </row>
    <row r="7431" spans="1:2" ht="18.75">
      <c r="A7431" s="94" t="s">
        <v>1635</v>
      </c>
      <c r="B7431" s="1" t="s">
        <v>7110</v>
      </c>
    </row>
    <row r="7432" spans="1:2" ht="18.75">
      <c r="A7432" s="94" t="s">
        <v>1648</v>
      </c>
      <c r="B7432" s="1" t="s">
        <v>7110</v>
      </c>
    </row>
    <row r="7433" spans="1:2" ht="18.75">
      <c r="A7433" s="94" t="s">
        <v>1628</v>
      </c>
      <c r="B7433" s="1" t="s">
        <v>7110</v>
      </c>
    </row>
    <row r="7434" spans="1:2" ht="18.75">
      <c r="A7434" s="94" t="s">
        <v>1754</v>
      </c>
      <c r="B7434" s="1" t="s">
        <v>7110</v>
      </c>
    </row>
    <row r="7435" spans="1:2" ht="18.75">
      <c r="A7435" s="94" t="s">
        <v>1589</v>
      </c>
      <c r="B7435" s="1" t="s">
        <v>7110</v>
      </c>
    </row>
    <row r="7436" spans="1:2" ht="18.75">
      <c r="A7436" s="94" t="s">
        <v>1619</v>
      </c>
      <c r="B7436" s="1" t="s">
        <v>7110</v>
      </c>
    </row>
    <row r="7437" spans="1:2" ht="18.75">
      <c r="A7437" s="94" t="s">
        <v>1624</v>
      </c>
      <c r="B7437" s="1" t="s">
        <v>7110</v>
      </c>
    </row>
    <row r="7438" spans="1:2" ht="18.75">
      <c r="A7438" s="94" t="s">
        <v>1632</v>
      </c>
      <c r="B7438" s="1" t="s">
        <v>7110</v>
      </c>
    </row>
    <row r="7439" spans="1:2" ht="18.75">
      <c r="A7439" s="94" t="s">
        <v>1654</v>
      </c>
      <c r="B7439" s="1" t="s">
        <v>7110</v>
      </c>
    </row>
    <row r="7440" spans="1:2" ht="18.75">
      <c r="A7440" s="94" t="s">
        <v>1650</v>
      </c>
      <c r="B7440" s="1" t="s">
        <v>7110</v>
      </c>
    </row>
    <row r="7441" spans="1:2" ht="18.75">
      <c r="A7441" s="94" t="s">
        <v>1664</v>
      </c>
      <c r="B7441" s="1" t="s">
        <v>7110</v>
      </c>
    </row>
    <row r="7442" spans="1:2" ht="18.75">
      <c r="A7442" s="94" t="s">
        <v>1663</v>
      </c>
      <c r="B7442" s="1" t="s">
        <v>7110</v>
      </c>
    </row>
    <row r="7443" spans="1:2" ht="18.75">
      <c r="A7443" s="94" t="s">
        <v>1688</v>
      </c>
      <c r="B7443" s="1" t="s">
        <v>7110</v>
      </c>
    </row>
    <row r="7444" spans="1:2" ht="18.75">
      <c r="A7444" s="94" t="s">
        <v>1658</v>
      </c>
      <c r="B7444" s="1" t="s">
        <v>7110</v>
      </c>
    </row>
    <row r="7445" spans="1:2" ht="18.75">
      <c r="A7445" s="94" t="s">
        <v>1661</v>
      </c>
      <c r="B7445" s="1" t="s">
        <v>7110</v>
      </c>
    </row>
    <row r="7446" spans="1:2" ht="18.75">
      <c r="A7446" s="94" t="s">
        <v>1665</v>
      </c>
      <c r="B7446" s="1" t="s">
        <v>7110</v>
      </c>
    </row>
    <row r="7447" spans="1:2" ht="18.75">
      <c r="A7447" s="94" t="s">
        <v>1647</v>
      </c>
      <c r="B7447" s="1" t="s">
        <v>7110</v>
      </c>
    </row>
    <row r="7448" spans="1:2" ht="18.75">
      <c r="A7448" s="94" t="s">
        <v>1556</v>
      </c>
      <c r="B7448" s="1" t="s">
        <v>7110</v>
      </c>
    </row>
    <row r="7449" spans="1:2" ht="18.75">
      <c r="A7449" s="94" t="s">
        <v>1652</v>
      </c>
      <c r="B7449" s="1" t="s">
        <v>7110</v>
      </c>
    </row>
    <row r="7450" spans="1:2" ht="18.75">
      <c r="A7450" s="94" t="s">
        <v>1659</v>
      </c>
      <c r="B7450" s="1" t="s">
        <v>7110</v>
      </c>
    </row>
    <row r="7451" spans="1:2" ht="18.75">
      <c r="A7451" s="94" t="s">
        <v>1556</v>
      </c>
      <c r="B7451" s="1" t="s">
        <v>7110</v>
      </c>
    </row>
    <row r="7452" spans="1:2" ht="18.75">
      <c r="A7452" s="94" t="s">
        <v>1652</v>
      </c>
      <c r="B7452" s="1" t="s">
        <v>7110</v>
      </c>
    </row>
    <row r="7453" spans="1:2" ht="18.75">
      <c r="A7453" s="94" t="s">
        <v>1652</v>
      </c>
      <c r="B7453" s="1" t="s">
        <v>7110</v>
      </c>
    </row>
    <row r="7454" spans="1:2" ht="18.75">
      <c r="A7454" s="94" t="s">
        <v>1627</v>
      </c>
      <c r="B7454" s="1" t="s">
        <v>7110</v>
      </c>
    </row>
    <row r="7455" spans="1:2" ht="18.75">
      <c r="A7455" s="94" t="s">
        <v>1506</v>
      </c>
      <c r="B7455" s="1" t="s">
        <v>7110</v>
      </c>
    </row>
    <row r="7456" spans="1:2" ht="18.75">
      <c r="A7456" s="94" t="s">
        <v>1530</v>
      </c>
      <c r="B7456" s="1" t="s">
        <v>7110</v>
      </c>
    </row>
    <row r="7457" spans="1:2" ht="18.75">
      <c r="A7457" s="94" t="s">
        <v>1640</v>
      </c>
      <c r="B7457" s="1" t="s">
        <v>7110</v>
      </c>
    </row>
    <row r="7458" spans="1:2" ht="18.75">
      <c r="A7458" s="94" t="s">
        <v>1520</v>
      </c>
      <c r="B7458" s="1" t="s">
        <v>7110</v>
      </c>
    </row>
    <row r="7459" spans="1:2" ht="18.75">
      <c r="A7459" s="94" t="s">
        <v>1575</v>
      </c>
      <c r="B7459" s="1" t="s">
        <v>7110</v>
      </c>
    </row>
    <row r="7460" spans="1:2" ht="18.75">
      <c r="A7460" s="94" t="s">
        <v>1630</v>
      </c>
      <c r="B7460" s="1" t="s">
        <v>7110</v>
      </c>
    </row>
    <row r="7461" spans="1:2" ht="18.75">
      <c r="A7461" s="94" t="s">
        <v>1523</v>
      </c>
      <c r="B7461" s="1" t="s">
        <v>7110</v>
      </c>
    </row>
    <row r="7462" spans="1:2" ht="18.75">
      <c r="A7462" s="94" t="s">
        <v>1642</v>
      </c>
      <c r="B7462" s="1" t="s">
        <v>7110</v>
      </c>
    </row>
    <row r="7463" spans="1:2" ht="18.75">
      <c r="A7463" s="94" t="s">
        <v>1661</v>
      </c>
      <c r="B7463" s="1" t="s">
        <v>7110</v>
      </c>
    </row>
    <row r="7464" spans="1:2" ht="18.75">
      <c r="A7464" s="94" t="s">
        <v>1643</v>
      </c>
      <c r="B7464" s="1" t="s">
        <v>7110</v>
      </c>
    </row>
    <row r="7465" spans="1:2" ht="18.75">
      <c r="A7465" s="94" t="s">
        <v>1737</v>
      </c>
      <c r="B7465" s="1" t="s">
        <v>7110</v>
      </c>
    </row>
    <row r="7466" spans="1:2" ht="18.75">
      <c r="A7466" s="94" t="s">
        <v>1634</v>
      </c>
      <c r="B7466" s="1" t="s">
        <v>7110</v>
      </c>
    </row>
    <row r="7467" spans="1:2" ht="18.75">
      <c r="A7467" s="94" t="s">
        <v>1739</v>
      </c>
      <c r="B7467" s="1" t="s">
        <v>7110</v>
      </c>
    </row>
    <row r="7468" spans="1:2" ht="18.75">
      <c r="A7468" s="94" t="s">
        <v>1628</v>
      </c>
      <c r="B7468" s="1" t="s">
        <v>7110</v>
      </c>
    </row>
    <row r="7469" spans="1:2" ht="18.75">
      <c r="A7469" s="94" t="s">
        <v>1661</v>
      </c>
      <c r="B7469" s="1" t="s">
        <v>7110</v>
      </c>
    </row>
    <row r="7470" spans="1:2" ht="18.75">
      <c r="A7470" s="94" t="s">
        <v>1669</v>
      </c>
      <c r="B7470" s="1" t="s">
        <v>7110</v>
      </c>
    </row>
    <row r="7471" spans="1:2" ht="18.75">
      <c r="A7471" s="94" t="s">
        <v>1658</v>
      </c>
      <c r="B7471" s="1" t="s">
        <v>7110</v>
      </c>
    </row>
    <row r="7472" spans="1:2" ht="18.75">
      <c r="A7472" s="94" t="s">
        <v>1666</v>
      </c>
      <c r="B7472" s="1" t="s">
        <v>7110</v>
      </c>
    </row>
    <row r="7473" spans="1:2" ht="18.75">
      <c r="A7473" s="94" t="s">
        <v>1584</v>
      </c>
      <c r="B7473" s="1" t="s">
        <v>7110</v>
      </c>
    </row>
    <row r="7474" spans="1:2" ht="18.75">
      <c r="A7474" s="94" t="s">
        <v>1662</v>
      </c>
      <c r="B7474" s="1" t="s">
        <v>7110</v>
      </c>
    </row>
    <row r="7475" spans="1:2" ht="18.75">
      <c r="A7475" s="94" t="s">
        <v>1644</v>
      </c>
      <c r="B7475" s="1" t="s">
        <v>7110</v>
      </c>
    </row>
    <row r="7476" spans="1:2" ht="18.75">
      <c r="A7476" s="94" t="s">
        <v>1645</v>
      </c>
      <c r="B7476" s="1" t="s">
        <v>7110</v>
      </c>
    </row>
    <row r="7477" spans="1:2" ht="18.75">
      <c r="A7477" s="94" t="s">
        <v>1642</v>
      </c>
      <c r="B7477" s="1" t="s">
        <v>7110</v>
      </c>
    </row>
    <row r="7478" spans="1:2" ht="18.75">
      <c r="A7478" s="94" t="s">
        <v>1622</v>
      </c>
      <c r="B7478" s="1" t="s">
        <v>7110</v>
      </c>
    </row>
    <row r="7479" spans="1:2" ht="18.75">
      <c r="A7479" s="94" t="s">
        <v>1616</v>
      </c>
      <c r="B7479" s="1" t="s">
        <v>7110</v>
      </c>
    </row>
    <row r="7480" spans="1:2" ht="18.75">
      <c r="A7480" s="94" t="s">
        <v>1617</v>
      </c>
      <c r="B7480" s="1" t="s">
        <v>7110</v>
      </c>
    </row>
    <row r="7481" spans="1:2" ht="18.75">
      <c r="A7481" s="94" t="s">
        <v>1643</v>
      </c>
      <c r="B7481" s="1" t="s">
        <v>7110</v>
      </c>
    </row>
    <row r="7482" spans="1:2" ht="18.75">
      <c r="A7482" s="94" t="s">
        <v>1643</v>
      </c>
      <c r="B7482" s="1" t="s">
        <v>7110</v>
      </c>
    </row>
    <row r="7483" spans="1:2" ht="18.75">
      <c r="A7483" s="94" t="s">
        <v>1661</v>
      </c>
      <c r="B7483" s="1" t="s">
        <v>7110</v>
      </c>
    </row>
    <row r="7484" spans="1:2" ht="18.75">
      <c r="A7484" s="94" t="s">
        <v>1406</v>
      </c>
      <c r="B7484" s="1" t="s">
        <v>7110</v>
      </c>
    </row>
    <row r="7485" spans="1:2" ht="18.75">
      <c r="A7485" s="94" t="s">
        <v>1430</v>
      </c>
      <c r="B7485" s="1" t="s">
        <v>7110</v>
      </c>
    </row>
    <row r="7486" spans="1:2" ht="18.75">
      <c r="A7486" s="94" t="s">
        <v>1625</v>
      </c>
      <c r="B7486" s="1" t="s">
        <v>7110</v>
      </c>
    </row>
    <row r="7487" spans="1:2" ht="18.75">
      <c r="A7487" s="94" t="s">
        <v>1523</v>
      </c>
      <c r="B7487" s="1" t="s">
        <v>7110</v>
      </c>
    </row>
    <row r="7488" spans="1:2" ht="18.75">
      <c r="A7488" s="94" t="s">
        <v>1586</v>
      </c>
      <c r="B7488" s="1" t="s">
        <v>7110</v>
      </c>
    </row>
    <row r="7489" spans="1:2" ht="18.75">
      <c r="A7489" s="94" t="s">
        <v>1554</v>
      </c>
      <c r="B7489" s="1" t="s">
        <v>7110</v>
      </c>
    </row>
    <row r="7490" spans="1:2" ht="18.75">
      <c r="A7490" s="94" t="s">
        <v>1724</v>
      </c>
      <c r="B7490" s="1" t="s">
        <v>7110</v>
      </c>
    </row>
    <row r="7491" spans="1:2" ht="18.75">
      <c r="A7491" s="94" t="s">
        <v>1688</v>
      </c>
      <c r="B7491" s="1" t="s">
        <v>7110</v>
      </c>
    </row>
    <row r="7492" spans="1:2" ht="18.75">
      <c r="A7492" s="94" t="s">
        <v>1132</v>
      </c>
      <c r="B7492" s="1" t="s">
        <v>7110</v>
      </c>
    </row>
    <row r="7493" spans="1:2" ht="18.75">
      <c r="A7493" s="94" t="s">
        <v>1634</v>
      </c>
      <c r="B7493" s="1" t="s">
        <v>7110</v>
      </c>
    </row>
    <row r="7494" spans="1:2" ht="18.75">
      <c r="A7494" s="94" t="s">
        <v>1523</v>
      </c>
      <c r="B7494" s="1" t="s">
        <v>7110</v>
      </c>
    </row>
    <row r="7495" spans="1:2" ht="18.75">
      <c r="A7495" s="94" t="s">
        <v>1646</v>
      </c>
      <c r="B7495" s="1" t="s">
        <v>7110</v>
      </c>
    </row>
    <row r="7496" spans="1:2" ht="18.75">
      <c r="A7496" s="94" t="s">
        <v>1329</v>
      </c>
      <c r="B7496" s="1" t="s">
        <v>7110</v>
      </c>
    </row>
    <row r="7497" spans="1:2" ht="18.75">
      <c r="A7497" s="94" t="s">
        <v>1429</v>
      </c>
      <c r="B7497" s="1" t="s">
        <v>7110</v>
      </c>
    </row>
    <row r="7498" spans="1:2" ht="18.75">
      <c r="A7498" s="94" t="s">
        <v>1623</v>
      </c>
      <c r="B7498" s="1" t="s">
        <v>7110</v>
      </c>
    </row>
    <row r="7499" spans="1:2" ht="18.75">
      <c r="A7499" s="94" t="s">
        <v>1540</v>
      </c>
      <c r="B7499" s="1" t="s">
        <v>7110</v>
      </c>
    </row>
    <row r="7500" spans="1:2" ht="18.75">
      <c r="A7500" s="94" t="s">
        <v>1646</v>
      </c>
      <c r="B7500" s="1" t="s">
        <v>7110</v>
      </c>
    </row>
    <row r="7501" spans="1:2" ht="18.75">
      <c r="A7501" s="94" t="s">
        <v>1657</v>
      </c>
      <c r="B7501" s="1" t="s">
        <v>7110</v>
      </c>
    </row>
    <row r="7502" spans="1:2" ht="18.75">
      <c r="A7502" s="94" t="s">
        <v>1688</v>
      </c>
      <c r="B7502" s="1" t="s">
        <v>7110</v>
      </c>
    </row>
    <row r="7503" spans="1:2" ht="18.75">
      <c r="A7503" s="94" t="s">
        <v>1558</v>
      </c>
      <c r="B7503" s="1" t="s">
        <v>7110</v>
      </c>
    </row>
    <row r="7504" spans="1:2" ht="18.75">
      <c r="A7504" s="94" t="s">
        <v>1574</v>
      </c>
      <c r="B7504" s="1" t="s">
        <v>7110</v>
      </c>
    </row>
    <row r="7505" spans="1:2" ht="18.75">
      <c r="A7505" s="94" t="s">
        <v>1657</v>
      </c>
      <c r="B7505" s="1" t="s">
        <v>7110</v>
      </c>
    </row>
    <row r="7506" spans="1:2" ht="18.75">
      <c r="A7506" s="94" t="s">
        <v>1611</v>
      </c>
      <c r="B7506" s="1" t="s">
        <v>7110</v>
      </c>
    </row>
    <row r="7507" spans="1:2" ht="18.75">
      <c r="A7507" s="94" t="s">
        <v>1733</v>
      </c>
      <c r="B7507" s="1" t="s">
        <v>7110</v>
      </c>
    </row>
    <row r="7508" spans="1:2" ht="18.75">
      <c r="A7508" s="94" t="s">
        <v>1661</v>
      </c>
      <c r="B7508" s="1" t="s">
        <v>7110</v>
      </c>
    </row>
    <row r="7509" spans="1:2" ht="18.75">
      <c r="A7509" s="94" t="s">
        <v>1661</v>
      </c>
      <c r="B7509" s="1" t="s">
        <v>7110</v>
      </c>
    </row>
    <row r="7510" spans="1:2" ht="18.75">
      <c r="A7510" s="94" t="s">
        <v>1669</v>
      </c>
      <c r="B7510" s="1" t="s">
        <v>7110</v>
      </c>
    </row>
    <row r="7511" spans="1:2" ht="18.75">
      <c r="A7511" s="94" t="s">
        <v>1627</v>
      </c>
      <c r="B7511" s="1" t="s">
        <v>7110</v>
      </c>
    </row>
    <row r="7512" spans="1:2" ht="18.75">
      <c r="A7512" s="94" t="s">
        <v>1621</v>
      </c>
      <c r="B7512" s="1" t="s">
        <v>7110</v>
      </c>
    </row>
    <row r="7513" spans="1:2" ht="18.75">
      <c r="A7513" s="94" t="s">
        <v>1626</v>
      </c>
      <c r="B7513" s="1" t="s">
        <v>7110</v>
      </c>
    </row>
    <row r="7514" spans="1:2" ht="18.75">
      <c r="A7514" s="94" t="s">
        <v>1611</v>
      </c>
      <c r="B7514" s="1" t="s">
        <v>7110</v>
      </c>
    </row>
    <row r="7515" spans="1:2" ht="18.75">
      <c r="A7515" s="94" t="s">
        <v>1652</v>
      </c>
      <c r="B7515" s="1" t="s">
        <v>7110</v>
      </c>
    </row>
    <row r="7516" spans="1:2" ht="18.75">
      <c r="A7516" s="94" t="s">
        <v>1652</v>
      </c>
      <c r="B7516" s="1" t="s">
        <v>7110</v>
      </c>
    </row>
    <row r="7517" spans="1:2" ht="18.75">
      <c r="A7517" s="94" t="s">
        <v>1725</v>
      </c>
      <c r="B7517" s="1" t="s">
        <v>7110</v>
      </c>
    </row>
    <row r="7518" spans="1:2" ht="18.75">
      <c r="A7518" s="94" t="s">
        <v>1347</v>
      </c>
      <c r="B7518" s="1" t="s">
        <v>7110</v>
      </c>
    </row>
    <row r="7519" spans="1:2" ht="18.75">
      <c r="A7519" s="94" t="s">
        <v>1224</v>
      </c>
      <c r="B7519" s="1" t="s">
        <v>7110</v>
      </c>
    </row>
    <row r="7520" spans="1:2" ht="18.75">
      <c r="A7520" s="94" t="s">
        <v>1224</v>
      </c>
      <c r="B7520" s="1" t="s">
        <v>7110</v>
      </c>
    </row>
    <row r="7521" spans="1:2" ht="18.75">
      <c r="A7521" s="94" t="s">
        <v>1219</v>
      </c>
      <c r="B7521" s="1" t="s">
        <v>7110</v>
      </c>
    </row>
    <row r="7522" spans="1:2" ht="18.75">
      <c r="A7522" s="94" t="s">
        <v>1586</v>
      </c>
      <c r="B7522" s="1" t="s">
        <v>7110</v>
      </c>
    </row>
    <row r="7523" spans="1:2" ht="18.75">
      <c r="A7523" s="94" t="s">
        <v>1226</v>
      </c>
      <c r="B7523" s="1" t="s">
        <v>7110</v>
      </c>
    </row>
    <row r="7524" spans="1:2" ht="18.75">
      <c r="A7524" s="94" t="s">
        <v>1724</v>
      </c>
      <c r="B7524" s="1" t="s">
        <v>7110</v>
      </c>
    </row>
    <row r="7525" spans="1:2" ht="18.75">
      <c r="A7525" s="94" t="s">
        <v>1724</v>
      </c>
      <c r="B7525" s="1" t="s">
        <v>7110</v>
      </c>
    </row>
    <row r="7526" spans="1:2" ht="18.75">
      <c r="A7526" s="94" t="s">
        <v>1724</v>
      </c>
      <c r="B7526" s="1" t="s">
        <v>7110</v>
      </c>
    </row>
    <row r="7527" spans="1:2" ht="18.75">
      <c r="A7527" s="94" t="s">
        <v>1639</v>
      </c>
      <c r="B7527" s="1" t="s">
        <v>7110</v>
      </c>
    </row>
    <row r="7528" spans="1:2" ht="18.75">
      <c r="A7528" s="94" t="s">
        <v>1630</v>
      </c>
      <c r="B7528" s="1" t="s">
        <v>7110</v>
      </c>
    </row>
    <row r="7529" spans="1:2" ht="18.75">
      <c r="A7529" s="94" t="s">
        <v>1563</v>
      </c>
      <c r="B7529" s="1" t="s">
        <v>7110</v>
      </c>
    </row>
    <row r="7530" spans="1:2" ht="18.75">
      <c r="A7530" s="94" t="s">
        <v>1563</v>
      </c>
      <c r="B7530" s="1" t="s">
        <v>7110</v>
      </c>
    </row>
    <row r="7531" spans="1:2" ht="18.75">
      <c r="A7531" s="94" t="s">
        <v>1643</v>
      </c>
      <c r="B7531" s="1" t="s">
        <v>7110</v>
      </c>
    </row>
    <row r="7532" spans="1:2" ht="18.75">
      <c r="A7532" s="94" t="s">
        <v>1638</v>
      </c>
      <c r="B7532" s="1" t="s">
        <v>7110</v>
      </c>
    </row>
    <row r="7533" spans="1:2" ht="18.75">
      <c r="A7533" s="94" t="s">
        <v>1575</v>
      </c>
      <c r="B7533" s="1" t="s">
        <v>7110</v>
      </c>
    </row>
    <row r="7534" spans="1:2" ht="18.75">
      <c r="A7534" s="94" t="s">
        <v>1516</v>
      </c>
      <c r="B7534" s="1" t="s">
        <v>7110</v>
      </c>
    </row>
    <row r="7535" spans="1:2" ht="18.75">
      <c r="A7535" s="94" t="s">
        <v>1559</v>
      </c>
      <c r="B7535" s="1" t="s">
        <v>7110</v>
      </c>
    </row>
    <row r="7536" spans="1:2" ht="18.75">
      <c r="A7536" s="94" t="s">
        <v>1482</v>
      </c>
      <c r="B7536" s="1" t="s">
        <v>7110</v>
      </c>
    </row>
    <row r="7537" spans="1:2" ht="18.75">
      <c r="A7537" s="94" t="s">
        <v>1646</v>
      </c>
      <c r="B7537" s="1" t="s">
        <v>7110</v>
      </c>
    </row>
    <row r="7538" spans="1:2" ht="18.75">
      <c r="A7538" s="94" t="s">
        <v>2344</v>
      </c>
      <c r="B7538" s="1" t="s">
        <v>7110</v>
      </c>
    </row>
    <row r="7539" spans="1:2" ht="18.75">
      <c r="A7539" s="94" t="s">
        <v>1211</v>
      </c>
      <c r="B7539" s="1" t="s">
        <v>7110</v>
      </c>
    </row>
    <row r="7540" spans="1:2" ht="18.75">
      <c r="A7540" s="94" t="s">
        <v>1724</v>
      </c>
      <c r="B7540" s="1" t="s">
        <v>7110</v>
      </c>
    </row>
    <row r="7541" spans="1:2" ht="18.75">
      <c r="A7541" s="94" t="s">
        <v>1556</v>
      </c>
      <c r="B7541" s="1" t="s">
        <v>7110</v>
      </c>
    </row>
    <row r="7542" spans="1:2" ht="18.75">
      <c r="A7542" s="94" t="s">
        <v>1556</v>
      </c>
      <c r="B7542" s="1" t="s">
        <v>7110</v>
      </c>
    </row>
    <row r="7543" spans="1:2" ht="18.75">
      <c r="A7543" s="94" t="s">
        <v>1574</v>
      </c>
      <c r="B7543" s="1" t="s">
        <v>7110</v>
      </c>
    </row>
    <row r="7544" spans="1:2" ht="18.75">
      <c r="A7544" s="94" t="s">
        <v>1575</v>
      </c>
      <c r="B7544" s="1" t="s">
        <v>7110</v>
      </c>
    </row>
    <row r="7545" spans="1:2" ht="18.75">
      <c r="A7545" s="94" t="s">
        <v>1631</v>
      </c>
      <c r="B7545" s="1" t="s">
        <v>7110</v>
      </c>
    </row>
    <row r="7546" spans="1:2" ht="18.75">
      <c r="A7546" s="94" t="s">
        <v>1404</v>
      </c>
      <c r="B7546" s="1" t="s">
        <v>7110</v>
      </c>
    </row>
    <row r="7547" spans="1:2" ht="18.75">
      <c r="A7547" s="94" t="s">
        <v>939</v>
      </c>
      <c r="B7547" s="1" t="s">
        <v>7110</v>
      </c>
    </row>
    <row r="7548" spans="1:2" ht="18.75">
      <c r="A7548" s="94" t="s">
        <v>1406</v>
      </c>
      <c r="B7548" s="1" t="s">
        <v>7110</v>
      </c>
    </row>
    <row r="7549" spans="1:2" ht="18.75">
      <c r="A7549" s="94" t="s">
        <v>1631</v>
      </c>
      <c r="B7549" s="1" t="s">
        <v>7110</v>
      </c>
    </row>
    <row r="7550" spans="1:2" ht="18.75">
      <c r="A7550" s="94" t="s">
        <v>1564</v>
      </c>
      <c r="B7550" s="1" t="s">
        <v>7110</v>
      </c>
    </row>
    <row r="7551" spans="1:2" ht="18.75">
      <c r="A7551" s="94" t="s">
        <v>1611</v>
      </c>
      <c r="B7551" s="1" t="s">
        <v>7110</v>
      </c>
    </row>
    <row r="7552" spans="1:2" ht="18.75">
      <c r="A7552" s="94" t="s">
        <v>1622</v>
      </c>
      <c r="B7552" s="1" t="s">
        <v>7110</v>
      </c>
    </row>
    <row r="7553" spans="1:2" ht="18.75">
      <c r="A7553" s="94" t="s">
        <v>1509</v>
      </c>
      <c r="B7553" s="1" t="s">
        <v>7110</v>
      </c>
    </row>
    <row r="7554" spans="1:2" ht="18.75">
      <c r="A7554" s="94" t="s">
        <v>1688</v>
      </c>
      <c r="B7554" s="1" t="s">
        <v>7110</v>
      </c>
    </row>
    <row r="7555" spans="1:2">
      <c r="A7555" s="99" t="s">
        <v>2</v>
      </c>
      <c r="B7555" s="1" t="s">
        <v>7110</v>
      </c>
    </row>
    <row r="7556" spans="1:2">
      <c r="A7556" s="99" t="s">
        <v>1726</v>
      </c>
      <c r="B7556" s="1" t="s">
        <v>7110</v>
      </c>
    </row>
    <row r="7557" spans="1:2">
      <c r="A7557" s="99" t="s">
        <v>1675</v>
      </c>
      <c r="B7557" s="1" t="s">
        <v>7110</v>
      </c>
    </row>
    <row r="7558" spans="1:2">
      <c r="A7558" s="99" t="s">
        <v>1727</v>
      </c>
      <c r="B7558" s="1" t="s">
        <v>7110</v>
      </c>
    </row>
    <row r="7559" spans="1:2">
      <c r="A7559" s="99" t="s">
        <v>1679</v>
      </c>
      <c r="B7559" s="1" t="s">
        <v>7110</v>
      </c>
    </row>
    <row r="7560" spans="1:2">
      <c r="A7560" s="99" t="s">
        <v>1679</v>
      </c>
      <c r="B7560" s="1" t="s">
        <v>7110</v>
      </c>
    </row>
    <row r="7561" spans="1:2">
      <c r="A7561" s="99" t="s">
        <v>1679</v>
      </c>
      <c r="B7561" s="1" t="s">
        <v>7110</v>
      </c>
    </row>
    <row r="7562" spans="1:2">
      <c r="A7562" s="99" t="s">
        <v>1672</v>
      </c>
      <c r="B7562" s="1" t="s">
        <v>7110</v>
      </c>
    </row>
    <row r="7563" spans="1:2">
      <c r="A7563" s="99" t="s">
        <v>1729</v>
      </c>
      <c r="B7563" s="1" t="s">
        <v>7110</v>
      </c>
    </row>
    <row r="7564" spans="1:2">
      <c r="A7564" s="99" t="s">
        <v>1674</v>
      </c>
      <c r="B7564" s="1" t="s">
        <v>7110</v>
      </c>
    </row>
    <row r="7565" spans="1:2">
      <c r="A7565" s="99" t="s">
        <v>1727</v>
      </c>
      <c r="B7565" s="1" t="s">
        <v>7110</v>
      </c>
    </row>
    <row r="7566" spans="1:2">
      <c r="A7566" s="99" t="s">
        <v>1696</v>
      </c>
      <c r="B7566" s="1" t="s">
        <v>7110</v>
      </c>
    </row>
    <row r="7567" spans="1:2">
      <c r="A7567" s="99" t="s">
        <v>1672</v>
      </c>
      <c r="B7567" s="1" t="s">
        <v>7110</v>
      </c>
    </row>
    <row r="7568" spans="1:2">
      <c r="A7568" s="99" t="s">
        <v>1804</v>
      </c>
      <c r="B7568" s="1" t="s">
        <v>7110</v>
      </c>
    </row>
    <row r="7569" spans="1:2">
      <c r="A7569" s="99" t="s">
        <v>1804</v>
      </c>
      <c r="B7569" s="1" t="s">
        <v>7110</v>
      </c>
    </row>
    <row r="7570" spans="1:2">
      <c r="A7570" s="99" t="s">
        <v>1720</v>
      </c>
      <c r="B7570" s="1" t="s">
        <v>7110</v>
      </c>
    </row>
    <row r="7571" spans="1:2">
      <c r="A7571" s="99" t="s">
        <v>1810</v>
      </c>
      <c r="B7571" s="1" t="s">
        <v>7110</v>
      </c>
    </row>
    <row r="7572" spans="1:2">
      <c r="A7572" s="99" t="s">
        <v>1810</v>
      </c>
      <c r="B7572" s="1" t="s">
        <v>7110</v>
      </c>
    </row>
    <row r="7573" spans="1:2">
      <c r="A7573" s="99" t="s">
        <v>1811</v>
      </c>
      <c r="B7573" s="1" t="s">
        <v>7110</v>
      </c>
    </row>
    <row r="7574" spans="1:2">
      <c r="A7574" s="99" t="s">
        <v>1721</v>
      </c>
      <c r="B7574" s="1" t="s">
        <v>7110</v>
      </c>
    </row>
    <row r="7575" spans="1:2">
      <c r="A7575" s="99" t="s">
        <v>1812</v>
      </c>
      <c r="B7575" s="1" t="s">
        <v>7110</v>
      </c>
    </row>
    <row r="7576" spans="1:2">
      <c r="A7576" s="99" t="s">
        <v>1811</v>
      </c>
      <c r="B7576" s="1" t="s">
        <v>7110</v>
      </c>
    </row>
    <row r="7577" spans="1:2">
      <c r="A7577" s="99" t="s">
        <v>1679</v>
      </c>
      <c r="B7577" s="1" t="s">
        <v>7110</v>
      </c>
    </row>
    <row r="7578" spans="1:2">
      <c r="A7578" s="99" t="s">
        <v>1816</v>
      </c>
      <c r="B7578" s="1" t="s">
        <v>7110</v>
      </c>
    </row>
    <row r="7579" spans="1:2">
      <c r="A7579" s="99" t="s">
        <v>1810</v>
      </c>
      <c r="B7579" s="1" t="s">
        <v>7110</v>
      </c>
    </row>
    <row r="7580" spans="1:2">
      <c r="A7580" s="99" t="s">
        <v>1804</v>
      </c>
      <c r="B7580" s="1" t="s">
        <v>7110</v>
      </c>
    </row>
    <row r="7581" spans="1:2">
      <c r="A7581" s="99" t="s">
        <v>1810</v>
      </c>
      <c r="B7581" s="1" t="s">
        <v>7110</v>
      </c>
    </row>
    <row r="7582" spans="1:2">
      <c r="A7582" s="99" t="s">
        <v>1721</v>
      </c>
      <c r="B7582" s="1" t="s">
        <v>7110</v>
      </c>
    </row>
    <row r="7583" spans="1:2">
      <c r="A7583" s="99" t="s">
        <v>1810</v>
      </c>
      <c r="B7583" s="1" t="s">
        <v>7110</v>
      </c>
    </row>
    <row r="7584" spans="1:2">
      <c r="A7584" s="99" t="s">
        <v>1816</v>
      </c>
      <c r="B7584" s="1" t="s">
        <v>7110</v>
      </c>
    </row>
    <row r="7585" spans="1:2">
      <c r="A7585" s="99" t="s">
        <v>1716</v>
      </c>
      <c r="B7585" s="1" t="s">
        <v>7110</v>
      </c>
    </row>
    <row r="7586" spans="1:2">
      <c r="A7586" s="99" t="s">
        <v>1819</v>
      </c>
      <c r="B7586" s="1" t="s">
        <v>7110</v>
      </c>
    </row>
    <row r="7587" spans="1:2">
      <c r="A7587" s="99" t="s">
        <v>1677</v>
      </c>
      <c r="B7587" s="1" t="s">
        <v>7110</v>
      </c>
    </row>
    <row r="7588" spans="1:2">
      <c r="A7588" s="99" t="s">
        <v>1713</v>
      </c>
      <c r="B7588" s="1" t="s">
        <v>7110</v>
      </c>
    </row>
    <row r="7589" spans="1:2">
      <c r="A7589" s="99" t="s">
        <v>1685</v>
      </c>
      <c r="B7589" s="1" t="s">
        <v>7110</v>
      </c>
    </row>
    <row r="7590" spans="1:2">
      <c r="A7590" s="99" t="s">
        <v>1709</v>
      </c>
      <c r="B7590" s="1" t="s">
        <v>7110</v>
      </c>
    </row>
    <row r="7591" spans="1:2">
      <c r="A7591" s="99" t="s">
        <v>1697</v>
      </c>
      <c r="B7591" s="1" t="s">
        <v>7110</v>
      </c>
    </row>
    <row r="7592" spans="1:2">
      <c r="A7592" s="99" t="s">
        <v>1685</v>
      </c>
      <c r="B7592" s="1" t="s">
        <v>7110</v>
      </c>
    </row>
    <row r="7593" spans="1:2">
      <c r="A7593" s="99" t="s">
        <v>1709</v>
      </c>
      <c r="B7593" s="1" t="s">
        <v>7110</v>
      </c>
    </row>
    <row r="7594" spans="1:2">
      <c r="A7594" s="99" t="s">
        <v>1679</v>
      </c>
      <c r="B7594" s="1" t="s">
        <v>7110</v>
      </c>
    </row>
    <row r="7595" spans="1:2">
      <c r="A7595" s="99" t="s">
        <v>1709</v>
      </c>
      <c r="B7595" s="1" t="s">
        <v>7110</v>
      </c>
    </row>
    <row r="7596" spans="1:2">
      <c r="A7596" s="99" t="s">
        <v>1697</v>
      </c>
      <c r="B7596" s="1" t="s">
        <v>7110</v>
      </c>
    </row>
    <row r="7597" spans="1:2">
      <c r="A7597" s="99" t="s">
        <v>1697</v>
      </c>
      <c r="B7597" s="1" t="s">
        <v>7110</v>
      </c>
    </row>
    <row r="7598" spans="1:2">
      <c r="A7598" s="99" t="s">
        <v>1685</v>
      </c>
      <c r="B7598" s="1" t="s">
        <v>7110</v>
      </c>
    </row>
    <row r="7599" spans="1:2">
      <c r="A7599" s="99" t="s">
        <v>1705</v>
      </c>
      <c r="B7599" s="1" t="s">
        <v>7110</v>
      </c>
    </row>
    <row r="7600" spans="1:2">
      <c r="A7600" s="99" t="s">
        <v>1696</v>
      </c>
      <c r="B7600" s="1" t="s">
        <v>7110</v>
      </c>
    </row>
    <row r="7601" spans="1:2">
      <c r="A7601" s="99" t="s">
        <v>1682</v>
      </c>
      <c r="B7601" s="1" t="s">
        <v>7110</v>
      </c>
    </row>
    <row r="7602" spans="1:2">
      <c r="A7602" s="99" t="s">
        <v>1833</v>
      </c>
      <c r="B7602" s="1" t="s">
        <v>7110</v>
      </c>
    </row>
    <row r="7603" spans="1:2">
      <c r="A7603" s="99" t="s">
        <v>1834</v>
      </c>
      <c r="B7603" s="1" t="s">
        <v>7110</v>
      </c>
    </row>
    <row r="7604" spans="1:2">
      <c r="A7604" s="99" t="s">
        <v>1816</v>
      </c>
      <c r="B7604" s="1" t="s">
        <v>7110</v>
      </c>
    </row>
    <row r="7605" spans="1:2">
      <c r="A7605" s="99" t="s">
        <v>1835</v>
      </c>
      <c r="B7605" s="1" t="s">
        <v>7110</v>
      </c>
    </row>
    <row r="7606" spans="1:2">
      <c r="A7606" s="99" t="s">
        <v>1835</v>
      </c>
      <c r="B7606" s="1" t="s">
        <v>7110</v>
      </c>
    </row>
    <row r="7607" spans="1:2">
      <c r="A7607" s="99" t="s">
        <v>1812</v>
      </c>
      <c r="B7607" s="1" t="s">
        <v>7110</v>
      </c>
    </row>
    <row r="7608" spans="1:2">
      <c r="A7608" s="99" t="s">
        <v>1834</v>
      </c>
      <c r="B7608" s="1" t="s">
        <v>7110</v>
      </c>
    </row>
    <row r="7609" spans="1:2">
      <c r="A7609" s="99" t="s">
        <v>1833</v>
      </c>
      <c r="B7609" s="1" t="s">
        <v>7110</v>
      </c>
    </row>
    <row r="7610" spans="1:2">
      <c r="A7610" s="99" t="s">
        <v>1834</v>
      </c>
      <c r="B7610" s="1" t="s">
        <v>7110</v>
      </c>
    </row>
    <row r="7611" spans="1:2">
      <c r="A7611" s="99" t="s">
        <v>1811</v>
      </c>
      <c r="B7611" s="1" t="s">
        <v>7110</v>
      </c>
    </row>
    <row r="7612" spans="1:2">
      <c r="A7612" s="99" t="s">
        <v>1721</v>
      </c>
      <c r="B7612" s="1" t="s">
        <v>7110</v>
      </c>
    </row>
    <row r="7613" spans="1:2">
      <c r="A7613" s="99" t="s">
        <v>1804</v>
      </c>
      <c r="B7613" s="1" t="s">
        <v>7110</v>
      </c>
    </row>
    <row r="7614" spans="1:2">
      <c r="A7614" s="99" t="s">
        <v>1721</v>
      </c>
      <c r="B7614" s="1" t="s">
        <v>7110</v>
      </c>
    </row>
    <row r="7615" spans="1:2">
      <c r="A7615" s="99" t="s">
        <v>1810</v>
      </c>
      <c r="B7615" s="1" t="s">
        <v>7110</v>
      </c>
    </row>
    <row r="7616" spans="1:2">
      <c r="A7616" s="99" t="s">
        <v>1812</v>
      </c>
      <c r="B7616" s="1" t="s">
        <v>7110</v>
      </c>
    </row>
    <row r="7617" spans="1:2">
      <c r="A7617" s="99" t="s">
        <v>1721</v>
      </c>
      <c r="B7617" s="1" t="s">
        <v>7110</v>
      </c>
    </row>
    <row r="7618" spans="1:2">
      <c r="A7618" s="99" t="s">
        <v>1816</v>
      </c>
      <c r="B7618" s="1" t="s">
        <v>7110</v>
      </c>
    </row>
    <row r="7619" spans="1:2">
      <c r="A7619" s="99" t="s">
        <v>1833</v>
      </c>
      <c r="B7619" s="1" t="s">
        <v>7110</v>
      </c>
    </row>
    <row r="7620" spans="1:2">
      <c r="A7620" s="99" t="s">
        <v>1812</v>
      </c>
      <c r="B7620" s="1" t="s">
        <v>7110</v>
      </c>
    </row>
    <row r="7621" spans="1:2">
      <c r="A7621" s="99" t="s">
        <v>1816</v>
      </c>
      <c r="B7621" s="1" t="s">
        <v>7110</v>
      </c>
    </row>
    <row r="7622" spans="1:2">
      <c r="A7622" s="99" t="s">
        <v>1811</v>
      </c>
      <c r="B7622" s="1" t="s">
        <v>7110</v>
      </c>
    </row>
    <row r="7623" spans="1:2">
      <c r="A7623" s="99" t="s">
        <v>1834</v>
      </c>
      <c r="B7623" s="1" t="s">
        <v>7110</v>
      </c>
    </row>
    <row r="7624" spans="1:2">
      <c r="A7624" s="99" t="s">
        <v>1833</v>
      </c>
      <c r="B7624" s="1" t="s">
        <v>7110</v>
      </c>
    </row>
    <row r="7625" spans="1:2">
      <c r="A7625" s="99" t="s">
        <v>1834</v>
      </c>
      <c r="B7625" s="1" t="s">
        <v>7110</v>
      </c>
    </row>
    <row r="7626" spans="1:2">
      <c r="A7626" s="99" t="s">
        <v>1811</v>
      </c>
      <c r="B7626" s="1" t="s">
        <v>7110</v>
      </c>
    </row>
    <row r="7627" spans="1:2">
      <c r="A7627" s="99" t="s">
        <v>1834</v>
      </c>
      <c r="B7627" s="1" t="s">
        <v>7110</v>
      </c>
    </row>
    <row r="7628" spans="1:2">
      <c r="A7628" s="99" t="s">
        <v>1812</v>
      </c>
      <c r="B7628" s="1" t="s">
        <v>7110</v>
      </c>
    </row>
    <row r="7629" spans="1:2">
      <c r="A7629" s="99" t="s">
        <v>1811</v>
      </c>
      <c r="B7629" s="1" t="s">
        <v>7110</v>
      </c>
    </row>
    <row r="7630" spans="1:2">
      <c r="A7630" s="99" t="s">
        <v>1834</v>
      </c>
      <c r="B7630" s="1" t="s">
        <v>7110</v>
      </c>
    </row>
    <row r="7631" spans="1:2">
      <c r="A7631" s="99" t="s">
        <v>1811</v>
      </c>
      <c r="B7631" s="1" t="s">
        <v>7110</v>
      </c>
    </row>
    <row r="7632" spans="1:2">
      <c r="A7632" s="99" t="s">
        <v>1696</v>
      </c>
      <c r="B7632" s="1" t="s">
        <v>7110</v>
      </c>
    </row>
    <row r="7633" spans="1:2">
      <c r="A7633" s="99" t="s">
        <v>1682</v>
      </c>
      <c r="B7633" s="1" t="s">
        <v>7110</v>
      </c>
    </row>
    <row r="7634" spans="1:2">
      <c r="A7634" s="99" t="s">
        <v>1699</v>
      </c>
      <c r="B7634" s="1" t="s">
        <v>7110</v>
      </c>
    </row>
    <row r="7635" spans="1:2">
      <c r="A7635" s="99" t="s">
        <v>1747</v>
      </c>
      <c r="B7635" s="1" t="s">
        <v>7110</v>
      </c>
    </row>
    <row r="7636" spans="1:2">
      <c r="A7636" s="99" t="s">
        <v>1700</v>
      </c>
      <c r="B7636" s="1" t="s">
        <v>7110</v>
      </c>
    </row>
    <row r="7637" spans="1:2">
      <c r="A7637" s="99" t="s">
        <v>1702</v>
      </c>
      <c r="B7637" s="1" t="s">
        <v>7110</v>
      </c>
    </row>
    <row r="7638" spans="1:2">
      <c r="A7638" s="99" t="s">
        <v>1746</v>
      </c>
      <c r="B7638" s="1" t="s">
        <v>7110</v>
      </c>
    </row>
    <row r="7639" spans="1:2">
      <c r="A7639" s="99" t="s">
        <v>1699</v>
      </c>
      <c r="B7639" s="1" t="s">
        <v>7110</v>
      </c>
    </row>
    <row r="7640" spans="1:2">
      <c r="A7640" s="99" t="s">
        <v>1684</v>
      </c>
      <c r="B7640" s="1" t="s">
        <v>7110</v>
      </c>
    </row>
    <row r="7641" spans="1:2">
      <c r="A7641" s="99" t="s">
        <v>1706</v>
      </c>
      <c r="B7641" s="1" t="s">
        <v>7110</v>
      </c>
    </row>
    <row r="7642" spans="1:2">
      <c r="A7642" s="99" t="s">
        <v>1677</v>
      </c>
      <c r="B7642" s="1" t="s">
        <v>7110</v>
      </c>
    </row>
    <row r="7643" spans="1:2">
      <c r="A7643" s="99" t="s">
        <v>1845</v>
      </c>
      <c r="B7643" s="1" t="s">
        <v>7110</v>
      </c>
    </row>
    <row r="7644" spans="1:2">
      <c r="A7644" s="99" t="s">
        <v>1723</v>
      </c>
      <c r="B7644" s="1" t="s">
        <v>7110</v>
      </c>
    </row>
    <row r="7645" spans="1:2">
      <c r="A7645" s="99" t="s">
        <v>1687</v>
      </c>
      <c r="B7645" s="1" t="s">
        <v>7110</v>
      </c>
    </row>
    <row r="7646" spans="1:2">
      <c r="A7646" s="99" t="s">
        <v>1673</v>
      </c>
      <c r="B7646" s="1" t="s">
        <v>7110</v>
      </c>
    </row>
    <row r="7647" spans="1:2">
      <c r="A7647" s="99" t="s">
        <v>1699</v>
      </c>
      <c r="B7647" s="1" t="s">
        <v>7110</v>
      </c>
    </row>
    <row r="7648" spans="1:2">
      <c r="A7648" s="99" t="s">
        <v>1692</v>
      </c>
      <c r="B7648" s="1" t="s">
        <v>7110</v>
      </c>
    </row>
    <row r="7649" spans="1:2">
      <c r="A7649" s="99" t="s">
        <v>1691</v>
      </c>
      <c r="B7649" s="1" t="s">
        <v>7110</v>
      </c>
    </row>
    <row r="7650" spans="1:2">
      <c r="A7650" s="99" t="s">
        <v>1686</v>
      </c>
      <c r="B7650" s="1" t="s">
        <v>7110</v>
      </c>
    </row>
    <row r="7651" spans="1:2">
      <c r="A7651" s="99" t="s">
        <v>1692</v>
      </c>
      <c r="B7651" s="1" t="s">
        <v>7110</v>
      </c>
    </row>
    <row r="7652" spans="1:2">
      <c r="A7652" s="99" t="s">
        <v>1691</v>
      </c>
      <c r="B7652" s="1" t="s">
        <v>7110</v>
      </c>
    </row>
    <row r="7653" spans="1:2">
      <c r="A7653" s="99" t="s">
        <v>1673</v>
      </c>
      <c r="B7653" s="1" t="s">
        <v>7110</v>
      </c>
    </row>
    <row r="7654" spans="1:2">
      <c r="A7654" s="99" t="s">
        <v>1708</v>
      </c>
      <c r="B7654" s="1" t="s">
        <v>7110</v>
      </c>
    </row>
    <row r="7655" spans="1:2">
      <c r="A7655" s="99" t="s">
        <v>1705</v>
      </c>
      <c r="B7655" s="1" t="s">
        <v>7110</v>
      </c>
    </row>
    <row r="7656" spans="1:2">
      <c r="A7656" s="99" t="s">
        <v>1855</v>
      </c>
      <c r="B7656" s="1" t="s">
        <v>7110</v>
      </c>
    </row>
    <row r="7657" spans="1:2">
      <c r="A7657" s="99" t="s">
        <v>1856</v>
      </c>
      <c r="B7657" s="1" t="s">
        <v>7110</v>
      </c>
    </row>
    <row r="7658" spans="1:2">
      <c r="A7658" s="99" t="s">
        <v>1704</v>
      </c>
      <c r="B7658" s="1" t="s">
        <v>7110</v>
      </c>
    </row>
    <row r="7659" spans="1:2">
      <c r="A7659" s="99" t="s">
        <v>1687</v>
      </c>
      <c r="B7659" s="1" t="s">
        <v>7110</v>
      </c>
    </row>
    <row r="7660" spans="1:2">
      <c r="A7660" s="99" t="s">
        <v>1694</v>
      </c>
      <c r="B7660" s="1" t="s">
        <v>7110</v>
      </c>
    </row>
    <row r="7661" spans="1:2">
      <c r="A7661" s="99" t="s">
        <v>1703</v>
      </c>
      <c r="B7661" s="1" t="s">
        <v>7110</v>
      </c>
    </row>
    <row r="7662" spans="1:2">
      <c r="A7662" s="99" t="s">
        <v>1703</v>
      </c>
      <c r="B7662" s="1" t="s">
        <v>7110</v>
      </c>
    </row>
    <row r="7663" spans="1:2">
      <c r="A7663" s="99" t="s">
        <v>1708</v>
      </c>
      <c r="B7663" s="1" t="s">
        <v>7110</v>
      </c>
    </row>
    <row r="7664" spans="1:2">
      <c r="A7664" s="99" t="s">
        <v>1707</v>
      </c>
      <c r="B7664" s="1" t="s">
        <v>7110</v>
      </c>
    </row>
    <row r="7665" spans="1:2">
      <c r="A7665" s="99" t="s">
        <v>1705</v>
      </c>
      <c r="B7665" s="1" t="s">
        <v>7110</v>
      </c>
    </row>
    <row r="7666" spans="1:2">
      <c r="A7666" s="99" t="s">
        <v>1719</v>
      </c>
      <c r="B7666" s="1" t="s">
        <v>7110</v>
      </c>
    </row>
    <row r="7667" spans="1:2">
      <c r="A7667" s="99" t="s">
        <v>1723</v>
      </c>
      <c r="B7667" s="1" t="s">
        <v>7110</v>
      </c>
    </row>
    <row r="7668" spans="1:2">
      <c r="A7668" s="99" t="s">
        <v>1863</v>
      </c>
      <c r="B7668" s="1" t="s">
        <v>7110</v>
      </c>
    </row>
    <row r="7669" spans="1:2">
      <c r="A7669" s="99" t="s">
        <v>1713</v>
      </c>
      <c r="B7669" s="1" t="s">
        <v>7110</v>
      </c>
    </row>
    <row r="7670" spans="1:2">
      <c r="A7670" s="99" t="s">
        <v>1722</v>
      </c>
      <c r="B7670" s="1" t="s">
        <v>7110</v>
      </c>
    </row>
    <row r="7671" spans="1:2">
      <c r="A7671" s="99" t="s">
        <v>1715</v>
      </c>
      <c r="B7671" s="1" t="s">
        <v>7110</v>
      </c>
    </row>
    <row r="7672" spans="1:2">
      <c r="A7672" s="99" t="s">
        <v>1676</v>
      </c>
      <c r="B7672" s="1" t="s">
        <v>7110</v>
      </c>
    </row>
    <row r="7673" spans="1:2">
      <c r="A7673" s="99" t="s">
        <v>1699</v>
      </c>
      <c r="B7673" s="1" t="s">
        <v>7110</v>
      </c>
    </row>
    <row r="7674" spans="1:2">
      <c r="A7674" s="99" t="s">
        <v>1750</v>
      </c>
      <c r="B7674" s="1" t="s">
        <v>7110</v>
      </c>
    </row>
    <row r="7675" spans="1:2">
      <c r="A7675" s="99" t="s">
        <v>1702</v>
      </c>
      <c r="B7675" s="1" t="s">
        <v>7110</v>
      </c>
    </row>
    <row r="7676" spans="1:2">
      <c r="A7676" s="99" t="s">
        <v>1683</v>
      </c>
      <c r="B7676" s="1" t="s">
        <v>7110</v>
      </c>
    </row>
    <row r="7677" spans="1:2">
      <c r="A7677" s="99" t="s">
        <v>1691</v>
      </c>
      <c r="B7677" s="1" t="s">
        <v>7110</v>
      </c>
    </row>
    <row r="7678" spans="1:2">
      <c r="A7678" s="99" t="s">
        <v>1671</v>
      </c>
      <c r="B7678" s="1" t="s">
        <v>7110</v>
      </c>
    </row>
    <row r="7679" spans="1:2">
      <c r="A7679" s="99" t="s">
        <v>1730</v>
      </c>
      <c r="B7679" s="1" t="s">
        <v>7110</v>
      </c>
    </row>
    <row r="7680" spans="1:2">
      <c r="A7680" s="99" t="s">
        <v>1678</v>
      </c>
      <c r="B7680" s="1" t="s">
        <v>7110</v>
      </c>
    </row>
    <row r="7681" spans="1:2">
      <c r="A7681" s="99" t="s">
        <v>1680</v>
      </c>
      <c r="B7681" s="1" t="s">
        <v>7110</v>
      </c>
    </row>
    <row r="7682" spans="1:2">
      <c r="A7682" s="99" t="s">
        <v>1691</v>
      </c>
      <c r="B7682" s="1" t="s">
        <v>7110</v>
      </c>
    </row>
    <row r="7683" spans="1:2">
      <c r="A7683" s="99" t="s">
        <v>1671</v>
      </c>
      <c r="B7683" s="1" t="s">
        <v>7110</v>
      </c>
    </row>
    <row r="7684" spans="1:2">
      <c r="A7684" s="99" t="s">
        <v>1700</v>
      </c>
      <c r="B7684" s="1" t="s">
        <v>7110</v>
      </c>
    </row>
    <row r="7685" spans="1:2">
      <c r="A7685" s="99" t="s">
        <v>1671</v>
      </c>
      <c r="B7685" s="1" t="s">
        <v>7110</v>
      </c>
    </row>
    <row r="7686" spans="1:2">
      <c r="A7686" s="99" t="s">
        <v>1748</v>
      </c>
      <c r="B7686" s="1" t="s">
        <v>7110</v>
      </c>
    </row>
    <row r="7687" spans="1:2">
      <c r="A7687" s="99" t="s">
        <v>1749</v>
      </c>
      <c r="B7687" s="1" t="s">
        <v>7110</v>
      </c>
    </row>
    <row r="7688" spans="1:2">
      <c r="A7688" s="99" t="s">
        <v>1701</v>
      </c>
      <c r="B7688" s="1" t="s">
        <v>7110</v>
      </c>
    </row>
    <row r="7689" spans="1:2">
      <c r="A7689" s="99" t="s">
        <v>1752</v>
      </c>
      <c r="B7689" s="1" t="s">
        <v>7110</v>
      </c>
    </row>
    <row r="7690" spans="1:2">
      <c r="A7690" s="99" t="s">
        <v>1693</v>
      </c>
      <c r="B7690" s="1" t="s">
        <v>7110</v>
      </c>
    </row>
    <row r="7691" spans="1:2">
      <c r="A7691" s="99" t="s">
        <v>1692</v>
      </c>
      <c r="B7691" s="1" t="s">
        <v>7110</v>
      </c>
    </row>
    <row r="7692" spans="1:2">
      <c r="A7692" s="99" t="s">
        <v>1915</v>
      </c>
      <c r="B7692" s="1" t="s">
        <v>7110</v>
      </c>
    </row>
    <row r="7693" spans="1:2">
      <c r="A7693" s="99" t="s">
        <v>1812</v>
      </c>
      <c r="B7693" s="1" t="s">
        <v>7110</v>
      </c>
    </row>
    <row r="7694" spans="1:2">
      <c r="A7694" s="99" t="s">
        <v>1927</v>
      </c>
      <c r="B7694" s="1" t="s">
        <v>7110</v>
      </c>
    </row>
    <row r="7695" spans="1:2">
      <c r="A7695" s="99" t="s">
        <v>1930</v>
      </c>
      <c r="B7695" s="1" t="s">
        <v>7110</v>
      </c>
    </row>
    <row r="7696" spans="1:2">
      <c r="A7696" s="99" t="s">
        <v>1939</v>
      </c>
      <c r="B7696" s="1" t="s">
        <v>7110</v>
      </c>
    </row>
    <row r="7697" spans="1:2">
      <c r="A7697" s="99" t="s">
        <v>1676</v>
      </c>
      <c r="B7697" s="1" t="s">
        <v>7110</v>
      </c>
    </row>
    <row r="7698" spans="1:2">
      <c r="A7698" s="99" t="s">
        <v>1946</v>
      </c>
      <c r="B7698" s="1" t="s">
        <v>7110</v>
      </c>
    </row>
    <row r="7699" spans="1:2">
      <c r="A7699" s="99" t="s">
        <v>1863</v>
      </c>
      <c r="B7699" s="1" t="s">
        <v>7110</v>
      </c>
    </row>
    <row r="7700" spans="1:2">
      <c r="A7700" s="99" t="s">
        <v>1948</v>
      </c>
      <c r="B7700" s="1" t="s">
        <v>7110</v>
      </c>
    </row>
    <row r="7701" spans="1:2">
      <c r="A7701" s="99" t="s">
        <v>1729</v>
      </c>
      <c r="B7701" s="1" t="s">
        <v>7110</v>
      </c>
    </row>
    <row r="7702" spans="1:2">
      <c r="A7702" s="99" t="s">
        <v>1752</v>
      </c>
      <c r="B7702" s="1" t="s">
        <v>7110</v>
      </c>
    </row>
    <row r="7703" spans="1:2">
      <c r="A7703" s="99" t="s">
        <v>1713</v>
      </c>
      <c r="B7703" s="1" t="s">
        <v>7110</v>
      </c>
    </row>
    <row r="7704" spans="1:2">
      <c r="A7704" s="99" t="s">
        <v>1946</v>
      </c>
      <c r="B7704" s="1" t="s">
        <v>7110</v>
      </c>
    </row>
    <row r="7705" spans="1:2">
      <c r="A7705" s="99" t="s">
        <v>1955</v>
      </c>
      <c r="B7705" s="1" t="s">
        <v>7110</v>
      </c>
    </row>
    <row r="7706" spans="1:2">
      <c r="A7706" s="99" t="s">
        <v>1856</v>
      </c>
      <c r="B7706" s="1" t="s">
        <v>7110</v>
      </c>
    </row>
    <row r="7707" spans="1:2">
      <c r="A7707" s="99" t="s">
        <v>1702</v>
      </c>
      <c r="B7707" s="1" t="s">
        <v>7110</v>
      </c>
    </row>
    <row r="7708" spans="1:2">
      <c r="A7708" s="99" t="s">
        <v>1960</v>
      </c>
      <c r="B7708" s="1" t="s">
        <v>7110</v>
      </c>
    </row>
    <row r="7709" spans="1:2">
      <c r="A7709" s="99" t="s">
        <v>1676</v>
      </c>
      <c r="B7709" s="1" t="s">
        <v>7110</v>
      </c>
    </row>
    <row r="7710" spans="1:2">
      <c r="A7710" s="99" t="s">
        <v>1963</v>
      </c>
      <c r="B7710" s="1" t="s">
        <v>7110</v>
      </c>
    </row>
    <row r="7711" spans="1:2">
      <c r="A7711" s="99" t="s">
        <v>1964</v>
      </c>
      <c r="B7711" s="1" t="s">
        <v>7110</v>
      </c>
    </row>
    <row r="7712" spans="1:2">
      <c r="A7712" s="99" t="s">
        <v>1699</v>
      </c>
      <c r="B7712" s="1" t="s">
        <v>7110</v>
      </c>
    </row>
    <row r="7713" spans="1:2">
      <c r="A7713" s="99" t="s">
        <v>1699</v>
      </c>
      <c r="B7713" s="1" t="s">
        <v>7110</v>
      </c>
    </row>
    <row r="7714" spans="1:2">
      <c r="A7714" s="99" t="s">
        <v>1699</v>
      </c>
      <c r="B7714" s="1" t="s">
        <v>7110</v>
      </c>
    </row>
    <row r="7715" spans="1:2">
      <c r="A7715" s="99" t="s">
        <v>1745</v>
      </c>
      <c r="B7715" s="1" t="s">
        <v>7110</v>
      </c>
    </row>
    <row r="7716" spans="1:2">
      <c r="A7716" s="99" t="s">
        <v>1695</v>
      </c>
      <c r="B7716" s="1" t="s">
        <v>7110</v>
      </c>
    </row>
    <row r="7717" spans="1:2">
      <c r="A7717" s="99" t="s">
        <v>1966</v>
      </c>
      <c r="B7717" s="1" t="s">
        <v>7110</v>
      </c>
    </row>
    <row r="7718" spans="1:2">
      <c r="A7718" s="99" t="s">
        <v>1948</v>
      </c>
      <c r="B7718" s="1" t="s">
        <v>7110</v>
      </c>
    </row>
    <row r="7719" spans="1:2">
      <c r="A7719" s="99" t="s">
        <v>1948</v>
      </c>
      <c r="B7719" s="1" t="s">
        <v>7110</v>
      </c>
    </row>
    <row r="7720" spans="1:2">
      <c r="A7720" s="99" t="s">
        <v>1948</v>
      </c>
      <c r="B7720" s="1" t="s">
        <v>7110</v>
      </c>
    </row>
    <row r="7721" spans="1:2">
      <c r="A7721" s="99" t="s">
        <v>1971</v>
      </c>
      <c r="B7721" s="1" t="s">
        <v>7110</v>
      </c>
    </row>
    <row r="7722" spans="1:2">
      <c r="A7722" s="99" t="s">
        <v>1955</v>
      </c>
      <c r="B7722" s="1" t="s">
        <v>7110</v>
      </c>
    </row>
    <row r="7723" spans="1:2">
      <c r="A7723" s="99" t="s">
        <v>1975</v>
      </c>
      <c r="B7723" s="1" t="s">
        <v>7110</v>
      </c>
    </row>
    <row r="7724" spans="1:2">
      <c r="A7724" s="99" t="s">
        <v>1978</v>
      </c>
      <c r="B7724" s="1" t="s">
        <v>7110</v>
      </c>
    </row>
    <row r="7725" spans="1:2">
      <c r="A7725" s="99" t="s">
        <v>1702</v>
      </c>
      <c r="B7725" s="1" t="s">
        <v>7110</v>
      </c>
    </row>
    <row r="7726" spans="1:2">
      <c r="A7726" s="99" t="s">
        <v>1981</v>
      </c>
      <c r="B7726" s="1" t="s">
        <v>7110</v>
      </c>
    </row>
    <row r="7727" spans="1:2">
      <c r="A7727" s="99" t="s">
        <v>1982</v>
      </c>
      <c r="B7727" s="1" t="s">
        <v>7110</v>
      </c>
    </row>
    <row r="7728" spans="1:2">
      <c r="A7728" s="99" t="s">
        <v>1985</v>
      </c>
      <c r="B7728" s="1" t="s">
        <v>7110</v>
      </c>
    </row>
    <row r="7729" spans="1:2">
      <c r="A7729" s="99" t="s">
        <v>1987</v>
      </c>
      <c r="B7729" s="1" t="s">
        <v>7110</v>
      </c>
    </row>
    <row r="7730" spans="1:2">
      <c r="A7730" s="99" t="s">
        <v>1989</v>
      </c>
      <c r="B7730" s="1" t="s">
        <v>7110</v>
      </c>
    </row>
    <row r="7731" spans="1:2">
      <c r="A7731" s="99" t="s">
        <v>1989</v>
      </c>
      <c r="B7731" s="1" t="s">
        <v>7110</v>
      </c>
    </row>
    <row r="7732" spans="1:2">
      <c r="A7732" s="99" t="s">
        <v>1989</v>
      </c>
      <c r="B7732" s="1" t="s">
        <v>7110</v>
      </c>
    </row>
    <row r="7733" spans="1:2">
      <c r="A7733" s="99" t="s">
        <v>1990</v>
      </c>
      <c r="B7733" s="1" t="s">
        <v>7110</v>
      </c>
    </row>
    <row r="7734" spans="1:2">
      <c r="A7734" s="99" t="s">
        <v>1748</v>
      </c>
      <c r="B7734" s="1" t="s">
        <v>7110</v>
      </c>
    </row>
    <row r="7735" spans="1:2">
      <c r="A7735" s="99" t="s">
        <v>1939</v>
      </c>
      <c r="B7735" s="1" t="s">
        <v>7110</v>
      </c>
    </row>
    <row r="7736" spans="1:2">
      <c r="A7736" s="99" t="s">
        <v>1993</v>
      </c>
      <c r="B7736" s="1" t="s">
        <v>7110</v>
      </c>
    </row>
    <row r="7737" spans="1:2">
      <c r="A7737" s="99" t="s">
        <v>1722</v>
      </c>
      <c r="B7737" s="1" t="s">
        <v>7110</v>
      </c>
    </row>
    <row r="7738" spans="1:2">
      <c r="A7738" s="99" t="s">
        <v>1990</v>
      </c>
      <c r="B7738" s="1" t="s">
        <v>7110</v>
      </c>
    </row>
    <row r="7739" spans="1:2">
      <c r="A7739" s="99" t="s">
        <v>1713</v>
      </c>
      <c r="B7739" s="1" t="s">
        <v>7110</v>
      </c>
    </row>
    <row r="7740" spans="1:2">
      <c r="A7740" s="99" t="s">
        <v>2005</v>
      </c>
      <c r="B7740" s="1" t="s">
        <v>7110</v>
      </c>
    </row>
    <row r="7741" spans="1:2">
      <c r="A7741" s="99" t="s">
        <v>1712</v>
      </c>
      <c r="B7741" s="1" t="s">
        <v>7110</v>
      </c>
    </row>
    <row r="7742" spans="1:2">
      <c r="A7742" s="99" t="s">
        <v>1966</v>
      </c>
      <c r="B7742" s="1" t="s">
        <v>7110</v>
      </c>
    </row>
    <row r="7743" spans="1:2">
      <c r="A7743" s="99" t="s">
        <v>2006</v>
      </c>
      <c r="B7743" s="1" t="s">
        <v>7110</v>
      </c>
    </row>
    <row r="7744" spans="1:2">
      <c r="A7744" s="99" t="s">
        <v>2007</v>
      </c>
      <c r="B7744" s="1" t="s">
        <v>7110</v>
      </c>
    </row>
    <row r="7745" spans="1:2">
      <c r="A7745" s="99" t="s">
        <v>2008</v>
      </c>
      <c r="B7745" s="1" t="s">
        <v>7110</v>
      </c>
    </row>
    <row r="7746" spans="1:2">
      <c r="A7746" s="99" t="s">
        <v>2006</v>
      </c>
      <c r="B7746" s="1" t="s">
        <v>7110</v>
      </c>
    </row>
    <row r="7747" spans="1:2">
      <c r="A7747" s="99" t="s">
        <v>2010</v>
      </c>
      <c r="B7747" s="1" t="s">
        <v>7110</v>
      </c>
    </row>
    <row r="7748" spans="1:2">
      <c r="A7748" s="99" t="s">
        <v>2011</v>
      </c>
      <c r="B7748" s="1" t="s">
        <v>7110</v>
      </c>
    </row>
    <row r="7749" spans="1:2">
      <c r="A7749" s="99" t="s">
        <v>2012</v>
      </c>
      <c r="B7749" s="1" t="s">
        <v>7110</v>
      </c>
    </row>
    <row r="7750" spans="1:2">
      <c r="A7750" s="99" t="s">
        <v>1863</v>
      </c>
      <c r="B7750" s="1" t="s">
        <v>7110</v>
      </c>
    </row>
    <row r="7751" spans="1:2">
      <c r="A7751" s="99" t="s">
        <v>2018</v>
      </c>
      <c r="B7751" s="1" t="s">
        <v>7110</v>
      </c>
    </row>
    <row r="7752" spans="1:2">
      <c r="A7752" s="99" t="s">
        <v>2022</v>
      </c>
      <c r="B7752" s="1" t="s">
        <v>7110</v>
      </c>
    </row>
    <row r="7753" spans="1:2">
      <c r="A7753" s="99" t="s">
        <v>2023</v>
      </c>
      <c r="B7753" s="1" t="s">
        <v>7110</v>
      </c>
    </row>
    <row r="7754" spans="1:2">
      <c r="A7754" s="99" t="s">
        <v>1939</v>
      </c>
      <c r="B7754" s="1" t="s">
        <v>7110</v>
      </c>
    </row>
    <row r="7755" spans="1:2">
      <c r="A7755" s="99" t="s">
        <v>1982</v>
      </c>
      <c r="B7755" s="1" t="s">
        <v>7110</v>
      </c>
    </row>
    <row r="7756" spans="1:2">
      <c r="A7756" s="99" t="s">
        <v>2030</v>
      </c>
      <c r="B7756" s="1" t="s">
        <v>7110</v>
      </c>
    </row>
    <row r="7757" spans="1:2">
      <c r="A7757" s="99" t="s">
        <v>1982</v>
      </c>
      <c r="B7757" s="1" t="s">
        <v>7110</v>
      </c>
    </row>
    <row r="7758" spans="1:2">
      <c r="A7758" s="99" t="s">
        <v>2031</v>
      </c>
      <c r="B7758" s="1" t="s">
        <v>7110</v>
      </c>
    </row>
    <row r="7759" spans="1:2">
      <c r="A7759" s="99" t="s">
        <v>2032</v>
      </c>
      <c r="B7759" s="1" t="s">
        <v>7110</v>
      </c>
    </row>
    <row r="7760" spans="1:2">
      <c r="A7760" s="99" t="s">
        <v>1677</v>
      </c>
      <c r="B7760" s="1" t="s">
        <v>7110</v>
      </c>
    </row>
    <row r="7761" spans="1:2">
      <c r="A7761" s="99" t="s">
        <v>1731</v>
      </c>
      <c r="B7761" s="1" t="s">
        <v>7110</v>
      </c>
    </row>
    <row r="7762" spans="1:2">
      <c r="A7762" s="99" t="s">
        <v>2050</v>
      </c>
      <c r="B7762" s="1" t="s">
        <v>7110</v>
      </c>
    </row>
    <row r="7763" spans="1:2">
      <c r="A7763" s="99" t="s">
        <v>2051</v>
      </c>
      <c r="B7763" s="1" t="s">
        <v>7110</v>
      </c>
    </row>
    <row r="7764" spans="1:2">
      <c r="A7764" s="99" t="s">
        <v>1812</v>
      </c>
      <c r="B7764" s="1" t="s">
        <v>7110</v>
      </c>
    </row>
    <row r="7765" spans="1:2">
      <c r="A7765" s="99" t="s">
        <v>1835</v>
      </c>
      <c r="B7765" s="1" t="s">
        <v>7110</v>
      </c>
    </row>
    <row r="7766" spans="1:2">
      <c r="A7766" s="99" t="s">
        <v>1982</v>
      </c>
      <c r="B7766" s="1" t="s">
        <v>7110</v>
      </c>
    </row>
    <row r="7767" spans="1:2">
      <c r="A7767" s="99" t="s">
        <v>2058</v>
      </c>
      <c r="B7767" s="1" t="s">
        <v>7110</v>
      </c>
    </row>
    <row r="7768" spans="1:2">
      <c r="A7768" s="99" t="s">
        <v>2058</v>
      </c>
      <c r="B7768" s="1" t="s">
        <v>7110</v>
      </c>
    </row>
    <row r="7769" spans="1:2">
      <c r="A7769" s="99" t="s">
        <v>2059</v>
      </c>
      <c r="B7769" s="1" t="s">
        <v>7110</v>
      </c>
    </row>
    <row r="7770" spans="1:2">
      <c r="A7770" s="99" t="s">
        <v>2061</v>
      </c>
      <c r="B7770" s="1" t="s">
        <v>7110</v>
      </c>
    </row>
    <row r="7771" spans="1:2">
      <c r="A7771" s="99" t="s">
        <v>1835</v>
      </c>
      <c r="B7771" s="1" t="s">
        <v>7110</v>
      </c>
    </row>
    <row r="7772" spans="1:2">
      <c r="A7772" s="99" t="s">
        <v>2059</v>
      </c>
      <c r="B7772" s="1" t="s">
        <v>7110</v>
      </c>
    </row>
    <row r="7773" spans="1:2">
      <c r="A7773" s="99" t="s">
        <v>2061</v>
      </c>
      <c r="B7773" s="1" t="s">
        <v>7110</v>
      </c>
    </row>
    <row r="7774" spans="1:2">
      <c r="A7774" s="99" t="s">
        <v>1835</v>
      </c>
      <c r="B7774" s="1" t="s">
        <v>7110</v>
      </c>
    </row>
    <row r="7775" spans="1:2">
      <c r="A7775" s="99" t="s">
        <v>1833</v>
      </c>
      <c r="B7775" s="1" t="s">
        <v>7110</v>
      </c>
    </row>
    <row r="7776" spans="1:2">
      <c r="A7776" s="99" t="s">
        <v>2059</v>
      </c>
      <c r="B7776" s="1" t="s">
        <v>7110</v>
      </c>
    </row>
    <row r="7777" spans="1:2">
      <c r="A7777" s="99" t="s">
        <v>2061</v>
      </c>
      <c r="B7777" s="1" t="s">
        <v>7110</v>
      </c>
    </row>
    <row r="7778" spans="1:2">
      <c r="A7778" s="99" t="s">
        <v>2059</v>
      </c>
      <c r="B7778" s="1" t="s">
        <v>7110</v>
      </c>
    </row>
    <row r="7779" spans="1:2">
      <c r="A7779" s="99" t="s">
        <v>2066</v>
      </c>
      <c r="B7779" s="1" t="s">
        <v>7110</v>
      </c>
    </row>
    <row r="7780" spans="1:2">
      <c r="A7780" s="99" t="s">
        <v>2066</v>
      </c>
      <c r="B7780" s="1" t="s">
        <v>7110</v>
      </c>
    </row>
    <row r="7781" spans="1:2">
      <c r="A7781" s="99" t="s">
        <v>1915</v>
      </c>
      <c r="B7781" s="1" t="s">
        <v>7110</v>
      </c>
    </row>
    <row r="7782" spans="1:2">
      <c r="A7782" s="99" t="s">
        <v>2051</v>
      </c>
      <c r="B7782" s="1" t="s">
        <v>7110</v>
      </c>
    </row>
    <row r="7783" spans="1:2">
      <c r="A7783" s="99" t="s">
        <v>2066</v>
      </c>
      <c r="B7783" s="1" t="s">
        <v>7110</v>
      </c>
    </row>
    <row r="7784" spans="1:2">
      <c r="A7784" s="99" t="s">
        <v>2051</v>
      </c>
      <c r="B7784" s="1" t="s">
        <v>7110</v>
      </c>
    </row>
    <row r="7785" spans="1:2">
      <c r="A7785" s="99" t="s">
        <v>2051</v>
      </c>
      <c r="B7785" s="1" t="s">
        <v>7110</v>
      </c>
    </row>
    <row r="7786" spans="1:2">
      <c r="A7786" s="99" t="s">
        <v>2066</v>
      </c>
      <c r="B7786" s="1" t="s">
        <v>7110</v>
      </c>
    </row>
    <row r="7787" spans="1:2">
      <c r="A7787" s="99" t="s">
        <v>1915</v>
      </c>
      <c r="B7787" s="1" t="s">
        <v>7110</v>
      </c>
    </row>
    <row r="7788" spans="1:2">
      <c r="A7788" s="99" t="s">
        <v>1927</v>
      </c>
      <c r="B7788" s="1" t="s">
        <v>7110</v>
      </c>
    </row>
    <row r="7789" spans="1:2">
      <c r="A7789" s="99" t="s">
        <v>1915</v>
      </c>
      <c r="B7789" s="1" t="s">
        <v>7110</v>
      </c>
    </row>
    <row r="7790" spans="1:2">
      <c r="A7790" s="99" t="s">
        <v>2069</v>
      </c>
      <c r="B7790" s="1" t="s">
        <v>7110</v>
      </c>
    </row>
    <row r="7791" spans="1:2">
      <c r="A7791" s="99" t="s">
        <v>1682</v>
      </c>
      <c r="B7791" s="1" t="s">
        <v>7110</v>
      </c>
    </row>
    <row r="7792" spans="1:2">
      <c r="A7792" s="99" t="s">
        <v>2070</v>
      </c>
      <c r="B7792" s="1" t="s">
        <v>7110</v>
      </c>
    </row>
    <row r="7793" spans="1:2">
      <c r="A7793" s="99" t="s">
        <v>1720</v>
      </c>
      <c r="B7793" s="1" t="s">
        <v>7110</v>
      </c>
    </row>
    <row r="7794" spans="1:2">
      <c r="A7794" s="99" t="s">
        <v>1835</v>
      </c>
      <c r="B7794" s="1" t="s">
        <v>7110</v>
      </c>
    </row>
    <row r="7795" spans="1:2">
      <c r="A7795" s="99" t="s">
        <v>2069</v>
      </c>
      <c r="B7795" s="1" t="s">
        <v>7110</v>
      </c>
    </row>
    <row r="7796" spans="1:2">
      <c r="A7796" s="99" t="s">
        <v>1681</v>
      </c>
      <c r="B7796" s="1" t="s">
        <v>7110</v>
      </c>
    </row>
    <row r="7797" spans="1:2">
      <c r="A7797" s="99" t="s">
        <v>1682</v>
      </c>
      <c r="B7797" s="1" t="s">
        <v>7110</v>
      </c>
    </row>
    <row r="7798" spans="1:2">
      <c r="A7798" s="99" t="s">
        <v>2071</v>
      </c>
      <c r="B7798" s="1" t="s">
        <v>7110</v>
      </c>
    </row>
    <row r="7799" spans="1:2">
      <c r="A7799" s="99" t="s">
        <v>1696</v>
      </c>
      <c r="B7799" s="1" t="s">
        <v>7110</v>
      </c>
    </row>
    <row r="7800" spans="1:2">
      <c r="A7800" s="99" t="s">
        <v>2069</v>
      </c>
      <c r="B7800" s="1" t="s">
        <v>7110</v>
      </c>
    </row>
    <row r="7801" spans="1:2">
      <c r="A7801" s="99" t="s">
        <v>2071</v>
      </c>
      <c r="B7801" s="1" t="s">
        <v>7110</v>
      </c>
    </row>
    <row r="7802" spans="1:2">
      <c r="A7802" s="99" t="s">
        <v>1681</v>
      </c>
      <c r="B7802" s="1" t="s">
        <v>7110</v>
      </c>
    </row>
    <row r="7803" spans="1:2">
      <c r="A7803" s="99" t="s">
        <v>2071</v>
      </c>
      <c r="B7803" s="1" t="s">
        <v>7110</v>
      </c>
    </row>
    <row r="7804" spans="1:2">
      <c r="A7804" s="99" t="s">
        <v>2059</v>
      </c>
      <c r="B7804" s="1" t="s">
        <v>7110</v>
      </c>
    </row>
    <row r="7805" spans="1:2">
      <c r="A7805" s="99" t="s">
        <v>2071</v>
      </c>
      <c r="B7805" s="1" t="s">
        <v>7110</v>
      </c>
    </row>
    <row r="7806" spans="1:2">
      <c r="A7806" s="99" t="s">
        <v>1833</v>
      </c>
      <c r="B7806" s="1" t="s">
        <v>7110</v>
      </c>
    </row>
    <row r="7807" spans="1:2">
      <c r="A7807" s="99" t="s">
        <v>1720</v>
      </c>
      <c r="B7807" s="1" t="s">
        <v>7110</v>
      </c>
    </row>
    <row r="7808" spans="1:2">
      <c r="A7808" s="99" t="s">
        <v>2059</v>
      </c>
      <c r="B7808" s="1" t="s">
        <v>7110</v>
      </c>
    </row>
    <row r="7809" spans="1:2">
      <c r="A7809" s="99" t="s">
        <v>2070</v>
      </c>
      <c r="B7809" s="1" t="s">
        <v>7110</v>
      </c>
    </row>
    <row r="7810" spans="1:2">
      <c r="A7810" s="99" t="s">
        <v>2059</v>
      </c>
      <c r="B7810" s="1" t="s">
        <v>7110</v>
      </c>
    </row>
    <row r="7811" spans="1:2">
      <c r="A7811" s="99" t="s">
        <v>2058</v>
      </c>
      <c r="B7811" s="1" t="s">
        <v>7110</v>
      </c>
    </row>
    <row r="7812" spans="1:2">
      <c r="A7812" s="99" t="s">
        <v>2058</v>
      </c>
      <c r="B7812" s="1" t="s">
        <v>7110</v>
      </c>
    </row>
    <row r="7813" spans="1:2">
      <c r="A7813" s="99" t="s">
        <v>1698</v>
      </c>
      <c r="B7813" s="1" t="s">
        <v>7110</v>
      </c>
    </row>
    <row r="7814" spans="1:2">
      <c r="A7814" s="99" t="s">
        <v>2084</v>
      </c>
      <c r="B7814" s="1" t="s">
        <v>7110</v>
      </c>
    </row>
    <row r="7815" spans="1:2">
      <c r="A7815" s="99" t="s">
        <v>2085</v>
      </c>
      <c r="B7815" s="1" t="s">
        <v>7110</v>
      </c>
    </row>
    <row r="7816" spans="1:2">
      <c r="A7816" s="99" t="s">
        <v>1711</v>
      </c>
      <c r="B7816" s="1" t="s">
        <v>7110</v>
      </c>
    </row>
    <row r="7817" spans="1:2">
      <c r="A7817" s="99" t="s">
        <v>1987</v>
      </c>
      <c r="B7817" s="1" t="s">
        <v>7110</v>
      </c>
    </row>
    <row r="7818" spans="1:2">
      <c r="A7818" s="99" t="s">
        <v>1676</v>
      </c>
      <c r="B7818" s="1" t="s">
        <v>7110</v>
      </c>
    </row>
    <row r="7819" spans="1:2">
      <c r="A7819" s="99" t="s">
        <v>2087</v>
      </c>
      <c r="B7819" s="1" t="s">
        <v>7110</v>
      </c>
    </row>
    <row r="7820" spans="1:2">
      <c r="A7820" s="99" t="s">
        <v>2087</v>
      </c>
      <c r="B7820" s="1" t="s">
        <v>7110</v>
      </c>
    </row>
    <row r="7821" spans="1:2">
      <c r="A7821" s="99" t="s">
        <v>1989</v>
      </c>
      <c r="B7821" s="1" t="s">
        <v>7110</v>
      </c>
    </row>
    <row r="7822" spans="1:2">
      <c r="A7822" s="99" t="s">
        <v>1982</v>
      </c>
      <c r="B7822" s="1" t="s">
        <v>7110</v>
      </c>
    </row>
    <row r="7823" spans="1:2">
      <c r="A7823" s="99" t="s">
        <v>2088</v>
      </c>
      <c r="B7823" s="1" t="s">
        <v>7110</v>
      </c>
    </row>
    <row r="7824" spans="1:2">
      <c r="A7824" s="99" t="s">
        <v>1930</v>
      </c>
      <c r="B7824" s="1" t="s">
        <v>7110</v>
      </c>
    </row>
    <row r="7825" spans="1:2">
      <c r="A7825" s="99" t="s">
        <v>2050</v>
      </c>
      <c r="B7825" s="1" t="s">
        <v>7110</v>
      </c>
    </row>
    <row r="7826" spans="1:2">
      <c r="A7826" s="99" t="s">
        <v>1710</v>
      </c>
      <c r="B7826" s="1" t="s">
        <v>7110</v>
      </c>
    </row>
    <row r="7827" spans="1:2">
      <c r="A7827" s="99" t="s">
        <v>1710</v>
      </c>
      <c r="B7827" s="1" t="s">
        <v>7110</v>
      </c>
    </row>
    <row r="7828" spans="1:2">
      <c r="A7828" s="99" t="s">
        <v>1698</v>
      </c>
      <c r="B7828" s="1" t="s">
        <v>7110</v>
      </c>
    </row>
    <row r="7829" spans="1:2">
      <c r="A7829" s="99" t="s">
        <v>2085</v>
      </c>
      <c r="B7829" s="1" t="s">
        <v>7110</v>
      </c>
    </row>
    <row r="7830" spans="1:2">
      <c r="A7830" s="99" t="s">
        <v>2094</v>
      </c>
      <c r="B7830" s="1" t="s">
        <v>7110</v>
      </c>
    </row>
    <row r="7831" spans="1:2">
      <c r="A7831" s="99" t="s">
        <v>1723</v>
      </c>
      <c r="B7831" s="1" t="s">
        <v>7110</v>
      </c>
    </row>
    <row r="7832" spans="1:2">
      <c r="A7832" s="99" t="s">
        <v>2095</v>
      </c>
      <c r="B7832" s="1" t="s">
        <v>7110</v>
      </c>
    </row>
    <row r="7833" spans="1:2">
      <c r="A7833" s="99" t="s">
        <v>2096</v>
      </c>
      <c r="B7833" s="1" t="s">
        <v>7110</v>
      </c>
    </row>
    <row r="7834" spans="1:2">
      <c r="A7834" s="99" t="s">
        <v>2096</v>
      </c>
      <c r="B7834" s="1" t="s">
        <v>7110</v>
      </c>
    </row>
    <row r="7835" spans="1:2">
      <c r="A7835" s="99" t="s">
        <v>2096</v>
      </c>
      <c r="B7835" s="1" t="s">
        <v>7110</v>
      </c>
    </row>
    <row r="7836" spans="1:2">
      <c r="A7836" s="99" t="s">
        <v>2096</v>
      </c>
      <c r="B7836" s="1" t="s">
        <v>7110</v>
      </c>
    </row>
    <row r="7837" spans="1:2">
      <c r="A7837" s="99" t="s">
        <v>1963</v>
      </c>
      <c r="B7837" s="1" t="s">
        <v>7110</v>
      </c>
    </row>
    <row r="7838" spans="1:2">
      <c r="A7838" s="99" t="s">
        <v>2097</v>
      </c>
      <c r="B7838" s="1" t="s">
        <v>7110</v>
      </c>
    </row>
    <row r="7839" spans="1:2">
      <c r="A7839" s="99" t="s">
        <v>2098</v>
      </c>
      <c r="B7839" s="1" t="s">
        <v>7110</v>
      </c>
    </row>
    <row r="7840" spans="1:2">
      <c r="A7840" s="99" t="s">
        <v>2099</v>
      </c>
      <c r="B7840" s="1" t="s">
        <v>7110</v>
      </c>
    </row>
    <row r="7841" spans="1:2">
      <c r="A7841" s="99" t="s">
        <v>2100</v>
      </c>
      <c r="B7841" s="1" t="s">
        <v>7110</v>
      </c>
    </row>
    <row r="7842" spans="1:2">
      <c r="A7842" s="99" t="s">
        <v>1863</v>
      </c>
      <c r="B7842" s="1" t="s">
        <v>7110</v>
      </c>
    </row>
    <row r="7843" spans="1:2">
      <c r="A7843" s="99" t="s">
        <v>1966</v>
      </c>
      <c r="B7843" s="1" t="s">
        <v>7110</v>
      </c>
    </row>
    <row r="7844" spans="1:2">
      <c r="A7844" s="99" t="s">
        <v>2096</v>
      </c>
      <c r="B7844" s="1" t="s">
        <v>7110</v>
      </c>
    </row>
    <row r="7845" spans="1:2">
      <c r="A7845" s="99" t="s">
        <v>2005</v>
      </c>
      <c r="B7845" s="1" t="s">
        <v>7110</v>
      </c>
    </row>
    <row r="7846" spans="1:2">
      <c r="A7846" s="99" t="s">
        <v>2101</v>
      </c>
      <c r="B7846" s="1" t="s">
        <v>7110</v>
      </c>
    </row>
    <row r="7847" spans="1:2">
      <c r="A7847" s="99" t="s">
        <v>2102</v>
      </c>
      <c r="B7847" s="1" t="s">
        <v>7110</v>
      </c>
    </row>
    <row r="7848" spans="1:2">
      <c r="A7848" s="99" t="s">
        <v>1863</v>
      </c>
      <c r="B7848" s="1" t="s">
        <v>7110</v>
      </c>
    </row>
    <row r="7849" spans="1:2">
      <c r="A7849" s="99" t="s">
        <v>1705</v>
      </c>
      <c r="B7849" s="1" t="s">
        <v>7110</v>
      </c>
    </row>
    <row r="7850" spans="1:2">
      <c r="A7850" s="99" t="s">
        <v>2103</v>
      </c>
      <c r="B7850" s="1" t="s">
        <v>7110</v>
      </c>
    </row>
    <row r="7851" spans="1:2">
      <c r="A7851" s="99" t="s">
        <v>1717</v>
      </c>
      <c r="B7851" s="1" t="s">
        <v>7110</v>
      </c>
    </row>
    <row r="7852" spans="1:2">
      <c r="A7852" s="99" t="s">
        <v>1713</v>
      </c>
      <c r="B7852" s="1" t="s">
        <v>7110</v>
      </c>
    </row>
    <row r="7853" spans="1:2">
      <c r="A7853" s="99" t="s">
        <v>2007</v>
      </c>
      <c r="B7853" s="1" t="s">
        <v>7110</v>
      </c>
    </row>
    <row r="7854" spans="1:2">
      <c r="A7854" s="99" t="s">
        <v>1746</v>
      </c>
      <c r="B7854" s="1" t="s">
        <v>7110</v>
      </c>
    </row>
    <row r="7855" spans="1:2">
      <c r="A7855" s="99" t="s">
        <v>1713</v>
      </c>
      <c r="B7855" s="1" t="s">
        <v>7110</v>
      </c>
    </row>
    <row r="7856" spans="1:2">
      <c r="A7856" s="99" t="s">
        <v>1993</v>
      </c>
      <c r="B7856" s="1" t="s">
        <v>7110</v>
      </c>
    </row>
    <row r="7857" spans="1:2">
      <c r="A7857" s="99" t="s">
        <v>1746</v>
      </c>
      <c r="B7857" s="1" t="s">
        <v>7110</v>
      </c>
    </row>
    <row r="7858" spans="1:2">
      <c r="A7858" s="99" t="s">
        <v>2104</v>
      </c>
      <c r="B7858" s="1" t="s">
        <v>7110</v>
      </c>
    </row>
    <row r="7859" spans="1:2">
      <c r="A7859" s="99" t="s">
        <v>1717</v>
      </c>
      <c r="B7859" s="1" t="s">
        <v>7110</v>
      </c>
    </row>
    <row r="7860" spans="1:2">
      <c r="A7860" s="99" t="s">
        <v>1714</v>
      </c>
      <c r="B7860" s="1" t="s">
        <v>7110</v>
      </c>
    </row>
    <row r="7861" spans="1:2">
      <c r="A7861" s="99" t="s">
        <v>1711</v>
      </c>
      <c r="B7861" s="1" t="s">
        <v>7110</v>
      </c>
    </row>
    <row r="7862" spans="1:2">
      <c r="A7862" s="99" t="s">
        <v>1694</v>
      </c>
      <c r="B7862" s="1" t="s">
        <v>7110</v>
      </c>
    </row>
    <row r="7863" spans="1:2">
      <c r="A7863" s="99" t="s">
        <v>1753</v>
      </c>
      <c r="B7863" s="1" t="s">
        <v>7110</v>
      </c>
    </row>
    <row r="7864" spans="1:2">
      <c r="A7864" s="99" t="s">
        <v>1722</v>
      </c>
      <c r="B7864" s="1" t="s">
        <v>7110</v>
      </c>
    </row>
    <row r="7865" spans="1:2">
      <c r="A7865" s="99" t="s">
        <v>1712</v>
      </c>
      <c r="B7865" s="1" t="s">
        <v>7110</v>
      </c>
    </row>
    <row r="7866" spans="1:2">
      <c r="A7866" s="99" t="s">
        <v>1712</v>
      </c>
      <c r="B7866" s="1" t="s">
        <v>7110</v>
      </c>
    </row>
    <row r="7867" spans="1:2">
      <c r="A7867" s="99" t="s">
        <v>1705</v>
      </c>
      <c r="B7867" s="1" t="s">
        <v>7110</v>
      </c>
    </row>
    <row r="7868" spans="1:2">
      <c r="A7868" s="99" t="s">
        <v>2105</v>
      </c>
      <c r="B7868" s="1" t="s">
        <v>7110</v>
      </c>
    </row>
    <row r="7869" spans="1:2">
      <c r="A7869" s="99" t="s">
        <v>1677</v>
      </c>
      <c r="B7869" s="1" t="s">
        <v>7110</v>
      </c>
    </row>
    <row r="7870" spans="1:2">
      <c r="A7870" s="99" t="s">
        <v>2087</v>
      </c>
      <c r="B7870" s="1" t="s">
        <v>7110</v>
      </c>
    </row>
    <row r="7871" spans="1:2">
      <c r="A7871" s="99" t="s">
        <v>2099</v>
      </c>
      <c r="B7871" s="1" t="s">
        <v>7110</v>
      </c>
    </row>
    <row r="7872" spans="1:2">
      <c r="A7872" s="99" t="s">
        <v>2096</v>
      </c>
      <c r="B7872" s="1" t="s">
        <v>7110</v>
      </c>
    </row>
    <row r="7873" spans="1:2">
      <c r="A7873" s="99" t="s">
        <v>2097</v>
      </c>
      <c r="B7873" s="1" t="s">
        <v>7110</v>
      </c>
    </row>
    <row r="7874" spans="1:2">
      <c r="A7874" s="99" t="s">
        <v>1946</v>
      </c>
      <c r="B7874" s="1" t="s">
        <v>7110</v>
      </c>
    </row>
    <row r="7875" spans="1:2">
      <c r="A7875" s="99" t="s">
        <v>2106</v>
      </c>
      <c r="B7875" s="1" t="s">
        <v>7110</v>
      </c>
    </row>
    <row r="7876" spans="1:2">
      <c r="A7876" s="99" t="s">
        <v>1939</v>
      </c>
      <c r="B7876" s="1" t="s">
        <v>7110</v>
      </c>
    </row>
    <row r="7877" spans="1:2">
      <c r="A7877" s="99" t="s">
        <v>2114</v>
      </c>
      <c r="B7877" s="1" t="s">
        <v>7110</v>
      </c>
    </row>
    <row r="7878" spans="1:2">
      <c r="A7878" s="99" t="s">
        <v>2023</v>
      </c>
      <c r="B7878" s="1" t="s">
        <v>7110</v>
      </c>
    </row>
    <row r="7879" spans="1:2">
      <c r="A7879" s="99" t="s">
        <v>2022</v>
      </c>
      <c r="B7879" s="1" t="s">
        <v>7110</v>
      </c>
    </row>
    <row r="7880" spans="1:2">
      <c r="A7880" s="99" t="s">
        <v>1987</v>
      </c>
      <c r="B7880" s="1" t="s">
        <v>7110</v>
      </c>
    </row>
    <row r="7881" spans="1:2">
      <c r="A7881" s="99" t="s">
        <v>1985</v>
      </c>
      <c r="B7881" s="1" t="s">
        <v>7110</v>
      </c>
    </row>
    <row r="7882" spans="1:2">
      <c r="A7882" s="99" t="s">
        <v>2030</v>
      </c>
      <c r="B7882" s="1" t="s">
        <v>7110</v>
      </c>
    </row>
    <row r="7883" spans="1:2">
      <c r="A7883" s="99" t="s">
        <v>1677</v>
      </c>
      <c r="B7883" s="1" t="s">
        <v>7110</v>
      </c>
    </row>
    <row r="7884" spans="1:2">
      <c r="A7884" s="99" t="s">
        <v>2124</v>
      </c>
      <c r="B7884" s="1" t="s">
        <v>7110</v>
      </c>
    </row>
    <row r="7885" spans="1:2">
      <c r="A7885" s="99" t="s">
        <v>2030</v>
      </c>
      <c r="B7885" s="1" t="s">
        <v>7110</v>
      </c>
    </row>
    <row r="7886" spans="1:2">
      <c r="A7886" s="99" t="s">
        <v>2058</v>
      </c>
      <c r="B7886" s="1" t="s">
        <v>7110</v>
      </c>
    </row>
    <row r="7887" spans="1:2">
      <c r="A7887" s="99" t="s">
        <v>1679</v>
      </c>
      <c r="B7887" s="1" t="s">
        <v>7110</v>
      </c>
    </row>
    <row r="7888" spans="1:2">
      <c r="A7888" s="99" t="s">
        <v>2061</v>
      </c>
      <c r="B7888" s="1" t="s">
        <v>7110</v>
      </c>
    </row>
    <row r="7889" spans="1:2">
      <c r="A7889" s="99" t="s">
        <v>2059</v>
      </c>
      <c r="B7889" s="1" t="s">
        <v>7110</v>
      </c>
    </row>
    <row r="7890" spans="1:2">
      <c r="A7890" s="99" t="s">
        <v>2059</v>
      </c>
      <c r="B7890" s="1" t="s">
        <v>7110</v>
      </c>
    </row>
    <row r="7891" spans="1:2">
      <c r="A7891" s="99" t="s">
        <v>2061</v>
      </c>
      <c r="B7891" s="1" t="s">
        <v>7110</v>
      </c>
    </row>
    <row r="7892" spans="1:2">
      <c r="A7892" s="99" t="s">
        <v>2136</v>
      </c>
      <c r="B7892" s="1" t="s">
        <v>7110</v>
      </c>
    </row>
    <row r="7893" spans="1:2">
      <c r="A7893" s="99" t="s">
        <v>1835</v>
      </c>
      <c r="B7893" s="1" t="s">
        <v>7110</v>
      </c>
    </row>
    <row r="7894" spans="1:2">
      <c r="A7894" s="99" t="s">
        <v>1833</v>
      </c>
      <c r="B7894" s="1" t="s">
        <v>7110</v>
      </c>
    </row>
    <row r="7895" spans="1:2">
      <c r="A7895" s="99" t="s">
        <v>2061</v>
      </c>
      <c r="B7895" s="1" t="s">
        <v>7110</v>
      </c>
    </row>
    <row r="7896" spans="1:2">
      <c r="A7896" s="99" t="s">
        <v>2059</v>
      </c>
      <c r="B7896" s="1" t="s">
        <v>7110</v>
      </c>
    </row>
    <row r="7897" spans="1:2">
      <c r="A7897" s="99" t="s">
        <v>1681</v>
      </c>
      <c r="B7897" s="1" t="s">
        <v>7110</v>
      </c>
    </row>
    <row r="7898" spans="1:2">
      <c r="A7898" s="99" t="s">
        <v>1833</v>
      </c>
      <c r="B7898" s="1" t="s">
        <v>7110</v>
      </c>
    </row>
    <row r="7899" spans="1:2">
      <c r="A7899" s="99" t="s">
        <v>2136</v>
      </c>
      <c r="B7899" s="1" t="s">
        <v>7110</v>
      </c>
    </row>
    <row r="7900" spans="1:2">
      <c r="A7900" s="99" t="s">
        <v>1833</v>
      </c>
      <c r="B7900" s="1" t="s">
        <v>7110</v>
      </c>
    </row>
    <row r="7901" spans="1:2">
      <c r="A7901" s="99" t="s">
        <v>1682</v>
      </c>
      <c r="B7901" s="1" t="s">
        <v>7110</v>
      </c>
    </row>
    <row r="7902" spans="1:2">
      <c r="A7902" s="99" t="s">
        <v>2061</v>
      </c>
      <c r="B7902" s="1" t="s">
        <v>7110</v>
      </c>
    </row>
    <row r="7903" spans="1:2">
      <c r="A7903" s="99" t="s">
        <v>2061</v>
      </c>
      <c r="B7903" s="1" t="s">
        <v>7110</v>
      </c>
    </row>
    <row r="7904" spans="1:2">
      <c r="A7904" s="99" t="s">
        <v>2061</v>
      </c>
      <c r="B7904" s="1" t="s">
        <v>7110</v>
      </c>
    </row>
    <row r="7905" spans="1:2">
      <c r="A7905" s="99" t="s">
        <v>2061</v>
      </c>
      <c r="B7905" s="1" t="s">
        <v>7110</v>
      </c>
    </row>
    <row r="7906" spans="1:2">
      <c r="A7906" s="99" t="s">
        <v>2066</v>
      </c>
      <c r="B7906" s="1" t="s">
        <v>7110</v>
      </c>
    </row>
    <row r="7907" spans="1:2">
      <c r="A7907" s="99" t="s">
        <v>2066</v>
      </c>
      <c r="B7907" s="1" t="s">
        <v>7110</v>
      </c>
    </row>
    <row r="7908" spans="1:2">
      <c r="A7908" s="99" t="s">
        <v>2061</v>
      </c>
      <c r="B7908" s="1" t="s">
        <v>7110</v>
      </c>
    </row>
    <row r="7909" spans="1:2">
      <c r="A7909" s="99" t="s">
        <v>2061</v>
      </c>
      <c r="B7909" s="1" t="s">
        <v>7110</v>
      </c>
    </row>
    <row r="7910" spans="1:2">
      <c r="A7910" s="99" t="s">
        <v>2136</v>
      </c>
      <c r="B7910" s="1" t="s">
        <v>7110</v>
      </c>
    </row>
    <row r="7911" spans="1:2">
      <c r="A7911" s="99" t="s">
        <v>1816</v>
      </c>
      <c r="B7911" s="1" t="s">
        <v>7110</v>
      </c>
    </row>
    <row r="7912" spans="1:2">
      <c r="A7912" s="99" t="s">
        <v>1834</v>
      </c>
      <c r="B7912" s="1" t="s">
        <v>7110</v>
      </c>
    </row>
    <row r="7913" spans="1:2">
      <c r="A7913" s="99" t="s">
        <v>2059</v>
      </c>
      <c r="B7913" s="1" t="s">
        <v>7110</v>
      </c>
    </row>
    <row r="7914" spans="1:2">
      <c r="A7914" s="99" t="s">
        <v>2061</v>
      </c>
      <c r="B7914" s="1" t="s">
        <v>7110</v>
      </c>
    </row>
    <row r="7915" spans="1:2">
      <c r="A7915" s="99" t="s">
        <v>2059</v>
      </c>
      <c r="B7915" s="1" t="s">
        <v>7110</v>
      </c>
    </row>
    <row r="7916" spans="1:2">
      <c r="A7916" s="99" t="s">
        <v>2138</v>
      </c>
      <c r="B7916" s="1" t="s">
        <v>7110</v>
      </c>
    </row>
    <row r="7917" spans="1:2">
      <c r="A7917" s="99" t="s">
        <v>2138</v>
      </c>
      <c r="B7917" s="1" t="s">
        <v>7110</v>
      </c>
    </row>
    <row r="7918" spans="1:2">
      <c r="A7918" s="99" t="s">
        <v>1833</v>
      </c>
      <c r="B7918" s="1" t="s">
        <v>7110</v>
      </c>
    </row>
    <row r="7919" spans="1:2">
      <c r="A7919" s="99" t="s">
        <v>1833</v>
      </c>
      <c r="B7919" s="1" t="s">
        <v>7110</v>
      </c>
    </row>
    <row r="7920" spans="1:2">
      <c r="A7920" s="99" t="s">
        <v>2066</v>
      </c>
      <c r="B7920" s="1" t="s">
        <v>7110</v>
      </c>
    </row>
    <row r="7921" spans="1:2">
      <c r="A7921" s="99" t="s">
        <v>2066</v>
      </c>
      <c r="B7921" s="1" t="s">
        <v>7110</v>
      </c>
    </row>
    <row r="7922" spans="1:2">
      <c r="A7922" s="99" t="s">
        <v>2066</v>
      </c>
      <c r="B7922" s="1" t="s">
        <v>7110</v>
      </c>
    </row>
    <row r="7923" spans="1:2">
      <c r="A7923" s="99" t="s">
        <v>2050</v>
      </c>
      <c r="B7923" s="1" t="s">
        <v>7110</v>
      </c>
    </row>
    <row r="7924" spans="1:2">
      <c r="A7924" s="99" t="s">
        <v>1833</v>
      </c>
      <c r="B7924" s="1" t="s">
        <v>7110</v>
      </c>
    </row>
    <row r="7925" spans="1:2">
      <c r="A7925" s="99" t="s">
        <v>1833</v>
      </c>
      <c r="B7925" s="1" t="s">
        <v>7110</v>
      </c>
    </row>
    <row r="7926" spans="1:2">
      <c r="A7926" s="99" t="s">
        <v>2050</v>
      </c>
      <c r="B7926" s="1" t="s">
        <v>7110</v>
      </c>
    </row>
    <row r="7927" spans="1:2">
      <c r="A7927" s="99" t="s">
        <v>2061</v>
      </c>
      <c r="B7927" s="1" t="s">
        <v>7110</v>
      </c>
    </row>
    <row r="7928" spans="1:2">
      <c r="A7928" s="99" t="s">
        <v>2050</v>
      </c>
      <c r="B7928" s="1" t="s">
        <v>7110</v>
      </c>
    </row>
    <row r="7929" spans="1:2">
      <c r="A7929" s="99" t="s">
        <v>1833</v>
      </c>
      <c r="B7929" s="1" t="s">
        <v>7110</v>
      </c>
    </row>
    <row r="7930" spans="1:2">
      <c r="A7930" s="99" t="s">
        <v>2061</v>
      </c>
      <c r="B7930" s="1" t="s">
        <v>7110</v>
      </c>
    </row>
    <row r="7931" spans="1:2">
      <c r="A7931" s="99" t="s">
        <v>1915</v>
      </c>
      <c r="B7931" s="1" t="s">
        <v>7110</v>
      </c>
    </row>
    <row r="7932" spans="1:2">
      <c r="A7932" s="99" t="s">
        <v>2050</v>
      </c>
      <c r="B7932" s="1" t="s">
        <v>7110</v>
      </c>
    </row>
    <row r="7933" spans="1:2">
      <c r="A7933" s="99" t="s">
        <v>2061</v>
      </c>
      <c r="B7933" s="1" t="s">
        <v>7110</v>
      </c>
    </row>
    <row r="7934" spans="1:2">
      <c r="A7934" s="99" t="s">
        <v>1685</v>
      </c>
      <c r="B7934" s="1" t="s">
        <v>7110</v>
      </c>
    </row>
    <row r="7935" spans="1:2">
      <c r="A7935" s="99" t="s">
        <v>1939</v>
      </c>
      <c r="B7935" s="1" t="s">
        <v>7110</v>
      </c>
    </row>
    <row r="7936" spans="1:2">
      <c r="A7936" s="99" t="s">
        <v>2023</v>
      </c>
      <c r="B7936" s="1" t="s">
        <v>7110</v>
      </c>
    </row>
    <row r="7937" spans="1:2">
      <c r="A7937" s="99" t="s">
        <v>1835</v>
      </c>
      <c r="B7937" s="1" t="s">
        <v>7110</v>
      </c>
    </row>
    <row r="7938" spans="1:2">
      <c r="A7938" s="99" t="s">
        <v>1833</v>
      </c>
      <c r="B7938" s="1" t="s">
        <v>7110</v>
      </c>
    </row>
    <row r="7939" spans="1:2">
      <c r="A7939" s="99" t="s">
        <v>2051</v>
      </c>
      <c r="B7939" s="1" t="s">
        <v>7110</v>
      </c>
    </row>
    <row r="7940" spans="1:2">
      <c r="A7940" s="99" t="s">
        <v>1710</v>
      </c>
      <c r="B7940" s="1" t="s">
        <v>7110</v>
      </c>
    </row>
    <row r="7941" spans="1:2">
      <c r="A7941" s="99" t="s">
        <v>1927</v>
      </c>
      <c r="B7941" s="1" t="s">
        <v>7110</v>
      </c>
    </row>
    <row r="7942" spans="1:2">
      <c r="A7942" s="99" t="s">
        <v>1718</v>
      </c>
      <c r="B7942" s="1" t="s">
        <v>7110</v>
      </c>
    </row>
    <row r="7943" spans="1:2">
      <c r="A7943" s="99" t="s">
        <v>1690</v>
      </c>
      <c r="B7943" s="1" t="s">
        <v>7110</v>
      </c>
    </row>
    <row r="7944" spans="1:2">
      <c r="A7944" s="99" t="s">
        <v>2098</v>
      </c>
      <c r="B7944" s="1" t="s">
        <v>7110</v>
      </c>
    </row>
    <row r="7945" spans="1:2">
      <c r="A7945" s="99" t="s">
        <v>2321</v>
      </c>
      <c r="B7945" s="1" t="s">
        <v>7110</v>
      </c>
    </row>
    <row r="7946" spans="1:2">
      <c r="A7946" s="99" t="s">
        <v>2098</v>
      </c>
      <c r="B7946" s="1" t="s">
        <v>7110</v>
      </c>
    </row>
    <row r="7947" spans="1:2">
      <c r="A7947" s="99" t="s">
        <v>1985</v>
      </c>
      <c r="B7947" s="1" t="s">
        <v>7110</v>
      </c>
    </row>
    <row r="7948" spans="1:2">
      <c r="A7948" s="99" t="s">
        <v>1684</v>
      </c>
      <c r="B7948" s="1" t="s">
        <v>7110</v>
      </c>
    </row>
    <row r="7949" spans="1:2">
      <c r="A7949" s="99" t="s">
        <v>2324</v>
      </c>
      <c r="B7949" s="1" t="s">
        <v>7110</v>
      </c>
    </row>
    <row r="7950" spans="1:2">
      <c r="A7950" s="99" t="s">
        <v>1711</v>
      </c>
      <c r="B7950" s="1" t="s">
        <v>7110</v>
      </c>
    </row>
    <row r="7951" spans="1:2">
      <c r="A7951" s="99" t="s">
        <v>1705</v>
      </c>
      <c r="B7951" s="1" t="s">
        <v>7110</v>
      </c>
    </row>
    <row r="7952" spans="1:2">
      <c r="A7952" s="99" t="s">
        <v>2098</v>
      </c>
      <c r="B7952" s="1" t="s">
        <v>7110</v>
      </c>
    </row>
    <row r="7953" spans="1:2">
      <c r="A7953" s="99" t="s">
        <v>2031</v>
      </c>
      <c r="B7953" s="1" t="s">
        <v>7110</v>
      </c>
    </row>
    <row r="7954" spans="1:2">
      <c r="A7954" s="99" t="s">
        <v>1982</v>
      </c>
      <c r="B7954" s="1" t="s">
        <v>7110</v>
      </c>
    </row>
    <row r="7955" spans="1:2">
      <c r="A7955" s="99" t="s">
        <v>1718</v>
      </c>
      <c r="B7955" s="1" t="s">
        <v>7110</v>
      </c>
    </row>
    <row r="7956" spans="1:2">
      <c r="A7956" s="99" t="s">
        <v>1993</v>
      </c>
      <c r="B7956" s="1" t="s">
        <v>7110</v>
      </c>
    </row>
    <row r="7957" spans="1:2">
      <c r="A7957" s="99" t="s">
        <v>1930</v>
      </c>
      <c r="B7957" s="1" t="s">
        <v>7110</v>
      </c>
    </row>
    <row r="7958" spans="1:2">
      <c r="A7958" s="99" t="s">
        <v>2352</v>
      </c>
      <c r="B7958" s="1" t="s">
        <v>7110</v>
      </c>
    </row>
    <row r="7959" spans="1:2">
      <c r="A7959" s="99" t="s">
        <v>2352</v>
      </c>
      <c r="B7959" s="1" t="s">
        <v>7110</v>
      </c>
    </row>
    <row r="7960" spans="1:2">
      <c r="A7960" s="99" t="s">
        <v>2352</v>
      </c>
      <c r="B7960" s="1" t="s">
        <v>7110</v>
      </c>
    </row>
    <row r="7961" spans="1:2">
      <c r="A7961" s="99" t="s">
        <v>2352</v>
      </c>
      <c r="B7961" s="1" t="s">
        <v>7110</v>
      </c>
    </row>
    <row r="7962" spans="1:2">
      <c r="A7962" s="99" t="s">
        <v>1698</v>
      </c>
      <c r="B7962" s="1" t="s">
        <v>7110</v>
      </c>
    </row>
    <row r="7963" spans="1:2">
      <c r="A7963" s="99" t="s">
        <v>1713</v>
      </c>
      <c r="B7963" s="1" t="s">
        <v>7110</v>
      </c>
    </row>
    <row r="7964" spans="1:2">
      <c r="A7964" s="99" t="s">
        <v>1677</v>
      </c>
      <c r="B7964" s="1" t="s">
        <v>7110</v>
      </c>
    </row>
    <row r="7965" spans="1:2">
      <c r="A7965" s="99" t="s">
        <v>1676</v>
      </c>
      <c r="B7965" s="1" t="s">
        <v>7110</v>
      </c>
    </row>
    <row r="7966" spans="1:2">
      <c r="A7966" s="99" t="s">
        <v>1702</v>
      </c>
      <c r="B7966" s="1" t="s">
        <v>7110</v>
      </c>
    </row>
    <row r="7967" spans="1:2">
      <c r="A7967" s="99" t="s">
        <v>1692</v>
      </c>
      <c r="B7967" s="1" t="s">
        <v>7110</v>
      </c>
    </row>
    <row r="7968" spans="1:2">
      <c r="A7968" s="99" t="s">
        <v>1672</v>
      </c>
      <c r="B7968" s="1" t="s">
        <v>7110</v>
      </c>
    </row>
    <row r="7969" spans="1:2">
      <c r="A7969" s="99" t="s">
        <v>2058</v>
      </c>
      <c r="B7969" s="1" t="s">
        <v>7110</v>
      </c>
    </row>
    <row r="7970" spans="1:2">
      <c r="A7970" s="99" t="s">
        <v>1713</v>
      </c>
      <c r="B7970" s="1" t="s">
        <v>7110</v>
      </c>
    </row>
    <row r="7971" spans="1:2">
      <c r="A7971" s="99" t="s">
        <v>2678</v>
      </c>
      <c r="B7971" s="1" t="s">
        <v>7110</v>
      </c>
    </row>
    <row r="7972" spans="1:2">
      <c r="A7972" s="99" t="s">
        <v>2059</v>
      </c>
      <c r="B7972" s="1" t="s">
        <v>7110</v>
      </c>
    </row>
    <row r="7973" spans="1:2" ht="18.75">
      <c r="A7973" s="80" t="s">
        <v>1757</v>
      </c>
      <c r="B7973" s="1" t="s">
        <v>7110</v>
      </c>
    </row>
    <row r="7974" spans="1:2" ht="18.75">
      <c r="A7974" s="80" t="s">
        <v>1758</v>
      </c>
      <c r="B7974" s="1" t="s">
        <v>7110</v>
      </c>
    </row>
    <row r="7975" spans="1:2" ht="18.75">
      <c r="A7975" s="80" t="s">
        <v>1806</v>
      </c>
      <c r="B7975" s="1" t="s">
        <v>7110</v>
      </c>
    </row>
    <row r="7976" spans="1:2" ht="18.75">
      <c r="A7976" s="80" t="s">
        <v>1809</v>
      </c>
      <c r="B7976" s="1" t="s">
        <v>7110</v>
      </c>
    </row>
    <row r="7977" spans="1:2" ht="18">
      <c r="A7977" s="91" t="s">
        <v>1813</v>
      </c>
      <c r="B7977" s="1" t="s">
        <v>7110</v>
      </c>
    </row>
    <row r="7978" spans="1:2" ht="18.75">
      <c r="A7978" s="80" t="s">
        <v>1814</v>
      </c>
      <c r="B7978" s="1" t="s">
        <v>7110</v>
      </c>
    </row>
    <row r="7979" spans="1:2" ht="18">
      <c r="A7979" s="91" t="s">
        <v>1814</v>
      </c>
      <c r="B7979" s="1" t="s">
        <v>7110</v>
      </c>
    </row>
    <row r="7980" spans="1:2" ht="18">
      <c r="A7980" s="91" t="s">
        <v>1815</v>
      </c>
      <c r="B7980" s="1" t="s">
        <v>7110</v>
      </c>
    </row>
    <row r="7981" spans="1:2" ht="18">
      <c r="A7981" s="91" t="s">
        <v>1813</v>
      </c>
      <c r="B7981" s="1" t="s">
        <v>7110</v>
      </c>
    </row>
    <row r="7982" spans="1:2" ht="18">
      <c r="A7982" s="91" t="s">
        <v>1815</v>
      </c>
      <c r="B7982" s="1" t="s">
        <v>7110</v>
      </c>
    </row>
    <row r="7983" spans="1:2" ht="18.75">
      <c r="A7983" s="80" t="s">
        <v>1830</v>
      </c>
      <c r="B7983" s="1" t="s">
        <v>7110</v>
      </c>
    </row>
    <row r="7984" spans="1:2" ht="18.75">
      <c r="A7984" s="80" t="s">
        <v>1830</v>
      </c>
      <c r="B7984" s="1" t="s">
        <v>7110</v>
      </c>
    </row>
    <row r="7985" spans="1:2" ht="18.75">
      <c r="A7985" s="80" t="s">
        <v>1809</v>
      </c>
      <c r="B7985" s="1" t="s">
        <v>7110</v>
      </c>
    </row>
    <row r="7986" spans="1:2" ht="18">
      <c r="A7986" s="91" t="s">
        <v>1830</v>
      </c>
      <c r="B7986" s="1" t="s">
        <v>7110</v>
      </c>
    </row>
    <row r="7987" spans="1:2" ht="18">
      <c r="A7987" s="91" t="s">
        <v>1830</v>
      </c>
      <c r="B7987" s="1" t="s">
        <v>7110</v>
      </c>
    </row>
    <row r="7988" spans="1:2" ht="18.75">
      <c r="A7988" s="80" t="s">
        <v>1832</v>
      </c>
      <c r="B7988" s="1" t="s">
        <v>7110</v>
      </c>
    </row>
    <row r="7989" spans="1:2" ht="18.75">
      <c r="A7989" s="80" t="s">
        <v>1806</v>
      </c>
      <c r="B7989" s="1" t="s">
        <v>7110</v>
      </c>
    </row>
    <row r="7990" spans="1:2" ht="18.75">
      <c r="A7990" s="80" t="s">
        <v>1815</v>
      </c>
      <c r="B7990" s="1" t="s">
        <v>7110</v>
      </c>
    </row>
    <row r="7991" spans="1:2" ht="18">
      <c r="A7991" s="91" t="s">
        <v>1836</v>
      </c>
      <c r="B7991" s="1" t="s">
        <v>7110</v>
      </c>
    </row>
    <row r="7992" spans="1:2" ht="18">
      <c r="A7992" s="91" t="s">
        <v>1832</v>
      </c>
      <c r="B7992" s="1" t="s">
        <v>7110</v>
      </c>
    </row>
    <row r="7993" spans="1:2" ht="18">
      <c r="A7993" s="91" t="s">
        <v>1836</v>
      </c>
      <c r="B7993" s="1" t="s">
        <v>7110</v>
      </c>
    </row>
    <row r="7994" spans="1:2" ht="18">
      <c r="A7994" s="91" t="s">
        <v>1838</v>
      </c>
      <c r="B7994" s="1" t="s">
        <v>7110</v>
      </c>
    </row>
    <row r="7995" spans="1:2" ht="18.75">
      <c r="A7995" s="80" t="s">
        <v>1832</v>
      </c>
      <c r="B7995" s="1" t="s">
        <v>7110</v>
      </c>
    </row>
    <row r="7996" spans="1:2" ht="18.75">
      <c r="A7996" s="80" t="s">
        <v>1830</v>
      </c>
      <c r="B7996" s="1" t="s">
        <v>7110</v>
      </c>
    </row>
    <row r="7997" spans="1:2" ht="18">
      <c r="A7997" s="91" t="s">
        <v>1857</v>
      </c>
      <c r="B7997" s="1" t="s">
        <v>7110</v>
      </c>
    </row>
    <row r="7998" spans="1:2" ht="18">
      <c r="A7998" s="91" t="s">
        <v>1858</v>
      </c>
      <c r="B7998" s="1" t="s">
        <v>7110</v>
      </c>
    </row>
    <row r="7999" spans="1:2" ht="18.75">
      <c r="A7999" s="80" t="s">
        <v>1757</v>
      </c>
      <c r="B7999" s="1" t="s">
        <v>7110</v>
      </c>
    </row>
    <row r="8000" spans="1:2" ht="18">
      <c r="A8000" s="91" t="s">
        <v>1957</v>
      </c>
      <c r="B8000" s="1" t="s">
        <v>7110</v>
      </c>
    </row>
    <row r="8001" spans="1:2" ht="18">
      <c r="A8001" s="91" t="s">
        <v>1858</v>
      </c>
      <c r="B8001" s="1" t="s">
        <v>7110</v>
      </c>
    </row>
    <row r="8002" spans="1:2" ht="18">
      <c r="A8002" s="91" t="s">
        <v>2060</v>
      </c>
      <c r="B8002" s="1" t="s">
        <v>7110</v>
      </c>
    </row>
    <row r="8003" spans="1:2" ht="18">
      <c r="A8003" s="91" t="s">
        <v>2060</v>
      </c>
      <c r="B8003" s="1" t="s">
        <v>7110</v>
      </c>
    </row>
    <row r="8004" spans="1:2" ht="18">
      <c r="A8004" s="91" t="s">
        <v>2060</v>
      </c>
      <c r="B8004" s="1" t="s">
        <v>7110</v>
      </c>
    </row>
    <row r="8005" spans="1:2" ht="18">
      <c r="A8005" s="91" t="s">
        <v>1957</v>
      </c>
      <c r="B8005" s="1" t="s">
        <v>7110</v>
      </c>
    </row>
    <row r="8006" spans="1:2" ht="18">
      <c r="A8006" s="91" t="s">
        <v>1957</v>
      </c>
      <c r="B8006" s="1" t="s">
        <v>7110</v>
      </c>
    </row>
    <row r="8007" spans="1:2" ht="18">
      <c r="A8007" s="91" t="s">
        <v>2060</v>
      </c>
      <c r="B8007" s="1" t="s">
        <v>7110</v>
      </c>
    </row>
    <row r="8008" spans="1:2" ht="18">
      <c r="A8008" s="91" t="s">
        <v>1838</v>
      </c>
      <c r="B8008" s="1" t="s">
        <v>7110</v>
      </c>
    </row>
    <row r="8009" spans="1:2" ht="18">
      <c r="A8009" s="91" t="s">
        <v>1809</v>
      </c>
      <c r="B8009" s="1" t="s">
        <v>7110</v>
      </c>
    </row>
    <row r="8010" spans="1:2" ht="18">
      <c r="A8010" s="91" t="s">
        <v>1838</v>
      </c>
      <c r="B8010" s="1" t="s">
        <v>7110</v>
      </c>
    </row>
    <row r="8011" spans="1:2" ht="18.75">
      <c r="A8011" s="80" t="s">
        <v>1838</v>
      </c>
      <c r="B8011" s="1" t="s">
        <v>7110</v>
      </c>
    </row>
    <row r="8012" spans="1:2" ht="18">
      <c r="A8012" s="91" t="s">
        <v>2060</v>
      </c>
      <c r="B8012" s="1" t="s">
        <v>7110</v>
      </c>
    </row>
    <row r="8013" spans="1:2" ht="18">
      <c r="A8013" s="91" t="s">
        <v>1838</v>
      </c>
      <c r="B8013" s="1" t="s">
        <v>7110</v>
      </c>
    </row>
    <row r="8014" spans="1:2" ht="18">
      <c r="A8014" s="91" t="s">
        <v>1832</v>
      </c>
      <c r="B8014" s="1" t="s">
        <v>7110</v>
      </c>
    </row>
    <row r="8015" spans="1:2" ht="18">
      <c r="A8015" s="91" t="s">
        <v>2060</v>
      </c>
      <c r="B8015" s="1" t="s">
        <v>7110</v>
      </c>
    </row>
    <row r="8016" spans="1:2" ht="18">
      <c r="A8016" s="91" t="s">
        <v>2060</v>
      </c>
      <c r="B8016" s="1" t="s">
        <v>7110</v>
      </c>
    </row>
    <row r="8017" spans="1:2" ht="18">
      <c r="A8017" s="91" t="s">
        <v>2139</v>
      </c>
      <c r="B8017" s="1" t="s">
        <v>7110</v>
      </c>
    </row>
    <row r="8018" spans="1:2" ht="18">
      <c r="A8018" s="91" t="s">
        <v>1838</v>
      </c>
      <c r="B8018" s="1" t="s">
        <v>7110</v>
      </c>
    </row>
    <row r="8019" spans="1:2" ht="18">
      <c r="A8019" s="91" t="s">
        <v>1838</v>
      </c>
      <c r="B8019" s="1" t="s">
        <v>7110</v>
      </c>
    </row>
    <row r="8020" spans="1:2" ht="18">
      <c r="A8020" s="91" t="s">
        <v>2060</v>
      </c>
      <c r="B8020" s="1" t="s">
        <v>7110</v>
      </c>
    </row>
    <row r="8021" spans="1:2" ht="18">
      <c r="A8021" s="91" t="s">
        <v>1806</v>
      </c>
      <c r="B8021" s="1" t="s">
        <v>7110</v>
      </c>
    </row>
    <row r="8022" spans="1:2" ht="18">
      <c r="A8022" s="91" t="s">
        <v>2140</v>
      </c>
      <c r="B8022" s="1" t="s">
        <v>7110</v>
      </c>
    </row>
    <row r="8023" spans="1:2" ht="18">
      <c r="A8023" s="91" t="s">
        <v>1813</v>
      </c>
      <c r="B8023" s="1" t="s">
        <v>7110</v>
      </c>
    </row>
    <row r="8024" spans="1:2" ht="18">
      <c r="A8024" s="91" t="s">
        <v>1830</v>
      </c>
      <c r="B8024" s="1" t="s">
        <v>7110</v>
      </c>
    </row>
    <row r="8025" spans="1:2" ht="18">
      <c r="A8025" s="91" t="s">
        <v>2140</v>
      </c>
      <c r="B8025" s="1" t="s">
        <v>7110</v>
      </c>
    </row>
    <row r="8026" spans="1:2" ht="18">
      <c r="A8026" s="91" t="s">
        <v>1832</v>
      </c>
      <c r="B8026" s="1" t="s">
        <v>7110</v>
      </c>
    </row>
    <row r="8027" spans="1:2" ht="18">
      <c r="A8027" s="91" t="s">
        <v>1806</v>
      </c>
      <c r="B8027" s="1" t="s">
        <v>7110</v>
      </c>
    </row>
    <row r="8028" spans="1:2" ht="18">
      <c r="A8028" s="91" t="s">
        <v>1838</v>
      </c>
      <c r="B8028" s="1" t="s">
        <v>7110</v>
      </c>
    </row>
    <row r="8029" spans="1:2" ht="18">
      <c r="A8029" s="91" t="s">
        <v>1838</v>
      </c>
      <c r="B8029" s="1" t="s">
        <v>7110</v>
      </c>
    </row>
    <row r="8030" spans="1:2" ht="18">
      <c r="A8030" s="91" t="s">
        <v>1858</v>
      </c>
      <c r="B8030" s="1" t="s">
        <v>7110</v>
      </c>
    </row>
    <row r="8031" spans="1:2" ht="18">
      <c r="A8031" s="91" t="s">
        <v>2206</v>
      </c>
      <c r="B8031" s="1" t="s">
        <v>7110</v>
      </c>
    </row>
    <row r="8032" spans="1:2" ht="18">
      <c r="A8032" s="91" t="s">
        <v>2207</v>
      </c>
      <c r="B8032" s="1" t="s">
        <v>7110</v>
      </c>
    </row>
    <row r="8033" spans="1:2" ht="18">
      <c r="A8033" s="91" t="s">
        <v>1858</v>
      </c>
      <c r="B8033" s="1" t="s">
        <v>7110</v>
      </c>
    </row>
    <row r="8034" spans="1:2" ht="18">
      <c r="A8034" s="91" t="s">
        <v>1957</v>
      </c>
      <c r="B8034" s="1" t="s">
        <v>7110</v>
      </c>
    </row>
    <row r="8035" spans="1:2" ht="18">
      <c r="A8035" s="91" t="s">
        <v>2139</v>
      </c>
      <c r="B8035" s="1" t="s">
        <v>7110</v>
      </c>
    </row>
    <row r="8036" spans="1:2" ht="18">
      <c r="A8036" s="91" t="s">
        <v>1806</v>
      </c>
      <c r="B8036" s="1" t="s">
        <v>7110</v>
      </c>
    </row>
    <row r="8037" spans="1:2" ht="18.75">
      <c r="A8037" s="80" t="s">
        <v>1544</v>
      </c>
      <c r="B8037" s="1" t="s">
        <v>7110</v>
      </c>
    </row>
    <row r="8038" spans="1:2" ht="18.75">
      <c r="A8038" s="80" t="s">
        <v>1588</v>
      </c>
      <c r="B8038" s="1" t="s">
        <v>7110</v>
      </c>
    </row>
    <row r="8039" spans="1:2" ht="18.75">
      <c r="A8039" s="80" t="s">
        <v>1601</v>
      </c>
      <c r="B8039" s="1" t="s">
        <v>7110</v>
      </c>
    </row>
    <row r="8040" spans="1:2" ht="18.75">
      <c r="A8040" s="80" t="s">
        <v>1602</v>
      </c>
      <c r="B8040" s="1" t="s">
        <v>7110</v>
      </c>
    </row>
    <row r="8041" spans="1:2" ht="18.75">
      <c r="A8041" s="80" t="s">
        <v>1588</v>
      </c>
      <c r="B8041" s="1" t="s">
        <v>7110</v>
      </c>
    </row>
    <row r="8042" spans="1:2" ht="18.75">
      <c r="A8042" s="80" t="s">
        <v>1795</v>
      </c>
      <c r="B8042" s="1" t="s">
        <v>7110</v>
      </c>
    </row>
    <row r="8043" spans="1:2" ht="18.75">
      <c r="A8043" s="80" t="s">
        <v>1797</v>
      </c>
      <c r="B8043" s="1" t="s">
        <v>7110</v>
      </c>
    </row>
    <row r="8044" spans="1:2" ht="18.75">
      <c r="A8044" s="80" t="s">
        <v>1588</v>
      </c>
      <c r="B8044" s="1" t="s">
        <v>7110</v>
      </c>
    </row>
    <row r="8045" spans="1:2" ht="18.75">
      <c r="A8045" s="80" t="s">
        <v>1588</v>
      </c>
      <c r="B8045" s="1" t="s">
        <v>7110</v>
      </c>
    </row>
    <row r="8046" spans="1:2" ht="18.75">
      <c r="A8046" s="80" t="s">
        <v>1817</v>
      </c>
      <c r="B8046" s="1" t="s">
        <v>7110</v>
      </c>
    </row>
    <row r="8047" spans="1:2" ht="18.75">
      <c r="A8047" s="80" t="s">
        <v>1826</v>
      </c>
      <c r="B8047" s="1" t="s">
        <v>7110</v>
      </c>
    </row>
    <row r="8048" spans="1:2" ht="18.75">
      <c r="A8048" s="80" t="s">
        <v>1784</v>
      </c>
      <c r="B8048" s="1" t="s">
        <v>7110</v>
      </c>
    </row>
    <row r="8049" spans="1:2" ht="18.75">
      <c r="A8049" s="80" t="s">
        <v>1872</v>
      </c>
      <c r="B8049" s="1" t="s">
        <v>7110</v>
      </c>
    </row>
    <row r="8050" spans="1:2" ht="18.75">
      <c r="A8050" s="80" t="s">
        <v>1875</v>
      </c>
      <c r="B8050" s="1" t="s">
        <v>7110</v>
      </c>
    </row>
    <row r="8051" spans="1:2" ht="18.75">
      <c r="A8051" s="80" t="s">
        <v>1876</v>
      </c>
      <c r="B8051" s="1" t="s">
        <v>7110</v>
      </c>
    </row>
    <row r="8052" spans="1:2" ht="18.75">
      <c r="A8052" s="80" t="s">
        <v>1877</v>
      </c>
      <c r="B8052" s="1" t="s">
        <v>7110</v>
      </c>
    </row>
    <row r="8053" spans="1:2" ht="18.75">
      <c r="A8053" s="80" t="s">
        <v>1880</v>
      </c>
      <c r="B8053" s="1" t="s">
        <v>7110</v>
      </c>
    </row>
    <row r="8054" spans="1:2" ht="18.75">
      <c r="A8054" s="80" t="s">
        <v>1881</v>
      </c>
      <c r="B8054" s="1" t="s">
        <v>7110</v>
      </c>
    </row>
    <row r="8055" spans="1:2" ht="18.75">
      <c r="A8055" s="80" t="s">
        <v>1953</v>
      </c>
      <c r="B8055" s="1" t="s">
        <v>7110</v>
      </c>
    </row>
    <row r="8056" spans="1:2" ht="18.75">
      <c r="A8056" s="80" t="s">
        <v>1956</v>
      </c>
      <c r="B8056" s="1" t="s">
        <v>7110</v>
      </c>
    </row>
    <row r="8057" spans="1:2" ht="18.75">
      <c r="A8057" s="80" t="s">
        <v>1962</v>
      </c>
      <c r="B8057" s="1" t="s">
        <v>7110</v>
      </c>
    </row>
    <row r="8058" spans="1:2" ht="18.75">
      <c r="A8058" s="80" t="s">
        <v>1962</v>
      </c>
      <c r="B8058" s="1" t="s">
        <v>7110</v>
      </c>
    </row>
    <row r="8059" spans="1:2" ht="18.75">
      <c r="A8059" s="80" t="s">
        <v>1962</v>
      </c>
      <c r="B8059" s="1" t="s">
        <v>7110</v>
      </c>
    </row>
    <row r="8060" spans="1:2" ht="18">
      <c r="A8060" s="91" t="s">
        <v>1965</v>
      </c>
      <c r="B8060" s="1" t="s">
        <v>7110</v>
      </c>
    </row>
    <row r="8061" spans="1:2" ht="18">
      <c r="A8061" s="91" t="s">
        <v>1972</v>
      </c>
      <c r="B8061" s="1" t="s">
        <v>7110</v>
      </c>
    </row>
    <row r="8062" spans="1:2" ht="18">
      <c r="A8062" s="91" t="s">
        <v>1976</v>
      </c>
      <c r="B8062" s="1" t="s">
        <v>7110</v>
      </c>
    </row>
    <row r="8063" spans="1:2" ht="18">
      <c r="A8063" s="91" t="s">
        <v>1977</v>
      </c>
      <c r="B8063" s="1" t="s">
        <v>7110</v>
      </c>
    </row>
    <row r="8064" spans="1:2" ht="18">
      <c r="A8064" s="91" t="s">
        <v>1984</v>
      </c>
      <c r="B8064" s="1" t="s">
        <v>7110</v>
      </c>
    </row>
    <row r="8065" spans="1:2" ht="18">
      <c r="A8065" s="91" t="s">
        <v>1953</v>
      </c>
      <c r="B8065" s="1" t="s">
        <v>7110</v>
      </c>
    </row>
    <row r="8066" spans="1:2" ht="18">
      <c r="A8066" s="91" t="s">
        <v>1965</v>
      </c>
      <c r="B8066" s="1" t="s">
        <v>7110</v>
      </c>
    </row>
    <row r="8067" spans="1:2" ht="18">
      <c r="A8067" s="91" t="s">
        <v>2002</v>
      </c>
      <c r="B8067" s="1" t="s">
        <v>7110</v>
      </c>
    </row>
    <row r="8068" spans="1:2" ht="18">
      <c r="A8068" s="91" t="s">
        <v>2004</v>
      </c>
      <c r="B8068" s="1" t="s">
        <v>7110</v>
      </c>
    </row>
    <row r="8069" spans="1:2" ht="18">
      <c r="A8069" s="91" t="s">
        <v>1977</v>
      </c>
      <c r="B8069" s="1" t="s">
        <v>7110</v>
      </c>
    </row>
    <row r="8070" spans="1:2" ht="18">
      <c r="A8070" s="91" t="s">
        <v>1965</v>
      </c>
      <c r="B8070" s="1" t="s">
        <v>7110</v>
      </c>
    </row>
    <row r="8071" spans="1:2" ht="18">
      <c r="A8071" s="91" t="s">
        <v>1965</v>
      </c>
      <c r="B8071" s="1" t="s">
        <v>7110</v>
      </c>
    </row>
    <row r="8072" spans="1:2" ht="18">
      <c r="A8072" s="91" t="s">
        <v>1962</v>
      </c>
      <c r="B8072" s="1" t="s">
        <v>7110</v>
      </c>
    </row>
    <row r="8073" spans="1:2" ht="18">
      <c r="A8073" s="91" t="s">
        <v>1976</v>
      </c>
      <c r="B8073" s="1" t="s">
        <v>7110</v>
      </c>
    </row>
    <row r="8074" spans="1:2" ht="18">
      <c r="A8074" s="91" t="s">
        <v>2002</v>
      </c>
      <c r="B8074" s="1" t="s">
        <v>7110</v>
      </c>
    </row>
    <row r="8075" spans="1:2" ht="18">
      <c r="A8075" s="91" t="s">
        <v>2193</v>
      </c>
      <c r="B8075" s="1" t="s">
        <v>7110</v>
      </c>
    </row>
    <row r="8076" spans="1:2" ht="18">
      <c r="A8076" s="91" t="s">
        <v>2002</v>
      </c>
      <c r="B8076" s="1" t="s">
        <v>7110</v>
      </c>
    </row>
    <row r="8077" spans="1:2" ht="18">
      <c r="A8077" s="91" t="s">
        <v>2002</v>
      </c>
      <c r="B8077" s="1" t="s">
        <v>7110</v>
      </c>
    </row>
    <row r="8078" spans="1:2" ht="18">
      <c r="A8078" s="91" t="s">
        <v>2194</v>
      </c>
      <c r="B8078" s="1" t="s">
        <v>7110</v>
      </c>
    </row>
    <row r="8079" spans="1:2" ht="18">
      <c r="A8079" s="91" t="s">
        <v>2195</v>
      </c>
      <c r="B8079" s="1" t="s">
        <v>7110</v>
      </c>
    </row>
    <row r="8080" spans="1:2" ht="18">
      <c r="A8080" s="91" t="s">
        <v>2196</v>
      </c>
      <c r="B8080" s="1" t="s">
        <v>7110</v>
      </c>
    </row>
    <row r="8081" spans="1:2" ht="18">
      <c r="A8081" s="91" t="s">
        <v>2197</v>
      </c>
      <c r="B8081" s="1" t="s">
        <v>7110</v>
      </c>
    </row>
    <row r="8082" spans="1:2" ht="18">
      <c r="A8082" s="91" t="s">
        <v>2198</v>
      </c>
      <c r="B8082" s="1" t="s">
        <v>7110</v>
      </c>
    </row>
    <row r="8083" spans="1:2" ht="18">
      <c r="A8083" s="91" t="s">
        <v>2193</v>
      </c>
      <c r="B8083" s="1" t="s">
        <v>7110</v>
      </c>
    </row>
    <row r="8084" spans="1:2" ht="18">
      <c r="A8084" s="91" t="s">
        <v>2199</v>
      </c>
      <c r="B8084" s="1" t="s">
        <v>7110</v>
      </c>
    </row>
    <row r="8085" spans="1:2" ht="18">
      <c r="A8085" s="91" t="s">
        <v>2200</v>
      </c>
      <c r="B8085" s="1" t="s">
        <v>7110</v>
      </c>
    </row>
    <row r="8086" spans="1:2" ht="18">
      <c r="A8086" s="91" t="s">
        <v>2201</v>
      </c>
      <c r="B8086" s="1" t="s">
        <v>7110</v>
      </c>
    </row>
    <row r="8087" spans="1:2" ht="18">
      <c r="A8087" s="91" t="s">
        <v>2202</v>
      </c>
      <c r="B8087" s="1" t="s">
        <v>7110</v>
      </c>
    </row>
    <row r="8088" spans="1:2" ht="18">
      <c r="A8088" s="91" t="s">
        <v>2194</v>
      </c>
      <c r="B8088" s="1" t="s">
        <v>7110</v>
      </c>
    </row>
    <row r="8089" spans="1:2" ht="18">
      <c r="A8089" s="91" t="s">
        <v>2199</v>
      </c>
      <c r="B8089" s="1" t="s">
        <v>7110</v>
      </c>
    </row>
    <row r="8090" spans="1:2" ht="18">
      <c r="A8090" s="91" t="s">
        <v>2200</v>
      </c>
      <c r="B8090" s="1" t="s">
        <v>7110</v>
      </c>
    </row>
    <row r="8091" spans="1:2" ht="18">
      <c r="A8091" s="91" t="s">
        <v>2202</v>
      </c>
      <c r="B8091" s="1" t="s">
        <v>7110</v>
      </c>
    </row>
    <row r="8092" spans="1:2" ht="18">
      <c r="A8092" s="91" t="s">
        <v>2201</v>
      </c>
      <c r="B8092" s="1" t="s">
        <v>7110</v>
      </c>
    </row>
    <row r="8093" spans="1:2" ht="18">
      <c r="A8093" s="91" t="s">
        <v>2196</v>
      </c>
      <c r="B8093" s="1" t="s">
        <v>7110</v>
      </c>
    </row>
    <row r="8094" spans="1:2" ht="18">
      <c r="A8094" s="91" t="s">
        <v>2197</v>
      </c>
      <c r="B8094" s="1" t="s">
        <v>7110</v>
      </c>
    </row>
    <row r="8095" spans="1:2" ht="18">
      <c r="A8095" s="91" t="s">
        <v>2197</v>
      </c>
      <c r="B8095" s="1" t="s">
        <v>7110</v>
      </c>
    </row>
    <row r="8096" spans="1:2" ht="18">
      <c r="A8096" s="91" t="s">
        <v>2195</v>
      </c>
      <c r="B8096" s="1" t="s">
        <v>7110</v>
      </c>
    </row>
    <row r="8097" spans="1:2" ht="18">
      <c r="A8097" s="91" t="s">
        <v>2195</v>
      </c>
      <c r="B8097" s="1" t="s">
        <v>7110</v>
      </c>
    </row>
    <row r="8098" spans="1:2" ht="18">
      <c r="A8098" s="91" t="s">
        <v>2195</v>
      </c>
      <c r="B8098" s="1" t="s">
        <v>7110</v>
      </c>
    </row>
    <row r="8099" spans="1:2" ht="18">
      <c r="A8099" s="91" t="s">
        <v>2198</v>
      </c>
      <c r="B8099" s="1" t="s">
        <v>7110</v>
      </c>
    </row>
    <row r="8100" spans="1:2" ht="18">
      <c r="A8100" s="91" t="s">
        <v>1962</v>
      </c>
      <c r="B8100" s="1" t="s">
        <v>7110</v>
      </c>
    </row>
    <row r="8101" spans="1:2" ht="18">
      <c r="A8101" s="91" t="s">
        <v>2002</v>
      </c>
      <c r="B8101" s="1" t="s">
        <v>7110</v>
      </c>
    </row>
    <row r="8102" spans="1:2" ht="18">
      <c r="A8102" s="91" t="s">
        <v>2205</v>
      </c>
      <c r="B8102" s="1" t="s">
        <v>7110</v>
      </c>
    </row>
    <row r="8103" spans="1:2" ht="18">
      <c r="A8103" s="91" t="s">
        <v>1784</v>
      </c>
      <c r="B8103" s="1" t="s">
        <v>7110</v>
      </c>
    </row>
    <row r="8104" spans="1:2" ht="18">
      <c r="A8104" s="91" t="s">
        <v>1544</v>
      </c>
      <c r="B8104" s="1" t="s">
        <v>7110</v>
      </c>
    </row>
    <row r="8105" spans="1:2" ht="18">
      <c r="A8105" s="91" t="s">
        <v>2208</v>
      </c>
      <c r="B8105" s="1" t="s">
        <v>7110</v>
      </c>
    </row>
    <row r="8106" spans="1:2" ht="18">
      <c r="A8106" s="91" t="s">
        <v>2209</v>
      </c>
      <c r="B8106" s="1" t="s">
        <v>7110</v>
      </c>
    </row>
    <row r="8107" spans="1:2" ht="18">
      <c r="A8107" s="91" t="s">
        <v>1784</v>
      </c>
      <c r="B8107" s="1" t="s">
        <v>7110</v>
      </c>
    </row>
    <row r="8108" spans="1:2" ht="18">
      <c r="A8108" s="91" t="s">
        <v>2210</v>
      </c>
      <c r="B8108" s="1" t="s">
        <v>7110</v>
      </c>
    </row>
    <row r="8109" spans="1:2" ht="18">
      <c r="A8109" s="91" t="s">
        <v>2211</v>
      </c>
      <c r="B8109" s="1" t="s">
        <v>7110</v>
      </c>
    </row>
    <row r="8110" spans="1:2" ht="18">
      <c r="A8110" s="91" t="s">
        <v>2212</v>
      </c>
      <c r="B8110" s="1" t="s">
        <v>7110</v>
      </c>
    </row>
    <row r="8111" spans="1:2" ht="18">
      <c r="A8111" s="91" t="s">
        <v>1881</v>
      </c>
      <c r="B8111" s="1" t="s">
        <v>7110</v>
      </c>
    </row>
    <row r="8112" spans="1:2" ht="18">
      <c r="A8112" s="91" t="s">
        <v>1544</v>
      </c>
      <c r="B8112" s="1" t="s">
        <v>7110</v>
      </c>
    </row>
    <row r="8113" spans="1:2" ht="18">
      <c r="A8113" s="91" t="s">
        <v>2205</v>
      </c>
      <c r="B8113" s="1" t="s">
        <v>7110</v>
      </c>
    </row>
    <row r="8114" spans="1:2" ht="18">
      <c r="A8114" s="91" t="s">
        <v>1826</v>
      </c>
      <c r="B8114" s="1" t="s">
        <v>7110</v>
      </c>
    </row>
    <row r="8115" spans="1:2" ht="18">
      <c r="A8115" s="91" t="s">
        <v>2213</v>
      </c>
      <c r="B8115" s="1" t="s">
        <v>7110</v>
      </c>
    </row>
    <row r="8116" spans="1:2" ht="18">
      <c r="A8116" s="91" t="s">
        <v>2255</v>
      </c>
      <c r="B8116" s="1" t="s">
        <v>7110</v>
      </c>
    </row>
    <row r="8117" spans="1:2" ht="18">
      <c r="A8117" s="91" t="s">
        <v>2208</v>
      </c>
      <c r="B8117" s="1" t="s">
        <v>7110</v>
      </c>
    </row>
    <row r="8118" spans="1:2" ht="18">
      <c r="A8118" s="91" t="s">
        <v>2209</v>
      </c>
      <c r="B8118" s="1" t="s">
        <v>7110</v>
      </c>
    </row>
    <row r="8119" spans="1:2" ht="18">
      <c r="A8119" s="91" t="s">
        <v>2210</v>
      </c>
      <c r="B8119" s="1" t="s">
        <v>7110</v>
      </c>
    </row>
    <row r="8120" spans="1:2" ht="18">
      <c r="A8120" s="91" t="s">
        <v>2209</v>
      </c>
      <c r="B8120" s="1" t="s">
        <v>7110</v>
      </c>
    </row>
    <row r="8121" spans="1:2" ht="18">
      <c r="A8121" s="91" t="s">
        <v>2205</v>
      </c>
      <c r="B8121" s="1" t="s">
        <v>7110</v>
      </c>
    </row>
    <row r="8122" spans="1:2" ht="18">
      <c r="A8122" s="91" t="s">
        <v>1965</v>
      </c>
      <c r="B8122" s="1" t="s">
        <v>7110</v>
      </c>
    </row>
    <row r="8123" spans="1:2" ht="18">
      <c r="A8123" s="91" t="s">
        <v>1588</v>
      </c>
      <c r="B8123" s="1" t="s">
        <v>7110</v>
      </c>
    </row>
    <row r="8124" spans="1:2" ht="18">
      <c r="A8124" s="91" t="s">
        <v>2209</v>
      </c>
      <c r="B8124" s="1" t="s">
        <v>7110</v>
      </c>
    </row>
    <row r="8125" spans="1:2" ht="18">
      <c r="A8125" s="91" t="s">
        <v>1784</v>
      </c>
      <c r="B8125" s="1" t="s">
        <v>7110</v>
      </c>
    </row>
    <row r="8126" spans="1:2" ht="18">
      <c r="A8126" s="91" t="s">
        <v>1826</v>
      </c>
      <c r="B8126" s="1" t="s">
        <v>7110</v>
      </c>
    </row>
    <row r="8127" spans="1:2" ht="18">
      <c r="A8127" s="91" t="s">
        <v>2393</v>
      </c>
      <c r="B8127" s="1" t="s">
        <v>7110</v>
      </c>
    </row>
    <row r="8128" spans="1:2" ht="18.75">
      <c r="A8128" s="12" t="s">
        <v>1935</v>
      </c>
      <c r="B8128" s="1" t="s">
        <v>7110</v>
      </c>
    </row>
    <row r="8129" spans="1:2" ht="18.75">
      <c r="A8129" s="12" t="s">
        <v>1935</v>
      </c>
      <c r="B8129" s="1" t="s">
        <v>7110</v>
      </c>
    </row>
    <row r="8130" spans="1:2" ht="18.75">
      <c r="A8130" s="12" t="s">
        <v>2017</v>
      </c>
      <c r="B8130" s="1" t="s">
        <v>7110</v>
      </c>
    </row>
    <row r="8131" spans="1:2" ht="18.75">
      <c r="A8131" s="12" t="s">
        <v>2019</v>
      </c>
      <c r="B8131" s="1" t="s">
        <v>7110</v>
      </c>
    </row>
    <row r="8132" spans="1:2" ht="18.75">
      <c r="A8132" s="12" t="s">
        <v>2020</v>
      </c>
      <c r="B8132" s="1" t="s">
        <v>7110</v>
      </c>
    </row>
    <row r="8133" spans="1:2" ht="18.75">
      <c r="A8133" s="12" t="s">
        <v>2026</v>
      </c>
      <c r="B8133" s="1" t="s">
        <v>7110</v>
      </c>
    </row>
    <row r="8134" spans="1:2" ht="18.75">
      <c r="A8134" s="12" t="s">
        <v>2026</v>
      </c>
      <c r="B8134" s="1" t="s">
        <v>7110</v>
      </c>
    </row>
    <row r="8135" spans="1:2" ht="18.75">
      <c r="A8135" s="12" t="s">
        <v>2026</v>
      </c>
      <c r="B8135" s="1" t="s">
        <v>7110</v>
      </c>
    </row>
    <row r="8136" spans="1:2" ht="18.75">
      <c r="A8136" s="12" t="s">
        <v>2043</v>
      </c>
      <c r="B8136" s="1" t="s">
        <v>7110</v>
      </c>
    </row>
    <row r="8137" spans="1:2" ht="18.75">
      <c r="A8137" s="12" t="s">
        <v>2036</v>
      </c>
      <c r="B8137" s="1" t="s">
        <v>7110</v>
      </c>
    </row>
    <row r="8138" spans="1:2" ht="18.75">
      <c r="A8138" s="12" t="s">
        <v>2036</v>
      </c>
      <c r="B8138" s="1" t="s">
        <v>7110</v>
      </c>
    </row>
    <row r="8139" spans="1:2" ht="18.75">
      <c r="A8139" s="12" t="s">
        <v>2017</v>
      </c>
      <c r="B8139" s="1" t="s">
        <v>7110</v>
      </c>
    </row>
    <row r="8140" spans="1:2" ht="18.75">
      <c r="A8140" s="12" t="s">
        <v>2043</v>
      </c>
      <c r="B8140" s="1" t="s">
        <v>7110</v>
      </c>
    </row>
    <row r="8141" spans="1:2" ht="18.75">
      <c r="A8141" s="12" t="s">
        <v>2044</v>
      </c>
      <c r="B8141" s="1" t="s">
        <v>7110</v>
      </c>
    </row>
    <row r="8142" spans="1:2" ht="18.75">
      <c r="A8142" s="12" t="s">
        <v>2052</v>
      </c>
      <c r="B8142" s="1" t="s">
        <v>7110</v>
      </c>
    </row>
    <row r="8143" spans="1:2" ht="18.75">
      <c r="A8143" s="12" t="s">
        <v>2053</v>
      </c>
      <c r="B8143" s="1" t="s">
        <v>7110</v>
      </c>
    </row>
    <row r="8144" spans="1:2" ht="18.75">
      <c r="A8144" s="12" t="s">
        <v>2078</v>
      </c>
      <c r="B8144" s="1" t="s">
        <v>7110</v>
      </c>
    </row>
    <row r="8145" spans="1:2" ht="18.75">
      <c r="A8145" s="12" t="s">
        <v>2044</v>
      </c>
      <c r="B8145" s="1" t="s">
        <v>7110</v>
      </c>
    </row>
    <row r="8146" spans="1:2" ht="18.75">
      <c r="A8146" s="12" t="s">
        <v>2083</v>
      </c>
      <c r="B8146" s="1" t="s">
        <v>7110</v>
      </c>
    </row>
    <row r="8147" spans="1:2" ht="18.75">
      <c r="A8147" s="12" t="s">
        <v>2086</v>
      </c>
      <c r="B8147" s="1" t="s">
        <v>7110</v>
      </c>
    </row>
    <row r="8148" spans="1:2" ht="18.75">
      <c r="A8148" s="12" t="s">
        <v>2108</v>
      </c>
      <c r="B8148" s="1" t="s">
        <v>7110</v>
      </c>
    </row>
    <row r="8149" spans="1:2" ht="18.75">
      <c r="A8149" s="12" t="s">
        <v>2108</v>
      </c>
      <c r="B8149" s="1" t="s">
        <v>7110</v>
      </c>
    </row>
    <row r="8150" spans="1:2" ht="18.75">
      <c r="A8150" s="12" t="s">
        <v>2109</v>
      </c>
      <c r="B8150" s="1" t="s">
        <v>7110</v>
      </c>
    </row>
    <row r="8151" spans="1:2" ht="18.75">
      <c r="A8151" s="12" t="s">
        <v>2113</v>
      </c>
      <c r="B8151" s="1" t="s">
        <v>7110</v>
      </c>
    </row>
    <row r="8152" spans="1:2" ht="18.75">
      <c r="A8152" s="12" t="s">
        <v>2044</v>
      </c>
      <c r="B8152" s="1" t="s">
        <v>7110</v>
      </c>
    </row>
    <row r="8153" spans="1:2" ht="18.75">
      <c r="A8153" s="12" t="s">
        <v>2026</v>
      </c>
      <c r="B8153" s="1" t="s">
        <v>7110</v>
      </c>
    </row>
    <row r="8154" spans="1:2" ht="18.75">
      <c r="A8154" s="12" t="s">
        <v>1935</v>
      </c>
      <c r="B8154" s="1" t="s">
        <v>7110</v>
      </c>
    </row>
    <row r="8155" spans="1:2" ht="18.75">
      <c r="A8155" s="12" t="s">
        <v>2118</v>
      </c>
      <c r="B8155" s="1" t="s">
        <v>7110</v>
      </c>
    </row>
    <row r="8156" spans="1:2" ht="18.75">
      <c r="A8156" s="12" t="s">
        <v>2044</v>
      </c>
      <c r="B8156" s="1" t="s">
        <v>7110</v>
      </c>
    </row>
    <row r="8157" spans="1:2" ht="18.75">
      <c r="A8157" s="12" t="s">
        <v>1935</v>
      </c>
      <c r="B8157" s="1" t="s">
        <v>7110</v>
      </c>
    </row>
    <row r="8158" spans="1:2" ht="18.75">
      <c r="A8158" s="12" t="s">
        <v>2120</v>
      </c>
      <c r="B8158" s="1" t="s">
        <v>7110</v>
      </c>
    </row>
    <row r="8159" spans="1:2" ht="18.75">
      <c r="A8159" s="12" t="s">
        <v>2044</v>
      </c>
      <c r="B8159" s="1" t="s">
        <v>7110</v>
      </c>
    </row>
    <row r="8160" spans="1:2" ht="18.75">
      <c r="A8160" s="12" t="s">
        <v>2108</v>
      </c>
      <c r="B8160" s="1" t="s">
        <v>7110</v>
      </c>
    </row>
    <row r="8161" spans="1:2" ht="18.75">
      <c r="A8161" s="12" t="s">
        <v>2120</v>
      </c>
      <c r="B8161" s="1" t="s">
        <v>7110</v>
      </c>
    </row>
    <row r="8162" spans="1:2" ht="18">
      <c r="A8162" s="100" t="s">
        <v>2026</v>
      </c>
      <c r="B8162" s="1" t="s">
        <v>7110</v>
      </c>
    </row>
    <row r="8163" spans="1:2" ht="18">
      <c r="A8163" s="100" t="s">
        <v>1935</v>
      </c>
      <c r="B8163" s="1" t="s">
        <v>7110</v>
      </c>
    </row>
    <row r="8164" spans="1:2" ht="18">
      <c r="A8164" s="100" t="s">
        <v>2156</v>
      </c>
      <c r="B8164" s="1" t="s">
        <v>7110</v>
      </c>
    </row>
    <row r="8165" spans="1:2" ht="18">
      <c r="A8165" s="100" t="s">
        <v>2157</v>
      </c>
      <c r="B8165" s="1" t="s">
        <v>7110</v>
      </c>
    </row>
    <row r="8166" spans="1:2" ht="18">
      <c r="A8166" s="100" t="s">
        <v>2156</v>
      </c>
      <c r="B8166" s="1" t="s">
        <v>7110</v>
      </c>
    </row>
    <row r="8167" spans="1:2" ht="18">
      <c r="A8167" s="100" t="s">
        <v>2163</v>
      </c>
      <c r="B8167" s="1" t="s">
        <v>7110</v>
      </c>
    </row>
    <row r="8168" spans="1:2" ht="18">
      <c r="A8168" s="100" t="s">
        <v>2170</v>
      </c>
      <c r="B8168" s="1" t="s">
        <v>7110</v>
      </c>
    </row>
    <row r="8169" spans="1:2" ht="18">
      <c r="A8169" s="100" t="s">
        <v>2163</v>
      </c>
      <c r="B8169" s="1" t="s">
        <v>7110</v>
      </c>
    </row>
    <row r="8170" spans="1:2" ht="18">
      <c r="A8170" s="100" t="s">
        <v>2170</v>
      </c>
      <c r="B8170" s="1" t="s">
        <v>7110</v>
      </c>
    </row>
    <row r="8171" spans="1:2" ht="18">
      <c r="A8171" s="100" t="s">
        <v>2170</v>
      </c>
      <c r="B8171" s="1" t="s">
        <v>7110</v>
      </c>
    </row>
    <row r="8172" spans="1:2" ht="18">
      <c r="A8172" s="100" t="s">
        <v>2176</v>
      </c>
      <c r="B8172" s="1" t="s">
        <v>7110</v>
      </c>
    </row>
    <row r="8173" spans="1:2" ht="18">
      <c r="A8173" s="100" t="s">
        <v>2109</v>
      </c>
      <c r="B8173" s="1" t="s">
        <v>7110</v>
      </c>
    </row>
    <row r="8174" spans="1:2" ht="18">
      <c r="A8174" s="100" t="s">
        <v>2157</v>
      </c>
      <c r="B8174" s="1" t="s">
        <v>7110</v>
      </c>
    </row>
    <row r="8175" spans="1:2" ht="18">
      <c r="A8175" s="100" t="s">
        <v>2157</v>
      </c>
      <c r="B8175" s="1" t="s">
        <v>7110</v>
      </c>
    </row>
    <row r="8176" spans="1:2" ht="18">
      <c r="A8176" s="100" t="s">
        <v>2170</v>
      </c>
      <c r="B8176" s="1" t="s">
        <v>7110</v>
      </c>
    </row>
    <row r="8177" spans="1:2" ht="18">
      <c r="A8177" s="100" t="s">
        <v>2246</v>
      </c>
      <c r="B8177" s="1" t="s">
        <v>7110</v>
      </c>
    </row>
    <row r="8178" spans="1:2" ht="18">
      <c r="A8178" s="100" t="s">
        <v>2247</v>
      </c>
      <c r="B8178" s="1" t="s">
        <v>7110</v>
      </c>
    </row>
    <row r="8179" spans="1:2" ht="18">
      <c r="A8179" s="100" t="s">
        <v>2248</v>
      </c>
      <c r="B8179" s="1" t="s">
        <v>7110</v>
      </c>
    </row>
    <row r="8180" spans="1:2" ht="18">
      <c r="A8180" s="100" t="s">
        <v>2120</v>
      </c>
      <c r="B8180" s="1" t="s">
        <v>7110</v>
      </c>
    </row>
    <row r="8181" spans="1:2" ht="18">
      <c r="A8181" s="100" t="s">
        <v>2163</v>
      </c>
      <c r="B8181" s="1" t="s">
        <v>7110</v>
      </c>
    </row>
    <row r="8182" spans="1:2" ht="18">
      <c r="A8182" s="100" t="s">
        <v>2170</v>
      </c>
      <c r="B8182" s="1" t="s">
        <v>7110</v>
      </c>
    </row>
    <row r="8183" spans="1:2" ht="18">
      <c r="A8183" s="100" t="s">
        <v>2170</v>
      </c>
      <c r="B8183" s="1" t="s">
        <v>7110</v>
      </c>
    </row>
    <row r="8184" spans="1:2" ht="18">
      <c r="A8184" s="100" t="s">
        <v>2176</v>
      </c>
      <c r="B8184" s="1" t="s">
        <v>7110</v>
      </c>
    </row>
    <row r="8185" spans="1:2" ht="18">
      <c r="A8185" s="100" t="s">
        <v>2176</v>
      </c>
      <c r="B8185" s="1" t="s">
        <v>7110</v>
      </c>
    </row>
    <row r="8186" spans="1:2" ht="18">
      <c r="A8186" s="100" t="s">
        <v>2017</v>
      </c>
      <c r="B8186" s="1" t="s">
        <v>7110</v>
      </c>
    </row>
    <row r="8187" spans="1:2" ht="18">
      <c r="A8187" s="100" t="s">
        <v>2263</v>
      </c>
      <c r="B8187" s="1" t="s">
        <v>7110</v>
      </c>
    </row>
    <row r="8188" spans="1:2" ht="18">
      <c r="A8188" s="100" t="s">
        <v>2272</v>
      </c>
      <c r="B8188" s="1" t="s">
        <v>7110</v>
      </c>
    </row>
    <row r="8189" spans="1:2" ht="18">
      <c r="A8189" s="100" t="s">
        <v>2273</v>
      </c>
      <c r="B8189" s="1" t="s">
        <v>7110</v>
      </c>
    </row>
    <row r="8190" spans="1:2" ht="18">
      <c r="A8190" s="100" t="s">
        <v>2157</v>
      </c>
      <c r="B8190" s="1" t="s">
        <v>7110</v>
      </c>
    </row>
    <row r="8191" spans="1:2" ht="18">
      <c r="A8191" s="100" t="s">
        <v>2277</v>
      </c>
      <c r="B8191" s="1" t="s">
        <v>7110</v>
      </c>
    </row>
    <row r="8192" spans="1:2" ht="18">
      <c r="A8192" s="100" t="s">
        <v>2277</v>
      </c>
      <c r="B8192" s="1" t="s">
        <v>7110</v>
      </c>
    </row>
    <row r="8193" spans="1:2" ht="18">
      <c r="A8193" s="100" t="s">
        <v>2277</v>
      </c>
      <c r="B8193" s="1" t="s">
        <v>7110</v>
      </c>
    </row>
    <row r="8194" spans="1:2" ht="18">
      <c r="A8194" s="100" t="s">
        <v>2277</v>
      </c>
      <c r="B8194" s="1" t="s">
        <v>7110</v>
      </c>
    </row>
    <row r="8195" spans="1:2" ht="18">
      <c r="A8195" s="100" t="s">
        <v>2279</v>
      </c>
      <c r="B8195" s="1" t="s">
        <v>7110</v>
      </c>
    </row>
    <row r="8196" spans="1:2" ht="18">
      <c r="A8196" s="100" t="s">
        <v>2272</v>
      </c>
      <c r="B8196" s="1" t="s">
        <v>7110</v>
      </c>
    </row>
    <row r="8197" spans="1:2" ht="18">
      <c r="A8197" s="100" t="s">
        <v>2280</v>
      </c>
      <c r="B8197" s="1" t="s">
        <v>7110</v>
      </c>
    </row>
    <row r="8198" spans="1:2" ht="18">
      <c r="A8198" s="100" t="s">
        <v>2279</v>
      </c>
      <c r="B8198" s="1" t="s">
        <v>7110</v>
      </c>
    </row>
    <row r="8199" spans="1:2" ht="18">
      <c r="A8199" s="100" t="s">
        <v>2176</v>
      </c>
      <c r="B8199" s="1" t="s">
        <v>7110</v>
      </c>
    </row>
    <row r="8200" spans="1:2" ht="18">
      <c r="A8200" s="100" t="s">
        <v>2281</v>
      </c>
      <c r="B8200" s="1" t="s">
        <v>7110</v>
      </c>
    </row>
    <row r="8201" spans="1:2" ht="18">
      <c r="A8201" s="100" t="s">
        <v>2273</v>
      </c>
      <c r="B8201" s="1" t="s">
        <v>7110</v>
      </c>
    </row>
    <row r="8202" spans="1:2" ht="18">
      <c r="A8202" s="100" t="s">
        <v>2279</v>
      </c>
      <c r="B8202" s="1" t="s">
        <v>7110</v>
      </c>
    </row>
    <row r="8203" spans="1:2" ht="18">
      <c r="A8203" s="100" t="s">
        <v>2277</v>
      </c>
      <c r="B8203" s="1" t="s">
        <v>7110</v>
      </c>
    </row>
    <row r="8204" spans="1:2" ht="18">
      <c r="A8204" s="100" t="s">
        <v>2170</v>
      </c>
      <c r="B8204" s="1" t="s">
        <v>7110</v>
      </c>
    </row>
    <row r="8205" spans="1:2" ht="18">
      <c r="A8205" s="100" t="s">
        <v>2263</v>
      </c>
      <c r="B8205" s="1" t="s">
        <v>7110</v>
      </c>
    </row>
    <row r="8206" spans="1:2" ht="18">
      <c r="A8206" s="100" t="s">
        <v>2078</v>
      </c>
      <c r="B8206" s="1" t="s">
        <v>7110</v>
      </c>
    </row>
    <row r="8207" spans="1:2" ht="18">
      <c r="A8207" s="100" t="s">
        <v>2263</v>
      </c>
      <c r="B8207" s="1" t="s">
        <v>7110</v>
      </c>
    </row>
    <row r="8208" spans="1:2" ht="18">
      <c r="A8208" s="100" t="s">
        <v>2263</v>
      </c>
      <c r="B8208" s="1" t="s">
        <v>7110</v>
      </c>
    </row>
    <row r="8209" spans="1:2" ht="18">
      <c r="A8209" s="100" t="s">
        <v>2273</v>
      </c>
      <c r="B8209" s="1" t="s">
        <v>7110</v>
      </c>
    </row>
    <row r="8210" spans="1:2" ht="18">
      <c r="A8210" s="100" t="s">
        <v>2176</v>
      </c>
      <c r="B8210" s="1" t="s">
        <v>7110</v>
      </c>
    </row>
    <row r="8211" spans="1:2" ht="18">
      <c r="A8211" s="100" t="s">
        <v>2282</v>
      </c>
      <c r="B8211" s="1" t="s">
        <v>7110</v>
      </c>
    </row>
    <row r="8212" spans="1:2" ht="18">
      <c r="A8212" s="100" t="s">
        <v>2017</v>
      </c>
      <c r="B8212" s="1" t="s">
        <v>7110</v>
      </c>
    </row>
    <row r="8213" spans="1:2" ht="18">
      <c r="A8213" s="100" t="s">
        <v>2283</v>
      </c>
      <c r="B8213" s="1" t="s">
        <v>7110</v>
      </c>
    </row>
    <row r="8214" spans="1:2" ht="18">
      <c r="A8214" s="100" t="s">
        <v>2284</v>
      </c>
      <c r="B8214" s="1" t="s">
        <v>7110</v>
      </c>
    </row>
    <row r="8215" spans="1:2" ht="18">
      <c r="A8215" s="100" t="s">
        <v>2273</v>
      </c>
      <c r="B8215" s="1" t="s">
        <v>7110</v>
      </c>
    </row>
    <row r="8216" spans="1:2" ht="18">
      <c r="A8216" s="100" t="s">
        <v>2176</v>
      </c>
      <c r="B8216" s="1" t="s">
        <v>7110</v>
      </c>
    </row>
    <row r="8217" spans="1:2" ht="18">
      <c r="A8217" s="100" t="s">
        <v>2176</v>
      </c>
      <c r="B8217" s="1" t="s">
        <v>7110</v>
      </c>
    </row>
    <row r="8218" spans="1:2" ht="18">
      <c r="A8218" s="100" t="s">
        <v>2285</v>
      </c>
      <c r="B8218" s="1" t="s">
        <v>7110</v>
      </c>
    </row>
    <row r="8219" spans="1:2" ht="18">
      <c r="A8219" s="100" t="s">
        <v>2277</v>
      </c>
      <c r="B8219" s="1" t="s">
        <v>7110</v>
      </c>
    </row>
    <row r="8220" spans="1:2" ht="18">
      <c r="A8220" s="100" t="s">
        <v>2078</v>
      </c>
      <c r="B8220" s="1" t="s">
        <v>7110</v>
      </c>
    </row>
    <row r="8221" spans="1:2" ht="18">
      <c r="A8221" s="100" t="s">
        <v>2156</v>
      </c>
      <c r="B8221" s="1" t="s">
        <v>7110</v>
      </c>
    </row>
    <row r="8222" spans="1:2" ht="18">
      <c r="A8222" s="100" t="s">
        <v>2288</v>
      </c>
      <c r="B8222" s="1" t="s">
        <v>7110</v>
      </c>
    </row>
    <row r="8223" spans="1:2" ht="18">
      <c r="A8223" s="100" t="s">
        <v>2289</v>
      </c>
      <c r="B8223" s="1" t="s">
        <v>7110</v>
      </c>
    </row>
    <row r="8224" spans="1:2" ht="18">
      <c r="A8224" s="100" t="s">
        <v>2291</v>
      </c>
      <c r="B8224" s="1" t="s">
        <v>7110</v>
      </c>
    </row>
    <row r="8225" spans="1:2" ht="18">
      <c r="A8225" s="100" t="s">
        <v>2292</v>
      </c>
      <c r="B8225" s="1" t="s">
        <v>7110</v>
      </c>
    </row>
    <row r="8226" spans="1:2" ht="18">
      <c r="A8226" s="100" t="s">
        <v>2284</v>
      </c>
      <c r="B8226" s="1" t="s">
        <v>7110</v>
      </c>
    </row>
    <row r="8227" spans="1:2" ht="18">
      <c r="A8227" s="100" t="s">
        <v>2284</v>
      </c>
      <c r="B8227" s="1" t="s">
        <v>7110</v>
      </c>
    </row>
    <row r="8228" spans="1:2" ht="18">
      <c r="A8228" s="100" t="s">
        <v>2281</v>
      </c>
      <c r="B8228" s="1" t="s">
        <v>7110</v>
      </c>
    </row>
    <row r="8229" spans="1:2" ht="18">
      <c r="A8229" s="100" t="s">
        <v>2294</v>
      </c>
      <c r="B8229" s="1" t="s">
        <v>7110</v>
      </c>
    </row>
    <row r="8230" spans="1:2" ht="18">
      <c r="A8230" s="100" t="s">
        <v>2294</v>
      </c>
      <c r="B8230" s="1" t="s">
        <v>7110</v>
      </c>
    </row>
    <row r="8231" spans="1:2" ht="18">
      <c r="A8231" s="100" t="s">
        <v>2294</v>
      </c>
      <c r="B8231" s="1" t="s">
        <v>7110</v>
      </c>
    </row>
    <row r="8232" spans="1:2" ht="18">
      <c r="A8232" s="100" t="s">
        <v>2295</v>
      </c>
      <c r="B8232" s="1" t="s">
        <v>7110</v>
      </c>
    </row>
    <row r="8233" spans="1:2" ht="18">
      <c r="A8233" s="100" t="s">
        <v>2294</v>
      </c>
      <c r="B8233" s="1" t="s">
        <v>7110</v>
      </c>
    </row>
    <row r="8234" spans="1:2" ht="18">
      <c r="A8234" s="100" t="s">
        <v>2297</v>
      </c>
      <c r="B8234" s="1" t="s">
        <v>7110</v>
      </c>
    </row>
    <row r="8235" spans="1:2" ht="18">
      <c r="A8235" s="100" t="s">
        <v>2291</v>
      </c>
      <c r="B8235" s="1" t="s">
        <v>7110</v>
      </c>
    </row>
    <row r="8236" spans="1:2" ht="18">
      <c r="A8236" s="100" t="s">
        <v>2298</v>
      </c>
      <c r="B8236" s="1" t="s">
        <v>7110</v>
      </c>
    </row>
    <row r="8237" spans="1:2" ht="18">
      <c r="A8237" s="100" t="s">
        <v>2086</v>
      </c>
      <c r="B8237" s="1" t="s">
        <v>7110</v>
      </c>
    </row>
    <row r="8238" spans="1:2" ht="18">
      <c r="A8238" s="100" t="s">
        <v>2298</v>
      </c>
      <c r="B8238" s="1" t="s">
        <v>7110</v>
      </c>
    </row>
    <row r="8239" spans="1:2" ht="18">
      <c r="A8239" s="100" t="s">
        <v>2299</v>
      </c>
      <c r="B8239" s="1" t="s">
        <v>7110</v>
      </c>
    </row>
    <row r="8240" spans="1:2" ht="18">
      <c r="A8240" s="100" t="s">
        <v>2300</v>
      </c>
      <c r="B8240" s="1" t="s">
        <v>7110</v>
      </c>
    </row>
    <row r="8241" spans="1:2" ht="18">
      <c r="A8241" s="100" t="s">
        <v>2301</v>
      </c>
      <c r="B8241" s="1" t="s">
        <v>7110</v>
      </c>
    </row>
    <row r="8242" spans="1:2" ht="18">
      <c r="A8242" s="100" t="s">
        <v>2302</v>
      </c>
      <c r="B8242" s="1" t="s">
        <v>7110</v>
      </c>
    </row>
    <row r="8243" spans="1:2" ht="18">
      <c r="A8243" s="100" t="s">
        <v>2280</v>
      </c>
      <c r="B8243" s="1" t="s">
        <v>7110</v>
      </c>
    </row>
    <row r="8244" spans="1:2" ht="18">
      <c r="A8244" s="100" t="s">
        <v>2301</v>
      </c>
      <c r="B8244" s="1" t="s">
        <v>7110</v>
      </c>
    </row>
    <row r="8245" spans="1:2" ht="18">
      <c r="A8245" s="100" t="s">
        <v>2118</v>
      </c>
      <c r="B8245" s="1" t="s">
        <v>7110</v>
      </c>
    </row>
    <row r="8246" spans="1:2" ht="18">
      <c r="A8246" s="100" t="s">
        <v>2304</v>
      </c>
      <c r="B8246" s="1" t="s">
        <v>7110</v>
      </c>
    </row>
    <row r="8247" spans="1:2" ht="18">
      <c r="A8247" s="100" t="s">
        <v>2304</v>
      </c>
      <c r="B8247" s="1" t="s">
        <v>7110</v>
      </c>
    </row>
    <row r="8248" spans="1:2" ht="18">
      <c r="A8248" s="100" t="s">
        <v>2305</v>
      </c>
      <c r="B8248" s="1" t="s">
        <v>7110</v>
      </c>
    </row>
    <row r="8249" spans="1:2" ht="18">
      <c r="A8249" s="100" t="s">
        <v>2280</v>
      </c>
      <c r="B8249" s="1" t="s">
        <v>7110</v>
      </c>
    </row>
    <row r="8250" spans="1:2" ht="18">
      <c r="A8250" s="100" t="s">
        <v>2280</v>
      </c>
      <c r="B8250" s="1" t="s">
        <v>7110</v>
      </c>
    </row>
    <row r="8251" spans="1:2" ht="18">
      <c r="A8251" s="100" t="s">
        <v>2306</v>
      </c>
      <c r="B8251" s="1" t="s">
        <v>7110</v>
      </c>
    </row>
    <row r="8252" spans="1:2" ht="18">
      <c r="A8252" s="100" t="s">
        <v>2157</v>
      </c>
      <c r="B8252" s="1" t="s">
        <v>7110</v>
      </c>
    </row>
    <row r="8253" spans="1:2" ht="18">
      <c r="A8253" s="100" t="s">
        <v>2298</v>
      </c>
      <c r="B8253" s="1" t="s">
        <v>7110</v>
      </c>
    </row>
    <row r="8254" spans="1:2" ht="18">
      <c r="A8254" s="100" t="s">
        <v>2277</v>
      </c>
      <c r="B8254" s="1" t="s">
        <v>7110</v>
      </c>
    </row>
    <row r="8255" spans="1:2" ht="18">
      <c r="A8255" s="100" t="s">
        <v>2308</v>
      </c>
      <c r="B8255" s="1" t="s">
        <v>7110</v>
      </c>
    </row>
    <row r="8256" spans="1:2" ht="18">
      <c r="A8256" s="100" t="s">
        <v>2315</v>
      </c>
      <c r="B8256" s="1" t="s">
        <v>7110</v>
      </c>
    </row>
    <row r="8257" spans="1:2" ht="18">
      <c r="A8257" s="100" t="s">
        <v>2318</v>
      </c>
      <c r="B8257" s="1" t="s">
        <v>7110</v>
      </c>
    </row>
    <row r="8258" spans="1:2" ht="18">
      <c r="A8258" s="100" t="s">
        <v>2086</v>
      </c>
      <c r="B8258" s="1" t="s">
        <v>7110</v>
      </c>
    </row>
    <row r="8259" spans="1:2" ht="18">
      <c r="A8259" s="100" t="s">
        <v>2319</v>
      </c>
      <c r="B8259" s="1" t="s">
        <v>7110</v>
      </c>
    </row>
    <row r="8260" spans="1:2" ht="18">
      <c r="A8260" s="100" t="s">
        <v>2283</v>
      </c>
      <c r="B8260" s="1" t="s">
        <v>7110</v>
      </c>
    </row>
    <row r="8261" spans="1:2" ht="18">
      <c r="A8261" s="100" t="s">
        <v>2308</v>
      </c>
      <c r="B8261" s="1" t="s">
        <v>7110</v>
      </c>
    </row>
    <row r="8262" spans="1:2" ht="18">
      <c r="A8262" s="100" t="s">
        <v>2306</v>
      </c>
      <c r="B8262" s="1" t="s">
        <v>7110</v>
      </c>
    </row>
    <row r="8263" spans="1:2" ht="18">
      <c r="A8263" s="100" t="s">
        <v>2302</v>
      </c>
      <c r="B8263" s="1" t="s">
        <v>7110</v>
      </c>
    </row>
    <row r="8264" spans="1:2" ht="18">
      <c r="A8264" s="100" t="s">
        <v>2319</v>
      </c>
      <c r="B8264" s="1" t="s">
        <v>7110</v>
      </c>
    </row>
    <row r="8265" spans="1:2" ht="18">
      <c r="A8265" s="100" t="s">
        <v>2320</v>
      </c>
      <c r="B8265" s="1" t="s">
        <v>7110</v>
      </c>
    </row>
    <row r="8266" spans="1:2" ht="18">
      <c r="A8266" s="100" t="s">
        <v>2283</v>
      </c>
      <c r="B8266" s="1" t="s">
        <v>7110</v>
      </c>
    </row>
    <row r="8267" spans="1:2" ht="18">
      <c r="A8267" s="100" t="s">
        <v>2322</v>
      </c>
      <c r="B8267" s="1" t="s">
        <v>7110</v>
      </c>
    </row>
    <row r="8268" spans="1:2" ht="18">
      <c r="A8268" s="100" t="s">
        <v>2322</v>
      </c>
      <c r="B8268" s="1" t="s">
        <v>7110</v>
      </c>
    </row>
    <row r="8269" spans="1:2" ht="18">
      <c r="A8269" s="100" t="s">
        <v>2320</v>
      </c>
      <c r="B8269" s="1" t="s">
        <v>7110</v>
      </c>
    </row>
    <row r="8270" spans="1:2" ht="18">
      <c r="A8270" s="100" t="s">
        <v>2322</v>
      </c>
      <c r="B8270" s="1" t="s">
        <v>7110</v>
      </c>
    </row>
    <row r="8271" spans="1:2" ht="18">
      <c r="A8271" s="100" t="s">
        <v>2323</v>
      </c>
      <c r="B8271" s="1" t="s">
        <v>7110</v>
      </c>
    </row>
    <row r="8272" spans="1:2" ht="18">
      <c r="A8272" s="100" t="s">
        <v>2325</v>
      </c>
      <c r="B8272" s="1" t="s">
        <v>7110</v>
      </c>
    </row>
    <row r="8273" spans="1:2" ht="18">
      <c r="A8273" s="100" t="s">
        <v>2297</v>
      </c>
      <c r="B8273" s="1" t="s">
        <v>7110</v>
      </c>
    </row>
    <row r="8274" spans="1:2" ht="18">
      <c r="A8274" s="100" t="s">
        <v>2298</v>
      </c>
      <c r="B8274" s="1" t="s">
        <v>7110</v>
      </c>
    </row>
    <row r="8275" spans="1:2" ht="18">
      <c r="A8275" s="100" t="s">
        <v>2325</v>
      </c>
      <c r="B8275" s="1" t="s">
        <v>7110</v>
      </c>
    </row>
    <row r="8276" spans="1:2" ht="18">
      <c r="A8276" s="100" t="s">
        <v>2326</v>
      </c>
      <c r="B8276" s="1" t="s">
        <v>7110</v>
      </c>
    </row>
    <row r="8277" spans="1:2" ht="18">
      <c r="A8277" s="100" t="s">
        <v>2327</v>
      </c>
      <c r="B8277" s="1" t="s">
        <v>7110</v>
      </c>
    </row>
    <row r="8278" spans="1:2" ht="18">
      <c r="A8278" s="100" t="s">
        <v>2328</v>
      </c>
      <c r="B8278" s="1" t="s">
        <v>7110</v>
      </c>
    </row>
    <row r="8279" spans="1:2" ht="18">
      <c r="A8279" s="100" t="s">
        <v>2335</v>
      </c>
      <c r="B8279" s="1" t="s">
        <v>7110</v>
      </c>
    </row>
    <row r="8280" spans="1:2" ht="18">
      <c r="A8280" s="100" t="s">
        <v>2336</v>
      </c>
      <c r="B8280" s="1" t="s">
        <v>7110</v>
      </c>
    </row>
    <row r="8281" spans="1:2" ht="18">
      <c r="A8281" s="100" t="s">
        <v>2315</v>
      </c>
      <c r="B8281" s="1" t="s">
        <v>7110</v>
      </c>
    </row>
    <row r="8282" spans="1:2" ht="18">
      <c r="A8282" s="100" t="s">
        <v>2338</v>
      </c>
      <c r="B8282" s="1" t="s">
        <v>7110</v>
      </c>
    </row>
    <row r="8283" spans="1:2" ht="18">
      <c r="A8283" s="100" t="s">
        <v>2289</v>
      </c>
      <c r="B8283" s="1" t="s">
        <v>7110</v>
      </c>
    </row>
    <row r="8284" spans="1:2" ht="18">
      <c r="A8284" s="100" t="s">
        <v>2263</v>
      </c>
      <c r="B8284" s="1" t="s">
        <v>7110</v>
      </c>
    </row>
    <row r="8285" spans="1:2" ht="18">
      <c r="A8285" s="100" t="s">
        <v>2083</v>
      </c>
      <c r="B8285" s="1" t="s">
        <v>7110</v>
      </c>
    </row>
    <row r="8286" spans="1:2" ht="18">
      <c r="A8286" s="100" t="s">
        <v>2339</v>
      </c>
      <c r="B8286" s="1" t="s">
        <v>7110</v>
      </c>
    </row>
    <row r="8287" spans="1:2" ht="18">
      <c r="A8287" s="100" t="s">
        <v>2263</v>
      </c>
      <c r="B8287" s="1" t="s">
        <v>7110</v>
      </c>
    </row>
    <row r="8288" spans="1:2" ht="18">
      <c r="A8288" s="100" t="s">
        <v>2322</v>
      </c>
      <c r="B8288" s="1" t="s">
        <v>7110</v>
      </c>
    </row>
    <row r="8289" spans="1:2" ht="18">
      <c r="A8289" s="100" t="s">
        <v>2288</v>
      </c>
      <c r="B8289" s="1" t="s">
        <v>7110</v>
      </c>
    </row>
    <row r="8290" spans="1:2" ht="18">
      <c r="A8290" s="100" t="s">
        <v>2345</v>
      </c>
      <c r="B8290" s="1" t="s">
        <v>7110</v>
      </c>
    </row>
    <row r="8291" spans="1:2" ht="18">
      <c r="A8291" s="100" t="s">
        <v>2346</v>
      </c>
      <c r="B8291" s="1" t="s">
        <v>7110</v>
      </c>
    </row>
    <row r="8292" spans="1:2" ht="18">
      <c r="A8292" s="100" t="s">
        <v>2326</v>
      </c>
      <c r="B8292" s="1" t="s">
        <v>7110</v>
      </c>
    </row>
    <row r="8293" spans="1:2" ht="18">
      <c r="A8293" s="100" t="s">
        <v>2328</v>
      </c>
      <c r="B8293" s="1" t="s">
        <v>7110</v>
      </c>
    </row>
    <row r="8294" spans="1:2" ht="18">
      <c r="A8294" s="100" t="s">
        <v>2170</v>
      </c>
      <c r="B8294" s="1" t="s">
        <v>7110</v>
      </c>
    </row>
    <row r="8295" spans="1:2" ht="18">
      <c r="A8295" s="100" t="s">
        <v>2328</v>
      </c>
      <c r="B8295" s="1" t="s">
        <v>7110</v>
      </c>
    </row>
    <row r="8296" spans="1:2" ht="18">
      <c r="A8296" s="100" t="s">
        <v>2299</v>
      </c>
      <c r="B8296" s="1" t="s">
        <v>7110</v>
      </c>
    </row>
    <row r="8297" spans="1:2" ht="18">
      <c r="A8297" s="100" t="s">
        <v>2328</v>
      </c>
      <c r="B8297" s="1" t="s">
        <v>7110</v>
      </c>
    </row>
    <row r="8298" spans="1:2" ht="18">
      <c r="A8298" s="100" t="s">
        <v>2328</v>
      </c>
      <c r="B8298" s="1" t="s">
        <v>7110</v>
      </c>
    </row>
    <row r="8299" spans="1:2" ht="18">
      <c r="A8299" s="100" t="s">
        <v>2470</v>
      </c>
      <c r="B8299" s="1" t="s">
        <v>7110</v>
      </c>
    </row>
    <row r="8300" spans="1:2" ht="18">
      <c r="A8300" s="100" t="s">
        <v>2471</v>
      </c>
      <c r="B8300" s="1" t="s">
        <v>7110</v>
      </c>
    </row>
    <row r="8301" spans="1:2" ht="18">
      <c r="A8301" s="100" t="s">
        <v>2323</v>
      </c>
      <c r="B8301" s="1" t="s">
        <v>7110</v>
      </c>
    </row>
    <row r="8302" spans="1:2" ht="18">
      <c r="A8302" s="100" t="s">
        <v>2323</v>
      </c>
      <c r="B8302" s="1" t="s">
        <v>7110</v>
      </c>
    </row>
    <row r="8303" spans="1:2" ht="18">
      <c r="A8303" s="100" t="s">
        <v>2339</v>
      </c>
      <c r="B8303" s="1" t="s">
        <v>7110</v>
      </c>
    </row>
    <row r="8304" spans="1:2" ht="18.75">
      <c r="A8304" s="12" t="s">
        <v>2473</v>
      </c>
      <c r="B8304" s="1" t="s">
        <v>7110</v>
      </c>
    </row>
    <row r="8305" spans="1:2" ht="18.75">
      <c r="A8305" s="12" t="s">
        <v>2474</v>
      </c>
      <c r="B8305" s="1" t="s">
        <v>7110</v>
      </c>
    </row>
    <row r="8306" spans="1:2" ht="18.75">
      <c r="A8306" s="12" t="s">
        <v>2479</v>
      </c>
      <c r="B8306" s="1" t="s">
        <v>7110</v>
      </c>
    </row>
    <row r="8307" spans="1:2" ht="18.75">
      <c r="A8307" s="12" t="s">
        <v>2480</v>
      </c>
      <c r="B8307" s="1" t="s">
        <v>7110</v>
      </c>
    </row>
    <row r="8308" spans="1:2" ht="18.75">
      <c r="A8308" s="12" t="s">
        <v>2480</v>
      </c>
      <c r="B8308" s="1" t="s">
        <v>7110</v>
      </c>
    </row>
    <row r="8309" spans="1:2" ht="18.75">
      <c r="A8309" s="12" t="s">
        <v>2480</v>
      </c>
      <c r="B8309" s="1" t="s">
        <v>7110</v>
      </c>
    </row>
    <row r="8310" spans="1:2" ht="18.75">
      <c r="A8310" s="12" t="s">
        <v>2482</v>
      </c>
      <c r="B8310" s="1" t="s">
        <v>7110</v>
      </c>
    </row>
    <row r="8311" spans="1:2" ht="18.75">
      <c r="A8311" s="12" t="s">
        <v>2473</v>
      </c>
      <c r="B8311" s="1" t="s">
        <v>7110</v>
      </c>
    </row>
    <row r="8312" spans="1:2" ht="18.75">
      <c r="A8312" s="12" t="s">
        <v>2483</v>
      </c>
      <c r="B8312" s="1" t="s">
        <v>7110</v>
      </c>
    </row>
    <row r="8313" spans="1:2" ht="18.75">
      <c r="A8313" s="12" t="s">
        <v>2484</v>
      </c>
      <c r="B8313" s="1" t="s">
        <v>7110</v>
      </c>
    </row>
    <row r="8314" spans="1:2" ht="18.75">
      <c r="A8314" s="12" t="s">
        <v>2485</v>
      </c>
      <c r="B8314" s="1" t="s">
        <v>7110</v>
      </c>
    </row>
    <row r="8315" spans="1:2" ht="18.75">
      <c r="A8315" s="12" t="s">
        <v>2486</v>
      </c>
      <c r="B8315" s="1" t="s">
        <v>7110</v>
      </c>
    </row>
    <row r="8316" spans="1:2" ht="18.75">
      <c r="A8316" s="12" t="s">
        <v>2487</v>
      </c>
      <c r="B8316" s="1" t="s">
        <v>7110</v>
      </c>
    </row>
    <row r="8317" spans="1:2" ht="18.75">
      <c r="A8317" s="12" t="s">
        <v>2488</v>
      </c>
      <c r="B8317" s="1" t="s">
        <v>7110</v>
      </c>
    </row>
    <row r="8318" spans="1:2" ht="18.75">
      <c r="A8318" s="12" t="s">
        <v>2489</v>
      </c>
      <c r="B8318" s="1" t="s">
        <v>7110</v>
      </c>
    </row>
    <row r="8319" spans="1:2" ht="18.75">
      <c r="A8319" s="12" t="s">
        <v>2491</v>
      </c>
      <c r="B8319" s="1" t="s">
        <v>7110</v>
      </c>
    </row>
    <row r="8320" spans="1:2" ht="18.75">
      <c r="A8320" s="12" t="s">
        <v>2474</v>
      </c>
      <c r="B8320" s="1" t="s">
        <v>7110</v>
      </c>
    </row>
    <row r="8321" spans="1:2" ht="18.75">
      <c r="A8321" s="12" t="s">
        <v>2492</v>
      </c>
      <c r="B8321" s="1" t="s">
        <v>7110</v>
      </c>
    </row>
    <row r="8322" spans="1:2" ht="18.75">
      <c r="A8322" s="12" t="s">
        <v>2493</v>
      </c>
      <c r="B8322" s="1" t="s">
        <v>7110</v>
      </c>
    </row>
    <row r="8323" spans="1:2" ht="18.75">
      <c r="A8323" s="12" t="s">
        <v>2494</v>
      </c>
      <c r="B8323" s="1" t="s">
        <v>7110</v>
      </c>
    </row>
    <row r="8324" spans="1:2" ht="18.75">
      <c r="A8324" s="12" t="s">
        <v>2495</v>
      </c>
      <c r="B8324" s="1" t="s">
        <v>7110</v>
      </c>
    </row>
    <row r="8325" spans="1:2" ht="18.75">
      <c r="A8325" s="12" t="s">
        <v>2496</v>
      </c>
      <c r="B8325" s="1" t="s">
        <v>7110</v>
      </c>
    </row>
    <row r="8326" spans="1:2" ht="18.75">
      <c r="A8326" s="12" t="s">
        <v>2494</v>
      </c>
      <c r="B8326" s="1" t="s">
        <v>7110</v>
      </c>
    </row>
    <row r="8327" spans="1:2" ht="18.75">
      <c r="A8327" s="12" t="s">
        <v>2473</v>
      </c>
      <c r="B8327" s="1" t="s">
        <v>7110</v>
      </c>
    </row>
    <row r="8328" spans="1:2" ht="18.75">
      <c r="A8328" s="12" t="s">
        <v>2494</v>
      </c>
      <c r="B8328" s="1" t="s">
        <v>7110</v>
      </c>
    </row>
    <row r="8329" spans="1:2" ht="18.75">
      <c r="A8329" s="12" t="s">
        <v>2474</v>
      </c>
      <c r="B8329" s="1" t="s">
        <v>7110</v>
      </c>
    </row>
    <row r="8330" spans="1:2" ht="18.75">
      <c r="A8330" s="12" t="s">
        <v>2474</v>
      </c>
      <c r="B8330" s="1" t="s">
        <v>7110</v>
      </c>
    </row>
    <row r="8331" spans="1:2" ht="18">
      <c r="A8331" s="95" t="s">
        <v>6779</v>
      </c>
      <c r="B8331" s="1" t="s">
        <v>7110</v>
      </c>
    </row>
    <row r="8332" spans="1:2" ht="18">
      <c r="A8332" s="95" t="s">
        <v>6779</v>
      </c>
      <c r="B8332" s="1" t="s">
        <v>7110</v>
      </c>
    </row>
    <row r="8333" spans="1:2" ht="18">
      <c r="A8333" s="95" t="s">
        <v>6780</v>
      </c>
      <c r="B8333" s="1" t="s">
        <v>7110</v>
      </c>
    </row>
    <row r="8334" spans="1:2" ht="18">
      <c r="A8334" s="95" t="s">
        <v>6781</v>
      </c>
      <c r="B8334" s="1" t="s">
        <v>7110</v>
      </c>
    </row>
    <row r="8335" spans="1:2" ht="18">
      <c r="A8335" s="95" t="s">
        <v>6780</v>
      </c>
      <c r="B8335" s="1" t="s">
        <v>7110</v>
      </c>
    </row>
    <row r="8336" spans="1:2" ht="18">
      <c r="A8336" s="95" t="s">
        <v>6782</v>
      </c>
      <c r="B8336" s="1" t="s">
        <v>7110</v>
      </c>
    </row>
    <row r="8337" spans="1:2" ht="18">
      <c r="A8337" s="95" t="s">
        <v>6783</v>
      </c>
      <c r="B8337" s="1" t="s">
        <v>7110</v>
      </c>
    </row>
    <row r="8338" spans="1:2" ht="18">
      <c r="A8338" s="95" t="s">
        <v>6784</v>
      </c>
      <c r="B8338" s="1" t="s">
        <v>7110</v>
      </c>
    </row>
    <row r="8339" spans="1:2" ht="18">
      <c r="A8339" s="95" t="s">
        <v>6785</v>
      </c>
      <c r="B8339" s="1" t="s">
        <v>7110</v>
      </c>
    </row>
    <row r="8340" spans="1:2" ht="18">
      <c r="A8340" s="95" t="s">
        <v>6786</v>
      </c>
      <c r="B8340" s="1" t="s">
        <v>7110</v>
      </c>
    </row>
    <row r="8341" spans="1:2" ht="18">
      <c r="A8341" s="95" t="s">
        <v>6781</v>
      </c>
      <c r="B8341" s="1" t="s">
        <v>7110</v>
      </c>
    </row>
    <row r="8342" spans="1:2" ht="18">
      <c r="A8342" s="95" t="s">
        <v>6787</v>
      </c>
      <c r="B8342" s="1" t="s">
        <v>7110</v>
      </c>
    </row>
    <row r="8343" spans="1:2" ht="18">
      <c r="A8343" s="95" t="s">
        <v>6788</v>
      </c>
      <c r="B8343" s="1" t="s">
        <v>7110</v>
      </c>
    </row>
    <row r="8344" spans="1:2" ht="18">
      <c r="A8344" s="95" t="s">
        <v>6786</v>
      </c>
      <c r="B8344" s="1" t="s">
        <v>7110</v>
      </c>
    </row>
    <row r="8345" spans="1:2" ht="18">
      <c r="A8345" s="95" t="s">
        <v>6779</v>
      </c>
      <c r="B8345" s="1" t="s">
        <v>7110</v>
      </c>
    </row>
    <row r="8346" spans="1:2" ht="18">
      <c r="A8346" s="95" t="s">
        <v>6785</v>
      </c>
      <c r="B8346" s="1" t="s">
        <v>7110</v>
      </c>
    </row>
    <row r="8347" spans="1:2" ht="18">
      <c r="A8347" s="95" t="s">
        <v>6787</v>
      </c>
      <c r="B8347" s="1" t="s">
        <v>7110</v>
      </c>
    </row>
    <row r="8348" spans="1:2" ht="18">
      <c r="A8348" s="95" t="s">
        <v>6788</v>
      </c>
      <c r="B8348" s="1" t="s">
        <v>7110</v>
      </c>
    </row>
    <row r="8349" spans="1:2" ht="18">
      <c r="A8349" s="95" t="s">
        <v>6781</v>
      </c>
      <c r="B8349" s="1" t="s">
        <v>7110</v>
      </c>
    </row>
    <row r="8350" spans="1:2" ht="18">
      <c r="A8350" s="95" t="s">
        <v>6789</v>
      </c>
      <c r="B8350" s="1" t="s">
        <v>7110</v>
      </c>
    </row>
    <row r="8351" spans="1:2" ht="18">
      <c r="A8351" s="95" t="s">
        <v>6789</v>
      </c>
      <c r="B8351" s="1" t="s">
        <v>7110</v>
      </c>
    </row>
    <row r="8352" spans="1:2" ht="18">
      <c r="A8352" s="95" t="s">
        <v>6789</v>
      </c>
      <c r="B8352" s="1" t="s">
        <v>7110</v>
      </c>
    </row>
    <row r="8353" spans="1:2" ht="18">
      <c r="A8353" s="95" t="s">
        <v>6789</v>
      </c>
      <c r="B8353" s="1" t="s">
        <v>7110</v>
      </c>
    </row>
    <row r="8354" spans="1:2" ht="18">
      <c r="A8354" s="95" t="s">
        <v>6790</v>
      </c>
      <c r="B8354" s="1" t="s">
        <v>7110</v>
      </c>
    </row>
    <row r="8355" spans="1:2" ht="18">
      <c r="A8355" s="95" t="s">
        <v>6790</v>
      </c>
      <c r="B8355" s="1" t="s">
        <v>7110</v>
      </c>
    </row>
    <row r="8356" spans="1:2" ht="18">
      <c r="A8356" s="95" t="s">
        <v>6790</v>
      </c>
      <c r="B8356" s="1" t="s">
        <v>7110</v>
      </c>
    </row>
    <row r="8357" spans="1:2" ht="18">
      <c r="A8357" s="95" t="s">
        <v>6790</v>
      </c>
      <c r="B8357" s="1" t="s">
        <v>7110</v>
      </c>
    </row>
    <row r="8358" spans="1:2" ht="18">
      <c r="A8358" s="95" t="s">
        <v>6790</v>
      </c>
      <c r="B8358" s="1" t="s">
        <v>7110</v>
      </c>
    </row>
    <row r="8359" spans="1:2" ht="18">
      <c r="A8359" s="95" t="s">
        <v>6790</v>
      </c>
      <c r="B8359" s="1" t="s">
        <v>7110</v>
      </c>
    </row>
    <row r="8360" spans="1:2" ht="18">
      <c r="A8360" s="95" t="s">
        <v>6791</v>
      </c>
      <c r="B8360" s="1" t="s">
        <v>7110</v>
      </c>
    </row>
    <row r="8361" spans="1:2" ht="18">
      <c r="A8361" s="95" t="s">
        <v>6791</v>
      </c>
      <c r="B8361" s="1" t="s">
        <v>7110</v>
      </c>
    </row>
    <row r="8362" spans="1:2" ht="18">
      <c r="A8362" s="95" t="s">
        <v>6792</v>
      </c>
      <c r="B8362" s="1" t="s">
        <v>7110</v>
      </c>
    </row>
    <row r="8363" spans="1:2" ht="18">
      <c r="A8363" s="95" t="s">
        <v>6792</v>
      </c>
      <c r="B8363" s="1" t="s">
        <v>7110</v>
      </c>
    </row>
    <row r="8364" spans="1:2" ht="18">
      <c r="A8364" s="95" t="s">
        <v>6793</v>
      </c>
      <c r="B8364" s="1" t="s">
        <v>7110</v>
      </c>
    </row>
    <row r="8365" spans="1:2" ht="18">
      <c r="A8365" s="95" t="s">
        <v>6793</v>
      </c>
      <c r="B8365" s="1" t="s">
        <v>7110</v>
      </c>
    </row>
    <row r="8366" spans="1:2" ht="18">
      <c r="A8366" s="95" t="s">
        <v>6794</v>
      </c>
      <c r="B8366" s="1" t="s">
        <v>7110</v>
      </c>
    </row>
    <row r="8367" spans="1:2" ht="18">
      <c r="A8367" s="95" t="s">
        <v>6793</v>
      </c>
      <c r="B8367" s="1" t="s">
        <v>7110</v>
      </c>
    </row>
    <row r="8368" spans="1:2" ht="18">
      <c r="A8368" s="95" t="s">
        <v>6794</v>
      </c>
      <c r="B8368" s="1" t="s">
        <v>7110</v>
      </c>
    </row>
    <row r="8369" spans="1:2" ht="18">
      <c r="A8369" s="95" t="s">
        <v>6793</v>
      </c>
      <c r="B8369" s="1" t="s">
        <v>7110</v>
      </c>
    </row>
    <row r="8370" spans="1:2" ht="18">
      <c r="A8370" s="95" t="s">
        <v>6795</v>
      </c>
      <c r="B8370" s="1" t="s">
        <v>7110</v>
      </c>
    </row>
    <row r="8371" spans="1:2" ht="18">
      <c r="A8371" s="95" t="s">
        <v>6794</v>
      </c>
      <c r="B8371" s="1" t="s">
        <v>7110</v>
      </c>
    </row>
    <row r="8372" spans="1:2" ht="18">
      <c r="A8372" s="95" t="s">
        <v>6794</v>
      </c>
      <c r="B8372" s="1" t="s">
        <v>7110</v>
      </c>
    </row>
    <row r="8373" spans="1:2" ht="18">
      <c r="A8373" s="95" t="s">
        <v>6795</v>
      </c>
      <c r="B8373" s="1" t="s">
        <v>7110</v>
      </c>
    </row>
    <row r="8374" spans="1:2" ht="18">
      <c r="A8374" s="95" t="s">
        <v>6795</v>
      </c>
      <c r="B8374" s="1" t="s">
        <v>7110</v>
      </c>
    </row>
    <row r="8375" spans="1:2" ht="18">
      <c r="A8375" s="95" t="s">
        <v>6794</v>
      </c>
      <c r="B8375" s="1" t="s">
        <v>7110</v>
      </c>
    </row>
    <row r="8376" spans="1:2" ht="18">
      <c r="A8376" s="95" t="s">
        <v>6794</v>
      </c>
      <c r="B8376" s="1" t="s">
        <v>7110</v>
      </c>
    </row>
    <row r="8377" spans="1:2" ht="18">
      <c r="A8377" s="95" t="s">
        <v>6796</v>
      </c>
      <c r="B8377" s="1" t="s">
        <v>7110</v>
      </c>
    </row>
    <row r="8378" spans="1:2" ht="18">
      <c r="A8378" s="95" t="s">
        <v>6794</v>
      </c>
      <c r="B8378" s="1" t="s">
        <v>7110</v>
      </c>
    </row>
    <row r="8379" spans="1:2" ht="18">
      <c r="A8379" s="95" t="s">
        <v>6794</v>
      </c>
      <c r="B8379" s="1" t="s">
        <v>7110</v>
      </c>
    </row>
    <row r="8380" spans="1:2" ht="18">
      <c r="A8380" s="95" t="s">
        <v>6797</v>
      </c>
      <c r="B8380" s="1" t="s">
        <v>7110</v>
      </c>
    </row>
    <row r="8381" spans="1:2" ht="18">
      <c r="A8381" s="95" t="s">
        <v>6794</v>
      </c>
      <c r="B8381" s="1" t="s">
        <v>7110</v>
      </c>
    </row>
    <row r="8382" spans="1:2" ht="18">
      <c r="A8382" s="95" t="s">
        <v>6797</v>
      </c>
      <c r="B8382" s="1" t="s">
        <v>7110</v>
      </c>
    </row>
    <row r="8383" spans="1:2" ht="18">
      <c r="A8383" s="95" t="s">
        <v>6794</v>
      </c>
      <c r="B8383" s="1" t="s">
        <v>7110</v>
      </c>
    </row>
    <row r="8384" spans="1:2" ht="18">
      <c r="A8384" s="95" t="s">
        <v>6797</v>
      </c>
      <c r="B8384" s="1" t="s">
        <v>7110</v>
      </c>
    </row>
    <row r="8385" spans="1:2" ht="18">
      <c r="A8385" s="95" t="s">
        <v>6797</v>
      </c>
      <c r="B8385" s="1" t="s">
        <v>7110</v>
      </c>
    </row>
    <row r="8386" spans="1:2" ht="18">
      <c r="A8386" s="95" t="s">
        <v>6797</v>
      </c>
      <c r="B8386" s="1" t="s">
        <v>7110</v>
      </c>
    </row>
    <row r="8387" spans="1:2" ht="18">
      <c r="A8387" s="95" t="s">
        <v>6796</v>
      </c>
      <c r="B8387" s="1" t="s">
        <v>7110</v>
      </c>
    </row>
    <row r="8388" spans="1:2" ht="18">
      <c r="A8388" s="95" t="s">
        <v>6794</v>
      </c>
      <c r="B8388" s="1" t="s">
        <v>7110</v>
      </c>
    </row>
    <row r="8389" spans="1:2" ht="18">
      <c r="A8389" s="95" t="s">
        <v>6797</v>
      </c>
      <c r="B8389" s="1" t="s">
        <v>7110</v>
      </c>
    </row>
    <row r="8390" spans="1:2" ht="18">
      <c r="A8390" s="95" t="s">
        <v>6794</v>
      </c>
      <c r="B8390" s="1" t="s">
        <v>7110</v>
      </c>
    </row>
    <row r="8391" spans="1:2" ht="18">
      <c r="A8391" s="95" t="s">
        <v>6795</v>
      </c>
      <c r="B8391" s="1" t="s">
        <v>7110</v>
      </c>
    </row>
    <row r="8392" spans="1:2" ht="18">
      <c r="A8392" s="95" t="s">
        <v>6794</v>
      </c>
      <c r="B8392" s="1" t="s">
        <v>7110</v>
      </c>
    </row>
    <row r="8393" spans="1:2" ht="18">
      <c r="A8393" s="95" t="s">
        <v>6794</v>
      </c>
      <c r="B8393" s="1" t="s">
        <v>7110</v>
      </c>
    </row>
    <row r="8394" spans="1:2" ht="18">
      <c r="A8394" s="95" t="s">
        <v>6795</v>
      </c>
      <c r="B8394" s="1" t="s">
        <v>7110</v>
      </c>
    </row>
    <row r="8395" spans="1:2" ht="18">
      <c r="A8395" s="95" t="s">
        <v>6794</v>
      </c>
      <c r="B8395" s="1" t="s">
        <v>7110</v>
      </c>
    </row>
    <row r="8396" spans="1:2" ht="18">
      <c r="A8396" s="95" t="s">
        <v>6795</v>
      </c>
      <c r="B8396" s="1" t="s">
        <v>7110</v>
      </c>
    </row>
    <row r="8397" spans="1:2" ht="18">
      <c r="A8397" s="95" t="s">
        <v>6798</v>
      </c>
      <c r="B8397" s="1" t="s">
        <v>7110</v>
      </c>
    </row>
    <row r="8398" spans="1:2" ht="18">
      <c r="A8398" s="95" t="s">
        <v>6799</v>
      </c>
      <c r="B8398" s="1" t="s">
        <v>7110</v>
      </c>
    </row>
    <row r="8399" spans="1:2" ht="18">
      <c r="A8399" s="95" t="s">
        <v>6800</v>
      </c>
      <c r="B8399" s="1" t="s">
        <v>7110</v>
      </c>
    </row>
    <row r="8400" spans="1:2" ht="18">
      <c r="A8400" s="95" t="s">
        <v>6801</v>
      </c>
      <c r="B8400" s="1" t="s">
        <v>7110</v>
      </c>
    </row>
    <row r="8401" spans="1:2" ht="18">
      <c r="A8401" s="95" t="s">
        <v>6801</v>
      </c>
      <c r="B8401" s="1" t="s">
        <v>7110</v>
      </c>
    </row>
    <row r="8402" spans="1:2" ht="18">
      <c r="A8402" s="95" t="s">
        <v>6794</v>
      </c>
      <c r="B8402" s="1" t="s">
        <v>7110</v>
      </c>
    </row>
    <row r="8403" spans="1:2" ht="18">
      <c r="A8403" s="95" t="s">
        <v>6787</v>
      </c>
      <c r="B8403" s="1" t="s">
        <v>7110</v>
      </c>
    </row>
    <row r="8404" spans="1:2" ht="18">
      <c r="A8404" s="95" t="s">
        <v>6785</v>
      </c>
      <c r="B8404" s="1" t="s">
        <v>7110</v>
      </c>
    </row>
    <row r="8405" spans="1:2" ht="18">
      <c r="A8405" s="95" t="s">
        <v>6788</v>
      </c>
      <c r="B8405" s="1" t="s">
        <v>7110</v>
      </c>
    </row>
    <row r="8406" spans="1:2" ht="18">
      <c r="A8406" s="95" t="s">
        <v>6782</v>
      </c>
      <c r="B8406" s="1" t="s">
        <v>7110</v>
      </c>
    </row>
    <row r="8407" spans="1:2" ht="18">
      <c r="A8407" s="95" t="s">
        <v>6787</v>
      </c>
      <c r="B8407" s="1" t="s">
        <v>7110</v>
      </c>
    </row>
    <row r="8408" spans="1:2" ht="18">
      <c r="A8408" s="95" t="s">
        <v>6784</v>
      </c>
      <c r="B8408" s="1" t="s">
        <v>7110</v>
      </c>
    </row>
    <row r="8409" spans="1:2" ht="18">
      <c r="A8409" s="95" t="s">
        <v>6802</v>
      </c>
      <c r="B8409" s="1" t="s">
        <v>7110</v>
      </c>
    </row>
    <row r="8410" spans="1:2" ht="18">
      <c r="A8410" s="95" t="s">
        <v>6803</v>
      </c>
      <c r="B8410" s="1" t="s">
        <v>7110</v>
      </c>
    </row>
    <row r="8411" spans="1:2" ht="18">
      <c r="A8411" s="95" t="s">
        <v>6804</v>
      </c>
      <c r="B8411" s="1" t="s">
        <v>7110</v>
      </c>
    </row>
    <row r="8412" spans="1:2" ht="18">
      <c r="A8412" s="95" t="s">
        <v>6805</v>
      </c>
      <c r="B8412" s="1" t="s">
        <v>7110</v>
      </c>
    </row>
    <row r="8413" spans="1:2" ht="18">
      <c r="A8413" s="95" t="s">
        <v>6783</v>
      </c>
      <c r="B8413" s="1" t="s">
        <v>7110</v>
      </c>
    </row>
    <row r="8414" spans="1:2" ht="18">
      <c r="A8414" s="95" t="s">
        <v>6806</v>
      </c>
      <c r="B8414" s="1" t="s">
        <v>7110</v>
      </c>
    </row>
    <row r="8415" spans="1:2" ht="18">
      <c r="A8415" s="95" t="s">
        <v>6807</v>
      </c>
      <c r="B8415" s="1" t="s">
        <v>7110</v>
      </c>
    </row>
    <row r="8416" spans="1:2" ht="18">
      <c r="A8416" s="95" t="s">
        <v>6801</v>
      </c>
      <c r="B8416" s="1" t="s">
        <v>7110</v>
      </c>
    </row>
    <row r="8417" spans="1:2" ht="18">
      <c r="A8417" s="95" t="s">
        <v>6808</v>
      </c>
      <c r="B8417" s="1" t="s">
        <v>7110</v>
      </c>
    </row>
    <row r="8418" spans="1:2" ht="18">
      <c r="A8418" s="95" t="s">
        <v>6807</v>
      </c>
      <c r="B8418" s="1" t="s">
        <v>7110</v>
      </c>
    </row>
    <row r="8419" spans="1:2" ht="18">
      <c r="A8419" s="95" t="s">
        <v>6809</v>
      </c>
      <c r="B8419" s="1" t="s">
        <v>7110</v>
      </c>
    </row>
    <row r="8420" spans="1:2" ht="18">
      <c r="A8420" s="95" t="s">
        <v>6810</v>
      </c>
      <c r="B8420" s="1" t="s">
        <v>7110</v>
      </c>
    </row>
    <row r="8421" spans="1:2" ht="18">
      <c r="A8421" s="95" t="s">
        <v>6811</v>
      </c>
      <c r="B8421" s="1" t="s">
        <v>7110</v>
      </c>
    </row>
    <row r="8422" spans="1:2" ht="18">
      <c r="A8422" s="95" t="s">
        <v>6812</v>
      </c>
      <c r="B8422" s="1" t="s">
        <v>7110</v>
      </c>
    </row>
    <row r="8423" spans="1:2" ht="18">
      <c r="A8423" s="95" t="s">
        <v>6813</v>
      </c>
      <c r="B8423" s="1" t="s">
        <v>7110</v>
      </c>
    </row>
    <row r="8424" spans="1:2" ht="18">
      <c r="A8424" s="95" t="s">
        <v>6814</v>
      </c>
      <c r="B8424" s="1" t="s">
        <v>7110</v>
      </c>
    </row>
    <row r="8425" spans="1:2" ht="18">
      <c r="A8425" s="95" t="s">
        <v>6815</v>
      </c>
      <c r="B8425" s="1" t="s">
        <v>7110</v>
      </c>
    </row>
    <row r="8426" spans="1:2" ht="18">
      <c r="A8426" s="95" t="s">
        <v>6816</v>
      </c>
      <c r="B8426" s="1" t="s">
        <v>7110</v>
      </c>
    </row>
    <row r="8427" spans="1:2" ht="18">
      <c r="A8427" s="95" t="s">
        <v>6817</v>
      </c>
      <c r="B8427" s="1" t="s">
        <v>7110</v>
      </c>
    </row>
    <row r="8428" spans="1:2" ht="18">
      <c r="A8428" s="95" t="s">
        <v>6818</v>
      </c>
      <c r="B8428" s="1" t="s">
        <v>7110</v>
      </c>
    </row>
    <row r="8429" spans="1:2" ht="18">
      <c r="A8429" s="95" t="s">
        <v>6819</v>
      </c>
      <c r="B8429" s="1" t="s">
        <v>7110</v>
      </c>
    </row>
    <row r="8430" spans="1:2" ht="18">
      <c r="A8430" s="95" t="s">
        <v>6819</v>
      </c>
      <c r="B8430" s="1" t="s">
        <v>7110</v>
      </c>
    </row>
    <row r="8431" spans="1:2" ht="18">
      <c r="A8431" s="95" t="s">
        <v>6820</v>
      </c>
      <c r="B8431" s="1" t="s">
        <v>7110</v>
      </c>
    </row>
    <row r="8432" spans="1:2" ht="18">
      <c r="A8432" s="95" t="s">
        <v>6821</v>
      </c>
      <c r="B8432" s="1" t="s">
        <v>7110</v>
      </c>
    </row>
    <row r="8433" spans="1:2" ht="18">
      <c r="A8433" s="95" t="s">
        <v>6822</v>
      </c>
      <c r="B8433" s="1" t="s">
        <v>7110</v>
      </c>
    </row>
    <row r="8434" spans="1:2" ht="18">
      <c r="A8434" s="95" t="s">
        <v>6799</v>
      </c>
      <c r="B8434" s="1" t="s">
        <v>7110</v>
      </c>
    </row>
    <row r="8435" spans="1:2" ht="18">
      <c r="A8435" s="95" t="s">
        <v>6819</v>
      </c>
      <c r="B8435" s="1" t="s">
        <v>7110</v>
      </c>
    </row>
    <row r="8436" spans="1:2" ht="18">
      <c r="A8436" s="95" t="s">
        <v>6799</v>
      </c>
      <c r="B8436" s="1" t="s">
        <v>7110</v>
      </c>
    </row>
    <row r="8437" spans="1:2" ht="18">
      <c r="A8437" s="95" t="s">
        <v>6823</v>
      </c>
      <c r="B8437" s="1" t="s">
        <v>7110</v>
      </c>
    </row>
    <row r="8438" spans="1:2" ht="18">
      <c r="A8438" s="95" t="s">
        <v>6823</v>
      </c>
      <c r="B8438" s="1" t="s">
        <v>7110</v>
      </c>
    </row>
    <row r="8439" spans="1:2" ht="18">
      <c r="A8439" s="95" t="s">
        <v>6783</v>
      </c>
      <c r="B8439" s="1" t="s">
        <v>7110</v>
      </c>
    </row>
    <row r="8440" spans="1:2" ht="18">
      <c r="A8440" s="95" t="s">
        <v>6824</v>
      </c>
      <c r="B8440" s="1" t="s">
        <v>7110</v>
      </c>
    </row>
    <row r="8441" spans="1:2" ht="18">
      <c r="A8441" s="95" t="s">
        <v>6801</v>
      </c>
      <c r="B8441" s="1" t="s">
        <v>7110</v>
      </c>
    </row>
    <row r="8442" spans="1:2" ht="18">
      <c r="A8442" s="95" t="s">
        <v>6800</v>
      </c>
      <c r="B8442" s="1" t="s">
        <v>7110</v>
      </c>
    </row>
    <row r="8443" spans="1:2" ht="18">
      <c r="A8443" s="95" t="s">
        <v>6825</v>
      </c>
      <c r="B8443" s="1" t="s">
        <v>7110</v>
      </c>
    </row>
    <row r="8444" spans="1:2" ht="18">
      <c r="A8444" s="95" t="s">
        <v>6825</v>
      </c>
      <c r="B8444" s="1" t="s">
        <v>7110</v>
      </c>
    </row>
    <row r="8445" spans="1:2" ht="18">
      <c r="A8445" s="95" t="s">
        <v>6810</v>
      </c>
      <c r="B8445" s="1" t="s">
        <v>7110</v>
      </c>
    </row>
    <row r="8446" spans="1:2" ht="18">
      <c r="A8446" s="95" t="s">
        <v>6825</v>
      </c>
      <c r="B8446" s="1" t="s">
        <v>7110</v>
      </c>
    </row>
    <row r="8447" spans="1:2" ht="18">
      <c r="A8447" s="95" t="s">
        <v>6826</v>
      </c>
      <c r="B8447" s="1" t="s">
        <v>7110</v>
      </c>
    </row>
    <row r="8448" spans="1:2" ht="18">
      <c r="A8448" s="95" t="s">
        <v>6827</v>
      </c>
      <c r="B8448" s="1" t="s">
        <v>7110</v>
      </c>
    </row>
    <row r="8449" spans="1:2" ht="18">
      <c r="A8449" s="95" t="s">
        <v>6807</v>
      </c>
      <c r="B8449" s="1" t="s">
        <v>7110</v>
      </c>
    </row>
    <row r="8450" spans="1:2" ht="18">
      <c r="A8450" s="95" t="s">
        <v>6810</v>
      </c>
      <c r="B8450" s="1" t="s">
        <v>7110</v>
      </c>
    </row>
    <row r="8451" spans="1:2" ht="18">
      <c r="A8451" s="95" t="s">
        <v>6812</v>
      </c>
      <c r="B8451" s="1" t="s">
        <v>7110</v>
      </c>
    </row>
    <row r="8452" spans="1:2" ht="18">
      <c r="A8452" s="95" t="s">
        <v>6812</v>
      </c>
      <c r="B8452" s="1" t="s">
        <v>7110</v>
      </c>
    </row>
    <row r="8453" spans="1:2" ht="18">
      <c r="A8453" s="95" t="s">
        <v>6812</v>
      </c>
      <c r="B8453" s="1" t="s">
        <v>7110</v>
      </c>
    </row>
    <row r="8454" spans="1:2" ht="18">
      <c r="A8454" s="95" t="s">
        <v>6827</v>
      </c>
      <c r="B8454" s="1" t="s">
        <v>7110</v>
      </c>
    </row>
    <row r="8455" spans="1:2" ht="18">
      <c r="A8455" s="95" t="s">
        <v>6812</v>
      </c>
      <c r="B8455" s="1" t="s">
        <v>7110</v>
      </c>
    </row>
    <row r="8456" spans="1:2" ht="18">
      <c r="A8456" s="95" t="s">
        <v>6812</v>
      </c>
      <c r="B8456" s="1" t="s">
        <v>7110</v>
      </c>
    </row>
    <row r="8457" spans="1:2" ht="18">
      <c r="A8457" s="95" t="s">
        <v>6828</v>
      </c>
      <c r="B8457" s="1" t="s">
        <v>7110</v>
      </c>
    </row>
    <row r="8458" spans="1:2" ht="18">
      <c r="A8458" s="95" t="s">
        <v>6829</v>
      </c>
      <c r="B8458" s="1" t="s">
        <v>7110</v>
      </c>
    </row>
    <row r="8459" spans="1:2" ht="18">
      <c r="A8459" s="95" t="s">
        <v>6811</v>
      </c>
      <c r="B8459" s="1" t="s">
        <v>7110</v>
      </c>
    </row>
    <row r="8460" spans="1:2" ht="18">
      <c r="A8460" s="95" t="s">
        <v>6828</v>
      </c>
      <c r="B8460" s="1" t="s">
        <v>7110</v>
      </c>
    </row>
    <row r="8461" spans="1:2" ht="18">
      <c r="A8461" s="95" t="s">
        <v>6829</v>
      </c>
      <c r="B8461" s="1" t="s">
        <v>7110</v>
      </c>
    </row>
    <row r="8462" spans="1:2" ht="18">
      <c r="A8462" s="95" t="s">
        <v>6830</v>
      </c>
      <c r="B8462" s="1" t="s">
        <v>7110</v>
      </c>
    </row>
    <row r="8463" spans="1:2" ht="18">
      <c r="A8463" s="95" t="s">
        <v>6831</v>
      </c>
      <c r="B8463" s="1" t="s">
        <v>7110</v>
      </c>
    </row>
    <row r="8464" spans="1:2" ht="18">
      <c r="A8464" s="95" t="s">
        <v>6831</v>
      </c>
      <c r="B8464" s="1" t="s">
        <v>7110</v>
      </c>
    </row>
    <row r="8465" spans="1:2" ht="18">
      <c r="A8465" s="95" t="s">
        <v>6830</v>
      </c>
      <c r="B8465" s="1" t="s">
        <v>7110</v>
      </c>
    </row>
    <row r="8466" spans="1:2" ht="18">
      <c r="A8466" s="95" t="s">
        <v>6830</v>
      </c>
      <c r="B8466" s="1" t="s">
        <v>7110</v>
      </c>
    </row>
    <row r="8467" spans="1:2" ht="18">
      <c r="A8467" s="95" t="s">
        <v>6831</v>
      </c>
      <c r="B8467" s="1" t="s">
        <v>7110</v>
      </c>
    </row>
    <row r="8468" spans="1:2" ht="18">
      <c r="A8468" s="95" t="s">
        <v>6831</v>
      </c>
      <c r="B8468" s="1" t="s">
        <v>7110</v>
      </c>
    </row>
    <row r="8469" spans="1:2" ht="18">
      <c r="A8469" s="95" t="s">
        <v>6829</v>
      </c>
      <c r="B8469" s="1" t="s">
        <v>7110</v>
      </c>
    </row>
    <row r="8470" spans="1:2" ht="18">
      <c r="A8470" s="95" t="s">
        <v>6814</v>
      </c>
      <c r="B8470" s="1" t="s">
        <v>7110</v>
      </c>
    </row>
    <row r="8471" spans="1:2" ht="18">
      <c r="A8471" s="95" t="s">
        <v>6813</v>
      </c>
      <c r="B8471" s="1" t="s">
        <v>7110</v>
      </c>
    </row>
    <row r="8472" spans="1:2" ht="18">
      <c r="A8472" s="95" t="s">
        <v>6813</v>
      </c>
      <c r="B8472" s="1" t="s">
        <v>7110</v>
      </c>
    </row>
    <row r="8473" spans="1:2" ht="18">
      <c r="A8473" s="95" t="s">
        <v>6813</v>
      </c>
      <c r="B8473" s="1" t="s">
        <v>7110</v>
      </c>
    </row>
    <row r="8474" spans="1:2" ht="18">
      <c r="A8474" s="95" t="s">
        <v>6798</v>
      </c>
      <c r="B8474" s="1" t="s">
        <v>7110</v>
      </c>
    </row>
    <row r="8475" spans="1:2" ht="18">
      <c r="A8475" s="95" t="s">
        <v>6815</v>
      </c>
      <c r="B8475" s="1" t="s">
        <v>7110</v>
      </c>
    </row>
    <row r="8476" spans="1:2" ht="18">
      <c r="A8476" s="95" t="s">
        <v>6798</v>
      </c>
      <c r="B8476" s="1" t="s">
        <v>7110</v>
      </c>
    </row>
    <row r="8477" spans="1:2" ht="18">
      <c r="A8477" s="95" t="s">
        <v>6798</v>
      </c>
      <c r="B8477" s="1" t="s">
        <v>7110</v>
      </c>
    </row>
    <row r="8478" spans="1:2" ht="18">
      <c r="A8478" s="95" t="s">
        <v>6798</v>
      </c>
      <c r="B8478" s="1" t="s">
        <v>7110</v>
      </c>
    </row>
    <row r="8479" spans="1:2" ht="18">
      <c r="A8479" s="95" t="s">
        <v>6818</v>
      </c>
      <c r="B8479" s="1" t="s">
        <v>7110</v>
      </c>
    </row>
    <row r="8480" spans="1:2" ht="18">
      <c r="A8480" s="95" t="s">
        <v>6820</v>
      </c>
      <c r="B8480" s="1" t="s">
        <v>7110</v>
      </c>
    </row>
    <row r="8481" spans="1:2" ht="18">
      <c r="A8481" s="95" t="s">
        <v>6816</v>
      </c>
      <c r="B8481" s="1" t="s">
        <v>7110</v>
      </c>
    </row>
    <row r="8482" spans="1:2" ht="18">
      <c r="A8482" s="95" t="s">
        <v>6832</v>
      </c>
      <c r="B8482" s="1" t="s">
        <v>7110</v>
      </c>
    </row>
    <row r="8483" spans="1:2" ht="18">
      <c r="A8483" s="95" t="s">
        <v>6819</v>
      </c>
      <c r="B8483" s="1" t="s">
        <v>7110</v>
      </c>
    </row>
    <row r="8484" spans="1:2" ht="18">
      <c r="A8484" s="95" t="s">
        <v>6817</v>
      </c>
      <c r="B8484" s="1" t="s">
        <v>7110</v>
      </c>
    </row>
    <row r="8485" spans="1:2" ht="18">
      <c r="A8485" s="95" t="s">
        <v>6819</v>
      </c>
      <c r="B8485" s="1" t="s">
        <v>7110</v>
      </c>
    </row>
    <row r="8486" spans="1:2" ht="18">
      <c r="A8486" s="95" t="s">
        <v>6833</v>
      </c>
      <c r="B8486" s="1" t="s">
        <v>7110</v>
      </c>
    </row>
    <row r="8487" spans="1:2" ht="18">
      <c r="A8487" s="95" t="s">
        <v>6799</v>
      </c>
      <c r="B8487" s="1" t="s">
        <v>7110</v>
      </c>
    </row>
    <row r="8488" spans="1:2" ht="18">
      <c r="A8488" s="95" t="s">
        <v>6799</v>
      </c>
      <c r="B8488" s="1" t="s">
        <v>7110</v>
      </c>
    </row>
    <row r="8489" spans="1:2" ht="18">
      <c r="A8489" s="95" t="s">
        <v>6822</v>
      </c>
      <c r="B8489" s="1" t="s">
        <v>7110</v>
      </c>
    </row>
    <row r="8490" spans="1:2" ht="18">
      <c r="A8490" s="95" t="s">
        <v>6832</v>
      </c>
      <c r="B8490" s="1" t="s">
        <v>7110</v>
      </c>
    </row>
    <row r="8491" spans="1:2" ht="18">
      <c r="A8491" s="95" t="s">
        <v>6798</v>
      </c>
      <c r="B8491" s="1" t="s">
        <v>7110</v>
      </c>
    </row>
    <row r="8492" spans="1:2" ht="18">
      <c r="A8492" s="95" t="s">
        <v>6822</v>
      </c>
      <c r="B8492" s="1" t="s">
        <v>7110</v>
      </c>
    </row>
    <row r="8493" spans="1:2" ht="18">
      <c r="A8493" s="95" t="s">
        <v>6834</v>
      </c>
      <c r="B8493" s="1" t="s">
        <v>7110</v>
      </c>
    </row>
    <row r="8494" spans="1:2" ht="18">
      <c r="A8494" s="95" t="s">
        <v>6799</v>
      </c>
      <c r="B8494" s="1" t="s">
        <v>7110</v>
      </c>
    </row>
    <row r="8495" spans="1:2" ht="18">
      <c r="A8495" s="95" t="s">
        <v>6835</v>
      </c>
      <c r="B8495" s="1" t="s">
        <v>7110</v>
      </c>
    </row>
    <row r="8496" spans="1:2" ht="18">
      <c r="A8496" s="95" t="s">
        <v>6836</v>
      </c>
      <c r="B8496" s="1" t="s">
        <v>7110</v>
      </c>
    </row>
    <row r="8497" spans="1:2" ht="18">
      <c r="A8497" s="95" t="s">
        <v>6809</v>
      </c>
      <c r="B8497" s="1" t="s">
        <v>7110</v>
      </c>
    </row>
    <row r="8498" spans="1:2" ht="18">
      <c r="A8498" s="95" t="s">
        <v>6783</v>
      </c>
      <c r="B8498" s="1" t="s">
        <v>7110</v>
      </c>
    </row>
    <row r="8499" spans="1:2" ht="18">
      <c r="A8499" s="95" t="s">
        <v>6800</v>
      </c>
      <c r="B8499" s="1" t="s">
        <v>7110</v>
      </c>
    </row>
    <row r="8500" spans="1:2" ht="18">
      <c r="A8500" s="95" t="s">
        <v>6837</v>
      </c>
      <c r="B8500" s="1" t="s">
        <v>7110</v>
      </c>
    </row>
    <row r="8501" spans="1:2" ht="18">
      <c r="A8501" s="95" t="s">
        <v>6838</v>
      </c>
      <c r="B8501" s="1" t="s">
        <v>7110</v>
      </c>
    </row>
    <row r="8502" spans="1:2" ht="18">
      <c r="A8502" s="95" t="s">
        <v>6826</v>
      </c>
      <c r="B8502" s="1" t="s">
        <v>7110</v>
      </c>
    </row>
    <row r="8503" spans="1:2" ht="18">
      <c r="A8503" s="95" t="s">
        <v>6839</v>
      </c>
      <c r="B8503" s="1" t="s">
        <v>7110</v>
      </c>
    </row>
    <row r="8504" spans="1:2" ht="18">
      <c r="A8504" s="95" t="s">
        <v>6784</v>
      </c>
      <c r="B8504" s="1" t="s">
        <v>7110</v>
      </c>
    </row>
    <row r="8505" spans="1:2" ht="18">
      <c r="A8505" s="95" t="s">
        <v>6808</v>
      </c>
      <c r="B8505" s="1" t="s">
        <v>7110</v>
      </c>
    </row>
    <row r="8506" spans="1:2" ht="18">
      <c r="A8506" s="95" t="s">
        <v>6836</v>
      </c>
      <c r="B8506" s="1" t="s">
        <v>7110</v>
      </c>
    </row>
    <row r="8507" spans="1:2" ht="18">
      <c r="A8507" s="95" t="s">
        <v>6836</v>
      </c>
      <c r="B8507" s="1" t="s">
        <v>7110</v>
      </c>
    </row>
    <row r="8508" spans="1:2" ht="18">
      <c r="A8508" s="95" t="s">
        <v>6840</v>
      </c>
      <c r="B8508" s="1" t="s">
        <v>7110</v>
      </c>
    </row>
    <row r="8509" spans="1:2" ht="18">
      <c r="A8509" s="95" t="s">
        <v>6841</v>
      </c>
      <c r="B8509" s="1" t="s">
        <v>7110</v>
      </c>
    </row>
    <row r="8510" spans="1:2" ht="18">
      <c r="A8510" s="95" t="s">
        <v>6834</v>
      </c>
      <c r="B8510" s="1" t="s">
        <v>7110</v>
      </c>
    </row>
    <row r="8511" spans="1:2" ht="18">
      <c r="A8511" s="95" t="s">
        <v>6805</v>
      </c>
      <c r="B8511" s="1" t="s">
        <v>7110</v>
      </c>
    </row>
    <row r="8512" spans="1:2" ht="18">
      <c r="A8512" s="95" t="s">
        <v>6802</v>
      </c>
      <c r="B8512" s="1" t="s">
        <v>7110</v>
      </c>
    </row>
    <row r="8513" spans="1:2" ht="18">
      <c r="A8513" s="95" t="s">
        <v>6842</v>
      </c>
      <c r="B8513" s="1" t="s">
        <v>7110</v>
      </c>
    </row>
    <row r="8514" spans="1:2" ht="18">
      <c r="A8514" s="95" t="s">
        <v>6842</v>
      </c>
      <c r="B8514" s="1" t="s">
        <v>7110</v>
      </c>
    </row>
    <row r="8515" spans="1:2" ht="18">
      <c r="A8515" s="95" t="s">
        <v>6824</v>
      </c>
      <c r="B8515" s="1" t="s">
        <v>7110</v>
      </c>
    </row>
    <row r="8516" spans="1:2" ht="18">
      <c r="A8516" s="95" t="s">
        <v>6842</v>
      </c>
      <c r="B8516" s="1" t="s">
        <v>7110</v>
      </c>
    </row>
    <row r="8517" spans="1:2" ht="18">
      <c r="A8517" s="95" t="s">
        <v>6843</v>
      </c>
      <c r="B8517" s="1" t="s">
        <v>7110</v>
      </c>
    </row>
    <row r="8518" spans="1:2" ht="18">
      <c r="A8518" s="95" t="s">
        <v>6840</v>
      </c>
      <c r="B8518" s="1" t="s">
        <v>7110</v>
      </c>
    </row>
    <row r="8519" spans="1:2" ht="18">
      <c r="A8519" s="95" t="s">
        <v>6844</v>
      </c>
      <c r="B8519" s="1" t="s">
        <v>7110</v>
      </c>
    </row>
    <row r="8520" spans="1:2" ht="18">
      <c r="A8520" s="95" t="s">
        <v>6845</v>
      </c>
      <c r="B8520" s="1" t="s">
        <v>7110</v>
      </c>
    </row>
    <row r="8521" spans="1:2" ht="18">
      <c r="A8521" s="95" t="s">
        <v>6846</v>
      </c>
      <c r="B8521" s="1" t="s">
        <v>7110</v>
      </c>
    </row>
    <row r="8522" spans="1:2" ht="18">
      <c r="A8522" s="95" t="s">
        <v>6845</v>
      </c>
      <c r="B8522" s="1" t="s">
        <v>7110</v>
      </c>
    </row>
    <row r="8523" spans="1:2" ht="18">
      <c r="A8523" s="95" t="s">
        <v>6846</v>
      </c>
      <c r="B8523" s="1" t="s">
        <v>7110</v>
      </c>
    </row>
    <row r="8524" spans="1:2" ht="18">
      <c r="A8524" s="95" t="s">
        <v>6845</v>
      </c>
      <c r="B8524" s="1" t="s">
        <v>7110</v>
      </c>
    </row>
    <row r="8525" spans="1:2" ht="18">
      <c r="A8525" s="95" t="s">
        <v>6845</v>
      </c>
      <c r="B8525" s="1" t="s">
        <v>7110</v>
      </c>
    </row>
    <row r="8526" spans="1:2" ht="18">
      <c r="A8526" s="95" t="s">
        <v>6846</v>
      </c>
      <c r="B8526" s="1" t="s">
        <v>7110</v>
      </c>
    </row>
    <row r="8527" spans="1:2" ht="18">
      <c r="A8527" s="95" t="s">
        <v>6847</v>
      </c>
      <c r="B8527" s="1" t="s">
        <v>7110</v>
      </c>
    </row>
    <row r="8528" spans="1:2" ht="18">
      <c r="A8528" s="95" t="s">
        <v>6846</v>
      </c>
      <c r="B8528" s="1" t="s">
        <v>7110</v>
      </c>
    </row>
    <row r="8529" spans="1:2" ht="18">
      <c r="A8529" s="95" t="s">
        <v>6848</v>
      </c>
      <c r="B8529" s="1" t="s">
        <v>7110</v>
      </c>
    </row>
    <row r="8530" spans="1:2" ht="18">
      <c r="A8530" s="95" t="s">
        <v>6846</v>
      </c>
      <c r="B8530" s="1" t="s">
        <v>7110</v>
      </c>
    </row>
    <row r="8531" spans="1:2" ht="18">
      <c r="A8531" s="95" t="s">
        <v>6847</v>
      </c>
      <c r="B8531" s="1" t="s">
        <v>7110</v>
      </c>
    </row>
    <row r="8532" spans="1:2" ht="18">
      <c r="A8532" s="95" t="s">
        <v>6846</v>
      </c>
      <c r="B8532" s="1" t="s">
        <v>7110</v>
      </c>
    </row>
    <row r="8533" spans="1:2" ht="18">
      <c r="A8533" s="95" t="s">
        <v>6846</v>
      </c>
      <c r="B8533" s="1" t="s">
        <v>7110</v>
      </c>
    </row>
    <row r="8534" spans="1:2" ht="18">
      <c r="A8534" s="95" t="s">
        <v>6848</v>
      </c>
      <c r="B8534" s="1" t="s">
        <v>7110</v>
      </c>
    </row>
    <row r="8535" spans="1:2" ht="18">
      <c r="A8535" s="95" t="s">
        <v>6848</v>
      </c>
      <c r="B8535" s="1" t="s">
        <v>7110</v>
      </c>
    </row>
    <row r="8536" spans="1:2" ht="18">
      <c r="A8536" s="95" t="s">
        <v>6848</v>
      </c>
      <c r="B8536" s="1" t="s">
        <v>7110</v>
      </c>
    </row>
    <row r="8537" spans="1:2" ht="18">
      <c r="A8537" s="95" t="s">
        <v>6846</v>
      </c>
      <c r="B8537" s="1" t="s">
        <v>7110</v>
      </c>
    </row>
    <row r="8538" spans="1:2" ht="18">
      <c r="A8538" s="95" t="s">
        <v>6847</v>
      </c>
      <c r="B8538" s="1" t="s">
        <v>7110</v>
      </c>
    </row>
    <row r="8539" spans="1:2" ht="18">
      <c r="A8539" s="95" t="s">
        <v>6837</v>
      </c>
      <c r="B8539" s="1" t="s">
        <v>7110</v>
      </c>
    </row>
    <row r="8540" spans="1:2" ht="18">
      <c r="A8540" s="95" t="s">
        <v>6849</v>
      </c>
      <c r="B8540" s="1" t="s">
        <v>7110</v>
      </c>
    </row>
    <row r="8541" spans="1:2" ht="18">
      <c r="A8541" s="95" t="s">
        <v>6850</v>
      </c>
      <c r="B8541" s="1" t="s">
        <v>7110</v>
      </c>
    </row>
    <row r="8542" spans="1:2" ht="18">
      <c r="A8542" s="95" t="s">
        <v>6851</v>
      </c>
      <c r="B8542" s="1" t="s">
        <v>7110</v>
      </c>
    </row>
    <row r="8543" spans="1:2" ht="18">
      <c r="A8543" s="95" t="s">
        <v>6852</v>
      </c>
      <c r="B8543" s="1" t="s">
        <v>7110</v>
      </c>
    </row>
    <row r="8544" spans="1:2" ht="18">
      <c r="A8544" s="95" t="s">
        <v>6840</v>
      </c>
      <c r="B8544" s="1" t="s">
        <v>7110</v>
      </c>
    </row>
    <row r="8545" spans="1:2" ht="18">
      <c r="A8545" s="95" t="s">
        <v>6841</v>
      </c>
      <c r="B8545" s="1" t="s">
        <v>7110</v>
      </c>
    </row>
    <row r="8546" spans="1:2" ht="18">
      <c r="A8546" s="95" t="s">
        <v>6853</v>
      </c>
      <c r="B8546" s="1" t="s">
        <v>7110</v>
      </c>
    </row>
    <row r="8547" spans="1:2" ht="18">
      <c r="A8547" s="95" t="s">
        <v>6854</v>
      </c>
      <c r="B8547" s="1" t="s">
        <v>7110</v>
      </c>
    </row>
    <row r="8548" spans="1:2" ht="18">
      <c r="A8548" s="95" t="s">
        <v>6855</v>
      </c>
      <c r="B8548" s="1" t="s">
        <v>7110</v>
      </c>
    </row>
    <row r="8549" spans="1:2" ht="18">
      <c r="A8549" s="95" t="s">
        <v>6837</v>
      </c>
      <c r="B8549" s="1" t="s">
        <v>7110</v>
      </c>
    </row>
    <row r="8550" spans="1:2" ht="18">
      <c r="A8550" s="95" t="s">
        <v>6856</v>
      </c>
      <c r="B8550" s="1" t="s">
        <v>7110</v>
      </c>
    </row>
    <row r="8551" spans="1:2" ht="18">
      <c r="A8551" s="95" t="s">
        <v>6840</v>
      </c>
      <c r="B8551" s="1" t="s">
        <v>7110</v>
      </c>
    </row>
    <row r="8552" spans="1:2" ht="18">
      <c r="A8552" s="95" t="s">
        <v>6837</v>
      </c>
      <c r="B8552" s="1" t="s">
        <v>7110</v>
      </c>
    </row>
    <row r="8553" spans="1:2" ht="18">
      <c r="A8553" s="95" t="s">
        <v>6857</v>
      </c>
      <c r="B8553" s="1" t="s">
        <v>7110</v>
      </c>
    </row>
    <row r="8554" spans="1:2" ht="18">
      <c r="A8554" s="95" t="s">
        <v>6849</v>
      </c>
      <c r="B8554" s="1" t="s">
        <v>7110</v>
      </c>
    </row>
    <row r="8555" spans="1:2" ht="18">
      <c r="A8555" s="95" t="s">
        <v>6858</v>
      </c>
      <c r="B8555" s="1" t="s">
        <v>7110</v>
      </c>
    </row>
    <row r="8556" spans="1:2" ht="18">
      <c r="A8556" s="95" t="s">
        <v>6859</v>
      </c>
      <c r="B8556" s="1" t="s">
        <v>7110</v>
      </c>
    </row>
    <row r="8557" spans="1:2" ht="18">
      <c r="A8557" s="95" t="s">
        <v>6860</v>
      </c>
      <c r="B8557" s="1" t="s">
        <v>7110</v>
      </c>
    </row>
    <row r="8558" spans="1:2" ht="18">
      <c r="A8558" s="95" t="s">
        <v>6861</v>
      </c>
      <c r="B8558" s="1" t="s">
        <v>7110</v>
      </c>
    </row>
    <row r="8559" spans="1:2" ht="18">
      <c r="A8559" s="95" t="s">
        <v>6862</v>
      </c>
      <c r="B8559" s="1" t="s">
        <v>7110</v>
      </c>
    </row>
    <row r="8560" spans="1:2" ht="18">
      <c r="A8560" s="95" t="s">
        <v>6863</v>
      </c>
      <c r="B8560" s="1" t="s">
        <v>7110</v>
      </c>
    </row>
    <row r="8561" spans="1:2" ht="18">
      <c r="A8561" s="95" t="s">
        <v>6864</v>
      </c>
      <c r="B8561" s="1" t="s">
        <v>7110</v>
      </c>
    </row>
    <row r="8562" spans="1:2" ht="18">
      <c r="A8562" s="95" t="s">
        <v>6864</v>
      </c>
      <c r="B8562" s="1" t="s">
        <v>7110</v>
      </c>
    </row>
    <row r="8563" spans="1:2" ht="18">
      <c r="A8563" s="95" t="s">
        <v>6863</v>
      </c>
      <c r="B8563" s="1" t="s">
        <v>7110</v>
      </c>
    </row>
    <row r="8564" spans="1:2" ht="18">
      <c r="A8564" s="95" t="s">
        <v>6865</v>
      </c>
      <c r="B8564" s="1" t="s">
        <v>7110</v>
      </c>
    </row>
    <row r="8565" spans="1:2" ht="18">
      <c r="A8565" s="95" t="s">
        <v>6866</v>
      </c>
      <c r="B8565" s="1" t="s">
        <v>7110</v>
      </c>
    </row>
    <row r="8566" spans="1:2" ht="18">
      <c r="A8566" s="95" t="s">
        <v>6858</v>
      </c>
      <c r="B8566" s="1" t="s">
        <v>7110</v>
      </c>
    </row>
    <row r="8567" spans="1:2" ht="18">
      <c r="A8567" s="95" t="s">
        <v>6867</v>
      </c>
      <c r="B8567" s="1" t="s">
        <v>7110</v>
      </c>
    </row>
    <row r="8568" spans="1:2" ht="18">
      <c r="A8568" s="95" t="s">
        <v>6868</v>
      </c>
      <c r="B8568" s="1" t="s">
        <v>7110</v>
      </c>
    </row>
    <row r="8569" spans="1:2" ht="18">
      <c r="A8569" s="95" t="s">
        <v>6867</v>
      </c>
      <c r="B8569" s="1" t="s">
        <v>7110</v>
      </c>
    </row>
    <row r="8570" spans="1:2" ht="18">
      <c r="A8570" s="95" t="s">
        <v>6867</v>
      </c>
      <c r="B8570" s="1" t="s">
        <v>7110</v>
      </c>
    </row>
    <row r="8571" spans="1:2" ht="18">
      <c r="A8571" s="95" t="s">
        <v>6864</v>
      </c>
      <c r="B8571" s="1" t="s">
        <v>7110</v>
      </c>
    </row>
    <row r="8572" spans="1:2" ht="18">
      <c r="A8572" s="95" t="s">
        <v>6869</v>
      </c>
      <c r="B8572" s="1" t="s">
        <v>7110</v>
      </c>
    </row>
    <row r="8573" spans="1:2" ht="18">
      <c r="A8573" s="95" t="s">
        <v>6870</v>
      </c>
      <c r="B8573" s="1" t="s">
        <v>7110</v>
      </c>
    </row>
    <row r="8574" spans="1:2" ht="18">
      <c r="A8574" s="95" t="s">
        <v>6868</v>
      </c>
      <c r="B8574" s="1" t="s">
        <v>7110</v>
      </c>
    </row>
    <row r="8575" spans="1:2" ht="18">
      <c r="A8575" s="95" t="s">
        <v>6865</v>
      </c>
      <c r="B8575" s="1" t="s">
        <v>7110</v>
      </c>
    </row>
    <row r="8576" spans="1:2" ht="18">
      <c r="A8576" s="95" t="s">
        <v>6840</v>
      </c>
      <c r="B8576" s="1" t="s">
        <v>7110</v>
      </c>
    </row>
    <row r="8577" spans="1:2" ht="18">
      <c r="A8577" s="95" t="s">
        <v>6858</v>
      </c>
      <c r="B8577" s="1" t="s">
        <v>7110</v>
      </c>
    </row>
    <row r="8578" spans="1:2" ht="18">
      <c r="A8578" s="95" t="s">
        <v>6867</v>
      </c>
      <c r="B8578" s="1" t="s">
        <v>7110</v>
      </c>
    </row>
    <row r="8579" spans="1:2" ht="18">
      <c r="A8579" s="95" t="s">
        <v>6861</v>
      </c>
      <c r="B8579" s="1" t="s">
        <v>7110</v>
      </c>
    </row>
    <row r="8580" spans="1:2" ht="18">
      <c r="A8580" s="95" t="s">
        <v>6859</v>
      </c>
      <c r="B8580" s="1" t="s">
        <v>7110</v>
      </c>
    </row>
    <row r="8581" spans="1:2" ht="18">
      <c r="A8581" s="95" t="s">
        <v>6871</v>
      </c>
      <c r="B8581" s="1" t="s">
        <v>7110</v>
      </c>
    </row>
    <row r="8582" spans="1:2" ht="18">
      <c r="A8582" s="95" t="s">
        <v>6872</v>
      </c>
      <c r="B8582" s="1" t="s">
        <v>7110</v>
      </c>
    </row>
    <row r="8583" spans="1:2" ht="18">
      <c r="A8583" s="95" t="s">
        <v>6873</v>
      </c>
      <c r="B8583" s="1" t="s">
        <v>7110</v>
      </c>
    </row>
    <row r="8584" spans="1:2" ht="18">
      <c r="A8584" s="95" t="s">
        <v>6867</v>
      </c>
      <c r="B8584" s="1" t="s">
        <v>7110</v>
      </c>
    </row>
    <row r="8585" spans="1:2" ht="18">
      <c r="A8585" s="95" t="s">
        <v>6861</v>
      </c>
      <c r="B8585" s="1" t="s">
        <v>7110</v>
      </c>
    </row>
    <row r="8586" spans="1:2" ht="18">
      <c r="A8586" s="95" t="s">
        <v>6874</v>
      </c>
      <c r="B8586" s="1" t="s">
        <v>7110</v>
      </c>
    </row>
    <row r="8587" spans="1:2" ht="18">
      <c r="A8587" s="95" t="s">
        <v>6875</v>
      </c>
      <c r="B8587" s="1" t="s">
        <v>7110</v>
      </c>
    </row>
    <row r="8588" spans="1:2" ht="18">
      <c r="A8588" s="95" t="s">
        <v>6859</v>
      </c>
      <c r="B8588" s="1" t="s">
        <v>7110</v>
      </c>
    </row>
    <row r="8589" spans="1:2" ht="18">
      <c r="A8589" s="95" t="s">
        <v>6874</v>
      </c>
      <c r="B8589" s="1" t="s">
        <v>7110</v>
      </c>
    </row>
    <row r="8590" spans="1:2" ht="18">
      <c r="A8590" s="95" t="s">
        <v>6863</v>
      </c>
      <c r="B8590" s="1" t="s">
        <v>7110</v>
      </c>
    </row>
    <row r="8591" spans="1:2" ht="18">
      <c r="A8591" s="95" t="s">
        <v>6863</v>
      </c>
      <c r="B8591" s="1" t="s">
        <v>7110</v>
      </c>
    </row>
    <row r="8592" spans="1:2" ht="18">
      <c r="A8592" s="95" t="s">
        <v>6873</v>
      </c>
      <c r="B8592" s="1" t="s">
        <v>7110</v>
      </c>
    </row>
    <row r="8593" spans="1:2" ht="18">
      <c r="A8593" s="95" t="s">
        <v>6861</v>
      </c>
      <c r="B8593" s="1" t="s">
        <v>7110</v>
      </c>
    </row>
    <row r="8594" spans="1:2" ht="18">
      <c r="A8594" s="95" t="s">
        <v>6863</v>
      </c>
      <c r="B8594" s="1" t="s">
        <v>7110</v>
      </c>
    </row>
    <row r="8595" spans="1:2" ht="18">
      <c r="A8595" s="95" t="s">
        <v>6873</v>
      </c>
      <c r="B8595" s="1" t="s">
        <v>7110</v>
      </c>
    </row>
    <row r="8596" spans="1:2" ht="18">
      <c r="A8596" s="95" t="s">
        <v>6847</v>
      </c>
      <c r="B8596" s="1" t="s">
        <v>7110</v>
      </c>
    </row>
    <row r="8597" spans="1:2" ht="18">
      <c r="A8597" s="95" t="s">
        <v>6847</v>
      </c>
      <c r="B8597" s="1" t="s">
        <v>7110</v>
      </c>
    </row>
    <row r="8598" spans="1:2" ht="18">
      <c r="A8598" s="95" t="s">
        <v>6846</v>
      </c>
      <c r="B8598" s="1" t="s">
        <v>7110</v>
      </c>
    </row>
    <row r="8599" spans="1:2" ht="18">
      <c r="A8599" s="95" t="s">
        <v>6848</v>
      </c>
      <c r="B8599" s="1" t="s">
        <v>7110</v>
      </c>
    </row>
    <row r="8600" spans="1:2" ht="18">
      <c r="A8600" s="95" t="s">
        <v>6846</v>
      </c>
      <c r="B8600" s="1" t="s">
        <v>7110</v>
      </c>
    </row>
    <row r="8601" spans="1:2" ht="18">
      <c r="A8601" s="95" t="s">
        <v>6846</v>
      </c>
      <c r="B8601" s="1" t="s">
        <v>7110</v>
      </c>
    </row>
    <row r="8602" spans="1:2" ht="18">
      <c r="A8602" s="95" t="s">
        <v>6874</v>
      </c>
      <c r="B8602" s="1" t="s">
        <v>7110</v>
      </c>
    </row>
    <row r="8603" spans="1:2" ht="18">
      <c r="A8603" s="95" t="s">
        <v>6876</v>
      </c>
      <c r="B8603" s="1" t="s">
        <v>7110</v>
      </c>
    </row>
    <row r="8604" spans="1:2" ht="18">
      <c r="A8604" s="95" t="s">
        <v>6847</v>
      </c>
      <c r="B8604" s="1" t="s">
        <v>7110</v>
      </c>
    </row>
    <row r="8605" spans="1:2" ht="18">
      <c r="A8605" s="95" t="s">
        <v>6876</v>
      </c>
      <c r="B8605" s="1" t="s">
        <v>7110</v>
      </c>
    </row>
    <row r="8606" spans="1:2" ht="18">
      <c r="A8606" s="95" t="s">
        <v>6876</v>
      </c>
      <c r="B8606" s="1" t="s">
        <v>7110</v>
      </c>
    </row>
    <row r="8607" spans="1:2" ht="18">
      <c r="A8607" s="95" t="s">
        <v>6847</v>
      </c>
      <c r="B8607" s="1" t="s">
        <v>7110</v>
      </c>
    </row>
    <row r="8608" spans="1:2" ht="18">
      <c r="A8608" s="95" t="s">
        <v>6876</v>
      </c>
      <c r="B8608" s="1" t="s">
        <v>7110</v>
      </c>
    </row>
    <row r="8609" spans="1:2" ht="18">
      <c r="A8609" s="95" t="s">
        <v>6847</v>
      </c>
      <c r="B8609" s="1" t="s">
        <v>7110</v>
      </c>
    </row>
    <row r="8610" spans="1:2" ht="18">
      <c r="A8610" s="95" t="s">
        <v>6876</v>
      </c>
      <c r="B8610" s="1" t="s">
        <v>7110</v>
      </c>
    </row>
    <row r="8611" spans="1:2" ht="18">
      <c r="A8611" s="95" t="s">
        <v>6876</v>
      </c>
      <c r="B8611" s="1" t="s">
        <v>7110</v>
      </c>
    </row>
    <row r="8612" spans="1:2" ht="18">
      <c r="A8612" s="95" t="s">
        <v>6876</v>
      </c>
      <c r="B8612" s="1" t="s">
        <v>7110</v>
      </c>
    </row>
    <row r="8613" spans="1:2" ht="18">
      <c r="A8613" s="95" t="s">
        <v>6847</v>
      </c>
      <c r="B8613" s="1" t="s">
        <v>7110</v>
      </c>
    </row>
    <row r="8614" spans="1:2" ht="18">
      <c r="A8614" s="95" t="s">
        <v>6876</v>
      </c>
      <c r="B8614" s="1" t="s">
        <v>7110</v>
      </c>
    </row>
    <row r="8615" spans="1:2" ht="18">
      <c r="A8615" s="95" t="s">
        <v>6876</v>
      </c>
      <c r="B8615" s="1" t="s">
        <v>7110</v>
      </c>
    </row>
    <row r="8616" spans="1:2" ht="18">
      <c r="A8616" s="95" t="s">
        <v>6851</v>
      </c>
      <c r="B8616" s="1" t="s">
        <v>7110</v>
      </c>
    </row>
    <row r="8617" spans="1:2" ht="18">
      <c r="A8617" s="95" t="s">
        <v>6853</v>
      </c>
      <c r="B8617" s="1" t="s">
        <v>7110</v>
      </c>
    </row>
    <row r="8618" spans="1:2" ht="18">
      <c r="A8618" s="95" t="s">
        <v>6870</v>
      </c>
      <c r="B8618" s="1" t="s">
        <v>7110</v>
      </c>
    </row>
    <row r="8619" spans="1:2" ht="18">
      <c r="A8619" s="95" t="s">
        <v>6877</v>
      </c>
      <c r="B8619" s="1" t="s">
        <v>7110</v>
      </c>
    </row>
    <row r="8620" spans="1:2" ht="18">
      <c r="A8620" s="95" t="s">
        <v>6788</v>
      </c>
      <c r="B8620" s="1" t="s">
        <v>7110</v>
      </c>
    </row>
    <row r="8621" spans="1:2" ht="18">
      <c r="A8621" s="95" t="s">
        <v>6873</v>
      </c>
      <c r="B8621" s="1" t="s">
        <v>7110</v>
      </c>
    </row>
    <row r="8622" spans="1:2" ht="18">
      <c r="A8622" s="95" t="s">
        <v>6801</v>
      </c>
      <c r="B8622" s="1" t="s">
        <v>7110</v>
      </c>
    </row>
    <row r="8623" spans="1:2" ht="18">
      <c r="A8623" s="95" t="s">
        <v>6877</v>
      </c>
      <c r="B8623" s="1" t="s">
        <v>7110</v>
      </c>
    </row>
    <row r="8624" spans="1:2" ht="18">
      <c r="A8624" s="95" t="s">
        <v>6850</v>
      </c>
      <c r="B8624" s="1" t="s">
        <v>7110</v>
      </c>
    </row>
    <row r="8625" spans="1:2" ht="18">
      <c r="A8625" s="91" t="s">
        <v>1916</v>
      </c>
      <c r="B8625" s="1" t="s">
        <v>7110</v>
      </c>
    </row>
    <row r="8626" spans="1:2" ht="18">
      <c r="A8626" s="91" t="s">
        <v>1932</v>
      </c>
      <c r="B8626" s="1" t="s">
        <v>7110</v>
      </c>
    </row>
    <row r="8627" spans="1:2" ht="18">
      <c r="A8627" s="91" t="s">
        <v>1933</v>
      </c>
      <c r="B8627" s="1" t="s">
        <v>7110</v>
      </c>
    </row>
    <row r="8628" spans="1:2" ht="18">
      <c r="A8628" s="91" t="s">
        <v>1934</v>
      </c>
      <c r="B8628" s="1" t="s">
        <v>7110</v>
      </c>
    </row>
    <row r="8629" spans="1:2" ht="18">
      <c r="A8629" s="91" t="s">
        <v>1967</v>
      </c>
      <c r="B8629" s="1" t="s">
        <v>7110</v>
      </c>
    </row>
    <row r="8630" spans="1:2" ht="18">
      <c r="A8630" s="91" t="s">
        <v>1968</v>
      </c>
      <c r="B8630" s="1" t="s">
        <v>7110</v>
      </c>
    </row>
    <row r="8631" spans="1:2" ht="18">
      <c r="A8631" s="91" t="s">
        <v>1969</v>
      </c>
      <c r="B8631" s="1" t="s">
        <v>7110</v>
      </c>
    </row>
    <row r="8632" spans="1:2" ht="18">
      <c r="A8632" s="91" t="s">
        <v>1970</v>
      </c>
      <c r="B8632" s="1" t="s">
        <v>7110</v>
      </c>
    </row>
    <row r="8633" spans="1:2" ht="18">
      <c r="A8633" s="91" t="s">
        <v>2009</v>
      </c>
      <c r="B8633" s="1" t="s">
        <v>7110</v>
      </c>
    </row>
    <row r="8634" spans="1:2" ht="18">
      <c r="A8634" s="91" t="s">
        <v>1940</v>
      </c>
      <c r="B8634" s="1" t="s">
        <v>7110</v>
      </c>
    </row>
    <row r="8635" spans="1:2" ht="18">
      <c r="A8635" s="91" t="s">
        <v>2062</v>
      </c>
      <c r="B8635" s="1" t="s">
        <v>7110</v>
      </c>
    </row>
    <row r="8636" spans="1:2" ht="18">
      <c r="A8636" s="91" t="s">
        <v>2062</v>
      </c>
      <c r="B8636" s="1" t="s">
        <v>7110</v>
      </c>
    </row>
    <row r="8637" spans="1:2" ht="18">
      <c r="A8637" s="91" t="s">
        <v>2063</v>
      </c>
      <c r="B8637" s="1" t="s">
        <v>7110</v>
      </c>
    </row>
    <row r="8638" spans="1:2" ht="18">
      <c r="A8638" s="91" t="s">
        <v>2064</v>
      </c>
      <c r="B8638" s="1" t="s">
        <v>7110</v>
      </c>
    </row>
    <row r="8639" spans="1:2" ht="18">
      <c r="A8639" s="91" t="s">
        <v>2065</v>
      </c>
      <c r="B8639" s="1" t="s">
        <v>7110</v>
      </c>
    </row>
    <row r="8640" spans="1:2" ht="18">
      <c r="A8640" s="91" t="s">
        <v>2063</v>
      </c>
      <c r="B8640" s="1" t="s">
        <v>7110</v>
      </c>
    </row>
    <row r="8641" spans="1:2" ht="18">
      <c r="A8641" s="91" t="s">
        <v>1941</v>
      </c>
      <c r="B8641" s="1" t="s">
        <v>7110</v>
      </c>
    </row>
    <row r="8642" spans="1:2" ht="18">
      <c r="A8642" s="91" t="s">
        <v>1941</v>
      </c>
      <c r="B8642" s="1" t="s">
        <v>7110</v>
      </c>
    </row>
    <row r="8643" spans="1:2" ht="18">
      <c r="A8643" s="91" t="s">
        <v>2067</v>
      </c>
      <c r="B8643" s="1" t="s">
        <v>7110</v>
      </c>
    </row>
    <row r="8644" spans="1:2" ht="18">
      <c r="A8644" s="91" t="s">
        <v>2068</v>
      </c>
      <c r="B8644" s="1" t="s">
        <v>7110</v>
      </c>
    </row>
    <row r="8645" spans="1:2" ht="18">
      <c r="A8645" s="91" t="s">
        <v>1940</v>
      </c>
      <c r="B8645" s="1" t="s">
        <v>7110</v>
      </c>
    </row>
    <row r="8646" spans="1:2" ht="18">
      <c r="A8646" s="91" t="s">
        <v>2067</v>
      </c>
      <c r="B8646" s="1" t="s">
        <v>7110</v>
      </c>
    </row>
    <row r="8647" spans="1:2" ht="18">
      <c r="A8647" s="91" t="s">
        <v>1916</v>
      </c>
      <c r="B8647" s="1" t="s">
        <v>7110</v>
      </c>
    </row>
    <row r="8648" spans="1:2" ht="18.75">
      <c r="A8648" s="80" t="s">
        <v>2068</v>
      </c>
      <c r="B8648" s="1" t="s">
        <v>7110</v>
      </c>
    </row>
    <row r="8649" spans="1:2" ht="18">
      <c r="A8649" s="91" t="s">
        <v>2072</v>
      </c>
      <c r="B8649" s="1" t="s">
        <v>7110</v>
      </c>
    </row>
    <row r="8650" spans="1:2" ht="18">
      <c r="A8650" s="91" t="s">
        <v>2073</v>
      </c>
      <c r="B8650" s="1" t="s">
        <v>7110</v>
      </c>
    </row>
    <row r="8651" spans="1:2" ht="18.75">
      <c r="A8651" s="80" t="s">
        <v>2074</v>
      </c>
      <c r="B8651" s="1" t="s">
        <v>7110</v>
      </c>
    </row>
    <row r="8652" spans="1:2" ht="18">
      <c r="A8652" s="91" t="s">
        <v>2073</v>
      </c>
      <c r="B8652" s="1" t="s">
        <v>7110</v>
      </c>
    </row>
    <row r="8653" spans="1:2" ht="18">
      <c r="A8653" s="91" t="s">
        <v>2065</v>
      </c>
      <c r="B8653" s="1" t="s">
        <v>7110</v>
      </c>
    </row>
    <row r="8654" spans="1:2" ht="18">
      <c r="A8654" s="91" t="s">
        <v>2068</v>
      </c>
      <c r="B8654" s="1" t="s">
        <v>7110</v>
      </c>
    </row>
    <row r="8655" spans="1:2" ht="18.75">
      <c r="A8655" s="80" t="s">
        <v>2065</v>
      </c>
      <c r="B8655" s="1" t="s">
        <v>7110</v>
      </c>
    </row>
    <row r="8656" spans="1:2" ht="18.75">
      <c r="A8656" s="80" t="s">
        <v>1916</v>
      </c>
      <c r="B8656" s="1" t="s">
        <v>7110</v>
      </c>
    </row>
    <row r="8657" spans="1:2" ht="18.75">
      <c r="A8657" s="80" t="s">
        <v>2074</v>
      </c>
      <c r="B8657" s="1" t="s">
        <v>7110</v>
      </c>
    </row>
    <row r="8658" spans="1:2" ht="18">
      <c r="A8658" s="91" t="s">
        <v>1916</v>
      </c>
      <c r="B8658" s="1" t="s">
        <v>7110</v>
      </c>
    </row>
    <row r="8659" spans="1:2" ht="18.75">
      <c r="A8659" s="80" t="s">
        <v>2075</v>
      </c>
      <c r="B8659" s="1" t="s">
        <v>7110</v>
      </c>
    </row>
    <row r="8660" spans="1:2" ht="18">
      <c r="A8660" s="91" t="s">
        <v>1916</v>
      </c>
      <c r="B8660" s="1" t="s">
        <v>7110</v>
      </c>
    </row>
    <row r="8661" spans="1:2" ht="18">
      <c r="A8661" s="91" t="s">
        <v>2074</v>
      </c>
      <c r="B8661" s="1" t="s">
        <v>7110</v>
      </c>
    </row>
    <row r="8662" spans="1:2" ht="18">
      <c r="A8662" s="91" t="s">
        <v>2116</v>
      </c>
      <c r="B8662" s="1" t="s">
        <v>7110</v>
      </c>
    </row>
    <row r="8663" spans="1:2" ht="18">
      <c r="A8663" s="91" t="s">
        <v>2117</v>
      </c>
      <c r="B8663" s="1" t="s">
        <v>7110</v>
      </c>
    </row>
    <row r="8664" spans="1:2" ht="18">
      <c r="A8664" s="91" t="s">
        <v>1940</v>
      </c>
      <c r="B8664" s="1" t="s">
        <v>7110</v>
      </c>
    </row>
    <row r="8665" spans="1:2" ht="18">
      <c r="A8665" s="91" t="s">
        <v>2135</v>
      </c>
      <c r="B8665" s="1" t="s">
        <v>7110</v>
      </c>
    </row>
    <row r="8666" spans="1:2" ht="18">
      <c r="A8666" s="91" t="s">
        <v>2135</v>
      </c>
      <c r="B8666" s="1" t="s">
        <v>7110</v>
      </c>
    </row>
    <row r="8667" spans="1:2" ht="18">
      <c r="A8667" s="91" t="s">
        <v>2135</v>
      </c>
      <c r="B8667" s="1" t="s">
        <v>7110</v>
      </c>
    </row>
    <row r="8668" spans="1:2" ht="18.75">
      <c r="A8668" s="80" t="s">
        <v>2062</v>
      </c>
      <c r="B8668" s="1" t="s">
        <v>7110</v>
      </c>
    </row>
    <row r="8669" spans="1:2" ht="18">
      <c r="A8669" s="91" t="s">
        <v>2063</v>
      </c>
      <c r="B8669" s="1" t="s">
        <v>7110</v>
      </c>
    </row>
    <row r="8670" spans="1:2" ht="18">
      <c r="A8670" s="91" t="s">
        <v>2074</v>
      </c>
      <c r="B8670" s="1" t="s">
        <v>7110</v>
      </c>
    </row>
    <row r="8671" spans="1:2" ht="18">
      <c r="A8671" s="91" t="s">
        <v>2064</v>
      </c>
      <c r="B8671" s="1" t="s">
        <v>7110</v>
      </c>
    </row>
    <row r="8672" spans="1:2" ht="18">
      <c r="A8672" s="91" t="s">
        <v>2074</v>
      </c>
      <c r="B8672" s="1" t="s">
        <v>7110</v>
      </c>
    </row>
    <row r="8673" spans="1:2" ht="18">
      <c r="A8673" s="91" t="s">
        <v>2063</v>
      </c>
      <c r="B8673" s="1" t="s">
        <v>7110</v>
      </c>
    </row>
    <row r="8674" spans="1:2" ht="18">
      <c r="A8674" s="91" t="s">
        <v>2062</v>
      </c>
      <c r="B8674" s="1" t="s">
        <v>7110</v>
      </c>
    </row>
    <row r="8675" spans="1:2" ht="18">
      <c r="A8675" s="91" t="s">
        <v>2135</v>
      </c>
      <c r="B8675" s="1" t="s">
        <v>7110</v>
      </c>
    </row>
    <row r="8676" spans="1:2" ht="18">
      <c r="A8676" s="91" t="s">
        <v>2062</v>
      </c>
      <c r="B8676" s="1" t="s">
        <v>7110</v>
      </c>
    </row>
    <row r="8677" spans="1:2" ht="18">
      <c r="A8677" s="91" t="s">
        <v>2074</v>
      </c>
      <c r="B8677" s="1" t="s">
        <v>7110</v>
      </c>
    </row>
    <row r="8678" spans="1:2" ht="18">
      <c r="A8678" s="91" t="s">
        <v>1941</v>
      </c>
      <c r="B8678" s="1" t="s">
        <v>7110</v>
      </c>
    </row>
    <row r="8679" spans="1:2" ht="18">
      <c r="A8679" s="91" t="s">
        <v>2065</v>
      </c>
      <c r="B8679" s="1" t="s">
        <v>7110</v>
      </c>
    </row>
    <row r="8680" spans="1:2" ht="18">
      <c r="A8680" s="91" t="s">
        <v>2064</v>
      </c>
      <c r="B8680" s="1" t="s">
        <v>7110</v>
      </c>
    </row>
    <row r="8681" spans="1:2" ht="18">
      <c r="A8681" s="91" t="s">
        <v>1941</v>
      </c>
      <c r="B8681" s="1" t="s">
        <v>7110</v>
      </c>
    </row>
    <row r="8682" spans="1:2" ht="18">
      <c r="A8682" s="91" t="s">
        <v>1941</v>
      </c>
      <c r="B8682" s="1" t="s">
        <v>7110</v>
      </c>
    </row>
    <row r="8683" spans="1:2" ht="18">
      <c r="A8683" s="91" t="s">
        <v>2065</v>
      </c>
      <c r="B8683" s="1" t="s">
        <v>7110</v>
      </c>
    </row>
    <row r="8684" spans="1:2" ht="18">
      <c r="A8684" s="91" t="s">
        <v>1916</v>
      </c>
      <c r="B8684" s="1" t="s">
        <v>7110</v>
      </c>
    </row>
    <row r="8685" spans="1:2" ht="18">
      <c r="A8685" s="91" t="s">
        <v>1916</v>
      </c>
      <c r="B8685" s="1" t="s">
        <v>7110</v>
      </c>
    </row>
    <row r="8686" spans="1:2" ht="18">
      <c r="A8686" s="91" t="s">
        <v>2068</v>
      </c>
      <c r="B8686" s="1" t="s">
        <v>7110</v>
      </c>
    </row>
    <row r="8687" spans="1:2" ht="18">
      <c r="A8687" s="91" t="s">
        <v>2072</v>
      </c>
      <c r="B8687" s="1" t="s">
        <v>7110</v>
      </c>
    </row>
    <row r="8688" spans="1:2" ht="18">
      <c r="A8688" s="91" t="s">
        <v>1940</v>
      </c>
      <c r="B8688" s="1" t="s">
        <v>7110</v>
      </c>
    </row>
    <row r="8689" spans="1:2" ht="18">
      <c r="A8689" s="91" t="s">
        <v>2068</v>
      </c>
      <c r="B8689" s="1" t="s">
        <v>7110</v>
      </c>
    </row>
    <row r="8690" spans="1:2" ht="18">
      <c r="A8690" s="91" t="s">
        <v>1941</v>
      </c>
      <c r="B8690" s="1" t="s">
        <v>7110</v>
      </c>
    </row>
    <row r="8691" spans="1:2" ht="18">
      <c r="A8691" s="91" t="s">
        <v>2222</v>
      </c>
      <c r="B8691" s="1" t="s">
        <v>7110</v>
      </c>
    </row>
    <row r="8692" spans="1:2" ht="18">
      <c r="A8692" s="91" t="s">
        <v>1970</v>
      </c>
      <c r="B8692" s="1" t="s">
        <v>7110</v>
      </c>
    </row>
    <row r="8693" spans="1:2" ht="18">
      <c r="A8693" s="91" t="s">
        <v>2223</v>
      </c>
      <c r="B8693" s="1" t="s">
        <v>7110</v>
      </c>
    </row>
    <row r="8694" spans="1:2" ht="18">
      <c r="A8694" s="91" t="s">
        <v>2009</v>
      </c>
      <c r="B8694" s="1" t="s">
        <v>7110</v>
      </c>
    </row>
    <row r="8695" spans="1:2" ht="18">
      <c r="A8695" s="91" t="s">
        <v>2224</v>
      </c>
      <c r="B8695" s="1" t="s">
        <v>7110</v>
      </c>
    </row>
    <row r="8696" spans="1:2" ht="18">
      <c r="A8696" s="91" t="s">
        <v>2225</v>
      </c>
      <c r="B8696" s="1" t="s">
        <v>7110</v>
      </c>
    </row>
    <row r="8697" spans="1:2" ht="18">
      <c r="A8697" s="91" t="s">
        <v>2226</v>
      </c>
      <c r="B8697" s="1" t="s">
        <v>7110</v>
      </c>
    </row>
    <row r="8698" spans="1:2" ht="18">
      <c r="A8698" s="91" t="s">
        <v>2222</v>
      </c>
      <c r="B8698" s="1" t="s">
        <v>7110</v>
      </c>
    </row>
    <row r="8699" spans="1:2" ht="18">
      <c r="A8699" s="91" t="s">
        <v>2073</v>
      </c>
      <c r="B8699" s="1" t="s">
        <v>7110</v>
      </c>
    </row>
    <row r="8700" spans="1:2" ht="18">
      <c r="A8700" s="91" t="s">
        <v>2068</v>
      </c>
      <c r="B8700" s="1" t="s">
        <v>7110</v>
      </c>
    </row>
    <row r="8701" spans="1:2" ht="18">
      <c r="A8701" s="91" t="s">
        <v>1940</v>
      </c>
      <c r="B8701" s="1" t="s">
        <v>7110</v>
      </c>
    </row>
    <row r="8702" spans="1:2" ht="18">
      <c r="A8702" s="91" t="s">
        <v>2068</v>
      </c>
      <c r="B8702" s="1" t="s">
        <v>7110</v>
      </c>
    </row>
    <row r="8703" spans="1:2" ht="18">
      <c r="A8703" s="91" t="s">
        <v>1940</v>
      </c>
      <c r="B8703" s="1" t="s">
        <v>7110</v>
      </c>
    </row>
    <row r="8704" spans="1:2" ht="18">
      <c r="A8704" s="91" t="s">
        <v>2270</v>
      </c>
      <c r="B8704" s="1" t="s">
        <v>7110</v>
      </c>
    </row>
    <row r="8705" spans="1:2" ht="18">
      <c r="A8705" s="91" t="s">
        <v>1916</v>
      </c>
      <c r="B8705" s="1" t="s">
        <v>7110</v>
      </c>
    </row>
    <row r="8706" spans="1:2" ht="18">
      <c r="A8706" s="91" t="s">
        <v>2067</v>
      </c>
      <c r="B8706" s="1" t="s">
        <v>7110</v>
      </c>
    </row>
    <row r="8707" spans="1:2" ht="18">
      <c r="A8707" s="91" t="s">
        <v>2270</v>
      </c>
      <c r="B8707" s="1" t="s">
        <v>7110</v>
      </c>
    </row>
    <row r="8708" spans="1:2" ht="18">
      <c r="A8708" s="91" t="s">
        <v>2222</v>
      </c>
      <c r="B8708" s="1" t="s">
        <v>7110</v>
      </c>
    </row>
    <row r="8709" spans="1:2" ht="18">
      <c r="A8709" s="91" t="s">
        <v>2312</v>
      </c>
      <c r="B8709" s="1" t="s">
        <v>7110</v>
      </c>
    </row>
    <row r="8710" spans="1:2" ht="18">
      <c r="A8710" s="91" t="s">
        <v>2270</v>
      </c>
      <c r="B8710" s="1" t="s">
        <v>7110</v>
      </c>
    </row>
    <row r="8711" spans="1:2" ht="18">
      <c r="A8711" s="91" t="s">
        <v>2312</v>
      </c>
      <c r="B8711" s="1" t="s">
        <v>7110</v>
      </c>
    </row>
    <row r="8712" spans="1:2" ht="18.75">
      <c r="A8712" s="12" t="s">
        <v>2635</v>
      </c>
      <c r="B8712" s="1" t="s">
        <v>7110</v>
      </c>
    </row>
    <row r="8713" spans="1:2" ht="18.75">
      <c r="A8713" s="12" t="s">
        <v>2646</v>
      </c>
      <c r="B8713" s="1" t="s">
        <v>7110</v>
      </c>
    </row>
    <row r="8714" spans="1:2" ht="18.75">
      <c r="A8714" s="12" t="s">
        <v>2769</v>
      </c>
      <c r="B8714" s="1" t="s">
        <v>7110</v>
      </c>
    </row>
    <row r="8715" spans="1:2" ht="18.75">
      <c r="A8715" s="12" t="s">
        <v>2769</v>
      </c>
      <c r="B8715" s="1" t="s">
        <v>7110</v>
      </c>
    </row>
    <row r="8716" spans="1:2" ht="18.75">
      <c r="A8716" s="12" t="s">
        <v>2769</v>
      </c>
      <c r="B8716" s="1" t="s">
        <v>7110</v>
      </c>
    </row>
    <row r="8717" spans="1:2" ht="18.75">
      <c r="A8717" s="12" t="s">
        <v>2769</v>
      </c>
      <c r="B8717" s="1" t="s">
        <v>7110</v>
      </c>
    </row>
    <row r="8718" spans="1:2" ht="18.75">
      <c r="A8718" s="12" t="s">
        <v>2769</v>
      </c>
      <c r="B8718" s="1" t="s">
        <v>7110</v>
      </c>
    </row>
    <row r="8719" spans="1:2" ht="18.75">
      <c r="A8719" s="12" t="s">
        <v>2769</v>
      </c>
      <c r="B8719" s="1" t="s">
        <v>7110</v>
      </c>
    </row>
    <row r="8720" spans="1:2" ht="18.75">
      <c r="A8720" s="12" t="s">
        <v>2786</v>
      </c>
      <c r="B8720" s="1" t="s">
        <v>7110</v>
      </c>
    </row>
    <row r="8721" spans="1:2" ht="18.75">
      <c r="A8721" s="12" t="s">
        <v>2787</v>
      </c>
      <c r="B8721" s="1" t="s">
        <v>7110</v>
      </c>
    </row>
    <row r="8722" spans="1:2" ht="18.75">
      <c r="A8722" s="12" t="s">
        <v>2635</v>
      </c>
      <c r="B8722" s="1" t="s">
        <v>7110</v>
      </c>
    </row>
    <row r="8723" spans="1:2" ht="18.75">
      <c r="A8723" s="12" t="s">
        <v>3075</v>
      </c>
      <c r="B8723" s="1" t="s">
        <v>7110</v>
      </c>
    </row>
    <row r="8724" spans="1:2" ht="18.75">
      <c r="A8724" s="12" t="s">
        <v>3075</v>
      </c>
      <c r="B8724" s="1" t="s">
        <v>7110</v>
      </c>
    </row>
    <row r="8725" spans="1:2" ht="18.75">
      <c r="A8725" s="12" t="s">
        <v>2786</v>
      </c>
      <c r="B8725" s="1" t="s">
        <v>7110</v>
      </c>
    </row>
    <row r="8726" spans="1:2" ht="18.75">
      <c r="A8726" s="12" t="s">
        <v>3075</v>
      </c>
      <c r="B8726" s="1" t="s">
        <v>7110</v>
      </c>
    </row>
    <row r="8727" spans="1:2" ht="18.75">
      <c r="A8727" s="12" t="s">
        <v>2786</v>
      </c>
      <c r="B8727" s="1" t="s">
        <v>7110</v>
      </c>
    </row>
    <row r="8728" spans="1:2" ht="18.75">
      <c r="A8728" s="12" t="s">
        <v>3075</v>
      </c>
      <c r="B8728" s="1" t="s">
        <v>7110</v>
      </c>
    </row>
    <row r="8729" spans="1:2" ht="18.75">
      <c r="A8729" s="12" t="s">
        <v>3075</v>
      </c>
      <c r="B8729" s="1" t="s">
        <v>7110</v>
      </c>
    </row>
    <row r="8730" spans="1:2" ht="18.75">
      <c r="A8730" s="12" t="s">
        <v>2646</v>
      </c>
      <c r="B8730" s="1" t="s">
        <v>7110</v>
      </c>
    </row>
    <row r="8731" spans="1:2" ht="18.75">
      <c r="A8731" s="12" t="s">
        <v>3283</v>
      </c>
      <c r="B8731" s="1" t="s">
        <v>7110</v>
      </c>
    </row>
    <row r="8732" spans="1:2" ht="18.75">
      <c r="A8732" s="12" t="s">
        <v>3283</v>
      </c>
      <c r="B8732" s="1" t="s">
        <v>7110</v>
      </c>
    </row>
    <row r="8733" spans="1:2" ht="18.75">
      <c r="A8733" s="80" t="s">
        <v>1903</v>
      </c>
      <c r="B8733" s="1" t="s">
        <v>7110</v>
      </c>
    </row>
    <row r="8734" spans="1:2" ht="18.75">
      <c r="A8734" s="80" t="s">
        <v>1907</v>
      </c>
      <c r="B8734" s="1" t="s">
        <v>7110</v>
      </c>
    </row>
    <row r="8735" spans="1:2" ht="18.75">
      <c r="A8735" s="80" t="s">
        <v>1908</v>
      </c>
      <c r="B8735" s="1" t="s">
        <v>7110</v>
      </c>
    </row>
    <row r="8736" spans="1:2" ht="18.75">
      <c r="A8736" s="80" t="s">
        <v>1907</v>
      </c>
      <c r="B8736" s="1" t="s">
        <v>7110</v>
      </c>
    </row>
    <row r="8737" spans="1:2" ht="18.75">
      <c r="A8737" s="80" t="s">
        <v>1909</v>
      </c>
      <c r="B8737" s="1" t="s">
        <v>7110</v>
      </c>
    </row>
    <row r="8738" spans="1:2" ht="18.75">
      <c r="A8738" s="80" t="s">
        <v>1910</v>
      </c>
      <c r="B8738" s="1" t="s">
        <v>7110</v>
      </c>
    </row>
    <row r="8739" spans="1:2" ht="18.75">
      <c r="A8739" s="80" t="s">
        <v>1911</v>
      </c>
      <c r="B8739" s="1" t="s">
        <v>7110</v>
      </c>
    </row>
    <row r="8740" spans="1:2" ht="18.75">
      <c r="A8740" s="80" t="s">
        <v>1911</v>
      </c>
      <c r="B8740" s="1" t="s">
        <v>7110</v>
      </c>
    </row>
    <row r="8741" spans="1:2" ht="18.75">
      <c r="A8741" s="80" t="s">
        <v>1911</v>
      </c>
      <c r="B8741" s="1" t="s">
        <v>7110</v>
      </c>
    </row>
    <row r="8742" spans="1:2" ht="18.75">
      <c r="A8742" s="80" t="s">
        <v>1910</v>
      </c>
      <c r="B8742" s="1" t="s">
        <v>7110</v>
      </c>
    </row>
    <row r="8743" spans="1:2" ht="18.75">
      <c r="A8743" s="80" t="s">
        <v>1914</v>
      </c>
      <c r="B8743" s="1" t="s">
        <v>7110</v>
      </c>
    </row>
    <row r="8744" spans="1:2" ht="18.75">
      <c r="A8744" s="80" t="s">
        <v>1911</v>
      </c>
      <c r="B8744" s="1" t="s">
        <v>7110</v>
      </c>
    </row>
    <row r="8745" spans="1:2" ht="18.75">
      <c r="A8745" s="80" t="s">
        <v>1917</v>
      </c>
      <c r="B8745" s="1" t="s">
        <v>7110</v>
      </c>
    </row>
    <row r="8746" spans="1:2" ht="18.75">
      <c r="A8746" s="80" t="s">
        <v>1918</v>
      </c>
      <c r="B8746" s="1" t="s">
        <v>7110</v>
      </c>
    </row>
    <row r="8747" spans="1:2" ht="18.75">
      <c r="A8747" s="80" t="s">
        <v>1911</v>
      </c>
      <c r="B8747" s="1" t="s">
        <v>7110</v>
      </c>
    </row>
    <row r="8748" spans="1:2" ht="18.75">
      <c r="A8748" s="80" t="s">
        <v>1917</v>
      </c>
      <c r="B8748" s="1" t="s">
        <v>7110</v>
      </c>
    </row>
    <row r="8749" spans="1:2" ht="18.75">
      <c r="A8749" s="80" t="s">
        <v>1919</v>
      </c>
      <c r="B8749" s="1" t="s">
        <v>7110</v>
      </c>
    </row>
    <row r="8750" spans="1:2" ht="18.75">
      <c r="A8750" s="80" t="s">
        <v>1919</v>
      </c>
      <c r="B8750" s="1" t="s">
        <v>7110</v>
      </c>
    </row>
    <row r="8751" spans="1:2" ht="18">
      <c r="A8751" s="91" t="s">
        <v>1914</v>
      </c>
      <c r="B8751" s="1" t="s">
        <v>7110</v>
      </c>
    </row>
    <row r="8752" spans="1:2" ht="18">
      <c r="A8752" s="91" t="s">
        <v>1917</v>
      </c>
      <c r="B8752" s="1" t="s">
        <v>7110</v>
      </c>
    </row>
    <row r="8753" spans="1:2" ht="18">
      <c r="A8753" s="91" t="s">
        <v>1918</v>
      </c>
      <c r="B8753" s="1" t="s">
        <v>7110</v>
      </c>
    </row>
    <row r="8754" spans="1:2" ht="18">
      <c r="A8754" s="91" t="s">
        <v>1903</v>
      </c>
      <c r="B8754" s="1" t="s">
        <v>7110</v>
      </c>
    </row>
    <row r="8755" spans="1:2" ht="18">
      <c r="A8755" s="91" t="s">
        <v>1917</v>
      </c>
      <c r="B8755" s="1" t="s">
        <v>7110</v>
      </c>
    </row>
    <row r="8756" spans="1:2" ht="18">
      <c r="A8756" s="91" t="s">
        <v>1918</v>
      </c>
      <c r="B8756" s="1" t="s">
        <v>7110</v>
      </c>
    </row>
    <row r="8757" spans="1:2" ht="18">
      <c r="A8757" s="91" t="s">
        <v>1917</v>
      </c>
      <c r="B8757" s="1" t="s">
        <v>7110</v>
      </c>
    </row>
    <row r="8758" spans="1:2" ht="18">
      <c r="A8758" s="91" t="s">
        <v>1918</v>
      </c>
      <c r="B8758" s="1" t="s">
        <v>7110</v>
      </c>
    </row>
    <row r="8759" spans="1:2" ht="18">
      <c r="A8759" s="91" t="s">
        <v>1917</v>
      </c>
      <c r="B8759" s="1" t="s">
        <v>7110</v>
      </c>
    </row>
    <row r="8760" spans="1:2" ht="18">
      <c r="A8760" s="91" t="s">
        <v>1923</v>
      </c>
      <c r="B8760" s="1" t="s">
        <v>7110</v>
      </c>
    </row>
    <row r="8761" spans="1:2" ht="18">
      <c r="A8761" s="91" t="s">
        <v>1924</v>
      </c>
      <c r="B8761" s="1" t="s">
        <v>7110</v>
      </c>
    </row>
    <row r="8762" spans="1:2" ht="18">
      <c r="A8762" s="91" t="s">
        <v>1911</v>
      </c>
      <c r="B8762" s="1" t="s">
        <v>7110</v>
      </c>
    </row>
    <row r="8763" spans="1:2" ht="18">
      <c r="A8763" s="91" t="s">
        <v>1924</v>
      </c>
      <c r="B8763" s="1" t="s">
        <v>7110</v>
      </c>
    </row>
    <row r="8764" spans="1:2" ht="18">
      <c r="A8764" s="91" t="s">
        <v>1903</v>
      </c>
      <c r="B8764" s="1" t="s">
        <v>7110</v>
      </c>
    </row>
    <row r="8765" spans="1:2" ht="18">
      <c r="A8765" s="91" t="s">
        <v>1917</v>
      </c>
      <c r="B8765" s="1" t="s">
        <v>7110</v>
      </c>
    </row>
    <row r="8766" spans="1:2" ht="18">
      <c r="A8766" s="91" t="s">
        <v>1911</v>
      </c>
      <c r="B8766" s="1" t="s">
        <v>7110</v>
      </c>
    </row>
    <row r="8767" spans="1:2" ht="18">
      <c r="A8767" s="91" t="s">
        <v>1924</v>
      </c>
      <c r="B8767" s="1" t="s">
        <v>7110</v>
      </c>
    </row>
    <row r="8768" spans="1:2" ht="18">
      <c r="A8768" s="91" t="s">
        <v>1919</v>
      </c>
      <c r="B8768" s="1" t="s">
        <v>7110</v>
      </c>
    </row>
    <row r="8769" spans="1:2" ht="18">
      <c r="A8769" s="91" t="s">
        <v>1909</v>
      </c>
      <c r="B8769" s="1" t="s">
        <v>7110</v>
      </c>
    </row>
    <row r="8770" spans="1:2" ht="18">
      <c r="A8770" s="91" t="s">
        <v>1903</v>
      </c>
      <c r="B8770" s="1" t="s">
        <v>7110</v>
      </c>
    </row>
    <row r="8771" spans="1:2" ht="18">
      <c r="A8771" s="91" t="s">
        <v>2089</v>
      </c>
      <c r="B8771" s="1" t="s">
        <v>7110</v>
      </c>
    </row>
    <row r="8772" spans="1:2" ht="18">
      <c r="A8772" s="91" t="s">
        <v>2122</v>
      </c>
      <c r="B8772" s="1" t="s">
        <v>7110</v>
      </c>
    </row>
    <row r="8773" spans="1:2" ht="18">
      <c r="A8773" s="91" t="s">
        <v>2125</v>
      </c>
      <c r="B8773" s="1" t="s">
        <v>7110</v>
      </c>
    </row>
    <row r="8774" spans="1:2" ht="18">
      <c r="A8774" s="91" t="s">
        <v>2126</v>
      </c>
      <c r="B8774" s="1" t="s">
        <v>7110</v>
      </c>
    </row>
    <row r="8775" spans="1:2" ht="18">
      <c r="A8775" s="91" t="s">
        <v>2127</v>
      </c>
      <c r="B8775" s="1" t="s">
        <v>7110</v>
      </c>
    </row>
    <row r="8776" spans="1:2" ht="18">
      <c r="A8776" s="91" t="s">
        <v>2122</v>
      </c>
      <c r="B8776" s="1" t="s">
        <v>7110</v>
      </c>
    </row>
    <row r="8777" spans="1:2" ht="18">
      <c r="A8777" s="91" t="s">
        <v>1942</v>
      </c>
      <c r="B8777" s="1" t="s">
        <v>7110</v>
      </c>
    </row>
    <row r="8778" spans="1:2" ht="18">
      <c r="A8778" s="91" t="s">
        <v>1924</v>
      </c>
      <c r="B8778" s="1" t="s">
        <v>7110</v>
      </c>
    </row>
    <row r="8779" spans="1:2" ht="18">
      <c r="A8779" s="91" t="s">
        <v>1903</v>
      </c>
      <c r="B8779" s="1" t="s">
        <v>7110</v>
      </c>
    </row>
    <row r="8780" spans="1:2" ht="18">
      <c r="A8780" s="91" t="s">
        <v>1918</v>
      </c>
      <c r="B8780" s="1" t="s">
        <v>7110</v>
      </c>
    </row>
    <row r="8781" spans="1:2" ht="18">
      <c r="A8781" s="91" t="s">
        <v>1907</v>
      </c>
      <c r="B8781" s="1" t="s">
        <v>7110</v>
      </c>
    </row>
    <row r="8782" spans="1:2" ht="18">
      <c r="A8782" s="91" t="s">
        <v>1903</v>
      </c>
      <c r="B8782" s="1" t="s">
        <v>7110</v>
      </c>
    </row>
    <row r="8783" spans="1:2" ht="18">
      <c r="A8783" s="91" t="s">
        <v>1918</v>
      </c>
      <c r="B8783" s="1" t="s">
        <v>7110</v>
      </c>
    </row>
    <row r="8784" spans="1:2" ht="18">
      <c r="A8784" s="91" t="s">
        <v>2141</v>
      </c>
      <c r="B8784" s="1" t="s">
        <v>7110</v>
      </c>
    </row>
    <row r="8785" spans="1:2" ht="18">
      <c r="A8785" s="91" t="s">
        <v>1908</v>
      </c>
      <c r="B8785" s="1" t="s">
        <v>7110</v>
      </c>
    </row>
    <row r="8786" spans="1:2" ht="18">
      <c r="A8786" s="91" t="s">
        <v>2141</v>
      </c>
      <c r="B8786" s="1" t="s">
        <v>7110</v>
      </c>
    </row>
    <row r="8787" spans="1:2" ht="18">
      <c r="A8787" s="91" t="s">
        <v>2143</v>
      </c>
      <c r="B8787" s="1" t="s">
        <v>7110</v>
      </c>
    </row>
    <row r="8788" spans="1:2" ht="18">
      <c r="A8788" s="91" t="s">
        <v>2144</v>
      </c>
      <c r="B8788" s="1" t="s">
        <v>7110</v>
      </c>
    </row>
    <row r="8789" spans="1:2" ht="18">
      <c r="A8789" s="91" t="s">
        <v>2143</v>
      </c>
      <c r="B8789" s="1" t="s">
        <v>7110</v>
      </c>
    </row>
    <row r="8790" spans="1:2" ht="18">
      <c r="A8790" s="91" t="s">
        <v>2143</v>
      </c>
      <c r="B8790" s="1" t="s">
        <v>7110</v>
      </c>
    </row>
    <row r="8791" spans="1:2" ht="18">
      <c r="A8791" s="91" t="s">
        <v>2143</v>
      </c>
      <c r="B8791" s="1" t="s">
        <v>7110</v>
      </c>
    </row>
    <row r="8792" spans="1:2" ht="18">
      <c r="A8792" s="91" t="s">
        <v>2144</v>
      </c>
      <c r="B8792" s="1" t="s">
        <v>7110</v>
      </c>
    </row>
    <row r="8793" spans="1:2" ht="18">
      <c r="A8793" s="91" t="s">
        <v>2143</v>
      </c>
      <c r="B8793" s="1" t="s">
        <v>7110</v>
      </c>
    </row>
    <row r="8794" spans="1:2" ht="18">
      <c r="A8794" s="91" t="s">
        <v>2146</v>
      </c>
      <c r="B8794" s="1" t="s">
        <v>7110</v>
      </c>
    </row>
    <row r="8795" spans="1:2" ht="18">
      <c r="A8795" s="91" t="s">
        <v>2143</v>
      </c>
      <c r="B8795" s="1" t="s">
        <v>7110</v>
      </c>
    </row>
    <row r="8796" spans="1:2" ht="18">
      <c r="A8796" s="91" t="s">
        <v>2143</v>
      </c>
      <c r="B8796" s="1" t="s">
        <v>7110</v>
      </c>
    </row>
    <row r="8797" spans="1:2" ht="18">
      <c r="A8797" s="91" t="s">
        <v>2143</v>
      </c>
      <c r="B8797" s="1" t="s">
        <v>7110</v>
      </c>
    </row>
    <row r="8798" spans="1:2" ht="18">
      <c r="A8798" s="91" t="s">
        <v>2146</v>
      </c>
      <c r="B8798" s="1" t="s">
        <v>7110</v>
      </c>
    </row>
    <row r="8799" spans="1:2" ht="18">
      <c r="A8799" s="91" t="s">
        <v>2144</v>
      </c>
      <c r="B8799" s="1" t="s">
        <v>7110</v>
      </c>
    </row>
    <row r="8800" spans="1:2" ht="18">
      <c r="A8800" s="91" t="s">
        <v>2162</v>
      </c>
      <c r="B8800" s="1" t="s">
        <v>7110</v>
      </c>
    </row>
    <row r="8801" spans="1:2" ht="18">
      <c r="A8801" s="91" t="s">
        <v>1918</v>
      </c>
      <c r="B8801" s="1" t="s">
        <v>7110</v>
      </c>
    </row>
    <row r="8802" spans="1:2" ht="18">
      <c r="A8802" s="91" t="s">
        <v>2089</v>
      </c>
      <c r="B8802" s="1" t="s">
        <v>7110</v>
      </c>
    </row>
    <row r="8803" spans="1:2" ht="18">
      <c r="A8803" s="91" t="s">
        <v>2233</v>
      </c>
      <c r="B8803" s="1" t="s">
        <v>7110</v>
      </c>
    </row>
    <row r="8804" spans="1:2" ht="18">
      <c r="A8804" s="91" t="s">
        <v>2144</v>
      </c>
      <c r="B8804" s="1" t="s">
        <v>7110</v>
      </c>
    </row>
    <row r="8805" spans="1:2" ht="18">
      <c r="A8805" s="91" t="s">
        <v>2144</v>
      </c>
      <c r="B8805" s="1" t="s">
        <v>7110</v>
      </c>
    </row>
    <row r="8806" spans="1:2" ht="18">
      <c r="A8806" s="91" t="s">
        <v>2141</v>
      </c>
      <c r="B8806" s="1" t="s">
        <v>7110</v>
      </c>
    </row>
    <row r="8807" spans="1:2" ht="18">
      <c r="A8807" s="91" t="s">
        <v>2144</v>
      </c>
      <c r="B8807" s="1" t="s">
        <v>7110</v>
      </c>
    </row>
    <row r="8808" spans="1:2" ht="18">
      <c r="A8808" s="91" t="s">
        <v>2144</v>
      </c>
      <c r="B8808" s="1" t="s">
        <v>7110</v>
      </c>
    </row>
    <row r="8809" spans="1:2" ht="18">
      <c r="A8809" s="91" t="s">
        <v>2143</v>
      </c>
      <c r="B8809" s="1" t="s">
        <v>7110</v>
      </c>
    </row>
    <row r="8810" spans="1:2" ht="18">
      <c r="A8810" s="91" t="s">
        <v>2146</v>
      </c>
      <c r="B8810" s="1" t="s">
        <v>7110</v>
      </c>
    </row>
    <row r="8811" spans="1:2" ht="18">
      <c r="A8811" s="91" t="s">
        <v>2239</v>
      </c>
      <c r="B8811" s="1" t="s">
        <v>7110</v>
      </c>
    </row>
    <row r="8812" spans="1:2" ht="18">
      <c r="A8812" s="91" t="s">
        <v>2239</v>
      </c>
      <c r="B8812" s="1" t="s">
        <v>7110</v>
      </c>
    </row>
    <row r="8813" spans="1:2" ht="18">
      <c r="A8813" s="91" t="s">
        <v>1910</v>
      </c>
      <c r="B8813" s="1" t="s">
        <v>7110</v>
      </c>
    </row>
    <row r="8814" spans="1:2" ht="18">
      <c r="A8814" s="91" t="s">
        <v>2141</v>
      </c>
      <c r="B8814" s="1" t="s">
        <v>7110</v>
      </c>
    </row>
    <row r="8815" spans="1:2" ht="18">
      <c r="A8815" s="91" t="s">
        <v>2241</v>
      </c>
      <c r="B8815" s="1" t="s">
        <v>7110</v>
      </c>
    </row>
    <row r="8816" spans="1:2" ht="18">
      <c r="A8816" s="91" t="s">
        <v>2242</v>
      </c>
      <c r="B8816" s="1" t="s">
        <v>7110</v>
      </c>
    </row>
    <row r="8817" spans="1:2" ht="18">
      <c r="A8817" s="91" t="s">
        <v>2146</v>
      </c>
      <c r="B8817" s="1" t="s">
        <v>7110</v>
      </c>
    </row>
    <row r="8818" spans="1:2" ht="18">
      <c r="A8818" s="91" t="s">
        <v>2256</v>
      </c>
      <c r="B8818" s="1" t="s">
        <v>7110</v>
      </c>
    </row>
    <row r="8819" spans="1:2" ht="18">
      <c r="A8819" s="91" t="s">
        <v>2143</v>
      </c>
      <c r="B8819" s="1" t="s">
        <v>7110</v>
      </c>
    </row>
    <row r="8820" spans="1:2" ht="18">
      <c r="A8820" s="91" t="s">
        <v>1924</v>
      </c>
      <c r="B8820" s="1" t="s">
        <v>7110</v>
      </c>
    </row>
    <row r="8821" spans="1:2" ht="18">
      <c r="A8821" s="91" t="s">
        <v>1923</v>
      </c>
      <c r="B8821" s="1" t="s">
        <v>7110</v>
      </c>
    </row>
    <row r="8822" spans="1:2" ht="18">
      <c r="A8822" s="91" t="s">
        <v>1924</v>
      </c>
      <c r="B8822" s="1" t="s">
        <v>7110</v>
      </c>
    </row>
    <row r="8823" spans="1:2" ht="18">
      <c r="A8823" s="91" t="s">
        <v>1918</v>
      </c>
      <c r="B8823" s="1" t="s">
        <v>7110</v>
      </c>
    </row>
    <row r="8824" spans="1:2" ht="18">
      <c r="A8824" s="91" t="s">
        <v>2239</v>
      </c>
      <c r="B8824" s="1" t="s">
        <v>7110</v>
      </c>
    </row>
    <row r="8825" spans="1:2" ht="18">
      <c r="A8825" s="91" t="s">
        <v>2239</v>
      </c>
      <c r="B8825" s="1" t="s">
        <v>7110</v>
      </c>
    </row>
    <row r="8826" spans="1:2" ht="18">
      <c r="A8826" s="91" t="s">
        <v>2239</v>
      </c>
      <c r="B8826" s="1" t="s">
        <v>7110</v>
      </c>
    </row>
    <row r="8827" spans="1:2" ht="18">
      <c r="A8827" s="91" t="s">
        <v>2239</v>
      </c>
      <c r="B8827" s="1" t="s">
        <v>7110</v>
      </c>
    </row>
    <row r="8828" spans="1:2" ht="18">
      <c r="A8828" s="91" t="s">
        <v>2239</v>
      </c>
      <c r="B8828" s="1" t="s">
        <v>7110</v>
      </c>
    </row>
    <row r="8829" spans="1:2" ht="18">
      <c r="A8829" s="91" t="s">
        <v>2239</v>
      </c>
      <c r="B8829" s="1" t="s">
        <v>7110</v>
      </c>
    </row>
    <row r="8830" spans="1:2" ht="18">
      <c r="A8830" s="91" t="s">
        <v>2239</v>
      </c>
      <c r="B8830" s="1" t="s">
        <v>7110</v>
      </c>
    </row>
    <row r="8831" spans="1:2" ht="18">
      <c r="A8831" s="91" t="s">
        <v>2141</v>
      </c>
      <c r="B8831" s="1" t="s">
        <v>7110</v>
      </c>
    </row>
    <row r="8832" spans="1:2" ht="18">
      <c r="A8832" s="91" t="s">
        <v>1910</v>
      </c>
      <c r="B8832" s="1" t="s">
        <v>7110</v>
      </c>
    </row>
    <row r="8833" spans="1:2" ht="18">
      <c r="A8833" s="91" t="s">
        <v>2242</v>
      </c>
      <c r="B8833" s="1" t="s">
        <v>7110</v>
      </c>
    </row>
    <row r="8834" spans="1:2" ht="18">
      <c r="A8834" s="91" t="s">
        <v>2264</v>
      </c>
      <c r="B8834" s="1" t="s">
        <v>7110</v>
      </c>
    </row>
    <row r="8835" spans="1:2" ht="18">
      <c r="A8835" s="91" t="s">
        <v>2122</v>
      </c>
      <c r="B8835" s="1" t="s">
        <v>7110</v>
      </c>
    </row>
    <row r="8836" spans="1:2" ht="18">
      <c r="A8836" s="91" t="s">
        <v>2233</v>
      </c>
      <c r="B8836" s="1" t="s">
        <v>7110</v>
      </c>
    </row>
    <row r="8837" spans="1:2" ht="18">
      <c r="A8837" s="91" t="s">
        <v>2239</v>
      </c>
      <c r="B8837" s="1" t="s">
        <v>7110</v>
      </c>
    </row>
    <row r="8838" spans="1:2" ht="18">
      <c r="A8838" s="91" t="s">
        <v>2239</v>
      </c>
      <c r="B8838" s="1" t="s">
        <v>7110</v>
      </c>
    </row>
    <row r="8839" spans="1:2" ht="18">
      <c r="A8839" s="91" t="s">
        <v>2239</v>
      </c>
      <c r="B8839" s="1" t="s">
        <v>7110</v>
      </c>
    </row>
    <row r="8840" spans="1:2" ht="18">
      <c r="A8840" s="91" t="s">
        <v>1911</v>
      </c>
      <c r="B8840" s="1" t="s">
        <v>7110</v>
      </c>
    </row>
    <row r="8841" spans="1:2" ht="18">
      <c r="A8841" s="91" t="s">
        <v>1914</v>
      </c>
      <c r="B8841" s="1" t="s">
        <v>7110</v>
      </c>
    </row>
    <row r="8842" spans="1:2" ht="18">
      <c r="A8842" s="91" t="s">
        <v>2264</v>
      </c>
      <c r="B8842" s="1" t="s">
        <v>7110</v>
      </c>
    </row>
    <row r="8843" spans="1:2" ht="18">
      <c r="A8843" s="91" t="s">
        <v>2333</v>
      </c>
      <c r="B8843" s="1" t="s">
        <v>7110</v>
      </c>
    </row>
    <row r="8844" spans="1:2" ht="18">
      <c r="A8844" s="91" t="s">
        <v>2089</v>
      </c>
      <c r="B8844" s="1" t="s">
        <v>7110</v>
      </c>
    </row>
    <row r="8845" spans="1:2" ht="18">
      <c r="A8845" s="91" t="s">
        <v>1908</v>
      </c>
      <c r="B8845" s="1" t="s">
        <v>7110</v>
      </c>
    </row>
    <row r="8846" spans="1:2" ht="18">
      <c r="A8846" s="91" t="s">
        <v>1918</v>
      </c>
      <c r="B8846" s="1" t="s">
        <v>7110</v>
      </c>
    </row>
    <row r="8847" spans="1:2" ht="18">
      <c r="A8847" s="91" t="s">
        <v>2239</v>
      </c>
      <c r="B8847" s="1" t="s">
        <v>7110</v>
      </c>
    </row>
    <row r="8848" spans="1:2" ht="18">
      <c r="A8848" s="91" t="s">
        <v>2239</v>
      </c>
      <c r="B8848" s="1" t="s">
        <v>7110</v>
      </c>
    </row>
    <row r="8849" spans="1:2" ht="18">
      <c r="A8849" s="91" t="s">
        <v>2239</v>
      </c>
      <c r="B8849" s="1" t="s">
        <v>7110</v>
      </c>
    </row>
    <row r="8850" spans="1:2" ht="18">
      <c r="A8850" s="91" t="s">
        <v>2373</v>
      </c>
      <c r="B8850" s="1" t="s">
        <v>7110</v>
      </c>
    </row>
    <row r="8851" spans="1:2" ht="18">
      <c r="A8851" s="91" t="s">
        <v>2162</v>
      </c>
      <c r="B8851" s="1" t="s">
        <v>7110</v>
      </c>
    </row>
    <row r="8852" spans="1:2" ht="18">
      <c r="A8852" s="91" t="s">
        <v>2382</v>
      </c>
      <c r="B8852" s="1" t="s">
        <v>7110</v>
      </c>
    </row>
    <row r="8853" spans="1:2" ht="18">
      <c r="A8853" s="91" t="s">
        <v>2384</v>
      </c>
      <c r="B8853" s="1" t="s">
        <v>7110</v>
      </c>
    </row>
    <row r="8854" spans="1:2" ht="18">
      <c r="A8854" s="91" t="s">
        <v>2373</v>
      </c>
      <c r="B8854" s="1" t="s">
        <v>7110</v>
      </c>
    </row>
    <row r="8855" spans="1:2" ht="18">
      <c r="A8855" s="91" t="s">
        <v>1942</v>
      </c>
      <c r="B8855" s="1" t="s">
        <v>7110</v>
      </c>
    </row>
    <row r="8856" spans="1:2" ht="18">
      <c r="A8856" s="91" t="s">
        <v>2089</v>
      </c>
      <c r="B8856" s="1" t="s">
        <v>7110</v>
      </c>
    </row>
    <row r="8857" spans="1:2" ht="18">
      <c r="A8857" s="91" t="s">
        <v>2463</v>
      </c>
      <c r="B8857" s="1" t="s">
        <v>7110</v>
      </c>
    </row>
    <row r="8858" spans="1:2" ht="18">
      <c r="A8858" s="91" t="s">
        <v>2464</v>
      </c>
      <c r="B8858" s="1" t="s">
        <v>7110</v>
      </c>
    </row>
    <row r="8859" spans="1:2" ht="18">
      <c r="A8859" s="91" t="s">
        <v>2373</v>
      </c>
      <c r="B8859" s="1" t="s">
        <v>7110</v>
      </c>
    </row>
    <row r="8860" spans="1:2" ht="18">
      <c r="A8860" s="91" t="s">
        <v>2490</v>
      </c>
      <c r="B8860" s="1" t="s">
        <v>7110</v>
      </c>
    </row>
    <row r="8861" spans="1:2" ht="18">
      <c r="A8861" s="91" t="s">
        <v>2490</v>
      </c>
      <c r="B8861" s="1" t="s">
        <v>7110</v>
      </c>
    </row>
    <row r="8862" spans="1:2" ht="18">
      <c r="A8862" s="91" t="s">
        <v>2373</v>
      </c>
      <c r="B8862" s="1" t="s">
        <v>7110</v>
      </c>
    </row>
    <row r="8863" spans="1:2" ht="18">
      <c r="A8863" s="91" t="s">
        <v>2089</v>
      </c>
      <c r="B8863" s="1" t="s">
        <v>7110</v>
      </c>
    </row>
    <row r="8864" spans="1:2" ht="18">
      <c r="A8864" s="91" t="s">
        <v>1918</v>
      </c>
      <c r="B8864" s="1" t="s">
        <v>7110</v>
      </c>
    </row>
    <row r="8865" spans="1:2" ht="18.75">
      <c r="A8865" s="12" t="s">
        <v>6878</v>
      </c>
      <c r="B8865" s="1" t="s">
        <v>7110</v>
      </c>
    </row>
    <row r="8866" spans="1:2" ht="18.75">
      <c r="A8866" s="12" t="s">
        <v>6879</v>
      </c>
      <c r="B8866" s="1" t="s">
        <v>7110</v>
      </c>
    </row>
    <row r="8867" spans="1:2" ht="18.75">
      <c r="A8867" s="12" t="s">
        <v>6880</v>
      </c>
      <c r="B8867" s="1" t="s">
        <v>7110</v>
      </c>
    </row>
    <row r="8868" spans="1:2" ht="18.75">
      <c r="A8868" s="12" t="s">
        <v>6881</v>
      </c>
      <c r="B8868" s="1" t="s">
        <v>7110</v>
      </c>
    </row>
    <row r="8869" spans="1:2" ht="18.75">
      <c r="A8869" s="12" t="s">
        <v>6882</v>
      </c>
      <c r="B8869" s="1" t="s">
        <v>7110</v>
      </c>
    </row>
    <row r="8870" spans="1:2" ht="18.75">
      <c r="A8870" s="12" t="s">
        <v>6883</v>
      </c>
      <c r="B8870" s="1" t="s">
        <v>7110</v>
      </c>
    </row>
    <row r="8871" spans="1:2" ht="18.75">
      <c r="A8871" s="12" t="s">
        <v>6884</v>
      </c>
      <c r="B8871" s="1" t="s">
        <v>7110</v>
      </c>
    </row>
    <row r="8872" spans="1:2" ht="18.75">
      <c r="A8872" s="12" t="s">
        <v>6879</v>
      </c>
      <c r="B8872" s="1" t="s">
        <v>7110</v>
      </c>
    </row>
    <row r="8873" spans="1:2" ht="18.75">
      <c r="A8873" s="12" t="s">
        <v>6885</v>
      </c>
      <c r="B8873" s="1" t="s">
        <v>7110</v>
      </c>
    </row>
    <row r="8874" spans="1:2" ht="18.75">
      <c r="A8874" s="12" t="s">
        <v>6886</v>
      </c>
      <c r="B8874" s="1" t="s">
        <v>7110</v>
      </c>
    </row>
    <row r="8875" spans="1:2" ht="18.75">
      <c r="A8875" s="12" t="s">
        <v>6887</v>
      </c>
      <c r="B8875" s="1" t="s">
        <v>7110</v>
      </c>
    </row>
    <row r="8876" spans="1:2" ht="18.75">
      <c r="A8876" s="12" t="s">
        <v>6887</v>
      </c>
      <c r="B8876" s="1" t="s">
        <v>7110</v>
      </c>
    </row>
    <row r="8877" spans="1:2" ht="18.75">
      <c r="A8877" s="12" t="s">
        <v>6888</v>
      </c>
      <c r="B8877" s="1" t="s">
        <v>7110</v>
      </c>
    </row>
    <row r="8878" spans="1:2" ht="18.75">
      <c r="A8878" s="12" t="s">
        <v>6887</v>
      </c>
      <c r="B8878" s="1" t="s">
        <v>7110</v>
      </c>
    </row>
    <row r="8879" spans="1:2" ht="18.75">
      <c r="A8879" s="12" t="s">
        <v>6889</v>
      </c>
      <c r="B8879" s="1" t="s">
        <v>7110</v>
      </c>
    </row>
    <row r="8880" spans="1:2" ht="18.75">
      <c r="A8880" s="12" t="s">
        <v>6889</v>
      </c>
      <c r="B8880" s="1" t="s">
        <v>7110</v>
      </c>
    </row>
    <row r="8881" spans="1:2" ht="18.75">
      <c r="A8881" s="12" t="s">
        <v>6889</v>
      </c>
      <c r="B8881" s="1" t="s">
        <v>7110</v>
      </c>
    </row>
    <row r="8882" spans="1:2" ht="18.75">
      <c r="A8882" s="12" t="s">
        <v>6889</v>
      </c>
      <c r="B8882" s="1" t="s">
        <v>7110</v>
      </c>
    </row>
    <row r="8883" spans="1:2" ht="18.75">
      <c r="A8883" s="12" t="s">
        <v>6889</v>
      </c>
      <c r="B8883" s="1" t="s">
        <v>7110</v>
      </c>
    </row>
    <row r="8884" spans="1:2" ht="18.75">
      <c r="A8884" s="12" t="s">
        <v>6887</v>
      </c>
      <c r="B8884" s="1" t="s">
        <v>7110</v>
      </c>
    </row>
    <row r="8885" spans="1:2" ht="18.75">
      <c r="A8885" s="12" t="s">
        <v>6887</v>
      </c>
      <c r="B8885" s="1" t="s">
        <v>7110</v>
      </c>
    </row>
    <row r="8886" spans="1:2" ht="18.75">
      <c r="A8886" s="12" t="s">
        <v>6889</v>
      </c>
      <c r="B8886" s="1" t="s">
        <v>7110</v>
      </c>
    </row>
    <row r="8887" spans="1:2" ht="18.75">
      <c r="A8887" s="12" t="s">
        <v>6887</v>
      </c>
      <c r="B8887" s="1" t="s">
        <v>7110</v>
      </c>
    </row>
    <row r="8888" spans="1:2" ht="18.75">
      <c r="A8888" s="12" t="s">
        <v>6887</v>
      </c>
      <c r="B8888" s="1" t="s">
        <v>7110</v>
      </c>
    </row>
    <row r="8889" spans="1:2" ht="18.75">
      <c r="A8889" s="12" t="s">
        <v>6887</v>
      </c>
      <c r="B8889" s="1" t="s">
        <v>7110</v>
      </c>
    </row>
    <row r="8890" spans="1:2" ht="18.75">
      <c r="A8890" s="12" t="s">
        <v>6887</v>
      </c>
      <c r="B8890" s="1" t="s">
        <v>7110</v>
      </c>
    </row>
    <row r="8891" spans="1:2" ht="18.75">
      <c r="A8891" s="12" t="s">
        <v>6890</v>
      </c>
      <c r="B8891" s="1" t="s">
        <v>7110</v>
      </c>
    </row>
    <row r="8892" spans="1:2" ht="18.75">
      <c r="A8892" s="12" t="s">
        <v>6890</v>
      </c>
      <c r="B8892" s="1" t="s">
        <v>7110</v>
      </c>
    </row>
    <row r="8893" spans="1:2" ht="18.75">
      <c r="A8893" s="12" t="s">
        <v>6890</v>
      </c>
      <c r="B8893" s="1" t="s">
        <v>7110</v>
      </c>
    </row>
    <row r="8894" spans="1:2" ht="18.75">
      <c r="A8894" s="12" t="s">
        <v>1048</v>
      </c>
      <c r="B8894" s="1" t="s">
        <v>7110</v>
      </c>
    </row>
    <row r="8895" spans="1:2" ht="18.75">
      <c r="A8895" s="12" t="s">
        <v>1048</v>
      </c>
      <c r="B8895" s="1" t="s">
        <v>7110</v>
      </c>
    </row>
    <row r="8896" spans="1:2" ht="18.75">
      <c r="A8896" s="12" t="s">
        <v>1046</v>
      </c>
      <c r="B8896" s="1" t="s">
        <v>7110</v>
      </c>
    </row>
    <row r="8897" spans="1:2" ht="18.75">
      <c r="A8897" s="12" t="s">
        <v>958</v>
      </c>
      <c r="B8897" s="1" t="s">
        <v>7110</v>
      </c>
    </row>
    <row r="8898" spans="1:2" ht="18.75">
      <c r="A8898" s="12" t="s">
        <v>958</v>
      </c>
      <c r="B8898" s="1" t="s">
        <v>7110</v>
      </c>
    </row>
    <row r="8899" spans="1:2" ht="18.75">
      <c r="A8899" s="12" t="s">
        <v>958</v>
      </c>
      <c r="B8899" s="1" t="s">
        <v>7110</v>
      </c>
    </row>
    <row r="8900" spans="1:2" ht="18.75">
      <c r="A8900" s="12" t="s">
        <v>958</v>
      </c>
      <c r="B8900" s="1" t="s">
        <v>7110</v>
      </c>
    </row>
    <row r="8901" spans="1:2" ht="18.75">
      <c r="A8901" s="12" t="s">
        <v>958</v>
      </c>
      <c r="B8901" s="1" t="s">
        <v>7110</v>
      </c>
    </row>
    <row r="8902" spans="1:2" ht="18.75">
      <c r="A8902" s="12" t="s">
        <v>1337</v>
      </c>
      <c r="B8902" s="1" t="s">
        <v>7110</v>
      </c>
    </row>
    <row r="8903" spans="1:2" ht="18.75">
      <c r="A8903" s="12" t="s">
        <v>1342</v>
      </c>
      <c r="B8903" s="1" t="s">
        <v>7110</v>
      </c>
    </row>
    <row r="8904" spans="1:2" ht="18.75">
      <c r="A8904" s="12" t="s">
        <v>1341</v>
      </c>
      <c r="B8904" s="1" t="s">
        <v>7110</v>
      </c>
    </row>
    <row r="8905" spans="1:2" ht="18.75">
      <c r="A8905" s="12" t="s">
        <v>1341</v>
      </c>
      <c r="B8905" s="1" t="s">
        <v>7110</v>
      </c>
    </row>
    <row r="8906" spans="1:2" ht="18.75">
      <c r="A8906" s="12" t="s">
        <v>1341</v>
      </c>
      <c r="B8906" s="1" t="s">
        <v>7110</v>
      </c>
    </row>
    <row r="8907" spans="1:2" ht="18.75">
      <c r="A8907" s="12" t="s">
        <v>1341</v>
      </c>
      <c r="B8907" s="1" t="s">
        <v>7110</v>
      </c>
    </row>
    <row r="8908" spans="1:2" ht="18.75">
      <c r="A8908" s="12" t="s">
        <v>1337</v>
      </c>
      <c r="B8908" s="1" t="s">
        <v>7110</v>
      </c>
    </row>
    <row r="8909" spans="1:2" ht="18.75">
      <c r="A8909" s="12" t="s">
        <v>1342</v>
      </c>
      <c r="B8909" s="1" t="s">
        <v>7110</v>
      </c>
    </row>
    <row r="8910" spans="1:2" ht="18.75">
      <c r="A8910" s="12" t="s">
        <v>1600</v>
      </c>
      <c r="B8910" s="1" t="s">
        <v>7110</v>
      </c>
    </row>
    <row r="8911" spans="1:2" ht="18.75">
      <c r="A8911" s="12" t="s">
        <v>1603</v>
      </c>
      <c r="B8911" s="1" t="s">
        <v>7110</v>
      </c>
    </row>
    <row r="8912" spans="1:2" ht="18.75">
      <c r="A8912" s="12" t="s">
        <v>1604</v>
      </c>
      <c r="B8912" s="1" t="s">
        <v>7110</v>
      </c>
    </row>
    <row r="8913" spans="1:2" ht="18.75">
      <c r="A8913" s="12" t="s">
        <v>1794</v>
      </c>
      <c r="B8913" s="1" t="s">
        <v>7110</v>
      </c>
    </row>
    <row r="8914" spans="1:2" ht="18.75">
      <c r="A8914" s="12" t="s">
        <v>1818</v>
      </c>
      <c r="B8914" s="1" t="s">
        <v>7110</v>
      </c>
    </row>
    <row r="8915" spans="1:2" ht="18.75">
      <c r="A8915" s="12" t="s">
        <v>1871</v>
      </c>
      <c r="B8915" s="1" t="s">
        <v>7110</v>
      </c>
    </row>
    <row r="8916" spans="1:2" ht="18.75">
      <c r="A8916" s="12" t="s">
        <v>6891</v>
      </c>
      <c r="B8916" s="1" t="s">
        <v>7110</v>
      </c>
    </row>
    <row r="8917" spans="1:2" ht="18.75">
      <c r="A8917" s="12" t="s">
        <v>6892</v>
      </c>
      <c r="B8917" s="1" t="s">
        <v>7110</v>
      </c>
    </row>
    <row r="8918" spans="1:2" ht="18.75">
      <c r="A8918" s="12" t="s">
        <v>6893</v>
      </c>
      <c r="B8918" s="1" t="s">
        <v>7110</v>
      </c>
    </row>
    <row r="8919" spans="1:2" ht="18.75">
      <c r="A8919" s="12" t="s">
        <v>6894</v>
      </c>
      <c r="B8919" s="1" t="s">
        <v>7110</v>
      </c>
    </row>
    <row r="8920" spans="1:2" ht="18.75">
      <c r="A8920" s="12" t="s">
        <v>6895</v>
      </c>
      <c r="B8920" s="1" t="s">
        <v>7110</v>
      </c>
    </row>
    <row r="8921" spans="1:2" ht="18.75">
      <c r="A8921" s="12" t="s">
        <v>6896</v>
      </c>
      <c r="B8921" s="1" t="s">
        <v>7110</v>
      </c>
    </row>
    <row r="8922" spans="1:2" ht="18.75">
      <c r="A8922" s="12" t="s">
        <v>6897</v>
      </c>
      <c r="B8922" s="1" t="s">
        <v>7110</v>
      </c>
    </row>
    <row r="8923" spans="1:2" ht="18.75">
      <c r="A8923" s="12" t="s">
        <v>6898</v>
      </c>
      <c r="B8923" s="1" t="s">
        <v>7110</v>
      </c>
    </row>
    <row r="8924" spans="1:2" ht="18.75">
      <c r="A8924" s="12" t="s">
        <v>6899</v>
      </c>
      <c r="B8924" s="1" t="s">
        <v>7110</v>
      </c>
    </row>
    <row r="8925" spans="1:2" ht="18.75">
      <c r="A8925" s="12" t="s">
        <v>6900</v>
      </c>
      <c r="B8925" s="1" t="s">
        <v>7110</v>
      </c>
    </row>
    <row r="8926" spans="1:2" ht="18.75">
      <c r="A8926" s="12" t="s">
        <v>6899</v>
      </c>
      <c r="B8926" s="1" t="s">
        <v>7110</v>
      </c>
    </row>
    <row r="8927" spans="1:2" ht="18.75">
      <c r="A8927" s="12" t="s">
        <v>6901</v>
      </c>
      <c r="B8927" s="1" t="s">
        <v>7110</v>
      </c>
    </row>
    <row r="8928" spans="1:2" ht="18.75">
      <c r="A8928" s="12" t="s">
        <v>6902</v>
      </c>
      <c r="B8928" s="1" t="s">
        <v>7110</v>
      </c>
    </row>
    <row r="8929" spans="1:2" ht="18.75">
      <c r="A8929" s="12" t="s">
        <v>6903</v>
      </c>
      <c r="B8929" s="1" t="s">
        <v>7110</v>
      </c>
    </row>
    <row r="8930" spans="1:2" ht="18.75">
      <c r="A8930" s="12" t="s">
        <v>6904</v>
      </c>
      <c r="B8930" s="1" t="s">
        <v>7110</v>
      </c>
    </row>
    <row r="8931" spans="1:2" ht="18.75">
      <c r="A8931" s="12" t="s">
        <v>6905</v>
      </c>
      <c r="B8931" s="1" t="s">
        <v>7110</v>
      </c>
    </row>
    <row r="8932" spans="1:2" ht="18.75">
      <c r="A8932" s="12" t="s">
        <v>6899</v>
      </c>
      <c r="B8932" s="1" t="s">
        <v>7110</v>
      </c>
    </row>
    <row r="8933" spans="1:2" ht="18.75">
      <c r="A8933" s="12" t="s">
        <v>6900</v>
      </c>
      <c r="B8933" s="1" t="s">
        <v>7110</v>
      </c>
    </row>
    <row r="8934" spans="1:2" ht="18.75">
      <c r="A8934" s="12" t="s">
        <v>6902</v>
      </c>
      <c r="B8934" s="1" t="s">
        <v>7110</v>
      </c>
    </row>
    <row r="8935" spans="1:2" ht="18.75">
      <c r="A8935" s="12" t="s">
        <v>6906</v>
      </c>
      <c r="B8935" s="1" t="s">
        <v>7110</v>
      </c>
    </row>
    <row r="8936" spans="1:2" ht="18.75">
      <c r="A8936" s="12" t="s">
        <v>6907</v>
      </c>
      <c r="B8936" s="1" t="s">
        <v>7110</v>
      </c>
    </row>
    <row r="8937" spans="1:2" ht="18.75">
      <c r="A8937" s="12" t="s">
        <v>6908</v>
      </c>
      <c r="B8937" s="1" t="s">
        <v>7110</v>
      </c>
    </row>
    <row r="8938" spans="1:2" ht="18.75">
      <c r="A8938" s="12" t="s">
        <v>6909</v>
      </c>
      <c r="B8938" s="1" t="s">
        <v>7110</v>
      </c>
    </row>
    <row r="8939" spans="1:2" ht="18.75">
      <c r="A8939" s="12" t="s">
        <v>6908</v>
      </c>
      <c r="B8939" s="1" t="s">
        <v>7110</v>
      </c>
    </row>
    <row r="8940" spans="1:2" ht="18.75">
      <c r="A8940" s="12" t="s">
        <v>6909</v>
      </c>
      <c r="B8940" s="1" t="s">
        <v>7110</v>
      </c>
    </row>
    <row r="8941" spans="1:2" ht="18.75">
      <c r="A8941" s="12" t="s">
        <v>6909</v>
      </c>
      <c r="B8941" s="1" t="s">
        <v>7110</v>
      </c>
    </row>
    <row r="8942" spans="1:2" ht="18.75">
      <c r="A8942" s="12" t="s">
        <v>6910</v>
      </c>
      <c r="B8942" s="1" t="s">
        <v>7110</v>
      </c>
    </row>
    <row r="8943" spans="1:2" ht="18.75">
      <c r="A8943" s="12" t="s">
        <v>6911</v>
      </c>
      <c r="B8943" s="1" t="s">
        <v>7110</v>
      </c>
    </row>
    <row r="8944" spans="1:2" ht="18.75">
      <c r="A8944" s="12" t="s">
        <v>6909</v>
      </c>
      <c r="B8944" s="1" t="s">
        <v>7110</v>
      </c>
    </row>
    <row r="8945" spans="1:2" ht="18.75">
      <c r="A8945" s="12" t="s">
        <v>6912</v>
      </c>
      <c r="B8945" s="1" t="s">
        <v>7110</v>
      </c>
    </row>
    <row r="8946" spans="1:2" ht="18.75">
      <c r="A8946" s="12" t="s">
        <v>6913</v>
      </c>
      <c r="B8946" s="1" t="s">
        <v>7110</v>
      </c>
    </row>
    <row r="8947" spans="1:2" ht="18.75">
      <c r="A8947" s="12" t="s">
        <v>6898</v>
      </c>
      <c r="B8947" s="1" t="s">
        <v>7110</v>
      </c>
    </row>
    <row r="8948" spans="1:2" ht="18.75">
      <c r="A8948" s="12" t="s">
        <v>6914</v>
      </c>
      <c r="B8948" s="1" t="s">
        <v>7110</v>
      </c>
    </row>
    <row r="8949" spans="1:2" ht="18.75">
      <c r="A8949" s="12" t="s">
        <v>6914</v>
      </c>
      <c r="B8949" s="1" t="s">
        <v>7110</v>
      </c>
    </row>
    <row r="8950" spans="1:2" ht="18.75">
      <c r="A8950" s="12" t="s">
        <v>6915</v>
      </c>
      <c r="B8950" s="1" t="s">
        <v>7110</v>
      </c>
    </row>
    <row r="8951" spans="1:2" ht="18.75">
      <c r="A8951" s="12" t="s">
        <v>6914</v>
      </c>
      <c r="B8951" s="1" t="s">
        <v>7110</v>
      </c>
    </row>
    <row r="8952" spans="1:2" ht="18.75">
      <c r="A8952" s="12" t="s">
        <v>6916</v>
      </c>
      <c r="B8952" s="1" t="s">
        <v>7110</v>
      </c>
    </row>
    <row r="8953" spans="1:2" ht="18.75">
      <c r="A8953" s="12" t="s">
        <v>6902</v>
      </c>
      <c r="B8953" s="1" t="s">
        <v>7110</v>
      </c>
    </row>
    <row r="8954" spans="1:2" ht="18.75">
      <c r="A8954" s="12" t="s">
        <v>6917</v>
      </c>
      <c r="B8954" s="1" t="s">
        <v>7110</v>
      </c>
    </row>
    <row r="8955" spans="1:2" ht="18.75">
      <c r="A8955" s="12" t="s">
        <v>6908</v>
      </c>
      <c r="B8955" s="1" t="s">
        <v>7110</v>
      </c>
    </row>
    <row r="8956" spans="1:2" ht="18.75">
      <c r="A8956" s="12" t="s">
        <v>6918</v>
      </c>
      <c r="B8956" s="1" t="s">
        <v>7110</v>
      </c>
    </row>
    <row r="8957" spans="1:2" ht="18.75">
      <c r="A8957" s="12" t="s">
        <v>6918</v>
      </c>
      <c r="B8957" s="1" t="s">
        <v>7110</v>
      </c>
    </row>
    <row r="8958" spans="1:2" ht="18.75">
      <c r="A8958" s="12" t="s">
        <v>6919</v>
      </c>
      <c r="B8958" s="1" t="s">
        <v>7110</v>
      </c>
    </row>
    <row r="8959" spans="1:2" ht="18.75">
      <c r="A8959" s="12" t="s">
        <v>6920</v>
      </c>
      <c r="B8959" s="1" t="s">
        <v>7110</v>
      </c>
    </row>
    <row r="8960" spans="1:2" ht="18.75">
      <c r="A8960" s="12" t="s">
        <v>6921</v>
      </c>
      <c r="B8960" s="1" t="s">
        <v>7110</v>
      </c>
    </row>
    <row r="8961" spans="1:2" ht="18.75">
      <c r="A8961" s="12" t="s">
        <v>6919</v>
      </c>
      <c r="B8961" s="1" t="s">
        <v>7110</v>
      </c>
    </row>
    <row r="8962" spans="1:2" ht="18.75">
      <c r="A8962" s="12" t="s">
        <v>6920</v>
      </c>
      <c r="B8962" s="1" t="s">
        <v>7110</v>
      </c>
    </row>
    <row r="8963" spans="1:2" ht="18.75">
      <c r="A8963" s="12" t="s">
        <v>6922</v>
      </c>
      <c r="B8963" s="1" t="s">
        <v>7110</v>
      </c>
    </row>
    <row r="8964" spans="1:2" ht="18.75">
      <c r="A8964" s="12" t="s">
        <v>6922</v>
      </c>
      <c r="B8964" s="1" t="s">
        <v>7110</v>
      </c>
    </row>
    <row r="8965" spans="1:2" ht="18.75">
      <c r="A8965" s="12" t="s">
        <v>6922</v>
      </c>
      <c r="B8965" s="1" t="s">
        <v>7110</v>
      </c>
    </row>
    <row r="8966" spans="1:2" ht="18.75">
      <c r="A8966" s="12" t="s">
        <v>6922</v>
      </c>
      <c r="B8966" s="1" t="s">
        <v>7110</v>
      </c>
    </row>
    <row r="8967" spans="1:2" ht="18.75">
      <c r="A8967" s="12" t="s">
        <v>6922</v>
      </c>
      <c r="B8967" s="1" t="s">
        <v>7110</v>
      </c>
    </row>
    <row r="8968" spans="1:2" ht="18.75">
      <c r="A8968" s="12" t="s">
        <v>6923</v>
      </c>
      <c r="B8968" s="1" t="s">
        <v>7110</v>
      </c>
    </row>
    <row r="8969" spans="1:2" ht="18.75">
      <c r="A8969" s="12" t="s">
        <v>6924</v>
      </c>
      <c r="B8969" s="1" t="s">
        <v>7110</v>
      </c>
    </row>
    <row r="8970" spans="1:2" ht="18.75">
      <c r="A8970" s="12" t="s">
        <v>6922</v>
      </c>
      <c r="B8970" s="1" t="s">
        <v>7110</v>
      </c>
    </row>
    <row r="8971" spans="1:2" ht="18.75">
      <c r="A8971" s="12" t="s">
        <v>6925</v>
      </c>
      <c r="B8971" s="1" t="s">
        <v>7110</v>
      </c>
    </row>
    <row r="8972" spans="1:2" ht="18.75">
      <c r="A8972" s="12" t="s">
        <v>6923</v>
      </c>
      <c r="B8972" s="1" t="s">
        <v>7110</v>
      </c>
    </row>
    <row r="8973" spans="1:2" ht="18.75">
      <c r="A8973" s="12" t="s">
        <v>6925</v>
      </c>
      <c r="B8973" s="1" t="s">
        <v>7110</v>
      </c>
    </row>
    <row r="8974" spans="1:2" ht="18.75">
      <c r="A8974" s="12" t="s">
        <v>6925</v>
      </c>
      <c r="B8974" s="1" t="s">
        <v>7110</v>
      </c>
    </row>
    <row r="8975" spans="1:2" ht="18.75">
      <c r="A8975" s="12" t="s">
        <v>6920</v>
      </c>
      <c r="B8975" s="1" t="s">
        <v>7110</v>
      </c>
    </row>
    <row r="8976" spans="1:2" ht="18.75">
      <c r="A8976" s="12" t="s">
        <v>6920</v>
      </c>
      <c r="B8976" s="1" t="s">
        <v>7110</v>
      </c>
    </row>
    <row r="8977" spans="1:2" ht="18.75">
      <c r="A8977" s="12" t="s">
        <v>6920</v>
      </c>
      <c r="B8977" s="1" t="s">
        <v>7110</v>
      </c>
    </row>
    <row r="8978" spans="1:2" ht="18.75">
      <c r="A8978" s="12" t="s">
        <v>6926</v>
      </c>
      <c r="B8978" s="1" t="s">
        <v>7110</v>
      </c>
    </row>
    <row r="8979" spans="1:2" ht="18.75">
      <c r="A8979" s="12" t="s">
        <v>6921</v>
      </c>
      <c r="B8979" s="1" t="s">
        <v>7110</v>
      </c>
    </row>
    <row r="8980" spans="1:2" ht="18.75">
      <c r="A8980" s="12" t="s">
        <v>6926</v>
      </c>
      <c r="B8980" s="1" t="s">
        <v>7110</v>
      </c>
    </row>
    <row r="8981" spans="1:2" ht="18.75">
      <c r="A8981" s="12" t="s">
        <v>6927</v>
      </c>
      <c r="B8981" s="1" t="s">
        <v>7110</v>
      </c>
    </row>
    <row r="8982" spans="1:2" ht="18.75">
      <c r="A8982" s="12" t="s">
        <v>6921</v>
      </c>
      <c r="B8982" s="1" t="s">
        <v>7110</v>
      </c>
    </row>
    <row r="8983" spans="1:2" ht="18.75">
      <c r="A8983" s="12" t="s">
        <v>6927</v>
      </c>
      <c r="B8983" s="1" t="s">
        <v>7110</v>
      </c>
    </row>
    <row r="8984" spans="1:2" ht="18.75">
      <c r="A8984" s="12" t="s">
        <v>6927</v>
      </c>
      <c r="B8984" s="1" t="s">
        <v>7110</v>
      </c>
    </row>
    <row r="8985" spans="1:2" ht="18.75">
      <c r="A8985" s="12" t="s">
        <v>6928</v>
      </c>
      <c r="B8985" s="1" t="s">
        <v>7110</v>
      </c>
    </row>
    <row r="8986" spans="1:2" ht="18.75">
      <c r="A8986" s="12" t="s">
        <v>6929</v>
      </c>
      <c r="B8986" s="1" t="s">
        <v>7110</v>
      </c>
    </row>
    <row r="8987" spans="1:2" ht="18.75">
      <c r="A8987" s="12" t="s">
        <v>6930</v>
      </c>
      <c r="B8987" s="1" t="s">
        <v>7110</v>
      </c>
    </row>
    <row r="8988" spans="1:2" ht="18.75">
      <c r="A8988" s="12" t="s">
        <v>6931</v>
      </c>
      <c r="B8988" s="1" t="s">
        <v>7110</v>
      </c>
    </row>
    <row r="8989" spans="1:2" ht="18.75">
      <c r="A8989" s="12" t="s">
        <v>6932</v>
      </c>
      <c r="B8989" s="1" t="s">
        <v>7110</v>
      </c>
    </row>
    <row r="8990" spans="1:2" ht="18.75">
      <c r="A8990" s="12" t="s">
        <v>6933</v>
      </c>
      <c r="B8990" s="1" t="s">
        <v>7110</v>
      </c>
    </row>
    <row r="8991" spans="1:2" ht="18.75">
      <c r="A8991" s="12" t="s">
        <v>6922</v>
      </c>
      <c r="B8991" s="1" t="s">
        <v>7110</v>
      </c>
    </row>
    <row r="8992" spans="1:2" ht="18.75">
      <c r="A8992" s="12" t="s">
        <v>6922</v>
      </c>
      <c r="B8992" s="1" t="s">
        <v>7110</v>
      </c>
    </row>
    <row r="8993" spans="1:2" ht="18.75">
      <c r="A8993" s="12" t="s">
        <v>6933</v>
      </c>
      <c r="B8993" s="1" t="s">
        <v>7110</v>
      </c>
    </row>
    <row r="8994" spans="1:2" ht="18.75">
      <c r="A8994" s="12" t="s">
        <v>6924</v>
      </c>
      <c r="B8994" s="1" t="s">
        <v>7110</v>
      </c>
    </row>
    <row r="8995" spans="1:2" ht="18.75">
      <c r="A8995" s="12" t="s">
        <v>6933</v>
      </c>
      <c r="B8995" s="1" t="s">
        <v>7110</v>
      </c>
    </row>
    <row r="8996" spans="1:2" ht="18.75">
      <c r="A8996" s="12" t="s">
        <v>6928</v>
      </c>
      <c r="B8996" s="1" t="s">
        <v>7110</v>
      </c>
    </row>
    <row r="8997" spans="1:2" ht="18.75">
      <c r="A8997" s="12" t="s">
        <v>6934</v>
      </c>
      <c r="B8997" s="1" t="s">
        <v>7110</v>
      </c>
    </row>
    <row r="8998" spans="1:2" ht="18.75">
      <c r="A8998" s="12" t="s">
        <v>6935</v>
      </c>
      <c r="B8998" s="1" t="s">
        <v>7110</v>
      </c>
    </row>
    <row r="8999" spans="1:2" ht="18.75">
      <c r="A8999" s="12" t="s">
        <v>6925</v>
      </c>
      <c r="B8999" s="1" t="s">
        <v>7110</v>
      </c>
    </row>
    <row r="9000" spans="1:2" ht="18.75">
      <c r="A9000" s="12" t="s">
        <v>6928</v>
      </c>
      <c r="B9000" s="1" t="s">
        <v>7110</v>
      </c>
    </row>
    <row r="9001" spans="1:2" ht="18.75">
      <c r="A9001" s="12" t="s">
        <v>6935</v>
      </c>
      <c r="B9001" s="1" t="s">
        <v>7110</v>
      </c>
    </row>
    <row r="9002" spans="1:2" ht="18.75">
      <c r="A9002" s="12" t="s">
        <v>6935</v>
      </c>
      <c r="B9002" s="1" t="s">
        <v>7110</v>
      </c>
    </row>
    <row r="9003" spans="1:2" ht="18.75">
      <c r="A9003" s="12" t="s">
        <v>6935</v>
      </c>
      <c r="B9003" s="1" t="s">
        <v>7110</v>
      </c>
    </row>
    <row r="9004" spans="1:2" ht="18.75">
      <c r="A9004" s="12" t="s">
        <v>6935</v>
      </c>
      <c r="B9004" s="1" t="s">
        <v>7110</v>
      </c>
    </row>
    <row r="9005" spans="1:2" ht="18.75">
      <c r="A9005" s="12" t="s">
        <v>6935</v>
      </c>
      <c r="B9005" s="1" t="s">
        <v>7110</v>
      </c>
    </row>
    <row r="9006" spans="1:2" ht="18.75">
      <c r="A9006" s="12" t="s">
        <v>6934</v>
      </c>
      <c r="B9006" s="1" t="s">
        <v>7110</v>
      </c>
    </row>
    <row r="9007" spans="1:2" ht="18.75">
      <c r="A9007" s="12" t="s">
        <v>6936</v>
      </c>
      <c r="B9007" s="1" t="s">
        <v>7110</v>
      </c>
    </row>
    <row r="9008" spans="1:2" ht="18.75">
      <c r="A9008" s="12" t="s">
        <v>6936</v>
      </c>
      <c r="B9008" s="1" t="s">
        <v>7110</v>
      </c>
    </row>
    <row r="9009" spans="1:2" ht="18.75">
      <c r="A9009" s="12" t="s">
        <v>6936</v>
      </c>
      <c r="B9009" s="1" t="s">
        <v>7110</v>
      </c>
    </row>
    <row r="9010" spans="1:2" ht="18.75">
      <c r="A9010" s="12" t="s">
        <v>6899</v>
      </c>
      <c r="B9010" s="1" t="s">
        <v>7110</v>
      </c>
    </row>
    <row r="9011" spans="1:2" ht="18.75">
      <c r="A9011" s="12" t="s">
        <v>6937</v>
      </c>
      <c r="B9011" s="1" t="s">
        <v>7110</v>
      </c>
    </row>
    <row r="9012" spans="1:2" ht="18.75">
      <c r="A9012" s="12" t="s">
        <v>6907</v>
      </c>
      <c r="B9012" s="1" t="s">
        <v>7110</v>
      </c>
    </row>
    <row r="9013" spans="1:2" ht="18.75">
      <c r="A9013" s="12" t="s">
        <v>6902</v>
      </c>
      <c r="B9013" s="1" t="s">
        <v>7110</v>
      </c>
    </row>
    <row r="9014" spans="1:2" ht="18.75">
      <c r="A9014" s="12" t="s">
        <v>6938</v>
      </c>
      <c r="B9014" s="1" t="s">
        <v>7110</v>
      </c>
    </row>
    <row r="9015" spans="1:2" ht="18.75">
      <c r="A9015" s="12" t="s">
        <v>6939</v>
      </c>
      <c r="B9015" s="1" t="s">
        <v>7110</v>
      </c>
    </row>
    <row r="9016" spans="1:2" ht="18.75">
      <c r="A9016" s="12" t="s">
        <v>6940</v>
      </c>
      <c r="B9016" s="1" t="s">
        <v>7110</v>
      </c>
    </row>
    <row r="9017" spans="1:2" ht="18.75">
      <c r="A9017" s="12" t="s">
        <v>6909</v>
      </c>
      <c r="B9017" s="1" t="s">
        <v>7110</v>
      </c>
    </row>
    <row r="9018" spans="1:2" ht="18.75">
      <c r="A9018" s="12" t="s">
        <v>6941</v>
      </c>
      <c r="B9018" s="1" t="s">
        <v>7110</v>
      </c>
    </row>
    <row r="9019" spans="1:2" ht="18.75">
      <c r="A9019" s="12" t="s">
        <v>6942</v>
      </c>
      <c r="B9019" s="1" t="s">
        <v>7110</v>
      </c>
    </row>
    <row r="9020" spans="1:2" ht="18.75">
      <c r="A9020" s="12" t="s">
        <v>6909</v>
      </c>
      <c r="B9020" s="1" t="s">
        <v>7110</v>
      </c>
    </row>
    <row r="9021" spans="1:2" ht="18.75">
      <c r="A9021" s="12" t="s">
        <v>6909</v>
      </c>
      <c r="B9021" s="1" t="s">
        <v>7110</v>
      </c>
    </row>
    <row r="9022" spans="1:2" ht="18.75">
      <c r="A9022" s="12" t="s">
        <v>6912</v>
      </c>
      <c r="B9022" s="1" t="s">
        <v>7110</v>
      </c>
    </row>
    <row r="9023" spans="1:2" ht="18.75">
      <c r="A9023" s="12" t="s">
        <v>6943</v>
      </c>
      <c r="B9023" s="1" t="s">
        <v>7110</v>
      </c>
    </row>
    <row r="9024" spans="1:2" ht="18.75">
      <c r="A9024" s="12" t="s">
        <v>6943</v>
      </c>
      <c r="B9024" s="1" t="s">
        <v>7110</v>
      </c>
    </row>
    <row r="9025" spans="1:2" ht="18.75">
      <c r="A9025" s="12" t="s">
        <v>6944</v>
      </c>
      <c r="B9025" s="1" t="s">
        <v>7110</v>
      </c>
    </row>
    <row r="9026" spans="1:2" ht="18.75">
      <c r="A9026" s="12" t="s">
        <v>6913</v>
      </c>
      <c r="B9026" s="1" t="s">
        <v>7110</v>
      </c>
    </row>
    <row r="9027" spans="1:2" ht="18.75">
      <c r="A9027" s="12" t="s">
        <v>6945</v>
      </c>
      <c r="B9027" s="1" t="s">
        <v>7110</v>
      </c>
    </row>
    <row r="9028" spans="1:2" ht="18.75">
      <c r="A9028" s="12" t="s">
        <v>6944</v>
      </c>
      <c r="B9028" s="1" t="s">
        <v>7110</v>
      </c>
    </row>
    <row r="9029" spans="1:2" ht="18.75">
      <c r="A9029" s="12" t="s">
        <v>6945</v>
      </c>
      <c r="B9029" s="1" t="s">
        <v>7110</v>
      </c>
    </row>
    <row r="9030" spans="1:2" ht="18.75">
      <c r="A9030" s="12" t="s">
        <v>6946</v>
      </c>
      <c r="B9030" s="1" t="s">
        <v>7110</v>
      </c>
    </row>
    <row r="9031" spans="1:2" ht="18.75">
      <c r="A9031" s="12" t="s">
        <v>6947</v>
      </c>
      <c r="B9031" s="1" t="s">
        <v>7110</v>
      </c>
    </row>
    <row r="9032" spans="1:2" ht="18.75">
      <c r="A9032" s="12" t="s">
        <v>6945</v>
      </c>
      <c r="B9032" s="1" t="s">
        <v>7110</v>
      </c>
    </row>
    <row r="9033" spans="1:2" ht="18.75">
      <c r="A9033" s="12" t="s">
        <v>6944</v>
      </c>
      <c r="B9033" s="1" t="s">
        <v>7110</v>
      </c>
    </row>
    <row r="9034" spans="1:2" ht="18.75">
      <c r="A9034" s="12" t="s">
        <v>6907</v>
      </c>
      <c r="B9034" s="1" t="s">
        <v>7110</v>
      </c>
    </row>
    <row r="9035" spans="1:2" ht="18.75">
      <c r="A9035" s="12" t="s">
        <v>6948</v>
      </c>
      <c r="B9035" s="1" t="s">
        <v>7110</v>
      </c>
    </row>
    <row r="9036" spans="1:2" ht="18.75">
      <c r="A9036" s="12" t="s">
        <v>6949</v>
      </c>
      <c r="B9036" s="1" t="s">
        <v>7110</v>
      </c>
    </row>
    <row r="9037" spans="1:2" ht="18.75">
      <c r="A9037" s="12" t="s">
        <v>6946</v>
      </c>
      <c r="B9037" s="1" t="s">
        <v>7110</v>
      </c>
    </row>
    <row r="9038" spans="1:2" ht="18.75">
      <c r="A9038" s="12" t="s">
        <v>6950</v>
      </c>
      <c r="B9038" s="1" t="s">
        <v>7110</v>
      </c>
    </row>
    <row r="9039" spans="1:2" ht="18.75">
      <c r="A9039" s="12" t="s">
        <v>6951</v>
      </c>
      <c r="B9039" s="1" t="s">
        <v>7110</v>
      </c>
    </row>
    <row r="9040" spans="1:2" ht="18.75">
      <c r="A9040" s="12" t="s">
        <v>6952</v>
      </c>
      <c r="B9040" s="1" t="s">
        <v>7110</v>
      </c>
    </row>
    <row r="9041" spans="1:2" ht="18.75">
      <c r="A9041" s="12" t="s">
        <v>6953</v>
      </c>
      <c r="B9041" s="1" t="s">
        <v>7110</v>
      </c>
    </row>
    <row r="9042" spans="1:2" ht="18.75">
      <c r="A9042" s="12" t="s">
        <v>6954</v>
      </c>
      <c r="B9042" s="1" t="s">
        <v>7110</v>
      </c>
    </row>
    <row r="9043" spans="1:2" ht="18.75">
      <c r="A9043" s="12" t="s">
        <v>6955</v>
      </c>
      <c r="B9043" s="1" t="s">
        <v>7110</v>
      </c>
    </row>
    <row r="9044" spans="1:2" ht="18.75">
      <c r="A9044" s="12" t="s">
        <v>6956</v>
      </c>
      <c r="B9044" s="1" t="s">
        <v>7110</v>
      </c>
    </row>
    <row r="9045" spans="1:2" ht="18.75">
      <c r="A9045" s="12" t="s">
        <v>6957</v>
      </c>
      <c r="B9045" s="1" t="s">
        <v>7110</v>
      </c>
    </row>
    <row r="9046" spans="1:2" ht="18.75">
      <c r="A9046" s="12" t="s">
        <v>6955</v>
      </c>
      <c r="B9046" s="1" t="s">
        <v>7110</v>
      </c>
    </row>
    <row r="9047" spans="1:2" ht="18.75">
      <c r="A9047" s="12" t="s">
        <v>6958</v>
      </c>
      <c r="B9047" s="1" t="s">
        <v>7110</v>
      </c>
    </row>
    <row r="9048" spans="1:2" ht="18.75">
      <c r="A9048" s="12" t="s">
        <v>6959</v>
      </c>
      <c r="B9048" s="1" t="s">
        <v>7110</v>
      </c>
    </row>
    <row r="9049" spans="1:2" ht="18.75">
      <c r="A9049" s="12" t="s">
        <v>6959</v>
      </c>
      <c r="B9049" s="1" t="s">
        <v>7110</v>
      </c>
    </row>
    <row r="9050" spans="1:2" ht="18.75">
      <c r="A9050" s="12" t="s">
        <v>6959</v>
      </c>
      <c r="B9050" s="1" t="s">
        <v>7110</v>
      </c>
    </row>
    <row r="9051" spans="1:2" ht="18.75">
      <c r="A9051" s="12" t="s">
        <v>6960</v>
      </c>
      <c r="B9051" s="1" t="s">
        <v>7110</v>
      </c>
    </row>
    <row r="9052" spans="1:2" ht="18.75">
      <c r="A9052" s="12" t="s">
        <v>6961</v>
      </c>
      <c r="B9052" s="1" t="s">
        <v>7110</v>
      </c>
    </row>
    <row r="9053" spans="1:2" ht="18.75">
      <c r="A9053" s="12" t="s">
        <v>6907</v>
      </c>
      <c r="B9053" s="1" t="s">
        <v>7110</v>
      </c>
    </row>
    <row r="9054" spans="1:2" ht="18.75">
      <c r="A9054" s="12" t="s">
        <v>6962</v>
      </c>
      <c r="B9054" s="1" t="s">
        <v>7110</v>
      </c>
    </row>
    <row r="9055" spans="1:2" ht="18.75">
      <c r="A9055" s="12" t="s">
        <v>6963</v>
      </c>
      <c r="B9055" s="1" t="s">
        <v>7110</v>
      </c>
    </row>
    <row r="9056" spans="1:2" ht="18.75">
      <c r="A9056" s="12" t="s">
        <v>6964</v>
      </c>
      <c r="B9056" s="1" t="s">
        <v>7110</v>
      </c>
    </row>
    <row r="9057" spans="1:2" ht="18.75">
      <c r="A9057" s="12" t="s">
        <v>6965</v>
      </c>
      <c r="B9057" s="1" t="s">
        <v>7110</v>
      </c>
    </row>
    <row r="9058" spans="1:2" ht="18.75">
      <c r="A9058" s="12" t="s">
        <v>6900</v>
      </c>
      <c r="B9058" s="1" t="s">
        <v>7110</v>
      </c>
    </row>
    <row r="9059" spans="1:2" ht="18.75">
      <c r="A9059" s="12" t="s">
        <v>6907</v>
      </c>
      <c r="B9059" s="1" t="s">
        <v>7110</v>
      </c>
    </row>
    <row r="9060" spans="1:2" ht="18.75">
      <c r="A9060" s="12" t="s">
        <v>6946</v>
      </c>
      <c r="B9060" s="1" t="s">
        <v>7110</v>
      </c>
    </row>
    <row r="9061" spans="1:2" ht="18.75">
      <c r="A9061" s="12" t="s">
        <v>6945</v>
      </c>
      <c r="B9061" s="1" t="s">
        <v>7110</v>
      </c>
    </row>
    <row r="9062" spans="1:2" ht="18.75">
      <c r="A9062" s="12" t="s">
        <v>6948</v>
      </c>
      <c r="B9062" s="1" t="s">
        <v>7110</v>
      </c>
    </row>
    <row r="9063" spans="1:2" ht="18.75">
      <c r="A9063" s="12" t="s">
        <v>6966</v>
      </c>
      <c r="B9063" s="1" t="s">
        <v>7110</v>
      </c>
    </row>
    <row r="9064" spans="1:2" ht="18.75">
      <c r="A9064" s="12" t="s">
        <v>6931</v>
      </c>
      <c r="B9064" s="1" t="s">
        <v>7110</v>
      </c>
    </row>
    <row r="9065" spans="1:2" ht="18.75">
      <c r="A9065" s="12" t="s">
        <v>6931</v>
      </c>
      <c r="B9065" s="1" t="s">
        <v>7110</v>
      </c>
    </row>
    <row r="9066" spans="1:2" ht="18.75">
      <c r="A9066" s="12" t="s">
        <v>6966</v>
      </c>
      <c r="B9066" s="1" t="s">
        <v>7110</v>
      </c>
    </row>
    <row r="9067" spans="1:2" ht="18.75">
      <c r="A9067" s="12" t="s">
        <v>6966</v>
      </c>
      <c r="B9067" s="1" t="s">
        <v>7110</v>
      </c>
    </row>
    <row r="9068" spans="1:2" ht="18.75">
      <c r="A9068" s="12" t="s">
        <v>6967</v>
      </c>
      <c r="B9068" s="1" t="s">
        <v>7110</v>
      </c>
    </row>
    <row r="9069" spans="1:2" ht="18.75">
      <c r="A9069" s="12" t="s">
        <v>6931</v>
      </c>
      <c r="B9069" s="1" t="s">
        <v>7110</v>
      </c>
    </row>
    <row r="9070" spans="1:2" ht="18.75">
      <c r="A9070" s="12" t="s">
        <v>6931</v>
      </c>
      <c r="B9070" s="1" t="s">
        <v>7110</v>
      </c>
    </row>
    <row r="9071" spans="1:2" ht="18.75">
      <c r="A9071" s="12" t="s">
        <v>6967</v>
      </c>
      <c r="B9071" s="1" t="s">
        <v>7110</v>
      </c>
    </row>
    <row r="9072" spans="1:2" ht="18.75">
      <c r="A9072" s="12" t="s">
        <v>6906</v>
      </c>
      <c r="B9072" s="1" t="s">
        <v>7110</v>
      </c>
    </row>
    <row r="9073" spans="1:2" ht="18.75">
      <c r="A9073" s="12" t="s">
        <v>6967</v>
      </c>
      <c r="B9073" s="1" t="s">
        <v>7110</v>
      </c>
    </row>
    <row r="9074" spans="1:2" ht="18.75">
      <c r="A9074" s="12" t="s">
        <v>6968</v>
      </c>
      <c r="B9074" s="1" t="s">
        <v>7110</v>
      </c>
    </row>
    <row r="9075" spans="1:2" ht="18.75">
      <c r="A9075" s="12" t="s">
        <v>6956</v>
      </c>
      <c r="B9075" s="1" t="s">
        <v>7110</v>
      </c>
    </row>
    <row r="9076" spans="1:2" ht="18.75">
      <c r="A9076" s="12" t="s">
        <v>6954</v>
      </c>
      <c r="B9076" s="1" t="s">
        <v>7110</v>
      </c>
    </row>
    <row r="9077" spans="1:2" ht="18.75">
      <c r="A9077" s="12" t="s">
        <v>6969</v>
      </c>
      <c r="B9077" s="1" t="s">
        <v>7110</v>
      </c>
    </row>
    <row r="9078" spans="1:2" ht="18.75">
      <c r="A9078" s="12" t="s">
        <v>6970</v>
      </c>
      <c r="B9078" s="1" t="s">
        <v>7110</v>
      </c>
    </row>
    <row r="9079" spans="1:2" ht="18.75">
      <c r="A9079" s="12" t="s">
        <v>6950</v>
      </c>
      <c r="B9079" s="1" t="s">
        <v>7110</v>
      </c>
    </row>
    <row r="9080" spans="1:2" ht="18.75">
      <c r="A9080" s="12" t="s">
        <v>6959</v>
      </c>
      <c r="B9080" s="1" t="s">
        <v>7110</v>
      </c>
    </row>
    <row r="9081" spans="1:2" ht="18.75">
      <c r="A9081" s="12" t="s">
        <v>6971</v>
      </c>
      <c r="B9081" s="1" t="s">
        <v>7110</v>
      </c>
    </row>
    <row r="9082" spans="1:2" ht="18.75">
      <c r="A9082" s="12" t="s">
        <v>6972</v>
      </c>
      <c r="B9082" s="1" t="s">
        <v>7110</v>
      </c>
    </row>
    <row r="9083" spans="1:2" ht="18.75">
      <c r="A9083" s="12" t="s">
        <v>6973</v>
      </c>
      <c r="B9083" s="1" t="s">
        <v>7110</v>
      </c>
    </row>
    <row r="9084" spans="1:2" ht="18.75">
      <c r="A9084" s="12" t="s">
        <v>6974</v>
      </c>
      <c r="B9084" s="1" t="s">
        <v>7110</v>
      </c>
    </row>
    <row r="9085" spans="1:2" ht="18.75">
      <c r="A9085" s="12" t="s">
        <v>6975</v>
      </c>
      <c r="B9085" s="1" t="s">
        <v>7110</v>
      </c>
    </row>
    <row r="9086" spans="1:2" ht="18.75">
      <c r="A9086" s="12" t="s">
        <v>6976</v>
      </c>
      <c r="B9086" s="1" t="s">
        <v>7110</v>
      </c>
    </row>
    <row r="9087" spans="1:2" ht="18.75">
      <c r="A9087" s="12" t="s">
        <v>6977</v>
      </c>
      <c r="B9087" s="1" t="s">
        <v>7110</v>
      </c>
    </row>
    <row r="9088" spans="1:2" ht="18.75">
      <c r="A9088" s="12" t="s">
        <v>6978</v>
      </c>
      <c r="B9088" s="1" t="s">
        <v>7110</v>
      </c>
    </row>
    <row r="9089" spans="1:2" ht="18.75">
      <c r="A9089" s="12" t="s">
        <v>6979</v>
      </c>
      <c r="B9089" s="1" t="s">
        <v>7110</v>
      </c>
    </row>
    <row r="9090" spans="1:2" ht="18.75">
      <c r="A9090" s="12" t="s">
        <v>6980</v>
      </c>
      <c r="B9090" s="1" t="s">
        <v>7110</v>
      </c>
    </row>
    <row r="9091" spans="1:2" ht="18.75">
      <c r="A9091" s="12" t="s">
        <v>6981</v>
      </c>
      <c r="B9091" s="1" t="s">
        <v>7110</v>
      </c>
    </row>
    <row r="9092" spans="1:2" ht="18.75">
      <c r="A9092" s="12" t="s">
        <v>6955</v>
      </c>
      <c r="B9092" s="1" t="s">
        <v>7110</v>
      </c>
    </row>
    <row r="9093" spans="1:2" ht="18.75">
      <c r="A9093" s="12" t="s">
        <v>6982</v>
      </c>
      <c r="B9093" s="1" t="s">
        <v>7110</v>
      </c>
    </row>
    <row r="9094" spans="1:2" ht="18.75">
      <c r="A9094" s="12" t="s">
        <v>6983</v>
      </c>
      <c r="B9094" s="1" t="s">
        <v>7110</v>
      </c>
    </row>
    <row r="9095" spans="1:2" ht="18.75">
      <c r="A9095" s="12" t="s">
        <v>6984</v>
      </c>
      <c r="B9095" s="1" t="s">
        <v>7110</v>
      </c>
    </row>
    <row r="9096" spans="1:2" ht="18.75">
      <c r="A9096" s="12" t="s">
        <v>6959</v>
      </c>
      <c r="B9096" s="1" t="s">
        <v>7110</v>
      </c>
    </row>
    <row r="9097" spans="1:2" ht="18.75">
      <c r="A9097" s="12" t="s">
        <v>6985</v>
      </c>
      <c r="B9097" s="1" t="s">
        <v>7110</v>
      </c>
    </row>
    <row r="9098" spans="1:2" ht="18.75">
      <c r="A9098" s="12" t="s">
        <v>6986</v>
      </c>
      <c r="B9098" s="1" t="s">
        <v>7110</v>
      </c>
    </row>
    <row r="9099" spans="1:2" ht="18.75">
      <c r="A9099" s="12" t="s">
        <v>6959</v>
      </c>
      <c r="B9099" s="1" t="s">
        <v>7110</v>
      </c>
    </row>
    <row r="9100" spans="1:2" ht="18.75">
      <c r="A9100" s="12" t="s">
        <v>6987</v>
      </c>
      <c r="B9100" s="1" t="s">
        <v>7110</v>
      </c>
    </row>
    <row r="9101" spans="1:2" ht="18.75">
      <c r="A9101" s="12" t="s">
        <v>6988</v>
      </c>
      <c r="B9101" s="1" t="s">
        <v>7110</v>
      </c>
    </row>
    <row r="9102" spans="1:2" ht="18.75">
      <c r="A9102" s="12" t="s">
        <v>6989</v>
      </c>
      <c r="B9102" s="1" t="s">
        <v>7110</v>
      </c>
    </row>
    <row r="9103" spans="1:2" ht="18.75">
      <c r="A9103" s="12" t="s">
        <v>6987</v>
      </c>
      <c r="B9103" s="1" t="s">
        <v>7110</v>
      </c>
    </row>
    <row r="9104" spans="1:2" ht="18.75">
      <c r="A9104" s="12" t="s">
        <v>6987</v>
      </c>
      <c r="B9104" s="1" t="s">
        <v>7110</v>
      </c>
    </row>
    <row r="9105" spans="1:2" ht="18.75">
      <c r="A9105" s="12" t="s">
        <v>6990</v>
      </c>
      <c r="B9105" s="1" t="s">
        <v>7110</v>
      </c>
    </row>
    <row r="9106" spans="1:2" ht="18.75">
      <c r="A9106" s="12" t="s">
        <v>6962</v>
      </c>
      <c r="B9106" s="1" t="s">
        <v>7110</v>
      </c>
    </row>
    <row r="9107" spans="1:2" ht="18.75">
      <c r="A9107" s="12" t="s">
        <v>6962</v>
      </c>
      <c r="B9107" s="1" t="s">
        <v>7110</v>
      </c>
    </row>
    <row r="9108" spans="1:2" ht="18.75">
      <c r="A9108" s="12" t="s">
        <v>6991</v>
      </c>
      <c r="B9108" s="1" t="s">
        <v>7110</v>
      </c>
    </row>
    <row r="9109" spans="1:2" ht="18.75">
      <c r="A9109" s="12" t="s">
        <v>6992</v>
      </c>
      <c r="B9109" s="1" t="s">
        <v>7110</v>
      </c>
    </row>
    <row r="9110" spans="1:2" ht="18.75">
      <c r="A9110" s="12" t="s">
        <v>6993</v>
      </c>
      <c r="B9110" s="1" t="s">
        <v>7110</v>
      </c>
    </row>
    <row r="9111" spans="1:2" ht="18.75">
      <c r="A9111" s="12" t="s">
        <v>6994</v>
      </c>
      <c r="B9111" s="1" t="s">
        <v>7110</v>
      </c>
    </row>
    <row r="9112" spans="1:2" ht="18.75">
      <c r="A9112" s="12" t="s">
        <v>6995</v>
      </c>
      <c r="B9112" s="1" t="s">
        <v>7110</v>
      </c>
    </row>
    <row r="9113" spans="1:2" ht="18.75">
      <c r="A9113" s="12" t="s">
        <v>6996</v>
      </c>
      <c r="B9113" s="1" t="s">
        <v>7110</v>
      </c>
    </row>
    <row r="9114" spans="1:2" ht="18.75">
      <c r="A9114" s="12" t="s">
        <v>6997</v>
      </c>
      <c r="B9114" s="1" t="s">
        <v>7110</v>
      </c>
    </row>
    <row r="9115" spans="1:2" ht="18.75">
      <c r="A9115" s="12" t="s">
        <v>6986</v>
      </c>
      <c r="B9115" s="1" t="s">
        <v>7110</v>
      </c>
    </row>
    <row r="9116" spans="1:2" ht="18.75">
      <c r="A9116" s="12" t="s">
        <v>6998</v>
      </c>
      <c r="B9116" s="1" t="s">
        <v>7110</v>
      </c>
    </row>
    <row r="9117" spans="1:2" ht="18.75">
      <c r="A9117" s="12" t="s">
        <v>6999</v>
      </c>
      <c r="B9117" s="1" t="s">
        <v>7110</v>
      </c>
    </row>
    <row r="9118" spans="1:2" ht="18.75">
      <c r="A9118" s="12" t="s">
        <v>6959</v>
      </c>
      <c r="B9118" s="1" t="s">
        <v>7110</v>
      </c>
    </row>
    <row r="9119" spans="1:2" ht="18.75">
      <c r="A9119" s="12" t="s">
        <v>7000</v>
      </c>
      <c r="B9119" s="1" t="s">
        <v>7110</v>
      </c>
    </row>
    <row r="9120" spans="1:2" ht="18.75">
      <c r="A9120" s="12" t="s">
        <v>6955</v>
      </c>
      <c r="B9120" s="1" t="s">
        <v>7110</v>
      </c>
    </row>
    <row r="9121" spans="1:2" ht="18.75">
      <c r="A9121" s="12" t="s">
        <v>7001</v>
      </c>
      <c r="B9121" s="1" t="s">
        <v>7110</v>
      </c>
    </row>
    <row r="9122" spans="1:2" ht="18.75">
      <c r="A9122" s="12" t="s">
        <v>7002</v>
      </c>
      <c r="B9122" s="1" t="s">
        <v>7110</v>
      </c>
    </row>
    <row r="9123" spans="1:2" ht="18.75">
      <c r="A9123" s="12" t="s">
        <v>7002</v>
      </c>
      <c r="B9123" s="1" t="s">
        <v>7110</v>
      </c>
    </row>
    <row r="9124" spans="1:2" ht="18.75">
      <c r="A9124" s="12" t="s">
        <v>7003</v>
      </c>
      <c r="B9124" s="1" t="s">
        <v>7110</v>
      </c>
    </row>
    <row r="9125" spans="1:2" ht="18.75">
      <c r="A9125" s="12" t="s">
        <v>7004</v>
      </c>
      <c r="B9125" s="1" t="s">
        <v>7110</v>
      </c>
    </row>
    <row r="9126" spans="1:2" ht="18.75">
      <c r="A9126" s="12" t="s">
        <v>6962</v>
      </c>
      <c r="B9126" s="1" t="s">
        <v>7110</v>
      </c>
    </row>
    <row r="9127" spans="1:2" ht="18.75">
      <c r="A9127" s="12" t="s">
        <v>7002</v>
      </c>
      <c r="B9127" s="1" t="s">
        <v>7110</v>
      </c>
    </row>
    <row r="9128" spans="1:2" ht="18.75">
      <c r="A9128" s="12" t="s">
        <v>7005</v>
      </c>
      <c r="B9128" s="1" t="s">
        <v>7110</v>
      </c>
    </row>
    <row r="9129" spans="1:2" ht="18.75">
      <c r="A9129" s="12" t="s">
        <v>6937</v>
      </c>
      <c r="B9129" s="1" t="s">
        <v>7110</v>
      </c>
    </row>
    <row r="9130" spans="1:2" ht="18.75">
      <c r="A9130" s="12" t="s">
        <v>7006</v>
      </c>
      <c r="B9130" s="1" t="s">
        <v>7110</v>
      </c>
    </row>
    <row r="9131" spans="1:2" ht="18.75">
      <c r="A9131" s="12" t="s">
        <v>6950</v>
      </c>
      <c r="B9131" s="1" t="s">
        <v>7110</v>
      </c>
    </row>
    <row r="9132" spans="1:2" ht="18.75">
      <c r="A9132" s="12" t="s">
        <v>7007</v>
      </c>
      <c r="B9132" s="1" t="s">
        <v>7110</v>
      </c>
    </row>
    <row r="9133" spans="1:2" ht="18.75">
      <c r="A9133" s="12" t="s">
        <v>7008</v>
      </c>
      <c r="B9133" s="1" t="s">
        <v>7110</v>
      </c>
    </row>
    <row r="9134" spans="1:2" ht="18.75">
      <c r="A9134" s="12" t="s">
        <v>7002</v>
      </c>
      <c r="B9134" s="1" t="s">
        <v>7110</v>
      </c>
    </row>
    <row r="9135" spans="1:2" ht="18.75">
      <c r="A9135" s="12" t="s">
        <v>6987</v>
      </c>
      <c r="B9135" s="1" t="s">
        <v>7110</v>
      </c>
    </row>
    <row r="9136" spans="1:2" ht="18.75">
      <c r="A9136" s="12" t="s">
        <v>6994</v>
      </c>
      <c r="B9136" s="1" t="s">
        <v>7110</v>
      </c>
    </row>
    <row r="9137" spans="1:2" ht="18.75">
      <c r="A9137" s="12" t="s">
        <v>7009</v>
      </c>
      <c r="B9137" s="1" t="s">
        <v>7110</v>
      </c>
    </row>
    <row r="9138" spans="1:2" ht="18.75">
      <c r="A9138" s="12" t="s">
        <v>7010</v>
      </c>
      <c r="B9138" s="1" t="s">
        <v>7110</v>
      </c>
    </row>
    <row r="9139" spans="1:2" ht="18.75">
      <c r="A9139" s="12" t="s">
        <v>7011</v>
      </c>
      <c r="B9139" s="1" t="s">
        <v>7110</v>
      </c>
    </row>
    <row r="9140" spans="1:2" ht="18.75">
      <c r="A9140" s="12" t="s">
        <v>7012</v>
      </c>
      <c r="B9140" s="1" t="s">
        <v>7110</v>
      </c>
    </row>
    <row r="9141" spans="1:2" ht="18.75">
      <c r="A9141" s="12" t="s">
        <v>7013</v>
      </c>
      <c r="B9141" s="1" t="s">
        <v>7110</v>
      </c>
    </row>
    <row r="9142" spans="1:2" ht="18.75">
      <c r="A9142" s="12" t="s">
        <v>7012</v>
      </c>
      <c r="B9142" s="1" t="s">
        <v>7110</v>
      </c>
    </row>
    <row r="9143" spans="1:2" ht="18.75">
      <c r="A9143" s="12" t="s">
        <v>7011</v>
      </c>
      <c r="B9143" s="1" t="s">
        <v>7110</v>
      </c>
    </row>
    <row r="9144" spans="1:2" ht="18.75">
      <c r="A9144" s="12" t="s">
        <v>7014</v>
      </c>
      <c r="B9144" s="1" t="s">
        <v>7110</v>
      </c>
    </row>
    <row r="9145" spans="1:2" ht="18.75">
      <c r="A9145" s="12" t="s">
        <v>7015</v>
      </c>
      <c r="B9145" s="1" t="s">
        <v>7110</v>
      </c>
    </row>
    <row r="9146" spans="1:2" ht="18.75">
      <c r="A9146" s="12" t="s">
        <v>7016</v>
      </c>
      <c r="B9146" s="1" t="s">
        <v>7110</v>
      </c>
    </row>
    <row r="9147" spans="1:2" ht="18.75">
      <c r="A9147" s="12" t="s">
        <v>7017</v>
      </c>
      <c r="B9147" s="1" t="s">
        <v>7110</v>
      </c>
    </row>
    <row r="9148" spans="1:2" ht="18.75">
      <c r="A9148" s="12" t="s">
        <v>7018</v>
      </c>
      <c r="B9148" s="1" t="s">
        <v>7110</v>
      </c>
    </row>
    <row r="9149" spans="1:2" ht="18.75">
      <c r="A9149" s="12" t="s">
        <v>7019</v>
      </c>
      <c r="B9149" s="1" t="s">
        <v>7110</v>
      </c>
    </row>
    <row r="9150" spans="1:2" ht="18.75">
      <c r="A9150" s="12" t="s">
        <v>7020</v>
      </c>
      <c r="B9150" s="1" t="s">
        <v>7110</v>
      </c>
    </row>
    <row r="9151" spans="1:2" ht="18.75">
      <c r="A9151" s="12" t="s">
        <v>7021</v>
      </c>
      <c r="B9151" s="1" t="s">
        <v>7110</v>
      </c>
    </row>
    <row r="9152" spans="1:2" ht="18.75">
      <c r="A9152" s="12" t="s">
        <v>7022</v>
      </c>
      <c r="B9152" s="1" t="s">
        <v>7110</v>
      </c>
    </row>
    <row r="9153" spans="1:2" ht="18.75">
      <c r="A9153" s="12" t="s">
        <v>7023</v>
      </c>
      <c r="B9153" s="1" t="s">
        <v>7110</v>
      </c>
    </row>
    <row r="9154" spans="1:2" ht="18.75">
      <c r="A9154" s="12" t="s">
        <v>6907</v>
      </c>
      <c r="B9154" s="1" t="s">
        <v>7110</v>
      </c>
    </row>
    <row r="9155" spans="1:2" ht="18.75">
      <c r="A9155" s="12" t="s">
        <v>7024</v>
      </c>
      <c r="B9155" s="1" t="s">
        <v>7110</v>
      </c>
    </row>
    <row r="9156" spans="1:2" ht="18.75">
      <c r="A9156" s="12" t="s">
        <v>7002</v>
      </c>
      <c r="B9156" s="1" t="s">
        <v>7110</v>
      </c>
    </row>
    <row r="9157" spans="1:2" ht="18.75">
      <c r="A9157" s="12" t="s">
        <v>7017</v>
      </c>
      <c r="B9157" s="1" t="s">
        <v>7110</v>
      </c>
    </row>
    <row r="9158" spans="1:2" ht="18.75">
      <c r="A9158" s="12" t="s">
        <v>7025</v>
      </c>
      <c r="B9158" s="1" t="s">
        <v>7110</v>
      </c>
    </row>
    <row r="9159" spans="1:2" ht="18.75">
      <c r="A9159" s="12" t="s">
        <v>7005</v>
      </c>
      <c r="B9159" s="1" t="s">
        <v>7110</v>
      </c>
    </row>
    <row r="9160" spans="1:2" ht="18.75">
      <c r="A9160" s="12" t="s">
        <v>7026</v>
      </c>
      <c r="B9160" s="1" t="s">
        <v>7110</v>
      </c>
    </row>
    <row r="9161" spans="1:2" ht="18.75">
      <c r="A9161" s="12" t="s">
        <v>7027</v>
      </c>
      <c r="B9161" s="1" t="s">
        <v>7110</v>
      </c>
    </row>
    <row r="9162" spans="1:2" ht="18.75">
      <c r="A9162" s="12" t="s">
        <v>7021</v>
      </c>
      <c r="B9162" s="1" t="s">
        <v>7110</v>
      </c>
    </row>
    <row r="9163" spans="1:2" ht="18.75">
      <c r="A9163" s="12" t="s">
        <v>7028</v>
      </c>
      <c r="B9163" s="1" t="s">
        <v>7110</v>
      </c>
    </row>
    <row r="9164" spans="1:2" ht="18.75">
      <c r="A9164" s="12" t="s">
        <v>6969</v>
      </c>
      <c r="B9164" s="1" t="s">
        <v>7110</v>
      </c>
    </row>
    <row r="9165" spans="1:2" ht="18.75">
      <c r="A9165" s="12" t="s">
        <v>7007</v>
      </c>
      <c r="B9165" s="1" t="s">
        <v>7110</v>
      </c>
    </row>
    <row r="9166" spans="1:2" ht="18.75">
      <c r="A9166" s="12" t="s">
        <v>6982</v>
      </c>
      <c r="B9166" s="1" t="s">
        <v>7110</v>
      </c>
    </row>
    <row r="9167" spans="1:2" ht="18.75">
      <c r="A9167" s="12" t="s">
        <v>7029</v>
      </c>
      <c r="B9167" s="1" t="s">
        <v>7110</v>
      </c>
    </row>
    <row r="9168" spans="1:2" ht="18.75">
      <c r="A9168" s="12" t="s">
        <v>7021</v>
      </c>
      <c r="B9168" s="1" t="s">
        <v>7110</v>
      </c>
    </row>
    <row r="9169" spans="1:2" ht="18.75">
      <c r="A9169" s="12" t="s">
        <v>7016</v>
      </c>
      <c r="B9169" s="1" t="s">
        <v>7110</v>
      </c>
    </row>
    <row r="9170" spans="1:2" ht="18.75">
      <c r="A9170" s="12" t="s">
        <v>7030</v>
      </c>
      <c r="B9170" s="1" t="s">
        <v>7110</v>
      </c>
    </row>
    <row r="9171" spans="1:2" ht="18.75">
      <c r="A9171" s="12" t="s">
        <v>7031</v>
      </c>
      <c r="B9171" s="1" t="s">
        <v>7110</v>
      </c>
    </row>
    <row r="9172" spans="1:2" ht="18.75">
      <c r="A9172" s="12" t="s">
        <v>7029</v>
      </c>
      <c r="B9172" s="1" t="s">
        <v>7110</v>
      </c>
    </row>
    <row r="9173" spans="1:2" ht="18.75">
      <c r="A9173" s="12" t="s">
        <v>7032</v>
      </c>
      <c r="B9173" s="1" t="s">
        <v>7110</v>
      </c>
    </row>
    <row r="9174" spans="1:2" ht="18.75">
      <c r="A9174" s="12" t="s">
        <v>7001</v>
      </c>
      <c r="B9174" s="1" t="s">
        <v>7110</v>
      </c>
    </row>
    <row r="9175" spans="1:2" ht="18.75">
      <c r="A9175" s="12" t="s">
        <v>7030</v>
      </c>
      <c r="B9175" s="1" t="s">
        <v>7110</v>
      </c>
    </row>
    <row r="9176" spans="1:2" ht="18.75">
      <c r="A9176" s="12" t="s">
        <v>7028</v>
      </c>
      <c r="B9176" s="1" t="s">
        <v>7110</v>
      </c>
    </row>
    <row r="9177" spans="1:2" ht="18.75">
      <c r="A9177" s="12" t="s">
        <v>7025</v>
      </c>
      <c r="B9177" s="1" t="s">
        <v>7110</v>
      </c>
    </row>
    <row r="9178" spans="1:2" ht="18.75">
      <c r="A9178" s="12" t="s">
        <v>7033</v>
      </c>
      <c r="B9178" s="1" t="s">
        <v>7110</v>
      </c>
    </row>
    <row r="9179" spans="1:2" ht="18.75">
      <c r="A9179" s="12" t="s">
        <v>7021</v>
      </c>
      <c r="B9179" s="1" t="s">
        <v>7110</v>
      </c>
    </row>
    <row r="9180" spans="1:2" ht="18.75">
      <c r="A9180" s="12" t="s">
        <v>7021</v>
      </c>
      <c r="B9180" s="1" t="s">
        <v>7110</v>
      </c>
    </row>
    <row r="9181" spans="1:2" ht="18.75">
      <c r="A9181" s="12" t="s">
        <v>6962</v>
      </c>
      <c r="B9181" s="1" t="s">
        <v>7110</v>
      </c>
    </row>
    <row r="9182" spans="1:2" ht="18.75">
      <c r="A9182" s="12" t="s">
        <v>7033</v>
      </c>
      <c r="B9182" s="1" t="s">
        <v>7110</v>
      </c>
    </row>
    <row r="9183" spans="1:2" ht="18.75">
      <c r="A9183" s="12" t="s">
        <v>7034</v>
      </c>
      <c r="B9183" s="1" t="s">
        <v>7110</v>
      </c>
    </row>
    <row r="9184" spans="1:2" ht="18.75">
      <c r="A9184" s="12" t="s">
        <v>6936</v>
      </c>
      <c r="B9184" s="1" t="s">
        <v>7110</v>
      </c>
    </row>
    <row r="9185" spans="1:2" ht="18.75">
      <c r="A9185" s="12" t="s">
        <v>6936</v>
      </c>
      <c r="B9185" s="1" t="s">
        <v>7110</v>
      </c>
    </row>
    <row r="9186" spans="1:2" ht="18.75">
      <c r="A9186" s="12" t="s">
        <v>7035</v>
      </c>
      <c r="B9186" s="1" t="s">
        <v>7110</v>
      </c>
    </row>
    <row r="9187" spans="1:2" ht="18.75">
      <c r="A9187" s="12" t="s">
        <v>7036</v>
      </c>
      <c r="B9187" s="1" t="s">
        <v>7110</v>
      </c>
    </row>
    <row r="9188" spans="1:2" ht="18.75">
      <c r="A9188" s="12" t="s">
        <v>7035</v>
      </c>
      <c r="B9188" s="1" t="s">
        <v>7110</v>
      </c>
    </row>
    <row r="9189" spans="1:2" ht="18.75">
      <c r="A9189" s="12" t="s">
        <v>6936</v>
      </c>
      <c r="B9189" s="1" t="s">
        <v>7110</v>
      </c>
    </row>
    <row r="9190" spans="1:2" ht="18.75">
      <c r="A9190" s="12" t="s">
        <v>6928</v>
      </c>
      <c r="B9190" s="1" t="s">
        <v>7110</v>
      </c>
    </row>
    <row r="9191" spans="1:2" ht="18.75">
      <c r="A9191" s="12" t="s">
        <v>7034</v>
      </c>
      <c r="B9191" s="1" t="s">
        <v>7110</v>
      </c>
    </row>
    <row r="9192" spans="1:2" ht="18.75">
      <c r="A9192" s="12" t="s">
        <v>7034</v>
      </c>
      <c r="B9192" s="1" t="s">
        <v>7110</v>
      </c>
    </row>
    <row r="9193" spans="1:2" ht="18.75">
      <c r="A9193" s="12" t="s">
        <v>7037</v>
      </c>
      <c r="B9193" s="1" t="s">
        <v>7110</v>
      </c>
    </row>
    <row r="9194" spans="1:2" ht="18.75">
      <c r="A9194" s="12" t="s">
        <v>7038</v>
      </c>
      <c r="B9194" s="1" t="s">
        <v>7110</v>
      </c>
    </row>
    <row r="9195" spans="1:2" ht="18.75">
      <c r="A9195" s="12" t="s">
        <v>7029</v>
      </c>
      <c r="B9195" s="1" t="s">
        <v>7110</v>
      </c>
    </row>
    <row r="9196" spans="1:2" ht="18.75">
      <c r="A9196" s="12" t="s">
        <v>7039</v>
      </c>
      <c r="B9196" s="1" t="s">
        <v>7110</v>
      </c>
    </row>
    <row r="9197" spans="1:2" ht="18.75">
      <c r="A9197" s="12" t="s">
        <v>7017</v>
      </c>
      <c r="B9197" s="1" t="s">
        <v>7110</v>
      </c>
    </row>
    <row r="9198" spans="1:2" ht="18.75">
      <c r="A9198" s="12" t="s">
        <v>7040</v>
      </c>
      <c r="B9198" s="1" t="s">
        <v>7110</v>
      </c>
    </row>
    <row r="9199" spans="1:2" ht="18.75">
      <c r="A9199" s="12" t="s">
        <v>7003</v>
      </c>
      <c r="B9199" s="1" t="s">
        <v>7110</v>
      </c>
    </row>
    <row r="9200" spans="1:2" ht="18.75">
      <c r="A9200" s="12" t="s">
        <v>7023</v>
      </c>
      <c r="B9200" s="1" t="s">
        <v>7110</v>
      </c>
    </row>
    <row r="9201" spans="1:2" ht="18.75">
      <c r="A9201" s="12" t="s">
        <v>7041</v>
      </c>
      <c r="B9201" s="1" t="s">
        <v>7110</v>
      </c>
    </row>
    <row r="9202" spans="1:2" ht="18.75">
      <c r="A9202" s="12" t="s">
        <v>6928</v>
      </c>
      <c r="B9202" s="1" t="s">
        <v>7110</v>
      </c>
    </row>
    <row r="9203" spans="1:2" ht="18.75">
      <c r="A9203" s="12" t="s">
        <v>7042</v>
      </c>
      <c r="B9203" s="1" t="s">
        <v>7110</v>
      </c>
    </row>
    <row r="9204" spans="1:2" ht="18.75">
      <c r="A9204" s="12" t="s">
        <v>7042</v>
      </c>
      <c r="B9204" s="1" t="s">
        <v>7110</v>
      </c>
    </row>
    <row r="9205" spans="1:2" ht="18.75">
      <c r="A9205" s="12" t="s">
        <v>7043</v>
      </c>
      <c r="B9205" s="1" t="s">
        <v>7110</v>
      </c>
    </row>
    <row r="9206" spans="1:2" ht="18.75">
      <c r="A9206" s="12" t="s">
        <v>7044</v>
      </c>
      <c r="B9206" s="1" t="s">
        <v>7110</v>
      </c>
    </row>
    <row r="9207" spans="1:2" ht="18.75">
      <c r="A9207" s="12" t="s">
        <v>7044</v>
      </c>
      <c r="B9207" s="1" t="s">
        <v>7110</v>
      </c>
    </row>
    <row r="9208" spans="1:2" ht="18.75">
      <c r="A9208" s="12" t="s">
        <v>7044</v>
      </c>
      <c r="B9208" s="1" t="s">
        <v>7110</v>
      </c>
    </row>
    <row r="9209" spans="1:2" ht="18.75">
      <c r="A9209" s="12" t="s">
        <v>6928</v>
      </c>
      <c r="B9209" s="1" t="s">
        <v>7110</v>
      </c>
    </row>
    <row r="9210" spans="1:2" ht="18.75">
      <c r="A9210" s="12" t="s">
        <v>6926</v>
      </c>
      <c r="B9210" s="1" t="s">
        <v>7110</v>
      </c>
    </row>
    <row r="9211" spans="1:2" ht="18.75">
      <c r="A9211" s="12" t="s">
        <v>7043</v>
      </c>
      <c r="B9211" s="1" t="s">
        <v>7110</v>
      </c>
    </row>
    <row r="9212" spans="1:2" ht="18.75">
      <c r="A9212" s="12" t="s">
        <v>7043</v>
      </c>
      <c r="B9212" s="1" t="s">
        <v>7110</v>
      </c>
    </row>
    <row r="9213" spans="1:2" ht="18.75">
      <c r="A9213" s="12" t="s">
        <v>7044</v>
      </c>
      <c r="B9213" s="1" t="s">
        <v>7110</v>
      </c>
    </row>
    <row r="9214" spans="1:2" ht="18.75">
      <c r="A9214" s="12" t="s">
        <v>7044</v>
      </c>
      <c r="B9214" s="1" t="s">
        <v>7110</v>
      </c>
    </row>
    <row r="9215" spans="1:2" ht="18.75">
      <c r="A9215" s="12" t="s">
        <v>7034</v>
      </c>
      <c r="B9215" s="1" t="s">
        <v>7110</v>
      </c>
    </row>
    <row r="9216" spans="1:2" ht="18.75">
      <c r="A9216" s="12" t="s">
        <v>7045</v>
      </c>
      <c r="B9216" s="1" t="s">
        <v>7110</v>
      </c>
    </row>
    <row r="9217" spans="1:2" ht="18.75">
      <c r="A9217" s="12" t="s">
        <v>7046</v>
      </c>
      <c r="B9217" s="1" t="s">
        <v>7110</v>
      </c>
    </row>
    <row r="9218" spans="1:2" ht="18.75">
      <c r="A9218" s="12" t="s">
        <v>7046</v>
      </c>
      <c r="B9218" s="1" t="s">
        <v>7110</v>
      </c>
    </row>
    <row r="9219" spans="1:2" ht="18.75">
      <c r="A9219" s="12" t="s">
        <v>7047</v>
      </c>
      <c r="B9219" s="1" t="s">
        <v>7110</v>
      </c>
    </row>
    <row r="9220" spans="1:2" ht="18.75">
      <c r="A9220" s="12" t="s">
        <v>7048</v>
      </c>
      <c r="B9220" s="1" t="s">
        <v>7110</v>
      </c>
    </row>
    <row r="9221" spans="1:2" ht="18.75">
      <c r="A9221" s="12" t="s">
        <v>7049</v>
      </c>
      <c r="B9221" s="1" t="s">
        <v>7110</v>
      </c>
    </row>
    <row r="9222" spans="1:2" ht="18.75">
      <c r="A9222" s="12" t="s">
        <v>7050</v>
      </c>
      <c r="B9222" s="1" t="s">
        <v>7110</v>
      </c>
    </row>
    <row r="9223" spans="1:2" ht="18.75">
      <c r="A9223" s="12" t="s">
        <v>7051</v>
      </c>
      <c r="B9223" s="1" t="s">
        <v>7110</v>
      </c>
    </row>
    <row r="9224" spans="1:2" ht="18.75">
      <c r="A9224" s="12" t="s">
        <v>7049</v>
      </c>
      <c r="B9224" s="1" t="s">
        <v>7110</v>
      </c>
    </row>
    <row r="9225" spans="1:2" ht="18.75">
      <c r="A9225" s="12" t="s">
        <v>7052</v>
      </c>
      <c r="B9225" s="1" t="s">
        <v>7110</v>
      </c>
    </row>
    <row r="9226" spans="1:2" ht="18.75">
      <c r="A9226" s="12" t="s">
        <v>7051</v>
      </c>
      <c r="B9226" s="1" t="s">
        <v>7110</v>
      </c>
    </row>
    <row r="9227" spans="1:2" ht="18.75">
      <c r="A9227" s="12" t="s">
        <v>7051</v>
      </c>
      <c r="B9227" s="1" t="s">
        <v>7110</v>
      </c>
    </row>
    <row r="9228" spans="1:2" ht="18.75">
      <c r="A9228" s="12" t="s">
        <v>7051</v>
      </c>
      <c r="B9228" s="1" t="s">
        <v>7110</v>
      </c>
    </row>
    <row r="9229" spans="1:2" ht="18.75">
      <c r="A9229" s="12" t="s">
        <v>7053</v>
      </c>
      <c r="B9229" s="1" t="s">
        <v>7110</v>
      </c>
    </row>
    <row r="9230" spans="1:2" ht="18.75">
      <c r="A9230" s="12" t="s">
        <v>7050</v>
      </c>
      <c r="B9230" s="1" t="s">
        <v>7110</v>
      </c>
    </row>
    <row r="9231" spans="1:2" ht="18.75">
      <c r="A9231" s="12" t="s">
        <v>7054</v>
      </c>
      <c r="B9231" s="1" t="s">
        <v>7110</v>
      </c>
    </row>
    <row r="9232" spans="1:2" ht="18.75">
      <c r="A9232" s="12" t="s">
        <v>7051</v>
      </c>
      <c r="B9232" s="1" t="s">
        <v>7110</v>
      </c>
    </row>
    <row r="9233" spans="1:2" ht="18.75">
      <c r="A9233" s="12" t="s">
        <v>7055</v>
      </c>
      <c r="B9233" s="1" t="s">
        <v>7110</v>
      </c>
    </row>
    <row r="9234" spans="1:2" ht="18.75">
      <c r="A9234" s="12" t="s">
        <v>7056</v>
      </c>
      <c r="B9234" s="1" t="s">
        <v>7110</v>
      </c>
    </row>
    <row r="9235" spans="1:2" ht="18.75">
      <c r="A9235" s="12" t="s">
        <v>7028</v>
      </c>
      <c r="B9235" s="1" t="s">
        <v>7110</v>
      </c>
    </row>
    <row r="9236" spans="1:2" ht="18.75">
      <c r="A9236" s="12" t="s">
        <v>7028</v>
      </c>
      <c r="B9236" s="1" t="s">
        <v>7110</v>
      </c>
    </row>
    <row r="9237" spans="1:2" ht="18.75">
      <c r="A9237" s="12" t="s">
        <v>7026</v>
      </c>
      <c r="B9237" s="1" t="s">
        <v>7110</v>
      </c>
    </row>
    <row r="9238" spans="1:2" ht="18.75">
      <c r="A9238" s="12" t="s">
        <v>7057</v>
      </c>
      <c r="B9238" s="1" t="s">
        <v>7110</v>
      </c>
    </row>
    <row r="9239" spans="1:2" ht="18.75">
      <c r="A9239" s="12" t="s">
        <v>7023</v>
      </c>
      <c r="B9239" s="1" t="s">
        <v>7110</v>
      </c>
    </row>
    <row r="9240" spans="1:2" ht="18.75">
      <c r="A9240" s="12" t="s">
        <v>7058</v>
      </c>
      <c r="B9240" s="1" t="s">
        <v>7110</v>
      </c>
    </row>
    <row r="9241" spans="1:2" ht="18.75">
      <c r="A9241" s="12" t="s">
        <v>7033</v>
      </c>
      <c r="B9241" s="1" t="s">
        <v>7110</v>
      </c>
    </row>
    <row r="9242" spans="1:2" ht="18.75">
      <c r="A9242" s="12" t="s">
        <v>7059</v>
      </c>
      <c r="B9242" s="1" t="s">
        <v>7110</v>
      </c>
    </row>
    <row r="9243" spans="1:2" ht="18.75">
      <c r="A9243" s="12" t="s">
        <v>7007</v>
      </c>
      <c r="B9243" s="1" t="s">
        <v>7110</v>
      </c>
    </row>
    <row r="9244" spans="1:2" ht="18.75">
      <c r="A9244" s="12" t="s">
        <v>7060</v>
      </c>
      <c r="B9244" s="1" t="s">
        <v>7110</v>
      </c>
    </row>
    <row r="9245" spans="1:2" ht="18.75">
      <c r="A9245" s="12" t="s">
        <v>7029</v>
      </c>
      <c r="B9245" s="1" t="s">
        <v>7110</v>
      </c>
    </row>
    <row r="9246" spans="1:2" ht="18.75">
      <c r="A9246" s="12" t="s">
        <v>7058</v>
      </c>
      <c r="B9246" s="1" t="s">
        <v>7110</v>
      </c>
    </row>
    <row r="9247" spans="1:2" ht="18.75">
      <c r="A9247" s="12" t="s">
        <v>6992</v>
      </c>
      <c r="B9247" s="1" t="s">
        <v>7110</v>
      </c>
    </row>
    <row r="9248" spans="1:2" ht="18.75">
      <c r="A9248" s="12" t="s">
        <v>7061</v>
      </c>
      <c r="B9248" s="1" t="s">
        <v>7110</v>
      </c>
    </row>
    <row r="9249" spans="1:2" ht="18.75">
      <c r="A9249" s="12" t="s">
        <v>7057</v>
      </c>
      <c r="B9249" s="1" t="s">
        <v>7110</v>
      </c>
    </row>
    <row r="9250" spans="1:2" ht="18.75">
      <c r="A9250" s="12" t="s">
        <v>7047</v>
      </c>
      <c r="B9250" s="1" t="s">
        <v>7110</v>
      </c>
    </row>
    <row r="9251" spans="1:2" ht="18.75">
      <c r="A9251" s="12" t="s">
        <v>7056</v>
      </c>
      <c r="B9251" s="1" t="s">
        <v>7110</v>
      </c>
    </row>
    <row r="9252" spans="1:2" ht="18.75">
      <c r="A9252" s="12" t="s">
        <v>7057</v>
      </c>
      <c r="B9252" s="1" t="s">
        <v>7110</v>
      </c>
    </row>
    <row r="9253" spans="1:2" ht="18.75">
      <c r="A9253" s="12" t="s">
        <v>7058</v>
      </c>
      <c r="B9253" s="1" t="s">
        <v>7110</v>
      </c>
    </row>
    <row r="9254" spans="1:2" ht="18.75">
      <c r="A9254" s="12" t="s">
        <v>7062</v>
      </c>
      <c r="B9254" s="1" t="s">
        <v>7110</v>
      </c>
    </row>
    <row r="9255" spans="1:2" ht="18.75">
      <c r="A9255" s="12" t="s">
        <v>7058</v>
      </c>
      <c r="B9255" s="1" t="s">
        <v>7110</v>
      </c>
    </row>
    <row r="9256" spans="1:2" ht="18.75">
      <c r="A9256" s="12" t="s">
        <v>7057</v>
      </c>
      <c r="B9256" s="1" t="s">
        <v>7110</v>
      </c>
    </row>
    <row r="9257" spans="1:2" ht="18.75">
      <c r="A9257" s="12" t="s">
        <v>7063</v>
      </c>
      <c r="B9257" s="1" t="s">
        <v>7110</v>
      </c>
    </row>
    <row r="9258" spans="1:2" ht="18.75">
      <c r="A9258" s="12" t="s">
        <v>7037</v>
      </c>
      <c r="B9258" s="1" t="s">
        <v>7110</v>
      </c>
    </row>
    <row r="9259" spans="1:2" ht="18.75">
      <c r="A9259" s="12" t="s">
        <v>7058</v>
      </c>
      <c r="B9259" s="1" t="s">
        <v>7110</v>
      </c>
    </row>
    <row r="9260" spans="1:2" ht="18.75">
      <c r="A9260" s="12" t="s">
        <v>7017</v>
      </c>
      <c r="B9260" s="1" t="s">
        <v>7110</v>
      </c>
    </row>
    <row r="9261" spans="1:2" ht="18.75">
      <c r="A9261" s="12" t="s">
        <v>7047</v>
      </c>
      <c r="B9261" s="1" t="s">
        <v>7110</v>
      </c>
    </row>
    <row r="9262" spans="1:2" ht="18.75">
      <c r="A9262" s="12" t="s">
        <v>7064</v>
      </c>
      <c r="B9262" s="1" t="s">
        <v>7110</v>
      </c>
    </row>
    <row r="9263" spans="1:2" ht="18.75">
      <c r="A9263" s="12" t="s">
        <v>6944</v>
      </c>
      <c r="B9263" s="1" t="s">
        <v>7110</v>
      </c>
    </row>
    <row r="9264" spans="1:2" ht="18.75">
      <c r="A9264" s="12" t="s">
        <v>7065</v>
      </c>
      <c r="B9264" s="1" t="s">
        <v>7110</v>
      </c>
    </row>
    <row r="9265" spans="1:2" ht="18.75">
      <c r="A9265" s="12" t="s">
        <v>7066</v>
      </c>
      <c r="B9265" s="1" t="s">
        <v>7110</v>
      </c>
    </row>
    <row r="9266" spans="1:2" ht="18.75">
      <c r="A9266" s="12" t="s">
        <v>7067</v>
      </c>
      <c r="B9266" s="1" t="s">
        <v>7110</v>
      </c>
    </row>
    <row r="9267" spans="1:2" ht="18.75">
      <c r="A9267" s="12" t="s">
        <v>7068</v>
      </c>
      <c r="B9267" s="1" t="s">
        <v>7110</v>
      </c>
    </row>
    <row r="9268" spans="1:2" ht="18.75">
      <c r="A9268" s="12" t="s">
        <v>7069</v>
      </c>
      <c r="B9268" s="1" t="s">
        <v>7110</v>
      </c>
    </row>
    <row r="9269" spans="1:2" ht="18.75">
      <c r="A9269" s="12" t="s">
        <v>7070</v>
      </c>
      <c r="B9269" s="1" t="s">
        <v>7110</v>
      </c>
    </row>
    <row r="9270" spans="1:2" ht="18.75">
      <c r="A9270" s="12" t="s">
        <v>7071</v>
      </c>
      <c r="B9270" s="1" t="s">
        <v>7110</v>
      </c>
    </row>
    <row r="9271" spans="1:2" ht="18.75">
      <c r="A9271" s="12" t="s">
        <v>7068</v>
      </c>
      <c r="B9271" s="1" t="s">
        <v>7110</v>
      </c>
    </row>
    <row r="9272" spans="1:2" ht="18.75">
      <c r="A9272" s="12" t="s">
        <v>7072</v>
      </c>
      <c r="B9272" s="1" t="s">
        <v>7110</v>
      </c>
    </row>
    <row r="9273" spans="1:2" ht="18.75">
      <c r="A9273" s="12" t="s">
        <v>7073</v>
      </c>
      <c r="B9273" s="1" t="s">
        <v>7110</v>
      </c>
    </row>
    <row r="9274" spans="1:2" ht="18.75">
      <c r="A9274" s="12" t="s">
        <v>7074</v>
      </c>
      <c r="B9274" s="1" t="s">
        <v>7110</v>
      </c>
    </row>
    <row r="9275" spans="1:2" ht="18.75">
      <c r="A9275" s="12" t="s">
        <v>7069</v>
      </c>
      <c r="B9275" s="1" t="s">
        <v>7110</v>
      </c>
    </row>
    <row r="9276" spans="1:2" ht="18.75">
      <c r="A9276" s="12" t="s">
        <v>7070</v>
      </c>
      <c r="B9276" s="1" t="s">
        <v>7110</v>
      </c>
    </row>
    <row r="9277" spans="1:2" ht="18.75">
      <c r="A9277" s="12" t="s">
        <v>7074</v>
      </c>
      <c r="B9277" s="1" t="s">
        <v>7110</v>
      </c>
    </row>
    <row r="9278" spans="1:2" ht="18.75">
      <c r="A9278" s="12" t="s">
        <v>7075</v>
      </c>
      <c r="B9278" s="1" t="s">
        <v>7110</v>
      </c>
    </row>
    <row r="9279" spans="1:2" ht="18.75">
      <c r="A9279" s="12" t="s">
        <v>7076</v>
      </c>
      <c r="B9279" s="1" t="s">
        <v>7110</v>
      </c>
    </row>
    <row r="9280" spans="1:2" ht="18.75">
      <c r="A9280" s="12" t="s">
        <v>7074</v>
      </c>
      <c r="B9280" s="1" t="s">
        <v>7110</v>
      </c>
    </row>
    <row r="9281" spans="1:2" ht="18.75">
      <c r="A9281" s="12" t="s">
        <v>7077</v>
      </c>
      <c r="B9281" s="1" t="s">
        <v>7110</v>
      </c>
    </row>
    <row r="9282" spans="1:2" ht="18.75">
      <c r="A9282" s="12" t="s">
        <v>7074</v>
      </c>
      <c r="B9282" s="1" t="s">
        <v>7110</v>
      </c>
    </row>
    <row r="9283" spans="1:2" ht="18.75">
      <c r="A9283" s="12" t="s">
        <v>7078</v>
      </c>
      <c r="B9283" s="1" t="s">
        <v>7110</v>
      </c>
    </row>
    <row r="9284" spans="1:2" ht="18.75">
      <c r="A9284" s="12" t="s">
        <v>7079</v>
      </c>
      <c r="B9284" s="1" t="s">
        <v>7110</v>
      </c>
    </row>
    <row r="9285" spans="1:2" ht="18.75">
      <c r="A9285" s="12" t="s">
        <v>6950</v>
      </c>
      <c r="B9285" s="1" t="s">
        <v>7110</v>
      </c>
    </row>
    <row r="9286" spans="1:2" ht="18.75">
      <c r="A9286" s="12" t="s">
        <v>7080</v>
      </c>
      <c r="B9286" s="1" t="s">
        <v>7110</v>
      </c>
    </row>
    <row r="9287" spans="1:2" ht="18.75">
      <c r="A9287" s="12" t="s">
        <v>7081</v>
      </c>
      <c r="B9287" s="1" t="s">
        <v>7110</v>
      </c>
    </row>
    <row r="9288" spans="1:2" ht="18.75">
      <c r="A9288" s="12" t="s">
        <v>7082</v>
      </c>
      <c r="B9288" s="1" t="s">
        <v>7110</v>
      </c>
    </row>
    <row r="9289" spans="1:2" ht="18.75">
      <c r="A9289" s="12" t="s">
        <v>7067</v>
      </c>
      <c r="B9289" s="1" t="s">
        <v>7110</v>
      </c>
    </row>
    <row r="9290" spans="1:2" ht="18.75">
      <c r="A9290" s="12" t="s">
        <v>7074</v>
      </c>
      <c r="B9290" s="1" t="s">
        <v>7110</v>
      </c>
    </row>
    <row r="9291" spans="1:2" ht="18.75">
      <c r="A9291" s="12" t="s">
        <v>7074</v>
      </c>
      <c r="B9291" s="1" t="s">
        <v>7110</v>
      </c>
    </row>
    <row r="9292" spans="1:2" ht="18.75">
      <c r="A9292" s="12" t="s">
        <v>7071</v>
      </c>
      <c r="B9292" s="1" t="s">
        <v>7110</v>
      </c>
    </row>
    <row r="9293" spans="1:2" ht="18.75">
      <c r="A9293" s="12" t="s">
        <v>7074</v>
      </c>
      <c r="B9293" s="1" t="s">
        <v>7110</v>
      </c>
    </row>
    <row r="9294" spans="1:2" ht="18.75">
      <c r="A9294" s="12" t="s">
        <v>7074</v>
      </c>
      <c r="B9294" s="1" t="s">
        <v>7110</v>
      </c>
    </row>
    <row r="9295" spans="1:2" ht="18.75">
      <c r="A9295" s="12" t="s">
        <v>7066</v>
      </c>
      <c r="B9295" s="1" t="s">
        <v>7110</v>
      </c>
    </row>
    <row r="9296" spans="1:2" ht="18.75">
      <c r="A9296" s="12" t="s">
        <v>7081</v>
      </c>
      <c r="B9296" s="1" t="s">
        <v>7110</v>
      </c>
    </row>
    <row r="9297" spans="1:2" ht="18.75">
      <c r="A9297" s="12" t="s">
        <v>7083</v>
      </c>
      <c r="B9297" s="1" t="s">
        <v>7110</v>
      </c>
    </row>
    <row r="9298" spans="1:2" ht="18.75">
      <c r="A9298" s="12" t="s">
        <v>7069</v>
      </c>
      <c r="B9298" s="1" t="s">
        <v>7110</v>
      </c>
    </row>
    <row r="9299" spans="1:2" ht="18.75">
      <c r="A9299" s="12" t="s">
        <v>7073</v>
      </c>
      <c r="B9299" s="1" t="s">
        <v>7110</v>
      </c>
    </row>
    <row r="9300" spans="1:2" ht="18.75">
      <c r="A9300" s="12" t="s">
        <v>7084</v>
      </c>
      <c r="B9300" s="1" t="s">
        <v>7110</v>
      </c>
    </row>
    <row r="9301" spans="1:2" ht="18.75">
      <c r="A9301" s="12" t="s">
        <v>7085</v>
      </c>
      <c r="B9301" s="1" t="s">
        <v>7110</v>
      </c>
    </row>
    <row r="9302" spans="1:2" ht="18.75">
      <c r="A9302" s="12" t="s">
        <v>7086</v>
      </c>
      <c r="B9302" s="1" t="s">
        <v>7110</v>
      </c>
    </row>
    <row r="9303" spans="1:2" ht="18.75">
      <c r="A9303" s="12" t="s">
        <v>7077</v>
      </c>
      <c r="B9303" s="1" t="s">
        <v>7110</v>
      </c>
    </row>
    <row r="9304" spans="1:2" ht="18.75">
      <c r="A9304" s="12" t="s">
        <v>7083</v>
      </c>
      <c r="B9304" s="1" t="s">
        <v>7110</v>
      </c>
    </row>
    <row r="9305" spans="1:2" ht="18.75">
      <c r="A9305" s="12" t="s">
        <v>7087</v>
      </c>
      <c r="B9305" s="1" t="s">
        <v>7110</v>
      </c>
    </row>
    <row r="9306" spans="1:2" ht="18.75">
      <c r="A9306" s="12" t="s">
        <v>7087</v>
      </c>
      <c r="B9306" s="1" t="s">
        <v>7110</v>
      </c>
    </row>
    <row r="9307" spans="1:2" ht="18.75">
      <c r="A9307" s="12" t="s">
        <v>7067</v>
      </c>
      <c r="B9307" s="1" t="s">
        <v>7110</v>
      </c>
    </row>
    <row r="9308" spans="1:2" ht="18.75">
      <c r="A9308" s="12" t="s">
        <v>7065</v>
      </c>
      <c r="B9308" s="1" t="s">
        <v>7110</v>
      </c>
    </row>
    <row r="9309" spans="1:2" ht="18.75">
      <c r="A9309" s="12" t="s">
        <v>7066</v>
      </c>
      <c r="B9309" s="1" t="s">
        <v>7110</v>
      </c>
    </row>
    <row r="9310" spans="1:2" ht="18.75">
      <c r="A9310" s="12" t="s">
        <v>7080</v>
      </c>
      <c r="B9310" s="1" t="s">
        <v>7110</v>
      </c>
    </row>
    <row r="9311" spans="1:2" ht="18.75">
      <c r="A9311" s="12" t="s">
        <v>7088</v>
      </c>
      <c r="B9311" s="1" t="s">
        <v>7110</v>
      </c>
    </row>
    <row r="9312" spans="1:2" ht="18.75">
      <c r="A9312" s="12" t="s">
        <v>7089</v>
      </c>
      <c r="B9312" s="1" t="s">
        <v>7110</v>
      </c>
    </row>
    <row r="9313" spans="1:2" ht="18.75">
      <c r="A9313" s="12" t="s">
        <v>7090</v>
      </c>
      <c r="B9313" s="1" t="s">
        <v>7110</v>
      </c>
    </row>
    <row r="9314" spans="1:2" ht="18.75">
      <c r="A9314" s="12" t="s">
        <v>7075</v>
      </c>
      <c r="B9314" s="1" t="s">
        <v>7110</v>
      </c>
    </row>
    <row r="9315" spans="1:2" ht="18.75">
      <c r="A9315" s="12" t="s">
        <v>7072</v>
      </c>
      <c r="B9315" s="1" t="s">
        <v>7110</v>
      </c>
    </row>
    <row r="9316" spans="1:2" ht="18.75">
      <c r="A9316" s="12" t="s">
        <v>7068</v>
      </c>
      <c r="B9316" s="1" t="s">
        <v>7110</v>
      </c>
    </row>
    <row r="9317" spans="1:2" ht="18.75">
      <c r="A9317" s="12" t="s">
        <v>7082</v>
      </c>
      <c r="B9317" s="1" t="s">
        <v>7110</v>
      </c>
    </row>
    <row r="9318" spans="1:2" ht="18.75">
      <c r="A9318" s="12" t="s">
        <v>7051</v>
      </c>
      <c r="B9318" s="1" t="s">
        <v>7110</v>
      </c>
    </row>
    <row r="9319" spans="1:2" ht="18.75">
      <c r="A9319" s="12" t="s">
        <v>7063</v>
      </c>
      <c r="B9319" s="1" t="s">
        <v>7110</v>
      </c>
    </row>
    <row r="9320" spans="1:2" ht="18.75">
      <c r="A9320" s="12" t="s">
        <v>7087</v>
      </c>
      <c r="B9320" s="1" t="s">
        <v>7110</v>
      </c>
    </row>
    <row r="9321" spans="1:2" ht="18.75">
      <c r="A9321" s="12" t="s">
        <v>7052</v>
      </c>
      <c r="B9321" s="1" t="s">
        <v>7110</v>
      </c>
    </row>
    <row r="9322" spans="1:2" ht="18.75">
      <c r="A9322" s="12" t="s">
        <v>7031</v>
      </c>
      <c r="B9322" s="1" t="s">
        <v>7110</v>
      </c>
    </row>
    <row r="9323" spans="1:2" ht="18.75">
      <c r="A9323" s="12" t="s">
        <v>7062</v>
      </c>
      <c r="B9323" s="1" t="s">
        <v>7110</v>
      </c>
    </row>
    <row r="9324" spans="1:2" ht="18.75">
      <c r="A9324" s="12" t="s">
        <v>7091</v>
      </c>
      <c r="B9324" s="1" t="s">
        <v>7110</v>
      </c>
    </row>
    <row r="9325" spans="1:2" ht="18.75">
      <c r="A9325" s="12" t="s">
        <v>7092</v>
      </c>
      <c r="B9325" s="1" t="s">
        <v>7110</v>
      </c>
    </row>
    <row r="9326" spans="1:2" ht="18.75">
      <c r="A9326" s="12" t="s">
        <v>7089</v>
      </c>
      <c r="B9326" s="1" t="s">
        <v>7110</v>
      </c>
    </row>
    <row r="9327" spans="1:2" ht="18.75">
      <c r="A9327" s="12" t="s">
        <v>2642</v>
      </c>
      <c r="B9327" s="1" t="s">
        <v>7110</v>
      </c>
    </row>
    <row r="9328" spans="1:2" ht="18.75">
      <c r="A9328" s="12" t="s">
        <v>7093</v>
      </c>
      <c r="B9328" s="1" t="s">
        <v>7110</v>
      </c>
    </row>
    <row r="9329" spans="1:2" ht="18.75">
      <c r="A9329" s="12" t="s">
        <v>7094</v>
      </c>
      <c r="B9329" s="1" t="s">
        <v>7110</v>
      </c>
    </row>
    <row r="9330" spans="1:2" ht="18.75">
      <c r="A9330" s="12" t="s">
        <v>7066</v>
      </c>
      <c r="B9330" s="1" t="s">
        <v>7110</v>
      </c>
    </row>
    <row r="9331" spans="1:2" ht="18.75">
      <c r="A9331" s="12" t="s">
        <v>2643</v>
      </c>
      <c r="B9331" s="1" t="s">
        <v>7110</v>
      </c>
    </row>
    <row r="9332" spans="1:2" ht="18.75">
      <c r="A9332" s="12" t="s">
        <v>7082</v>
      </c>
      <c r="B9332" s="1" t="s">
        <v>7110</v>
      </c>
    </row>
    <row r="9333" spans="1:2" ht="18.75">
      <c r="A9333" s="12" t="s">
        <v>7094</v>
      </c>
      <c r="B9333" s="1" t="s">
        <v>7110</v>
      </c>
    </row>
    <row r="9334" spans="1:2" ht="18.75">
      <c r="A9334" s="12" t="s">
        <v>2647</v>
      </c>
      <c r="B9334" s="1" t="s">
        <v>7110</v>
      </c>
    </row>
    <row r="9335" spans="1:2" ht="18.75">
      <c r="A9335" s="12" t="s">
        <v>2648</v>
      </c>
      <c r="B9335" s="1" t="s">
        <v>7110</v>
      </c>
    </row>
    <row r="9336" spans="1:2" ht="18.75">
      <c r="A9336" s="12" t="s">
        <v>7077</v>
      </c>
      <c r="B9336" s="1" t="s">
        <v>7110</v>
      </c>
    </row>
    <row r="9337" spans="1:2" ht="18.75">
      <c r="A9337" s="12" t="s">
        <v>2649</v>
      </c>
      <c r="B9337" s="1" t="s">
        <v>7110</v>
      </c>
    </row>
    <row r="9338" spans="1:2" ht="18.75">
      <c r="A9338" s="12" t="s">
        <v>2650</v>
      </c>
      <c r="B9338" s="1" t="s">
        <v>7110</v>
      </c>
    </row>
    <row r="9339" spans="1:2" ht="18.75">
      <c r="A9339" s="12" t="s">
        <v>7066</v>
      </c>
      <c r="B9339" s="1" t="s">
        <v>7110</v>
      </c>
    </row>
    <row r="9340" spans="1:2" ht="18.75">
      <c r="A9340" s="12" t="s">
        <v>7089</v>
      </c>
      <c r="B9340" s="1" t="s">
        <v>7110</v>
      </c>
    </row>
    <row r="9341" spans="1:2" ht="18.75">
      <c r="A9341" s="12" t="s">
        <v>7075</v>
      </c>
      <c r="B9341" s="1" t="s">
        <v>7110</v>
      </c>
    </row>
    <row r="9342" spans="1:2" ht="18.75">
      <c r="A9342" s="12" t="s">
        <v>2651</v>
      </c>
      <c r="B9342" s="1" t="s">
        <v>7110</v>
      </c>
    </row>
    <row r="9343" spans="1:2" ht="18.75">
      <c r="A9343" s="12" t="s">
        <v>7082</v>
      </c>
      <c r="B9343" s="1" t="s">
        <v>7110</v>
      </c>
    </row>
    <row r="9344" spans="1:2" ht="18.75">
      <c r="A9344" s="12" t="s">
        <v>7090</v>
      </c>
      <c r="B9344" s="1" t="s">
        <v>7110</v>
      </c>
    </row>
    <row r="9345" spans="1:2" ht="18.75">
      <c r="A9345" s="12" t="s">
        <v>7079</v>
      </c>
      <c r="B9345" s="1" t="s">
        <v>7110</v>
      </c>
    </row>
    <row r="9346" spans="1:2" ht="18.75">
      <c r="A9346" s="12" t="s">
        <v>7075</v>
      </c>
      <c r="B9346" s="1" t="s">
        <v>7110</v>
      </c>
    </row>
    <row r="9347" spans="1:2" ht="18.75">
      <c r="A9347" s="12" t="s">
        <v>2650</v>
      </c>
      <c r="B9347" s="1" t="s">
        <v>7110</v>
      </c>
    </row>
    <row r="9348" spans="1:2" ht="18.75">
      <c r="A9348" s="12" t="s">
        <v>2656</v>
      </c>
      <c r="B9348" s="1" t="s">
        <v>7110</v>
      </c>
    </row>
    <row r="9349" spans="1:2" ht="18.75">
      <c r="A9349" s="12" t="s">
        <v>7093</v>
      </c>
      <c r="B9349" s="1" t="s">
        <v>7110</v>
      </c>
    </row>
    <row r="9350" spans="1:2" ht="18.75">
      <c r="A9350" s="12" t="s">
        <v>7093</v>
      </c>
      <c r="B9350" s="1" t="s">
        <v>7110</v>
      </c>
    </row>
    <row r="9351" spans="1:2" ht="18.75">
      <c r="A9351" s="12" t="s">
        <v>2648</v>
      </c>
      <c r="B9351" s="1" t="s">
        <v>7110</v>
      </c>
    </row>
    <row r="9352" spans="1:2" ht="18.75">
      <c r="A9352" s="12" t="s">
        <v>7095</v>
      </c>
      <c r="B9352" s="1" t="s">
        <v>7110</v>
      </c>
    </row>
    <row r="9353" spans="1:2" ht="18.75">
      <c r="A9353" s="12" t="s">
        <v>7048</v>
      </c>
      <c r="B9353" s="1" t="s">
        <v>7110</v>
      </c>
    </row>
    <row r="9354" spans="1:2" ht="18.75">
      <c r="A9354" s="12" t="s">
        <v>2649</v>
      </c>
      <c r="B9354" s="1" t="s">
        <v>7110</v>
      </c>
    </row>
    <row r="9355" spans="1:2" ht="18.75">
      <c r="A9355" s="12" t="s">
        <v>7095</v>
      </c>
      <c r="B9355" s="1" t="s">
        <v>7110</v>
      </c>
    </row>
    <row r="9356" spans="1:2" ht="18.75">
      <c r="A9356" s="12" t="s">
        <v>7093</v>
      </c>
      <c r="B9356" s="1" t="s">
        <v>7110</v>
      </c>
    </row>
    <row r="9357" spans="1:2" ht="18.75">
      <c r="A9357" s="12" t="s">
        <v>7096</v>
      </c>
      <c r="B9357" s="1" t="s">
        <v>7110</v>
      </c>
    </row>
    <row r="9358" spans="1:2" ht="18.75">
      <c r="A9358" s="12" t="s">
        <v>7051</v>
      </c>
      <c r="B9358" s="1" t="s">
        <v>7110</v>
      </c>
    </row>
    <row r="9359" spans="1:2" ht="18.75">
      <c r="A9359" s="12" t="s">
        <v>7095</v>
      </c>
      <c r="B9359" s="1" t="s">
        <v>7110</v>
      </c>
    </row>
    <row r="9360" spans="1:2" ht="18.75">
      <c r="A9360" s="12" t="s">
        <v>7096</v>
      </c>
      <c r="B9360" s="1" t="s">
        <v>7110</v>
      </c>
    </row>
    <row r="9361" spans="1:2" ht="18.75">
      <c r="A9361" s="12" t="s">
        <v>7062</v>
      </c>
      <c r="B9361" s="1" t="s">
        <v>7110</v>
      </c>
    </row>
    <row r="9362" spans="1:2" ht="18.75">
      <c r="A9362" s="12" t="s">
        <v>7087</v>
      </c>
      <c r="B9362" s="1" t="s">
        <v>7110</v>
      </c>
    </row>
    <row r="9363" spans="1:2" ht="18.75">
      <c r="A9363" s="12" t="s">
        <v>2660</v>
      </c>
      <c r="B9363" s="1" t="s">
        <v>7110</v>
      </c>
    </row>
    <row r="9364" spans="1:2" ht="18.75">
      <c r="A9364" s="12" t="s">
        <v>7042</v>
      </c>
      <c r="B9364" s="1" t="s">
        <v>7110</v>
      </c>
    </row>
    <row r="9365" spans="1:2" ht="18.75">
      <c r="A9365" s="12" t="s">
        <v>2773</v>
      </c>
      <c r="B9365" s="1" t="s">
        <v>7110</v>
      </c>
    </row>
    <row r="9366" spans="1:2" ht="18.75">
      <c r="A9366" s="12" t="s">
        <v>7042</v>
      </c>
      <c r="B9366" s="1" t="s">
        <v>7110</v>
      </c>
    </row>
    <row r="9367" spans="1:2" ht="18.75">
      <c r="A9367" s="12" t="s">
        <v>7042</v>
      </c>
      <c r="B9367" s="1" t="s">
        <v>7110</v>
      </c>
    </row>
    <row r="9368" spans="1:2" ht="18.75">
      <c r="A9368" s="12" t="s">
        <v>2773</v>
      </c>
      <c r="B9368" s="1" t="s">
        <v>7110</v>
      </c>
    </row>
    <row r="9369" spans="1:2" ht="18.75">
      <c r="A9369" s="12" t="s">
        <v>2650</v>
      </c>
      <c r="B9369" s="1" t="s">
        <v>7110</v>
      </c>
    </row>
    <row r="9370" spans="1:2" ht="18.75">
      <c r="A9370" s="12" t="s">
        <v>2782</v>
      </c>
      <c r="B9370" s="1" t="s">
        <v>7110</v>
      </c>
    </row>
    <row r="9371" spans="1:2" ht="18.75">
      <c r="A9371" s="12" t="s">
        <v>7022</v>
      </c>
      <c r="B9371" s="1" t="s">
        <v>7110</v>
      </c>
    </row>
    <row r="9372" spans="1:2" ht="18.75">
      <c r="A9372" s="12" t="s">
        <v>7097</v>
      </c>
      <c r="B9372" s="1" t="s">
        <v>7110</v>
      </c>
    </row>
    <row r="9373" spans="1:2" ht="18.75">
      <c r="A9373" s="12" t="s">
        <v>2643</v>
      </c>
      <c r="B9373" s="1" t="s">
        <v>7110</v>
      </c>
    </row>
    <row r="9374" spans="1:2" ht="18.75">
      <c r="A9374" s="12" t="s">
        <v>2643</v>
      </c>
      <c r="B9374" s="1" t="s">
        <v>7110</v>
      </c>
    </row>
    <row r="9375" spans="1:2" ht="18.75">
      <c r="A9375" s="12" t="s">
        <v>2792</v>
      </c>
      <c r="B9375" s="1" t="s">
        <v>7110</v>
      </c>
    </row>
    <row r="9376" spans="1:2" ht="18.75">
      <c r="A9376" s="12" t="s">
        <v>2651</v>
      </c>
      <c r="B9376" s="1" t="s">
        <v>7110</v>
      </c>
    </row>
    <row r="9377" spans="1:2" ht="18.75">
      <c r="A9377" s="12" t="s">
        <v>2650</v>
      </c>
      <c r="B9377" s="1" t="s">
        <v>7110</v>
      </c>
    </row>
    <row r="9378" spans="1:2" ht="18.75">
      <c r="A9378" s="12" t="s">
        <v>2642</v>
      </c>
      <c r="B9378" s="1" t="s">
        <v>7110</v>
      </c>
    </row>
    <row r="9379" spans="1:2" ht="18.75">
      <c r="A9379" s="12" t="s">
        <v>7091</v>
      </c>
      <c r="B9379" s="1" t="s">
        <v>7110</v>
      </c>
    </row>
    <row r="9380" spans="1:2" ht="18.75">
      <c r="A9380" s="12" t="s">
        <v>7098</v>
      </c>
      <c r="B9380" s="1" t="s">
        <v>7110</v>
      </c>
    </row>
    <row r="9381" spans="1:2" ht="18.75">
      <c r="A9381" s="12" t="s">
        <v>7078</v>
      </c>
      <c r="B9381" s="1" t="s">
        <v>7110</v>
      </c>
    </row>
    <row r="9382" spans="1:2" ht="18.75">
      <c r="A9382" s="12" t="s">
        <v>2792</v>
      </c>
      <c r="B9382" s="1" t="s">
        <v>7110</v>
      </c>
    </row>
    <row r="9383" spans="1:2" ht="18.75">
      <c r="A9383" s="12" t="s">
        <v>2643</v>
      </c>
      <c r="B9383" s="1" t="s">
        <v>7110</v>
      </c>
    </row>
    <row r="9384" spans="1:2" ht="18.75">
      <c r="A9384" s="12" t="s">
        <v>2804</v>
      </c>
      <c r="B9384" s="1" t="s">
        <v>7110</v>
      </c>
    </row>
    <row r="9385" spans="1:2" ht="18.75">
      <c r="A9385" s="12" t="s">
        <v>2792</v>
      </c>
      <c r="B9385" s="1" t="s">
        <v>7110</v>
      </c>
    </row>
    <row r="9386" spans="1:2" ht="18.75">
      <c r="A9386" s="12" t="s">
        <v>2804</v>
      </c>
      <c r="B9386" s="1" t="s">
        <v>7110</v>
      </c>
    </row>
    <row r="9387" spans="1:2" ht="18.75">
      <c r="A9387" s="12" t="s">
        <v>2808</v>
      </c>
      <c r="B9387" s="1" t="s">
        <v>7110</v>
      </c>
    </row>
    <row r="9388" spans="1:2" ht="18.75">
      <c r="A9388" s="12" t="s">
        <v>7082</v>
      </c>
      <c r="B9388" s="1" t="s">
        <v>7110</v>
      </c>
    </row>
    <row r="9389" spans="1:2" ht="18.75">
      <c r="A9389" s="12" t="s">
        <v>2782</v>
      </c>
      <c r="B9389" s="1" t="s">
        <v>7110</v>
      </c>
    </row>
    <row r="9390" spans="1:2" ht="18.75">
      <c r="A9390" s="12" t="s">
        <v>2650</v>
      </c>
      <c r="B9390" s="1" t="s">
        <v>7110</v>
      </c>
    </row>
    <row r="9391" spans="1:2" ht="18.75">
      <c r="A9391" s="12" t="s">
        <v>2792</v>
      </c>
      <c r="B9391" s="1" t="s">
        <v>7110</v>
      </c>
    </row>
    <row r="9392" spans="1:2" ht="18.75">
      <c r="A9392" s="12" t="s">
        <v>2804</v>
      </c>
      <c r="B9392" s="1" t="s">
        <v>7110</v>
      </c>
    </row>
    <row r="9393" spans="1:2" ht="18.75">
      <c r="A9393" s="12" t="s">
        <v>2804</v>
      </c>
      <c r="B9393" s="1" t="s">
        <v>7110</v>
      </c>
    </row>
    <row r="9394" spans="1:2" ht="18.75">
      <c r="A9394" s="12" t="s">
        <v>2809</v>
      </c>
      <c r="B9394" s="1" t="s">
        <v>7110</v>
      </c>
    </row>
    <row r="9395" spans="1:2" ht="18.75">
      <c r="A9395" s="12" t="s">
        <v>2642</v>
      </c>
      <c r="B9395" s="1" t="s">
        <v>7110</v>
      </c>
    </row>
    <row r="9396" spans="1:2" ht="18.75">
      <c r="A9396" s="12" t="s">
        <v>7075</v>
      </c>
      <c r="B9396" s="1" t="s">
        <v>7110</v>
      </c>
    </row>
    <row r="9397" spans="1:2" ht="18.75">
      <c r="A9397" s="12" t="s">
        <v>2792</v>
      </c>
      <c r="B9397" s="1" t="s">
        <v>7110</v>
      </c>
    </row>
    <row r="9398" spans="1:2" ht="18.75">
      <c r="A9398" s="12" t="s">
        <v>2804</v>
      </c>
      <c r="B9398" s="1" t="s">
        <v>7110</v>
      </c>
    </row>
    <row r="9399" spans="1:2" ht="18.75">
      <c r="A9399" s="12" t="s">
        <v>2643</v>
      </c>
      <c r="B9399" s="1" t="s">
        <v>7110</v>
      </c>
    </row>
    <row r="9400" spans="1:2" ht="18.75">
      <c r="A9400" s="12" t="s">
        <v>2773</v>
      </c>
      <c r="B9400" s="1" t="s">
        <v>7110</v>
      </c>
    </row>
    <row r="9401" spans="1:2" ht="18.75">
      <c r="A9401" s="12" t="s">
        <v>2773</v>
      </c>
      <c r="B9401" s="1" t="s">
        <v>7110</v>
      </c>
    </row>
    <row r="9402" spans="1:2" ht="18.75">
      <c r="A9402" s="12" t="s">
        <v>2773</v>
      </c>
      <c r="B9402" s="1" t="s">
        <v>7110</v>
      </c>
    </row>
    <row r="9403" spans="1:2" ht="18.75">
      <c r="A9403" s="12" t="s">
        <v>2773</v>
      </c>
      <c r="B9403" s="1" t="s">
        <v>7110</v>
      </c>
    </row>
    <row r="9404" spans="1:2" ht="18.75">
      <c r="A9404" s="12" t="s">
        <v>7042</v>
      </c>
      <c r="B9404" s="1" t="s">
        <v>7110</v>
      </c>
    </row>
    <row r="9405" spans="1:2" ht="18.75">
      <c r="A9405" s="12" t="s">
        <v>3093</v>
      </c>
      <c r="B9405" s="1" t="s">
        <v>7110</v>
      </c>
    </row>
    <row r="9406" spans="1:2" ht="18.75">
      <c r="A9406" s="12" t="s">
        <v>2804</v>
      </c>
      <c r="B9406" s="1" t="s">
        <v>7110</v>
      </c>
    </row>
    <row r="9407" spans="1:2" ht="18.75">
      <c r="A9407" s="12" t="s">
        <v>2809</v>
      </c>
      <c r="B9407" s="1" t="s">
        <v>7110</v>
      </c>
    </row>
    <row r="9408" spans="1:2" ht="18.75">
      <c r="A9408" s="12" t="s">
        <v>2804</v>
      </c>
      <c r="B9408" s="1" t="s">
        <v>7110</v>
      </c>
    </row>
    <row r="9409" spans="1:2" ht="18.75">
      <c r="A9409" s="12" t="s">
        <v>3117</v>
      </c>
      <c r="B9409" s="1" t="s">
        <v>7110</v>
      </c>
    </row>
    <row r="9410" spans="1:2" ht="18.75">
      <c r="A9410" s="12" t="s">
        <v>3117</v>
      </c>
      <c r="B9410" s="1" t="s">
        <v>7110</v>
      </c>
    </row>
    <row r="9411" spans="1:2" ht="18.75">
      <c r="A9411" s="12" t="s">
        <v>3117</v>
      </c>
      <c r="B9411" s="1" t="s">
        <v>7110</v>
      </c>
    </row>
    <row r="9412" spans="1:2" ht="18.75">
      <c r="A9412" s="12" t="s">
        <v>3117</v>
      </c>
      <c r="B9412" s="1" t="s">
        <v>7110</v>
      </c>
    </row>
    <row r="9413" spans="1:2" ht="18.75">
      <c r="A9413" s="12" t="s">
        <v>3117</v>
      </c>
      <c r="B9413" s="1" t="s">
        <v>7110</v>
      </c>
    </row>
    <row r="9414" spans="1:2" ht="18.75">
      <c r="A9414" s="12" t="s">
        <v>3117</v>
      </c>
      <c r="B9414" s="1" t="s">
        <v>7110</v>
      </c>
    </row>
    <row r="9415" spans="1:2" ht="18.75">
      <c r="A9415" s="12" t="s">
        <v>3122</v>
      </c>
      <c r="B9415" s="1" t="s">
        <v>7110</v>
      </c>
    </row>
    <row r="9416" spans="1:2" ht="18.75">
      <c r="A9416" s="12" t="s">
        <v>2804</v>
      </c>
      <c r="B9416" s="1" t="s">
        <v>7110</v>
      </c>
    </row>
    <row r="9417" spans="1:2" ht="18.75">
      <c r="A9417" s="12" t="s">
        <v>3117</v>
      </c>
      <c r="B9417" s="1" t="s">
        <v>7110</v>
      </c>
    </row>
    <row r="9418" spans="1:2" ht="18.75">
      <c r="A9418" s="12" t="s">
        <v>3117</v>
      </c>
      <c r="B9418" s="1" t="s">
        <v>7110</v>
      </c>
    </row>
    <row r="9419" spans="1:2" ht="18.75">
      <c r="A9419" s="12" t="s">
        <v>3093</v>
      </c>
      <c r="B9419" s="1" t="s">
        <v>7110</v>
      </c>
    </row>
    <row r="9420" spans="1:2" ht="18.75">
      <c r="A9420" s="12" t="s">
        <v>3093</v>
      </c>
      <c r="B9420" s="1" t="s">
        <v>7110</v>
      </c>
    </row>
    <row r="9421" spans="1:2" ht="18.75">
      <c r="A9421" s="12" t="s">
        <v>7066</v>
      </c>
      <c r="B9421" s="1" t="s">
        <v>7110</v>
      </c>
    </row>
    <row r="9422" spans="1:2" ht="18.75">
      <c r="A9422" s="12" t="s">
        <v>3117</v>
      </c>
      <c r="B9422" s="1" t="s">
        <v>7110</v>
      </c>
    </row>
    <row r="9423" spans="1:2" ht="18.75">
      <c r="A9423" s="12" t="s">
        <v>3093</v>
      </c>
      <c r="B9423" s="1" t="s">
        <v>7110</v>
      </c>
    </row>
    <row r="9424" spans="1:2" ht="18.75">
      <c r="A9424" s="12" t="s">
        <v>3122</v>
      </c>
      <c r="B9424" s="1" t="s">
        <v>7110</v>
      </c>
    </row>
    <row r="9425" spans="1:2" ht="18.75">
      <c r="A9425" s="12" t="s">
        <v>2647</v>
      </c>
      <c r="B9425" s="1" t="s">
        <v>7110</v>
      </c>
    </row>
    <row r="9426" spans="1:2" ht="18.75">
      <c r="A9426" s="12" t="s">
        <v>7090</v>
      </c>
      <c r="B9426" s="1" t="s">
        <v>7110</v>
      </c>
    </row>
    <row r="9427" spans="1:2" ht="18.75">
      <c r="A9427" s="12" t="s">
        <v>3093</v>
      </c>
      <c r="B9427" s="1" t="s">
        <v>7110</v>
      </c>
    </row>
    <row r="9428" spans="1:2" ht="18.75">
      <c r="A9428" s="12" t="s">
        <v>3117</v>
      </c>
      <c r="B9428" s="1" t="s">
        <v>7110</v>
      </c>
    </row>
    <row r="9429" spans="1:2" ht="18.75">
      <c r="A9429" s="12" t="s">
        <v>3117</v>
      </c>
      <c r="B9429" s="1" t="s">
        <v>7110</v>
      </c>
    </row>
    <row r="9430" spans="1:2" ht="18.75">
      <c r="A9430" s="12" t="s">
        <v>2808</v>
      </c>
      <c r="B9430" s="1" t="s">
        <v>7110</v>
      </c>
    </row>
    <row r="9431" spans="1:2" ht="18.75">
      <c r="A9431" s="12" t="s">
        <v>2808</v>
      </c>
      <c r="B9431" s="1" t="s">
        <v>7110</v>
      </c>
    </row>
    <row r="9432" spans="1:2" ht="18.75">
      <c r="A9432" s="12" t="s">
        <v>7078</v>
      </c>
      <c r="B9432" s="1" t="s">
        <v>7110</v>
      </c>
    </row>
    <row r="9433" spans="1:2" ht="18.75">
      <c r="A9433" s="12" t="s">
        <v>7099</v>
      </c>
      <c r="B9433" s="1" t="s">
        <v>7110</v>
      </c>
    </row>
    <row r="9434" spans="1:2" ht="18.75">
      <c r="A9434" s="12" t="s">
        <v>2804</v>
      </c>
      <c r="B9434" s="1" t="s">
        <v>7110</v>
      </c>
    </row>
    <row r="9435" spans="1:2" ht="18.75">
      <c r="A9435" s="12" t="s">
        <v>1058</v>
      </c>
      <c r="B9435" s="1" t="s">
        <v>7110</v>
      </c>
    </row>
    <row r="9436" spans="1:2" ht="18.75">
      <c r="A9436" s="12" t="s">
        <v>1080</v>
      </c>
      <c r="B9436" s="1" t="s">
        <v>7110</v>
      </c>
    </row>
    <row r="9437" spans="1:2" ht="18.75">
      <c r="A9437" s="12" t="s">
        <v>1081</v>
      </c>
      <c r="B9437" s="1" t="s">
        <v>7110</v>
      </c>
    </row>
    <row r="9438" spans="1:2" ht="18.75">
      <c r="A9438" s="12" t="s">
        <v>1091</v>
      </c>
      <c r="B9438" s="1" t="s">
        <v>7110</v>
      </c>
    </row>
    <row r="9439" spans="1:2" ht="18.75">
      <c r="A9439" s="12" t="s">
        <v>1094</v>
      </c>
      <c r="B9439" s="1" t="s">
        <v>7110</v>
      </c>
    </row>
    <row r="9440" spans="1:2" ht="18.75">
      <c r="A9440" s="12" t="s">
        <v>1080</v>
      </c>
      <c r="B9440" s="1" t="s">
        <v>7110</v>
      </c>
    </row>
    <row r="9441" spans="1:2" ht="18.75">
      <c r="A9441" s="12" t="s">
        <v>1095</v>
      </c>
      <c r="B9441" s="1" t="s">
        <v>7110</v>
      </c>
    </row>
    <row r="9442" spans="1:2" ht="18.75">
      <c r="A9442" s="12" t="s">
        <v>1096</v>
      </c>
      <c r="B9442" s="1" t="s">
        <v>7110</v>
      </c>
    </row>
    <row r="9443" spans="1:2" ht="18.75">
      <c r="A9443" s="12" t="s">
        <v>1097</v>
      </c>
      <c r="B9443" s="1" t="s">
        <v>7110</v>
      </c>
    </row>
    <row r="9444" spans="1:2" ht="18.75">
      <c r="A9444" s="12" t="s">
        <v>1098</v>
      </c>
      <c r="B9444" s="1" t="s">
        <v>7110</v>
      </c>
    </row>
    <row r="9445" spans="1:2" ht="18.75">
      <c r="A9445" s="12" t="s">
        <v>1099</v>
      </c>
      <c r="B9445" s="1" t="s">
        <v>7110</v>
      </c>
    </row>
    <row r="9446" spans="1:2" ht="18.75">
      <c r="A9446" s="12" t="s">
        <v>1109</v>
      </c>
      <c r="B9446" s="1" t="s">
        <v>7110</v>
      </c>
    </row>
    <row r="9447" spans="1:2" ht="18.75">
      <c r="A9447" s="12" t="s">
        <v>1112</v>
      </c>
      <c r="B9447" s="1" t="s">
        <v>7110</v>
      </c>
    </row>
    <row r="9448" spans="1:2" ht="18.75">
      <c r="A9448" s="12" t="s">
        <v>1115</v>
      </c>
      <c r="B9448" s="1" t="s">
        <v>7110</v>
      </c>
    </row>
    <row r="9449" spans="1:2" ht="18.75">
      <c r="A9449" s="12" t="s">
        <v>1119</v>
      </c>
      <c r="B9449" s="1" t="s">
        <v>7110</v>
      </c>
    </row>
    <row r="9450" spans="1:2" ht="18.75">
      <c r="A9450" s="12" t="s">
        <v>1120</v>
      </c>
      <c r="B9450" s="1" t="s">
        <v>7110</v>
      </c>
    </row>
    <row r="9451" spans="1:2" ht="18.75">
      <c r="A9451" s="12" t="s">
        <v>1119</v>
      </c>
      <c r="B9451" s="1" t="s">
        <v>7110</v>
      </c>
    </row>
    <row r="9452" spans="1:2" ht="18.75">
      <c r="A9452" s="12" t="s">
        <v>1120</v>
      </c>
      <c r="B9452" s="1" t="s">
        <v>7110</v>
      </c>
    </row>
    <row r="9453" spans="1:2" ht="18.75">
      <c r="A9453" s="12" t="s">
        <v>1125</v>
      </c>
      <c r="B9453" s="1" t="s">
        <v>7110</v>
      </c>
    </row>
    <row r="9454" spans="1:2" ht="18.75">
      <c r="A9454" s="12" t="s">
        <v>1126</v>
      </c>
      <c r="B9454" s="1" t="s">
        <v>7110</v>
      </c>
    </row>
    <row r="9455" spans="1:2" ht="18.75">
      <c r="A9455" s="12" t="s">
        <v>1126</v>
      </c>
      <c r="B9455" s="1" t="s">
        <v>7110</v>
      </c>
    </row>
    <row r="9456" spans="1:2" ht="18.75">
      <c r="A9456" s="12" t="s">
        <v>1133</v>
      </c>
      <c r="B9456" s="1" t="s">
        <v>7110</v>
      </c>
    </row>
    <row r="9457" spans="1:2" ht="18.75">
      <c r="A9457" s="12" t="s">
        <v>1134</v>
      </c>
      <c r="B9457" s="1" t="s">
        <v>7110</v>
      </c>
    </row>
    <row r="9458" spans="1:2" ht="18.75">
      <c r="A9458" s="12" t="s">
        <v>1135</v>
      </c>
      <c r="B9458" s="1" t="s">
        <v>7110</v>
      </c>
    </row>
    <row r="9459" spans="1:2" ht="18.75">
      <c r="A9459" s="12" t="s">
        <v>1094</v>
      </c>
      <c r="B9459" s="1" t="s">
        <v>7110</v>
      </c>
    </row>
    <row r="9460" spans="1:2" ht="18.75">
      <c r="A9460" s="12" t="s">
        <v>1112</v>
      </c>
      <c r="B9460" s="1" t="s">
        <v>7110</v>
      </c>
    </row>
    <row r="9461" spans="1:2" ht="18.75">
      <c r="A9461" s="12" t="s">
        <v>1136</v>
      </c>
      <c r="B9461" s="1" t="s">
        <v>7110</v>
      </c>
    </row>
    <row r="9462" spans="1:2" ht="18.75">
      <c r="A9462" s="12" t="s">
        <v>1137</v>
      </c>
      <c r="B9462" s="1" t="s">
        <v>7110</v>
      </c>
    </row>
    <row r="9463" spans="1:2" ht="18.75">
      <c r="A9463" s="12" t="s">
        <v>1126</v>
      </c>
      <c r="B9463" s="1" t="s">
        <v>7110</v>
      </c>
    </row>
    <row r="9464" spans="1:2" ht="18.75">
      <c r="A9464" s="12" t="s">
        <v>1207</v>
      </c>
      <c r="B9464" s="1" t="s">
        <v>7110</v>
      </c>
    </row>
    <row r="9465" spans="1:2" ht="18.75">
      <c r="A9465" s="12" t="s">
        <v>1221</v>
      </c>
      <c r="B9465" s="1" t="s">
        <v>7110</v>
      </c>
    </row>
    <row r="9466" spans="1:2" ht="18.75">
      <c r="A9466" s="12" t="s">
        <v>1207</v>
      </c>
      <c r="B9466" s="1" t="s">
        <v>7110</v>
      </c>
    </row>
    <row r="9467" spans="1:2" ht="18.75">
      <c r="A9467" s="12" t="s">
        <v>1207</v>
      </c>
      <c r="B9467" s="1" t="s">
        <v>7110</v>
      </c>
    </row>
    <row r="9468" spans="1:2" ht="18.75">
      <c r="A9468" s="12" t="s">
        <v>1221</v>
      </c>
      <c r="B9468" s="1" t="s">
        <v>7110</v>
      </c>
    </row>
    <row r="9469" spans="1:2" ht="18.75">
      <c r="A9469" s="12" t="s">
        <v>1095</v>
      </c>
      <c r="B9469" s="1" t="s">
        <v>7110</v>
      </c>
    </row>
    <row r="9470" spans="1:2" ht="18.75">
      <c r="A9470" s="12" t="s">
        <v>1178</v>
      </c>
      <c r="B9470" s="1" t="s">
        <v>7110</v>
      </c>
    </row>
    <row r="9471" spans="1:2" ht="18.75">
      <c r="A9471" s="12" t="s">
        <v>1099</v>
      </c>
      <c r="B9471" s="1" t="s">
        <v>7110</v>
      </c>
    </row>
    <row r="9472" spans="1:2" ht="18.75">
      <c r="A9472" s="12" t="s">
        <v>1135</v>
      </c>
      <c r="B9472" s="1" t="s">
        <v>7110</v>
      </c>
    </row>
    <row r="9473" spans="1:2" ht="18.75">
      <c r="A9473" s="12" t="s">
        <v>1182</v>
      </c>
      <c r="B9473" s="1" t="s">
        <v>7110</v>
      </c>
    </row>
    <row r="9474" spans="1:2" ht="18.75">
      <c r="A9474" s="12" t="s">
        <v>1257</v>
      </c>
      <c r="B9474" s="1" t="s">
        <v>7110</v>
      </c>
    </row>
    <row r="9475" spans="1:2" ht="18.75">
      <c r="A9475" s="12" t="s">
        <v>1221</v>
      </c>
      <c r="B9475" s="1" t="s">
        <v>7110</v>
      </c>
    </row>
    <row r="9476" spans="1:2" ht="18.75">
      <c r="A9476" s="12" t="s">
        <v>1260</v>
      </c>
      <c r="B9476" s="1" t="s">
        <v>7110</v>
      </c>
    </row>
    <row r="9477" spans="1:2" ht="18.75">
      <c r="A9477" s="12" t="s">
        <v>1261</v>
      </c>
      <c r="B9477" s="1" t="s">
        <v>7110</v>
      </c>
    </row>
    <row r="9478" spans="1:2" ht="18.75">
      <c r="A9478" s="12" t="s">
        <v>1261</v>
      </c>
      <c r="B9478" s="1" t="s">
        <v>7110</v>
      </c>
    </row>
    <row r="9479" spans="1:2" ht="18.75">
      <c r="A9479" s="12" t="s">
        <v>1261</v>
      </c>
      <c r="B9479" s="1" t="s">
        <v>7110</v>
      </c>
    </row>
    <row r="9480" spans="1:2" ht="18.75">
      <c r="A9480" s="12" t="s">
        <v>1257</v>
      </c>
      <c r="B9480" s="1" t="s">
        <v>7110</v>
      </c>
    </row>
    <row r="9481" spans="1:2" ht="18.75">
      <c r="A9481" s="12" t="s">
        <v>1257</v>
      </c>
      <c r="B9481" s="1" t="s">
        <v>7110</v>
      </c>
    </row>
    <row r="9482" spans="1:2" ht="18.75">
      <c r="A9482" s="12" t="s">
        <v>1266</v>
      </c>
      <c r="B9482" s="1" t="s">
        <v>7110</v>
      </c>
    </row>
    <row r="9483" spans="1:2" ht="18.75">
      <c r="A9483" s="12" t="s">
        <v>1261</v>
      </c>
      <c r="B9483" s="1" t="s">
        <v>7110</v>
      </c>
    </row>
    <row r="9484" spans="1:2" ht="18.75">
      <c r="A9484" s="12" t="s">
        <v>1268</v>
      </c>
      <c r="B9484" s="1" t="s">
        <v>7110</v>
      </c>
    </row>
    <row r="9485" spans="1:2" ht="18.75">
      <c r="A9485" s="12" t="s">
        <v>1268</v>
      </c>
      <c r="B9485" s="1" t="s">
        <v>7110</v>
      </c>
    </row>
    <row r="9486" spans="1:2" ht="18.75">
      <c r="A9486" s="12" t="s">
        <v>1269</v>
      </c>
      <c r="B9486" s="1" t="s">
        <v>7110</v>
      </c>
    </row>
    <row r="9487" spans="1:2" ht="18.75">
      <c r="A9487" s="12" t="s">
        <v>1268</v>
      </c>
      <c r="B9487" s="1" t="s">
        <v>7110</v>
      </c>
    </row>
    <row r="9488" spans="1:2" ht="18.75">
      <c r="A9488" s="12" t="s">
        <v>1270</v>
      </c>
      <c r="B9488" s="1" t="s">
        <v>7110</v>
      </c>
    </row>
    <row r="9489" spans="1:2" ht="18.75">
      <c r="A9489" s="12" t="s">
        <v>1270</v>
      </c>
      <c r="B9489" s="1" t="s">
        <v>7110</v>
      </c>
    </row>
    <row r="9490" spans="1:2" ht="18.75">
      <c r="A9490" s="12" t="s">
        <v>1271</v>
      </c>
      <c r="B9490" s="1" t="s">
        <v>7110</v>
      </c>
    </row>
    <row r="9491" spans="1:2" ht="18.75">
      <c r="A9491" s="12" t="s">
        <v>1269</v>
      </c>
      <c r="B9491" s="1" t="s">
        <v>7110</v>
      </c>
    </row>
    <row r="9492" spans="1:2" ht="18.75">
      <c r="A9492" s="12" t="s">
        <v>1269</v>
      </c>
      <c r="B9492" s="1" t="s">
        <v>7110</v>
      </c>
    </row>
    <row r="9493" spans="1:2" ht="18.75">
      <c r="A9493" s="12" t="s">
        <v>1257</v>
      </c>
      <c r="B9493" s="1" t="s">
        <v>7110</v>
      </c>
    </row>
    <row r="9494" spans="1:2" ht="18.75">
      <c r="A9494" s="12" t="s">
        <v>1271</v>
      </c>
      <c r="B9494" s="1" t="s">
        <v>7110</v>
      </c>
    </row>
    <row r="9495" spans="1:2" ht="18.75">
      <c r="A9495" s="12" t="s">
        <v>1270</v>
      </c>
      <c r="B9495" s="1" t="s">
        <v>7110</v>
      </c>
    </row>
    <row r="9496" spans="1:2" ht="18.75">
      <c r="A9496" s="12" t="s">
        <v>1273</v>
      </c>
      <c r="B9496" s="1" t="s">
        <v>7110</v>
      </c>
    </row>
    <row r="9497" spans="1:2" ht="18.75">
      <c r="A9497" s="12" t="s">
        <v>1257</v>
      </c>
      <c r="B9497" s="1" t="s">
        <v>7110</v>
      </c>
    </row>
    <row r="9498" spans="1:2" ht="18.75">
      <c r="A9498" s="12" t="s">
        <v>1137</v>
      </c>
      <c r="B9498" s="1" t="s">
        <v>7110</v>
      </c>
    </row>
    <row r="9499" spans="1:2" ht="18.75">
      <c r="A9499" s="12" t="s">
        <v>1296</v>
      </c>
      <c r="B9499" s="1" t="s">
        <v>7110</v>
      </c>
    </row>
    <row r="9500" spans="1:2" ht="18.75">
      <c r="A9500" s="12" t="s">
        <v>1297</v>
      </c>
      <c r="B9500" s="1" t="s">
        <v>7110</v>
      </c>
    </row>
    <row r="9501" spans="1:2" ht="18.75">
      <c r="A9501" s="12" t="s">
        <v>1296</v>
      </c>
      <c r="B9501" s="1" t="s">
        <v>7110</v>
      </c>
    </row>
    <row r="9502" spans="1:2" ht="18.75">
      <c r="A9502" s="12" t="s">
        <v>1099</v>
      </c>
      <c r="B9502" s="1" t="s">
        <v>7110</v>
      </c>
    </row>
    <row r="9503" spans="1:2" ht="18.75">
      <c r="A9503" s="12" t="s">
        <v>1317</v>
      </c>
      <c r="B9503" s="1" t="s">
        <v>7110</v>
      </c>
    </row>
    <row r="9504" spans="1:2" ht="18.75">
      <c r="A9504" s="12" t="s">
        <v>1318</v>
      </c>
      <c r="B9504" s="1" t="s">
        <v>7110</v>
      </c>
    </row>
    <row r="9505" spans="1:2" ht="18.75">
      <c r="A9505" s="12" t="s">
        <v>1137</v>
      </c>
      <c r="B9505" s="1" t="s">
        <v>7110</v>
      </c>
    </row>
    <row r="9506" spans="1:2" ht="18.75">
      <c r="A9506" s="12" t="s">
        <v>1321</v>
      </c>
      <c r="B9506" s="1" t="s">
        <v>7110</v>
      </c>
    </row>
    <row r="9507" spans="1:2" ht="18.75">
      <c r="A9507" s="12" t="s">
        <v>1334</v>
      </c>
      <c r="B9507" s="1" t="s">
        <v>7110</v>
      </c>
    </row>
    <row r="9508" spans="1:2" ht="18.75">
      <c r="A9508" s="12" t="s">
        <v>1336</v>
      </c>
      <c r="B9508" s="1" t="s">
        <v>7110</v>
      </c>
    </row>
    <row r="9509" spans="1:2" ht="18.75">
      <c r="A9509" s="12" t="s">
        <v>1338</v>
      </c>
      <c r="B9509" s="1" t="s">
        <v>7110</v>
      </c>
    </row>
    <row r="9510" spans="1:2" ht="18.75">
      <c r="A9510" s="12" t="s">
        <v>1336</v>
      </c>
      <c r="B9510" s="1" t="s">
        <v>7110</v>
      </c>
    </row>
    <row r="9511" spans="1:2" ht="18.75">
      <c r="A9511" s="12" t="s">
        <v>1343</v>
      </c>
      <c r="B9511" s="1" t="s">
        <v>7110</v>
      </c>
    </row>
    <row r="9512" spans="1:2" ht="18.75">
      <c r="A9512" s="12" t="s">
        <v>1345</v>
      </c>
      <c r="B9512" s="1" t="s">
        <v>7110</v>
      </c>
    </row>
    <row r="9513" spans="1:2" ht="18.75">
      <c r="A9513" s="12" t="s">
        <v>1268</v>
      </c>
      <c r="B9513" s="1" t="s">
        <v>7110</v>
      </c>
    </row>
    <row r="9514" spans="1:2" ht="18.75">
      <c r="A9514" s="12" t="s">
        <v>1350</v>
      </c>
      <c r="B9514" s="1" t="s">
        <v>7110</v>
      </c>
    </row>
    <row r="9515" spans="1:2" ht="18.75">
      <c r="A9515" s="12" t="s">
        <v>1345</v>
      </c>
      <c r="B9515" s="1" t="s">
        <v>7110</v>
      </c>
    </row>
    <row r="9516" spans="1:2" ht="18.75">
      <c r="A9516" s="12" t="s">
        <v>1345</v>
      </c>
      <c r="B9516" s="1" t="s">
        <v>7110</v>
      </c>
    </row>
    <row r="9517" spans="1:2" ht="18.75">
      <c r="A9517" s="12" t="s">
        <v>1269</v>
      </c>
      <c r="B9517" s="1" t="s">
        <v>7110</v>
      </c>
    </row>
    <row r="9518" spans="1:2" ht="18.75">
      <c r="A9518" s="12" t="s">
        <v>1359</v>
      </c>
      <c r="B9518" s="1" t="s">
        <v>7110</v>
      </c>
    </row>
    <row r="9519" spans="1:2" ht="18.75">
      <c r="A9519" s="12" t="s">
        <v>1363</v>
      </c>
      <c r="B9519" s="1" t="s">
        <v>7110</v>
      </c>
    </row>
    <row r="9520" spans="1:2" ht="18.75">
      <c r="A9520" s="12" t="s">
        <v>1364</v>
      </c>
      <c r="B9520" s="1" t="s">
        <v>7110</v>
      </c>
    </row>
    <row r="9521" spans="1:2" ht="18.75">
      <c r="A9521" s="12" t="s">
        <v>1270</v>
      </c>
      <c r="B9521" s="1" t="s">
        <v>7110</v>
      </c>
    </row>
    <row r="9522" spans="1:2" ht="18.75">
      <c r="A9522" s="12" t="s">
        <v>1268</v>
      </c>
      <c r="B9522" s="1" t="s">
        <v>7110</v>
      </c>
    </row>
    <row r="9523" spans="1:2" ht="18.75">
      <c r="A9523" s="12" t="s">
        <v>1269</v>
      </c>
      <c r="B9523" s="1" t="s">
        <v>7110</v>
      </c>
    </row>
    <row r="9524" spans="1:2" ht="18.75">
      <c r="A9524" s="12" t="s">
        <v>1269</v>
      </c>
      <c r="B9524" s="1" t="s">
        <v>7110</v>
      </c>
    </row>
    <row r="9525" spans="1:2" ht="18.75">
      <c r="A9525" s="12" t="s">
        <v>1260</v>
      </c>
      <c r="B9525" s="1" t="s">
        <v>7110</v>
      </c>
    </row>
    <row r="9526" spans="1:2" ht="18.75">
      <c r="A9526" s="12" t="s">
        <v>1388</v>
      </c>
      <c r="B9526" s="1" t="s">
        <v>7110</v>
      </c>
    </row>
    <row r="9527" spans="1:2" ht="18.75">
      <c r="A9527" s="12" t="s">
        <v>1389</v>
      </c>
      <c r="B9527" s="1" t="s">
        <v>7110</v>
      </c>
    </row>
    <row r="9528" spans="1:2" ht="18.75">
      <c r="A9528" s="12" t="s">
        <v>1395</v>
      </c>
      <c r="B9528" s="1" t="s">
        <v>7110</v>
      </c>
    </row>
    <row r="9529" spans="1:2" ht="18.75">
      <c r="A9529" s="12" t="s">
        <v>1338</v>
      </c>
      <c r="B9529" s="1" t="s">
        <v>7110</v>
      </c>
    </row>
    <row r="9530" spans="1:2" ht="18.75">
      <c r="A9530" s="12" t="s">
        <v>1398</v>
      </c>
      <c r="B9530" s="1" t="s">
        <v>7110</v>
      </c>
    </row>
    <row r="9531" spans="1:2" ht="18.75">
      <c r="A9531" s="12" t="s">
        <v>1426</v>
      </c>
      <c r="B9531" s="1" t="s">
        <v>7110</v>
      </c>
    </row>
    <row r="9532" spans="1:2" ht="18.75">
      <c r="A9532" s="12" t="s">
        <v>1443</v>
      </c>
      <c r="B9532" s="1" t="s">
        <v>7110</v>
      </c>
    </row>
    <row r="9533" spans="1:2" ht="18.75">
      <c r="A9533" s="12" t="s">
        <v>1449</v>
      </c>
      <c r="B9533" s="1" t="s">
        <v>7110</v>
      </c>
    </row>
    <row r="9534" spans="1:2" ht="18.75">
      <c r="A9534" s="12" t="s">
        <v>1451</v>
      </c>
      <c r="B9534" s="1" t="s">
        <v>7110</v>
      </c>
    </row>
    <row r="9535" spans="1:2" ht="18.75">
      <c r="A9535" s="12" t="s">
        <v>1455</v>
      </c>
      <c r="B9535" s="1" t="s">
        <v>7110</v>
      </c>
    </row>
    <row r="9536" spans="1:2" ht="18.75">
      <c r="A9536" s="12" t="s">
        <v>1456</v>
      </c>
      <c r="B9536" s="1" t="s">
        <v>7110</v>
      </c>
    </row>
    <row r="9537" spans="1:2" ht="18.75">
      <c r="A9537" s="12" t="s">
        <v>1463</v>
      </c>
      <c r="B9537" s="1" t="s">
        <v>7110</v>
      </c>
    </row>
    <row r="9538" spans="1:2" ht="18.75">
      <c r="A9538" s="12" t="s">
        <v>1464</v>
      </c>
      <c r="B9538" s="1" t="s">
        <v>7110</v>
      </c>
    </row>
    <row r="9539" spans="1:2" ht="18.75">
      <c r="A9539" s="12" t="s">
        <v>1470</v>
      </c>
      <c r="B9539" s="1" t="s">
        <v>7110</v>
      </c>
    </row>
    <row r="9540" spans="1:2" ht="18.75">
      <c r="A9540" s="12" t="s">
        <v>1471</v>
      </c>
      <c r="B9540" s="1" t="s">
        <v>7110</v>
      </c>
    </row>
    <row r="9541" spans="1:2" ht="18.75">
      <c r="A9541" s="12" t="s">
        <v>1120</v>
      </c>
      <c r="B9541" s="1" t="s">
        <v>7110</v>
      </c>
    </row>
    <row r="9542" spans="1:2" ht="18.75">
      <c r="A9542" s="12" t="s">
        <v>1115</v>
      </c>
      <c r="B9542" s="1" t="s">
        <v>7110</v>
      </c>
    </row>
    <row r="9543" spans="1:2" ht="18.75">
      <c r="A9543" s="12" t="s">
        <v>1345</v>
      </c>
      <c r="B9543" s="1" t="s">
        <v>7110</v>
      </c>
    </row>
    <row r="9544" spans="1:2" ht="18.75">
      <c r="A9544" s="12" t="s">
        <v>1494</v>
      </c>
      <c r="B9544" s="1" t="s">
        <v>7110</v>
      </c>
    </row>
    <row r="9545" spans="1:2" ht="18.75">
      <c r="A9545" s="12" t="s">
        <v>1273</v>
      </c>
      <c r="B9545" s="1" t="s">
        <v>7110</v>
      </c>
    </row>
    <row r="9546" spans="1:2" ht="18.75">
      <c r="A9546" s="12" t="s">
        <v>1350</v>
      </c>
      <c r="B9546" s="1" t="s">
        <v>7110</v>
      </c>
    </row>
    <row r="9547" spans="1:2" ht="18.75">
      <c r="A9547" s="12" t="s">
        <v>1268</v>
      </c>
      <c r="B9547" s="1" t="s">
        <v>7110</v>
      </c>
    </row>
    <row r="9548" spans="1:2" ht="18.75">
      <c r="A9548" s="12" t="s">
        <v>1270</v>
      </c>
      <c r="B9548" s="1" t="s">
        <v>7110</v>
      </c>
    </row>
    <row r="9549" spans="1:2" ht="18.75">
      <c r="A9549" s="12" t="s">
        <v>1268</v>
      </c>
      <c r="B9549" s="1" t="s">
        <v>7110</v>
      </c>
    </row>
    <row r="9550" spans="1:2" ht="18.75">
      <c r="A9550" s="12" t="s">
        <v>1345</v>
      </c>
      <c r="B9550" s="1" t="s">
        <v>7110</v>
      </c>
    </row>
    <row r="9551" spans="1:2" ht="18.75">
      <c r="A9551" s="12" t="s">
        <v>1532</v>
      </c>
      <c r="B9551" s="1" t="s">
        <v>7110</v>
      </c>
    </row>
    <row r="9552" spans="1:2" ht="18.75">
      <c r="A9552" s="12" t="s">
        <v>1533</v>
      </c>
      <c r="B9552" s="1" t="s">
        <v>7110</v>
      </c>
    </row>
    <row r="9553" spans="1:2" ht="18.75">
      <c r="A9553" s="12" t="s">
        <v>1533</v>
      </c>
      <c r="B9553" s="1" t="s">
        <v>7110</v>
      </c>
    </row>
    <row r="9554" spans="1:2" ht="18.75">
      <c r="A9554" s="12" t="s">
        <v>1534</v>
      </c>
      <c r="B9554" s="1" t="s">
        <v>7110</v>
      </c>
    </row>
    <row r="9555" spans="1:2" ht="18.75">
      <c r="A9555" s="12" t="s">
        <v>1532</v>
      </c>
      <c r="B9555" s="1" t="s">
        <v>7110</v>
      </c>
    </row>
    <row r="9556" spans="1:2" ht="18.75">
      <c r="A9556" s="12" t="s">
        <v>1533</v>
      </c>
      <c r="B9556" s="1" t="s">
        <v>7110</v>
      </c>
    </row>
    <row r="9557" spans="1:2" ht="18.75">
      <c r="A9557" s="12" t="s">
        <v>1551</v>
      </c>
      <c r="B9557" s="1" t="s">
        <v>7110</v>
      </c>
    </row>
    <row r="9558" spans="1:2" ht="18.75">
      <c r="A9558" s="12" t="s">
        <v>1494</v>
      </c>
      <c r="B9558" s="1" t="s">
        <v>7110</v>
      </c>
    </row>
    <row r="9559" spans="1:2" ht="18.75">
      <c r="A9559" s="12" t="s">
        <v>1553</v>
      </c>
      <c r="B9559" s="1" t="s">
        <v>7110</v>
      </c>
    </row>
    <row r="9560" spans="1:2" ht="18.75">
      <c r="A9560" s="12" t="s">
        <v>1553</v>
      </c>
      <c r="B9560" s="1" t="s">
        <v>7110</v>
      </c>
    </row>
    <row r="9561" spans="1:2" ht="18.75">
      <c r="A9561" s="12" t="s">
        <v>1553</v>
      </c>
      <c r="B9561" s="1" t="s">
        <v>7110</v>
      </c>
    </row>
    <row r="9562" spans="1:2" ht="18.75">
      <c r="A9562" s="12" t="s">
        <v>1553</v>
      </c>
      <c r="B9562" s="1" t="s">
        <v>7110</v>
      </c>
    </row>
    <row r="9563" spans="1:2" ht="18.75">
      <c r="A9563" s="12" t="s">
        <v>1494</v>
      </c>
      <c r="B9563" s="1" t="s">
        <v>7110</v>
      </c>
    </row>
    <row r="9564" spans="1:2" ht="18.75">
      <c r="A9564" s="12" t="s">
        <v>1273</v>
      </c>
      <c r="B9564" s="1" t="s">
        <v>7110</v>
      </c>
    </row>
    <row r="9565" spans="1:2" ht="18.75">
      <c r="A9565" s="12" t="s">
        <v>1494</v>
      </c>
      <c r="B9565" s="1" t="s">
        <v>7110</v>
      </c>
    </row>
    <row r="9566" spans="1:2" ht="18.75">
      <c r="A9566" s="12" t="s">
        <v>1561</v>
      </c>
      <c r="B9566" s="1" t="s">
        <v>7110</v>
      </c>
    </row>
    <row r="9567" spans="1:2" ht="18.75">
      <c r="A9567" s="12" t="s">
        <v>1562</v>
      </c>
      <c r="B9567" s="1" t="s">
        <v>7110</v>
      </c>
    </row>
    <row r="9568" spans="1:2" ht="18.75">
      <c r="A9568" s="12" t="s">
        <v>1565</v>
      </c>
      <c r="B9568" s="1" t="s">
        <v>7110</v>
      </c>
    </row>
    <row r="9569" spans="1:2" ht="18.75">
      <c r="A9569" s="12" t="s">
        <v>1565</v>
      </c>
      <c r="B9569" s="1" t="s">
        <v>7110</v>
      </c>
    </row>
    <row r="9570" spans="1:2" ht="18.75">
      <c r="A9570" s="12" t="s">
        <v>1566</v>
      </c>
      <c r="B9570" s="1" t="s">
        <v>7110</v>
      </c>
    </row>
    <row r="9571" spans="1:2" ht="18.75">
      <c r="A9571" s="12" t="s">
        <v>1553</v>
      </c>
      <c r="B9571" s="1" t="s">
        <v>7110</v>
      </c>
    </row>
    <row r="9572" spans="1:2" ht="18.75">
      <c r="A9572" s="12" t="s">
        <v>1553</v>
      </c>
      <c r="B9572" s="1" t="s">
        <v>7110</v>
      </c>
    </row>
    <row r="9573" spans="1:2" ht="18.75">
      <c r="A9573" s="12" t="s">
        <v>1470</v>
      </c>
      <c r="B9573" s="1" t="s">
        <v>7110</v>
      </c>
    </row>
    <row r="9574" spans="1:2" ht="18.75">
      <c r="A9574" s="12" t="s">
        <v>1363</v>
      </c>
      <c r="B9574" s="1" t="s">
        <v>7110</v>
      </c>
    </row>
    <row r="9575" spans="1:2" ht="18.75">
      <c r="A9575" s="12" t="s">
        <v>1443</v>
      </c>
      <c r="B9575" s="1" t="s">
        <v>7110</v>
      </c>
    </row>
    <row r="9576" spans="1:2" ht="18.75">
      <c r="A9576" s="12" t="s">
        <v>1178</v>
      </c>
      <c r="B9576" s="1" t="s">
        <v>7110</v>
      </c>
    </row>
    <row r="9577" spans="1:2" ht="18.75">
      <c r="A9577" s="12" t="s">
        <v>1178</v>
      </c>
      <c r="B9577" s="1" t="s">
        <v>7110</v>
      </c>
    </row>
    <row r="9578" spans="1:2" ht="18.75">
      <c r="A9578" s="12" t="s">
        <v>1774</v>
      </c>
      <c r="B9578" s="1" t="s">
        <v>7110</v>
      </c>
    </row>
    <row r="9579" spans="1:2" ht="18.75">
      <c r="A9579" s="12" t="s">
        <v>1257</v>
      </c>
      <c r="B9579" s="1" t="s">
        <v>7110</v>
      </c>
    </row>
    <row r="9580" spans="1:2" ht="18.75">
      <c r="A9580" s="12" t="s">
        <v>1266</v>
      </c>
      <c r="B9580" s="1" t="s">
        <v>7110</v>
      </c>
    </row>
    <row r="9581" spans="1:2" ht="18.75">
      <c r="A9581" s="12" t="s">
        <v>1774</v>
      </c>
      <c r="B9581" s="1" t="s">
        <v>7110</v>
      </c>
    </row>
    <row r="9582" spans="1:2" ht="18.75">
      <c r="A9582" s="12" t="s">
        <v>1551</v>
      </c>
      <c r="B9582" s="1" t="s">
        <v>7110</v>
      </c>
    </row>
    <row r="9583" spans="1:2" ht="18.75">
      <c r="A9583" s="12" t="s">
        <v>1345</v>
      </c>
      <c r="B9583" s="1" t="s">
        <v>7110</v>
      </c>
    </row>
    <row r="9584" spans="1:2" ht="18.75">
      <c r="A9584" s="12" t="s">
        <v>1798</v>
      </c>
      <c r="B9584" s="1" t="s">
        <v>7110</v>
      </c>
    </row>
    <row r="9585" spans="1:2" ht="18.75">
      <c r="A9585" s="12" t="s">
        <v>1799</v>
      </c>
      <c r="B9585" s="1" t="s">
        <v>7110</v>
      </c>
    </row>
    <row r="9586" spans="1:2" ht="18.75">
      <c r="A9586" s="12" t="s">
        <v>1800</v>
      </c>
      <c r="B9586" s="1" t="s">
        <v>7110</v>
      </c>
    </row>
    <row r="9587" spans="1:2" ht="18.75">
      <c r="A9587" s="12" t="s">
        <v>1774</v>
      </c>
      <c r="B9587" s="1" t="s">
        <v>7110</v>
      </c>
    </row>
    <row r="9588" spans="1:2" ht="18.75">
      <c r="A9588" s="12" t="s">
        <v>1774</v>
      </c>
      <c r="B9588" s="1" t="s">
        <v>7110</v>
      </c>
    </row>
    <row r="9589" spans="1:2" ht="18.75">
      <c r="A9589" s="12" t="s">
        <v>1774</v>
      </c>
      <c r="B9589" s="1" t="s">
        <v>7110</v>
      </c>
    </row>
    <row r="9590" spans="1:2" ht="18.75">
      <c r="A9590" s="12" t="s">
        <v>1846</v>
      </c>
      <c r="B9590" s="1" t="s">
        <v>7110</v>
      </c>
    </row>
    <row r="9591" spans="1:2" ht="18.75">
      <c r="A9591" s="12" t="s">
        <v>1847</v>
      </c>
      <c r="B9591" s="1" t="s">
        <v>7110</v>
      </c>
    </row>
    <row r="9592" spans="1:2" ht="18.75">
      <c r="A9592" s="12" t="s">
        <v>1551</v>
      </c>
      <c r="B9592" s="1" t="s">
        <v>7110</v>
      </c>
    </row>
    <row r="9593" spans="1:2" ht="18.75">
      <c r="A9593" s="12" t="s">
        <v>1270</v>
      </c>
      <c r="B9593" s="1" t="s">
        <v>7110</v>
      </c>
    </row>
    <row r="9594" spans="1:2" ht="18.75">
      <c r="A9594" s="12" t="s">
        <v>1922</v>
      </c>
      <c r="B9594" s="1" t="s">
        <v>7110</v>
      </c>
    </row>
    <row r="9595" spans="1:2" ht="18.75">
      <c r="A9595" s="12" t="s">
        <v>1958</v>
      </c>
      <c r="B9595" s="1" t="s">
        <v>7110</v>
      </c>
    </row>
    <row r="9596" spans="1:2" ht="18.75">
      <c r="A9596" s="12" t="s">
        <v>1959</v>
      </c>
      <c r="B9596" s="1" t="s">
        <v>7110</v>
      </c>
    </row>
    <row r="9597" spans="1:2" ht="18.75">
      <c r="A9597" s="12" t="s">
        <v>1456</v>
      </c>
      <c r="B9597" s="1" t="s">
        <v>7110</v>
      </c>
    </row>
    <row r="9598" spans="1:2" ht="18.75">
      <c r="A9598" s="12" t="s">
        <v>1961</v>
      </c>
      <c r="B9598" s="1" t="s">
        <v>7110</v>
      </c>
    </row>
    <row r="9599" spans="1:2" ht="18.75">
      <c r="A9599" s="12" t="s">
        <v>1270</v>
      </c>
      <c r="B9599" s="1" t="s">
        <v>7110</v>
      </c>
    </row>
    <row r="9600" spans="1:2" ht="18.75">
      <c r="A9600" s="12" t="s">
        <v>1961</v>
      </c>
      <c r="B9600" s="1" t="s">
        <v>7110</v>
      </c>
    </row>
    <row r="9601" spans="1:2" ht="18.75">
      <c r="A9601" s="12" t="s">
        <v>1847</v>
      </c>
      <c r="B9601" s="1" t="s">
        <v>7110</v>
      </c>
    </row>
    <row r="9602" spans="1:2" ht="18.75">
      <c r="A9602" s="12" t="s">
        <v>1774</v>
      </c>
      <c r="B9602" s="1" t="s">
        <v>7110</v>
      </c>
    </row>
    <row r="9603" spans="1:2" ht="18.75">
      <c r="A9603" s="12" t="s">
        <v>1961</v>
      </c>
      <c r="B9603" s="1" t="s">
        <v>7110</v>
      </c>
    </row>
    <row r="9604" spans="1:2" ht="18.75">
      <c r="A9604" s="12" t="s">
        <v>1451</v>
      </c>
      <c r="B9604" s="1" t="s">
        <v>7110</v>
      </c>
    </row>
    <row r="9605" spans="1:2" ht="18.75">
      <c r="A9605" s="12" t="s">
        <v>1451</v>
      </c>
      <c r="B9605" s="1" t="s">
        <v>7110</v>
      </c>
    </row>
    <row r="9606" spans="1:2" ht="18.75">
      <c r="A9606" s="12" t="s">
        <v>1451</v>
      </c>
      <c r="B9606" s="1" t="s">
        <v>7110</v>
      </c>
    </row>
    <row r="9607" spans="1:2" ht="18.75">
      <c r="A9607" s="12" t="s">
        <v>1451</v>
      </c>
      <c r="B9607" s="1" t="s">
        <v>7110</v>
      </c>
    </row>
    <row r="9608" spans="1:2" ht="18.75">
      <c r="A9608" s="12" t="s">
        <v>1451</v>
      </c>
      <c r="B9608" s="1" t="s">
        <v>7110</v>
      </c>
    </row>
    <row r="9609" spans="1:2" ht="18.75">
      <c r="A9609" s="12" t="s">
        <v>1260</v>
      </c>
      <c r="B9609" s="1" t="s">
        <v>7110</v>
      </c>
    </row>
    <row r="9610" spans="1:2" ht="18.75">
      <c r="A9610" s="12" t="s">
        <v>1922</v>
      </c>
      <c r="B9610" s="1" t="s">
        <v>7110</v>
      </c>
    </row>
    <row r="9611" spans="1:2" ht="18.75">
      <c r="A9611" s="12" t="s">
        <v>1260</v>
      </c>
      <c r="B9611" s="1" t="s">
        <v>7110</v>
      </c>
    </row>
    <row r="9612" spans="1:2" ht="18.75">
      <c r="A9612" s="12" t="s">
        <v>1271</v>
      </c>
      <c r="B9612" s="1" t="s">
        <v>7110</v>
      </c>
    </row>
    <row r="9613" spans="1:2" ht="18.75">
      <c r="A9613" s="12" t="s">
        <v>1269</v>
      </c>
      <c r="B9613" s="1" t="s">
        <v>7110</v>
      </c>
    </row>
    <row r="9614" spans="1:2" ht="18.75">
      <c r="A9614" s="12" t="s">
        <v>1266</v>
      </c>
      <c r="B9614" s="1" t="s">
        <v>7110</v>
      </c>
    </row>
    <row r="9615" spans="1:2" ht="18.75">
      <c r="A9615" s="12" t="s">
        <v>1269</v>
      </c>
      <c r="B9615" s="1" t="s">
        <v>7110</v>
      </c>
    </row>
    <row r="9616" spans="1:2" ht="18.75">
      <c r="A9616" s="12" t="s">
        <v>1270</v>
      </c>
      <c r="B9616" s="1" t="s">
        <v>7110</v>
      </c>
    </row>
    <row r="9617" spans="1:2" ht="18.75">
      <c r="A9617" s="12" t="s">
        <v>1270</v>
      </c>
      <c r="B9617" s="1" t="s">
        <v>7110</v>
      </c>
    </row>
    <row r="9618" spans="1:2" ht="18.75">
      <c r="A9618" s="12" t="s">
        <v>7100</v>
      </c>
      <c r="B9618" s="1" t="s">
        <v>7110</v>
      </c>
    </row>
    <row r="9619" spans="1:2" ht="18.75">
      <c r="A9619" s="12" t="s">
        <v>7101</v>
      </c>
      <c r="B9619" s="1" t="s">
        <v>7110</v>
      </c>
    </row>
    <row r="9620" spans="1:2" ht="18.75">
      <c r="A9620" s="12" t="s">
        <v>7101</v>
      </c>
      <c r="B9620" s="1" t="s">
        <v>7110</v>
      </c>
    </row>
    <row r="9621" spans="1:2" ht="18.75">
      <c r="A9621" s="12" t="s">
        <v>7101</v>
      </c>
      <c r="B9621" s="1" t="s">
        <v>7110</v>
      </c>
    </row>
    <row r="9622" spans="1:2" ht="18.75">
      <c r="A9622" s="12" t="s">
        <v>7102</v>
      </c>
      <c r="B9622" s="1" t="s">
        <v>7110</v>
      </c>
    </row>
    <row r="9623" spans="1:2" ht="18.75">
      <c r="A9623" s="12" t="s">
        <v>7101</v>
      </c>
      <c r="B9623" s="1" t="s">
        <v>7110</v>
      </c>
    </row>
    <row r="9624" spans="1:2" ht="18.75">
      <c r="A9624" s="12" t="s">
        <v>2853</v>
      </c>
      <c r="B9624" s="1" t="s">
        <v>7110</v>
      </c>
    </row>
    <row r="9625" spans="1:2" ht="18.75">
      <c r="A9625" s="12" t="s">
        <v>7101</v>
      </c>
      <c r="B9625" s="1" t="s">
        <v>7110</v>
      </c>
    </row>
    <row r="9626" spans="1:2" ht="18.75">
      <c r="A9626" s="12" t="s">
        <v>2853</v>
      </c>
      <c r="B9626" s="1" t="s">
        <v>7110</v>
      </c>
    </row>
    <row r="9627" spans="1:2" ht="18.75">
      <c r="A9627" s="12" t="s">
        <v>3047</v>
      </c>
      <c r="B9627" s="1" t="s">
        <v>7110</v>
      </c>
    </row>
    <row r="9628" spans="1:2" ht="18.75">
      <c r="A9628" s="12" t="s">
        <v>3047</v>
      </c>
      <c r="B9628" s="1" t="s">
        <v>7110</v>
      </c>
    </row>
    <row r="9629" spans="1:2" ht="18.75">
      <c r="A9629" s="12" t="s">
        <v>3047</v>
      </c>
      <c r="B9629" s="1" t="s">
        <v>7110</v>
      </c>
    </row>
    <row r="9630" spans="1:2" ht="18.75">
      <c r="A9630" s="12" t="s">
        <v>3522</v>
      </c>
      <c r="B9630" s="1" t="s">
        <v>7110</v>
      </c>
    </row>
    <row r="9631" spans="1:2" ht="18.75">
      <c r="A9631" s="12" t="s">
        <v>3525</v>
      </c>
      <c r="B9631" s="1" t="s">
        <v>7110</v>
      </c>
    </row>
    <row r="9632" spans="1:2" ht="18.75">
      <c r="A9632" s="12" t="s">
        <v>3564</v>
      </c>
      <c r="B9632" s="1" t="s">
        <v>7110</v>
      </c>
    </row>
    <row r="9633" spans="1:2" ht="18.75">
      <c r="A9633" s="12" t="s">
        <v>3568</v>
      </c>
      <c r="B9633" s="1" t="s">
        <v>7110</v>
      </c>
    </row>
    <row r="9634" spans="1:2" ht="18.75">
      <c r="A9634" s="12" t="s">
        <v>3572</v>
      </c>
      <c r="B9634" s="1" t="s">
        <v>7110</v>
      </c>
    </row>
    <row r="9635" spans="1:2" ht="18.75">
      <c r="A9635" s="12" t="s">
        <v>3568</v>
      </c>
      <c r="B9635" s="1" t="s">
        <v>7110</v>
      </c>
    </row>
    <row r="9636" spans="1:2" ht="18">
      <c r="A9636" s="50" t="s">
        <v>3564</v>
      </c>
      <c r="B9636" s="1" t="s">
        <v>7110</v>
      </c>
    </row>
    <row r="9637" spans="1:2" ht="18">
      <c r="A9637" s="50" t="s">
        <v>3674</v>
      </c>
      <c r="B9637" s="1" t="s">
        <v>7110</v>
      </c>
    </row>
    <row r="9638" spans="1:2" ht="18">
      <c r="A9638" s="50" t="s">
        <v>3675</v>
      </c>
      <c r="B9638" s="1" t="s">
        <v>7110</v>
      </c>
    </row>
    <row r="9639" spans="1:2" ht="18">
      <c r="A9639" s="50" t="s">
        <v>3677</v>
      </c>
      <c r="B9639" s="1" t="s">
        <v>7110</v>
      </c>
    </row>
    <row r="9640" spans="1:2" ht="18">
      <c r="A9640" s="50" t="s">
        <v>3568</v>
      </c>
      <c r="B9640" s="1" t="s">
        <v>7110</v>
      </c>
    </row>
    <row r="9641" spans="1:2" ht="18">
      <c r="A9641" s="50" t="s">
        <v>3673</v>
      </c>
      <c r="B9641" s="1" t="s">
        <v>7110</v>
      </c>
    </row>
    <row r="9642" spans="1:2" ht="18">
      <c r="A9642" s="50" t="s">
        <v>3674</v>
      </c>
      <c r="B9642" s="1" t="s">
        <v>7110</v>
      </c>
    </row>
    <row r="9643" spans="1:2" ht="18">
      <c r="A9643" s="50" t="s">
        <v>3676</v>
      </c>
      <c r="B9643" s="1" t="s">
        <v>7110</v>
      </c>
    </row>
    <row r="9644" spans="1:2" ht="18">
      <c r="A9644" s="50" t="s">
        <v>3675</v>
      </c>
      <c r="B9644" s="1" t="s">
        <v>7110</v>
      </c>
    </row>
    <row r="9645" spans="1:2" ht="18">
      <c r="A9645" s="50" t="s">
        <v>3525</v>
      </c>
      <c r="B9645" s="1" t="s">
        <v>7110</v>
      </c>
    </row>
    <row r="9646" spans="1:2" ht="18">
      <c r="A9646" s="50" t="s">
        <v>3677</v>
      </c>
      <c r="B9646" s="1" t="s">
        <v>7110</v>
      </c>
    </row>
    <row r="9647" spans="1:2" ht="18">
      <c r="A9647" s="50" t="s">
        <v>3676</v>
      </c>
      <c r="B9647" s="1" t="s">
        <v>7110</v>
      </c>
    </row>
    <row r="9648" spans="1:2" ht="18.75">
      <c r="A9648" s="12" t="s">
        <v>3189</v>
      </c>
      <c r="B9648" s="1" t="s">
        <v>7110</v>
      </c>
    </row>
    <row r="9649" spans="1:2" ht="18.75">
      <c r="A9649" s="12" t="s">
        <v>3332</v>
      </c>
      <c r="B9649" s="1" t="s">
        <v>7110</v>
      </c>
    </row>
    <row r="9650" spans="1:2" ht="18.75">
      <c r="A9650" s="12" t="s">
        <v>3334</v>
      </c>
      <c r="B9650" s="1" t="s">
        <v>7110</v>
      </c>
    </row>
    <row r="9651" spans="1:2" ht="18.75">
      <c r="A9651" s="12" t="s">
        <v>3337</v>
      </c>
      <c r="B9651" s="1" t="s">
        <v>7110</v>
      </c>
    </row>
    <row r="9652" spans="1:2" ht="18.75">
      <c r="A9652" s="12" t="s">
        <v>3338</v>
      </c>
      <c r="B9652" s="1" t="s">
        <v>7110</v>
      </c>
    </row>
    <row r="9653" spans="1:2" ht="18.75">
      <c r="A9653" s="12" t="s">
        <v>3339</v>
      </c>
      <c r="B9653" s="1" t="s">
        <v>7110</v>
      </c>
    </row>
    <row r="9654" spans="1:2" ht="18.75">
      <c r="A9654" s="12" t="s">
        <v>3340</v>
      </c>
      <c r="B9654" s="1" t="s">
        <v>7110</v>
      </c>
    </row>
    <row r="9655" spans="1:2" ht="18.75">
      <c r="A9655" s="12" t="s">
        <v>3341</v>
      </c>
      <c r="B9655" s="1" t="s">
        <v>7110</v>
      </c>
    </row>
    <row r="9656" spans="1:2" ht="18.75">
      <c r="A9656" s="12" t="s">
        <v>3342</v>
      </c>
      <c r="B9656" s="1" t="s">
        <v>7110</v>
      </c>
    </row>
    <row r="9657" spans="1:2" ht="18.75">
      <c r="A9657" s="12" t="s">
        <v>3344</v>
      </c>
      <c r="B9657" s="1" t="s">
        <v>7110</v>
      </c>
    </row>
    <row r="9658" spans="1:2" ht="18.75">
      <c r="A9658" s="12" t="s">
        <v>3345</v>
      </c>
      <c r="B9658" s="1" t="s">
        <v>7110</v>
      </c>
    </row>
    <row r="9659" spans="1:2" ht="18.75">
      <c r="A9659" s="12" t="s">
        <v>3345</v>
      </c>
      <c r="B9659" s="1" t="s">
        <v>7110</v>
      </c>
    </row>
    <row r="9660" spans="1:2" ht="18.75">
      <c r="A9660" s="12" t="s">
        <v>3349</v>
      </c>
      <c r="B9660" s="1" t="s">
        <v>7110</v>
      </c>
    </row>
    <row r="9661" spans="1:2" ht="18.75">
      <c r="A9661" s="12" t="s">
        <v>3349</v>
      </c>
      <c r="B9661" s="1" t="s">
        <v>7110</v>
      </c>
    </row>
    <row r="9662" spans="1:2" ht="18.75">
      <c r="A9662" s="12" t="s">
        <v>3349</v>
      </c>
      <c r="B9662" s="1" t="s">
        <v>7110</v>
      </c>
    </row>
    <row r="9663" spans="1:2" ht="18.75">
      <c r="A9663" s="12" t="s">
        <v>3402</v>
      </c>
      <c r="B9663" s="1" t="s">
        <v>7110</v>
      </c>
    </row>
    <row r="9664" spans="1:2" ht="18.75">
      <c r="A9664" s="12" t="s">
        <v>3403</v>
      </c>
      <c r="B9664" s="1" t="s">
        <v>7110</v>
      </c>
    </row>
    <row r="9665" spans="1:2" ht="18.75">
      <c r="A9665" s="12" t="s">
        <v>3405</v>
      </c>
      <c r="B9665" s="1" t="s">
        <v>7110</v>
      </c>
    </row>
    <row r="9666" spans="1:2" ht="18.75">
      <c r="A9666" s="12" t="s">
        <v>3339</v>
      </c>
      <c r="B9666" s="1" t="s">
        <v>7110</v>
      </c>
    </row>
    <row r="9667" spans="1:2" ht="18.75">
      <c r="A9667" s="12" t="s">
        <v>3402</v>
      </c>
      <c r="B9667" s="1" t="s">
        <v>7110</v>
      </c>
    </row>
    <row r="9668" spans="1:2" ht="18.75">
      <c r="A9668" s="12" t="s">
        <v>3402</v>
      </c>
      <c r="B9668" s="1" t="s">
        <v>7110</v>
      </c>
    </row>
    <row r="9669" spans="1:2" ht="18.75">
      <c r="A9669" s="12" t="s">
        <v>3339</v>
      </c>
      <c r="B9669" s="1" t="s">
        <v>7110</v>
      </c>
    </row>
    <row r="9670" spans="1:2" ht="18.75">
      <c r="A9670" s="12" t="s">
        <v>3471</v>
      </c>
      <c r="B9670" s="1" t="s">
        <v>7110</v>
      </c>
    </row>
    <row r="9671" spans="1:2" ht="18.75">
      <c r="A9671" s="12" t="s">
        <v>3344</v>
      </c>
      <c r="B9671" s="1" t="s">
        <v>7110</v>
      </c>
    </row>
    <row r="9672" spans="1:2" ht="18.75">
      <c r="A9672" s="12" t="s">
        <v>3471</v>
      </c>
      <c r="B9672" s="1" t="s">
        <v>7110</v>
      </c>
    </row>
    <row r="9673" spans="1:2" ht="18.75">
      <c r="A9673" s="12" t="s">
        <v>3189</v>
      </c>
      <c r="B9673" s="1" t="s">
        <v>7110</v>
      </c>
    </row>
    <row r="9674" spans="1:2" ht="18.75">
      <c r="A9674" s="12" t="s">
        <v>3471</v>
      </c>
      <c r="B9674" s="1" t="s">
        <v>7110</v>
      </c>
    </row>
    <row r="9675" spans="1:2" ht="18.75">
      <c r="A9675" s="12" t="s">
        <v>3189</v>
      </c>
      <c r="B9675" s="1" t="s">
        <v>7110</v>
      </c>
    </row>
    <row r="9676" spans="1:2" ht="18.75">
      <c r="A9676" s="12" t="s">
        <v>2784</v>
      </c>
      <c r="B9676" s="1" t="s">
        <v>7110</v>
      </c>
    </row>
    <row r="9677" spans="1:2" ht="18.75">
      <c r="A9677" s="12" t="s">
        <v>2785</v>
      </c>
      <c r="B9677" s="1" t="s">
        <v>7110</v>
      </c>
    </row>
    <row r="9678" spans="1:2" ht="18.75">
      <c r="A9678" s="12" t="s">
        <v>2784</v>
      </c>
      <c r="B9678" s="1" t="s">
        <v>7110</v>
      </c>
    </row>
    <row r="9679" spans="1:2" ht="18.75">
      <c r="A9679" s="12" t="s">
        <v>2785</v>
      </c>
      <c r="B9679" s="1" t="s">
        <v>7110</v>
      </c>
    </row>
    <row r="9680" spans="1:2" ht="18.75">
      <c r="A9680" s="12" t="s">
        <v>2801</v>
      </c>
      <c r="B9680" s="1" t="s">
        <v>7110</v>
      </c>
    </row>
    <row r="9681" spans="1:2" ht="18.75">
      <c r="A9681" s="12" t="s">
        <v>2802</v>
      </c>
      <c r="B9681" s="1" t="s">
        <v>7110</v>
      </c>
    </row>
    <row r="9682" spans="1:2" ht="18.75">
      <c r="A9682" s="12" t="s">
        <v>2784</v>
      </c>
      <c r="B9682" s="1" t="s">
        <v>7110</v>
      </c>
    </row>
    <row r="9683" spans="1:2" ht="18.75">
      <c r="A9683" s="12" t="s">
        <v>2785</v>
      </c>
      <c r="B9683" s="1" t="s">
        <v>7110</v>
      </c>
    </row>
    <row r="9684" spans="1:2" ht="18.75">
      <c r="A9684" s="12" t="s">
        <v>2785</v>
      </c>
      <c r="B9684" s="1" t="s">
        <v>7110</v>
      </c>
    </row>
    <row r="9685" spans="1:2" ht="18.75">
      <c r="A9685" s="12" t="s">
        <v>2814</v>
      </c>
      <c r="B9685" s="1" t="s">
        <v>7110</v>
      </c>
    </row>
    <row r="9686" spans="1:2" ht="18.75">
      <c r="A9686" s="12" t="s">
        <v>2880</v>
      </c>
      <c r="B9686" s="1" t="s">
        <v>7110</v>
      </c>
    </row>
    <row r="9687" spans="1:2" ht="18.75">
      <c r="A9687" s="12" t="s">
        <v>2881</v>
      </c>
      <c r="B9687" s="1" t="s">
        <v>7110</v>
      </c>
    </row>
    <row r="9688" spans="1:2" ht="18.75">
      <c r="A9688" s="12" t="s">
        <v>2880</v>
      </c>
      <c r="B9688" s="1" t="s">
        <v>7110</v>
      </c>
    </row>
    <row r="9689" spans="1:2" ht="18.75">
      <c r="A9689" s="12" t="s">
        <v>2881</v>
      </c>
      <c r="B9689" s="1" t="s">
        <v>7110</v>
      </c>
    </row>
    <row r="9690" spans="1:2" ht="18.75">
      <c r="A9690" s="12" t="s">
        <v>2889</v>
      </c>
      <c r="B9690" s="1" t="s">
        <v>7110</v>
      </c>
    </row>
    <row r="9691" spans="1:2" ht="18.75">
      <c r="A9691" s="12" t="s">
        <v>2880</v>
      </c>
      <c r="B9691" s="1" t="s">
        <v>7110</v>
      </c>
    </row>
    <row r="9692" spans="1:2" ht="18.75">
      <c r="A9692" s="12" t="s">
        <v>2890</v>
      </c>
      <c r="B9692" s="1" t="s">
        <v>7110</v>
      </c>
    </row>
    <row r="9693" spans="1:2" ht="18.75">
      <c r="A9693" s="12" t="s">
        <v>2889</v>
      </c>
      <c r="B9693" s="1" t="s">
        <v>7110</v>
      </c>
    </row>
    <row r="9694" spans="1:2" ht="18.75">
      <c r="A9694" s="12" t="s">
        <v>2881</v>
      </c>
      <c r="B9694" s="1" t="s">
        <v>7110</v>
      </c>
    </row>
    <row r="9695" spans="1:2" ht="18.75">
      <c r="A9695" s="12" t="s">
        <v>2889</v>
      </c>
      <c r="B9695" s="1" t="s">
        <v>7110</v>
      </c>
    </row>
    <row r="9696" spans="1:2" ht="18.75">
      <c r="A9696" s="12" t="s">
        <v>2889</v>
      </c>
      <c r="B9696" s="1" t="s">
        <v>7110</v>
      </c>
    </row>
    <row r="9697" spans="1:2" ht="18.75">
      <c r="A9697" s="12" t="s">
        <v>2889</v>
      </c>
      <c r="B9697" s="1" t="s">
        <v>7110</v>
      </c>
    </row>
    <row r="9698" spans="1:2" ht="18.75">
      <c r="A9698" s="12" t="s">
        <v>2895</v>
      </c>
      <c r="B9698" s="1" t="s">
        <v>7110</v>
      </c>
    </row>
    <row r="9699" spans="1:2" ht="18.75">
      <c r="A9699" s="12" t="s">
        <v>2881</v>
      </c>
      <c r="B9699" s="1" t="s">
        <v>7110</v>
      </c>
    </row>
    <row r="9700" spans="1:2" ht="18.75">
      <c r="A9700" s="12" t="s">
        <v>2881</v>
      </c>
      <c r="B9700" s="1" t="s">
        <v>7110</v>
      </c>
    </row>
    <row r="9701" spans="1:2" ht="18.75">
      <c r="A9701" s="12" t="s">
        <v>2881</v>
      </c>
      <c r="B9701" s="1" t="s">
        <v>7110</v>
      </c>
    </row>
    <row r="9702" spans="1:2" ht="18.75">
      <c r="A9702" s="12" t="s">
        <v>2889</v>
      </c>
      <c r="B9702" s="1" t="s">
        <v>7110</v>
      </c>
    </row>
    <row r="9703" spans="1:2" ht="18.75">
      <c r="A9703" s="12" t="s">
        <v>2889</v>
      </c>
      <c r="B9703" s="1" t="s">
        <v>7110</v>
      </c>
    </row>
    <row r="9704" spans="1:2" ht="18.75">
      <c r="A9704" s="12" t="s">
        <v>2880</v>
      </c>
      <c r="B9704" s="1" t="s">
        <v>7110</v>
      </c>
    </row>
    <row r="9705" spans="1:2" ht="18.75">
      <c r="A9705" s="12" t="s">
        <v>2890</v>
      </c>
      <c r="B9705" s="1" t="s">
        <v>7110</v>
      </c>
    </row>
    <row r="9706" spans="1:2" ht="18.75">
      <c r="A9706" s="12" t="s">
        <v>3052</v>
      </c>
      <c r="B9706" s="1" t="s">
        <v>7110</v>
      </c>
    </row>
    <row r="9707" spans="1:2" ht="18.75">
      <c r="A9707" s="12" t="s">
        <v>2890</v>
      </c>
      <c r="B9707" s="1" t="s">
        <v>7110</v>
      </c>
    </row>
    <row r="9708" spans="1:2" ht="18.75">
      <c r="A9708" s="12" t="s">
        <v>3052</v>
      </c>
      <c r="B9708" s="1" t="s">
        <v>7110</v>
      </c>
    </row>
    <row r="9709" spans="1:2" ht="18.75">
      <c r="A9709" s="12" t="s">
        <v>2889</v>
      </c>
      <c r="B9709" s="1" t="s">
        <v>7110</v>
      </c>
    </row>
    <row r="9710" spans="1:2" ht="18.75">
      <c r="A9710" s="12" t="s">
        <v>3052</v>
      </c>
      <c r="B9710" s="1" t="s">
        <v>7110</v>
      </c>
    </row>
    <row r="9711" spans="1:2" ht="18.75">
      <c r="A9711" s="12" t="s">
        <v>3052</v>
      </c>
      <c r="B9711" s="1" t="s">
        <v>7110</v>
      </c>
    </row>
    <row r="9712" spans="1:2" ht="18.75">
      <c r="A9712" s="12" t="s">
        <v>2890</v>
      </c>
      <c r="B9712" s="1" t="s">
        <v>7110</v>
      </c>
    </row>
    <row r="9713" spans="1:2" ht="18.75">
      <c r="A9713" s="12" t="s">
        <v>2890</v>
      </c>
      <c r="B9713" s="1" t="s">
        <v>7110</v>
      </c>
    </row>
    <row r="9714" spans="1:2" ht="18.75">
      <c r="A9714" s="12" t="s">
        <v>2889</v>
      </c>
      <c r="B9714" s="1" t="s">
        <v>7110</v>
      </c>
    </row>
    <row r="9715" spans="1:2" ht="18.75">
      <c r="A9715" s="12" t="s">
        <v>2889</v>
      </c>
      <c r="B9715" s="1" t="s">
        <v>7110</v>
      </c>
    </row>
    <row r="9716" spans="1:2" ht="18.75">
      <c r="A9716" s="12" t="s">
        <v>2889</v>
      </c>
      <c r="B9716" s="1" t="s">
        <v>7110</v>
      </c>
    </row>
    <row r="9717" spans="1:2" ht="18.75">
      <c r="A9717" s="12" t="s">
        <v>2889</v>
      </c>
      <c r="B9717" s="1" t="s">
        <v>7110</v>
      </c>
    </row>
    <row r="9718" spans="1:2" ht="18.75">
      <c r="A9718" s="12" t="s">
        <v>2890</v>
      </c>
      <c r="B9718" s="1" t="s">
        <v>7110</v>
      </c>
    </row>
    <row r="9719" spans="1:2" ht="18.75">
      <c r="A9719" s="12" t="s">
        <v>3060</v>
      </c>
      <c r="B9719" s="1" t="s">
        <v>7110</v>
      </c>
    </row>
    <row r="9720" spans="1:2" ht="18.75">
      <c r="A9720" s="12" t="s">
        <v>3064</v>
      </c>
      <c r="B9720" s="1" t="s">
        <v>7110</v>
      </c>
    </row>
    <row r="9721" spans="1:2" ht="18.75">
      <c r="A9721" s="12" t="s">
        <v>3064</v>
      </c>
      <c r="B9721" s="1" t="s">
        <v>7110</v>
      </c>
    </row>
    <row r="9722" spans="1:2" ht="18.75">
      <c r="A9722" s="12" t="s">
        <v>3066</v>
      </c>
      <c r="B9722" s="1" t="s">
        <v>7110</v>
      </c>
    </row>
    <row r="9723" spans="1:2" ht="18.75">
      <c r="A9723" s="12" t="s">
        <v>2785</v>
      </c>
      <c r="B9723" s="1" t="s">
        <v>7110</v>
      </c>
    </row>
    <row r="9724" spans="1:2" ht="18.75">
      <c r="A9724" s="12" t="s">
        <v>3069</v>
      </c>
      <c r="B9724" s="1" t="s">
        <v>7110</v>
      </c>
    </row>
    <row r="9725" spans="1:2" ht="18.75">
      <c r="A9725" s="12" t="s">
        <v>3070</v>
      </c>
      <c r="B9725" s="1" t="s">
        <v>7110</v>
      </c>
    </row>
    <row r="9726" spans="1:2" ht="18.75">
      <c r="A9726" s="12" t="s">
        <v>3071</v>
      </c>
      <c r="B9726" s="1" t="s">
        <v>7110</v>
      </c>
    </row>
    <row r="9727" spans="1:2" ht="18.75">
      <c r="A9727" s="12" t="s">
        <v>3074</v>
      </c>
      <c r="B9727" s="1" t="s">
        <v>7110</v>
      </c>
    </row>
    <row r="9728" spans="1:2" ht="18.75">
      <c r="A9728" s="12" t="s">
        <v>3066</v>
      </c>
      <c r="B9728" s="1" t="s">
        <v>7110</v>
      </c>
    </row>
    <row r="9729" spans="1:2" ht="18.75">
      <c r="A9729" s="12" t="s">
        <v>3083</v>
      </c>
      <c r="B9729" s="1" t="s">
        <v>7110</v>
      </c>
    </row>
    <row r="9730" spans="1:2" ht="18.75">
      <c r="A9730" s="12" t="s">
        <v>3066</v>
      </c>
      <c r="B9730" s="1" t="s">
        <v>7110</v>
      </c>
    </row>
    <row r="9731" spans="1:2" ht="18.75">
      <c r="A9731" s="12" t="s">
        <v>3064</v>
      </c>
      <c r="B9731" s="1" t="s">
        <v>7110</v>
      </c>
    </row>
    <row r="9732" spans="1:2" ht="18.75">
      <c r="A9732" s="12" t="s">
        <v>3098</v>
      </c>
      <c r="B9732" s="1" t="s">
        <v>7110</v>
      </c>
    </row>
    <row r="9733" spans="1:2" ht="18.75">
      <c r="A9733" s="12" t="s">
        <v>2802</v>
      </c>
      <c r="B9733" s="1" t="s">
        <v>7110</v>
      </c>
    </row>
    <row r="9734" spans="1:2" ht="18.75">
      <c r="A9734" s="12" t="s">
        <v>3099</v>
      </c>
      <c r="B9734" s="1" t="s">
        <v>7110</v>
      </c>
    </row>
    <row r="9735" spans="1:2" ht="18.75">
      <c r="A9735" s="12" t="s">
        <v>3100</v>
      </c>
      <c r="B9735" s="1" t="s">
        <v>7110</v>
      </c>
    </row>
    <row r="9736" spans="1:2" ht="18.75">
      <c r="A9736" s="12" t="s">
        <v>3111</v>
      </c>
      <c r="B9736" s="1" t="s">
        <v>7110</v>
      </c>
    </row>
    <row r="9737" spans="1:2" ht="18.75">
      <c r="A9737" s="12" t="s">
        <v>3114</v>
      </c>
      <c r="B9737" s="1" t="s">
        <v>7110</v>
      </c>
    </row>
    <row r="9738" spans="1:2" ht="18.75">
      <c r="A9738" s="12" t="s">
        <v>2785</v>
      </c>
      <c r="B9738" s="1" t="s">
        <v>7110</v>
      </c>
    </row>
    <row r="9739" spans="1:2" ht="18.75">
      <c r="A9739" s="12" t="s">
        <v>2801</v>
      </c>
      <c r="B9739" s="1" t="s">
        <v>7110</v>
      </c>
    </row>
    <row r="9740" spans="1:2" ht="18.75">
      <c r="A9740" s="12" t="s">
        <v>2801</v>
      </c>
      <c r="B9740" s="1" t="s">
        <v>7110</v>
      </c>
    </row>
    <row r="9741" spans="1:2" ht="18.75">
      <c r="A9741" s="12" t="s">
        <v>2784</v>
      </c>
      <c r="B9741" s="1" t="s">
        <v>7110</v>
      </c>
    </row>
    <row r="9742" spans="1:2" ht="18.75">
      <c r="A9742" s="12" t="s">
        <v>3083</v>
      </c>
      <c r="B9742" s="1" t="s">
        <v>7110</v>
      </c>
    </row>
    <row r="9743" spans="1:2" ht="18.75">
      <c r="A9743" s="12" t="s">
        <v>3069</v>
      </c>
      <c r="B9743" s="1" t="s">
        <v>7110</v>
      </c>
    </row>
    <row r="9744" spans="1:2" ht="18.75">
      <c r="A9744" s="12" t="s">
        <v>2785</v>
      </c>
      <c r="B9744" s="1" t="s">
        <v>7110</v>
      </c>
    </row>
    <row r="9745" spans="1:2" ht="18.75">
      <c r="A9745" s="12" t="s">
        <v>3070</v>
      </c>
      <c r="B9745" s="1" t="s">
        <v>7110</v>
      </c>
    </row>
    <row r="9746" spans="1:2" ht="18.75">
      <c r="A9746" s="12" t="s">
        <v>3174</v>
      </c>
      <c r="B9746" s="1" t="s">
        <v>7110</v>
      </c>
    </row>
    <row r="9747" spans="1:2" ht="18.75">
      <c r="A9747" s="12" t="s">
        <v>3175</v>
      </c>
      <c r="B9747" s="1" t="s">
        <v>7110</v>
      </c>
    </row>
    <row r="9748" spans="1:2" ht="18.75">
      <c r="A9748" s="12" t="s">
        <v>3176</v>
      </c>
      <c r="B9748" s="1" t="s">
        <v>7110</v>
      </c>
    </row>
    <row r="9749" spans="1:2" ht="18.75">
      <c r="A9749" s="12" t="s">
        <v>3177</v>
      </c>
      <c r="B9749" s="1" t="s">
        <v>7110</v>
      </c>
    </row>
    <row r="9750" spans="1:2" ht="18.75">
      <c r="A9750" s="12" t="s">
        <v>3178</v>
      </c>
      <c r="B9750" s="1" t="s">
        <v>7110</v>
      </c>
    </row>
    <row r="9751" spans="1:2" ht="18.75">
      <c r="A9751" s="12" t="s">
        <v>3179</v>
      </c>
      <c r="B9751" s="1" t="s">
        <v>7110</v>
      </c>
    </row>
    <row r="9752" spans="1:2" ht="18.75">
      <c r="A9752" s="12" t="s">
        <v>3176</v>
      </c>
      <c r="B9752" s="1" t="s">
        <v>7110</v>
      </c>
    </row>
    <row r="9753" spans="1:2" ht="18.75">
      <c r="A9753" s="12" t="s">
        <v>3180</v>
      </c>
      <c r="B9753" s="1" t="s">
        <v>7110</v>
      </c>
    </row>
    <row r="9754" spans="1:2" ht="18.75">
      <c r="A9754" s="12" t="s">
        <v>3181</v>
      </c>
      <c r="B9754" s="1" t="s">
        <v>7110</v>
      </c>
    </row>
    <row r="9755" spans="1:2" ht="18.75">
      <c r="A9755" s="12" t="s">
        <v>3182</v>
      </c>
      <c r="B9755" s="1" t="s">
        <v>7110</v>
      </c>
    </row>
    <row r="9756" spans="1:2" ht="18.75">
      <c r="A9756" s="12" t="s">
        <v>3181</v>
      </c>
      <c r="B9756" s="1" t="s">
        <v>7110</v>
      </c>
    </row>
    <row r="9757" spans="1:2" ht="18.75">
      <c r="A9757" s="12" t="s">
        <v>3071</v>
      </c>
      <c r="B9757" s="1" t="s">
        <v>7110</v>
      </c>
    </row>
    <row r="9758" spans="1:2" ht="18.75">
      <c r="A9758" s="12" t="s">
        <v>3185</v>
      </c>
      <c r="B9758" s="1" t="s">
        <v>7110</v>
      </c>
    </row>
    <row r="9759" spans="1:2" ht="18.75">
      <c r="A9759" s="12" t="s">
        <v>3083</v>
      </c>
      <c r="B9759" s="1" t="s">
        <v>7110</v>
      </c>
    </row>
    <row r="9760" spans="1:2" ht="18.75">
      <c r="A9760" s="12" t="s">
        <v>3174</v>
      </c>
      <c r="B9760" s="1" t="s">
        <v>7110</v>
      </c>
    </row>
    <row r="9761" spans="1:2" ht="18.75">
      <c r="A9761" s="12" t="s">
        <v>3188</v>
      </c>
      <c r="B9761" s="1" t="s">
        <v>7110</v>
      </c>
    </row>
    <row r="9762" spans="1:2" ht="18.75">
      <c r="A9762" s="12" t="s">
        <v>3177</v>
      </c>
      <c r="B9762" s="1" t="s">
        <v>7110</v>
      </c>
    </row>
    <row r="9763" spans="1:2" ht="18.75">
      <c r="A9763" s="12" t="s">
        <v>3176</v>
      </c>
      <c r="B9763" s="1" t="s">
        <v>7110</v>
      </c>
    </row>
    <row r="9764" spans="1:2" ht="18.75">
      <c r="A9764" s="12" t="s">
        <v>2890</v>
      </c>
      <c r="B9764" s="1" t="s">
        <v>7110</v>
      </c>
    </row>
    <row r="9765" spans="1:2" ht="18.75">
      <c r="A9765" s="12" t="s">
        <v>3052</v>
      </c>
      <c r="B9765" s="1" t="s">
        <v>7110</v>
      </c>
    </row>
    <row r="9766" spans="1:2" ht="18.75">
      <c r="A9766" s="12" t="s">
        <v>3210</v>
      </c>
      <c r="B9766" s="1" t="s">
        <v>7110</v>
      </c>
    </row>
    <row r="9767" spans="1:2" ht="18.75">
      <c r="A9767" s="12" t="s">
        <v>3052</v>
      </c>
      <c r="B9767" s="1" t="s">
        <v>7110</v>
      </c>
    </row>
    <row r="9768" spans="1:2" ht="18.75">
      <c r="A9768" s="12" t="s">
        <v>2890</v>
      </c>
      <c r="B9768" s="1" t="s">
        <v>7110</v>
      </c>
    </row>
    <row r="9769" spans="1:2" ht="18.75">
      <c r="A9769" s="12" t="s">
        <v>2890</v>
      </c>
      <c r="B9769" s="1" t="s">
        <v>7110</v>
      </c>
    </row>
    <row r="9770" spans="1:2" ht="18.75">
      <c r="A9770" s="12" t="s">
        <v>2889</v>
      </c>
      <c r="B9770" s="1" t="s">
        <v>7110</v>
      </c>
    </row>
    <row r="9771" spans="1:2" ht="18.75">
      <c r="A9771" s="12" t="s">
        <v>2889</v>
      </c>
      <c r="B9771" s="1" t="s">
        <v>7110</v>
      </c>
    </row>
    <row r="9772" spans="1:2" ht="18.75">
      <c r="A9772" s="12" t="s">
        <v>2895</v>
      </c>
      <c r="B9772" s="1" t="s">
        <v>7110</v>
      </c>
    </row>
    <row r="9773" spans="1:2" ht="18.75">
      <c r="A9773" s="12" t="s">
        <v>2889</v>
      </c>
      <c r="B9773" s="1" t="s">
        <v>7110</v>
      </c>
    </row>
    <row r="9774" spans="1:2" ht="18.75">
      <c r="A9774" s="12" t="s">
        <v>3052</v>
      </c>
      <c r="B9774" s="1" t="s">
        <v>7110</v>
      </c>
    </row>
    <row r="9775" spans="1:2" ht="18.75">
      <c r="A9775" s="12" t="s">
        <v>3210</v>
      </c>
      <c r="B9775" s="1" t="s">
        <v>7110</v>
      </c>
    </row>
    <row r="9776" spans="1:2" ht="18.75">
      <c r="A9776" s="12" t="s">
        <v>3052</v>
      </c>
      <c r="B9776" s="1" t="s">
        <v>7110</v>
      </c>
    </row>
    <row r="9777" spans="1:2" ht="18.75">
      <c r="A9777" s="12" t="s">
        <v>2880</v>
      </c>
      <c r="B9777" s="1" t="s">
        <v>7110</v>
      </c>
    </row>
    <row r="9778" spans="1:2" ht="18.75">
      <c r="A9778" s="12" t="s">
        <v>2890</v>
      </c>
      <c r="B9778" s="1" t="s">
        <v>7110</v>
      </c>
    </row>
    <row r="9779" spans="1:2" ht="18.75">
      <c r="A9779" s="12" t="s">
        <v>2890</v>
      </c>
      <c r="B9779" s="1" t="s">
        <v>7110</v>
      </c>
    </row>
    <row r="9780" spans="1:2" ht="18.75">
      <c r="A9780" s="12" t="s">
        <v>2890</v>
      </c>
      <c r="B9780" s="1" t="s">
        <v>7110</v>
      </c>
    </row>
    <row r="9781" spans="1:2" ht="18.75">
      <c r="A9781" s="12" t="s">
        <v>2890</v>
      </c>
      <c r="B9781" s="1" t="s">
        <v>7110</v>
      </c>
    </row>
    <row r="9782" spans="1:2" ht="18.75">
      <c r="A9782" s="12" t="s">
        <v>3253</v>
      </c>
      <c r="B9782" s="1" t="s">
        <v>7110</v>
      </c>
    </row>
    <row r="9783" spans="1:2" ht="18.75">
      <c r="A9783" s="12" t="s">
        <v>3254</v>
      </c>
      <c r="B9783" s="1" t="s">
        <v>7110</v>
      </c>
    </row>
    <row r="9784" spans="1:2" ht="18.75">
      <c r="A9784" s="12" t="s">
        <v>3255</v>
      </c>
      <c r="B9784" s="1" t="s">
        <v>7110</v>
      </c>
    </row>
    <row r="9785" spans="1:2" ht="18.75">
      <c r="A9785" s="12" t="s">
        <v>3256</v>
      </c>
      <c r="B9785" s="1" t="s">
        <v>7110</v>
      </c>
    </row>
    <row r="9786" spans="1:2" ht="18.75">
      <c r="A9786" s="12" t="s">
        <v>2785</v>
      </c>
      <c r="B9786" s="1" t="s">
        <v>7110</v>
      </c>
    </row>
    <row r="9787" spans="1:2" ht="18.75">
      <c r="A9787" s="12" t="s">
        <v>3257</v>
      </c>
      <c r="B9787" s="1" t="s">
        <v>7110</v>
      </c>
    </row>
    <row r="9788" spans="1:2" ht="18.75">
      <c r="A9788" s="12" t="s">
        <v>3182</v>
      </c>
      <c r="B9788" s="1" t="s">
        <v>7110</v>
      </c>
    </row>
    <row r="9789" spans="1:2" ht="18.75">
      <c r="A9789" s="12" t="s">
        <v>2785</v>
      </c>
      <c r="B9789" s="1" t="s">
        <v>7110</v>
      </c>
    </row>
    <row r="9790" spans="1:2" ht="18.75">
      <c r="A9790" s="12" t="s">
        <v>3259</v>
      </c>
      <c r="B9790" s="1" t="s">
        <v>7110</v>
      </c>
    </row>
    <row r="9791" spans="1:2" ht="18.75">
      <c r="A9791" s="12" t="s">
        <v>3182</v>
      </c>
      <c r="B9791" s="1" t="s">
        <v>7110</v>
      </c>
    </row>
    <row r="9792" spans="1:2" ht="18.75">
      <c r="A9792" s="12" t="s">
        <v>3259</v>
      </c>
      <c r="B9792" s="1" t="s">
        <v>7110</v>
      </c>
    </row>
    <row r="9793" spans="1:2" ht="18.75">
      <c r="A9793" s="12" t="s">
        <v>3329</v>
      </c>
      <c r="B9793" s="1" t="s">
        <v>7110</v>
      </c>
    </row>
    <row r="9794" spans="1:2" ht="18.75">
      <c r="A9794" s="12" t="s">
        <v>3175</v>
      </c>
      <c r="B9794" s="1" t="s">
        <v>7110</v>
      </c>
    </row>
    <row r="9795" spans="1:2" ht="18.75">
      <c r="A9795" s="12" t="s">
        <v>3255</v>
      </c>
      <c r="B9795" s="1" t="s">
        <v>7110</v>
      </c>
    </row>
    <row r="9796" spans="1:2" ht="18.75">
      <c r="A9796" s="12" t="s">
        <v>3255</v>
      </c>
      <c r="B9796" s="1" t="s">
        <v>7110</v>
      </c>
    </row>
    <row r="9797" spans="1:2" ht="18.75">
      <c r="A9797" s="12" t="s">
        <v>3257</v>
      </c>
      <c r="B9797" s="1" t="s">
        <v>7110</v>
      </c>
    </row>
    <row r="9798" spans="1:2" ht="18.75">
      <c r="A9798" s="12" t="s">
        <v>3070</v>
      </c>
      <c r="B9798" s="1" t="s">
        <v>7110</v>
      </c>
    </row>
    <row r="9799" spans="1:2" ht="18.75">
      <c r="A9799" s="12" t="s">
        <v>2802</v>
      </c>
      <c r="B9799" s="1" t="s">
        <v>7110</v>
      </c>
    </row>
    <row r="9800" spans="1:2" ht="18.75">
      <c r="A9800" s="12" t="s">
        <v>3182</v>
      </c>
      <c r="B9800" s="1" t="s">
        <v>7110</v>
      </c>
    </row>
    <row r="9801" spans="1:2" ht="18.75">
      <c r="A9801" s="12" t="s">
        <v>3348</v>
      </c>
      <c r="B9801" s="1" t="s">
        <v>7110</v>
      </c>
    </row>
    <row r="9802" spans="1:2" ht="18.75">
      <c r="A9802" s="12" t="s">
        <v>3348</v>
      </c>
      <c r="B9802" s="1" t="s">
        <v>7110</v>
      </c>
    </row>
    <row r="9803" spans="1:2" ht="18.75">
      <c r="A9803" s="12" t="s">
        <v>2785</v>
      </c>
      <c r="B9803" s="1" t="s">
        <v>7110</v>
      </c>
    </row>
    <row r="9804" spans="1:2" ht="18.75">
      <c r="A9804" s="12" t="s">
        <v>3352</v>
      </c>
      <c r="B9804" s="1" t="s">
        <v>7110</v>
      </c>
    </row>
    <row r="9805" spans="1:2" ht="18.75">
      <c r="A9805" s="12" t="s">
        <v>3353</v>
      </c>
      <c r="B9805" s="1" t="s">
        <v>7110</v>
      </c>
    </row>
    <row r="9806" spans="1:2" ht="18.75">
      <c r="A9806" s="12" t="s">
        <v>3354</v>
      </c>
      <c r="B9806" s="1" t="s">
        <v>7110</v>
      </c>
    </row>
    <row r="9807" spans="1:2" ht="18.75">
      <c r="A9807" s="12" t="s">
        <v>3174</v>
      </c>
      <c r="B9807" s="1" t="s">
        <v>7110</v>
      </c>
    </row>
    <row r="9808" spans="1:2" ht="18.75">
      <c r="A9808" s="12" t="s">
        <v>3353</v>
      </c>
      <c r="B9808" s="1" t="s">
        <v>7110</v>
      </c>
    </row>
    <row r="9809" spans="1:2" ht="18.75">
      <c r="A9809" s="12" t="s">
        <v>3259</v>
      </c>
      <c r="B9809" s="1" t="s">
        <v>7110</v>
      </c>
    </row>
    <row r="9810" spans="1:2" ht="18.75">
      <c r="A9810" s="12" t="s">
        <v>3355</v>
      </c>
      <c r="B9810" s="1" t="s">
        <v>7110</v>
      </c>
    </row>
    <row r="9811" spans="1:2" ht="18.75">
      <c r="A9811" s="12" t="s">
        <v>3355</v>
      </c>
      <c r="B9811" s="1" t="s">
        <v>7110</v>
      </c>
    </row>
    <row r="9812" spans="1:2" ht="18.75">
      <c r="A9812" s="12" t="s">
        <v>3210</v>
      </c>
      <c r="B9812" s="1" t="s">
        <v>7110</v>
      </c>
    </row>
    <row r="9813" spans="1:2" ht="18.75">
      <c r="A9813" s="12" t="s">
        <v>2890</v>
      </c>
      <c r="B9813" s="1" t="s">
        <v>7110</v>
      </c>
    </row>
    <row r="9814" spans="1:2" ht="18.75">
      <c r="A9814" s="12" t="s">
        <v>3210</v>
      </c>
      <c r="B9814" s="1" t="s">
        <v>7110</v>
      </c>
    </row>
    <row r="9815" spans="1:2" ht="18.75">
      <c r="A9815" s="12" t="s">
        <v>3381</v>
      </c>
      <c r="B9815" s="1" t="s">
        <v>7110</v>
      </c>
    </row>
    <row r="9816" spans="1:2" ht="18.75">
      <c r="A9816" s="12" t="s">
        <v>3381</v>
      </c>
      <c r="B9816" s="1" t="s">
        <v>7110</v>
      </c>
    </row>
    <row r="9817" spans="1:2" ht="18.75">
      <c r="A9817" s="12" t="s">
        <v>3381</v>
      </c>
      <c r="B9817" s="1" t="s">
        <v>7110</v>
      </c>
    </row>
    <row r="9818" spans="1:2" ht="18.75">
      <c r="A9818" s="12" t="s">
        <v>2895</v>
      </c>
      <c r="B9818" s="1" t="s">
        <v>7110</v>
      </c>
    </row>
    <row r="9819" spans="1:2" ht="18.75">
      <c r="A9819" s="12" t="s">
        <v>2895</v>
      </c>
      <c r="B9819" s="1" t="s">
        <v>7110</v>
      </c>
    </row>
    <row r="9820" spans="1:2" ht="18.75">
      <c r="A9820" s="12" t="s">
        <v>3381</v>
      </c>
      <c r="B9820" s="1" t="s">
        <v>7110</v>
      </c>
    </row>
    <row r="9821" spans="1:2" ht="18.75">
      <c r="A9821" s="12" t="s">
        <v>3384</v>
      </c>
      <c r="B9821" s="1" t="s">
        <v>7110</v>
      </c>
    </row>
    <row r="9822" spans="1:2" ht="18.75">
      <c r="A9822" s="12" t="s">
        <v>3384</v>
      </c>
      <c r="B9822" s="1" t="s">
        <v>7110</v>
      </c>
    </row>
    <row r="9823" spans="1:2" ht="18.75">
      <c r="A9823" s="12" t="s">
        <v>3384</v>
      </c>
      <c r="B9823" s="1" t="s">
        <v>7110</v>
      </c>
    </row>
    <row r="9824" spans="1:2" ht="18.75">
      <c r="A9824" s="12" t="s">
        <v>3384</v>
      </c>
      <c r="B9824" s="1" t="s">
        <v>7110</v>
      </c>
    </row>
    <row r="9825" spans="1:2" ht="18.75">
      <c r="A9825" s="12" t="s">
        <v>3181</v>
      </c>
      <c r="B9825" s="1" t="s">
        <v>7110</v>
      </c>
    </row>
    <row r="9826" spans="1:2" ht="18.75">
      <c r="A9826" s="12" t="s">
        <v>3329</v>
      </c>
      <c r="B9826" s="1" t="s">
        <v>7110</v>
      </c>
    </row>
    <row r="9827" spans="1:2" ht="18.75">
      <c r="A9827" s="12" t="s">
        <v>3419</v>
      </c>
      <c r="B9827" s="1" t="s">
        <v>7110</v>
      </c>
    </row>
    <row r="9828" spans="1:2" ht="18.75">
      <c r="A9828" s="12" t="s">
        <v>3419</v>
      </c>
      <c r="B9828" s="1" t="s">
        <v>7110</v>
      </c>
    </row>
    <row r="9829" spans="1:2" ht="18.75">
      <c r="A9829" s="12" t="s">
        <v>3384</v>
      </c>
      <c r="B9829" s="1" t="s">
        <v>7110</v>
      </c>
    </row>
    <row r="9830" spans="1:2" ht="18.75">
      <c r="A9830" s="12" t="s">
        <v>3210</v>
      </c>
      <c r="B9830" s="1" t="s">
        <v>7110</v>
      </c>
    </row>
    <row r="9831" spans="1:2" ht="18.75">
      <c r="A9831" s="12" t="s">
        <v>3466</v>
      </c>
      <c r="B9831" s="1" t="s">
        <v>7110</v>
      </c>
    </row>
    <row r="9832" spans="1:2" ht="18.75">
      <c r="A9832" s="12" t="s">
        <v>3466</v>
      </c>
      <c r="B9832" s="1" t="s">
        <v>7110</v>
      </c>
    </row>
    <row r="9833" spans="1:2" ht="18.75">
      <c r="A9833" s="12" t="s">
        <v>3419</v>
      </c>
      <c r="B9833" s="1" t="s">
        <v>7110</v>
      </c>
    </row>
    <row r="9834" spans="1:2" ht="18.75">
      <c r="A9834" s="12" t="s">
        <v>3419</v>
      </c>
      <c r="B9834" s="1" t="s">
        <v>7110</v>
      </c>
    </row>
    <row r="9835" spans="1:2" ht="18.75">
      <c r="A9835" s="12" t="s">
        <v>3177</v>
      </c>
      <c r="B9835" s="1" t="s">
        <v>7110</v>
      </c>
    </row>
    <row r="9836" spans="1:2" ht="18.75">
      <c r="A9836" s="12" t="s">
        <v>3355</v>
      </c>
      <c r="B9836" s="1" t="s">
        <v>7110</v>
      </c>
    </row>
    <row r="9837" spans="1:2" ht="18.75">
      <c r="A9837" s="12" t="s">
        <v>3177</v>
      </c>
      <c r="B9837" s="1" t="s">
        <v>7110</v>
      </c>
    </row>
    <row r="9838" spans="1:2" ht="18.75">
      <c r="A9838" s="12" t="s">
        <v>3210</v>
      </c>
      <c r="B9838" s="1" t="s">
        <v>7110</v>
      </c>
    </row>
    <row r="9839" spans="1:2" ht="18.75">
      <c r="A9839" s="12" t="s">
        <v>3210</v>
      </c>
      <c r="B9839" s="1" t="s">
        <v>7110</v>
      </c>
    </row>
    <row r="9840" spans="1:2" ht="18">
      <c r="A9840" s="50" t="s">
        <v>3466</v>
      </c>
      <c r="B9840" s="1" t="s">
        <v>7110</v>
      </c>
    </row>
    <row r="9841" spans="1:2" ht="18">
      <c r="A9841" s="50" t="s">
        <v>3466</v>
      </c>
      <c r="B9841" s="1" t="s">
        <v>7110</v>
      </c>
    </row>
    <row r="9842" spans="1:2" ht="18">
      <c r="A9842" s="50" t="s">
        <v>3466</v>
      </c>
      <c r="B9842" s="1" t="s">
        <v>7110</v>
      </c>
    </row>
    <row r="9843" spans="1:2" ht="18">
      <c r="A9843" s="50" t="s">
        <v>3653</v>
      </c>
      <c r="B9843" s="1" t="s">
        <v>7110</v>
      </c>
    </row>
    <row r="9844" spans="1:2" ht="18">
      <c r="A9844" s="50" t="s">
        <v>3653</v>
      </c>
      <c r="B9844" s="1" t="s">
        <v>7110</v>
      </c>
    </row>
    <row r="9845" spans="1:2" ht="18">
      <c r="A9845" s="50" t="s">
        <v>3210</v>
      </c>
      <c r="B9845" s="1" t="s">
        <v>7110</v>
      </c>
    </row>
    <row r="9846" spans="1:2" ht="18">
      <c r="A9846" s="50" t="s">
        <v>3653</v>
      </c>
      <c r="B9846" s="1" t="s">
        <v>7110</v>
      </c>
    </row>
    <row r="9847" spans="1:2" ht="18">
      <c r="A9847" s="50" t="s">
        <v>3466</v>
      </c>
      <c r="B9847" s="1" t="s">
        <v>7110</v>
      </c>
    </row>
    <row r="9848" spans="1:2" ht="18">
      <c r="A9848" s="50" t="s">
        <v>3466</v>
      </c>
      <c r="B9848" s="1" t="s">
        <v>7110</v>
      </c>
    </row>
    <row r="9849" spans="1:2" ht="18.75">
      <c r="A9849" s="12" t="s">
        <v>2766</v>
      </c>
      <c r="B9849" s="1" t="s">
        <v>7110</v>
      </c>
    </row>
    <row r="9850" spans="1:2" ht="18.75">
      <c r="A9850" s="12" t="s">
        <v>2872</v>
      </c>
      <c r="B9850" s="1" t="s">
        <v>7110</v>
      </c>
    </row>
    <row r="9851" spans="1:2" ht="18.75">
      <c r="A9851" s="12" t="s">
        <v>2766</v>
      </c>
      <c r="B9851" s="1" t="s">
        <v>7110</v>
      </c>
    </row>
    <row r="9852" spans="1:2" ht="18.75">
      <c r="A9852" s="12" t="s">
        <v>2766</v>
      </c>
      <c r="B9852" s="1" t="s">
        <v>7110</v>
      </c>
    </row>
    <row r="9853" spans="1:2" ht="18.75">
      <c r="A9853" s="12" t="s">
        <v>2872</v>
      </c>
      <c r="B9853" s="1" t="s">
        <v>7110</v>
      </c>
    </row>
    <row r="9854" spans="1:2" ht="18.75">
      <c r="A9854" s="12" t="s">
        <v>2766</v>
      </c>
      <c r="B9854" s="1" t="s">
        <v>7110</v>
      </c>
    </row>
    <row r="9855" spans="1:2" ht="18.75">
      <c r="A9855" s="12" t="s">
        <v>2886</v>
      </c>
      <c r="B9855" s="1" t="s">
        <v>7110</v>
      </c>
    </row>
    <row r="9856" spans="1:2" ht="18.75">
      <c r="A9856" s="12" t="s">
        <v>2872</v>
      </c>
      <c r="B9856" s="1" t="s">
        <v>7110</v>
      </c>
    </row>
    <row r="9857" spans="1:2" ht="18.75">
      <c r="A9857" s="12" t="s">
        <v>2886</v>
      </c>
      <c r="B9857" s="1" t="s">
        <v>7110</v>
      </c>
    </row>
    <row r="9858" spans="1:2" ht="18.75">
      <c r="A9858" s="12" t="s">
        <v>2872</v>
      </c>
      <c r="B9858" s="1" t="s">
        <v>7110</v>
      </c>
    </row>
    <row r="9859" spans="1:2" ht="18.75">
      <c r="A9859" s="12" t="s">
        <v>2886</v>
      </c>
      <c r="B9859" s="1" t="s">
        <v>7110</v>
      </c>
    </row>
    <row r="9860" spans="1:2" ht="18.75">
      <c r="A9860" s="12" t="s">
        <v>2872</v>
      </c>
      <c r="B9860" s="1" t="s">
        <v>7110</v>
      </c>
    </row>
    <row r="9861" spans="1:2" ht="18.75">
      <c r="A9861" s="12" t="s">
        <v>2886</v>
      </c>
      <c r="B9861" s="1" t="s">
        <v>7110</v>
      </c>
    </row>
    <row r="9862" spans="1:2" ht="18.75">
      <c r="A9862" s="12" t="s">
        <v>2872</v>
      </c>
      <c r="B9862" s="1" t="s">
        <v>7110</v>
      </c>
    </row>
    <row r="9863" spans="1:2" ht="18.75">
      <c r="A9863" s="12" t="s">
        <v>2886</v>
      </c>
      <c r="B9863" s="1" t="s">
        <v>7110</v>
      </c>
    </row>
    <row r="9864" spans="1:2" ht="18.75">
      <c r="A9864" s="12" t="s">
        <v>2886</v>
      </c>
      <c r="B9864" s="1" t="s">
        <v>7110</v>
      </c>
    </row>
    <row r="9865" spans="1:2" ht="18.75">
      <c r="A9865" s="12" t="s">
        <v>2886</v>
      </c>
      <c r="B9865" s="1" t="s">
        <v>7110</v>
      </c>
    </row>
    <row r="9866" spans="1:2" ht="18.75">
      <c r="A9866" s="12" t="s">
        <v>2886</v>
      </c>
      <c r="B9866" s="1" t="s">
        <v>7110</v>
      </c>
    </row>
    <row r="9867" spans="1:2" ht="18.75">
      <c r="A9867" s="12" t="s">
        <v>2872</v>
      </c>
      <c r="B9867" s="1" t="s">
        <v>7110</v>
      </c>
    </row>
    <row r="9868" spans="1:2" ht="18.75">
      <c r="A9868" s="12" t="s">
        <v>2886</v>
      </c>
      <c r="B9868" s="1" t="s">
        <v>7110</v>
      </c>
    </row>
    <row r="9869" spans="1:2" ht="18.75">
      <c r="A9869" s="12" t="s">
        <v>2872</v>
      </c>
      <c r="B9869" s="1" t="s">
        <v>7110</v>
      </c>
    </row>
    <row r="9870" spans="1:2" ht="18.75">
      <c r="A9870" s="12" t="s">
        <v>2886</v>
      </c>
      <c r="B9870" s="1" t="s">
        <v>7110</v>
      </c>
    </row>
    <row r="9871" spans="1:2" ht="18.75">
      <c r="A9871" s="12" t="s">
        <v>2766</v>
      </c>
      <c r="B9871" s="1" t="s">
        <v>7110</v>
      </c>
    </row>
    <row r="9872" spans="1:2" ht="18.75">
      <c r="A9872" s="12" t="s">
        <v>2766</v>
      </c>
      <c r="B9872" s="1" t="s">
        <v>7110</v>
      </c>
    </row>
    <row r="9873" spans="1:2" ht="18.75">
      <c r="A9873" s="12" t="s">
        <v>2872</v>
      </c>
      <c r="B9873" s="1" t="s">
        <v>7110</v>
      </c>
    </row>
    <row r="9874" spans="1:2" ht="18.75">
      <c r="A9874" s="12" t="s">
        <v>2872</v>
      </c>
      <c r="B9874" s="1" t="s">
        <v>7110</v>
      </c>
    </row>
    <row r="9875" spans="1:2" ht="18.75">
      <c r="A9875" s="12" t="s">
        <v>3081</v>
      </c>
      <c r="B9875" s="1" t="s">
        <v>7110</v>
      </c>
    </row>
    <row r="9876" spans="1:2" ht="18.75">
      <c r="A9876" s="12" t="s">
        <v>3118</v>
      </c>
      <c r="B9876" s="1" t="s">
        <v>7110</v>
      </c>
    </row>
    <row r="9877" spans="1:2" ht="18.75">
      <c r="A9877" s="12" t="s">
        <v>2766</v>
      </c>
      <c r="B9877" s="1" t="s">
        <v>7110</v>
      </c>
    </row>
    <row r="9878" spans="1:2" ht="18.75">
      <c r="A9878" s="12" t="s">
        <v>2872</v>
      </c>
      <c r="B9878" s="1" t="s">
        <v>7110</v>
      </c>
    </row>
    <row r="9879" spans="1:2" ht="18.75">
      <c r="A9879" s="12" t="s">
        <v>2886</v>
      </c>
      <c r="B9879" s="1" t="s">
        <v>7110</v>
      </c>
    </row>
    <row r="9880" spans="1:2" ht="18.75">
      <c r="A9880" s="12" t="s">
        <v>2872</v>
      </c>
      <c r="B9880" s="1" t="s">
        <v>7110</v>
      </c>
    </row>
    <row r="9881" spans="1:2" ht="18.75">
      <c r="A9881" s="12" t="s">
        <v>3343</v>
      </c>
      <c r="B9881" s="1" t="s">
        <v>7110</v>
      </c>
    </row>
    <row r="9882" spans="1:2" ht="18.75">
      <c r="A9882" s="12" t="s">
        <v>3343</v>
      </c>
      <c r="B9882" s="1" t="s">
        <v>7110</v>
      </c>
    </row>
    <row r="9883" spans="1:2" ht="18.75">
      <c r="A9883" s="12" t="s">
        <v>3401</v>
      </c>
      <c r="B9883" s="1" t="s">
        <v>7110</v>
      </c>
    </row>
    <row r="9884" spans="1:2" ht="18.75">
      <c r="A9884" s="12" t="s">
        <v>3343</v>
      </c>
      <c r="B9884" s="1" t="s">
        <v>7110</v>
      </c>
    </row>
    <row r="9885" spans="1:2" ht="18.75">
      <c r="A9885" s="12" t="s">
        <v>3118</v>
      </c>
      <c r="B9885" s="1" t="s">
        <v>7110</v>
      </c>
    </row>
    <row r="9886" spans="1:2" ht="18.75">
      <c r="A9886" s="12" t="s">
        <v>3413</v>
      </c>
      <c r="B9886" s="1" t="s">
        <v>7110</v>
      </c>
    </row>
    <row r="9887" spans="1:2" ht="18.75">
      <c r="A9887" s="12" t="s">
        <v>3467</v>
      </c>
      <c r="B9887" s="1" t="s">
        <v>7110</v>
      </c>
    </row>
    <row r="9888" spans="1:2" ht="18.75">
      <c r="A9888" s="12" t="s">
        <v>3468</v>
      </c>
      <c r="B9888" s="1" t="s">
        <v>7110</v>
      </c>
    </row>
    <row r="9889" spans="1:2" ht="18.75">
      <c r="A9889" s="12" t="s">
        <v>3472</v>
      </c>
      <c r="B9889" s="1" t="s">
        <v>7110</v>
      </c>
    </row>
    <row r="9890" spans="1:2" ht="18.75">
      <c r="A9890" s="12" t="s">
        <v>3473</v>
      </c>
      <c r="B9890" s="1" t="s">
        <v>7110</v>
      </c>
    </row>
    <row r="9891" spans="1:2" ht="18.75">
      <c r="A9891" s="12" t="s">
        <v>3474</v>
      </c>
      <c r="B9891" s="1" t="s">
        <v>7110</v>
      </c>
    </row>
    <row r="9892" spans="1:2" ht="18.75">
      <c r="A9892" s="12" t="s">
        <v>3476</v>
      </c>
      <c r="B9892" s="1" t="s">
        <v>7110</v>
      </c>
    </row>
    <row r="9893" spans="1:2" ht="18.75">
      <c r="A9893" s="12" t="s">
        <v>3480</v>
      </c>
      <c r="B9893" s="1" t="s">
        <v>7110</v>
      </c>
    </row>
    <row r="9894" spans="1:2" ht="18.75">
      <c r="A9894" s="12" t="s">
        <v>3481</v>
      </c>
      <c r="B9894" s="1" t="s">
        <v>7110</v>
      </c>
    </row>
    <row r="9895" spans="1:2" ht="18.75">
      <c r="A9895" s="12" t="s">
        <v>3472</v>
      </c>
      <c r="B9895" s="1" t="s">
        <v>7110</v>
      </c>
    </row>
    <row r="9896" spans="1:2" ht="18.75">
      <c r="A9896" s="12" t="s">
        <v>3401</v>
      </c>
      <c r="B9896" s="1" t="s">
        <v>7110</v>
      </c>
    </row>
    <row r="9897" spans="1:2" ht="18.75">
      <c r="A9897" s="12" t="s">
        <v>3483</v>
      </c>
      <c r="B9897" s="1" t="s">
        <v>7110</v>
      </c>
    </row>
    <row r="9898" spans="1:2" ht="18.75">
      <c r="A9898" s="12" t="s">
        <v>3513</v>
      </c>
      <c r="B9898" s="1" t="s">
        <v>7110</v>
      </c>
    </row>
    <row r="9899" spans="1:2" ht="18.75">
      <c r="A9899" s="12" t="s">
        <v>3516</v>
      </c>
      <c r="B9899" s="1" t="s">
        <v>7110</v>
      </c>
    </row>
    <row r="9900" spans="1:2" ht="18.75">
      <c r="A9900" s="12" t="s">
        <v>3476</v>
      </c>
      <c r="B9900" s="1" t="s">
        <v>7110</v>
      </c>
    </row>
    <row r="9901" spans="1:2" ht="18.75">
      <c r="A9901" s="12" t="s">
        <v>3483</v>
      </c>
      <c r="B9901" s="1" t="s">
        <v>7110</v>
      </c>
    </row>
    <row r="9902" spans="1:2" ht="18.75">
      <c r="A9902" s="12" t="s">
        <v>3523</v>
      </c>
      <c r="B9902" s="1" t="s">
        <v>7110</v>
      </c>
    </row>
    <row r="9903" spans="1:2" ht="18.75">
      <c r="A9903" s="12" t="s">
        <v>3524</v>
      </c>
      <c r="B9903" s="1" t="s">
        <v>7110</v>
      </c>
    </row>
    <row r="9904" spans="1:2" ht="18.75">
      <c r="A9904" s="12" t="s">
        <v>3560</v>
      </c>
      <c r="B9904" s="1" t="s">
        <v>7110</v>
      </c>
    </row>
    <row r="9905" spans="1:2" ht="18.75">
      <c r="A9905" s="12" t="s">
        <v>3483</v>
      </c>
      <c r="B9905" s="1" t="s">
        <v>7110</v>
      </c>
    </row>
    <row r="9906" spans="1:2" ht="18.75">
      <c r="A9906" s="12" t="s">
        <v>3413</v>
      </c>
      <c r="B9906" s="1" t="s">
        <v>7110</v>
      </c>
    </row>
    <row r="9907" spans="1:2" ht="18.75">
      <c r="A9907" s="12" t="s">
        <v>3476</v>
      </c>
      <c r="B9907" s="1" t="s">
        <v>7110</v>
      </c>
    </row>
    <row r="9908" spans="1:2" ht="18.75">
      <c r="A9908" s="12" t="s">
        <v>3118</v>
      </c>
      <c r="B9908" s="1" t="s">
        <v>7110</v>
      </c>
    </row>
    <row r="9909" spans="1:2" ht="18.75">
      <c r="A9909" s="12" t="s">
        <v>3523</v>
      </c>
      <c r="B9909" s="1" t="s">
        <v>7110</v>
      </c>
    </row>
    <row r="9910" spans="1:2" ht="18.75">
      <c r="A9910" s="12" t="s">
        <v>3560</v>
      </c>
      <c r="B9910" s="1" t="s">
        <v>7110</v>
      </c>
    </row>
    <row r="9911" spans="1:2" ht="18.75">
      <c r="A9911" s="12" t="s">
        <v>3476</v>
      </c>
      <c r="B9911" s="1" t="s">
        <v>7110</v>
      </c>
    </row>
    <row r="9912" spans="1:2" ht="18">
      <c r="A9912" s="50" t="s">
        <v>3764</v>
      </c>
      <c r="B9912" s="1" t="s">
        <v>7110</v>
      </c>
    </row>
    <row r="9913" spans="1:2" ht="18">
      <c r="A9913" s="50" t="s">
        <v>3560</v>
      </c>
      <c r="B9913" s="1" t="s">
        <v>7110</v>
      </c>
    </row>
    <row r="9914" spans="1:2" ht="18">
      <c r="A9914" s="50" t="s">
        <v>3476</v>
      </c>
      <c r="B9914" s="1" t="s">
        <v>7110</v>
      </c>
    </row>
    <row r="9915" spans="1:2" ht="18">
      <c r="A9915" s="50" t="s">
        <v>3560</v>
      </c>
      <c r="B9915" s="1" t="s">
        <v>7110</v>
      </c>
    </row>
    <row r="9916" spans="1:2" ht="18">
      <c r="A9916" s="50" t="s">
        <v>3737</v>
      </c>
      <c r="B9916" s="1" t="s">
        <v>7110</v>
      </c>
    </row>
    <row r="9917" spans="1:2" ht="18">
      <c r="A9917" s="50" t="s">
        <v>3741</v>
      </c>
      <c r="B9917" s="1" t="s">
        <v>7110</v>
      </c>
    </row>
    <row r="9918" spans="1:2" ht="18">
      <c r="A9918" s="50" t="s">
        <v>3741</v>
      </c>
      <c r="B9918" s="1" t="s">
        <v>7110</v>
      </c>
    </row>
    <row r="9919" spans="1:2" ht="18">
      <c r="A9919" s="50" t="s">
        <v>3755</v>
      </c>
      <c r="B9919" s="1" t="s">
        <v>7110</v>
      </c>
    </row>
    <row r="9920" spans="1:2" ht="18">
      <c r="A9920" s="50" t="s">
        <v>3756</v>
      </c>
      <c r="B9920" s="1" t="s">
        <v>7110</v>
      </c>
    </row>
    <row r="9921" spans="1:2" ht="18">
      <c r="A9921" s="50" t="s">
        <v>3755</v>
      </c>
      <c r="B9921" s="1" t="s">
        <v>7110</v>
      </c>
    </row>
    <row r="9922" spans="1:2" ht="18">
      <c r="A9922" s="50" t="s">
        <v>3759</v>
      </c>
      <c r="B9922" s="1" t="s">
        <v>7110</v>
      </c>
    </row>
    <row r="9923" spans="1:2" ht="18">
      <c r="A9923" s="50" t="s">
        <v>3760</v>
      </c>
      <c r="B9923" s="1" t="s">
        <v>7110</v>
      </c>
    </row>
    <row r="9924" spans="1:2" ht="18">
      <c r="A9924" s="50" t="s">
        <v>3761</v>
      </c>
      <c r="B9924" s="1" t="s">
        <v>7110</v>
      </c>
    </row>
    <row r="9925" spans="1:2" ht="18">
      <c r="A9925" s="50" t="s">
        <v>3761</v>
      </c>
      <c r="B9925" s="1" t="s">
        <v>7110</v>
      </c>
    </row>
    <row r="9926" spans="1:2" ht="18">
      <c r="A9926" s="50" t="s">
        <v>3755</v>
      </c>
      <c r="B9926" s="1" t="s">
        <v>7110</v>
      </c>
    </row>
    <row r="9927" spans="1:2" ht="18">
      <c r="A9927" s="50" t="s">
        <v>3759</v>
      </c>
      <c r="B9927" s="1" t="s">
        <v>7110</v>
      </c>
    </row>
    <row r="9928" spans="1:2" ht="18">
      <c r="A9928" s="50" t="s">
        <v>3755</v>
      </c>
      <c r="B9928" s="1" t="s">
        <v>7110</v>
      </c>
    </row>
    <row r="9929" spans="1:2" ht="18">
      <c r="A9929" s="50" t="s">
        <v>3943</v>
      </c>
      <c r="B9929" s="1" t="s">
        <v>7110</v>
      </c>
    </row>
    <row r="9930" spans="1:2" ht="18">
      <c r="A9930" s="50" t="s">
        <v>3944</v>
      </c>
      <c r="B9930" s="1" t="s">
        <v>7110</v>
      </c>
    </row>
    <row r="9931" spans="1:2" ht="18">
      <c r="A9931" s="50" t="s">
        <v>3946</v>
      </c>
      <c r="B9931" s="1" t="s">
        <v>7110</v>
      </c>
    </row>
    <row r="9932" spans="1:2" ht="18">
      <c r="A9932" s="50" t="s">
        <v>3948</v>
      </c>
      <c r="B9932" s="1" t="s">
        <v>7110</v>
      </c>
    </row>
    <row r="9933" spans="1:2" ht="18">
      <c r="A9933" s="50" t="s">
        <v>3943</v>
      </c>
      <c r="B9933" s="1" t="s">
        <v>7110</v>
      </c>
    </row>
    <row r="9934" spans="1:2" ht="18">
      <c r="A9934" s="50" t="s">
        <v>3948</v>
      </c>
      <c r="B9934" s="1" t="s">
        <v>7110</v>
      </c>
    </row>
    <row r="9935" spans="1:2" ht="18">
      <c r="A9935" s="50" t="s">
        <v>3942</v>
      </c>
      <c r="B9935" s="1" t="s">
        <v>7110</v>
      </c>
    </row>
    <row r="9936" spans="1:2" ht="18">
      <c r="A9936" s="50" t="s">
        <v>3645</v>
      </c>
      <c r="B9936" s="1" t="s">
        <v>7110</v>
      </c>
    </row>
    <row r="9937" spans="1:2" ht="18">
      <c r="A9937" s="50" t="s">
        <v>3645</v>
      </c>
      <c r="B9937" s="1" t="s">
        <v>7110</v>
      </c>
    </row>
    <row r="9938" spans="1:2" ht="18">
      <c r="A9938" s="50" t="s">
        <v>3649</v>
      </c>
      <c r="B9938" s="1" t="s">
        <v>7110</v>
      </c>
    </row>
    <row r="9939" spans="1:2" ht="18">
      <c r="A9939" s="50" t="s">
        <v>3649</v>
      </c>
      <c r="B9939" s="1" t="s">
        <v>7110</v>
      </c>
    </row>
    <row r="9940" spans="1:2" ht="18">
      <c r="A9940" s="50" t="s">
        <v>3645</v>
      </c>
      <c r="B9940" s="1" t="s">
        <v>7110</v>
      </c>
    </row>
    <row r="9941" spans="1:2" ht="18">
      <c r="A9941" s="50" t="s">
        <v>3645</v>
      </c>
      <c r="B9941" s="1" t="s">
        <v>7110</v>
      </c>
    </row>
    <row r="9942" spans="1:2" ht="18">
      <c r="A9942" s="50" t="s">
        <v>3645</v>
      </c>
      <c r="B9942" s="1" t="s">
        <v>7110</v>
      </c>
    </row>
    <row r="9943" spans="1:2" ht="18">
      <c r="A9943" s="50" t="s">
        <v>3645</v>
      </c>
      <c r="B9943" s="1" t="s">
        <v>7110</v>
      </c>
    </row>
    <row r="9944" spans="1:2" ht="18">
      <c r="A9944" s="50" t="s">
        <v>3649</v>
      </c>
      <c r="B9944" s="1" t="s">
        <v>7110</v>
      </c>
    </row>
    <row r="9945" spans="1:2" ht="18">
      <c r="A9945" s="50" t="s">
        <v>3851</v>
      </c>
      <c r="B9945" s="1" t="s">
        <v>7110</v>
      </c>
    </row>
    <row r="9946" spans="1:2" ht="18">
      <c r="A9946" s="50" t="s">
        <v>3851</v>
      </c>
      <c r="B9946" s="1" t="s">
        <v>7110</v>
      </c>
    </row>
    <row r="9947" spans="1:2" ht="18">
      <c r="A9947" s="50" t="s">
        <v>3649</v>
      </c>
      <c r="B9947" s="1" t="s">
        <v>7110</v>
      </c>
    </row>
    <row r="9948" spans="1:2" ht="18">
      <c r="A9948" s="50" t="s">
        <v>3851</v>
      </c>
      <c r="B9948" s="1" t="s">
        <v>7110</v>
      </c>
    </row>
    <row r="9949" spans="1:2" ht="18">
      <c r="A9949" s="50" t="s">
        <v>3851</v>
      </c>
      <c r="B9949" s="1" t="s">
        <v>7110</v>
      </c>
    </row>
    <row r="9950" spans="1:2" ht="18">
      <c r="A9950" s="50" t="s">
        <v>3851</v>
      </c>
      <c r="B9950" s="1" t="s">
        <v>7110</v>
      </c>
    </row>
    <row r="9951" spans="1:2" ht="18">
      <c r="A9951" s="50" t="s">
        <v>3851</v>
      </c>
      <c r="B9951" s="1" t="s">
        <v>7110</v>
      </c>
    </row>
    <row r="9952" spans="1:2" ht="18.75">
      <c r="A9952" s="12" t="s">
        <v>3414</v>
      </c>
      <c r="B9952" s="1" t="s">
        <v>7110</v>
      </c>
    </row>
    <row r="9953" spans="1:2" ht="18.75">
      <c r="A9953" s="12" t="s">
        <v>3416</v>
      </c>
      <c r="B9953" s="1" t="s">
        <v>7110</v>
      </c>
    </row>
    <row r="9954" spans="1:2" ht="18.75">
      <c r="A9954" s="12" t="s">
        <v>3475</v>
      </c>
      <c r="B9954" s="1" t="s">
        <v>7110</v>
      </c>
    </row>
    <row r="9955" spans="1:2" ht="18.75">
      <c r="A9955" s="12" t="s">
        <v>3477</v>
      </c>
      <c r="B9955" s="1" t="s">
        <v>7110</v>
      </c>
    </row>
    <row r="9956" spans="1:2" ht="18.75">
      <c r="A9956" s="12" t="s">
        <v>3477</v>
      </c>
      <c r="B9956" s="1" t="s">
        <v>7110</v>
      </c>
    </row>
    <row r="9957" spans="1:2" ht="18.75">
      <c r="A9957" s="12" t="s">
        <v>3477</v>
      </c>
      <c r="B9957" s="1" t="s">
        <v>7110</v>
      </c>
    </row>
    <row r="9958" spans="1:2" ht="18.75">
      <c r="A9958" s="12" t="s">
        <v>3482</v>
      </c>
      <c r="B9958" s="1" t="s">
        <v>7110</v>
      </c>
    </row>
    <row r="9959" spans="1:2" ht="18.75">
      <c r="A9959" s="12" t="s">
        <v>3477</v>
      </c>
      <c r="B9959" s="1" t="s">
        <v>7110</v>
      </c>
    </row>
    <row r="9960" spans="1:2" ht="18.75">
      <c r="A9960" s="12" t="s">
        <v>3477</v>
      </c>
      <c r="B9960" s="1" t="s">
        <v>7110</v>
      </c>
    </row>
    <row r="9961" spans="1:2" ht="18">
      <c r="A9961" s="50" t="s">
        <v>3644</v>
      </c>
      <c r="B9961" s="1" t="s">
        <v>7110</v>
      </c>
    </row>
    <row r="9962" spans="1:2" ht="18">
      <c r="A9962" s="50" t="s">
        <v>3644</v>
      </c>
      <c r="B9962" s="1" t="s">
        <v>7110</v>
      </c>
    </row>
    <row r="9963" spans="1:2" ht="18">
      <c r="A9963" s="50" t="s">
        <v>3644</v>
      </c>
      <c r="B9963" s="1" t="s">
        <v>7110</v>
      </c>
    </row>
    <row r="9964" spans="1:2" ht="18">
      <c r="A9964" s="50" t="s">
        <v>3644</v>
      </c>
      <c r="B9964" s="1" t="s">
        <v>7110</v>
      </c>
    </row>
    <row r="9965" spans="1:2" ht="18">
      <c r="A9965" s="50" t="s">
        <v>3743</v>
      </c>
      <c r="B9965" s="1" t="s">
        <v>7110</v>
      </c>
    </row>
    <row r="9966" spans="1:2" ht="18">
      <c r="A9966" s="50" t="s">
        <v>3743</v>
      </c>
      <c r="B9966" s="1" t="s">
        <v>7110</v>
      </c>
    </row>
    <row r="9967" spans="1:2" ht="18">
      <c r="A9967" s="50" t="s">
        <v>3766</v>
      </c>
      <c r="B9967" s="1" t="s">
        <v>7110</v>
      </c>
    </row>
    <row r="9968" spans="1:2" ht="18">
      <c r="A9968" s="50" t="s">
        <v>3874</v>
      </c>
      <c r="B9968" s="1" t="s">
        <v>7110</v>
      </c>
    </row>
    <row r="9969" spans="1:2" ht="18">
      <c r="A9969" s="50" t="s">
        <v>3875</v>
      </c>
      <c r="B9969" s="1" t="s">
        <v>7110</v>
      </c>
    </row>
    <row r="9970" spans="1:2" ht="18">
      <c r="A9970" s="50" t="s">
        <v>3875</v>
      </c>
      <c r="B9970" s="1" t="s">
        <v>7110</v>
      </c>
    </row>
    <row r="9971" spans="1:2" ht="18">
      <c r="A9971" s="50" t="s">
        <v>3766</v>
      </c>
      <c r="B9971" s="1" t="s">
        <v>7110</v>
      </c>
    </row>
    <row r="9972" spans="1:2" ht="18">
      <c r="A9972" s="50" t="s">
        <v>3874</v>
      </c>
      <c r="B9972" s="1" t="s">
        <v>7110</v>
      </c>
    </row>
    <row r="9973" spans="1:2" ht="18">
      <c r="A9973" s="50" t="s">
        <v>3743</v>
      </c>
      <c r="B9973" s="1" t="s">
        <v>7110</v>
      </c>
    </row>
    <row r="9974" spans="1:2" ht="18">
      <c r="A9974" s="50" t="s">
        <v>3875</v>
      </c>
      <c r="B9974" s="1" t="s">
        <v>7110</v>
      </c>
    </row>
    <row r="9975" spans="1:2" ht="18.75">
      <c r="A9975" s="12" t="s">
        <v>2657</v>
      </c>
      <c r="B9975" s="1" t="s">
        <v>7110</v>
      </c>
    </row>
    <row r="9976" spans="1:2" ht="18.75">
      <c r="A9976" s="12" t="s">
        <v>2657</v>
      </c>
      <c r="B9976" s="1" t="s">
        <v>7110</v>
      </c>
    </row>
    <row r="9977" spans="1:2" ht="18.75">
      <c r="A9977" s="12" t="s">
        <v>2657</v>
      </c>
      <c r="B9977" s="1" t="s">
        <v>7110</v>
      </c>
    </row>
    <row r="9978" spans="1:2" ht="18.75">
      <c r="A9978" s="12" t="s">
        <v>2661</v>
      </c>
      <c r="B9978" s="1" t="s">
        <v>7110</v>
      </c>
    </row>
    <row r="9979" spans="1:2" ht="18.75">
      <c r="A9979" s="12" t="s">
        <v>2662</v>
      </c>
      <c r="B9979" s="1" t="s">
        <v>7110</v>
      </c>
    </row>
    <row r="9980" spans="1:2" ht="18.75">
      <c r="A9980" s="12" t="s">
        <v>2661</v>
      </c>
      <c r="B9980" s="1" t="s">
        <v>7110</v>
      </c>
    </row>
    <row r="9981" spans="1:2" ht="18.75">
      <c r="A9981" s="12" t="s">
        <v>2662</v>
      </c>
      <c r="B9981" s="1" t="s">
        <v>7110</v>
      </c>
    </row>
    <row r="9982" spans="1:2" ht="18.75">
      <c r="A9982" s="12" t="s">
        <v>2778</v>
      </c>
      <c r="B9982" s="1" t="s">
        <v>7110</v>
      </c>
    </row>
    <row r="9983" spans="1:2" ht="18.75">
      <c r="A9983" s="12" t="s">
        <v>2779</v>
      </c>
      <c r="B9983" s="1" t="s">
        <v>7110</v>
      </c>
    </row>
    <row r="9984" spans="1:2" ht="18.75">
      <c r="A9984" s="12" t="s">
        <v>2781</v>
      </c>
      <c r="B9984" s="1" t="s">
        <v>7110</v>
      </c>
    </row>
    <row r="9985" spans="1:2" ht="18.75">
      <c r="A9985" s="12" t="s">
        <v>2778</v>
      </c>
      <c r="B9985" s="1" t="s">
        <v>7110</v>
      </c>
    </row>
    <row r="9986" spans="1:2" ht="18.75">
      <c r="A9986" s="12" t="s">
        <v>2788</v>
      </c>
      <c r="B9986" s="1" t="s">
        <v>7110</v>
      </c>
    </row>
    <row r="9987" spans="1:2" ht="18.75">
      <c r="A9987" s="12" t="s">
        <v>2789</v>
      </c>
      <c r="B9987" s="1" t="s">
        <v>7110</v>
      </c>
    </row>
    <row r="9988" spans="1:2" ht="18.75">
      <c r="A9988" s="12" t="s">
        <v>2781</v>
      </c>
      <c r="B9988" s="1" t="s">
        <v>7110</v>
      </c>
    </row>
    <row r="9989" spans="1:2" ht="18.75">
      <c r="A9989" s="12" t="s">
        <v>2790</v>
      </c>
      <c r="B9989" s="1" t="s">
        <v>7110</v>
      </c>
    </row>
    <row r="9990" spans="1:2" ht="18.75">
      <c r="A9990" s="12" t="s">
        <v>2778</v>
      </c>
      <c r="B9990" s="1" t="s">
        <v>7110</v>
      </c>
    </row>
    <row r="9991" spans="1:2" ht="18.75">
      <c r="A9991" s="12" t="s">
        <v>2661</v>
      </c>
      <c r="B9991" s="1" t="s">
        <v>7110</v>
      </c>
    </row>
    <row r="9992" spans="1:2" ht="18.75">
      <c r="A9992" s="12" t="s">
        <v>2791</v>
      </c>
      <c r="B9992" s="1" t="s">
        <v>7110</v>
      </c>
    </row>
    <row r="9993" spans="1:2" ht="18.75">
      <c r="A9993" s="12" t="s">
        <v>2794</v>
      </c>
      <c r="B9993" s="1" t="s">
        <v>7110</v>
      </c>
    </row>
    <row r="9994" spans="1:2" ht="18.75">
      <c r="A9994" s="12" t="s">
        <v>2795</v>
      </c>
      <c r="B9994" s="1" t="s">
        <v>7110</v>
      </c>
    </row>
    <row r="9995" spans="1:2" ht="18.75">
      <c r="A9995" s="12" t="s">
        <v>2788</v>
      </c>
      <c r="B9995" s="1" t="s">
        <v>7110</v>
      </c>
    </row>
    <row r="9996" spans="1:2" ht="18.75">
      <c r="A9996" s="12" t="s">
        <v>2798</v>
      </c>
      <c r="B9996" s="1" t="s">
        <v>7110</v>
      </c>
    </row>
    <row r="9997" spans="1:2" ht="18.75">
      <c r="A9997" s="12" t="s">
        <v>2788</v>
      </c>
      <c r="B9997" s="1" t="s">
        <v>7110</v>
      </c>
    </row>
    <row r="9998" spans="1:2" ht="18.75">
      <c r="A9998" s="12" t="s">
        <v>2799</v>
      </c>
      <c r="B9998" s="1" t="s">
        <v>7110</v>
      </c>
    </row>
    <row r="9999" spans="1:2" ht="18.75">
      <c r="A9999" s="12" t="s">
        <v>2791</v>
      </c>
      <c r="B9999" s="1" t="s">
        <v>7110</v>
      </c>
    </row>
    <row r="10000" spans="1:2" ht="18.75">
      <c r="A10000" s="12" t="s">
        <v>2799</v>
      </c>
      <c r="B10000" s="1" t="s">
        <v>7110</v>
      </c>
    </row>
    <row r="10001" spans="1:2" ht="18.75">
      <c r="A10001" s="12" t="s">
        <v>2781</v>
      </c>
      <c r="B10001" s="1" t="s">
        <v>7110</v>
      </c>
    </row>
    <row r="10002" spans="1:2" ht="18.75">
      <c r="A10002" s="12" t="s">
        <v>2803</v>
      </c>
      <c r="B10002" s="1" t="s">
        <v>7110</v>
      </c>
    </row>
    <row r="10003" spans="1:2" ht="18.75">
      <c r="A10003" s="12" t="s">
        <v>2778</v>
      </c>
      <c r="B10003" s="1" t="s">
        <v>7110</v>
      </c>
    </row>
    <row r="10004" spans="1:2" ht="18.75">
      <c r="A10004" s="12" t="s">
        <v>2799</v>
      </c>
      <c r="B10004" s="1" t="s">
        <v>7110</v>
      </c>
    </row>
    <row r="10005" spans="1:2" ht="18.75">
      <c r="A10005" s="12" t="s">
        <v>2790</v>
      </c>
      <c r="B10005" s="1" t="s">
        <v>7110</v>
      </c>
    </row>
    <row r="10006" spans="1:2" ht="18.75">
      <c r="A10006" s="12" t="s">
        <v>2794</v>
      </c>
      <c r="B10006" s="1" t="s">
        <v>7110</v>
      </c>
    </row>
    <row r="10007" spans="1:2" ht="18.75">
      <c r="A10007" s="12" t="s">
        <v>2806</v>
      </c>
      <c r="B10007" s="1" t="s">
        <v>7110</v>
      </c>
    </row>
    <row r="10008" spans="1:2" ht="18.75">
      <c r="A10008" s="12" t="s">
        <v>2807</v>
      </c>
      <c r="B10008" s="1" t="s">
        <v>7110</v>
      </c>
    </row>
    <row r="10009" spans="1:2" ht="18.75">
      <c r="A10009" s="12" t="s">
        <v>2791</v>
      </c>
      <c r="B10009" s="1" t="s">
        <v>7110</v>
      </c>
    </row>
    <row r="10010" spans="1:2" ht="18.75">
      <c r="A10010" s="12" t="s">
        <v>2661</v>
      </c>
      <c r="B10010" s="1" t="s">
        <v>7110</v>
      </c>
    </row>
    <row r="10011" spans="1:2" ht="18.75">
      <c r="A10011" s="12" t="s">
        <v>2799</v>
      </c>
      <c r="B10011" s="1" t="s">
        <v>7110</v>
      </c>
    </row>
    <row r="10012" spans="1:2" ht="18.75">
      <c r="A10012" s="12" t="s">
        <v>2791</v>
      </c>
      <c r="B10012" s="1" t="s">
        <v>7110</v>
      </c>
    </row>
    <row r="10013" spans="1:2" ht="18.75">
      <c r="A10013" s="12" t="s">
        <v>2798</v>
      </c>
      <c r="B10013" s="1" t="s">
        <v>7110</v>
      </c>
    </row>
    <row r="10014" spans="1:2" ht="18.75">
      <c r="A10014" s="12" t="s">
        <v>2789</v>
      </c>
      <c r="B10014" s="1" t="s">
        <v>7110</v>
      </c>
    </row>
    <row r="10015" spans="1:2" ht="18.75">
      <c r="A10015" s="12" t="s">
        <v>2789</v>
      </c>
      <c r="B10015" s="1" t="s">
        <v>7110</v>
      </c>
    </row>
    <row r="10016" spans="1:2" ht="18.75">
      <c r="A10016" s="12" t="s">
        <v>2810</v>
      </c>
      <c r="B10016" s="1" t="s">
        <v>7110</v>
      </c>
    </row>
    <row r="10017" spans="1:2" ht="18.75">
      <c r="A10017" s="12" t="s">
        <v>2798</v>
      </c>
      <c r="B10017" s="1" t="s">
        <v>7110</v>
      </c>
    </row>
    <row r="10018" spans="1:2" ht="18.75">
      <c r="A10018" s="12" t="s">
        <v>3053</v>
      </c>
      <c r="B10018" s="1" t="s">
        <v>7110</v>
      </c>
    </row>
    <row r="10019" spans="1:2" ht="18.75">
      <c r="A10019" s="12" t="s">
        <v>3053</v>
      </c>
      <c r="B10019" s="1" t="s">
        <v>7110</v>
      </c>
    </row>
    <row r="10020" spans="1:2" ht="18.75">
      <c r="A10020" s="12" t="s">
        <v>3053</v>
      </c>
      <c r="B10020" s="1" t="s">
        <v>7110</v>
      </c>
    </row>
    <row r="10021" spans="1:2" ht="18.75">
      <c r="A10021" s="12" t="s">
        <v>3053</v>
      </c>
      <c r="B10021" s="1" t="s">
        <v>7110</v>
      </c>
    </row>
    <row r="10022" spans="1:2" ht="18.75">
      <c r="A10022" s="12" t="s">
        <v>3065</v>
      </c>
      <c r="B10022" s="1" t="s">
        <v>7110</v>
      </c>
    </row>
    <row r="10023" spans="1:2" ht="18.75">
      <c r="A10023" s="12" t="s">
        <v>3067</v>
      </c>
      <c r="B10023" s="1" t="s">
        <v>7110</v>
      </c>
    </row>
    <row r="10024" spans="1:2" ht="18.75">
      <c r="A10024" s="12" t="s">
        <v>3072</v>
      </c>
      <c r="B10024" s="1" t="s">
        <v>7110</v>
      </c>
    </row>
    <row r="10025" spans="1:2" ht="18.75">
      <c r="A10025" s="12" t="s">
        <v>3076</v>
      </c>
      <c r="B10025" s="1" t="s">
        <v>7110</v>
      </c>
    </row>
    <row r="10026" spans="1:2" ht="18.75">
      <c r="A10026" s="12" t="s">
        <v>3078</v>
      </c>
      <c r="B10026" s="1" t="s">
        <v>7110</v>
      </c>
    </row>
    <row r="10027" spans="1:2" ht="18.75">
      <c r="A10027" s="12" t="s">
        <v>2810</v>
      </c>
      <c r="B10027" s="1" t="s">
        <v>7110</v>
      </c>
    </row>
    <row r="10028" spans="1:2" ht="18.75">
      <c r="A10028" s="12" t="s">
        <v>3082</v>
      </c>
      <c r="B10028" s="1" t="s">
        <v>7110</v>
      </c>
    </row>
    <row r="10029" spans="1:2" ht="18.75">
      <c r="A10029" s="12" t="s">
        <v>3085</v>
      </c>
      <c r="B10029" s="1" t="s">
        <v>7110</v>
      </c>
    </row>
    <row r="10030" spans="1:2" ht="18.75">
      <c r="A10030" s="12" t="s">
        <v>3086</v>
      </c>
      <c r="B10030" s="1" t="s">
        <v>7110</v>
      </c>
    </row>
    <row r="10031" spans="1:2" ht="18.75">
      <c r="A10031" s="12" t="s">
        <v>3086</v>
      </c>
      <c r="B10031" s="1" t="s">
        <v>7110</v>
      </c>
    </row>
    <row r="10032" spans="1:2" ht="18.75">
      <c r="A10032" s="12" t="s">
        <v>3087</v>
      </c>
      <c r="B10032" s="1" t="s">
        <v>7110</v>
      </c>
    </row>
    <row r="10033" spans="1:2" ht="18.75">
      <c r="A10033" s="12" t="s">
        <v>3090</v>
      </c>
      <c r="B10033" s="1" t="s">
        <v>7110</v>
      </c>
    </row>
    <row r="10034" spans="1:2" ht="18.75">
      <c r="A10034" s="12" t="s">
        <v>3091</v>
      </c>
      <c r="B10034" s="1" t="s">
        <v>7110</v>
      </c>
    </row>
    <row r="10035" spans="1:2" ht="18.75">
      <c r="A10035" s="12" t="s">
        <v>3092</v>
      </c>
      <c r="B10035" s="1" t="s">
        <v>7110</v>
      </c>
    </row>
    <row r="10036" spans="1:2" ht="18.75">
      <c r="A10036" s="12" t="s">
        <v>3091</v>
      </c>
      <c r="B10036" s="1" t="s">
        <v>7110</v>
      </c>
    </row>
    <row r="10037" spans="1:2" ht="18.75">
      <c r="A10037" s="12" t="s">
        <v>3090</v>
      </c>
      <c r="B10037" s="1" t="s">
        <v>7110</v>
      </c>
    </row>
    <row r="10038" spans="1:2" ht="18.75">
      <c r="A10038" s="12" t="s">
        <v>3091</v>
      </c>
      <c r="B10038" s="1" t="s">
        <v>7110</v>
      </c>
    </row>
    <row r="10039" spans="1:2" ht="18.75">
      <c r="A10039" s="12" t="s">
        <v>3094</v>
      </c>
      <c r="B10039" s="1" t="s">
        <v>7110</v>
      </c>
    </row>
    <row r="10040" spans="1:2" ht="18.75">
      <c r="A10040" s="12" t="s">
        <v>3085</v>
      </c>
      <c r="B10040" s="1" t="s">
        <v>7110</v>
      </c>
    </row>
    <row r="10041" spans="1:2" ht="18.75">
      <c r="A10041" s="12" t="s">
        <v>3103</v>
      </c>
      <c r="B10041" s="1" t="s">
        <v>7110</v>
      </c>
    </row>
    <row r="10042" spans="1:2" ht="18.75">
      <c r="A10042" s="12" t="s">
        <v>3104</v>
      </c>
      <c r="B10042" s="1" t="s">
        <v>7110</v>
      </c>
    </row>
    <row r="10043" spans="1:2" ht="18.75">
      <c r="A10043" s="12" t="s">
        <v>3105</v>
      </c>
      <c r="B10043" s="1" t="s">
        <v>7110</v>
      </c>
    </row>
    <row r="10044" spans="1:2" ht="18.75">
      <c r="A10044" s="12" t="s">
        <v>3065</v>
      </c>
      <c r="B10044" s="1" t="s">
        <v>7110</v>
      </c>
    </row>
    <row r="10045" spans="1:2" ht="18.75">
      <c r="A10045" s="12" t="s">
        <v>3108</v>
      </c>
      <c r="B10045" s="1" t="s">
        <v>7110</v>
      </c>
    </row>
    <row r="10046" spans="1:2" ht="18.75">
      <c r="A10046" s="12" t="s">
        <v>3076</v>
      </c>
      <c r="B10046" s="1" t="s">
        <v>7110</v>
      </c>
    </row>
    <row r="10047" spans="1:2" ht="18.75">
      <c r="A10047" s="12" t="s">
        <v>2798</v>
      </c>
      <c r="B10047" s="1" t="s">
        <v>7110</v>
      </c>
    </row>
    <row r="10048" spans="1:2" ht="18.75">
      <c r="A10048" s="12" t="s">
        <v>3104</v>
      </c>
      <c r="B10048" s="1" t="s">
        <v>7110</v>
      </c>
    </row>
    <row r="10049" spans="1:2" ht="18.75">
      <c r="A10049" s="12" t="s">
        <v>3108</v>
      </c>
      <c r="B10049" s="1" t="s">
        <v>7110</v>
      </c>
    </row>
    <row r="10050" spans="1:2" ht="18.75">
      <c r="A10050" s="12" t="s">
        <v>3078</v>
      </c>
      <c r="B10050" s="1" t="s">
        <v>7110</v>
      </c>
    </row>
    <row r="10051" spans="1:2" ht="18.75">
      <c r="A10051" s="12" t="s">
        <v>3112</v>
      </c>
      <c r="B10051" s="1" t="s">
        <v>7110</v>
      </c>
    </row>
    <row r="10052" spans="1:2" ht="18.75">
      <c r="A10052" s="12" t="s">
        <v>3113</v>
      </c>
      <c r="B10052" s="1" t="s">
        <v>7110</v>
      </c>
    </row>
    <row r="10053" spans="1:2" ht="18.75">
      <c r="A10053" s="12" t="s">
        <v>2657</v>
      </c>
      <c r="B10053" s="1" t="s">
        <v>7110</v>
      </c>
    </row>
    <row r="10054" spans="1:2" ht="18.75">
      <c r="A10054" s="12" t="s">
        <v>2795</v>
      </c>
      <c r="B10054" s="1" t="s">
        <v>7110</v>
      </c>
    </row>
    <row r="10055" spans="1:2" ht="18.75">
      <c r="A10055" s="12" t="s">
        <v>3103</v>
      </c>
      <c r="B10055" s="1" t="s">
        <v>7110</v>
      </c>
    </row>
    <row r="10056" spans="1:2" ht="18.75">
      <c r="A10056" s="12" t="s">
        <v>3116</v>
      </c>
      <c r="B10056" s="1" t="s">
        <v>7110</v>
      </c>
    </row>
    <row r="10057" spans="1:2" ht="18.75">
      <c r="A10057" s="12" t="s">
        <v>2803</v>
      </c>
      <c r="B10057" s="1" t="s">
        <v>7110</v>
      </c>
    </row>
    <row r="10058" spans="1:2" ht="18.75">
      <c r="A10058" s="12" t="s">
        <v>3067</v>
      </c>
      <c r="B10058" s="1" t="s">
        <v>7110</v>
      </c>
    </row>
    <row r="10059" spans="1:2" ht="18.75">
      <c r="A10059" s="12" t="s">
        <v>3094</v>
      </c>
      <c r="B10059" s="1" t="s">
        <v>7110</v>
      </c>
    </row>
    <row r="10060" spans="1:2" ht="18.75">
      <c r="A10060" s="12" t="s">
        <v>2781</v>
      </c>
      <c r="B10060" s="1" t="s">
        <v>7110</v>
      </c>
    </row>
    <row r="10061" spans="1:2" ht="18.75">
      <c r="A10061" s="12" t="s">
        <v>3123</v>
      </c>
      <c r="B10061" s="1" t="s">
        <v>7110</v>
      </c>
    </row>
    <row r="10062" spans="1:2" ht="18.75">
      <c r="A10062" s="12" t="s">
        <v>3124</v>
      </c>
      <c r="B10062" s="1" t="s">
        <v>7110</v>
      </c>
    </row>
    <row r="10063" spans="1:2" ht="18.75">
      <c r="A10063" s="12" t="s">
        <v>3124</v>
      </c>
      <c r="B10063" s="1" t="s">
        <v>7110</v>
      </c>
    </row>
    <row r="10064" spans="1:2" ht="18.75">
      <c r="A10064" s="12" t="s">
        <v>3113</v>
      </c>
      <c r="B10064" s="1" t="s">
        <v>7110</v>
      </c>
    </row>
    <row r="10065" spans="1:2" ht="18.75">
      <c r="A10065" s="12" t="s">
        <v>3125</v>
      </c>
      <c r="B10065" s="1" t="s">
        <v>7110</v>
      </c>
    </row>
    <row r="10066" spans="1:2" ht="18.75">
      <c r="A10066" s="12" t="s">
        <v>3094</v>
      </c>
      <c r="B10066" s="1" t="s">
        <v>7110</v>
      </c>
    </row>
    <row r="10067" spans="1:2" ht="18.75">
      <c r="A10067" s="12" t="s">
        <v>2807</v>
      </c>
      <c r="B10067" s="1" t="s">
        <v>7110</v>
      </c>
    </row>
    <row r="10068" spans="1:2" ht="18.75">
      <c r="A10068" s="12" t="s">
        <v>3128</v>
      </c>
      <c r="B10068" s="1" t="s">
        <v>7110</v>
      </c>
    </row>
    <row r="10069" spans="1:2" ht="18.75">
      <c r="A10069" s="12" t="s">
        <v>3128</v>
      </c>
      <c r="B10069" s="1" t="s">
        <v>7110</v>
      </c>
    </row>
    <row r="10070" spans="1:2" ht="18.75">
      <c r="A10070" s="12" t="s">
        <v>3090</v>
      </c>
      <c r="B10070" s="1" t="s">
        <v>7110</v>
      </c>
    </row>
    <row r="10071" spans="1:2" ht="18.75">
      <c r="A10071" s="12" t="s">
        <v>3113</v>
      </c>
      <c r="B10071" s="1" t="s">
        <v>7110</v>
      </c>
    </row>
    <row r="10072" spans="1:2" ht="18.75">
      <c r="A10072" s="12" t="s">
        <v>3086</v>
      </c>
      <c r="B10072" s="1" t="s">
        <v>7110</v>
      </c>
    </row>
    <row r="10073" spans="1:2" ht="18.75">
      <c r="A10073" s="12" t="s">
        <v>2810</v>
      </c>
      <c r="B10073" s="1" t="s">
        <v>7110</v>
      </c>
    </row>
    <row r="10074" spans="1:2" ht="18.75">
      <c r="A10074" s="12" t="s">
        <v>2778</v>
      </c>
      <c r="B10074" s="1" t="s">
        <v>7110</v>
      </c>
    </row>
    <row r="10075" spans="1:2" ht="18.75">
      <c r="A10075" s="12" t="s">
        <v>3113</v>
      </c>
      <c r="B10075" s="1" t="s">
        <v>7110</v>
      </c>
    </row>
    <row r="10076" spans="1:2" ht="18.75">
      <c r="A10076" s="12" t="s">
        <v>3123</v>
      </c>
      <c r="B10076" s="1" t="s">
        <v>7110</v>
      </c>
    </row>
    <row r="10077" spans="1:2" ht="18.75">
      <c r="A10077" s="12" t="s">
        <v>3124</v>
      </c>
      <c r="B10077" s="1" t="s">
        <v>7110</v>
      </c>
    </row>
    <row r="10078" spans="1:2" ht="18.75">
      <c r="A10078" s="12" t="s">
        <v>3124</v>
      </c>
      <c r="B10078" s="1" t="s">
        <v>7110</v>
      </c>
    </row>
    <row r="10079" spans="1:2" ht="18.75">
      <c r="A10079" s="12" t="s">
        <v>2810</v>
      </c>
      <c r="B10079" s="1" t="s">
        <v>7110</v>
      </c>
    </row>
    <row r="10080" spans="1:2" ht="18.75">
      <c r="A10080" s="12" t="s">
        <v>3078</v>
      </c>
      <c r="B10080" s="1" t="s">
        <v>7110</v>
      </c>
    </row>
    <row r="10081" spans="1:2" ht="18.75">
      <c r="A10081" s="12" t="s">
        <v>3137</v>
      </c>
      <c r="B10081" s="1" t="s">
        <v>7110</v>
      </c>
    </row>
    <row r="10082" spans="1:2" ht="18.75">
      <c r="A10082" s="12" t="s">
        <v>3125</v>
      </c>
      <c r="B10082" s="1" t="s">
        <v>7110</v>
      </c>
    </row>
    <row r="10083" spans="1:2" ht="18.75">
      <c r="A10083" s="12" t="s">
        <v>3138</v>
      </c>
      <c r="B10083" s="1" t="s">
        <v>7110</v>
      </c>
    </row>
    <row r="10084" spans="1:2" ht="18.75">
      <c r="A10084" s="12" t="s">
        <v>3085</v>
      </c>
      <c r="B10084" s="1" t="s">
        <v>7110</v>
      </c>
    </row>
    <row r="10085" spans="1:2" ht="18.75">
      <c r="A10085" s="12" t="s">
        <v>2791</v>
      </c>
      <c r="B10085" s="1" t="s">
        <v>7110</v>
      </c>
    </row>
    <row r="10086" spans="1:2" ht="18.75">
      <c r="A10086" s="12" t="s">
        <v>3139</v>
      </c>
      <c r="B10086" s="1" t="s">
        <v>7110</v>
      </c>
    </row>
    <row r="10087" spans="1:2" ht="18.75">
      <c r="A10087" s="12" t="s">
        <v>3128</v>
      </c>
      <c r="B10087" s="1" t="s">
        <v>7110</v>
      </c>
    </row>
    <row r="10088" spans="1:2" ht="18.75">
      <c r="A10088" s="12" t="s">
        <v>3143</v>
      </c>
      <c r="B10088" s="1" t="s">
        <v>7110</v>
      </c>
    </row>
    <row r="10089" spans="1:2" ht="18.75">
      <c r="A10089" s="12" t="s">
        <v>3085</v>
      </c>
      <c r="B10089" s="1" t="s">
        <v>7110</v>
      </c>
    </row>
    <row r="10090" spans="1:2" ht="18.75">
      <c r="A10090" s="12" t="s">
        <v>3076</v>
      </c>
      <c r="B10090" s="1" t="s">
        <v>7110</v>
      </c>
    </row>
    <row r="10091" spans="1:2" ht="18.75">
      <c r="A10091" s="12" t="s">
        <v>2810</v>
      </c>
      <c r="B10091" s="1" t="s">
        <v>7110</v>
      </c>
    </row>
    <row r="10092" spans="1:2" ht="18.75">
      <c r="A10092" s="12" t="s">
        <v>3128</v>
      </c>
      <c r="B10092" s="1" t="s">
        <v>7110</v>
      </c>
    </row>
    <row r="10093" spans="1:2" ht="18.75">
      <c r="A10093" s="12" t="s">
        <v>2807</v>
      </c>
      <c r="B10093" s="1" t="s">
        <v>7110</v>
      </c>
    </row>
    <row r="10094" spans="1:2" ht="18.75">
      <c r="A10094" s="12" t="s">
        <v>2807</v>
      </c>
      <c r="B10094" s="1" t="s">
        <v>7110</v>
      </c>
    </row>
    <row r="10095" spans="1:2" ht="18.75">
      <c r="A10095" s="12" t="s">
        <v>3187</v>
      </c>
      <c r="B10095" s="1" t="s">
        <v>7110</v>
      </c>
    </row>
    <row r="10096" spans="1:2" ht="18.75">
      <c r="A10096" s="12" t="s">
        <v>3091</v>
      </c>
      <c r="B10096" s="1" t="s">
        <v>7110</v>
      </c>
    </row>
    <row r="10097" spans="1:2" ht="18.75">
      <c r="A10097" s="12" t="s">
        <v>3105</v>
      </c>
      <c r="B10097" s="1" t="s">
        <v>7110</v>
      </c>
    </row>
    <row r="10098" spans="1:2" ht="18.75">
      <c r="A10098" s="12" t="s">
        <v>3258</v>
      </c>
      <c r="B10098" s="1" t="s">
        <v>7110</v>
      </c>
    </row>
    <row r="10099" spans="1:2" ht="18.75">
      <c r="A10099" s="12" t="s">
        <v>3082</v>
      </c>
      <c r="B10099" s="1" t="s">
        <v>7110</v>
      </c>
    </row>
    <row r="10100" spans="1:2" ht="18.75">
      <c r="A10100" s="12" t="s">
        <v>3187</v>
      </c>
      <c r="B10100" s="1" t="s">
        <v>7110</v>
      </c>
    </row>
    <row r="10101" spans="1:2" ht="18.75">
      <c r="A10101" s="12" t="s">
        <v>3053</v>
      </c>
      <c r="B10101" s="1" t="s">
        <v>7110</v>
      </c>
    </row>
    <row r="10102" spans="1:2" ht="18.75">
      <c r="A10102" s="12" t="s">
        <v>3053</v>
      </c>
      <c r="B10102" s="1" t="s">
        <v>7110</v>
      </c>
    </row>
    <row r="10103" spans="1:2" ht="18.75">
      <c r="A10103" s="12" t="s">
        <v>3053</v>
      </c>
      <c r="B10103" s="1" t="s">
        <v>7110</v>
      </c>
    </row>
    <row r="10104" spans="1:2" ht="18.75">
      <c r="A10104" s="12" t="s">
        <v>3053</v>
      </c>
      <c r="B10104" s="1" t="s">
        <v>7110</v>
      </c>
    </row>
    <row r="10105" spans="1:2" ht="18.75">
      <c r="A10105" s="12" t="s">
        <v>3053</v>
      </c>
      <c r="B10105" s="1" t="s">
        <v>7110</v>
      </c>
    </row>
    <row r="10106" spans="1:2" ht="18.75">
      <c r="A10106" s="12" t="s">
        <v>3053</v>
      </c>
      <c r="B10106" s="1" t="s">
        <v>7110</v>
      </c>
    </row>
    <row r="10107" spans="1:2" ht="18.75">
      <c r="A10107" s="12" t="s">
        <v>3053</v>
      </c>
      <c r="B10107" s="1" t="s">
        <v>7110</v>
      </c>
    </row>
    <row r="10108" spans="1:2" ht="18.75">
      <c r="A10108" s="12" t="s">
        <v>3053</v>
      </c>
      <c r="B10108" s="1" t="s">
        <v>7110</v>
      </c>
    </row>
    <row r="10109" spans="1:2" ht="18.75">
      <c r="A10109" s="12" t="s">
        <v>3053</v>
      </c>
      <c r="B10109" s="1" t="s">
        <v>7110</v>
      </c>
    </row>
    <row r="10110" spans="1:2" ht="18.75">
      <c r="A10110" s="12" t="s">
        <v>3138</v>
      </c>
      <c r="B10110" s="1" t="s">
        <v>7110</v>
      </c>
    </row>
    <row r="10111" spans="1:2" ht="18.75">
      <c r="A10111" s="12" t="s">
        <v>2779</v>
      </c>
      <c r="B10111" s="1" t="s">
        <v>7110</v>
      </c>
    </row>
    <row r="10112" spans="1:2" ht="18.75">
      <c r="A10112" s="12" t="s">
        <v>3138</v>
      </c>
      <c r="B10112" s="1" t="s">
        <v>7110</v>
      </c>
    </row>
    <row r="10113" spans="1:2" ht="18.75">
      <c r="A10113" s="12" t="s">
        <v>3333</v>
      </c>
      <c r="B10113" s="1" t="s">
        <v>7110</v>
      </c>
    </row>
    <row r="10114" spans="1:2" ht="18.75">
      <c r="A10114" s="12" t="s">
        <v>2779</v>
      </c>
      <c r="B10114" s="1" t="s">
        <v>7110</v>
      </c>
    </row>
    <row r="10115" spans="1:2" ht="18.75">
      <c r="A10115" s="12" t="s">
        <v>3187</v>
      </c>
      <c r="B10115" s="1" t="s">
        <v>7110</v>
      </c>
    </row>
    <row r="10116" spans="1:2" ht="18.75">
      <c r="A10116" s="12" t="s">
        <v>3258</v>
      </c>
      <c r="B10116" s="1" t="s">
        <v>7110</v>
      </c>
    </row>
    <row r="10117" spans="1:2" ht="18.75">
      <c r="A10117" s="12" t="s">
        <v>3346</v>
      </c>
      <c r="B10117" s="1" t="s">
        <v>7110</v>
      </c>
    </row>
    <row r="10118" spans="1:2" ht="18.75">
      <c r="A10118" s="12" t="s">
        <v>2779</v>
      </c>
      <c r="B10118" s="1" t="s">
        <v>7110</v>
      </c>
    </row>
    <row r="10119" spans="1:2" ht="18.75">
      <c r="A10119" s="12" t="s">
        <v>3187</v>
      </c>
      <c r="B10119" s="1" t="s">
        <v>7110</v>
      </c>
    </row>
    <row r="10120" spans="1:2" ht="18.75">
      <c r="A10120" s="12" t="s">
        <v>3382</v>
      </c>
      <c r="B10120" s="1" t="s">
        <v>7110</v>
      </c>
    </row>
    <row r="10121" spans="1:2" ht="18.75">
      <c r="A10121" s="12" t="s">
        <v>3382</v>
      </c>
      <c r="B10121" s="1" t="s">
        <v>7110</v>
      </c>
    </row>
    <row r="10122" spans="1:2" ht="18.75">
      <c r="A10122" s="12" t="s">
        <v>3382</v>
      </c>
      <c r="B10122" s="1" t="s">
        <v>7110</v>
      </c>
    </row>
    <row r="10123" spans="1:2" ht="18.75">
      <c r="A10123" s="12" t="s">
        <v>3053</v>
      </c>
      <c r="B10123" s="1" t="s">
        <v>7110</v>
      </c>
    </row>
    <row r="10124" spans="1:2" ht="18.75">
      <c r="A10124" s="12" t="s">
        <v>3382</v>
      </c>
      <c r="B10124" s="1" t="s">
        <v>7110</v>
      </c>
    </row>
    <row r="10125" spans="1:2" ht="18.75">
      <c r="A10125" s="12" t="s">
        <v>3382</v>
      </c>
      <c r="B10125" s="1" t="s">
        <v>7110</v>
      </c>
    </row>
    <row r="10126" spans="1:2" ht="18.75">
      <c r="A10126" s="12" t="s">
        <v>3410</v>
      </c>
      <c r="B10126" s="1" t="s">
        <v>7110</v>
      </c>
    </row>
    <row r="10127" spans="1:2" ht="18.75">
      <c r="A10127" s="12" t="s">
        <v>3346</v>
      </c>
      <c r="B10127" s="1" t="s">
        <v>7110</v>
      </c>
    </row>
    <row r="10128" spans="1:2" ht="18.75">
      <c r="A10128" s="12" t="s">
        <v>3382</v>
      </c>
      <c r="B10128" s="1" t="s">
        <v>7110</v>
      </c>
    </row>
    <row r="10129" spans="1:2" ht="18.75">
      <c r="A10129" s="12" t="s">
        <v>3382</v>
      </c>
      <c r="B10129" s="1" t="s">
        <v>7110</v>
      </c>
    </row>
    <row r="10130" spans="1:2" ht="18.75">
      <c r="A10130" s="12" t="s">
        <v>3382</v>
      </c>
      <c r="B10130" s="1" t="s">
        <v>7110</v>
      </c>
    </row>
    <row r="10131" spans="1:2" ht="18.75">
      <c r="A10131" s="12" t="s">
        <v>3382</v>
      </c>
      <c r="B10131" s="1" t="s">
        <v>7110</v>
      </c>
    </row>
    <row r="10132" spans="1:2" ht="18.75">
      <c r="A10132" s="12" t="s">
        <v>3410</v>
      </c>
      <c r="B10132" s="1" t="s">
        <v>7110</v>
      </c>
    </row>
    <row r="10133" spans="1:2" ht="18.75">
      <c r="A10133" s="12" t="s">
        <v>3108</v>
      </c>
      <c r="B10133" s="1" t="s">
        <v>7110</v>
      </c>
    </row>
    <row r="10134" spans="1:2" ht="18.75">
      <c r="A10134" s="12" t="s">
        <v>3382</v>
      </c>
      <c r="B10134" s="1" t="s">
        <v>7110</v>
      </c>
    </row>
    <row r="10135" spans="1:2" ht="18.75">
      <c r="A10135" s="12" t="s">
        <v>3346</v>
      </c>
      <c r="B10135" s="1" t="s">
        <v>7110</v>
      </c>
    </row>
    <row r="10136" spans="1:2" ht="18.75">
      <c r="A10136" s="12" t="s">
        <v>3092</v>
      </c>
      <c r="B10136" s="1" t="s">
        <v>7110</v>
      </c>
    </row>
    <row r="10137" spans="1:2" ht="18.75">
      <c r="A10137" s="12" t="s">
        <v>3519</v>
      </c>
      <c r="B10137" s="1" t="s">
        <v>7110</v>
      </c>
    </row>
    <row r="10138" spans="1:2" ht="18.75">
      <c r="A10138" s="12" t="s">
        <v>3382</v>
      </c>
      <c r="B10138" s="1" t="s">
        <v>7110</v>
      </c>
    </row>
    <row r="10139" spans="1:2" ht="18.75">
      <c r="A10139" s="12" t="s">
        <v>3382</v>
      </c>
      <c r="B10139" s="1" t="s">
        <v>7110</v>
      </c>
    </row>
    <row r="10140" spans="1:2" ht="18.75">
      <c r="A10140" s="12" t="s">
        <v>3382</v>
      </c>
      <c r="B10140" s="1" t="s">
        <v>7110</v>
      </c>
    </row>
    <row r="10141" spans="1:2" ht="18.75">
      <c r="A10141" s="12" t="s">
        <v>3382</v>
      </c>
      <c r="B10141" s="1" t="s">
        <v>7110</v>
      </c>
    </row>
    <row r="10142" spans="1:2" ht="18">
      <c r="A10142" s="50" t="s">
        <v>3382</v>
      </c>
      <c r="B10142" s="1" t="s">
        <v>7110</v>
      </c>
    </row>
    <row r="10143" spans="1:2" ht="18.75">
      <c r="A10143" s="12" t="s">
        <v>3465</v>
      </c>
      <c r="B10143" s="1" t="s">
        <v>7110</v>
      </c>
    </row>
    <row r="10144" spans="1:2" ht="18.75">
      <c r="A10144" s="12" t="s">
        <v>3465</v>
      </c>
      <c r="B10144" s="1" t="s">
        <v>7110</v>
      </c>
    </row>
    <row r="10145" spans="1:2" ht="18">
      <c r="A10145" s="50" t="s">
        <v>3643</v>
      </c>
      <c r="B10145" s="1" t="s">
        <v>7110</v>
      </c>
    </row>
    <row r="10146" spans="1:2" ht="18">
      <c r="A10146" s="50" t="s">
        <v>3643</v>
      </c>
      <c r="B10146" s="1" t="s">
        <v>7110</v>
      </c>
    </row>
    <row r="10147" spans="1:2" ht="18">
      <c r="A10147" s="50" t="s">
        <v>3643</v>
      </c>
      <c r="B10147" s="1" t="s">
        <v>7110</v>
      </c>
    </row>
    <row r="10148" spans="1:2" ht="18">
      <c r="A10148" s="50" t="s">
        <v>3643</v>
      </c>
      <c r="B10148" s="1" t="s">
        <v>7110</v>
      </c>
    </row>
    <row r="10149" spans="1:2" ht="18">
      <c r="A10149" s="50" t="s">
        <v>3643</v>
      </c>
      <c r="B10149" s="1" t="s">
        <v>7110</v>
      </c>
    </row>
    <row r="10150" spans="1:2" ht="18">
      <c r="A10150" s="50" t="s">
        <v>3643</v>
      </c>
      <c r="B10150" s="1" t="s">
        <v>7110</v>
      </c>
    </row>
    <row r="10151" spans="1:2" ht="18">
      <c r="A10151" s="50" t="s">
        <v>3465</v>
      </c>
      <c r="B10151" s="1" t="s">
        <v>7110</v>
      </c>
    </row>
    <row r="10152" spans="1:2" ht="18">
      <c r="A10152" s="50" t="s">
        <v>3643</v>
      </c>
      <c r="B10152" s="1" t="s">
        <v>7110</v>
      </c>
    </row>
    <row r="10153" spans="1:2" ht="18">
      <c r="A10153" s="50" t="s">
        <v>3836</v>
      </c>
      <c r="B10153" s="1" t="s">
        <v>7110</v>
      </c>
    </row>
    <row r="10154" spans="1:2" ht="18">
      <c r="A10154" s="50" t="s">
        <v>3836</v>
      </c>
      <c r="B10154" s="1" t="s">
        <v>7110</v>
      </c>
    </row>
    <row r="10155" spans="1:2" ht="18">
      <c r="A10155" s="50" t="s">
        <v>3836</v>
      </c>
      <c r="B10155" s="1" t="s">
        <v>7110</v>
      </c>
    </row>
    <row r="10156" spans="1:2" ht="18">
      <c r="A10156" s="50" t="s">
        <v>3836</v>
      </c>
      <c r="B10156" s="1" t="s">
        <v>7110</v>
      </c>
    </row>
    <row r="10157" spans="1:2" ht="18">
      <c r="A10157" s="50" t="s">
        <v>3836</v>
      </c>
      <c r="B10157" s="1" t="s">
        <v>7110</v>
      </c>
    </row>
    <row r="10158" spans="1:2" ht="18">
      <c r="A10158" s="50" t="s">
        <v>3836</v>
      </c>
      <c r="B10158" s="1" t="s">
        <v>7110</v>
      </c>
    </row>
    <row r="10159" spans="1:2" ht="18">
      <c r="A10159" s="50" t="s">
        <v>3836</v>
      </c>
      <c r="B10159" s="1" t="s">
        <v>7110</v>
      </c>
    </row>
    <row r="10160" spans="1:2" ht="18">
      <c r="A10160" s="50" t="s">
        <v>3836</v>
      </c>
      <c r="B10160" s="1" t="s">
        <v>7110</v>
      </c>
    </row>
    <row r="10161" spans="1:2" ht="18">
      <c r="A10161" s="50" t="s">
        <v>3942</v>
      </c>
      <c r="B10161" s="1" t="s">
        <v>7110</v>
      </c>
    </row>
    <row r="10162" spans="1:2" ht="18.75">
      <c r="A10162" s="12" t="s">
        <v>3514</v>
      </c>
      <c r="B10162" s="1" t="s">
        <v>7110</v>
      </c>
    </row>
    <row r="10163" spans="1:2" ht="18.75">
      <c r="A10163" s="12" t="s">
        <v>3521</v>
      </c>
      <c r="B10163" s="1" t="s">
        <v>7110</v>
      </c>
    </row>
    <row r="10164" spans="1:2" ht="18.75">
      <c r="A10164" s="12" t="s">
        <v>3561</v>
      </c>
      <c r="B10164" s="1" t="s">
        <v>7110</v>
      </c>
    </row>
    <row r="10165" spans="1:2" ht="18.75">
      <c r="A10165" s="12" t="s">
        <v>3563</v>
      </c>
      <c r="B10165" s="1" t="s">
        <v>7110</v>
      </c>
    </row>
    <row r="10166" spans="1:2" ht="18.75">
      <c r="A10166" s="12" t="s">
        <v>3565</v>
      </c>
      <c r="B10166" s="1" t="s">
        <v>7110</v>
      </c>
    </row>
    <row r="10167" spans="1:2" ht="18.75">
      <c r="A10167" s="12" t="s">
        <v>3567</v>
      </c>
      <c r="B10167" s="1" t="s">
        <v>7110</v>
      </c>
    </row>
    <row r="10168" spans="1:2" ht="18.75">
      <c r="A10168" s="12" t="s">
        <v>3569</v>
      </c>
      <c r="B10168" s="1" t="s">
        <v>7110</v>
      </c>
    </row>
    <row r="10169" spans="1:2" ht="18.75">
      <c r="A10169" s="12" t="s">
        <v>3570</v>
      </c>
      <c r="B10169" s="1" t="s">
        <v>7110</v>
      </c>
    </row>
    <row r="10170" spans="1:2" ht="18.75">
      <c r="A10170" s="12" t="s">
        <v>3571</v>
      </c>
      <c r="B10170" s="1" t="s">
        <v>7110</v>
      </c>
    </row>
    <row r="10171" spans="1:2" ht="18">
      <c r="A10171" s="50" t="s">
        <v>3569</v>
      </c>
      <c r="B10171" s="1" t="s">
        <v>7110</v>
      </c>
    </row>
    <row r="10172" spans="1:2" ht="18">
      <c r="A10172" s="50" t="s">
        <v>3639</v>
      </c>
      <c r="B10172" s="1" t="s">
        <v>7110</v>
      </c>
    </row>
    <row r="10173" spans="1:2" ht="18">
      <c r="A10173" s="50" t="s">
        <v>3647</v>
      </c>
      <c r="B10173" s="1" t="s">
        <v>7110</v>
      </c>
    </row>
    <row r="10174" spans="1:2" ht="18">
      <c r="A10174" s="50" t="s">
        <v>3648</v>
      </c>
      <c r="B10174" s="1" t="s">
        <v>7110</v>
      </c>
    </row>
    <row r="10175" spans="1:2" ht="18">
      <c r="A10175" s="50" t="s">
        <v>3648</v>
      </c>
      <c r="B10175" s="1" t="s">
        <v>7110</v>
      </c>
    </row>
    <row r="10176" spans="1:2" ht="18">
      <c r="A10176" s="50" t="s">
        <v>3650</v>
      </c>
      <c r="B10176" s="1" t="s">
        <v>7110</v>
      </c>
    </row>
    <row r="10177" spans="1:2" ht="18">
      <c r="A10177" s="50" t="s">
        <v>3651</v>
      </c>
      <c r="B10177" s="1" t="s">
        <v>7110</v>
      </c>
    </row>
    <row r="10178" spans="1:2" ht="18">
      <c r="A10178" s="50" t="s">
        <v>3651</v>
      </c>
      <c r="B10178" s="1" t="s">
        <v>7110</v>
      </c>
    </row>
    <row r="10179" spans="1:2" ht="18">
      <c r="A10179" s="50" t="s">
        <v>3652</v>
      </c>
      <c r="B10179" s="1" t="s">
        <v>7110</v>
      </c>
    </row>
    <row r="10180" spans="1:2" ht="18">
      <c r="A10180" s="50" t="s">
        <v>3655</v>
      </c>
      <c r="B10180" s="1" t="s">
        <v>7110</v>
      </c>
    </row>
    <row r="10181" spans="1:2" ht="18">
      <c r="A10181" s="50" t="s">
        <v>3652</v>
      </c>
      <c r="B10181" s="1" t="s">
        <v>7110</v>
      </c>
    </row>
    <row r="10182" spans="1:2" ht="18">
      <c r="A10182" s="50" t="s">
        <v>3655</v>
      </c>
      <c r="B10182" s="1" t="s">
        <v>7110</v>
      </c>
    </row>
    <row r="10183" spans="1:2" ht="18">
      <c r="A10183" s="50" t="s">
        <v>3652</v>
      </c>
      <c r="B10183" s="1" t="s">
        <v>7110</v>
      </c>
    </row>
    <row r="10184" spans="1:2" ht="18">
      <c r="A10184" s="50" t="s">
        <v>3652</v>
      </c>
      <c r="B10184" s="1" t="s">
        <v>7110</v>
      </c>
    </row>
    <row r="10185" spans="1:2" ht="18">
      <c r="A10185" s="50" t="s">
        <v>3651</v>
      </c>
      <c r="B10185" s="1" t="s">
        <v>7110</v>
      </c>
    </row>
    <row r="10186" spans="1:2" ht="18">
      <c r="A10186" s="50" t="s">
        <v>3658</v>
      </c>
      <c r="B10186" s="1" t="s">
        <v>7110</v>
      </c>
    </row>
    <row r="10187" spans="1:2" ht="18">
      <c r="A10187" s="50" t="s">
        <v>3650</v>
      </c>
      <c r="B10187" s="1" t="s">
        <v>7110</v>
      </c>
    </row>
    <row r="10188" spans="1:2" ht="18">
      <c r="A10188" s="50" t="s">
        <v>3648</v>
      </c>
      <c r="B10188" s="1" t="s">
        <v>7110</v>
      </c>
    </row>
    <row r="10189" spans="1:2" ht="18">
      <c r="A10189" s="50" t="s">
        <v>3651</v>
      </c>
      <c r="B10189" s="1" t="s">
        <v>7110</v>
      </c>
    </row>
    <row r="10190" spans="1:2" ht="18">
      <c r="A10190" s="50" t="s">
        <v>3659</v>
      </c>
      <c r="B10190" s="1" t="s">
        <v>7110</v>
      </c>
    </row>
    <row r="10191" spans="1:2" ht="18">
      <c r="A10191" s="50" t="s">
        <v>3647</v>
      </c>
      <c r="B10191" s="1" t="s">
        <v>7110</v>
      </c>
    </row>
    <row r="10192" spans="1:2" ht="18">
      <c r="A10192" s="50" t="s">
        <v>3658</v>
      </c>
      <c r="B10192" s="1" t="s">
        <v>7110</v>
      </c>
    </row>
    <row r="10193" spans="1:2" ht="18">
      <c r="A10193" s="50" t="s">
        <v>3658</v>
      </c>
      <c r="B10193" s="1" t="s">
        <v>7110</v>
      </c>
    </row>
    <row r="10194" spans="1:2" ht="18">
      <c r="A10194" s="50" t="s">
        <v>3660</v>
      </c>
      <c r="B10194" s="1" t="s">
        <v>7110</v>
      </c>
    </row>
    <row r="10195" spans="1:2" ht="18">
      <c r="A10195" s="50" t="s">
        <v>3660</v>
      </c>
      <c r="B10195" s="1" t="s">
        <v>7110</v>
      </c>
    </row>
    <row r="10196" spans="1:2" ht="18">
      <c r="A10196" s="50" t="s">
        <v>3724</v>
      </c>
      <c r="B10196" s="1" t="s">
        <v>7110</v>
      </c>
    </row>
    <row r="10197" spans="1:2" ht="18">
      <c r="A10197" s="50" t="s">
        <v>3725</v>
      </c>
      <c r="B10197" s="1" t="s">
        <v>7110</v>
      </c>
    </row>
    <row r="10198" spans="1:2" ht="18">
      <c r="A10198" s="50" t="s">
        <v>3726</v>
      </c>
      <c r="B10198" s="1" t="s">
        <v>7110</v>
      </c>
    </row>
    <row r="10199" spans="1:2" ht="18">
      <c r="A10199" s="50" t="s">
        <v>3727</v>
      </c>
      <c r="B10199" s="1" t="s">
        <v>7110</v>
      </c>
    </row>
    <row r="10200" spans="1:2" ht="18">
      <c r="A10200" s="50" t="s">
        <v>3728</v>
      </c>
      <c r="B10200" s="1" t="s">
        <v>7110</v>
      </c>
    </row>
    <row r="10201" spans="1:2" ht="18">
      <c r="A10201" s="50" t="s">
        <v>3731</v>
      </c>
      <c r="B10201" s="1" t="s">
        <v>7110</v>
      </c>
    </row>
    <row r="10202" spans="1:2" ht="18">
      <c r="A10202" s="50" t="s">
        <v>3567</v>
      </c>
      <c r="B10202" s="1" t="s">
        <v>7110</v>
      </c>
    </row>
    <row r="10203" spans="1:2" ht="18">
      <c r="A10203" s="50" t="s">
        <v>3561</v>
      </c>
      <c r="B10203" s="1" t="s">
        <v>7110</v>
      </c>
    </row>
    <row r="10204" spans="1:2" ht="18">
      <c r="A10204" s="50" t="s">
        <v>3734</v>
      </c>
      <c r="B10204" s="1" t="s">
        <v>7110</v>
      </c>
    </row>
    <row r="10205" spans="1:2" ht="18">
      <c r="A10205" s="50" t="s">
        <v>3735</v>
      </c>
      <c r="B10205" s="1" t="s">
        <v>7110</v>
      </c>
    </row>
    <row r="10206" spans="1:2" ht="18">
      <c r="A10206" s="50" t="s">
        <v>3561</v>
      </c>
      <c r="B10206" s="1" t="s">
        <v>7110</v>
      </c>
    </row>
    <row r="10207" spans="1:2" ht="18">
      <c r="A10207" s="50" t="s">
        <v>3739</v>
      </c>
      <c r="B10207" s="1" t="s">
        <v>7110</v>
      </c>
    </row>
    <row r="10208" spans="1:2" ht="18">
      <c r="A10208" s="50" t="s">
        <v>3569</v>
      </c>
      <c r="B10208" s="1" t="s">
        <v>7110</v>
      </c>
    </row>
    <row r="10209" spans="1:2" ht="18">
      <c r="A10209" s="50" t="s">
        <v>3740</v>
      </c>
      <c r="B10209" s="1" t="s">
        <v>7110</v>
      </c>
    </row>
    <row r="10210" spans="1:2" ht="18">
      <c r="A10210" s="50" t="s">
        <v>4308</v>
      </c>
      <c r="B10210" s="1" t="s">
        <v>7110</v>
      </c>
    </row>
    <row r="10211" spans="1:2" ht="18">
      <c r="A10211" s="50" t="s">
        <v>3745</v>
      </c>
      <c r="B10211" s="1" t="s">
        <v>7110</v>
      </c>
    </row>
    <row r="10212" spans="1:2" ht="18">
      <c r="A10212" s="50" t="s">
        <v>3725</v>
      </c>
      <c r="B10212" s="1" t="s">
        <v>7110</v>
      </c>
    </row>
    <row r="10213" spans="1:2" ht="18">
      <c r="A10213" s="50" t="s">
        <v>3748</v>
      </c>
      <c r="B10213" s="1" t="s">
        <v>7110</v>
      </c>
    </row>
    <row r="10214" spans="1:2" ht="18">
      <c r="A10214" s="50" t="s">
        <v>3749</v>
      </c>
      <c r="B10214" s="1" t="s">
        <v>7110</v>
      </c>
    </row>
    <row r="10215" spans="1:2" ht="18">
      <c r="A10215" s="50" t="s">
        <v>3750</v>
      </c>
      <c r="B10215" s="1" t="s">
        <v>7110</v>
      </c>
    </row>
    <row r="10216" spans="1:2" ht="18">
      <c r="A10216" s="50" t="s">
        <v>3751</v>
      </c>
      <c r="B10216" s="1" t="s">
        <v>7110</v>
      </c>
    </row>
    <row r="10217" spans="1:2" ht="18">
      <c r="A10217" s="50" t="s">
        <v>3753</v>
      </c>
      <c r="B10217" s="1" t="s">
        <v>7110</v>
      </c>
    </row>
    <row r="10218" spans="1:2" ht="18">
      <c r="A10218" s="50" t="s">
        <v>3754</v>
      </c>
      <c r="B10218" s="1" t="s">
        <v>7110</v>
      </c>
    </row>
    <row r="10219" spans="1:2" ht="18">
      <c r="A10219" s="50" t="s">
        <v>3740</v>
      </c>
      <c r="B10219" s="1" t="s">
        <v>7110</v>
      </c>
    </row>
    <row r="10220" spans="1:2" ht="18">
      <c r="A10220" s="50" t="s">
        <v>3765</v>
      </c>
      <c r="B10220" s="1" t="s">
        <v>7110</v>
      </c>
    </row>
    <row r="10221" spans="1:2" ht="18">
      <c r="A10221" s="50" t="s">
        <v>3750</v>
      </c>
      <c r="B10221" s="1" t="s">
        <v>7110</v>
      </c>
    </row>
    <row r="10222" spans="1:2" ht="18">
      <c r="A10222" s="50" t="s">
        <v>3841</v>
      </c>
      <c r="B10222" s="1" t="s">
        <v>7110</v>
      </c>
    </row>
    <row r="10223" spans="1:2" ht="18">
      <c r="A10223" s="50" t="s">
        <v>3844</v>
      </c>
      <c r="B10223" s="1" t="s">
        <v>7110</v>
      </c>
    </row>
    <row r="10224" spans="1:2" ht="18">
      <c r="A10224" s="50" t="s">
        <v>3849</v>
      </c>
      <c r="B10224" s="1" t="s">
        <v>7110</v>
      </c>
    </row>
    <row r="10225" spans="1:2" ht="18">
      <c r="A10225" s="50" t="s">
        <v>3841</v>
      </c>
      <c r="B10225" s="1" t="s">
        <v>7110</v>
      </c>
    </row>
    <row r="10226" spans="1:2" ht="18">
      <c r="A10226" s="50" t="s">
        <v>3841</v>
      </c>
      <c r="B10226" s="1" t="s">
        <v>7110</v>
      </c>
    </row>
    <row r="10227" spans="1:2" ht="18">
      <c r="A10227" s="50" t="s">
        <v>3844</v>
      </c>
      <c r="B10227" s="1" t="s">
        <v>7110</v>
      </c>
    </row>
    <row r="10228" spans="1:2" ht="18">
      <c r="A10228" s="50" t="s">
        <v>3849</v>
      </c>
      <c r="B10228" s="1" t="s">
        <v>7110</v>
      </c>
    </row>
    <row r="10229" spans="1:2" ht="18">
      <c r="A10229" s="50" t="s">
        <v>3849</v>
      </c>
      <c r="B10229" s="1" t="s">
        <v>7110</v>
      </c>
    </row>
    <row r="10230" spans="1:2" ht="18">
      <c r="A10230" s="50" t="s">
        <v>3849</v>
      </c>
      <c r="B10230" s="1" t="s">
        <v>7110</v>
      </c>
    </row>
    <row r="10231" spans="1:2" ht="18">
      <c r="A10231" s="50" t="s">
        <v>3849</v>
      </c>
      <c r="B10231" s="1" t="s">
        <v>7110</v>
      </c>
    </row>
    <row r="10232" spans="1:2" ht="18">
      <c r="A10232" s="50" t="s">
        <v>3876</v>
      </c>
      <c r="B10232" s="1" t="s">
        <v>7110</v>
      </c>
    </row>
    <row r="10233" spans="1:2" ht="18">
      <c r="A10233" s="50" t="s">
        <v>3877</v>
      </c>
      <c r="B10233" s="1" t="s">
        <v>7110</v>
      </c>
    </row>
    <row r="10234" spans="1:2" ht="18">
      <c r="A10234" s="50" t="s">
        <v>3878</v>
      </c>
      <c r="B10234" s="1" t="s">
        <v>7110</v>
      </c>
    </row>
    <row r="10235" spans="1:2" ht="18">
      <c r="A10235" s="50" t="s">
        <v>3881</v>
      </c>
      <c r="B10235" s="1" t="s">
        <v>7110</v>
      </c>
    </row>
    <row r="10236" spans="1:2" ht="18">
      <c r="A10236" s="50" t="s">
        <v>3882</v>
      </c>
      <c r="B10236" s="1" t="s">
        <v>7110</v>
      </c>
    </row>
    <row r="10237" spans="1:2" ht="18">
      <c r="A10237" s="50" t="s">
        <v>3883</v>
      </c>
      <c r="B10237" s="1" t="s">
        <v>7110</v>
      </c>
    </row>
    <row r="10238" spans="1:2" ht="18">
      <c r="A10238" s="50" t="s">
        <v>3884</v>
      </c>
      <c r="B10238" s="1" t="s">
        <v>7110</v>
      </c>
    </row>
    <row r="10239" spans="1:2" ht="18">
      <c r="A10239" s="50" t="s">
        <v>3878</v>
      </c>
      <c r="B10239" s="1" t="s">
        <v>7110</v>
      </c>
    </row>
    <row r="10240" spans="1:2" ht="18">
      <c r="A10240" s="50" t="s">
        <v>3888</v>
      </c>
      <c r="B10240" s="1" t="s">
        <v>7110</v>
      </c>
    </row>
    <row r="10241" spans="1:2" ht="18">
      <c r="A10241" s="50" t="s">
        <v>3754</v>
      </c>
      <c r="B10241" s="1" t="s">
        <v>7110</v>
      </c>
    </row>
    <row r="10242" spans="1:2" ht="18">
      <c r="A10242" s="50" t="s">
        <v>3892</v>
      </c>
      <c r="B10242" s="1" t="s">
        <v>7110</v>
      </c>
    </row>
    <row r="10243" spans="1:2" ht="18">
      <c r="A10243" s="50" t="s">
        <v>3893</v>
      </c>
      <c r="B10243" s="1" t="s">
        <v>7110</v>
      </c>
    </row>
    <row r="10244" spans="1:2" ht="18">
      <c r="A10244" s="50" t="s">
        <v>3896</v>
      </c>
      <c r="B10244" s="1" t="s">
        <v>7110</v>
      </c>
    </row>
    <row r="10245" spans="1:2" ht="18">
      <c r="A10245" s="50" t="s">
        <v>3878</v>
      </c>
      <c r="B10245" s="1" t="s">
        <v>7110</v>
      </c>
    </row>
    <row r="10246" spans="1:2" ht="18">
      <c r="A10246" s="50" t="s">
        <v>3897</v>
      </c>
      <c r="B10246" s="1" t="s">
        <v>7110</v>
      </c>
    </row>
    <row r="10247" spans="1:2" ht="18">
      <c r="A10247" s="50" t="s">
        <v>3742</v>
      </c>
      <c r="B10247" s="1" t="s">
        <v>7110</v>
      </c>
    </row>
    <row r="10248" spans="1:2" ht="18">
      <c r="A10248" s="50" t="s">
        <v>3745</v>
      </c>
      <c r="B10248" s="1" t="s">
        <v>7110</v>
      </c>
    </row>
    <row r="10249" spans="1:2" ht="18">
      <c r="A10249" s="50" t="s">
        <v>3903</v>
      </c>
      <c r="B10249" s="1" t="s">
        <v>7110</v>
      </c>
    </row>
    <row r="10250" spans="1:2" ht="18">
      <c r="A10250" s="50" t="s">
        <v>3903</v>
      </c>
      <c r="B10250" s="1" t="s">
        <v>7110</v>
      </c>
    </row>
    <row r="10251" spans="1:2" ht="18">
      <c r="A10251" s="50" t="s">
        <v>3903</v>
      </c>
      <c r="B10251" s="1" t="s">
        <v>7110</v>
      </c>
    </row>
    <row r="10252" spans="1:2" ht="18">
      <c r="A10252" s="50" t="s">
        <v>3903</v>
      </c>
      <c r="B10252" s="1" t="s">
        <v>7110</v>
      </c>
    </row>
    <row r="10253" spans="1:2" ht="18">
      <c r="A10253" s="50" t="s">
        <v>3903</v>
      </c>
      <c r="B10253" s="1" t="s">
        <v>7110</v>
      </c>
    </row>
    <row r="10254" spans="1:2" ht="18">
      <c r="A10254" s="50" t="s">
        <v>4255</v>
      </c>
      <c r="B10254" s="1" t="s">
        <v>7110</v>
      </c>
    </row>
    <row r="10255" spans="1:2" ht="18">
      <c r="A10255" s="50" t="s">
        <v>4255</v>
      </c>
      <c r="B10255" s="1" t="s">
        <v>7110</v>
      </c>
    </row>
    <row r="10256" spans="1:2" ht="18">
      <c r="A10256" s="50" t="s">
        <v>3838</v>
      </c>
      <c r="B10256" s="1" t="s">
        <v>7110</v>
      </c>
    </row>
    <row r="10257" spans="1:2" ht="18">
      <c r="A10257" s="50" t="s">
        <v>3838</v>
      </c>
      <c r="B10257" s="1" t="s">
        <v>7110</v>
      </c>
    </row>
    <row r="10258" spans="1:2" ht="18">
      <c r="A10258" s="50" t="s">
        <v>3838</v>
      </c>
      <c r="B10258" s="1" t="s">
        <v>7110</v>
      </c>
    </row>
    <row r="10259" spans="1:2" ht="18">
      <c r="A10259" s="50" t="s">
        <v>3838</v>
      </c>
      <c r="B10259" s="1" t="s">
        <v>7110</v>
      </c>
    </row>
    <row r="10260" spans="1:2" ht="18">
      <c r="A10260" s="50" t="s">
        <v>3852</v>
      </c>
      <c r="B10260" s="1" t="s">
        <v>7110</v>
      </c>
    </row>
    <row r="10261" spans="1:2" ht="18">
      <c r="A10261" s="50" t="s">
        <v>3838</v>
      </c>
      <c r="B10261" s="1" t="s">
        <v>7110</v>
      </c>
    </row>
    <row r="10262" spans="1:2" ht="18">
      <c r="A10262" s="50" t="s">
        <v>3852</v>
      </c>
      <c r="B10262" s="1" t="s">
        <v>7110</v>
      </c>
    </row>
    <row r="10263" spans="1:2" ht="18">
      <c r="A10263" s="50" t="s">
        <v>3852</v>
      </c>
      <c r="B10263" s="1" t="s">
        <v>7110</v>
      </c>
    </row>
    <row r="10264" spans="1:2" ht="18">
      <c r="A10264" s="50" t="s">
        <v>3852</v>
      </c>
      <c r="B10264" s="1" t="s">
        <v>7110</v>
      </c>
    </row>
    <row r="10265" spans="1:2" ht="18">
      <c r="A10265" s="50" t="s">
        <v>3838</v>
      </c>
      <c r="B10265" s="1" t="s">
        <v>7110</v>
      </c>
    </row>
    <row r="10266" spans="1:2" ht="18">
      <c r="A10266" s="50" t="s">
        <v>3980</v>
      </c>
      <c r="B10266" s="1" t="s">
        <v>7110</v>
      </c>
    </row>
    <row r="10267" spans="1:2" ht="18">
      <c r="A10267" s="50" t="s">
        <v>3976</v>
      </c>
      <c r="B10267" s="1" t="s">
        <v>7110</v>
      </c>
    </row>
    <row r="10268" spans="1:2" ht="18">
      <c r="A10268" s="50" t="s">
        <v>3978</v>
      </c>
      <c r="B10268" s="1" t="s">
        <v>7110</v>
      </c>
    </row>
    <row r="10269" spans="1:2" ht="18">
      <c r="A10269" s="50" t="s">
        <v>3978</v>
      </c>
      <c r="B10269" s="1" t="s">
        <v>7110</v>
      </c>
    </row>
    <row r="10270" spans="1:2" ht="18">
      <c r="A10270" s="50" t="s">
        <v>4279</v>
      </c>
      <c r="B10270" s="1" t="s">
        <v>7110</v>
      </c>
    </row>
    <row r="10271" spans="1:2" ht="18">
      <c r="A10271" s="50" t="s">
        <v>3980</v>
      </c>
      <c r="B10271" s="1" t="s">
        <v>7110</v>
      </c>
    </row>
    <row r="10272" spans="1:2" ht="18">
      <c r="A10272" s="50" t="s">
        <v>4287</v>
      </c>
      <c r="B10272" s="1" t="s">
        <v>7110</v>
      </c>
    </row>
    <row r="10273" spans="1:2" ht="18">
      <c r="A10273" s="50" t="s">
        <v>3977</v>
      </c>
      <c r="B10273" s="1" t="s">
        <v>7110</v>
      </c>
    </row>
    <row r="10274" spans="1:2" ht="18">
      <c r="A10274" s="50" t="s">
        <v>3980</v>
      </c>
      <c r="B10274" s="1" t="s">
        <v>7110</v>
      </c>
    </row>
    <row r="10275" spans="1:2" ht="18">
      <c r="A10275" s="50" t="s">
        <v>3976</v>
      </c>
      <c r="B10275" s="1" t="s">
        <v>7110</v>
      </c>
    </row>
    <row r="10276" spans="1:2" ht="18">
      <c r="A10276" s="50" t="s">
        <v>3977</v>
      </c>
      <c r="B10276" s="1" t="s">
        <v>7110</v>
      </c>
    </row>
    <row r="10277" spans="1:2" ht="18">
      <c r="A10277" s="50" t="s">
        <v>3978</v>
      </c>
      <c r="B10277" s="1" t="s">
        <v>7110</v>
      </c>
    </row>
    <row r="10278" spans="1:2" ht="18">
      <c r="A10278" s="50" t="s">
        <v>3978</v>
      </c>
      <c r="B10278" s="1" t="s">
        <v>7110</v>
      </c>
    </row>
    <row r="10279" spans="1:2" ht="18">
      <c r="A10279" s="50" t="s">
        <v>3977</v>
      </c>
      <c r="B10279" s="1" t="s">
        <v>7110</v>
      </c>
    </row>
    <row r="10280" spans="1:2" ht="18">
      <c r="A10280" s="50" t="s">
        <v>4287</v>
      </c>
      <c r="B10280" s="1" t="s">
        <v>7110</v>
      </c>
    </row>
    <row r="10281" spans="1:2" ht="18">
      <c r="A10281" s="50" t="s">
        <v>4287</v>
      </c>
      <c r="B10281" s="1" t="s">
        <v>7110</v>
      </c>
    </row>
    <row r="10282" spans="1:2" ht="18">
      <c r="A10282" s="50" t="s">
        <v>4279</v>
      </c>
      <c r="B10282" s="1" t="s">
        <v>7110</v>
      </c>
    </row>
    <row r="10283" spans="1:2" ht="18">
      <c r="A10283" s="50" t="s">
        <v>3979</v>
      </c>
      <c r="B10283" s="1" t="s">
        <v>7110</v>
      </c>
    </row>
    <row r="10284" spans="1:2" ht="18">
      <c r="A10284" s="50" t="s">
        <v>3979</v>
      </c>
      <c r="B10284" s="1" t="s">
        <v>7110</v>
      </c>
    </row>
    <row r="10285" spans="1:2" ht="18">
      <c r="A10285" s="50" t="s">
        <v>3980</v>
      </c>
      <c r="B10285" s="1" t="s">
        <v>7110</v>
      </c>
    </row>
    <row r="10286" spans="1:2" ht="18">
      <c r="A10286" s="50" t="s">
        <v>3980</v>
      </c>
      <c r="B10286" s="1" t="s">
        <v>7110</v>
      </c>
    </row>
    <row r="10287" spans="1:2" ht="18">
      <c r="A10287" s="50" t="s">
        <v>3977</v>
      </c>
      <c r="B10287" s="1" t="s">
        <v>7110</v>
      </c>
    </row>
    <row r="10288" spans="1:2" ht="18">
      <c r="A10288" s="50" t="s">
        <v>3980</v>
      </c>
      <c r="B10288" s="1" t="s">
        <v>7110</v>
      </c>
    </row>
    <row r="10289" spans="1:2" ht="18">
      <c r="A10289" s="50" t="s">
        <v>3977</v>
      </c>
      <c r="B10289" s="1" t="s">
        <v>7110</v>
      </c>
    </row>
    <row r="10290" spans="1:2" ht="18">
      <c r="A10290" s="50" t="s">
        <v>3978</v>
      </c>
      <c r="B10290" s="1" t="s">
        <v>7110</v>
      </c>
    </row>
    <row r="10291" spans="1:2" ht="18">
      <c r="A10291" s="50" t="s">
        <v>3979</v>
      </c>
      <c r="B10291" s="1" t="s">
        <v>7110</v>
      </c>
    </row>
    <row r="10292" spans="1:2" ht="18">
      <c r="A10292" s="50" t="s">
        <v>3979</v>
      </c>
      <c r="B10292" s="1" t="s">
        <v>7110</v>
      </c>
    </row>
    <row r="10293" spans="1:2" ht="18">
      <c r="A10293" s="50" t="s">
        <v>4287</v>
      </c>
      <c r="B10293" s="1" t="s">
        <v>7110</v>
      </c>
    </row>
    <row r="10294" spans="1:2" ht="18">
      <c r="A10294" s="50" t="s">
        <v>4279</v>
      </c>
      <c r="B10294" s="1" t="s">
        <v>7110</v>
      </c>
    </row>
    <row r="10295" spans="1:2" ht="18">
      <c r="A10295" s="50" t="s">
        <v>3837</v>
      </c>
      <c r="B10295" s="1" t="s">
        <v>7110</v>
      </c>
    </row>
    <row r="10296" spans="1:2" ht="18">
      <c r="A10296" s="50" t="s">
        <v>3837</v>
      </c>
      <c r="B10296" s="1" t="s">
        <v>7110</v>
      </c>
    </row>
    <row r="10297" spans="1:2" ht="18">
      <c r="A10297" s="50" t="s">
        <v>3846</v>
      </c>
      <c r="B10297" s="1" t="s">
        <v>7110</v>
      </c>
    </row>
    <row r="10298" spans="1:2" ht="18">
      <c r="A10298" s="50" t="s">
        <v>3846</v>
      </c>
      <c r="B10298" s="1" t="s">
        <v>7110</v>
      </c>
    </row>
    <row r="10299" spans="1:2" ht="18">
      <c r="A10299" s="50" t="s">
        <v>3837</v>
      </c>
      <c r="B10299" s="1" t="s">
        <v>7110</v>
      </c>
    </row>
    <row r="10300" spans="1:2" ht="18">
      <c r="A10300" s="50" t="s">
        <v>3846</v>
      </c>
      <c r="B10300" s="1" t="s">
        <v>7110</v>
      </c>
    </row>
    <row r="10301" spans="1:2" ht="18">
      <c r="A10301" s="50" t="s">
        <v>3846</v>
      </c>
      <c r="B10301" s="1" t="s">
        <v>7110</v>
      </c>
    </row>
    <row r="10302" spans="1:2" ht="18">
      <c r="A10302" s="50" t="s">
        <v>3846</v>
      </c>
      <c r="B10302" s="1" t="s">
        <v>7110</v>
      </c>
    </row>
    <row r="10303" spans="1:2" ht="18">
      <c r="A10303" s="50" t="s">
        <v>3846</v>
      </c>
      <c r="B10303" s="1" t="s">
        <v>7110</v>
      </c>
    </row>
    <row r="10304" spans="1:2" ht="18">
      <c r="A10304" s="50" t="s">
        <v>3846</v>
      </c>
      <c r="B10304" s="1" t="s">
        <v>7110</v>
      </c>
    </row>
    <row r="10305" spans="1:2" ht="18">
      <c r="A10305" s="50" t="s">
        <v>3885</v>
      </c>
      <c r="B10305" s="1" t="s">
        <v>7110</v>
      </c>
    </row>
    <row r="10306" spans="1:2" ht="18">
      <c r="A10306" s="50" t="s">
        <v>3885</v>
      </c>
      <c r="B10306" s="1" t="s">
        <v>7110</v>
      </c>
    </row>
    <row r="10307" spans="1:2" ht="18">
      <c r="A10307" s="50" t="s">
        <v>3958</v>
      </c>
      <c r="B10307" s="1" t="s">
        <v>7110</v>
      </c>
    </row>
    <row r="10308" spans="1:2" ht="18">
      <c r="A10308" s="50" t="s">
        <v>3959</v>
      </c>
      <c r="B10308" s="1" t="s">
        <v>7110</v>
      </c>
    </row>
    <row r="10309" spans="1:2" ht="18">
      <c r="A10309" s="50" t="s">
        <v>3958</v>
      </c>
      <c r="B10309" s="1" t="s">
        <v>7110</v>
      </c>
    </row>
    <row r="10310" spans="1:2" ht="18">
      <c r="A10310" s="50" t="s">
        <v>3959</v>
      </c>
      <c r="B10310" s="1" t="s">
        <v>7110</v>
      </c>
    </row>
    <row r="10311" spans="1:2" ht="18">
      <c r="A10311" s="50" t="s">
        <v>3959</v>
      </c>
      <c r="B10311" s="1" t="s">
        <v>7110</v>
      </c>
    </row>
    <row r="10312" spans="1:2" ht="18">
      <c r="A10312" s="50" t="s">
        <v>4195</v>
      </c>
      <c r="B10312" s="1" t="s">
        <v>7110</v>
      </c>
    </row>
    <row r="10313" spans="1:2" ht="18">
      <c r="A10313" s="50" t="s">
        <v>4195</v>
      </c>
      <c r="B10313" s="1" t="s">
        <v>7110</v>
      </c>
    </row>
    <row r="10314" spans="1:2" ht="18">
      <c r="A10314" s="50" t="s">
        <v>4246</v>
      </c>
      <c r="B10314" s="1" t="s">
        <v>7110</v>
      </c>
    </row>
    <row r="10315" spans="1:2" ht="18">
      <c r="A10315" s="50" t="s">
        <v>4246</v>
      </c>
      <c r="B10315" s="1" t="s">
        <v>7110</v>
      </c>
    </row>
    <row r="10316" spans="1:2" ht="18">
      <c r="A10316" s="50" t="s">
        <v>4246</v>
      </c>
      <c r="B10316" s="1" t="s">
        <v>7110</v>
      </c>
    </row>
    <row r="10317" spans="1:2" ht="18">
      <c r="A10317" s="50" t="s">
        <v>4195</v>
      </c>
      <c r="B10317" s="1" t="s">
        <v>7110</v>
      </c>
    </row>
    <row r="10318" spans="1:2" ht="18">
      <c r="A10318" s="50" t="s">
        <v>4246</v>
      </c>
      <c r="B10318" s="1" t="s">
        <v>7110</v>
      </c>
    </row>
    <row r="10319" spans="1:2" ht="18">
      <c r="A10319" s="50" t="s">
        <v>4195</v>
      </c>
      <c r="B10319" s="1" t="s">
        <v>7110</v>
      </c>
    </row>
    <row r="10320" spans="1:2" ht="18">
      <c r="A10320" s="50" t="s">
        <v>4246</v>
      </c>
      <c r="B10320" s="1" t="s">
        <v>7110</v>
      </c>
    </row>
    <row r="10321" spans="1:2" ht="18">
      <c r="A10321" s="50" t="s">
        <v>4195</v>
      </c>
      <c r="B10321" s="1" t="s">
        <v>7110</v>
      </c>
    </row>
    <row r="10322" spans="1:2" ht="18">
      <c r="A10322" s="50" t="s">
        <v>3959</v>
      </c>
      <c r="B10322" s="1" t="s">
        <v>7110</v>
      </c>
    </row>
    <row r="10323" spans="1:2" ht="18">
      <c r="A10323" s="50" t="s">
        <v>4246</v>
      </c>
      <c r="B10323" s="1" t="s">
        <v>7110</v>
      </c>
    </row>
    <row r="10324" spans="1:2" ht="18">
      <c r="A10324" s="50" t="s">
        <v>4267</v>
      </c>
      <c r="B10324" s="1" t="s">
        <v>7110</v>
      </c>
    </row>
    <row r="10325" spans="1:2" ht="18">
      <c r="A10325" s="50" t="s">
        <v>4273</v>
      </c>
      <c r="B10325" s="1" t="s">
        <v>7110</v>
      </c>
    </row>
    <row r="10326" spans="1:2" ht="18">
      <c r="A10326" s="50" t="s">
        <v>4273</v>
      </c>
      <c r="B10326" s="1" t="s">
        <v>7110</v>
      </c>
    </row>
    <row r="10327" spans="1:2" ht="18">
      <c r="A10327" s="50" t="s">
        <v>4273</v>
      </c>
      <c r="B10327" s="1" t="s">
        <v>7110</v>
      </c>
    </row>
    <row r="10328" spans="1:2" ht="18">
      <c r="A10328" s="50" t="s">
        <v>3837</v>
      </c>
      <c r="B10328" s="1" t="s">
        <v>7110</v>
      </c>
    </row>
    <row r="10329" spans="1:2" ht="18">
      <c r="A10329" s="50" t="s">
        <v>4273</v>
      </c>
      <c r="B10329" s="1" t="s">
        <v>7110</v>
      </c>
    </row>
    <row r="10330" spans="1:2" ht="18">
      <c r="A10330" s="50" t="s">
        <v>4267</v>
      </c>
      <c r="B10330" s="1" t="s">
        <v>7110</v>
      </c>
    </row>
    <row r="10331" spans="1:2" ht="18">
      <c r="A10331" s="50" t="s">
        <v>4305</v>
      </c>
      <c r="B10331" s="1" t="s">
        <v>7110</v>
      </c>
    </row>
    <row r="10332" spans="1:2" ht="18">
      <c r="A10332" s="50" t="s">
        <v>4305</v>
      </c>
      <c r="B10332" s="1" t="s">
        <v>7110</v>
      </c>
    </row>
    <row r="10333" spans="1:2" ht="18">
      <c r="A10333" s="50" t="s">
        <v>4305</v>
      </c>
      <c r="B10333" s="1" t="s">
        <v>7110</v>
      </c>
    </row>
    <row r="10334" spans="1:2" ht="18">
      <c r="A10334" s="50" t="s">
        <v>4305</v>
      </c>
      <c r="B10334" s="1" t="s">
        <v>7110</v>
      </c>
    </row>
    <row r="10335" spans="1:2" ht="18">
      <c r="A10335" s="50" t="s">
        <v>4358</v>
      </c>
      <c r="B10335" s="1" t="s">
        <v>7110</v>
      </c>
    </row>
    <row r="10336" spans="1:2" ht="18">
      <c r="A10336" s="50" t="s">
        <v>4218</v>
      </c>
      <c r="B10336" s="1" t="s">
        <v>7110</v>
      </c>
    </row>
    <row r="10337" spans="1:2" ht="18">
      <c r="A10337" s="50" t="s">
        <v>4220</v>
      </c>
      <c r="B10337" s="1" t="s">
        <v>7110</v>
      </c>
    </row>
    <row r="10338" spans="1:2" ht="18">
      <c r="A10338" s="50" t="s">
        <v>4220</v>
      </c>
      <c r="B10338" s="1" t="s">
        <v>7110</v>
      </c>
    </row>
    <row r="10339" spans="1:2" ht="18">
      <c r="A10339" s="50" t="s">
        <v>4204</v>
      </c>
      <c r="B10339" s="1" t="s">
        <v>7110</v>
      </c>
    </row>
    <row r="10340" spans="1:2" ht="18">
      <c r="A10340" s="50" t="s">
        <v>4204</v>
      </c>
      <c r="B10340" s="1" t="s">
        <v>7110</v>
      </c>
    </row>
    <row r="10341" spans="1:2" ht="18">
      <c r="A10341" s="50" t="s">
        <v>4230</v>
      </c>
      <c r="B10341" s="1" t="s">
        <v>7110</v>
      </c>
    </row>
    <row r="10342" spans="1:2" ht="18">
      <c r="A10342" s="50" t="s">
        <v>4204</v>
      </c>
      <c r="B10342" s="1" t="s">
        <v>7110</v>
      </c>
    </row>
    <row r="10343" spans="1:2" ht="18">
      <c r="A10343" s="50" t="s">
        <v>4205</v>
      </c>
      <c r="B10343" s="1" t="s">
        <v>7110</v>
      </c>
    </row>
    <row r="10344" spans="1:2" ht="18">
      <c r="A10344" s="50" t="s">
        <v>4206</v>
      </c>
      <c r="B10344" s="1" t="s">
        <v>7110</v>
      </c>
    </row>
    <row r="10345" spans="1:2" ht="18">
      <c r="A10345" s="50" t="s">
        <v>4205</v>
      </c>
      <c r="B10345" s="1" t="s">
        <v>7110</v>
      </c>
    </row>
    <row r="10346" spans="1:2" ht="18">
      <c r="A10346" s="50" t="s">
        <v>4221</v>
      </c>
      <c r="B10346" s="1" t="s">
        <v>7110</v>
      </c>
    </row>
    <row r="10347" spans="1:2" ht="18">
      <c r="A10347" s="50" t="s">
        <v>4205</v>
      </c>
      <c r="B10347" s="1" t="s">
        <v>7110</v>
      </c>
    </row>
    <row r="10348" spans="1:2" ht="18">
      <c r="A10348" s="50" t="s">
        <v>4223</v>
      </c>
      <c r="B10348" s="1" t="s">
        <v>7110</v>
      </c>
    </row>
    <row r="10349" spans="1:2" ht="18">
      <c r="A10349" s="50" t="s">
        <v>4227</v>
      </c>
      <c r="B10349" s="1" t="s">
        <v>7110</v>
      </c>
    </row>
    <row r="10350" spans="1:2" ht="18">
      <c r="A10350" s="50" t="s">
        <v>4223</v>
      </c>
      <c r="B10350" s="1" t="s">
        <v>7110</v>
      </c>
    </row>
    <row r="10351" spans="1:2" ht="18">
      <c r="A10351" s="50" t="s">
        <v>4250</v>
      </c>
      <c r="B10351" s="1" t="s">
        <v>7110</v>
      </c>
    </row>
    <row r="10352" spans="1:2" ht="18">
      <c r="A10352" s="50" t="s">
        <v>4250</v>
      </c>
      <c r="B10352" s="1" t="s">
        <v>7110</v>
      </c>
    </row>
    <row r="10353" spans="1:2" ht="18">
      <c r="A10353" s="50" t="s">
        <v>4250</v>
      </c>
      <c r="B10353" s="1" t="s">
        <v>7110</v>
      </c>
    </row>
    <row r="10354" spans="1:2" ht="18">
      <c r="A10354" s="50" t="s">
        <v>4223</v>
      </c>
      <c r="B10354" s="1" t="s">
        <v>7110</v>
      </c>
    </row>
    <row r="10355" spans="1:2" ht="18">
      <c r="A10355" s="50" t="s">
        <v>4223</v>
      </c>
      <c r="B10355" s="1" t="s">
        <v>7110</v>
      </c>
    </row>
    <row r="10356" spans="1:2" ht="18">
      <c r="A10356" s="50" t="s">
        <v>4223</v>
      </c>
      <c r="B10356" s="1" t="s">
        <v>7110</v>
      </c>
    </row>
    <row r="10357" spans="1:2" ht="18">
      <c r="A10357" s="50" t="s">
        <v>4508</v>
      </c>
      <c r="B10357" s="1" t="s">
        <v>7110</v>
      </c>
    </row>
    <row r="10358" spans="1:2" ht="18">
      <c r="A10358" s="50" t="s">
        <v>4503</v>
      </c>
      <c r="B10358" s="1" t="s">
        <v>7110</v>
      </c>
    </row>
    <row r="10359" spans="1:2" ht="18">
      <c r="A10359" s="50" t="s">
        <v>4227</v>
      </c>
      <c r="B10359" s="1" t="s">
        <v>7110</v>
      </c>
    </row>
    <row r="10360" spans="1:2" ht="18">
      <c r="A10360" s="50" t="s">
        <v>4505</v>
      </c>
      <c r="B10360" s="1" t="s">
        <v>7110</v>
      </c>
    </row>
    <row r="10361" spans="1:2" ht="18">
      <c r="A10361" s="50" t="s">
        <v>4502</v>
      </c>
      <c r="B10361" s="1" t="s">
        <v>7110</v>
      </c>
    </row>
    <row r="10362" spans="1:2" ht="18">
      <c r="A10362" s="50" t="s">
        <v>4502</v>
      </c>
      <c r="B10362" s="1" t="s">
        <v>7110</v>
      </c>
    </row>
    <row r="10363" spans="1:2" ht="18">
      <c r="A10363" s="50" t="s">
        <v>4507</v>
      </c>
      <c r="B10363" s="1" t="s">
        <v>7110</v>
      </c>
    </row>
    <row r="10364" spans="1:2" ht="18">
      <c r="A10364" s="50" t="s">
        <v>4221</v>
      </c>
      <c r="B10364" s="1" t="s">
        <v>7110</v>
      </c>
    </row>
    <row r="10365" spans="1:2" ht="18">
      <c r="A10365" s="50" t="s">
        <v>4492</v>
      </c>
      <c r="B10365" s="1" t="s">
        <v>7110</v>
      </c>
    </row>
    <row r="10366" spans="1:2" ht="18">
      <c r="A10366" s="50" t="s">
        <v>4606</v>
      </c>
      <c r="B10366" s="1" t="s">
        <v>7110</v>
      </c>
    </row>
    <row r="10367" spans="1:2" ht="18">
      <c r="A10367" s="50" t="s">
        <v>3752</v>
      </c>
      <c r="B10367" s="1" t="s">
        <v>7110</v>
      </c>
    </row>
    <row r="10368" spans="1:2" ht="18">
      <c r="A10368" s="50" t="s">
        <v>3752</v>
      </c>
      <c r="B10368" s="1" t="s">
        <v>7110</v>
      </c>
    </row>
    <row r="10369" spans="1:2" ht="18">
      <c r="A10369" s="50" t="s">
        <v>3752</v>
      </c>
      <c r="B10369" s="1" t="s">
        <v>7110</v>
      </c>
    </row>
    <row r="10370" spans="1:2" ht="18">
      <c r="A10370" s="50" t="s">
        <v>3752</v>
      </c>
      <c r="B10370" s="1" t="s">
        <v>7110</v>
      </c>
    </row>
    <row r="10371" spans="1:2" ht="18">
      <c r="A10371" s="50" t="s">
        <v>3904</v>
      </c>
      <c r="B10371" s="1" t="s">
        <v>7110</v>
      </c>
    </row>
    <row r="10372" spans="1:2" ht="18">
      <c r="A10372" s="50" t="s">
        <v>3847</v>
      </c>
      <c r="B10372" s="1" t="s">
        <v>7110</v>
      </c>
    </row>
    <row r="10373" spans="1:2" ht="18">
      <c r="A10373" s="50" t="s">
        <v>3847</v>
      </c>
      <c r="B10373" s="1" t="s">
        <v>7110</v>
      </c>
    </row>
    <row r="10374" spans="1:2" ht="18">
      <c r="A10374" s="50" t="s">
        <v>3847</v>
      </c>
      <c r="B10374" s="1" t="s">
        <v>7110</v>
      </c>
    </row>
    <row r="10375" spans="1:2" ht="18">
      <c r="A10375" s="50" t="s">
        <v>3880</v>
      </c>
      <c r="B10375" s="1" t="s">
        <v>7110</v>
      </c>
    </row>
    <row r="10376" spans="1:2" ht="18">
      <c r="A10376" s="50" t="s">
        <v>3880</v>
      </c>
      <c r="B10376" s="1" t="s">
        <v>7110</v>
      </c>
    </row>
    <row r="10377" spans="1:2" ht="18">
      <c r="A10377" s="50" t="s">
        <v>3886</v>
      </c>
      <c r="B10377" s="1" t="s">
        <v>7110</v>
      </c>
    </row>
    <row r="10378" spans="1:2" ht="18">
      <c r="A10378" s="50" t="s">
        <v>3880</v>
      </c>
      <c r="B10378" s="1" t="s">
        <v>7110</v>
      </c>
    </row>
    <row r="10379" spans="1:2" ht="18">
      <c r="A10379" s="50" t="s">
        <v>3950</v>
      </c>
      <c r="B10379" s="1" t="s">
        <v>7110</v>
      </c>
    </row>
    <row r="10380" spans="1:2" ht="18">
      <c r="A10380" s="50" t="s">
        <v>3880</v>
      </c>
      <c r="B10380" s="1" t="s">
        <v>7110</v>
      </c>
    </row>
    <row r="10381" spans="1:2" ht="18">
      <c r="A10381" s="50" t="s">
        <v>3955</v>
      </c>
      <c r="B10381" s="1" t="s">
        <v>7110</v>
      </c>
    </row>
    <row r="10382" spans="1:2" ht="18">
      <c r="A10382" s="50" t="s">
        <v>3950</v>
      </c>
      <c r="B10382" s="1" t="s">
        <v>7110</v>
      </c>
    </row>
    <row r="10383" spans="1:2" ht="18">
      <c r="A10383" s="50" t="s">
        <v>3955</v>
      </c>
      <c r="B10383" s="1" t="s">
        <v>7110</v>
      </c>
    </row>
    <row r="10384" spans="1:2" ht="18">
      <c r="A10384" s="50" t="s">
        <v>3950</v>
      </c>
      <c r="B10384" s="1" t="s">
        <v>7110</v>
      </c>
    </row>
    <row r="10385" spans="1:2" ht="18">
      <c r="A10385" s="50" t="s">
        <v>3950</v>
      </c>
      <c r="B10385" s="1" t="s">
        <v>7110</v>
      </c>
    </row>
    <row r="10386" spans="1:2" ht="18">
      <c r="A10386" s="50" t="s">
        <v>4188</v>
      </c>
      <c r="B10386" s="1" t="s">
        <v>7110</v>
      </c>
    </row>
    <row r="10387" spans="1:2" ht="18">
      <c r="A10387" s="50" t="s">
        <v>4188</v>
      </c>
      <c r="B10387" s="1" t="s">
        <v>7110</v>
      </c>
    </row>
    <row r="10388" spans="1:2" ht="18">
      <c r="A10388" s="50" t="s">
        <v>4188</v>
      </c>
      <c r="B10388" s="1" t="s">
        <v>7110</v>
      </c>
    </row>
    <row r="10389" spans="1:2" ht="18">
      <c r="A10389" s="50" t="s">
        <v>4275</v>
      </c>
      <c r="B10389" s="1" t="s">
        <v>7110</v>
      </c>
    </row>
    <row r="10390" spans="1:2" ht="18">
      <c r="A10390" s="50" t="s">
        <v>4275</v>
      </c>
      <c r="B10390" s="1" t="s">
        <v>7110</v>
      </c>
    </row>
    <row r="10391" spans="1:2" ht="18">
      <c r="A10391" s="50" t="s">
        <v>4275</v>
      </c>
      <c r="B10391" s="1" t="s">
        <v>7110</v>
      </c>
    </row>
    <row r="10392" spans="1:2" ht="18">
      <c r="A10392" s="50" t="s">
        <v>4292</v>
      </c>
      <c r="B10392" s="1" t="s">
        <v>7110</v>
      </c>
    </row>
    <row r="10393" spans="1:2" ht="18">
      <c r="A10393" s="50" t="s">
        <v>4292</v>
      </c>
      <c r="B10393" s="1" t="s">
        <v>7110</v>
      </c>
    </row>
    <row r="10394" spans="1:2" ht="18">
      <c r="A10394" s="50" t="s">
        <v>4275</v>
      </c>
      <c r="B10394" s="1" t="s">
        <v>7110</v>
      </c>
    </row>
    <row r="10395" spans="1:2" ht="18">
      <c r="A10395" s="50" t="s">
        <v>4275</v>
      </c>
      <c r="B10395" s="1" t="s">
        <v>7110</v>
      </c>
    </row>
    <row r="10396" spans="1:2" ht="18">
      <c r="A10396" s="50" t="s">
        <v>4295</v>
      </c>
      <c r="B10396" s="1" t="s">
        <v>7110</v>
      </c>
    </row>
    <row r="10397" spans="1:2" ht="18">
      <c r="A10397" s="50" t="s">
        <v>4295</v>
      </c>
      <c r="B10397" s="1" t="s">
        <v>7110</v>
      </c>
    </row>
    <row r="10398" spans="1:2" ht="18">
      <c r="A10398" s="50" t="s">
        <v>3847</v>
      </c>
      <c r="B10398" s="1" t="s">
        <v>7110</v>
      </c>
    </row>
    <row r="10399" spans="1:2" ht="18">
      <c r="A10399" s="50" t="s">
        <v>4292</v>
      </c>
      <c r="B10399" s="1" t="s">
        <v>7110</v>
      </c>
    </row>
    <row r="10400" spans="1:2" ht="18">
      <c r="A10400" s="50" t="s">
        <v>4295</v>
      </c>
      <c r="B10400" s="1" t="s">
        <v>7110</v>
      </c>
    </row>
    <row r="10401" spans="1:2" ht="18">
      <c r="A10401" s="50" t="s">
        <v>4275</v>
      </c>
      <c r="B10401" s="1" t="s">
        <v>7110</v>
      </c>
    </row>
    <row r="10402" spans="1:2" ht="18">
      <c r="A10402" s="50" t="s">
        <v>4303</v>
      </c>
      <c r="B10402" s="1" t="s">
        <v>7110</v>
      </c>
    </row>
    <row r="10403" spans="1:2" ht="18">
      <c r="A10403" s="50" t="s">
        <v>4303</v>
      </c>
      <c r="B10403" s="1" t="s">
        <v>7110</v>
      </c>
    </row>
    <row r="10404" spans="1:2" ht="18">
      <c r="A10404" s="50" t="s">
        <v>4295</v>
      </c>
      <c r="B10404" s="1" t="s">
        <v>7110</v>
      </c>
    </row>
    <row r="10405" spans="1:2" ht="18">
      <c r="A10405" s="50" t="s">
        <v>4356</v>
      </c>
      <c r="B10405" s="1" t="s">
        <v>7110</v>
      </c>
    </row>
    <row r="10406" spans="1:2" ht="18">
      <c r="A10406" s="50" t="s">
        <v>4356</v>
      </c>
      <c r="B10406" s="1" t="s">
        <v>7110</v>
      </c>
    </row>
    <row r="10407" spans="1:2" ht="18">
      <c r="A10407" s="50" t="s">
        <v>4357</v>
      </c>
      <c r="B10407" s="1" t="s">
        <v>7110</v>
      </c>
    </row>
    <row r="10408" spans="1:2" ht="18">
      <c r="A10408" s="50" t="s">
        <v>4356</v>
      </c>
      <c r="B10408" s="1" t="s">
        <v>7110</v>
      </c>
    </row>
    <row r="10409" spans="1:2" ht="18">
      <c r="A10409" s="50" t="s">
        <v>4356</v>
      </c>
      <c r="B10409" s="1" t="s">
        <v>7110</v>
      </c>
    </row>
    <row r="10410" spans="1:2" ht="18">
      <c r="A10410" s="50" t="s">
        <v>4356</v>
      </c>
      <c r="B10410" s="1" t="s">
        <v>7110</v>
      </c>
    </row>
    <row r="10411" spans="1:2" ht="18">
      <c r="A10411" s="50" t="s">
        <v>4357</v>
      </c>
      <c r="B10411" s="1" t="s">
        <v>7110</v>
      </c>
    </row>
    <row r="10412" spans="1:2" ht="18">
      <c r="A10412" s="50" t="s">
        <v>4359</v>
      </c>
      <c r="B10412" s="1" t="s">
        <v>7110</v>
      </c>
    </row>
    <row r="10413" spans="1:2" ht="18">
      <c r="A10413" s="50" t="s">
        <v>4357</v>
      </c>
      <c r="B10413" s="1" t="s">
        <v>7110</v>
      </c>
    </row>
    <row r="10414" spans="1:2" ht="18">
      <c r="A10414" s="50" t="s">
        <v>4449</v>
      </c>
      <c r="B10414" s="1" t="s">
        <v>7110</v>
      </c>
    </row>
    <row r="10415" spans="1:2" ht="18">
      <c r="A10415" s="50" t="s">
        <v>4449</v>
      </c>
      <c r="B10415" s="1" t="s">
        <v>7110</v>
      </c>
    </row>
    <row r="10416" spans="1:2" ht="18">
      <c r="A10416" s="50" t="s">
        <v>4357</v>
      </c>
      <c r="B10416" s="1" t="s">
        <v>7110</v>
      </c>
    </row>
    <row r="10417" spans="1:2" ht="18">
      <c r="A10417" s="50" t="s">
        <v>4295</v>
      </c>
      <c r="B10417" s="1" t="s">
        <v>7110</v>
      </c>
    </row>
    <row r="10418" spans="1:2" ht="18">
      <c r="A10418" s="50" t="s">
        <v>4357</v>
      </c>
      <c r="B10418" s="1" t="s">
        <v>7110</v>
      </c>
    </row>
    <row r="10419" spans="1:2" ht="18">
      <c r="A10419" s="50" t="s">
        <v>4357</v>
      </c>
      <c r="B10419" s="1" t="s">
        <v>7110</v>
      </c>
    </row>
    <row r="10420" spans="1:2" ht="18">
      <c r="A10420" s="50" t="s">
        <v>4449</v>
      </c>
      <c r="B10420" s="1" t="s">
        <v>7110</v>
      </c>
    </row>
    <row r="10421" spans="1:2" ht="18">
      <c r="A10421" s="50" t="s">
        <v>4357</v>
      </c>
      <c r="B10421" s="1" t="s">
        <v>7110</v>
      </c>
    </row>
    <row r="10422" spans="1:2" ht="18">
      <c r="A10422" s="50" t="s">
        <v>4449</v>
      </c>
      <c r="B10422" s="1" t="s">
        <v>7110</v>
      </c>
    </row>
    <row r="10423" spans="1:2" ht="18">
      <c r="A10423" s="50" t="s">
        <v>4292</v>
      </c>
      <c r="B10423" s="1" t="s">
        <v>7110</v>
      </c>
    </row>
    <row r="10424" spans="1:2" ht="18">
      <c r="A10424" s="50" t="s">
        <v>4188</v>
      </c>
      <c r="B10424" s="1" t="s">
        <v>7110</v>
      </c>
    </row>
    <row r="10425" spans="1:2" ht="18">
      <c r="A10425" s="50" t="s">
        <v>4483</v>
      </c>
      <c r="B10425" s="1" t="s">
        <v>7110</v>
      </c>
    </row>
    <row r="10426" spans="1:2" ht="18">
      <c r="A10426" s="50" t="s">
        <v>4188</v>
      </c>
      <c r="B10426" s="1" t="s">
        <v>7110</v>
      </c>
    </row>
    <row r="10427" spans="1:2" ht="18">
      <c r="A10427" s="50" t="s">
        <v>4483</v>
      </c>
      <c r="B10427" s="1" t="s">
        <v>7110</v>
      </c>
    </row>
    <row r="10428" spans="1:2" ht="18">
      <c r="A10428" s="50" t="s">
        <v>4188</v>
      </c>
      <c r="B10428" s="1" t="s">
        <v>7110</v>
      </c>
    </row>
    <row r="10429" spans="1:2" ht="18">
      <c r="A10429" s="50" t="s">
        <v>4483</v>
      </c>
      <c r="B10429" s="1" t="s">
        <v>7110</v>
      </c>
    </row>
    <row r="10430" spans="1:2" ht="18">
      <c r="A10430" s="50" t="s">
        <v>4496</v>
      </c>
      <c r="B10430" s="1" t="s">
        <v>7110</v>
      </c>
    </row>
    <row r="10431" spans="1:2" ht="18">
      <c r="A10431" s="50" t="s">
        <v>4512</v>
      </c>
      <c r="B10431" s="1" t="s">
        <v>7110</v>
      </c>
    </row>
    <row r="10432" spans="1:2" ht="18">
      <c r="A10432" s="50" t="s">
        <v>4511</v>
      </c>
      <c r="B10432" s="1" t="s">
        <v>7110</v>
      </c>
    </row>
    <row r="10433" spans="1:2" ht="18">
      <c r="A10433" s="50" t="s">
        <v>4511</v>
      </c>
      <c r="B10433" s="1" t="s">
        <v>7110</v>
      </c>
    </row>
    <row r="10434" spans="1:2" ht="18">
      <c r="A10434" s="50" t="s">
        <v>4512</v>
      </c>
      <c r="B10434" s="1" t="s">
        <v>7110</v>
      </c>
    </row>
    <row r="10435" spans="1:2" ht="18.75">
      <c r="A10435" s="12" t="s">
        <v>6617</v>
      </c>
      <c r="B10435" s="1" t="s">
        <v>7110</v>
      </c>
    </row>
    <row r="10436" spans="1:2" ht="18.75">
      <c r="A10436" s="12" t="s">
        <v>7103</v>
      </c>
      <c r="B10436" s="1" t="s">
        <v>7110</v>
      </c>
    </row>
    <row r="10437" spans="1:2" ht="18.75">
      <c r="A10437" s="12" t="s">
        <v>7104</v>
      </c>
      <c r="B10437" s="1" t="s">
        <v>7110</v>
      </c>
    </row>
    <row r="10438" spans="1:2" ht="18.75">
      <c r="A10438" s="12" t="s">
        <v>7104</v>
      </c>
      <c r="B10438" s="1" t="s">
        <v>7110</v>
      </c>
    </row>
    <row r="10439" spans="1:2" ht="18.75">
      <c r="A10439" s="12" t="s">
        <v>6592</v>
      </c>
      <c r="B10439" s="1" t="s">
        <v>7110</v>
      </c>
    </row>
    <row r="10440" spans="1:2" ht="18.75">
      <c r="A10440" s="12" t="s">
        <v>7105</v>
      </c>
      <c r="B10440" s="1" t="s">
        <v>7110</v>
      </c>
    </row>
    <row r="10441" spans="1:2" ht="18.75">
      <c r="A10441" s="12" t="s">
        <v>7106</v>
      </c>
      <c r="B10441" s="1" t="s">
        <v>7110</v>
      </c>
    </row>
    <row r="10442" spans="1:2" ht="18.75">
      <c r="A10442" s="12" t="s">
        <v>6707</v>
      </c>
      <c r="B10442" s="1" t="s">
        <v>7110</v>
      </c>
    </row>
    <row r="10443" spans="1:2" ht="18.75">
      <c r="A10443" s="12" t="s">
        <v>6643</v>
      </c>
      <c r="B10443" s="1" t="s">
        <v>7110</v>
      </c>
    </row>
    <row r="10444" spans="1:2" ht="18.75">
      <c r="A10444" s="12" t="s">
        <v>6662</v>
      </c>
      <c r="B10444" s="1" t="s">
        <v>7110</v>
      </c>
    </row>
    <row r="10445" spans="1:2" ht="18.75">
      <c r="A10445" s="12" t="s">
        <v>6671</v>
      </c>
      <c r="B10445" s="1" t="s">
        <v>7110</v>
      </c>
    </row>
    <row r="10446" spans="1:2" ht="18.75">
      <c r="A10446" s="12" t="s">
        <v>6671</v>
      </c>
      <c r="B10446" s="1" t="s">
        <v>7110</v>
      </c>
    </row>
    <row r="10447" spans="1:2" ht="18.75">
      <c r="A10447" s="12" t="s">
        <v>7107</v>
      </c>
      <c r="B10447" s="1" t="s">
        <v>7110</v>
      </c>
    </row>
    <row r="10448" spans="1:2" ht="18.75">
      <c r="A10448" s="12" t="s">
        <v>7107</v>
      </c>
      <c r="B10448" s="1" t="s">
        <v>7110</v>
      </c>
    </row>
    <row r="10449" spans="1:2" ht="18.75">
      <c r="A10449" s="12" t="s">
        <v>7107</v>
      </c>
      <c r="B10449" s="1" t="s">
        <v>7110</v>
      </c>
    </row>
    <row r="10450" spans="1:2" ht="18.75">
      <c r="A10450" s="12" t="s">
        <v>6671</v>
      </c>
      <c r="B10450" s="1" t="s">
        <v>7110</v>
      </c>
    </row>
    <row r="10451" spans="1:2" ht="18.75">
      <c r="A10451" s="12" t="s">
        <v>7107</v>
      </c>
      <c r="B10451" s="1" t="s">
        <v>7110</v>
      </c>
    </row>
    <row r="10452" spans="1:2" ht="18.75">
      <c r="A10452" s="12" t="s">
        <v>6696</v>
      </c>
      <c r="B10452" s="1" t="s">
        <v>7110</v>
      </c>
    </row>
    <row r="10453" spans="1:2" ht="18.75">
      <c r="A10453" s="12" t="s">
        <v>6675</v>
      </c>
      <c r="B10453" s="1" t="s">
        <v>7110</v>
      </c>
    </row>
    <row r="10454" spans="1:2" ht="18.75">
      <c r="A10454" s="12" t="s">
        <v>6707</v>
      </c>
      <c r="B10454" s="1" t="s">
        <v>7110</v>
      </c>
    </row>
    <row r="10455" spans="1:2" ht="18.75">
      <c r="A10455" s="12" t="s">
        <v>6707</v>
      </c>
      <c r="B10455" s="1" t="s">
        <v>7110</v>
      </c>
    </row>
    <row r="10456" spans="1:2" ht="18.75">
      <c r="A10456" s="12" t="s">
        <v>7108</v>
      </c>
      <c r="B10456" s="1" t="s">
        <v>7110</v>
      </c>
    </row>
    <row r="10457" spans="1:2" ht="18.75">
      <c r="A10457" s="12" t="s">
        <v>6660</v>
      </c>
      <c r="B10457" s="1" t="s">
        <v>7110</v>
      </c>
    </row>
    <row r="10458" spans="1:2" ht="18.75">
      <c r="A10458" s="12" t="s">
        <v>6592</v>
      </c>
      <c r="B10458" s="1" t="s">
        <v>7110</v>
      </c>
    </row>
    <row r="10459" spans="1:2" ht="18.75">
      <c r="A10459" s="12" t="s">
        <v>7107</v>
      </c>
      <c r="B10459" s="1" t="s">
        <v>7110</v>
      </c>
    </row>
    <row r="10460" spans="1:2" ht="18.75">
      <c r="A10460" s="12" t="s">
        <v>7107</v>
      </c>
      <c r="B10460" s="1" t="s">
        <v>7110</v>
      </c>
    </row>
    <row r="10461" spans="1:2" ht="18.75">
      <c r="A10461" s="12" t="s">
        <v>7107</v>
      </c>
      <c r="B10461" s="1" t="s">
        <v>7110</v>
      </c>
    </row>
    <row r="10462" spans="1:2" ht="18.75">
      <c r="A10462" s="12" t="s">
        <v>7107</v>
      </c>
      <c r="B10462" s="1" t="s">
        <v>7110</v>
      </c>
    </row>
    <row r="10463" spans="1:2" ht="18.75">
      <c r="A10463" s="12" t="s">
        <v>6687</v>
      </c>
      <c r="B10463" s="1" t="s">
        <v>7110</v>
      </c>
    </row>
    <row r="10464" spans="1:2" ht="18.75">
      <c r="A10464" s="12" t="s">
        <v>6687</v>
      </c>
      <c r="B10464" s="1" t="s">
        <v>7110</v>
      </c>
    </row>
    <row r="10465" spans="1:2" ht="18.75">
      <c r="A10465" s="12" t="s">
        <v>6687</v>
      </c>
      <c r="B10465" s="1" t="s">
        <v>7110</v>
      </c>
    </row>
    <row r="10466" spans="1:2" ht="18.75">
      <c r="A10466" s="12" t="s">
        <v>6687</v>
      </c>
      <c r="B10466" s="1" t="s">
        <v>7110</v>
      </c>
    </row>
    <row r="10467" spans="1:2" ht="18.75">
      <c r="A10467" s="12" t="s">
        <v>6687</v>
      </c>
      <c r="B10467" s="1" t="s">
        <v>7110</v>
      </c>
    </row>
    <row r="10468" spans="1:2" ht="18.75">
      <c r="A10468" s="12" t="s">
        <v>7109</v>
      </c>
      <c r="B10468" s="1" t="s">
        <v>7110</v>
      </c>
    </row>
    <row r="10469" spans="1:2" ht="18.75">
      <c r="A10469" s="12" t="s">
        <v>7109</v>
      </c>
      <c r="B10469" s="1" t="s">
        <v>7110</v>
      </c>
    </row>
    <row r="10470" spans="1:2" ht="18.75">
      <c r="A10470" s="12" t="s">
        <v>7109</v>
      </c>
      <c r="B10470" s="1" t="s">
        <v>7110</v>
      </c>
    </row>
    <row r="10471" spans="1:2" ht="18.75">
      <c r="A10471" s="12" t="s">
        <v>7109</v>
      </c>
      <c r="B10471" s="1" t="s">
        <v>7110</v>
      </c>
    </row>
    <row r="10472" spans="1:2" ht="18.75">
      <c r="A10472" s="12" t="s">
        <v>7109</v>
      </c>
      <c r="B10472" s="1" t="s">
        <v>7110</v>
      </c>
    </row>
    <row r="10473" spans="1:2" ht="18.75">
      <c r="A10473" s="12" t="s">
        <v>6707</v>
      </c>
      <c r="B10473" s="1" t="s">
        <v>7110</v>
      </c>
    </row>
    <row r="10474" spans="1:2" ht="18.75">
      <c r="A10474" s="12" t="s">
        <v>6616</v>
      </c>
      <c r="B10474" s="1" t="s">
        <v>7110</v>
      </c>
    </row>
    <row r="10475" spans="1:2" ht="18.75">
      <c r="A10475" s="12" t="s">
        <v>6620</v>
      </c>
      <c r="B10475" s="1" t="s">
        <v>7110</v>
      </c>
    </row>
    <row r="10476" spans="1:2" ht="18.75">
      <c r="A10476" s="12" t="s">
        <v>6671</v>
      </c>
      <c r="B10476" s="1" t="s">
        <v>7110</v>
      </c>
    </row>
    <row r="10477" spans="1:2" ht="18.75">
      <c r="A10477" s="12" t="s">
        <v>6678</v>
      </c>
      <c r="B10477" s="1" t="s">
        <v>7110</v>
      </c>
    </row>
    <row r="10478" spans="1:2" ht="18.75">
      <c r="A10478" s="12" t="s">
        <v>6689</v>
      </c>
      <c r="B10478" s="1" t="s">
        <v>7110</v>
      </c>
    </row>
    <row r="10479" spans="1:2" ht="18.75">
      <c r="A10479" s="12" t="s">
        <v>6642</v>
      </c>
      <c r="B10479" s="1" t="s">
        <v>7110</v>
      </c>
    </row>
    <row r="10480" spans="1:2" ht="18">
      <c r="A10480" s="50" t="s">
        <v>4272</v>
      </c>
      <c r="B10480" s="1" t="s">
        <v>7110</v>
      </c>
    </row>
    <row r="10481" spans="1:2" ht="18">
      <c r="A10481" s="50" t="s">
        <v>4274</v>
      </c>
      <c r="B10481" s="1" t="s">
        <v>7110</v>
      </c>
    </row>
    <row r="10482" spans="1:2" ht="18">
      <c r="A10482" s="50" t="s">
        <v>4274</v>
      </c>
      <c r="B10482" s="1" t="s">
        <v>7110</v>
      </c>
    </row>
    <row r="10483" spans="1:2" ht="18">
      <c r="A10483" s="50" t="s">
        <v>4272</v>
      </c>
      <c r="B10483" s="1" t="s">
        <v>7110</v>
      </c>
    </row>
    <row r="10484" spans="1:2" ht="18">
      <c r="A10484" s="50" t="s">
        <v>4272</v>
      </c>
      <c r="B10484" s="1" t="s">
        <v>7110</v>
      </c>
    </row>
    <row r="10485" spans="1:2" ht="18">
      <c r="A10485" s="50" t="s">
        <v>4274</v>
      </c>
      <c r="B10485" s="1" t="s">
        <v>7110</v>
      </c>
    </row>
    <row r="10486" spans="1:2" ht="18">
      <c r="A10486" s="50" t="s">
        <v>4274</v>
      </c>
      <c r="B10486" s="1" t="s">
        <v>7110</v>
      </c>
    </row>
    <row r="10487" spans="1:2" ht="18">
      <c r="A10487" s="50" t="s">
        <v>4274</v>
      </c>
      <c r="B10487" s="1" t="s">
        <v>7110</v>
      </c>
    </row>
    <row r="10488" spans="1:2" ht="18">
      <c r="A10488" s="50" t="s">
        <v>4272</v>
      </c>
      <c r="B10488" s="1" t="s">
        <v>7110</v>
      </c>
    </row>
    <row r="10489" spans="1:2" ht="18">
      <c r="A10489" s="50" t="s">
        <v>4272</v>
      </c>
      <c r="B10489" s="1" t="s">
        <v>7110</v>
      </c>
    </row>
    <row r="10490" spans="1:2">
      <c r="A10490" s="101" t="s">
        <v>4233</v>
      </c>
      <c r="B10490" s="1" t="s">
        <v>7110</v>
      </c>
    </row>
    <row r="10491" spans="1:2" ht="18">
      <c r="A10491" s="50" t="s">
        <v>4684</v>
      </c>
      <c r="B10491" s="1" t="s">
        <v>7110</v>
      </c>
    </row>
    <row r="10492" spans="1:2" ht="18.75">
      <c r="A10492" s="12" t="s">
        <v>231</v>
      </c>
      <c r="B10492" s="1" t="s">
        <v>7110</v>
      </c>
    </row>
    <row r="10493" spans="1:2" ht="18.75">
      <c r="A10493" s="12" t="s">
        <v>254</v>
      </c>
      <c r="B10493" s="1" t="s">
        <v>7110</v>
      </c>
    </row>
    <row r="10494" spans="1:2" ht="18.75">
      <c r="A10494" s="12" t="s">
        <v>254</v>
      </c>
      <c r="B10494" s="1" t="s">
        <v>7110</v>
      </c>
    </row>
    <row r="10495" spans="1:2" ht="18.75">
      <c r="A10495" s="12" t="s">
        <v>254</v>
      </c>
      <c r="B10495" s="1" t="s">
        <v>7110</v>
      </c>
    </row>
    <row r="10496" spans="1:2" ht="18.75">
      <c r="A10496" s="12" t="s">
        <v>113</v>
      </c>
      <c r="B10496" s="1" t="s">
        <v>7110</v>
      </c>
    </row>
    <row r="10497" spans="1:2" ht="18.75">
      <c r="A10497" s="12" t="s">
        <v>113</v>
      </c>
      <c r="B10497" s="1" t="s">
        <v>7110</v>
      </c>
    </row>
    <row r="10498" spans="1:2" ht="18.75">
      <c r="A10498" s="12" t="s">
        <v>113</v>
      </c>
      <c r="B10498" s="1" t="s">
        <v>7110</v>
      </c>
    </row>
    <row r="10499" spans="1:2" ht="18.75">
      <c r="A10499" s="12" t="s">
        <v>113</v>
      </c>
      <c r="B10499" s="1" t="s">
        <v>7110</v>
      </c>
    </row>
    <row r="10500" spans="1:2" ht="18.75">
      <c r="A10500" s="12" t="s">
        <v>113</v>
      </c>
      <c r="B10500" s="1" t="s">
        <v>7110</v>
      </c>
    </row>
    <row r="10501" spans="1:2" ht="18.75">
      <c r="A10501" s="12" t="s">
        <v>113</v>
      </c>
      <c r="B10501" s="1" t="s">
        <v>7110</v>
      </c>
    </row>
    <row r="10502" spans="1:2" ht="18.75">
      <c r="A10502" s="12" t="s">
        <v>113</v>
      </c>
      <c r="B10502" s="1" t="s">
        <v>7110</v>
      </c>
    </row>
    <row r="10503" spans="1:2" ht="18.75">
      <c r="A10503" s="12" t="s">
        <v>113</v>
      </c>
      <c r="B10503" s="1" t="s">
        <v>7110</v>
      </c>
    </row>
    <row r="10504" spans="1:2" ht="18.75">
      <c r="A10504" s="12" t="s">
        <v>113</v>
      </c>
      <c r="B10504" s="1" t="s">
        <v>7110</v>
      </c>
    </row>
    <row r="10505" spans="1:2" ht="18.75">
      <c r="A10505" s="12" t="s">
        <v>114</v>
      </c>
      <c r="B10505" s="1" t="s">
        <v>7110</v>
      </c>
    </row>
    <row r="10506" spans="1:2" ht="18.75">
      <c r="A10506" s="12" t="s">
        <v>114</v>
      </c>
      <c r="B10506" s="1" t="s">
        <v>7110</v>
      </c>
    </row>
    <row r="10507" spans="1:2" ht="18.75">
      <c r="A10507" s="12" t="s">
        <v>114</v>
      </c>
      <c r="B10507" s="1" t="s">
        <v>7110</v>
      </c>
    </row>
    <row r="10508" spans="1:2" ht="18.75">
      <c r="A10508" s="12" t="s">
        <v>114</v>
      </c>
      <c r="B10508" s="1" t="s">
        <v>7110</v>
      </c>
    </row>
    <row r="10509" spans="1:2" ht="18.75">
      <c r="A10509" s="12" t="s">
        <v>114</v>
      </c>
      <c r="B10509" s="1" t="s">
        <v>7110</v>
      </c>
    </row>
    <row r="10510" spans="1:2" ht="18.75">
      <c r="A10510" s="12" t="s">
        <v>114</v>
      </c>
      <c r="B10510" s="1" t="s">
        <v>7110</v>
      </c>
    </row>
    <row r="10511" spans="1:2" ht="18.75">
      <c r="A10511" s="12" t="s">
        <v>114</v>
      </c>
      <c r="B10511" s="1" t="s">
        <v>7110</v>
      </c>
    </row>
    <row r="10512" spans="1:2" ht="18">
      <c r="A10512" s="93" t="s">
        <v>866</v>
      </c>
      <c r="B10512" s="1" t="s">
        <v>7110</v>
      </c>
    </row>
    <row r="10513" spans="1:2" ht="18">
      <c r="A10513" s="93" t="s">
        <v>866</v>
      </c>
      <c r="B10513" s="1" t="s">
        <v>7110</v>
      </c>
    </row>
    <row r="10514" spans="1:2" ht="18">
      <c r="A10514" s="93" t="s">
        <v>879</v>
      </c>
      <c r="B10514" s="1" t="s">
        <v>7110</v>
      </c>
    </row>
    <row r="10515" spans="1:2" ht="18">
      <c r="A10515" s="93" t="s">
        <v>879</v>
      </c>
      <c r="B10515" s="1" t="s">
        <v>7110</v>
      </c>
    </row>
    <row r="10516" spans="1:2" ht="18.75">
      <c r="A10516" s="12" t="s">
        <v>743</v>
      </c>
      <c r="B10516" s="1" t="s">
        <v>7110</v>
      </c>
    </row>
    <row r="10517" spans="1:2" ht="18">
      <c r="A10517" s="93" t="s">
        <v>743</v>
      </c>
      <c r="B10517" s="1" t="s">
        <v>7110</v>
      </c>
    </row>
    <row r="10518" spans="1:2" ht="18">
      <c r="A10518" s="93" t="s">
        <v>873</v>
      </c>
      <c r="B10518" s="1" t="s">
        <v>7110</v>
      </c>
    </row>
    <row r="10519" spans="1:2" ht="18">
      <c r="A10519" s="93" t="s">
        <v>873</v>
      </c>
      <c r="B10519" s="1" t="s">
        <v>7110</v>
      </c>
    </row>
    <row r="10520" spans="1:2" ht="18">
      <c r="A10520" s="93" t="s">
        <v>827</v>
      </c>
      <c r="B10520" s="1" t="s">
        <v>7110</v>
      </c>
    </row>
    <row r="10521" spans="1:2" ht="18.75">
      <c r="A10521" s="12" t="s">
        <v>1124</v>
      </c>
      <c r="B10521" s="1" t="s">
        <v>7110</v>
      </c>
    </row>
    <row r="10522" spans="1:2" ht="18.75">
      <c r="A10522" s="12" t="s">
        <v>1124</v>
      </c>
      <c r="B10522" s="1" t="s">
        <v>7110</v>
      </c>
    </row>
    <row r="10523" spans="1:2" ht="18.75">
      <c r="A10523" s="12" t="s">
        <v>1124</v>
      </c>
      <c r="B10523" s="1" t="s">
        <v>7110</v>
      </c>
    </row>
    <row r="10524" spans="1:2" ht="18.75">
      <c r="A10524" s="12" t="s">
        <v>1287</v>
      </c>
      <c r="B10524" s="1" t="s">
        <v>7110</v>
      </c>
    </row>
    <row r="10525" spans="1:2" ht="18.75">
      <c r="A10525" s="12" t="s">
        <v>1287</v>
      </c>
      <c r="B10525" s="1" t="s">
        <v>7110</v>
      </c>
    </row>
    <row r="10526" spans="1:2" ht="18.75">
      <c r="A10526" s="12" t="s">
        <v>1339</v>
      </c>
      <c r="B10526" s="1" t="s">
        <v>7110</v>
      </c>
    </row>
    <row r="10527" spans="1:2" ht="18.75">
      <c r="A10527" s="12" t="s">
        <v>421</v>
      </c>
      <c r="B10527" s="1" t="s">
        <v>7110</v>
      </c>
    </row>
    <row r="10528" spans="1:2" ht="18.75">
      <c r="A10528" s="12" t="s">
        <v>423</v>
      </c>
      <c r="B10528" s="1" t="s">
        <v>7110</v>
      </c>
    </row>
    <row r="10529" spans="1:2" ht="18.75">
      <c r="A10529" s="12" t="s">
        <v>423</v>
      </c>
      <c r="B10529" s="1" t="s">
        <v>7110</v>
      </c>
    </row>
    <row r="10530" spans="1:2" ht="18.75">
      <c r="A10530" s="12" t="s">
        <v>425</v>
      </c>
      <c r="B10530" s="1" t="s">
        <v>7110</v>
      </c>
    </row>
    <row r="10531" spans="1:2" ht="18.75">
      <c r="A10531" s="12" t="s">
        <v>500</v>
      </c>
      <c r="B10531" s="1" t="s">
        <v>7110</v>
      </c>
    </row>
    <row r="10532" spans="1:2" ht="18.75">
      <c r="A10532" s="12" t="s">
        <v>426</v>
      </c>
      <c r="B10532" s="1" t="s">
        <v>7110</v>
      </c>
    </row>
    <row r="10533" spans="1:2" ht="18.75">
      <c r="A10533" s="12" t="s">
        <v>427</v>
      </c>
      <c r="B10533" s="1" t="s">
        <v>7110</v>
      </c>
    </row>
    <row r="10534" spans="1:2" ht="18.75">
      <c r="A10534" s="12" t="s">
        <v>432</v>
      </c>
      <c r="B10534" s="1" t="s">
        <v>7110</v>
      </c>
    </row>
    <row r="10535" spans="1:2" ht="18.75">
      <c r="A10535" s="12" t="s">
        <v>431</v>
      </c>
      <c r="B10535" s="1" t="s">
        <v>7110</v>
      </c>
    </row>
    <row r="10536" spans="1:2" ht="18.75">
      <c r="A10536" s="12" t="s">
        <v>428</v>
      </c>
      <c r="B10536" s="1" t="s">
        <v>7110</v>
      </c>
    </row>
    <row r="10537" spans="1:2" ht="18.75">
      <c r="A10537" s="12" t="s">
        <v>461</v>
      </c>
      <c r="B10537" s="1" t="s">
        <v>7110</v>
      </c>
    </row>
    <row r="10538" spans="1:2" ht="18.75">
      <c r="A10538" s="12" t="s">
        <v>461</v>
      </c>
      <c r="B10538" s="1" t="s">
        <v>7110</v>
      </c>
    </row>
    <row r="10539" spans="1:2" ht="18.75">
      <c r="A10539" s="12" t="s">
        <v>461</v>
      </c>
      <c r="B10539" s="1" t="s">
        <v>7110</v>
      </c>
    </row>
    <row r="10540" spans="1:2" ht="18.75">
      <c r="A10540" s="12" t="s">
        <v>461</v>
      </c>
      <c r="B10540" s="1" t="s">
        <v>7110</v>
      </c>
    </row>
    <row r="10541" spans="1:2" ht="18.75">
      <c r="A10541" s="12" t="s">
        <v>461</v>
      </c>
      <c r="B10541" s="1" t="s">
        <v>7110</v>
      </c>
    </row>
    <row r="10542" spans="1:2" ht="18.75">
      <c r="A10542" s="12" t="s">
        <v>461</v>
      </c>
      <c r="B10542" s="1" t="s">
        <v>7110</v>
      </c>
    </row>
    <row r="10543" spans="1:2" ht="18.75">
      <c r="A10543" s="12" t="s">
        <v>462</v>
      </c>
      <c r="B10543" s="1" t="s">
        <v>7110</v>
      </c>
    </row>
    <row r="10544" spans="1:2" ht="18.75">
      <c r="A10544" s="12" t="s">
        <v>462</v>
      </c>
      <c r="B10544" s="1" t="s">
        <v>7110</v>
      </c>
    </row>
    <row r="10545" spans="1:2" ht="18.75">
      <c r="A10545" s="12" t="s">
        <v>462</v>
      </c>
      <c r="B10545" s="1" t="s">
        <v>7110</v>
      </c>
    </row>
    <row r="10546" spans="1:2" ht="18.75">
      <c r="A10546" s="12" t="s">
        <v>462</v>
      </c>
      <c r="B10546" s="1" t="s">
        <v>7110</v>
      </c>
    </row>
    <row r="10547" spans="1:2" ht="18.75">
      <c r="A10547" s="12" t="s">
        <v>462</v>
      </c>
      <c r="B10547" s="1" t="s">
        <v>7110</v>
      </c>
    </row>
    <row r="10548" spans="1:2" ht="18.75">
      <c r="A10548" s="12" t="s">
        <v>462</v>
      </c>
      <c r="B10548" s="1" t="s">
        <v>7110</v>
      </c>
    </row>
    <row r="10549" spans="1:2" ht="18.75">
      <c r="A10549" s="12" t="s">
        <v>464</v>
      </c>
      <c r="B10549" s="1" t="s">
        <v>7110</v>
      </c>
    </row>
    <row r="10550" spans="1:2" ht="18.75">
      <c r="A10550" s="12" t="s">
        <v>464</v>
      </c>
      <c r="B10550" s="1" t="s">
        <v>7110</v>
      </c>
    </row>
    <row r="10551" spans="1:2" ht="18.75">
      <c r="A10551" s="12" t="s">
        <v>464</v>
      </c>
      <c r="B10551" s="1" t="s">
        <v>7110</v>
      </c>
    </row>
    <row r="10552" spans="1:2" ht="18.75">
      <c r="A10552" s="12" t="s">
        <v>468</v>
      </c>
      <c r="B10552" s="1" t="s">
        <v>7110</v>
      </c>
    </row>
    <row r="10553" spans="1:2" ht="18.75">
      <c r="A10553" s="12" t="s">
        <v>468</v>
      </c>
      <c r="B10553" s="1" t="s">
        <v>7110</v>
      </c>
    </row>
    <row r="10554" spans="1:2" ht="18.75">
      <c r="A10554" s="12" t="s">
        <v>468</v>
      </c>
      <c r="B10554" s="1" t="s">
        <v>7110</v>
      </c>
    </row>
    <row r="10555" spans="1:2" ht="18.75">
      <c r="A10555" s="12" t="s">
        <v>468</v>
      </c>
      <c r="B10555" s="1" t="s">
        <v>7110</v>
      </c>
    </row>
    <row r="10556" spans="1:2" ht="18.75">
      <c r="A10556" s="12" t="s">
        <v>412</v>
      </c>
      <c r="B10556" s="1" t="s">
        <v>7110</v>
      </c>
    </row>
    <row r="10557" spans="1:2" ht="18.75">
      <c r="A10557" s="12" t="s">
        <v>412</v>
      </c>
      <c r="B10557" s="1" t="s">
        <v>7110</v>
      </c>
    </row>
    <row r="10558" spans="1:2" ht="18.75">
      <c r="A10558" s="12" t="s">
        <v>412</v>
      </c>
      <c r="B10558" s="1" t="s">
        <v>7110</v>
      </c>
    </row>
    <row r="10559" spans="1:2" ht="18.75">
      <c r="A10559" s="12" t="s">
        <v>412</v>
      </c>
      <c r="B10559" s="1" t="s">
        <v>7110</v>
      </c>
    </row>
    <row r="10560" spans="1:2" ht="18.75">
      <c r="A10560" s="12" t="s">
        <v>412</v>
      </c>
      <c r="B10560" s="1" t="s">
        <v>7110</v>
      </c>
    </row>
    <row r="10561" spans="1:2" ht="18.75">
      <c r="A10561" s="12" t="s">
        <v>412</v>
      </c>
      <c r="B10561" s="1" t="s">
        <v>7110</v>
      </c>
    </row>
    <row r="10562" spans="1:2" ht="18.75">
      <c r="A10562" s="12" t="s">
        <v>412</v>
      </c>
      <c r="B10562" s="1" t="s">
        <v>7110</v>
      </c>
    </row>
    <row r="10563" spans="1:2" ht="18.75">
      <c r="A10563" s="12" t="s">
        <v>412</v>
      </c>
      <c r="B10563" s="1" t="s">
        <v>7110</v>
      </c>
    </row>
    <row r="10564" spans="1:2" ht="18.75">
      <c r="A10564" s="12" t="s">
        <v>469</v>
      </c>
      <c r="B10564" s="1" t="s">
        <v>7110</v>
      </c>
    </row>
    <row r="10565" spans="1:2" ht="18.75">
      <c r="A10565" s="12" t="s">
        <v>469</v>
      </c>
      <c r="B10565" s="1" t="s">
        <v>7110</v>
      </c>
    </row>
    <row r="10566" spans="1:2" ht="18.75">
      <c r="A10566" s="12" t="s">
        <v>469</v>
      </c>
      <c r="B10566" s="1" t="s">
        <v>7110</v>
      </c>
    </row>
    <row r="10567" spans="1:2" ht="18.75">
      <c r="A10567" s="12" t="s">
        <v>469</v>
      </c>
      <c r="B10567" s="1" t="s">
        <v>7110</v>
      </c>
    </row>
    <row r="10568" spans="1:2" ht="18.75">
      <c r="A10568" s="12" t="s">
        <v>469</v>
      </c>
      <c r="B10568" s="1" t="s">
        <v>7110</v>
      </c>
    </row>
    <row r="10569" spans="1:2" ht="18.75">
      <c r="A10569" s="12" t="s">
        <v>469</v>
      </c>
      <c r="B10569" s="1" t="s">
        <v>7110</v>
      </c>
    </row>
    <row r="10570" spans="1:2" ht="18.75">
      <c r="A10570" s="12" t="s">
        <v>204</v>
      </c>
      <c r="B10570" s="1" t="s">
        <v>7110</v>
      </c>
    </row>
    <row r="10571" spans="1:2" ht="18.75">
      <c r="A10571" s="12" t="s">
        <v>203</v>
      </c>
      <c r="B10571" s="1" t="s">
        <v>7110</v>
      </c>
    </row>
    <row r="10572" spans="1:2" ht="18.75">
      <c r="A10572" s="12" t="s">
        <v>203</v>
      </c>
      <c r="B10572" s="1" t="s">
        <v>7110</v>
      </c>
    </row>
    <row r="10573" spans="1:2" ht="18.75">
      <c r="A10573" s="12" t="s">
        <v>203</v>
      </c>
      <c r="B10573" s="1" t="s">
        <v>7110</v>
      </c>
    </row>
    <row r="10574" spans="1:2" ht="18.75">
      <c r="A10574" s="12" t="s">
        <v>203</v>
      </c>
      <c r="B10574" s="1" t="s">
        <v>7110</v>
      </c>
    </row>
    <row r="10575" spans="1:2" ht="18.75">
      <c r="A10575" s="12" t="s">
        <v>203</v>
      </c>
      <c r="B10575" s="1" t="s">
        <v>7110</v>
      </c>
    </row>
    <row r="10576" spans="1:2" ht="18.75">
      <c r="A10576" s="12" t="s">
        <v>28</v>
      </c>
      <c r="B10576" s="1" t="s">
        <v>7110</v>
      </c>
    </row>
    <row r="10577" spans="1:2" ht="18.75">
      <c r="A10577" s="12" t="s">
        <v>28</v>
      </c>
      <c r="B10577" s="1" t="s">
        <v>7110</v>
      </c>
    </row>
    <row r="10578" spans="1:2" ht="18.75">
      <c r="A10578" s="12" t="s">
        <v>28</v>
      </c>
      <c r="B10578" s="1" t="s">
        <v>7110</v>
      </c>
    </row>
    <row r="10579" spans="1:2" ht="18.75">
      <c r="A10579" s="12" t="s">
        <v>360</v>
      </c>
      <c r="B10579" s="1" t="s">
        <v>7110</v>
      </c>
    </row>
    <row r="10580" spans="1:2" ht="18.75">
      <c r="A10580" s="12" t="s">
        <v>361</v>
      </c>
      <c r="B10580" s="1" t="s">
        <v>7110</v>
      </c>
    </row>
    <row r="10581" spans="1:2" ht="18.75">
      <c r="A10581" s="12" t="s">
        <v>356</v>
      </c>
      <c r="B10581" s="1" t="s">
        <v>7110</v>
      </c>
    </row>
    <row r="10582" spans="1:2" ht="18.75">
      <c r="A10582" s="12" t="s">
        <v>357</v>
      </c>
      <c r="B10582" s="1" t="s">
        <v>7110</v>
      </c>
    </row>
    <row r="10583" spans="1:2" ht="18.75">
      <c r="A10583" s="12" t="s">
        <v>355</v>
      </c>
      <c r="B10583" s="1" t="s">
        <v>7110</v>
      </c>
    </row>
    <row r="10584" spans="1:2" ht="18.75">
      <c r="A10584" s="12" t="s">
        <v>228</v>
      </c>
      <c r="B10584" s="1" t="s">
        <v>7110</v>
      </c>
    </row>
    <row r="10585" spans="1:2" ht="18.75">
      <c r="A10585" s="12" t="s">
        <v>228</v>
      </c>
      <c r="B10585" s="1" t="s">
        <v>7110</v>
      </c>
    </row>
    <row r="10586" spans="1:2" ht="18.75">
      <c r="A10586" s="12" t="s">
        <v>228</v>
      </c>
      <c r="B10586" s="1" t="s">
        <v>7110</v>
      </c>
    </row>
    <row r="10587" spans="1:2" ht="18.75">
      <c r="A10587" s="12" t="s">
        <v>359</v>
      </c>
      <c r="B10587" s="1" t="s">
        <v>7110</v>
      </c>
    </row>
    <row r="10588" spans="1:2" ht="18.75">
      <c r="A10588" s="12" t="s">
        <v>352</v>
      </c>
      <c r="B10588" s="1" t="s">
        <v>7110</v>
      </c>
    </row>
    <row r="10589" spans="1:2" ht="18.75">
      <c r="A10589" s="12" t="s">
        <v>231</v>
      </c>
      <c r="B10589" s="1" t="s">
        <v>7110</v>
      </c>
    </row>
    <row r="10590" spans="1:2" ht="18.75">
      <c r="A10590" s="12" t="s">
        <v>231</v>
      </c>
      <c r="B10590" s="1" t="s">
        <v>7110</v>
      </c>
    </row>
    <row r="10591" spans="1:2" ht="18.75">
      <c r="A10591" s="12" t="s">
        <v>353</v>
      </c>
      <c r="B10591" s="1" t="s">
        <v>7110</v>
      </c>
    </row>
    <row r="10592" spans="1:2" ht="18">
      <c r="A10592" s="50" t="s">
        <v>4726</v>
      </c>
      <c r="B10592" s="1" t="s">
        <v>7110</v>
      </c>
    </row>
    <row r="10593" spans="1:2" ht="18">
      <c r="A10593" s="50" t="s">
        <v>4737</v>
      </c>
      <c r="B10593" s="1" t="s">
        <v>7110</v>
      </c>
    </row>
    <row r="10594" spans="1:2" ht="18">
      <c r="A10594" s="50" t="s">
        <v>4736</v>
      </c>
      <c r="B10594" s="1" t="s">
        <v>7110</v>
      </c>
    </row>
    <row r="10595" spans="1:2" ht="18">
      <c r="A10595" s="50" t="s">
        <v>4734</v>
      </c>
      <c r="B10595" s="1" t="s">
        <v>7110</v>
      </c>
    </row>
    <row r="10596" spans="1:2" ht="18">
      <c r="A10596" s="50" t="s">
        <v>4734</v>
      </c>
      <c r="B10596" s="1" t="s">
        <v>7110</v>
      </c>
    </row>
    <row r="10597" spans="1:2" ht="18">
      <c r="A10597" s="50" t="s">
        <v>4735</v>
      </c>
      <c r="B10597" s="1" t="s">
        <v>7110</v>
      </c>
    </row>
    <row r="10598" spans="1:2" ht="18">
      <c r="A10598" s="50" t="s">
        <v>4736</v>
      </c>
      <c r="B10598" s="1" t="s">
        <v>7110</v>
      </c>
    </row>
    <row r="10599" spans="1:2" ht="18">
      <c r="A10599" s="50" t="s">
        <v>4737</v>
      </c>
      <c r="B10599" s="1" t="s">
        <v>7110</v>
      </c>
    </row>
    <row r="10600" spans="1:2">
      <c r="A10600" s="1" t="s">
        <v>4605</v>
      </c>
      <c r="B10600" s="1" t="s">
        <v>7110</v>
      </c>
    </row>
    <row r="10601" spans="1:2">
      <c r="A10601" s="1" t="s">
        <v>4692</v>
      </c>
      <c r="B10601" s="1" t="s">
        <v>7110</v>
      </c>
    </row>
    <row r="10602" spans="1:2">
      <c r="A10602" s="1" t="s">
        <v>4693</v>
      </c>
      <c r="B10602" s="1" t="s">
        <v>7110</v>
      </c>
    </row>
    <row r="10603" spans="1:2">
      <c r="A10603" s="1" t="s">
        <v>4739</v>
      </c>
      <c r="B10603" s="1" t="s">
        <v>7110</v>
      </c>
    </row>
    <row r="10604" spans="1:2" ht="18">
      <c r="A10604" s="50" t="s">
        <v>4674</v>
      </c>
      <c r="B10604" s="1" t="s">
        <v>7110</v>
      </c>
    </row>
    <row r="10605" spans="1:2" ht="18">
      <c r="A10605" s="50" t="s">
        <v>4675</v>
      </c>
      <c r="B10605" s="1" t="s">
        <v>7110</v>
      </c>
    </row>
    <row r="10606" spans="1:2" ht="18">
      <c r="A10606" s="50" t="s">
        <v>4675</v>
      </c>
      <c r="B10606" s="1" t="s">
        <v>7110</v>
      </c>
    </row>
    <row r="10607" spans="1:2" ht="18">
      <c r="A10607" s="50" t="s">
        <v>4681</v>
      </c>
      <c r="B10607" s="1" t="s">
        <v>7110</v>
      </c>
    </row>
    <row r="10608" spans="1:2" ht="18">
      <c r="A10608" s="50" t="s">
        <v>4674</v>
      </c>
      <c r="B10608" s="1" t="s">
        <v>7110</v>
      </c>
    </row>
    <row r="10609" spans="1:2" ht="18">
      <c r="A10609" s="79" t="s">
        <v>4231</v>
      </c>
      <c r="B10609" s="1" t="s">
        <v>7110</v>
      </c>
    </row>
    <row r="10610" spans="1:2" ht="18">
      <c r="A10610" s="79" t="s">
        <v>4231</v>
      </c>
      <c r="B10610" s="1" t="s">
        <v>7110</v>
      </c>
    </row>
    <row r="10611" spans="1:2" ht="18">
      <c r="A10611" s="79" t="s">
        <v>4231</v>
      </c>
      <c r="B10611" s="1" t="s">
        <v>7110</v>
      </c>
    </row>
    <row r="10612" spans="1:2" ht="18">
      <c r="A10612" s="79" t="s">
        <v>4231</v>
      </c>
      <c r="B10612" s="1" t="s">
        <v>7110</v>
      </c>
    </row>
    <row r="10613" spans="1:2" ht="18">
      <c r="A10613" s="79" t="s">
        <v>4231</v>
      </c>
      <c r="B10613" s="1" t="s">
        <v>7110</v>
      </c>
    </row>
    <row r="10614" spans="1:2" ht="18">
      <c r="A10614" s="79" t="s">
        <v>4231</v>
      </c>
      <c r="B10614" s="1" t="s">
        <v>7110</v>
      </c>
    </row>
    <row r="10615" spans="1:2" ht="18">
      <c r="A10615" s="79" t="s">
        <v>4231</v>
      </c>
      <c r="B10615" s="1" t="s">
        <v>7110</v>
      </c>
    </row>
    <row r="10616" spans="1:2" ht="18.75">
      <c r="A10616" s="81" t="s">
        <v>4231</v>
      </c>
      <c r="B10616" s="1" t="s">
        <v>7110</v>
      </c>
    </row>
    <row r="10617" spans="1:2" ht="18">
      <c r="A10617" s="91" t="s">
        <v>4231</v>
      </c>
      <c r="B10617" s="1" t="s">
        <v>7110</v>
      </c>
    </row>
    <row r="10618" spans="1:2" ht="18">
      <c r="A10618" s="91" t="s">
        <v>4231</v>
      </c>
      <c r="B10618" s="1" t="s">
        <v>7110</v>
      </c>
    </row>
    <row r="10619" spans="1:2" ht="18">
      <c r="A10619" s="91" t="s">
        <v>4231</v>
      </c>
      <c r="B10619" s="1" t="s">
        <v>7110</v>
      </c>
    </row>
    <row r="10620" spans="1:2" ht="18">
      <c r="A10620" s="92" t="s">
        <v>4231</v>
      </c>
      <c r="B10620" s="1" t="s">
        <v>7110</v>
      </c>
    </row>
    <row r="10621" spans="1:2" ht="18.75">
      <c r="A10621" s="12" t="s">
        <v>3945</v>
      </c>
      <c r="B10621" s="1" t="s">
        <v>7110</v>
      </c>
    </row>
    <row r="10622" spans="1:2" ht="18.75">
      <c r="A10622" s="12" t="s">
        <v>4210</v>
      </c>
      <c r="B10622" s="1" t="s">
        <v>7110</v>
      </c>
    </row>
    <row r="10623" spans="1:2" ht="18.75">
      <c r="A10623" s="12" t="s">
        <v>4228</v>
      </c>
      <c r="B10623" s="1" t="s">
        <v>7110</v>
      </c>
    </row>
    <row r="10624" spans="1:2" ht="18.75">
      <c r="A10624" s="12" t="s">
        <v>4248</v>
      </c>
      <c r="B10624" s="1" t="s">
        <v>7110</v>
      </c>
    </row>
    <row r="10625" spans="1:2" ht="18.75">
      <c r="A10625" s="12" t="s">
        <v>4248</v>
      </c>
      <c r="B10625" s="1" t="s">
        <v>7110</v>
      </c>
    </row>
    <row r="10626" spans="1:2" ht="18.75">
      <c r="A10626" s="12" t="s">
        <v>4461</v>
      </c>
      <c r="B10626" s="1" t="s">
        <v>7110</v>
      </c>
    </row>
    <row r="10627" spans="1:2" ht="18.75">
      <c r="A10627" s="12" t="s">
        <v>4467</v>
      </c>
      <c r="B10627" s="1" t="s">
        <v>7110</v>
      </c>
    </row>
    <row r="10628" spans="1:2" ht="18.75">
      <c r="A10628" s="12" t="s">
        <v>4479</v>
      </c>
      <c r="B10628" s="1" t="s">
        <v>7110</v>
      </c>
    </row>
    <row r="10629" spans="1:2" ht="18.75">
      <c r="A10629" s="12" t="s">
        <v>4467</v>
      </c>
      <c r="B10629" s="1" t="s">
        <v>7110</v>
      </c>
    </row>
    <row r="10630" spans="1:2" ht="18.75">
      <c r="A10630" s="12" t="s">
        <v>4484</v>
      </c>
      <c r="B10630" s="1" t="s">
        <v>7110</v>
      </c>
    </row>
    <row r="10631" spans="1:2" ht="18.75">
      <c r="A10631" s="12" t="s">
        <v>4495</v>
      </c>
      <c r="B10631" s="1" t="s">
        <v>7110</v>
      </c>
    </row>
    <row r="10632" spans="1:2" ht="18.75">
      <c r="A10632" s="12" t="s">
        <v>4461</v>
      </c>
      <c r="B10632" s="1" t="s">
        <v>7110</v>
      </c>
    </row>
    <row r="10633" spans="1:2" ht="18.75">
      <c r="A10633" s="12" t="s">
        <v>4467</v>
      </c>
      <c r="B10633" s="1" t="s">
        <v>7110</v>
      </c>
    </row>
    <row r="10634" spans="1:2" ht="18.75">
      <c r="A10634" s="12" t="s">
        <v>4248</v>
      </c>
      <c r="B10634" s="1" t="s">
        <v>7110</v>
      </c>
    </row>
    <row r="10635" spans="1:2" ht="18.75">
      <c r="A10635" s="12" t="s">
        <v>4495</v>
      </c>
      <c r="B10635" s="1" t="s">
        <v>7110</v>
      </c>
    </row>
    <row r="10636" spans="1:2" ht="18.75">
      <c r="A10636" s="12" t="s">
        <v>4461</v>
      </c>
      <c r="B10636" s="1" t="s">
        <v>7110</v>
      </c>
    </row>
    <row r="10637" spans="1:2" ht="18.75">
      <c r="A10637" s="12" t="s">
        <v>4691</v>
      </c>
      <c r="B10637" s="1" t="s">
        <v>7110</v>
      </c>
    </row>
    <row r="10638" spans="1:2" ht="18.75">
      <c r="A10638" s="12" t="s">
        <v>4694</v>
      </c>
      <c r="B10638" s="1" t="s">
        <v>7110</v>
      </c>
    </row>
    <row r="10639" spans="1:2" ht="18.75">
      <c r="A10639" s="12" t="s">
        <v>4691</v>
      </c>
      <c r="B10639" s="1" t="s">
        <v>7110</v>
      </c>
    </row>
    <row r="10640" spans="1:2" ht="18.75">
      <c r="A10640" s="102" t="s">
        <v>4903</v>
      </c>
      <c r="B10640" s="1" t="s">
        <v>7110</v>
      </c>
    </row>
    <row r="10641" spans="1:2" ht="18.75">
      <c r="A10641" s="102" t="s">
        <v>4903</v>
      </c>
      <c r="B10641" s="1" t="s">
        <v>7110</v>
      </c>
    </row>
    <row r="10642" spans="1:2" ht="18.75">
      <c r="A10642" s="102" t="s">
        <v>4918</v>
      </c>
      <c r="B10642" s="1" t="s">
        <v>7110</v>
      </c>
    </row>
    <row r="10643" spans="1:2" ht="18.75">
      <c r="A10643" s="102" t="s">
        <v>4920</v>
      </c>
      <c r="B10643" s="1" t="s">
        <v>7110</v>
      </c>
    </row>
    <row r="10644" spans="1:2" ht="18.75">
      <c r="A10644" s="102" t="s">
        <v>4918</v>
      </c>
      <c r="B10644" s="1" t="s">
        <v>7110</v>
      </c>
    </row>
    <row r="10645" spans="1:2" ht="18.75">
      <c r="A10645" s="102" t="s">
        <v>4694</v>
      </c>
      <c r="B10645" s="1" t="s">
        <v>7110</v>
      </c>
    </row>
    <row r="10646" spans="1:2" ht="18.75">
      <c r="A10646" s="102" t="s">
        <v>4210</v>
      </c>
      <c r="B10646" s="1" t="s">
        <v>7110</v>
      </c>
    </row>
    <row r="10647" spans="1:2" ht="18.75">
      <c r="A10647" s="102" t="s">
        <v>4920</v>
      </c>
      <c r="B10647" s="1" t="s">
        <v>7110</v>
      </c>
    </row>
    <row r="10648" spans="1:2" ht="18.75">
      <c r="A10648" s="102" t="s">
        <v>4931</v>
      </c>
      <c r="B10648" s="1" t="s">
        <v>7110</v>
      </c>
    </row>
    <row r="10649" spans="1:2" ht="18.75">
      <c r="A10649" s="102" t="s">
        <v>4461</v>
      </c>
      <c r="B10649" s="1" t="s">
        <v>7110</v>
      </c>
    </row>
    <row r="10650" spans="1:2" ht="18.75">
      <c r="A10650" s="102" t="s">
        <v>4691</v>
      </c>
      <c r="B10650" s="1" t="s">
        <v>7110</v>
      </c>
    </row>
    <row r="10651" spans="1:2" ht="18.75">
      <c r="A10651" s="102" t="s">
        <v>4935</v>
      </c>
      <c r="B10651" s="1" t="s">
        <v>7110</v>
      </c>
    </row>
    <row r="10652" spans="1:2" ht="18.75">
      <c r="A10652" s="102" t="s">
        <v>4931</v>
      </c>
      <c r="B10652" s="1" t="s">
        <v>7110</v>
      </c>
    </row>
    <row r="10653" spans="1:2" ht="18.75">
      <c r="A10653" s="102" t="s">
        <v>4691</v>
      </c>
      <c r="B10653" s="1" t="s">
        <v>7110</v>
      </c>
    </row>
    <row r="10654" spans="1:2" ht="18.75">
      <c r="A10654" s="102" t="s">
        <v>4931</v>
      </c>
      <c r="B10654" s="1" t="s">
        <v>7110</v>
      </c>
    </row>
    <row r="10655" spans="1:2" ht="18.75">
      <c r="A10655" s="102" t="s">
        <v>4931</v>
      </c>
      <c r="B10655" s="1" t="s">
        <v>7110</v>
      </c>
    </row>
    <row r="10656" spans="1:2" ht="18.75">
      <c r="A10656" s="102" t="s">
        <v>4920</v>
      </c>
      <c r="B10656" s="1" t="s">
        <v>7110</v>
      </c>
    </row>
    <row r="10657" spans="1:2" ht="18.75">
      <c r="A10657" s="103" t="s">
        <v>2815</v>
      </c>
      <c r="B10657" s="1" t="s">
        <v>7110</v>
      </c>
    </row>
    <row r="10658" spans="1:2" ht="18.75">
      <c r="A10658" s="103" t="s">
        <v>3126</v>
      </c>
      <c r="B10658" s="1" t="s">
        <v>7110</v>
      </c>
    </row>
    <row r="10659" spans="1:2" ht="18.75">
      <c r="A10659" s="103" t="s">
        <v>3132</v>
      </c>
      <c r="B10659" s="1" t="s">
        <v>7110</v>
      </c>
    </row>
    <row r="10660" spans="1:2" ht="18.75">
      <c r="A10660" s="103" t="s">
        <v>3142</v>
      </c>
      <c r="B10660" s="1" t="s">
        <v>7110</v>
      </c>
    </row>
    <row r="10661" spans="1:2" ht="18.75">
      <c r="A10661" s="103" t="s">
        <v>3173</v>
      </c>
      <c r="B10661" s="1" t="s">
        <v>7110</v>
      </c>
    </row>
    <row r="10662" spans="1:2" ht="18.75">
      <c r="A10662" s="103" t="s">
        <v>3190</v>
      </c>
      <c r="B10662" s="1" t="s">
        <v>7110</v>
      </c>
    </row>
    <row r="10663" spans="1:2" ht="18.75">
      <c r="A10663" s="103" t="s">
        <v>3192</v>
      </c>
      <c r="B10663" s="1" t="s">
        <v>7110</v>
      </c>
    </row>
    <row r="10664" spans="1:2" ht="18.75">
      <c r="A10664" s="103" t="s">
        <v>3251</v>
      </c>
      <c r="B10664" s="1" t="s">
        <v>7110</v>
      </c>
    </row>
    <row r="10665" spans="1:2" ht="18.75">
      <c r="A10665" s="104" t="s">
        <v>3351</v>
      </c>
      <c r="B10665" s="1" t="s">
        <v>7110</v>
      </c>
    </row>
    <row r="10666" spans="1:2" ht="18.75">
      <c r="A10666" s="104" t="s">
        <v>3356</v>
      </c>
      <c r="B10666" s="1" t="s">
        <v>7110</v>
      </c>
    </row>
    <row r="10667" spans="1:2" ht="18.75">
      <c r="A10667" s="104" t="s">
        <v>3388</v>
      </c>
      <c r="B10667" s="1" t="s">
        <v>7110</v>
      </c>
    </row>
    <row r="10668" spans="1:2" ht="18.75">
      <c r="A10668" s="104" t="s">
        <v>3415</v>
      </c>
      <c r="B10668" s="1" t="s">
        <v>7110</v>
      </c>
    </row>
    <row r="10669" spans="1:2" ht="18.75">
      <c r="A10669" s="104" t="s">
        <v>3418</v>
      </c>
      <c r="B10669" s="1" t="s">
        <v>7110</v>
      </c>
    </row>
    <row r="10670" spans="1:2" ht="18.75">
      <c r="A10670" s="104" t="s">
        <v>3418</v>
      </c>
      <c r="B10670" s="1" t="s">
        <v>7110</v>
      </c>
    </row>
    <row r="10671" spans="1:2" ht="18.75">
      <c r="A10671" s="104" t="s">
        <v>3478</v>
      </c>
      <c r="B10671" s="1" t="s">
        <v>7110</v>
      </c>
    </row>
    <row r="10672" spans="1:2" ht="18.75">
      <c r="A10672" s="104" t="s">
        <v>3479</v>
      </c>
      <c r="B10672" s="1" t="s">
        <v>7110</v>
      </c>
    </row>
    <row r="10673" spans="1:2" ht="18.75">
      <c r="A10673" s="104" t="s">
        <v>3515</v>
      </c>
      <c r="B10673" s="1" t="s">
        <v>7110</v>
      </c>
    </row>
    <row r="10674" spans="1:2" ht="18.75">
      <c r="A10674" s="104" t="s">
        <v>3517</v>
      </c>
      <c r="B10674" s="1" t="s">
        <v>7110</v>
      </c>
    </row>
    <row r="10675" spans="1:2" ht="18.75">
      <c r="A10675" s="104" t="s">
        <v>3527</v>
      </c>
      <c r="B10675" s="1" t="s">
        <v>7110</v>
      </c>
    </row>
    <row r="10676" spans="1:2" ht="18.75">
      <c r="A10676" s="104" t="s">
        <v>3562</v>
      </c>
      <c r="B10676" s="1" t="s">
        <v>7110</v>
      </c>
    </row>
    <row r="10677" spans="1:2" ht="18.75">
      <c r="A10677" s="104" t="s">
        <v>3566</v>
      </c>
      <c r="B10677" s="1" t="s">
        <v>7110</v>
      </c>
    </row>
    <row r="10678" spans="1:2" ht="18.75">
      <c r="A10678" s="104" t="s">
        <v>3640</v>
      </c>
      <c r="B10678" s="1" t="s">
        <v>7110</v>
      </c>
    </row>
    <row r="10679" spans="1:2" ht="18.75">
      <c r="A10679" s="104" t="s">
        <v>3641</v>
      </c>
      <c r="B10679" s="1" t="s">
        <v>7110</v>
      </c>
    </row>
    <row r="10680" spans="1:2" ht="18.75">
      <c r="A10680" s="104" t="s">
        <v>3730</v>
      </c>
      <c r="B10680" s="1" t="s">
        <v>7110</v>
      </c>
    </row>
    <row r="10681" spans="1:2" ht="18.75">
      <c r="A10681" s="104" t="s">
        <v>3733</v>
      </c>
      <c r="B10681" s="1" t="s">
        <v>7110</v>
      </c>
    </row>
    <row r="10682" spans="1:2" ht="18.75">
      <c r="A10682" s="104" t="s">
        <v>3736</v>
      </c>
      <c r="B10682" s="1" t="s">
        <v>7110</v>
      </c>
    </row>
    <row r="10683" spans="1:2" ht="18.75">
      <c r="A10683" s="104" t="s">
        <v>3738</v>
      </c>
      <c r="B10683" s="1" t="s">
        <v>7110</v>
      </c>
    </row>
    <row r="10684" spans="1:2" ht="18.75">
      <c r="A10684" s="104" t="s">
        <v>3744</v>
      </c>
      <c r="B10684" s="1" t="s">
        <v>7110</v>
      </c>
    </row>
    <row r="10685" spans="1:2" ht="18.75">
      <c r="A10685" s="104" t="s">
        <v>3746</v>
      </c>
      <c r="B10685" s="1" t="s">
        <v>7110</v>
      </c>
    </row>
    <row r="10686" spans="1:2" ht="18.75">
      <c r="A10686" s="104" t="s">
        <v>3763</v>
      </c>
      <c r="B10686" s="1" t="s">
        <v>7110</v>
      </c>
    </row>
    <row r="10687" spans="1:2" ht="18.75">
      <c r="A10687" s="104" t="s">
        <v>3895</v>
      </c>
      <c r="B10687" s="1" t="s">
        <v>7110</v>
      </c>
    </row>
    <row r="10688" spans="1:2" ht="18.75">
      <c r="A10688" s="104" t="s">
        <v>3898</v>
      </c>
      <c r="B10688" s="1" t="s">
        <v>7110</v>
      </c>
    </row>
    <row r="10689" spans="1:2" ht="18.75">
      <c r="A10689" s="104" t="s">
        <v>3899</v>
      </c>
      <c r="B10689" s="1" t="s">
        <v>7110</v>
      </c>
    </row>
    <row r="10690" spans="1:2" ht="18.75">
      <c r="A10690" s="104" t="s">
        <v>3941</v>
      </c>
      <c r="B10690" s="1" t="s">
        <v>7110</v>
      </c>
    </row>
    <row r="10691" spans="1:2" ht="18.75">
      <c r="A10691" s="104" t="s">
        <v>4229</v>
      </c>
      <c r="B10691" s="1" t="s">
        <v>7110</v>
      </c>
    </row>
    <row r="10692" spans="1:2" ht="18.75">
      <c r="A10692" s="104" t="s">
        <v>4245</v>
      </c>
      <c r="B10692" s="1" t="s">
        <v>7110</v>
      </c>
    </row>
    <row r="10693" spans="1:2" ht="18.75">
      <c r="A10693" s="104" t="s">
        <v>4249</v>
      </c>
      <c r="B10693" s="1" t="s">
        <v>7110</v>
      </c>
    </row>
    <row r="10694" spans="1:2" ht="18.75">
      <c r="A10694" s="104" t="s">
        <v>4252</v>
      </c>
      <c r="B10694" s="1" t="s">
        <v>7110</v>
      </c>
    </row>
    <row r="10695" spans="1:2" ht="18.75">
      <c r="A10695" s="104" t="s">
        <v>4253</v>
      </c>
      <c r="B10695" s="1" t="s">
        <v>7110</v>
      </c>
    </row>
    <row r="10696" spans="1:2" ht="18.75">
      <c r="A10696" s="104" t="s">
        <v>3730</v>
      </c>
      <c r="B10696" s="1" t="s">
        <v>7110</v>
      </c>
    </row>
    <row r="10697" spans="1:2" ht="18.75">
      <c r="A10697" s="104" t="s">
        <v>4258</v>
      </c>
      <c r="B10697" s="1" t="s">
        <v>7110</v>
      </c>
    </row>
    <row r="10698" spans="1:2" ht="18.75">
      <c r="A10698" s="104" t="s">
        <v>4245</v>
      </c>
      <c r="B10698" s="1" t="s">
        <v>7110</v>
      </c>
    </row>
    <row r="10699" spans="1:2" ht="18.75">
      <c r="A10699" s="104" t="s">
        <v>4499</v>
      </c>
      <c r="B10699" s="1" t="s">
        <v>7110</v>
      </c>
    </row>
    <row r="10700" spans="1:2" ht="18.75">
      <c r="A10700" s="104" t="s">
        <v>3730</v>
      </c>
      <c r="B10700" s="1" t="s">
        <v>7110</v>
      </c>
    </row>
    <row r="10701" spans="1:2" ht="18.75">
      <c r="A10701" s="104" t="s">
        <v>4596</v>
      </c>
      <c r="B10701" s="1" t="s">
        <v>7110</v>
      </c>
    </row>
    <row r="10702" spans="1:2" ht="18.75">
      <c r="A10702" s="104" t="s">
        <v>4696</v>
      </c>
      <c r="B10702" s="1" t="s">
        <v>7110</v>
      </c>
    </row>
    <row r="10703" spans="1:2" ht="18.75">
      <c r="A10703" s="105" t="s">
        <v>4929</v>
      </c>
      <c r="B10703" s="1" t="s">
        <v>7110</v>
      </c>
    </row>
    <row r="10704" spans="1:2" ht="18">
      <c r="A10704" s="50" t="s">
        <v>3839</v>
      </c>
      <c r="B10704" s="1" t="s">
        <v>7110</v>
      </c>
    </row>
    <row r="10705" spans="1:2" ht="18">
      <c r="A10705" s="50" t="s">
        <v>3842</v>
      </c>
      <c r="B10705" s="1" t="s">
        <v>7110</v>
      </c>
    </row>
    <row r="10706" spans="1:2" ht="18">
      <c r="A10706" s="50" t="s">
        <v>3839</v>
      </c>
      <c r="B10706" s="1" t="s">
        <v>7110</v>
      </c>
    </row>
    <row r="10707" spans="1:2" ht="18">
      <c r="A10707" s="50" t="s">
        <v>3963</v>
      </c>
      <c r="B10707" s="1" t="s">
        <v>7110</v>
      </c>
    </row>
    <row r="10708" spans="1:2" ht="18">
      <c r="A10708" s="50" t="s">
        <v>4198</v>
      </c>
      <c r="B10708" s="1" t="s">
        <v>7110</v>
      </c>
    </row>
    <row r="10709" spans="1:2" ht="18">
      <c r="A10709" s="50" t="s">
        <v>3963</v>
      </c>
      <c r="B10709" s="1" t="s">
        <v>7110</v>
      </c>
    </row>
    <row r="10710" spans="1:2" ht="18">
      <c r="A10710" s="50" t="s">
        <v>4261</v>
      </c>
      <c r="B10710" s="1" t="s">
        <v>7110</v>
      </c>
    </row>
    <row r="10711" spans="1:2" ht="18">
      <c r="A10711" s="50" t="s">
        <v>3842</v>
      </c>
      <c r="B10711" s="1" t="s">
        <v>7110</v>
      </c>
    </row>
    <row r="10712" spans="1:2" ht="18">
      <c r="A10712" s="50" t="s">
        <v>3842</v>
      </c>
      <c r="B10712" s="1" t="s">
        <v>7110</v>
      </c>
    </row>
    <row r="10713" spans="1:2" ht="18">
      <c r="A10713" s="50" t="s">
        <v>3842</v>
      </c>
      <c r="B10713" s="1" t="s">
        <v>7110</v>
      </c>
    </row>
    <row r="10714" spans="1:2" ht="18">
      <c r="A10714" s="50" t="s">
        <v>3842</v>
      </c>
      <c r="B10714" s="1" t="s">
        <v>7110</v>
      </c>
    </row>
    <row r="10715" spans="1:2" ht="18">
      <c r="A10715" s="50" t="s">
        <v>3842</v>
      </c>
      <c r="B10715" s="1" t="s">
        <v>7110</v>
      </c>
    </row>
    <row r="10716" spans="1:2" ht="18">
      <c r="A10716" s="50" t="s">
        <v>4466</v>
      </c>
      <c r="B10716" s="1" t="s">
        <v>7110</v>
      </c>
    </row>
    <row r="10717" spans="1:2" ht="18">
      <c r="A10717" s="50" t="s">
        <v>4486</v>
      </c>
      <c r="B10717" s="1" t="s">
        <v>7110</v>
      </c>
    </row>
    <row r="10718" spans="1:2" ht="18">
      <c r="A10718" s="50" t="s">
        <v>4487</v>
      </c>
      <c r="B10718" s="1" t="s">
        <v>7110</v>
      </c>
    </row>
    <row r="10719" spans="1:2" ht="18">
      <c r="A10719" s="50" t="s">
        <v>4489</v>
      </c>
      <c r="B10719" s="1" t="s">
        <v>7110</v>
      </c>
    </row>
    <row r="10720" spans="1:2" ht="18">
      <c r="A10720" s="50" t="s">
        <v>3839</v>
      </c>
      <c r="B10720" s="1" t="s">
        <v>7110</v>
      </c>
    </row>
    <row r="10721" spans="1:2" ht="18">
      <c r="A10721" s="50" t="s">
        <v>4586</v>
      </c>
      <c r="B10721" s="1" t="s">
        <v>7110</v>
      </c>
    </row>
    <row r="10722" spans="1:2" ht="18">
      <c r="A10722" s="50" t="s">
        <v>4591</v>
      </c>
      <c r="B10722" s="1" t="s">
        <v>7110</v>
      </c>
    </row>
    <row r="10723" spans="1:2" ht="18">
      <c r="A10723" s="50" t="s">
        <v>4594</v>
      </c>
      <c r="B10723" s="1" t="s">
        <v>7110</v>
      </c>
    </row>
    <row r="10724" spans="1:2" ht="18">
      <c r="A10724" s="50" t="s">
        <v>4595</v>
      </c>
      <c r="B10724" s="1" t="s">
        <v>7110</v>
      </c>
    </row>
    <row r="10725" spans="1:2" ht="18">
      <c r="A10725" s="50" t="s">
        <v>4597</v>
      </c>
      <c r="B10725" s="1" t="s">
        <v>7110</v>
      </c>
    </row>
    <row r="10726" spans="1:2" ht="18">
      <c r="A10726" s="50" t="s">
        <v>4466</v>
      </c>
      <c r="B10726" s="1" t="s">
        <v>7110</v>
      </c>
    </row>
    <row r="10727" spans="1:2" ht="18">
      <c r="A10727" s="50" t="s">
        <v>4598</v>
      </c>
      <c r="B10727" s="1" t="s">
        <v>7110</v>
      </c>
    </row>
    <row r="10728" spans="1:2" ht="18">
      <c r="A10728" s="50" t="s">
        <v>4603</v>
      </c>
      <c r="B10728" s="1" t="s">
        <v>7110</v>
      </c>
    </row>
    <row r="10729" spans="1:2" ht="18">
      <c r="A10729" s="50" t="s">
        <v>4608</v>
      </c>
      <c r="B10729" s="1" t="s">
        <v>7110</v>
      </c>
    </row>
    <row r="10730" spans="1:2" ht="18">
      <c r="A10730" s="50" t="s">
        <v>4489</v>
      </c>
      <c r="B10730" s="1" t="s">
        <v>7110</v>
      </c>
    </row>
    <row r="10731" spans="1:2" ht="18">
      <c r="A10731" s="50" t="s">
        <v>4597</v>
      </c>
      <c r="B10731" s="1" t="s">
        <v>7110</v>
      </c>
    </row>
    <row r="10732" spans="1:2" ht="18">
      <c r="A10732" s="50" t="s">
        <v>4612</v>
      </c>
      <c r="B10732" s="1" t="s">
        <v>7110</v>
      </c>
    </row>
    <row r="10733" spans="1:2" ht="18">
      <c r="A10733" s="50" t="s">
        <v>4603</v>
      </c>
      <c r="B10733" s="1" t="s">
        <v>7110</v>
      </c>
    </row>
    <row r="10734" spans="1:2" ht="18">
      <c r="A10734" s="50" t="s">
        <v>4598</v>
      </c>
      <c r="B10734" s="1" t="s">
        <v>7110</v>
      </c>
    </row>
    <row r="10735" spans="1:2" ht="18">
      <c r="A10735" s="50" t="s">
        <v>4612</v>
      </c>
      <c r="B10735" s="1" t="s">
        <v>7110</v>
      </c>
    </row>
    <row r="10736" spans="1:2" ht="18">
      <c r="A10736" s="50" t="s">
        <v>4724</v>
      </c>
      <c r="B10736" s="1" t="s">
        <v>7110</v>
      </c>
    </row>
    <row r="10737" spans="1:2" ht="18">
      <c r="A10737" s="50" t="s">
        <v>4598</v>
      </c>
      <c r="B10737" s="1" t="s">
        <v>7110</v>
      </c>
    </row>
    <row r="10738" spans="1:2" ht="18">
      <c r="A10738" s="50" t="s">
        <v>4724</v>
      </c>
      <c r="B10738" s="1" t="s">
        <v>7110</v>
      </c>
    </row>
    <row r="10739" spans="1:2" ht="18.75">
      <c r="A10739" s="12" t="s">
        <v>3079</v>
      </c>
      <c r="B10739" s="1" t="s">
        <v>7110</v>
      </c>
    </row>
    <row r="10740" spans="1:2" ht="18.75">
      <c r="A10740" s="12" t="s">
        <v>3084</v>
      </c>
      <c r="B10740" s="1" t="s">
        <v>7110</v>
      </c>
    </row>
    <row r="10741" spans="1:2" ht="18.75">
      <c r="A10741" s="12" t="s">
        <v>3102</v>
      </c>
      <c r="B10741" s="1" t="s">
        <v>7110</v>
      </c>
    </row>
    <row r="10742" spans="1:2" ht="18.75">
      <c r="A10742" s="12" t="s">
        <v>3121</v>
      </c>
      <c r="B10742" s="1" t="s">
        <v>7110</v>
      </c>
    </row>
    <row r="10743" spans="1:2" ht="18.75">
      <c r="A10743" s="12" t="s">
        <v>3084</v>
      </c>
      <c r="B10743" s="1" t="s">
        <v>7110</v>
      </c>
    </row>
    <row r="10744" spans="1:2" ht="18.75">
      <c r="A10744" s="12" t="s">
        <v>3130</v>
      </c>
      <c r="B10744" s="1" t="s">
        <v>7110</v>
      </c>
    </row>
    <row r="10745" spans="1:2" ht="18.75">
      <c r="A10745" s="12" t="s">
        <v>3131</v>
      </c>
      <c r="B10745" s="1" t="s">
        <v>7110</v>
      </c>
    </row>
    <row r="10746" spans="1:2" ht="18.75">
      <c r="A10746" s="12" t="s">
        <v>3084</v>
      </c>
      <c r="B10746" s="1" t="s">
        <v>7110</v>
      </c>
    </row>
    <row r="10747" spans="1:2" ht="18.75">
      <c r="A10747" s="12" t="s">
        <v>3130</v>
      </c>
      <c r="B10747" s="1" t="s">
        <v>7110</v>
      </c>
    </row>
    <row r="10748" spans="1:2" ht="18.75">
      <c r="A10748" s="12" t="s">
        <v>3131</v>
      </c>
      <c r="B10748" s="1" t="s">
        <v>7110</v>
      </c>
    </row>
    <row r="10749" spans="1:2" ht="18.75">
      <c r="A10749" s="12" t="s">
        <v>3130</v>
      </c>
      <c r="B10749" s="1" t="s">
        <v>7110</v>
      </c>
    </row>
    <row r="10750" spans="1:2" ht="18.75">
      <c r="A10750" s="12" t="s">
        <v>3121</v>
      </c>
      <c r="B10750" s="1" t="s">
        <v>7110</v>
      </c>
    </row>
    <row r="10751" spans="1:2" ht="18.75">
      <c r="A10751" s="12" t="s">
        <v>3121</v>
      </c>
      <c r="B10751" s="1" t="s">
        <v>7110</v>
      </c>
    </row>
    <row r="10752" spans="1:2" ht="18.75">
      <c r="A10752" s="12" t="s">
        <v>3130</v>
      </c>
      <c r="B10752" s="1" t="s">
        <v>7110</v>
      </c>
    </row>
    <row r="10753" spans="1:2" ht="18.75">
      <c r="A10753" s="12" t="s">
        <v>3121</v>
      </c>
      <c r="B10753" s="1" t="s">
        <v>7110</v>
      </c>
    </row>
    <row r="10754" spans="1:2" ht="18.75">
      <c r="A10754" s="12" t="s">
        <v>3131</v>
      </c>
      <c r="B10754" s="1" t="s">
        <v>7110</v>
      </c>
    </row>
    <row r="10755" spans="1:2" ht="18.75">
      <c r="A10755" s="12" t="s">
        <v>3350</v>
      </c>
      <c r="B10755" s="1" t="s">
        <v>7110</v>
      </c>
    </row>
    <row r="10756" spans="1:2" ht="18.75">
      <c r="A10756" s="12" t="s">
        <v>3511</v>
      </c>
      <c r="B10756" s="1" t="s">
        <v>7110</v>
      </c>
    </row>
    <row r="10757" spans="1:2" ht="18.75">
      <c r="A10757" s="12" t="s">
        <v>3526</v>
      </c>
      <c r="B10757" s="1" t="s">
        <v>7110</v>
      </c>
    </row>
    <row r="10758" spans="1:2" ht="18.75">
      <c r="A10758" s="12" t="s">
        <v>3573</v>
      </c>
      <c r="B10758" s="1" t="s">
        <v>7110</v>
      </c>
    </row>
    <row r="10759" spans="1:2" ht="18.75">
      <c r="A10759" s="12" t="s">
        <v>3574</v>
      </c>
      <c r="B10759" s="1" t="s">
        <v>7110</v>
      </c>
    </row>
    <row r="10760" spans="1:2" ht="18.75">
      <c r="A10760" s="12" t="s">
        <v>3634</v>
      </c>
      <c r="B10760" s="1" t="s">
        <v>7110</v>
      </c>
    </row>
    <row r="10761" spans="1:2" ht="18.75">
      <c r="A10761" s="12" t="s">
        <v>3635</v>
      </c>
      <c r="B10761" s="1" t="s">
        <v>7110</v>
      </c>
    </row>
    <row r="10762" spans="1:2" ht="18.75">
      <c r="A10762" s="12" t="s">
        <v>3636</v>
      </c>
      <c r="B10762" s="1" t="s">
        <v>7110</v>
      </c>
    </row>
    <row r="10763" spans="1:2" ht="18.75">
      <c r="A10763" s="12" t="s">
        <v>3637</v>
      </c>
      <c r="B10763" s="1" t="s">
        <v>7110</v>
      </c>
    </row>
    <row r="10764" spans="1:2" ht="18.75">
      <c r="A10764" s="80" t="s">
        <v>3638</v>
      </c>
      <c r="B10764" s="1" t="s">
        <v>7110</v>
      </c>
    </row>
    <row r="10765" spans="1:2" ht="18.75">
      <c r="A10765" s="80" t="s">
        <v>3642</v>
      </c>
      <c r="B10765" s="1" t="s">
        <v>7110</v>
      </c>
    </row>
    <row r="10766" spans="1:2" ht="18.75">
      <c r="A10766" s="80" t="s">
        <v>3757</v>
      </c>
      <c r="B10766" s="1" t="s">
        <v>7110</v>
      </c>
    </row>
    <row r="10767" spans="1:2" ht="18.75">
      <c r="A10767" s="80" t="s">
        <v>3130</v>
      </c>
      <c r="B10767" s="1" t="s">
        <v>7110</v>
      </c>
    </row>
    <row r="10768" spans="1:2" ht="18.75">
      <c r="A10768" s="12" t="s">
        <v>3101</v>
      </c>
      <c r="B10768" s="1" t="s">
        <v>7110</v>
      </c>
    </row>
    <row r="10769" spans="1:2" ht="18.75">
      <c r="A10769" s="12" t="s">
        <v>3101</v>
      </c>
      <c r="B10769" s="1" t="s">
        <v>7110</v>
      </c>
    </row>
    <row r="10770" spans="1:2" ht="18.75">
      <c r="A10770" s="12" t="s">
        <v>3101</v>
      </c>
      <c r="B10770" s="1" t="s">
        <v>7110</v>
      </c>
    </row>
    <row r="10771" spans="1:2" ht="18.75">
      <c r="A10771" s="106" t="s">
        <v>3101</v>
      </c>
      <c r="B10771" s="1" t="s">
        <v>7110</v>
      </c>
    </row>
    <row r="10772" spans="1:2">
      <c r="A10772" s="107" t="s">
        <v>4271</v>
      </c>
      <c r="B10772" s="1" t="s">
        <v>7110</v>
      </c>
    </row>
    <row r="10773" spans="1:2">
      <c r="A10773" s="107" t="s">
        <v>4271</v>
      </c>
      <c r="B10773" s="1" t="s">
        <v>7110</v>
      </c>
    </row>
    <row r="10774" spans="1:2">
      <c r="A10774" s="107" t="s">
        <v>3981</v>
      </c>
      <c r="B10774" s="1" t="s">
        <v>7110</v>
      </c>
    </row>
    <row r="10775" spans="1:2">
      <c r="A10775" s="107" t="s">
        <v>3981</v>
      </c>
      <c r="B10775" s="1" t="s">
        <v>7110</v>
      </c>
    </row>
    <row r="10776" spans="1:2">
      <c r="A10776" s="107" t="s">
        <v>4298</v>
      </c>
      <c r="B10776" s="1" t="s">
        <v>7110</v>
      </c>
    </row>
    <row r="10777" spans="1:2">
      <c r="A10777" s="107" t="s">
        <v>4271</v>
      </c>
      <c r="B10777" s="1" t="s">
        <v>7110</v>
      </c>
    </row>
    <row r="10778" spans="1:2">
      <c r="A10778" s="107" t="s">
        <v>3981</v>
      </c>
      <c r="B10778" s="1" t="s">
        <v>7110</v>
      </c>
    </row>
    <row r="10779" spans="1:2">
      <c r="A10779" s="107" t="s">
        <v>3981</v>
      </c>
      <c r="B10779" s="1" t="s">
        <v>7110</v>
      </c>
    </row>
    <row r="10780" spans="1:2">
      <c r="A10780" s="107" t="s">
        <v>4298</v>
      </c>
      <c r="B10780" s="1" t="s">
        <v>7110</v>
      </c>
    </row>
    <row r="10781" spans="1:2">
      <c r="A10781" s="107" t="s">
        <v>4298</v>
      </c>
      <c r="B10781" s="1" t="s">
        <v>7110</v>
      </c>
    </row>
    <row r="10782" spans="1:2">
      <c r="A10782" s="107" t="s">
        <v>4351</v>
      </c>
      <c r="B10782" s="1" t="s">
        <v>7110</v>
      </c>
    </row>
    <row r="10783" spans="1:2">
      <c r="A10783" s="107" t="s">
        <v>4351</v>
      </c>
      <c r="B10783" s="1" t="s">
        <v>7110</v>
      </c>
    </row>
    <row r="10784" spans="1:2">
      <c r="A10784" s="107" t="s">
        <v>4298</v>
      </c>
      <c r="B10784" s="1" t="s">
        <v>7110</v>
      </c>
    </row>
    <row r="10785" spans="1:2">
      <c r="A10785" s="107" t="s">
        <v>4351</v>
      </c>
      <c r="B10785" s="1" t="s">
        <v>7110</v>
      </c>
    </row>
    <row r="10786" spans="1:2">
      <c r="A10786" s="107" t="s">
        <v>4351</v>
      </c>
      <c r="B10786" s="1" t="s">
        <v>7110</v>
      </c>
    </row>
    <row r="10787" spans="1:2">
      <c r="A10787" s="107" t="s">
        <v>4360</v>
      </c>
      <c r="B10787" s="1" t="s">
        <v>7110</v>
      </c>
    </row>
    <row r="10788" spans="1:2">
      <c r="A10788" s="107" t="s">
        <v>4271</v>
      </c>
      <c r="B10788" s="1" t="s">
        <v>7110</v>
      </c>
    </row>
    <row r="10789" spans="1:2">
      <c r="A10789" s="107" t="s">
        <v>4452</v>
      </c>
      <c r="B10789" s="1" t="s">
        <v>7110</v>
      </c>
    </row>
    <row r="10790" spans="1:2">
      <c r="A10790" s="107" t="s">
        <v>4360</v>
      </c>
      <c r="B10790" s="1" t="s">
        <v>7110</v>
      </c>
    </row>
    <row r="10791" spans="1:2">
      <c r="A10791" s="107" t="s">
        <v>4351</v>
      </c>
      <c r="B10791" s="1" t="s">
        <v>7110</v>
      </c>
    </row>
    <row r="10792" spans="1:2">
      <c r="A10792" s="107" t="s">
        <v>4452</v>
      </c>
      <c r="B10792" s="1" t="s">
        <v>7110</v>
      </c>
    </row>
    <row r="10793" spans="1:2">
      <c r="A10793" s="107" t="s">
        <v>4360</v>
      </c>
      <c r="B10793" s="1" t="s">
        <v>7110</v>
      </c>
    </row>
    <row r="10794" spans="1:2">
      <c r="A10794" s="107" t="s">
        <v>4351</v>
      </c>
      <c r="B10794" s="1" t="s">
        <v>7110</v>
      </c>
    </row>
    <row r="10795" spans="1:2">
      <c r="A10795" s="107" t="s">
        <v>4271</v>
      </c>
      <c r="B10795" s="1" t="s">
        <v>7110</v>
      </c>
    </row>
    <row r="10796" spans="1:2">
      <c r="A10796" s="107" t="s">
        <v>4351</v>
      </c>
      <c r="B10796" s="1" t="s">
        <v>7110</v>
      </c>
    </row>
    <row r="10797" spans="1:2">
      <c r="A10797" s="107" t="s">
        <v>4452</v>
      </c>
      <c r="B10797" s="1" t="s">
        <v>7110</v>
      </c>
    </row>
    <row r="10798" spans="1:2">
      <c r="A10798" s="24" t="s">
        <v>4351</v>
      </c>
      <c r="B10798" s="1" t="s">
        <v>7110</v>
      </c>
    </row>
    <row r="10799" spans="1:2">
      <c r="A10799" s="107" t="s">
        <v>4452</v>
      </c>
      <c r="B10799" s="1" t="s">
        <v>7110</v>
      </c>
    </row>
    <row r="10800" spans="1:2">
      <c r="A10800" s="107" t="s">
        <v>4701</v>
      </c>
      <c r="B10800" s="1" t="s">
        <v>7110</v>
      </c>
    </row>
    <row r="10801" spans="1:2">
      <c r="A10801" s="107" t="s">
        <v>4701</v>
      </c>
      <c r="B10801" s="1" t="s">
        <v>7110</v>
      </c>
    </row>
    <row r="10802" spans="1:2">
      <c r="A10802" s="107" t="s">
        <v>4701</v>
      </c>
      <c r="B10802" s="1" t="s">
        <v>7110</v>
      </c>
    </row>
    <row r="10803" spans="1:2">
      <c r="A10803" s="107" t="s">
        <v>4452</v>
      </c>
      <c r="B10803" s="1" t="s">
        <v>7110</v>
      </c>
    </row>
    <row r="10804" spans="1:2">
      <c r="A10804" s="107" t="s">
        <v>4351</v>
      </c>
      <c r="B10804" s="1" t="s">
        <v>7110</v>
      </c>
    </row>
    <row r="10805" spans="1:2">
      <c r="A10805" s="24" t="s">
        <v>4360</v>
      </c>
      <c r="B10805" s="1" t="s">
        <v>7110</v>
      </c>
    </row>
    <row r="10806" spans="1:2">
      <c r="A10806" s="24" t="s">
        <v>4701</v>
      </c>
      <c r="B10806" s="1" t="s">
        <v>7110</v>
      </c>
    </row>
    <row r="10807" spans="1:2" ht="18">
      <c r="A10807" s="50" t="s">
        <v>4353</v>
      </c>
      <c r="B10807" s="1" t="s">
        <v>7110</v>
      </c>
    </row>
    <row r="10808" spans="1:2" ht="18">
      <c r="A10808" s="50" t="s">
        <v>4354</v>
      </c>
      <c r="B10808" s="1" t="s">
        <v>7110</v>
      </c>
    </row>
    <row r="10809" spans="1:2" ht="18">
      <c r="A10809" s="50" t="s">
        <v>4353</v>
      </c>
      <c r="B10809" s="1" t="s">
        <v>7110</v>
      </c>
    </row>
    <row r="10810" spans="1:2" ht="18">
      <c r="A10810" s="50" t="s">
        <v>4354</v>
      </c>
      <c r="B10810" s="1" t="s">
        <v>7110</v>
      </c>
    </row>
    <row r="10811" spans="1:2" ht="18">
      <c r="A10811" s="50" t="s">
        <v>4453</v>
      </c>
      <c r="B10811" s="1" t="s">
        <v>7110</v>
      </c>
    </row>
    <row r="10812" spans="1:2" ht="18">
      <c r="A10812" s="50" t="s">
        <v>4354</v>
      </c>
      <c r="B10812" s="1" t="s">
        <v>7110</v>
      </c>
    </row>
    <row r="10813" spans="1:2" ht="18">
      <c r="A10813" s="50" t="s">
        <v>4453</v>
      </c>
      <c r="B10813" s="1" t="s">
        <v>7110</v>
      </c>
    </row>
    <row r="10814" spans="1:2" ht="18">
      <c r="A10814" s="50" t="s">
        <v>4353</v>
      </c>
      <c r="B10814" s="1" t="s">
        <v>7110</v>
      </c>
    </row>
    <row r="10815" spans="1:2" ht="18">
      <c r="A10815" s="50" t="s">
        <v>4473</v>
      </c>
      <c r="B10815" s="1" t="s">
        <v>7110</v>
      </c>
    </row>
    <row r="10816" spans="1:2" ht="18">
      <c r="A10816" s="50" t="s">
        <v>4494</v>
      </c>
      <c r="B10816" s="1" t="s">
        <v>7110</v>
      </c>
    </row>
    <row r="10817" spans="1:2" ht="18">
      <c r="A10817" s="50" t="s">
        <v>4473</v>
      </c>
      <c r="B10817" s="1" t="s">
        <v>7110</v>
      </c>
    </row>
    <row r="10818" spans="1:2" ht="18">
      <c r="A10818" s="50" t="s">
        <v>4354</v>
      </c>
      <c r="B10818" s="1" t="s">
        <v>7110</v>
      </c>
    </row>
    <row r="10819" spans="1:2" ht="18">
      <c r="A10819" s="50" t="s">
        <v>4453</v>
      </c>
      <c r="B10819" s="1" t="s">
        <v>7110</v>
      </c>
    </row>
    <row r="10820" spans="1:2" ht="18">
      <c r="A10820" s="50" t="s">
        <v>4579</v>
      </c>
      <c r="B10820" s="1" t="s">
        <v>7110</v>
      </c>
    </row>
    <row r="10821" spans="1:2" ht="18">
      <c r="A10821" s="50" t="s">
        <v>4473</v>
      </c>
      <c r="B10821" s="1" t="s">
        <v>7110</v>
      </c>
    </row>
    <row r="10822" spans="1:2" ht="18">
      <c r="A10822" s="50" t="s">
        <v>4579</v>
      </c>
      <c r="B10822" s="1" t="s">
        <v>7110</v>
      </c>
    </row>
    <row r="10823" spans="1:2" ht="18">
      <c r="A10823" s="50" t="s">
        <v>4579</v>
      </c>
      <c r="B10823" s="1" t="s">
        <v>7110</v>
      </c>
    </row>
    <row r="10824" spans="1:2" ht="18">
      <c r="A10824" s="50" t="s">
        <v>4579</v>
      </c>
      <c r="B10824" s="1" t="s">
        <v>7110</v>
      </c>
    </row>
    <row r="10825" spans="1:2" ht="18">
      <c r="A10825" s="50" t="s">
        <v>4579</v>
      </c>
      <c r="B10825" s="1" t="s">
        <v>7110</v>
      </c>
    </row>
    <row r="10826" spans="1:2" ht="18">
      <c r="A10826" s="50" t="s">
        <v>4453</v>
      </c>
      <c r="B10826" s="1" t="s">
        <v>7110</v>
      </c>
    </row>
    <row r="10827" spans="1:2" ht="18">
      <c r="A10827" s="50" t="s">
        <v>4283</v>
      </c>
      <c r="B10827" s="1" t="s">
        <v>7110</v>
      </c>
    </row>
    <row r="10828" spans="1:2" ht="18">
      <c r="A10828" s="50" t="s">
        <v>4283</v>
      </c>
      <c r="B10828" s="1" t="s">
        <v>7110</v>
      </c>
    </row>
    <row r="10829" spans="1:2" ht="18">
      <c r="A10829" s="50" t="s">
        <v>4283</v>
      </c>
      <c r="B10829" s="1" t="s">
        <v>7110</v>
      </c>
    </row>
    <row r="10830" spans="1:2" ht="18">
      <c r="A10830" s="50" t="s">
        <v>4283</v>
      </c>
      <c r="B10830" s="1" t="s">
        <v>7110</v>
      </c>
    </row>
    <row r="10831" spans="1:2" ht="18">
      <c r="A10831" s="50" t="s">
        <v>4283</v>
      </c>
      <c r="B10831" s="1" t="s">
        <v>7110</v>
      </c>
    </row>
    <row r="10832" spans="1:2" ht="18">
      <c r="A10832" s="50" t="s">
        <v>4283</v>
      </c>
      <c r="B10832" s="1" t="s">
        <v>7110</v>
      </c>
    </row>
    <row r="10833" spans="1:2" ht="18.75">
      <c r="A10833" s="80" t="s">
        <v>3758</v>
      </c>
      <c r="B10833" s="1" t="s">
        <v>7110</v>
      </c>
    </row>
    <row r="10834" spans="1:2" ht="18.75">
      <c r="A10834" s="80" t="s">
        <v>3879</v>
      </c>
      <c r="B10834" s="1" t="s">
        <v>7110</v>
      </c>
    </row>
    <row r="10835" spans="1:2" ht="18.75">
      <c r="A10835" s="80" t="s">
        <v>3758</v>
      </c>
      <c r="B10835" s="1" t="s">
        <v>7110</v>
      </c>
    </row>
    <row r="10836" spans="1:2" ht="18.75">
      <c r="A10836" s="80" t="s">
        <v>3758</v>
      </c>
      <c r="B10836" s="1" t="s">
        <v>7110</v>
      </c>
    </row>
    <row r="10837" spans="1:2" ht="18.75">
      <c r="A10837" s="80" t="s">
        <v>3889</v>
      </c>
      <c r="B10837" s="1" t="s">
        <v>7110</v>
      </c>
    </row>
    <row r="10838" spans="1:2" ht="18.75">
      <c r="A10838" s="80" t="s">
        <v>3938</v>
      </c>
      <c r="B10838" s="1" t="s">
        <v>7110</v>
      </c>
    </row>
    <row r="10839" spans="1:2" ht="18.75">
      <c r="A10839" s="80" t="s">
        <v>3938</v>
      </c>
      <c r="B10839" s="1" t="s">
        <v>7110</v>
      </c>
    </row>
    <row r="10840" spans="1:2" ht="18.75">
      <c r="A10840" s="80" t="s">
        <v>3939</v>
      </c>
      <c r="B10840" s="1" t="s">
        <v>7110</v>
      </c>
    </row>
    <row r="10841" spans="1:2" ht="18.75">
      <c r="A10841" s="80" t="s">
        <v>3939</v>
      </c>
      <c r="B10841" s="1" t="s">
        <v>7110</v>
      </c>
    </row>
    <row r="10842" spans="1:2" ht="18.75">
      <c r="A10842" s="80" t="s">
        <v>3940</v>
      </c>
      <c r="B10842" s="1" t="s">
        <v>7110</v>
      </c>
    </row>
    <row r="10843" spans="1:2" ht="18.75">
      <c r="A10843" s="80" t="s">
        <v>3940</v>
      </c>
      <c r="B10843" s="1" t="s">
        <v>7110</v>
      </c>
    </row>
    <row r="10844" spans="1:2" ht="18.75">
      <c r="A10844" s="80" t="s">
        <v>3940</v>
      </c>
      <c r="B10844" s="1" t="s">
        <v>7110</v>
      </c>
    </row>
    <row r="10845" spans="1:2" ht="18.75">
      <c r="A10845" s="80" t="s">
        <v>3940</v>
      </c>
      <c r="B10845" s="1" t="s">
        <v>7110</v>
      </c>
    </row>
    <row r="10846" spans="1:2" ht="18.75">
      <c r="A10846" s="80" t="s">
        <v>3940</v>
      </c>
      <c r="B10846" s="1" t="s">
        <v>7110</v>
      </c>
    </row>
    <row r="10847" spans="1:2" ht="18.75">
      <c r="A10847" s="80" t="s">
        <v>4207</v>
      </c>
      <c r="B10847" s="1" t="s">
        <v>7110</v>
      </c>
    </row>
    <row r="10848" spans="1:2" ht="18.75">
      <c r="A10848" s="80" t="s">
        <v>4211</v>
      </c>
      <c r="B10848" s="1" t="s">
        <v>7110</v>
      </c>
    </row>
    <row r="10849" spans="1:2" ht="18.75">
      <c r="A10849" s="80" t="s">
        <v>4212</v>
      </c>
      <c r="B10849" s="1" t="s">
        <v>7110</v>
      </c>
    </row>
    <row r="10850" spans="1:2" ht="18.75">
      <c r="A10850" s="80" t="s">
        <v>4207</v>
      </c>
      <c r="B10850" s="1" t="s">
        <v>7110</v>
      </c>
    </row>
    <row r="10851" spans="1:2" ht="18.75">
      <c r="A10851" s="80" t="s">
        <v>4212</v>
      </c>
      <c r="B10851" s="1" t="s">
        <v>7110</v>
      </c>
    </row>
    <row r="10852" spans="1:2" ht="18.75">
      <c r="A10852" s="80" t="s">
        <v>4211</v>
      </c>
      <c r="B10852" s="1" t="s">
        <v>7110</v>
      </c>
    </row>
    <row r="10853" spans="1:2" ht="18.75">
      <c r="A10853" s="80" t="s">
        <v>4222</v>
      </c>
      <c r="B10853" s="1" t="s">
        <v>7110</v>
      </c>
    </row>
    <row r="10854" spans="1:2" ht="18.75">
      <c r="A10854" s="80" t="s">
        <v>4222</v>
      </c>
      <c r="B10854" s="1" t="s">
        <v>7110</v>
      </c>
    </row>
    <row r="10855" spans="1:2" ht="18.75">
      <c r="A10855" s="80" t="s">
        <v>4244</v>
      </c>
      <c r="B10855" s="1" t="s">
        <v>7110</v>
      </c>
    </row>
    <row r="10856" spans="1:2" ht="18.75">
      <c r="A10856" s="80" t="s">
        <v>4247</v>
      </c>
      <c r="B10856" s="1" t="s">
        <v>7110</v>
      </c>
    </row>
    <row r="10857" spans="1:2" ht="18.75">
      <c r="A10857" s="80" t="s">
        <v>4222</v>
      </c>
      <c r="B10857" s="1" t="s">
        <v>7110</v>
      </c>
    </row>
    <row r="10858" spans="1:2" ht="18.75">
      <c r="A10858" s="80" t="s">
        <v>4207</v>
      </c>
      <c r="B10858" s="1" t="s">
        <v>7110</v>
      </c>
    </row>
    <row r="10859" spans="1:2" ht="18.75">
      <c r="A10859" s="80" t="s">
        <v>4251</v>
      </c>
      <c r="B10859" s="1" t="s">
        <v>7110</v>
      </c>
    </row>
    <row r="10860" spans="1:2" ht="18.75">
      <c r="A10860" s="80" t="s">
        <v>4254</v>
      </c>
      <c r="B10860" s="1" t="s">
        <v>7110</v>
      </c>
    </row>
    <row r="10861" spans="1:2" ht="18.75">
      <c r="A10861" s="80" t="s">
        <v>3940</v>
      </c>
      <c r="B10861" s="1" t="s">
        <v>7110</v>
      </c>
    </row>
    <row r="10862" spans="1:2" ht="18.75">
      <c r="A10862" s="80" t="s">
        <v>3940</v>
      </c>
      <c r="B10862" s="1" t="s">
        <v>7110</v>
      </c>
    </row>
    <row r="10863" spans="1:2" ht="18.75">
      <c r="A10863" s="80" t="s">
        <v>3940</v>
      </c>
      <c r="B10863" s="1" t="s">
        <v>7110</v>
      </c>
    </row>
    <row r="10864" spans="1:2" ht="18.75">
      <c r="A10864" s="80" t="s">
        <v>4244</v>
      </c>
      <c r="B10864" s="1" t="s">
        <v>7110</v>
      </c>
    </row>
    <row r="10865" spans="1:2" ht="18.75">
      <c r="A10865" s="80" t="s">
        <v>4212</v>
      </c>
      <c r="B10865" s="1" t="s">
        <v>7110</v>
      </c>
    </row>
    <row r="10866" spans="1:2" ht="18.75">
      <c r="A10866" s="80" t="s">
        <v>4212</v>
      </c>
      <c r="B10866" s="1" t="s">
        <v>7110</v>
      </c>
    </row>
    <row r="10867" spans="1:2" ht="18.75">
      <c r="A10867" s="80" t="s">
        <v>4207</v>
      </c>
      <c r="B10867" s="1" t="s">
        <v>7110</v>
      </c>
    </row>
    <row r="10868" spans="1:2" ht="18.75">
      <c r="A10868" s="80" t="s">
        <v>4244</v>
      </c>
      <c r="B10868" s="1" t="s">
        <v>7110</v>
      </c>
    </row>
    <row r="10869" spans="1:2" ht="18.75">
      <c r="A10869" s="80" t="s">
        <v>4482</v>
      </c>
      <c r="B10869" s="1" t="s">
        <v>7110</v>
      </c>
    </row>
    <row r="10870" spans="1:2" ht="18.75">
      <c r="A10870" s="80" t="s">
        <v>4491</v>
      </c>
      <c r="B10870" s="1" t="s">
        <v>7110</v>
      </c>
    </row>
    <row r="10871" spans="1:2" ht="18.75">
      <c r="A10871" s="80" t="s">
        <v>4491</v>
      </c>
      <c r="B10871" s="1" t="s">
        <v>7110</v>
      </c>
    </row>
    <row r="10872" spans="1:2" ht="18.75">
      <c r="A10872" s="80" t="s">
        <v>4212</v>
      </c>
      <c r="B10872" s="1" t="s">
        <v>7110</v>
      </c>
    </row>
    <row r="10873" spans="1:2" ht="18.75">
      <c r="A10873" s="80" t="s">
        <v>4482</v>
      </c>
      <c r="B10873" s="1" t="s">
        <v>7110</v>
      </c>
    </row>
    <row r="10874" spans="1:2" ht="18.75">
      <c r="A10874" s="108" t="s">
        <v>4491</v>
      </c>
      <c r="B10874" s="1" t="s">
        <v>7110</v>
      </c>
    </row>
    <row r="10875" spans="1:2" ht="18">
      <c r="A10875" s="50" t="s">
        <v>4190</v>
      </c>
      <c r="B10875" s="1" t="s">
        <v>7110</v>
      </c>
    </row>
    <row r="10876" spans="1:2" ht="18">
      <c r="A10876" s="50" t="s">
        <v>4191</v>
      </c>
      <c r="B10876" s="1" t="s">
        <v>7110</v>
      </c>
    </row>
    <row r="10877" spans="1:2" ht="18">
      <c r="A10877" s="50" t="s">
        <v>4192</v>
      </c>
      <c r="B10877" s="1" t="s">
        <v>7110</v>
      </c>
    </row>
    <row r="10878" spans="1:2" ht="18">
      <c r="A10878" s="50" t="s">
        <v>4193</v>
      </c>
      <c r="B10878" s="1" t="s">
        <v>7110</v>
      </c>
    </row>
    <row r="10879" spans="1:2" ht="18">
      <c r="A10879" s="50" t="s">
        <v>4201</v>
      </c>
      <c r="B10879" s="1" t="s">
        <v>7110</v>
      </c>
    </row>
    <row r="10880" spans="1:2" ht="18">
      <c r="A10880" s="50" t="s">
        <v>4191</v>
      </c>
      <c r="B10880" s="1" t="s">
        <v>7110</v>
      </c>
    </row>
    <row r="10881" spans="1:2" ht="18">
      <c r="A10881" s="50" t="s">
        <v>4193</v>
      </c>
      <c r="B10881" s="1" t="s">
        <v>7110</v>
      </c>
    </row>
    <row r="10882" spans="1:2" ht="18">
      <c r="A10882" s="50" t="s">
        <v>4202</v>
      </c>
      <c r="B10882" s="1" t="s">
        <v>7110</v>
      </c>
    </row>
    <row r="10883" spans="1:2" ht="18">
      <c r="A10883" s="50" t="s">
        <v>4193</v>
      </c>
      <c r="B10883" s="1" t="s">
        <v>7110</v>
      </c>
    </row>
    <row r="10884" spans="1:2" ht="18">
      <c r="A10884" s="50" t="s">
        <v>4208</v>
      </c>
      <c r="B10884" s="1" t="s">
        <v>7110</v>
      </c>
    </row>
    <row r="10885" spans="1:2" ht="18">
      <c r="A10885" s="50" t="s">
        <v>4209</v>
      </c>
      <c r="B10885" s="1" t="s">
        <v>7110</v>
      </c>
    </row>
    <row r="10886" spans="1:2" ht="18">
      <c r="A10886" s="50" t="s">
        <v>4214</v>
      </c>
      <c r="B10886" s="1" t="s">
        <v>7110</v>
      </c>
    </row>
    <row r="10887" spans="1:2" ht="18">
      <c r="A10887" s="50" t="s">
        <v>4219</v>
      </c>
      <c r="B10887" s="1" t="s">
        <v>7110</v>
      </c>
    </row>
    <row r="10888" spans="1:2" ht="18">
      <c r="A10888" s="50" t="s">
        <v>4202</v>
      </c>
      <c r="B10888" s="1" t="s">
        <v>7110</v>
      </c>
    </row>
    <row r="10889" spans="1:2" ht="18">
      <c r="A10889" s="50" t="s">
        <v>4193</v>
      </c>
      <c r="B10889" s="1" t="s">
        <v>7110</v>
      </c>
    </row>
    <row r="10890" spans="1:2" ht="18">
      <c r="A10890" s="50" t="s">
        <v>4224</v>
      </c>
      <c r="B10890" s="1" t="s">
        <v>7110</v>
      </c>
    </row>
    <row r="10891" spans="1:2" ht="18">
      <c r="A10891" s="50" t="s">
        <v>4225</v>
      </c>
      <c r="B10891" s="1" t="s">
        <v>7110</v>
      </c>
    </row>
    <row r="10892" spans="1:2" ht="18">
      <c r="A10892" s="50" t="s">
        <v>4236</v>
      </c>
      <c r="B10892" s="1" t="s">
        <v>7110</v>
      </c>
    </row>
    <row r="10893" spans="1:2" ht="18">
      <c r="A10893" s="50" t="s">
        <v>4237</v>
      </c>
      <c r="B10893" s="1" t="s">
        <v>7110</v>
      </c>
    </row>
    <row r="10894" spans="1:2" ht="18">
      <c r="A10894" s="50" t="s">
        <v>4238</v>
      </c>
      <c r="B10894" s="1" t="s">
        <v>7110</v>
      </c>
    </row>
    <row r="10895" spans="1:2" ht="18">
      <c r="A10895" s="50" t="s">
        <v>4238</v>
      </c>
      <c r="B10895" s="1" t="s">
        <v>7110</v>
      </c>
    </row>
    <row r="10896" spans="1:2" ht="18">
      <c r="A10896" s="50" t="s">
        <v>4239</v>
      </c>
      <c r="B10896" s="1" t="s">
        <v>7110</v>
      </c>
    </row>
    <row r="10897" spans="1:2" ht="18">
      <c r="A10897" s="50" t="s">
        <v>4209</v>
      </c>
      <c r="B10897" s="1" t="s">
        <v>7110</v>
      </c>
    </row>
    <row r="10898" spans="1:2" ht="18">
      <c r="A10898" s="50" t="s">
        <v>4239</v>
      </c>
      <c r="B10898" s="1" t="s">
        <v>7110</v>
      </c>
    </row>
    <row r="10899" spans="1:2" ht="18">
      <c r="A10899" s="50" t="s">
        <v>4240</v>
      </c>
      <c r="B10899" s="1" t="s">
        <v>7110</v>
      </c>
    </row>
    <row r="10900" spans="1:2" ht="18">
      <c r="A10900" s="50" t="s">
        <v>4192</v>
      </c>
      <c r="B10900" s="1" t="s">
        <v>7110</v>
      </c>
    </row>
    <row r="10901" spans="1:2" ht="18">
      <c r="A10901" s="50" t="s">
        <v>4241</v>
      </c>
      <c r="B10901" s="1" t="s">
        <v>7110</v>
      </c>
    </row>
    <row r="10902" spans="1:2" ht="18">
      <c r="A10902" s="50" t="s">
        <v>4237</v>
      </c>
      <c r="B10902" s="1" t="s">
        <v>7110</v>
      </c>
    </row>
    <row r="10903" spans="1:2" ht="18">
      <c r="A10903" s="50" t="s">
        <v>4242</v>
      </c>
      <c r="B10903" s="1" t="s">
        <v>7110</v>
      </c>
    </row>
    <row r="10904" spans="1:2" ht="18">
      <c r="A10904" s="50" t="s">
        <v>4243</v>
      </c>
      <c r="B10904" s="1" t="s">
        <v>7110</v>
      </c>
    </row>
    <row r="10905" spans="1:2" ht="18">
      <c r="A10905" s="50" t="s">
        <v>4219</v>
      </c>
      <c r="B10905" s="1" t="s">
        <v>7110</v>
      </c>
    </row>
    <row r="10906" spans="1:2" ht="18">
      <c r="A10906" s="50" t="s">
        <v>4243</v>
      </c>
      <c r="B10906" s="1" t="s">
        <v>7110</v>
      </c>
    </row>
    <row r="10907" spans="1:2" ht="18">
      <c r="A10907" s="50" t="s">
        <v>4242</v>
      </c>
      <c r="B10907" s="1" t="s">
        <v>7110</v>
      </c>
    </row>
    <row r="10908" spans="1:2" ht="18">
      <c r="A10908" s="50" t="s">
        <v>4236</v>
      </c>
      <c r="B10908" s="1" t="s">
        <v>7110</v>
      </c>
    </row>
    <row r="10909" spans="1:2" ht="18">
      <c r="A10909" s="50" t="s">
        <v>4236</v>
      </c>
      <c r="B10909" s="1" t="s">
        <v>7110</v>
      </c>
    </row>
    <row r="10910" spans="1:2" ht="18">
      <c r="A10910" s="50" t="s">
        <v>4259</v>
      </c>
      <c r="B10910" s="1" t="s">
        <v>7110</v>
      </c>
    </row>
    <row r="10911" spans="1:2" ht="18">
      <c r="A10911" s="50" t="s">
        <v>4259</v>
      </c>
      <c r="B10911" s="1" t="s">
        <v>7110</v>
      </c>
    </row>
    <row r="10912" spans="1:2" ht="18">
      <c r="A10912" s="50" t="s">
        <v>4219</v>
      </c>
      <c r="B10912" s="1" t="s">
        <v>7110</v>
      </c>
    </row>
    <row r="10913" spans="1:2" ht="18">
      <c r="A10913" s="50" t="s">
        <v>4260</v>
      </c>
      <c r="B10913" s="1" t="s">
        <v>7110</v>
      </c>
    </row>
    <row r="10914" spans="1:2" ht="18">
      <c r="A10914" s="50" t="s">
        <v>4224</v>
      </c>
      <c r="B10914" s="1" t="s">
        <v>7110</v>
      </c>
    </row>
    <row r="10915" spans="1:2" ht="18">
      <c r="A10915" s="50" t="s">
        <v>4241</v>
      </c>
      <c r="B10915" s="1" t="s">
        <v>7110</v>
      </c>
    </row>
    <row r="10916" spans="1:2" ht="18">
      <c r="A10916" s="50" t="s">
        <v>4241</v>
      </c>
      <c r="B10916" s="1" t="s">
        <v>7110</v>
      </c>
    </row>
    <row r="10917" spans="1:2" ht="18">
      <c r="A10917" s="50" t="s">
        <v>4219</v>
      </c>
      <c r="B10917" s="1" t="s">
        <v>7110</v>
      </c>
    </row>
    <row r="10918" spans="1:2" ht="18">
      <c r="A10918" s="50" t="s">
        <v>4202</v>
      </c>
      <c r="B10918" s="1" t="s">
        <v>7110</v>
      </c>
    </row>
    <row r="10919" spans="1:2" ht="18">
      <c r="A10919" s="50" t="s">
        <v>4202</v>
      </c>
      <c r="B10919" s="1" t="s">
        <v>7110</v>
      </c>
    </row>
    <row r="10920" spans="1:2" ht="18">
      <c r="A10920" s="50" t="s">
        <v>4478</v>
      </c>
      <c r="B10920" s="1" t="s">
        <v>7110</v>
      </c>
    </row>
    <row r="10921" spans="1:2" ht="18">
      <c r="A10921" s="50" t="s">
        <v>4478</v>
      </c>
      <c r="B10921" s="1" t="s">
        <v>7110</v>
      </c>
    </row>
    <row r="10922" spans="1:2" ht="18">
      <c r="A10922" s="50" t="s">
        <v>4485</v>
      </c>
      <c r="B10922" s="1" t="s">
        <v>7110</v>
      </c>
    </row>
    <row r="10923" spans="1:2" ht="18">
      <c r="A10923" s="50" t="s">
        <v>4214</v>
      </c>
      <c r="B10923" s="1" t="s">
        <v>7110</v>
      </c>
    </row>
    <row r="10924" spans="1:2" ht="18">
      <c r="A10924" s="50" t="s">
        <v>4485</v>
      </c>
      <c r="B10924" s="1" t="s">
        <v>7110</v>
      </c>
    </row>
    <row r="10925" spans="1:2" ht="18">
      <c r="A10925" s="50" t="s">
        <v>4208</v>
      </c>
      <c r="B10925" s="1" t="s">
        <v>7110</v>
      </c>
    </row>
    <row r="10926" spans="1:2" ht="18">
      <c r="A10926" s="50" t="s">
        <v>4592</v>
      </c>
      <c r="B10926" s="1" t="s">
        <v>7110</v>
      </c>
    </row>
    <row r="10927" spans="1:2" ht="18">
      <c r="A10927" s="50" t="s">
        <v>4485</v>
      </c>
      <c r="B10927" s="1" t="s">
        <v>7110</v>
      </c>
    </row>
    <row r="10928" spans="1:2" ht="18">
      <c r="A10928" s="50" t="s">
        <v>4485</v>
      </c>
      <c r="B10928" s="1" t="s">
        <v>7110</v>
      </c>
    </row>
    <row r="10929" spans="1:2" ht="18">
      <c r="A10929" s="50" t="s">
        <v>4604</v>
      </c>
      <c r="B10929" s="1" t="s">
        <v>7110</v>
      </c>
    </row>
    <row r="10930" spans="1:2" ht="18">
      <c r="A10930" s="50" t="s">
        <v>4604</v>
      </c>
      <c r="B10930" s="1" t="s">
        <v>7110</v>
      </c>
    </row>
    <row r="10931" spans="1:2" ht="18">
      <c r="A10931" s="50" t="s">
        <v>4673</v>
      </c>
      <c r="B10931" s="1" t="s">
        <v>7110</v>
      </c>
    </row>
    <row r="10932" spans="1:2" ht="18">
      <c r="A10932" s="50" t="s">
        <v>4680</v>
      </c>
      <c r="B10932" s="1" t="s">
        <v>7110</v>
      </c>
    </row>
    <row r="10933" spans="1:2" ht="18">
      <c r="A10933" s="50" t="s">
        <v>4673</v>
      </c>
      <c r="B10933" s="1" t="s">
        <v>7110</v>
      </c>
    </row>
    <row r="10934" spans="1:2" ht="18">
      <c r="A10934" s="50" t="s">
        <v>4592</v>
      </c>
      <c r="B10934" s="1" t="s">
        <v>7110</v>
      </c>
    </row>
    <row r="10935" spans="1:2" ht="18">
      <c r="A10935" s="50" t="s">
        <v>4721</v>
      </c>
      <c r="B10935" s="1" t="s">
        <v>7110</v>
      </c>
    </row>
    <row r="10936" spans="1:2" ht="18">
      <c r="A10936" s="50" t="s">
        <v>4680</v>
      </c>
      <c r="B10936" s="1" t="s">
        <v>7110</v>
      </c>
    </row>
    <row r="10937" spans="1:2" ht="18">
      <c r="A10937" s="50" t="s">
        <v>4728</v>
      </c>
      <c r="B10937" s="1" t="s">
        <v>7110</v>
      </c>
    </row>
    <row r="10938" spans="1:2" ht="18">
      <c r="A10938" s="50" t="s">
        <v>4604</v>
      </c>
      <c r="B10938" s="1" t="s">
        <v>7110</v>
      </c>
    </row>
    <row r="10939" spans="1:2" ht="18">
      <c r="A10939" s="50" t="s">
        <v>4721</v>
      </c>
      <c r="B10939" s="1" t="s">
        <v>7110</v>
      </c>
    </row>
    <row r="10940" spans="1:2" ht="18">
      <c r="A10940" s="50" t="s">
        <v>4899</v>
      </c>
      <c r="B10940" s="1" t="s">
        <v>7110</v>
      </c>
    </row>
    <row r="10941" spans="1:2" ht="18">
      <c r="A10941" s="50" t="s">
        <v>4728</v>
      </c>
      <c r="B10941" s="1" t="s">
        <v>7110</v>
      </c>
    </row>
    <row r="10942" spans="1:2" ht="18">
      <c r="A10942" s="50" t="s">
        <v>4728</v>
      </c>
      <c r="B10942" s="1" t="s">
        <v>7110</v>
      </c>
    </row>
    <row r="10943" spans="1:2" ht="18">
      <c r="A10943" s="50" t="s">
        <v>4721</v>
      </c>
      <c r="B10943" s="1" t="s">
        <v>7110</v>
      </c>
    </row>
    <row r="10944" spans="1:2" ht="18">
      <c r="A10944" s="50" t="s">
        <v>5031</v>
      </c>
      <c r="B10944" s="1" t="s">
        <v>7110</v>
      </c>
    </row>
    <row r="10945" spans="1:2" ht="18">
      <c r="A10945" s="50" t="s">
        <v>3654</v>
      </c>
      <c r="B10945" s="1" t="s">
        <v>7110</v>
      </c>
    </row>
    <row r="10946" spans="1:2" ht="18">
      <c r="A10946" s="50" t="s">
        <v>3654</v>
      </c>
      <c r="B10946" s="1" t="s">
        <v>7110</v>
      </c>
    </row>
    <row r="10947" spans="1:2" ht="18">
      <c r="A10947" s="50" t="s">
        <v>3654</v>
      </c>
      <c r="B10947" s="1" t="s">
        <v>7110</v>
      </c>
    </row>
    <row r="10948" spans="1:2" ht="18">
      <c r="A10948" s="50" t="s">
        <v>3654</v>
      </c>
      <c r="B10948" s="1" t="s">
        <v>7110</v>
      </c>
    </row>
    <row r="10949" spans="1:2" ht="18">
      <c r="A10949" s="50" t="s">
        <v>3835</v>
      </c>
      <c r="B10949" s="1" t="s">
        <v>7110</v>
      </c>
    </row>
    <row r="10950" spans="1:2" ht="18">
      <c r="A10950" s="50" t="s">
        <v>3835</v>
      </c>
      <c r="B10950" s="1" t="s">
        <v>7110</v>
      </c>
    </row>
    <row r="10951" spans="1:2" ht="18">
      <c r="A10951" s="50" t="s">
        <v>3654</v>
      </c>
      <c r="B10951" s="1" t="s">
        <v>7110</v>
      </c>
    </row>
    <row r="10952" spans="1:2" ht="18">
      <c r="A10952" s="50" t="s">
        <v>3890</v>
      </c>
      <c r="B10952" s="1" t="s">
        <v>7110</v>
      </c>
    </row>
    <row r="10953" spans="1:2" ht="18">
      <c r="A10953" s="50" t="s">
        <v>3890</v>
      </c>
      <c r="B10953" s="1" t="s">
        <v>7110</v>
      </c>
    </row>
    <row r="10954" spans="1:2" ht="18">
      <c r="A10954" s="50" t="s">
        <v>4226</v>
      </c>
      <c r="B10954" s="1" t="s">
        <v>7110</v>
      </c>
    </row>
    <row r="10955" spans="1:2" ht="18">
      <c r="A10955" s="50" t="s">
        <v>4226</v>
      </c>
      <c r="B10955" s="1" t="s">
        <v>7110</v>
      </c>
    </row>
    <row r="10956" spans="1:2" ht="18">
      <c r="A10956" s="50" t="s">
        <v>3890</v>
      </c>
      <c r="B10956" s="1" t="s">
        <v>7110</v>
      </c>
    </row>
    <row r="10957" spans="1:2" ht="18">
      <c r="A10957" s="50" t="s">
        <v>3890</v>
      </c>
      <c r="B10957" s="1" t="s">
        <v>7110</v>
      </c>
    </row>
    <row r="10958" spans="1:2" ht="18">
      <c r="A10958" s="50" t="s">
        <v>3890</v>
      </c>
      <c r="B10958" s="1" t="s">
        <v>7110</v>
      </c>
    </row>
    <row r="10959" spans="1:2" ht="18">
      <c r="A10959" s="50" t="s">
        <v>3835</v>
      </c>
      <c r="B10959" s="1" t="s">
        <v>7110</v>
      </c>
    </row>
    <row r="10960" spans="1:2" ht="18">
      <c r="A10960" s="50" t="s">
        <v>4226</v>
      </c>
      <c r="B10960" s="1" t="s">
        <v>7110</v>
      </c>
    </row>
    <row r="10961" spans="1:2" ht="18">
      <c r="A10961" s="50" t="s">
        <v>3890</v>
      </c>
      <c r="B10961" s="1" t="s">
        <v>7110</v>
      </c>
    </row>
    <row r="10962" spans="1:2" ht="18">
      <c r="A10962" s="50" t="s">
        <v>4456</v>
      </c>
      <c r="B10962" s="1" t="s">
        <v>7110</v>
      </c>
    </row>
    <row r="10963" spans="1:2" ht="18">
      <c r="A10963" s="50" t="s">
        <v>4459</v>
      </c>
      <c r="B10963" s="1" t="s">
        <v>7110</v>
      </c>
    </row>
    <row r="10964" spans="1:2" ht="18">
      <c r="A10964" s="50" t="s">
        <v>4456</v>
      </c>
      <c r="B10964" s="1" t="s">
        <v>7110</v>
      </c>
    </row>
    <row r="10965" spans="1:2" ht="18">
      <c r="A10965" s="50" t="s">
        <v>4475</v>
      </c>
      <c r="B10965" s="1" t="s">
        <v>7110</v>
      </c>
    </row>
    <row r="10966" spans="1:2" ht="18">
      <c r="A10966" s="50" t="s">
        <v>4226</v>
      </c>
      <c r="B10966" s="1" t="s">
        <v>7110</v>
      </c>
    </row>
    <row r="10967" spans="1:2" ht="18">
      <c r="A10967" s="50" t="s">
        <v>4459</v>
      </c>
      <c r="B10967" s="1" t="s">
        <v>7110</v>
      </c>
    </row>
    <row r="10968" spans="1:2" ht="18">
      <c r="A10968" s="50" t="s">
        <v>4459</v>
      </c>
      <c r="B10968" s="1" t="s">
        <v>7110</v>
      </c>
    </row>
    <row r="10969" spans="1:2" ht="18">
      <c r="A10969" s="50" t="s">
        <v>4459</v>
      </c>
      <c r="B10969" s="1" t="s">
        <v>7110</v>
      </c>
    </row>
    <row r="10970" spans="1:2" ht="18">
      <c r="A10970" s="50" t="s">
        <v>4459</v>
      </c>
      <c r="B10970" s="1" t="s">
        <v>7110</v>
      </c>
    </row>
    <row r="10971" spans="1:2" ht="18">
      <c r="A10971" s="50" t="s">
        <v>4671</v>
      </c>
      <c r="B10971" s="1" t="s">
        <v>7110</v>
      </c>
    </row>
    <row r="10972" spans="1:2" ht="18">
      <c r="A10972" s="50" t="s">
        <v>4459</v>
      </c>
      <c r="B10972" s="1" t="s">
        <v>7110</v>
      </c>
    </row>
    <row r="10973" spans="1:2" ht="18">
      <c r="A10973" s="50" t="s">
        <v>4459</v>
      </c>
      <c r="B10973" s="1" t="s">
        <v>7110</v>
      </c>
    </row>
    <row r="10974" spans="1:2" ht="18">
      <c r="A10974" s="50" t="s">
        <v>3835</v>
      </c>
      <c r="B10974" s="1" t="s">
        <v>7110</v>
      </c>
    </row>
    <row r="10975" spans="1:2" ht="18">
      <c r="A10975" s="50" t="s">
        <v>3835</v>
      </c>
      <c r="B10975" s="1" t="s">
        <v>7110</v>
      </c>
    </row>
    <row r="10976" spans="1:2" ht="18">
      <c r="A10976" s="50" t="s">
        <v>3654</v>
      </c>
      <c r="B10976" s="1" t="s">
        <v>7110</v>
      </c>
    </row>
    <row r="10977" spans="1:2" ht="18">
      <c r="A10977" s="50" t="s">
        <v>4896</v>
      </c>
      <c r="B10977" s="1" t="s">
        <v>7110</v>
      </c>
    </row>
    <row r="10978" spans="1:2" ht="18">
      <c r="A10978" s="50" t="s">
        <v>4906</v>
      </c>
      <c r="B10978" s="1" t="s">
        <v>7110</v>
      </c>
    </row>
    <row r="10979" spans="1:2" ht="18">
      <c r="A10979" s="50" t="s">
        <v>4459</v>
      </c>
      <c r="B10979" s="1" t="s">
        <v>7110</v>
      </c>
    </row>
    <row r="10980" spans="1:2" ht="18">
      <c r="A10980" s="50" t="s">
        <v>4896</v>
      </c>
      <c r="B10980" s="1" t="s">
        <v>7110</v>
      </c>
    </row>
    <row r="10981" spans="1:2" ht="18">
      <c r="A10981" s="50" t="s">
        <v>4906</v>
      </c>
      <c r="B10981" s="1" t="s">
        <v>7110</v>
      </c>
    </row>
    <row r="10982" spans="1:2" ht="18">
      <c r="A10982" s="50" t="s">
        <v>4906</v>
      </c>
      <c r="B10982" s="1" t="s">
        <v>7110</v>
      </c>
    </row>
    <row r="10983" spans="1:2" ht="18">
      <c r="A10983" s="50" t="s">
        <v>4937</v>
      </c>
      <c r="B10983" s="1" t="s">
        <v>7110</v>
      </c>
    </row>
    <row r="10984" spans="1:2" ht="18">
      <c r="A10984" s="50" t="s">
        <v>4906</v>
      </c>
      <c r="B10984" s="1" t="s">
        <v>7110</v>
      </c>
    </row>
    <row r="10985" spans="1:2" ht="18">
      <c r="A10985" s="50" t="s">
        <v>4896</v>
      </c>
      <c r="B10985" s="1" t="s">
        <v>7110</v>
      </c>
    </row>
    <row r="10986" spans="1:2" ht="18">
      <c r="A10986" s="50" t="s">
        <v>4937</v>
      </c>
      <c r="B10986" s="1" t="s">
        <v>7110</v>
      </c>
    </row>
    <row r="10987" spans="1:2" ht="18">
      <c r="A10987" s="50" t="s">
        <v>4906</v>
      </c>
      <c r="B10987" s="1" t="s">
        <v>7110</v>
      </c>
    </row>
    <row r="10988" spans="1:2" ht="18">
      <c r="A10988" s="50" t="s">
        <v>4937</v>
      </c>
      <c r="B10988" s="1" t="s">
        <v>7110</v>
      </c>
    </row>
    <row r="10989" spans="1:2" ht="18">
      <c r="A10989" s="50" t="s">
        <v>4896</v>
      </c>
      <c r="B10989" s="1" t="s">
        <v>7110</v>
      </c>
    </row>
    <row r="10990" spans="1:2" ht="18">
      <c r="A10990" s="50" t="s">
        <v>4197</v>
      </c>
      <c r="B10990" s="1" t="s">
        <v>7110</v>
      </c>
    </row>
    <row r="10991" spans="1:2" ht="18">
      <c r="A10991" s="50" t="s">
        <v>4197</v>
      </c>
      <c r="B10991" s="1" t="s">
        <v>7110</v>
      </c>
    </row>
    <row r="10992" spans="1:2" ht="18">
      <c r="A10992" s="50" t="s">
        <v>4203</v>
      </c>
      <c r="B10992" s="1" t="s">
        <v>7110</v>
      </c>
    </row>
    <row r="10993" spans="1:2" ht="18">
      <c r="A10993" s="50" t="s">
        <v>4197</v>
      </c>
      <c r="B10993" s="1" t="s">
        <v>7110</v>
      </c>
    </row>
    <row r="10994" spans="1:2" ht="18">
      <c r="A10994" s="50" t="s">
        <v>4197</v>
      </c>
      <c r="B10994" s="1" t="s">
        <v>7110</v>
      </c>
    </row>
    <row r="10995" spans="1:2" ht="18">
      <c r="A10995" s="50" t="s">
        <v>4197</v>
      </c>
      <c r="B10995" s="1" t="s">
        <v>7110</v>
      </c>
    </row>
    <row r="10996" spans="1:2" ht="18">
      <c r="A10996" s="50" t="s">
        <v>4197</v>
      </c>
      <c r="B10996" s="1" t="s">
        <v>7110</v>
      </c>
    </row>
    <row r="10997" spans="1:2" ht="18">
      <c r="A10997" s="50" t="s">
        <v>4265</v>
      </c>
      <c r="B10997" s="1" t="s">
        <v>7110</v>
      </c>
    </row>
    <row r="10998" spans="1:2" ht="18">
      <c r="A10998" s="50" t="s">
        <v>4266</v>
      </c>
      <c r="B10998" s="1" t="s">
        <v>7110</v>
      </c>
    </row>
    <row r="10999" spans="1:2" ht="18">
      <c r="A10999" s="50" t="s">
        <v>4266</v>
      </c>
      <c r="B10999" s="1" t="s">
        <v>7110</v>
      </c>
    </row>
    <row r="11000" spans="1:2" ht="18">
      <c r="A11000" s="50" t="s">
        <v>4268</v>
      </c>
      <c r="B11000" s="1" t="s">
        <v>7110</v>
      </c>
    </row>
    <row r="11001" spans="1:2" ht="18">
      <c r="A11001" s="50" t="s">
        <v>4268</v>
      </c>
      <c r="B11001" s="1" t="s">
        <v>7110</v>
      </c>
    </row>
    <row r="11002" spans="1:2" ht="18">
      <c r="A11002" s="50" t="s">
        <v>4269</v>
      </c>
      <c r="B11002" s="1" t="s">
        <v>7110</v>
      </c>
    </row>
    <row r="11003" spans="1:2" ht="18">
      <c r="A11003" s="50" t="s">
        <v>4270</v>
      </c>
      <c r="B11003" s="1" t="s">
        <v>7110</v>
      </c>
    </row>
    <row r="11004" spans="1:2" ht="18">
      <c r="A11004" s="50" t="s">
        <v>4270</v>
      </c>
      <c r="B11004" s="1" t="s">
        <v>7110</v>
      </c>
    </row>
    <row r="11005" spans="1:2" ht="18">
      <c r="A11005" s="50" t="s">
        <v>4269</v>
      </c>
      <c r="B11005" s="1" t="s">
        <v>7110</v>
      </c>
    </row>
    <row r="11006" spans="1:2" ht="18">
      <c r="A11006" s="50" t="s">
        <v>4265</v>
      </c>
      <c r="B11006" s="1" t="s">
        <v>7110</v>
      </c>
    </row>
    <row r="11007" spans="1:2" ht="18">
      <c r="A11007" s="50" t="s">
        <v>4276</v>
      </c>
      <c r="B11007" s="1" t="s">
        <v>7110</v>
      </c>
    </row>
    <row r="11008" spans="1:2" ht="18">
      <c r="A11008" s="50" t="s">
        <v>4277</v>
      </c>
      <c r="B11008" s="1" t="s">
        <v>7110</v>
      </c>
    </row>
    <row r="11009" spans="1:2" ht="18">
      <c r="A11009" s="50" t="s">
        <v>4277</v>
      </c>
      <c r="B11009" s="1" t="s">
        <v>7110</v>
      </c>
    </row>
    <row r="11010" spans="1:2" ht="18">
      <c r="A11010" s="50" t="s">
        <v>4277</v>
      </c>
      <c r="B11010" s="1" t="s">
        <v>7110</v>
      </c>
    </row>
    <row r="11011" spans="1:2" ht="18">
      <c r="A11011" s="50" t="s">
        <v>4280</v>
      </c>
      <c r="B11011" s="1" t="s">
        <v>7110</v>
      </c>
    </row>
    <row r="11012" spans="1:2" ht="18">
      <c r="A11012" s="50" t="s">
        <v>4265</v>
      </c>
      <c r="B11012" s="1" t="s">
        <v>7110</v>
      </c>
    </row>
    <row r="11013" spans="1:2" ht="18">
      <c r="A11013" s="50" t="s">
        <v>4281</v>
      </c>
      <c r="B11013" s="1" t="s">
        <v>7110</v>
      </c>
    </row>
    <row r="11014" spans="1:2" ht="18">
      <c r="A11014" s="50" t="s">
        <v>4284</v>
      </c>
      <c r="B11014" s="1" t="s">
        <v>7110</v>
      </c>
    </row>
    <row r="11015" spans="1:2" ht="18">
      <c r="A11015" s="50" t="s">
        <v>4284</v>
      </c>
      <c r="B11015" s="1" t="s">
        <v>7110</v>
      </c>
    </row>
    <row r="11016" spans="1:2" ht="18">
      <c r="A11016" s="50" t="s">
        <v>4285</v>
      </c>
      <c r="B11016" s="1" t="s">
        <v>7110</v>
      </c>
    </row>
    <row r="11017" spans="1:2" ht="18">
      <c r="A11017" s="50" t="s">
        <v>4285</v>
      </c>
      <c r="B11017" s="1" t="s">
        <v>7110</v>
      </c>
    </row>
    <row r="11018" spans="1:2" ht="18">
      <c r="A11018" s="50" t="s">
        <v>4268</v>
      </c>
      <c r="B11018" s="1" t="s">
        <v>7110</v>
      </c>
    </row>
    <row r="11019" spans="1:2" ht="18">
      <c r="A11019" s="50" t="s">
        <v>4288</v>
      </c>
      <c r="B11019" s="1" t="s">
        <v>7110</v>
      </c>
    </row>
    <row r="11020" spans="1:2" ht="18">
      <c r="A11020" s="50" t="s">
        <v>4265</v>
      </c>
      <c r="B11020" s="1" t="s">
        <v>7110</v>
      </c>
    </row>
    <row r="11021" spans="1:2" ht="18">
      <c r="A11021" s="50" t="s">
        <v>4289</v>
      </c>
      <c r="B11021" s="1" t="s">
        <v>7110</v>
      </c>
    </row>
    <row r="11022" spans="1:2" ht="18">
      <c r="A11022" s="50" t="s">
        <v>4290</v>
      </c>
      <c r="B11022" s="1" t="s">
        <v>7110</v>
      </c>
    </row>
    <row r="11023" spans="1:2" ht="18">
      <c r="A11023" s="50" t="s">
        <v>4291</v>
      </c>
      <c r="B11023" s="1" t="s">
        <v>7110</v>
      </c>
    </row>
    <row r="11024" spans="1:2" ht="18">
      <c r="A11024" s="50" t="s">
        <v>4265</v>
      </c>
      <c r="B11024" s="1" t="s">
        <v>7110</v>
      </c>
    </row>
    <row r="11025" spans="1:2" ht="18">
      <c r="A11025" s="50" t="s">
        <v>4280</v>
      </c>
      <c r="B11025" s="1" t="s">
        <v>7110</v>
      </c>
    </row>
    <row r="11026" spans="1:2" ht="18">
      <c r="A11026" s="50" t="s">
        <v>4293</v>
      </c>
      <c r="B11026" s="1" t="s">
        <v>7110</v>
      </c>
    </row>
    <row r="11027" spans="1:2" ht="18">
      <c r="A11027" s="50" t="s">
        <v>4294</v>
      </c>
      <c r="B11027" s="1" t="s">
        <v>7110</v>
      </c>
    </row>
    <row r="11028" spans="1:2" ht="18">
      <c r="A11028" s="50" t="s">
        <v>4296</v>
      </c>
      <c r="B11028" s="1" t="s">
        <v>7110</v>
      </c>
    </row>
    <row r="11029" spans="1:2" ht="18">
      <c r="A11029" s="50" t="s">
        <v>4297</v>
      </c>
      <c r="B11029" s="1" t="s">
        <v>7110</v>
      </c>
    </row>
    <row r="11030" spans="1:2" ht="18">
      <c r="A11030" s="50" t="s">
        <v>4294</v>
      </c>
      <c r="B11030" s="1" t="s">
        <v>7110</v>
      </c>
    </row>
    <row r="11031" spans="1:2" ht="18">
      <c r="A11031" s="50" t="s">
        <v>4293</v>
      </c>
      <c r="B11031" s="1" t="s">
        <v>7110</v>
      </c>
    </row>
    <row r="11032" spans="1:2" ht="18">
      <c r="A11032" s="50" t="s">
        <v>4270</v>
      </c>
      <c r="B11032" s="1" t="s">
        <v>7110</v>
      </c>
    </row>
    <row r="11033" spans="1:2" ht="18">
      <c r="A11033" s="50" t="s">
        <v>4294</v>
      </c>
      <c r="B11033" s="1" t="s">
        <v>7110</v>
      </c>
    </row>
    <row r="11034" spans="1:2" ht="18">
      <c r="A11034" s="50" t="s">
        <v>4299</v>
      </c>
      <c r="B11034" s="1" t="s">
        <v>7110</v>
      </c>
    </row>
    <row r="11035" spans="1:2" ht="18">
      <c r="A11035" s="50" t="s">
        <v>4280</v>
      </c>
      <c r="B11035" s="1" t="s">
        <v>7110</v>
      </c>
    </row>
    <row r="11036" spans="1:2" ht="18">
      <c r="A11036" s="50" t="s">
        <v>4281</v>
      </c>
      <c r="B11036" s="1" t="s">
        <v>7110</v>
      </c>
    </row>
    <row r="11037" spans="1:2" ht="18">
      <c r="A11037" s="50" t="s">
        <v>4265</v>
      </c>
      <c r="B11037" s="1" t="s">
        <v>7110</v>
      </c>
    </row>
    <row r="11038" spans="1:2" ht="18">
      <c r="A11038" s="50" t="s">
        <v>4280</v>
      </c>
      <c r="B11038" s="1" t="s">
        <v>7110</v>
      </c>
    </row>
    <row r="11039" spans="1:2" ht="18">
      <c r="A11039" s="50" t="s">
        <v>4280</v>
      </c>
      <c r="B11039" s="1" t="s">
        <v>7110</v>
      </c>
    </row>
    <row r="11040" spans="1:2" ht="18">
      <c r="A11040" s="50" t="s">
        <v>4288</v>
      </c>
      <c r="B11040" s="1" t="s">
        <v>7110</v>
      </c>
    </row>
    <row r="11041" spans="1:2" ht="18">
      <c r="A11041" s="50" t="s">
        <v>4296</v>
      </c>
      <c r="B11041" s="1" t="s">
        <v>7110</v>
      </c>
    </row>
    <row r="11042" spans="1:2" ht="18">
      <c r="A11042" s="50" t="s">
        <v>4268</v>
      </c>
      <c r="B11042" s="1" t="s">
        <v>7110</v>
      </c>
    </row>
    <row r="11043" spans="1:2" ht="18">
      <c r="A11043" s="50" t="s">
        <v>4284</v>
      </c>
      <c r="B11043" s="1" t="s">
        <v>7110</v>
      </c>
    </row>
    <row r="11044" spans="1:2" ht="18">
      <c r="A11044" s="50" t="s">
        <v>4269</v>
      </c>
      <c r="B11044" s="1" t="s">
        <v>7110</v>
      </c>
    </row>
    <row r="11045" spans="1:2" ht="18">
      <c r="A11045" s="50" t="s">
        <v>4290</v>
      </c>
      <c r="B11045" s="1" t="s">
        <v>7110</v>
      </c>
    </row>
    <row r="11046" spans="1:2" ht="18">
      <c r="A11046" s="50" t="s">
        <v>4270</v>
      </c>
      <c r="B11046" s="1" t="s">
        <v>7110</v>
      </c>
    </row>
    <row r="11047" spans="1:2" ht="18">
      <c r="A11047" s="50" t="s">
        <v>4291</v>
      </c>
      <c r="B11047" s="1" t="s">
        <v>7110</v>
      </c>
    </row>
    <row r="11048" spans="1:2" ht="18">
      <c r="A11048" s="50" t="s">
        <v>4284</v>
      </c>
      <c r="B11048" s="1" t="s">
        <v>7110</v>
      </c>
    </row>
    <row r="11049" spans="1:2" ht="18">
      <c r="A11049" s="50" t="s">
        <v>4297</v>
      </c>
      <c r="B11049" s="1" t="s">
        <v>7110</v>
      </c>
    </row>
    <row r="11050" spans="1:2" ht="18">
      <c r="A11050" s="50" t="s">
        <v>4281</v>
      </c>
      <c r="B11050" s="1" t="s">
        <v>7110</v>
      </c>
    </row>
    <row r="11051" spans="1:2" ht="18">
      <c r="A11051" s="50" t="s">
        <v>4280</v>
      </c>
      <c r="B11051" s="1" t="s">
        <v>7110</v>
      </c>
    </row>
    <row r="11052" spans="1:2" ht="18">
      <c r="A11052" s="50" t="s">
        <v>4276</v>
      </c>
      <c r="B11052" s="1" t="s">
        <v>7110</v>
      </c>
    </row>
    <row r="11053" spans="1:2" ht="18">
      <c r="A11053" s="50" t="s">
        <v>4280</v>
      </c>
      <c r="B11053" s="1" t="s">
        <v>7110</v>
      </c>
    </row>
    <row r="11054" spans="1:2" ht="18">
      <c r="A11054" s="50" t="s">
        <v>4299</v>
      </c>
      <c r="B11054" s="1" t="s">
        <v>7110</v>
      </c>
    </row>
    <row r="11055" spans="1:2" ht="18">
      <c r="A11055" s="50" t="s">
        <v>4265</v>
      </c>
      <c r="B11055" s="1" t="s">
        <v>7110</v>
      </c>
    </row>
    <row r="11056" spans="1:2" ht="18">
      <c r="A11056" s="50" t="s">
        <v>4270</v>
      </c>
      <c r="B11056" s="1" t="s">
        <v>7110</v>
      </c>
    </row>
    <row r="11057" spans="1:2" ht="18">
      <c r="A11057" s="50" t="s">
        <v>4290</v>
      </c>
      <c r="B11057" s="1" t="s">
        <v>7110</v>
      </c>
    </row>
    <row r="11058" spans="1:2" ht="18">
      <c r="A11058" s="50" t="s">
        <v>4284</v>
      </c>
      <c r="B11058" s="1" t="s">
        <v>7110</v>
      </c>
    </row>
    <row r="11059" spans="1:2" ht="18">
      <c r="A11059" s="50" t="s">
        <v>4293</v>
      </c>
      <c r="B11059" s="1" t="s">
        <v>7110</v>
      </c>
    </row>
    <row r="11060" spans="1:2" ht="18">
      <c r="A11060" s="50" t="s">
        <v>4304</v>
      </c>
      <c r="B11060" s="1" t="s">
        <v>7110</v>
      </c>
    </row>
    <row r="11061" spans="1:2" ht="18">
      <c r="A11061" s="50" t="s">
        <v>4304</v>
      </c>
      <c r="B11061" s="1" t="s">
        <v>7110</v>
      </c>
    </row>
    <row r="11062" spans="1:2" ht="18">
      <c r="A11062" s="50" t="s">
        <v>4304</v>
      </c>
      <c r="B11062" s="1" t="s">
        <v>7110</v>
      </c>
    </row>
    <row r="11063" spans="1:2" ht="18">
      <c r="A11063" s="50" t="s">
        <v>4304</v>
      </c>
      <c r="B11063" s="1" t="s">
        <v>7110</v>
      </c>
    </row>
    <row r="11064" spans="1:2" ht="18">
      <c r="A11064" s="50" t="s">
        <v>4296</v>
      </c>
      <c r="B11064" s="1" t="s">
        <v>7110</v>
      </c>
    </row>
    <row r="11065" spans="1:2" ht="18">
      <c r="A11065" s="50" t="s">
        <v>4297</v>
      </c>
      <c r="B11065" s="1" t="s">
        <v>7110</v>
      </c>
    </row>
    <row r="11066" spans="1:2" ht="18">
      <c r="A11066" s="50" t="s">
        <v>4270</v>
      </c>
      <c r="B11066" s="1" t="s">
        <v>7110</v>
      </c>
    </row>
    <row r="11067" spans="1:2" ht="18">
      <c r="A11067" s="50" t="s">
        <v>4289</v>
      </c>
      <c r="B11067" s="1" t="s">
        <v>7110</v>
      </c>
    </row>
    <row r="11068" spans="1:2" ht="18">
      <c r="A11068" s="50" t="s">
        <v>4289</v>
      </c>
      <c r="B11068" s="1" t="s">
        <v>7110</v>
      </c>
    </row>
    <row r="11069" spans="1:2" ht="18">
      <c r="A11069" s="50" t="s">
        <v>4280</v>
      </c>
      <c r="B11069" s="1" t="s">
        <v>7110</v>
      </c>
    </row>
    <row r="11070" spans="1:2" ht="18">
      <c r="A11070" s="50" t="s">
        <v>4288</v>
      </c>
      <c r="B11070" s="1" t="s">
        <v>7110</v>
      </c>
    </row>
    <row r="11071" spans="1:2" ht="18">
      <c r="A11071" s="50" t="s">
        <v>4299</v>
      </c>
      <c r="B11071" s="1" t="s">
        <v>7110</v>
      </c>
    </row>
    <row r="11072" spans="1:2" ht="18">
      <c r="A11072" s="50" t="s">
        <v>4297</v>
      </c>
      <c r="B11072" s="1" t="s">
        <v>7110</v>
      </c>
    </row>
    <row r="11073" spans="1:2" ht="18">
      <c r="A11073" s="50" t="s">
        <v>4280</v>
      </c>
      <c r="B11073" s="1" t="s">
        <v>7110</v>
      </c>
    </row>
    <row r="11074" spans="1:2" ht="18">
      <c r="A11074" s="50" t="s">
        <v>4280</v>
      </c>
      <c r="B11074" s="1" t="s">
        <v>7110</v>
      </c>
    </row>
    <row r="11075" spans="1:2" ht="18">
      <c r="A11075" s="50" t="s">
        <v>4280</v>
      </c>
      <c r="B11075" s="1" t="s">
        <v>7110</v>
      </c>
    </row>
    <row r="11076" spans="1:2" ht="18">
      <c r="A11076" s="50" t="s">
        <v>4293</v>
      </c>
      <c r="B11076" s="1" t="s">
        <v>7110</v>
      </c>
    </row>
    <row r="11077" spans="1:2" ht="18">
      <c r="A11077" s="50" t="s">
        <v>4276</v>
      </c>
      <c r="B11077" s="1" t="s">
        <v>7110</v>
      </c>
    </row>
    <row r="11078" spans="1:2" ht="18">
      <c r="A11078" s="50" t="s">
        <v>4289</v>
      </c>
      <c r="B11078" s="1" t="s">
        <v>7110</v>
      </c>
    </row>
    <row r="11079" spans="1:2" ht="18">
      <c r="A11079" s="50" t="s">
        <v>4291</v>
      </c>
      <c r="B11079" s="1" t="s">
        <v>7110</v>
      </c>
    </row>
    <row r="11080" spans="1:2" ht="18">
      <c r="A11080" s="50" t="s">
        <v>4290</v>
      </c>
      <c r="B11080" s="1" t="s">
        <v>7110</v>
      </c>
    </row>
    <row r="11081" spans="1:2" ht="18">
      <c r="A11081" s="50" t="s">
        <v>4280</v>
      </c>
      <c r="B11081" s="1" t="s">
        <v>7110</v>
      </c>
    </row>
    <row r="11082" spans="1:2" ht="18">
      <c r="A11082" s="50" t="s">
        <v>4580</v>
      </c>
      <c r="B11082" s="1" t="s">
        <v>7110</v>
      </c>
    </row>
    <row r="11083" spans="1:2" ht="18">
      <c r="A11083" s="50" t="s">
        <v>4585</v>
      </c>
      <c r="B11083" s="1" t="s">
        <v>7110</v>
      </c>
    </row>
    <row r="11084" spans="1:2" ht="18">
      <c r="A11084" s="50" t="s">
        <v>4587</v>
      </c>
      <c r="B11084" s="1" t="s">
        <v>7110</v>
      </c>
    </row>
    <row r="11085" spans="1:2" ht="18">
      <c r="A11085" s="50" t="s">
        <v>4588</v>
      </c>
      <c r="B11085" s="1" t="s">
        <v>7110</v>
      </c>
    </row>
    <row r="11086" spans="1:2" ht="18">
      <c r="A11086" s="50" t="s">
        <v>4585</v>
      </c>
      <c r="B11086" s="1" t="s">
        <v>7110</v>
      </c>
    </row>
    <row r="11087" spans="1:2" ht="18">
      <c r="A11087" s="50" t="s">
        <v>4580</v>
      </c>
      <c r="B11087" s="1" t="s">
        <v>7110</v>
      </c>
    </row>
    <row r="11088" spans="1:2" ht="18">
      <c r="A11088" s="50" t="s">
        <v>4609</v>
      </c>
      <c r="B11088" s="1" t="s">
        <v>7110</v>
      </c>
    </row>
    <row r="11089" spans="1:2" ht="18">
      <c r="A11089" s="50" t="s">
        <v>4611</v>
      </c>
      <c r="B11089" s="1" t="s">
        <v>7110</v>
      </c>
    </row>
    <row r="11090" spans="1:2" ht="18">
      <c r="A11090" s="50" t="s">
        <v>4672</v>
      </c>
      <c r="B11090" s="1" t="s">
        <v>7110</v>
      </c>
    </row>
    <row r="11091" spans="1:2" ht="18">
      <c r="A11091" s="50" t="s">
        <v>4611</v>
      </c>
      <c r="B11091" s="1" t="s">
        <v>7110</v>
      </c>
    </row>
    <row r="11092" spans="1:2" ht="18">
      <c r="A11092" s="50" t="s">
        <v>4676</v>
      </c>
      <c r="B11092" s="1" t="s">
        <v>7110</v>
      </c>
    </row>
    <row r="11093" spans="1:2" ht="18">
      <c r="A11093" s="50" t="s">
        <v>4678</v>
      </c>
      <c r="B11093" s="1" t="s">
        <v>7110</v>
      </c>
    </row>
    <row r="11094" spans="1:2" ht="18">
      <c r="A11094" s="50" t="s">
        <v>4580</v>
      </c>
      <c r="B11094" s="1" t="s">
        <v>7110</v>
      </c>
    </row>
    <row r="11095" spans="1:2" ht="18">
      <c r="A11095" s="50" t="s">
        <v>4682</v>
      </c>
      <c r="B11095" s="1" t="s">
        <v>7110</v>
      </c>
    </row>
    <row r="11096" spans="1:2" ht="18">
      <c r="A11096" s="50" t="s">
        <v>4685</v>
      </c>
      <c r="B11096" s="1" t="s">
        <v>7110</v>
      </c>
    </row>
    <row r="11097" spans="1:2" ht="18">
      <c r="A11097" s="50" t="s">
        <v>4686</v>
      </c>
      <c r="B11097" s="1" t="s">
        <v>7110</v>
      </c>
    </row>
    <row r="11098" spans="1:2" ht="18">
      <c r="A11098" s="50" t="s">
        <v>4686</v>
      </c>
      <c r="B11098" s="1" t="s">
        <v>7110</v>
      </c>
    </row>
    <row r="11099" spans="1:2" ht="18">
      <c r="A11099" s="50" t="s">
        <v>4690</v>
      </c>
      <c r="B11099" s="1" t="s">
        <v>7110</v>
      </c>
    </row>
    <row r="11100" spans="1:2" ht="18">
      <c r="A11100" s="50" t="s">
        <v>4685</v>
      </c>
      <c r="B11100" s="1" t="s">
        <v>7110</v>
      </c>
    </row>
    <row r="11101" spans="1:2" ht="18">
      <c r="A11101" s="50" t="s">
        <v>4682</v>
      </c>
      <c r="B11101" s="1" t="s">
        <v>7110</v>
      </c>
    </row>
    <row r="11102" spans="1:2" ht="18">
      <c r="A11102" s="50" t="s">
        <v>4725</v>
      </c>
      <c r="B11102" s="1" t="s">
        <v>7110</v>
      </c>
    </row>
    <row r="11103" spans="1:2" ht="18">
      <c r="A11103" s="50" t="s">
        <v>4611</v>
      </c>
      <c r="B11103" s="1" t="s">
        <v>7110</v>
      </c>
    </row>
    <row r="11104" spans="1:2" ht="18">
      <c r="A11104" s="50" t="s">
        <v>4588</v>
      </c>
      <c r="B11104" s="1" t="s">
        <v>7110</v>
      </c>
    </row>
    <row r="11105" spans="1:2" ht="18">
      <c r="A11105" s="50" t="s">
        <v>4611</v>
      </c>
      <c r="B11105" s="1" t="s">
        <v>7110</v>
      </c>
    </row>
    <row r="11106" spans="1:2" ht="18">
      <c r="A11106" s="50" t="s">
        <v>4944</v>
      </c>
      <c r="B11106" s="1" t="s">
        <v>7110</v>
      </c>
    </row>
    <row r="11107" spans="1:2" ht="18">
      <c r="A11107" s="50" t="s">
        <v>4944</v>
      </c>
      <c r="B11107" s="1" t="s">
        <v>7110</v>
      </c>
    </row>
    <row r="11108" spans="1:2" ht="18">
      <c r="A11108" s="50" t="s">
        <v>4448</v>
      </c>
      <c r="B11108" s="1" t="s">
        <v>7110</v>
      </c>
    </row>
    <row r="11109" spans="1:2" ht="18">
      <c r="A11109" s="50" t="s">
        <v>4455</v>
      </c>
      <c r="B11109" s="1" t="s">
        <v>7110</v>
      </c>
    </row>
    <row r="11110" spans="1:2" ht="18">
      <c r="A11110" s="50" t="s">
        <v>4577</v>
      </c>
      <c r="B11110" s="1" t="s">
        <v>7110</v>
      </c>
    </row>
    <row r="11111" spans="1:2" ht="18">
      <c r="A11111" s="50" t="s">
        <v>4577</v>
      </c>
      <c r="B11111" s="1" t="s">
        <v>7110</v>
      </c>
    </row>
    <row r="11112" spans="1:2" ht="18">
      <c r="A11112" s="50" t="s">
        <v>4577</v>
      </c>
      <c r="B11112" s="1" t="s">
        <v>7110</v>
      </c>
    </row>
    <row r="11113" spans="1:2" ht="18">
      <c r="A11113" s="50" t="s">
        <v>4610</v>
      </c>
      <c r="B11113" s="1" t="s">
        <v>7110</v>
      </c>
    </row>
    <row r="11114" spans="1:2" ht="18">
      <c r="A11114" s="50" t="s">
        <v>4448</v>
      </c>
      <c r="B11114" s="1" t="s">
        <v>7110</v>
      </c>
    </row>
    <row r="11115" spans="1:2" ht="18">
      <c r="A11115" s="50" t="s">
        <v>4704</v>
      </c>
      <c r="B11115" s="1" t="s">
        <v>7110</v>
      </c>
    </row>
    <row r="11116" spans="1:2" ht="18">
      <c r="A11116" s="50" t="s">
        <v>4705</v>
      </c>
      <c r="B11116" s="1" t="s">
        <v>7110</v>
      </c>
    </row>
    <row r="11117" spans="1:2" ht="18">
      <c r="A11117" s="50" t="s">
        <v>4577</v>
      </c>
      <c r="B11117" s="1" t="s">
        <v>7110</v>
      </c>
    </row>
    <row r="11118" spans="1:2" ht="18">
      <c r="A11118" s="50" t="s">
        <v>4722</v>
      </c>
      <c r="B11118" s="1" t="s">
        <v>7110</v>
      </c>
    </row>
    <row r="11119" spans="1:2" ht="18">
      <c r="A11119" s="50" t="s">
        <v>4722</v>
      </c>
      <c r="B11119" s="1" t="s">
        <v>7110</v>
      </c>
    </row>
    <row r="11120" spans="1:2" ht="18">
      <c r="A11120" s="50" t="s">
        <v>4902</v>
      </c>
      <c r="B11120" s="1" t="s">
        <v>7110</v>
      </c>
    </row>
    <row r="11121" spans="1:2" ht="18">
      <c r="A11121" s="50" t="s">
        <v>4902</v>
      </c>
      <c r="B11121" s="1" t="s">
        <v>7110</v>
      </c>
    </row>
    <row r="11122" spans="1:2" ht="18">
      <c r="A11122" s="50" t="s">
        <v>4722</v>
      </c>
      <c r="B11122" s="1" t="s">
        <v>7110</v>
      </c>
    </row>
    <row r="11123" spans="1:2" ht="18">
      <c r="A11123" s="50" t="s">
        <v>4923</v>
      </c>
      <c r="B11123" s="1" t="s">
        <v>7110</v>
      </c>
    </row>
    <row r="11124" spans="1:2" ht="18">
      <c r="A11124" s="50" t="s">
        <v>4902</v>
      </c>
      <c r="B11124" s="1" t="s">
        <v>7110</v>
      </c>
    </row>
    <row r="11125" spans="1:2" ht="18">
      <c r="A11125" s="50" t="s">
        <v>5058</v>
      </c>
      <c r="B11125" s="1" t="s">
        <v>7110</v>
      </c>
    </row>
    <row r="11126" spans="1:2" ht="18">
      <c r="A11126" s="50" t="s">
        <v>5058</v>
      </c>
      <c r="B11126" s="1" t="s">
        <v>7110</v>
      </c>
    </row>
    <row r="11127" spans="1:2" ht="18">
      <c r="A11127" s="50" t="s">
        <v>5058</v>
      </c>
      <c r="B11127" s="1" t="s">
        <v>7110</v>
      </c>
    </row>
    <row r="11128" spans="1:2" ht="18">
      <c r="A11128" s="50" t="s">
        <v>4348</v>
      </c>
      <c r="B11128" s="1" t="s">
        <v>7110</v>
      </c>
    </row>
    <row r="11129" spans="1:2" ht="18">
      <c r="A11129" s="50" t="s">
        <v>4348</v>
      </c>
      <c r="B11129" s="1" t="s">
        <v>7110</v>
      </c>
    </row>
    <row r="11130" spans="1:2" ht="18">
      <c r="A11130" s="50" t="s">
        <v>4352</v>
      </c>
      <c r="B11130" s="1" t="s">
        <v>7110</v>
      </c>
    </row>
    <row r="11131" spans="1:2" ht="18">
      <c r="A11131" s="50" t="s">
        <v>4352</v>
      </c>
      <c r="B11131" s="1" t="s">
        <v>7110</v>
      </c>
    </row>
    <row r="11132" spans="1:2" ht="18">
      <c r="A11132" s="50" t="s">
        <v>4352</v>
      </c>
      <c r="B11132" s="1" t="s">
        <v>7110</v>
      </c>
    </row>
    <row r="11133" spans="1:2" ht="18">
      <c r="A11133" s="50" t="s">
        <v>4352</v>
      </c>
      <c r="B11133" s="1" t="s">
        <v>7110</v>
      </c>
    </row>
    <row r="11134" spans="1:2" ht="18">
      <c r="A11134" s="50" t="s">
        <v>4352</v>
      </c>
      <c r="B11134" s="1" t="s">
        <v>7110</v>
      </c>
    </row>
    <row r="11135" spans="1:2" ht="18">
      <c r="A11135" s="50" t="s">
        <v>5063</v>
      </c>
      <c r="B11135" s="1" t="s">
        <v>7110</v>
      </c>
    </row>
    <row r="11136" spans="1:2" ht="18">
      <c r="A11136" s="50" t="s">
        <v>4578</v>
      </c>
      <c r="B11136" s="1" t="s">
        <v>7110</v>
      </c>
    </row>
    <row r="11137" spans="1:2" ht="18">
      <c r="A11137" s="50" t="s">
        <v>4578</v>
      </c>
      <c r="B11137" s="1" t="s">
        <v>7110</v>
      </c>
    </row>
    <row r="11138" spans="1:2" ht="18">
      <c r="A11138" s="50" t="s">
        <v>4578</v>
      </c>
      <c r="B11138" s="1" t="s">
        <v>7110</v>
      </c>
    </row>
    <row r="11139" spans="1:2" ht="18">
      <c r="A11139" s="50" t="s">
        <v>4578</v>
      </c>
      <c r="B11139" s="1" t="s">
        <v>7110</v>
      </c>
    </row>
    <row r="11140" spans="1:2" ht="18">
      <c r="A11140" s="50" t="s">
        <v>4578</v>
      </c>
      <c r="B11140" s="1" t="s">
        <v>7110</v>
      </c>
    </row>
    <row r="11141" spans="1:2" ht="18">
      <c r="A11141" s="50" t="s">
        <v>5019</v>
      </c>
      <c r="B11141" s="1" t="s">
        <v>7110</v>
      </c>
    </row>
    <row r="11142" spans="1:2" ht="18">
      <c r="A11142" s="50" t="s">
        <v>5020</v>
      </c>
      <c r="B11142" s="1" t="s">
        <v>7110</v>
      </c>
    </row>
    <row r="11143" spans="1:2" ht="18">
      <c r="A11143" s="50" t="s">
        <v>5019</v>
      </c>
      <c r="B11143" s="1" t="s">
        <v>7110</v>
      </c>
    </row>
    <row r="11144" spans="1:2" ht="18">
      <c r="A11144" s="50" t="s">
        <v>5035</v>
      </c>
      <c r="B11144" s="1" t="s">
        <v>7110</v>
      </c>
    </row>
    <row r="11145" spans="1:2" ht="18">
      <c r="A11145" s="50" t="s">
        <v>5019</v>
      </c>
      <c r="B11145" s="1" t="s">
        <v>7110</v>
      </c>
    </row>
    <row r="11146" spans="1:2" ht="18">
      <c r="A11146" s="50" t="s">
        <v>5020</v>
      </c>
      <c r="B11146" s="1" t="s">
        <v>7110</v>
      </c>
    </row>
    <row r="11147" spans="1:2" ht="18">
      <c r="A11147" s="50" t="s">
        <v>5020</v>
      </c>
      <c r="B11147" s="1" t="s">
        <v>7110</v>
      </c>
    </row>
    <row r="11148" spans="1:2" ht="18">
      <c r="A11148" s="50" t="s">
        <v>5020</v>
      </c>
      <c r="B11148" s="1" t="s">
        <v>7110</v>
      </c>
    </row>
    <row r="11149" spans="1:2" ht="18">
      <c r="A11149" s="50" t="s">
        <v>4703</v>
      </c>
      <c r="B11149" s="1" t="s">
        <v>7110</v>
      </c>
    </row>
    <row r="11150" spans="1:2" ht="18">
      <c r="A11150" s="50" t="s">
        <v>4703</v>
      </c>
      <c r="B11150" s="1" t="s">
        <v>7110</v>
      </c>
    </row>
    <row r="11151" spans="1:2" ht="18">
      <c r="A11151" s="50" t="s">
        <v>4901</v>
      </c>
      <c r="B11151" s="1" t="s">
        <v>7110</v>
      </c>
    </row>
    <row r="11152" spans="1:2" ht="18">
      <c r="A11152" s="50" t="s">
        <v>4908</v>
      </c>
      <c r="B11152" s="1" t="s">
        <v>7110</v>
      </c>
    </row>
    <row r="11153" spans="1:2" ht="18">
      <c r="A11153" s="50" t="s">
        <v>4909</v>
      </c>
      <c r="B11153" s="1" t="s">
        <v>7110</v>
      </c>
    </row>
    <row r="11154" spans="1:2" ht="18">
      <c r="A11154" s="50" t="s">
        <v>4910</v>
      </c>
      <c r="B11154" s="1" t="s">
        <v>7110</v>
      </c>
    </row>
    <row r="11155" spans="1:2" ht="18">
      <c r="A11155" s="50" t="s">
        <v>4901</v>
      </c>
      <c r="B11155" s="1" t="s">
        <v>7110</v>
      </c>
    </row>
    <row r="11156" spans="1:2" ht="18">
      <c r="A11156" s="50" t="s">
        <v>4901</v>
      </c>
      <c r="B11156" s="1" t="s">
        <v>7110</v>
      </c>
    </row>
    <row r="11157" spans="1:2" ht="18">
      <c r="A11157" s="50" t="s">
        <v>4908</v>
      </c>
      <c r="B11157" s="1" t="s">
        <v>7110</v>
      </c>
    </row>
    <row r="11158" spans="1:2" ht="18">
      <c r="A11158" s="50" t="s">
        <v>4932</v>
      </c>
      <c r="B11158" s="1" t="s">
        <v>7110</v>
      </c>
    </row>
    <row r="11159" spans="1:2" ht="18">
      <c r="A11159" s="50" t="s">
        <v>4909</v>
      </c>
      <c r="B11159" s="1" t="s">
        <v>7110</v>
      </c>
    </row>
    <row r="11160" spans="1:2" ht="18">
      <c r="A11160" s="50" t="s">
        <v>4932</v>
      </c>
      <c r="B11160" s="1" t="s">
        <v>7110</v>
      </c>
    </row>
    <row r="11161" spans="1:2" ht="18">
      <c r="A11161" s="50" t="s">
        <v>4932</v>
      </c>
      <c r="B11161" s="1" t="s">
        <v>7110</v>
      </c>
    </row>
    <row r="11162" spans="1:2" ht="18">
      <c r="A11162" s="50" t="s">
        <v>4957</v>
      </c>
      <c r="B11162" s="1" t="s">
        <v>7110</v>
      </c>
    </row>
    <row r="11163" spans="1:2" ht="18">
      <c r="A11163" s="50" t="s">
        <v>4957</v>
      </c>
      <c r="B11163" s="1" t="s">
        <v>7110</v>
      </c>
    </row>
    <row r="11164" spans="1:2" ht="18">
      <c r="A11164" s="50" t="s">
        <v>4958</v>
      </c>
      <c r="B11164" s="1" t="s">
        <v>7110</v>
      </c>
    </row>
    <row r="11165" spans="1:2" ht="18">
      <c r="A11165" s="50" t="s">
        <v>4959</v>
      </c>
      <c r="B11165" s="1" t="s">
        <v>7110</v>
      </c>
    </row>
    <row r="11166" spans="1:2" ht="18">
      <c r="A11166" s="50" t="s">
        <v>4963</v>
      </c>
      <c r="B11166" s="1" t="s">
        <v>7110</v>
      </c>
    </row>
    <row r="11167" spans="1:2" ht="18">
      <c r="A11167" s="50" t="s">
        <v>4932</v>
      </c>
      <c r="B11167" s="1" t="s">
        <v>7110</v>
      </c>
    </row>
    <row r="11168" spans="1:2" ht="18">
      <c r="A11168" s="50" t="s">
        <v>4959</v>
      </c>
      <c r="B11168" s="1" t="s">
        <v>7110</v>
      </c>
    </row>
    <row r="11169" spans="1:2" ht="18">
      <c r="A11169" s="50" t="s">
        <v>4959</v>
      </c>
      <c r="B11169" s="1" t="s">
        <v>7110</v>
      </c>
    </row>
    <row r="11170" spans="1:2" ht="18">
      <c r="A11170" s="50" t="s">
        <v>4959</v>
      </c>
      <c r="B11170" s="1" t="s">
        <v>7110</v>
      </c>
    </row>
    <row r="11171" spans="1:2" ht="18">
      <c r="A11171" s="50" t="s">
        <v>5212</v>
      </c>
      <c r="B11171" s="1" t="s">
        <v>7110</v>
      </c>
    </row>
    <row r="11172" spans="1:2" ht="18">
      <c r="A11172" s="50" t="s">
        <v>5206</v>
      </c>
      <c r="B11172" s="1" t="s">
        <v>7110</v>
      </c>
    </row>
    <row r="11173" spans="1:2" ht="18">
      <c r="A11173" s="50" t="s">
        <v>4302</v>
      </c>
      <c r="B11173" s="1" t="s">
        <v>7110</v>
      </c>
    </row>
    <row r="11174" spans="1:2" ht="18">
      <c r="A11174" s="50" t="s">
        <v>4302</v>
      </c>
      <c r="B11174" s="1" t="s">
        <v>7110</v>
      </c>
    </row>
    <row r="11175" spans="1:2" ht="18">
      <c r="A11175" s="50" t="s">
        <v>4344</v>
      </c>
      <c r="B11175" s="1" t="s">
        <v>7110</v>
      </c>
    </row>
    <row r="11176" spans="1:2" ht="18">
      <c r="A11176" s="50" t="s">
        <v>4345</v>
      </c>
      <c r="B11176" s="1" t="s">
        <v>7110</v>
      </c>
    </row>
    <row r="11177" spans="1:2" ht="18">
      <c r="A11177" s="50" t="s">
        <v>4347</v>
      </c>
      <c r="B11177" s="1" t="s">
        <v>7110</v>
      </c>
    </row>
    <row r="11178" spans="1:2" ht="18">
      <c r="A11178" s="50" t="s">
        <v>4302</v>
      </c>
      <c r="B11178" s="1" t="s">
        <v>7110</v>
      </c>
    </row>
    <row r="11179" spans="1:2" ht="18">
      <c r="A11179" s="50" t="s">
        <v>4349</v>
      </c>
      <c r="B11179" s="1" t="s">
        <v>7110</v>
      </c>
    </row>
    <row r="11180" spans="1:2" ht="18">
      <c r="A11180" s="50" t="s">
        <v>4350</v>
      </c>
      <c r="B11180" s="1" t="s">
        <v>7110</v>
      </c>
    </row>
    <row r="11181" spans="1:2" ht="18">
      <c r="A11181" s="50" t="s">
        <v>4347</v>
      </c>
      <c r="B11181" s="1" t="s">
        <v>7110</v>
      </c>
    </row>
    <row r="11182" spans="1:2" ht="18">
      <c r="A11182" s="50" t="s">
        <v>4349</v>
      </c>
      <c r="B11182" s="1" t="s">
        <v>7110</v>
      </c>
    </row>
    <row r="11183" spans="1:2" ht="18">
      <c r="A11183" s="50" t="s">
        <v>4349</v>
      </c>
      <c r="B11183" s="1" t="s">
        <v>7110</v>
      </c>
    </row>
    <row r="11184" spans="1:2" ht="18">
      <c r="A11184" s="50" t="s">
        <v>4302</v>
      </c>
      <c r="B11184" s="1" t="s">
        <v>7110</v>
      </c>
    </row>
    <row r="11185" spans="1:2" ht="18">
      <c r="A11185" s="50" t="s">
        <v>4344</v>
      </c>
      <c r="B11185" s="1" t="s">
        <v>7110</v>
      </c>
    </row>
    <row r="11186" spans="1:2" ht="18">
      <c r="A11186" s="50" t="s">
        <v>4347</v>
      </c>
      <c r="B11186" s="1" t="s">
        <v>7110</v>
      </c>
    </row>
    <row r="11187" spans="1:2" ht="18">
      <c r="A11187" s="50" t="s">
        <v>4344</v>
      </c>
      <c r="B11187" s="1" t="s">
        <v>7110</v>
      </c>
    </row>
    <row r="11188" spans="1:2" ht="18">
      <c r="A11188" s="50" t="s">
        <v>4347</v>
      </c>
      <c r="B11188" s="1" t="s">
        <v>7110</v>
      </c>
    </row>
    <row r="11189" spans="1:2" ht="18">
      <c r="A11189" s="50" t="s">
        <v>4302</v>
      </c>
      <c r="B11189" s="1" t="s">
        <v>7110</v>
      </c>
    </row>
    <row r="11190" spans="1:2" ht="18">
      <c r="A11190" s="50" t="s">
        <v>4345</v>
      </c>
      <c r="B11190" s="1" t="s">
        <v>7110</v>
      </c>
    </row>
    <row r="11191" spans="1:2" ht="18">
      <c r="A11191" s="50" t="s">
        <v>4347</v>
      </c>
      <c r="B11191" s="1" t="s">
        <v>7110</v>
      </c>
    </row>
    <row r="11192" spans="1:2" ht="18">
      <c r="A11192" s="50" t="s">
        <v>4347</v>
      </c>
      <c r="B11192" s="1" t="s">
        <v>7110</v>
      </c>
    </row>
    <row r="11193" spans="1:2" ht="18">
      <c r="A11193" s="50" t="s">
        <v>4347</v>
      </c>
      <c r="B11193" s="1" t="s">
        <v>7110</v>
      </c>
    </row>
    <row r="11194" spans="1:2" ht="18">
      <c r="A11194" s="50" t="s">
        <v>4350</v>
      </c>
      <c r="B11194" s="1" t="s">
        <v>7110</v>
      </c>
    </row>
    <row r="11195" spans="1:2" ht="18">
      <c r="A11195" s="50" t="s">
        <v>4450</v>
      </c>
      <c r="B11195" s="1" t="s">
        <v>7110</v>
      </c>
    </row>
    <row r="11196" spans="1:2" ht="18">
      <c r="A11196" s="50" t="s">
        <v>4451</v>
      </c>
      <c r="B11196" s="1" t="s">
        <v>7110</v>
      </c>
    </row>
    <row r="11197" spans="1:2" ht="18">
      <c r="A11197" s="50" t="s">
        <v>4450</v>
      </c>
      <c r="B11197" s="1" t="s">
        <v>7110</v>
      </c>
    </row>
    <row r="11198" spans="1:2" ht="18">
      <c r="A11198" s="50" t="s">
        <v>4450</v>
      </c>
      <c r="B11198" s="1" t="s">
        <v>7110</v>
      </c>
    </row>
    <row r="11199" spans="1:2" ht="18">
      <c r="A11199" s="50" t="s">
        <v>4451</v>
      </c>
      <c r="B11199" s="1" t="s">
        <v>7110</v>
      </c>
    </row>
    <row r="11200" spans="1:2" ht="18">
      <c r="A11200" s="50" t="s">
        <v>4450</v>
      </c>
      <c r="B11200" s="1" t="s">
        <v>7110</v>
      </c>
    </row>
    <row r="11201" spans="1:2" ht="18">
      <c r="A11201" s="50" t="s">
        <v>4347</v>
      </c>
      <c r="B11201" s="1" t="s">
        <v>7110</v>
      </c>
    </row>
    <row r="11202" spans="1:2" ht="18">
      <c r="A11202" s="50" t="s">
        <v>4454</v>
      </c>
      <c r="B11202" s="1" t="s">
        <v>7110</v>
      </c>
    </row>
    <row r="11203" spans="1:2" ht="18">
      <c r="A11203" s="50" t="s">
        <v>4347</v>
      </c>
      <c r="B11203" s="1" t="s">
        <v>7110</v>
      </c>
    </row>
    <row r="11204" spans="1:2" ht="18">
      <c r="A11204" s="50" t="s">
        <v>4450</v>
      </c>
      <c r="B11204" s="1" t="s">
        <v>7110</v>
      </c>
    </row>
    <row r="11205" spans="1:2" ht="18">
      <c r="A11205" s="50" t="s">
        <v>4347</v>
      </c>
      <c r="B11205" s="1" t="s">
        <v>7110</v>
      </c>
    </row>
    <row r="11206" spans="1:2" ht="18">
      <c r="A11206" s="50" t="s">
        <v>4347</v>
      </c>
      <c r="B11206" s="1" t="s">
        <v>7110</v>
      </c>
    </row>
    <row r="11207" spans="1:2" ht="18">
      <c r="A11207" s="50" t="s">
        <v>4450</v>
      </c>
      <c r="B11207" s="1" t="s">
        <v>7110</v>
      </c>
    </row>
    <row r="11208" spans="1:2" ht="18">
      <c r="A11208" s="50" t="s">
        <v>4451</v>
      </c>
      <c r="B11208" s="1" t="s">
        <v>7110</v>
      </c>
    </row>
    <row r="11209" spans="1:2" ht="18">
      <c r="A11209" s="50" t="s">
        <v>4458</v>
      </c>
      <c r="B11209" s="1" t="s">
        <v>7110</v>
      </c>
    </row>
    <row r="11210" spans="1:2" ht="18">
      <c r="A11210" s="50" t="s">
        <v>4460</v>
      </c>
      <c r="B11210" s="1" t="s">
        <v>7110</v>
      </c>
    </row>
    <row r="11211" spans="1:2" ht="18">
      <c r="A11211" s="50" t="s">
        <v>4602</v>
      </c>
      <c r="B11211" s="1" t="s">
        <v>7110</v>
      </c>
    </row>
    <row r="11212" spans="1:2" ht="18">
      <c r="A11212" s="50" t="s">
        <v>4677</v>
      </c>
      <c r="B11212" s="1" t="s">
        <v>7110</v>
      </c>
    </row>
    <row r="11213" spans="1:2" ht="18">
      <c r="A11213" s="50" t="s">
        <v>4458</v>
      </c>
      <c r="B11213" s="1" t="s">
        <v>7110</v>
      </c>
    </row>
    <row r="11214" spans="1:2" ht="18">
      <c r="A11214" s="50" t="s">
        <v>4677</v>
      </c>
      <c r="B11214" s="1" t="s">
        <v>7110</v>
      </c>
    </row>
    <row r="11215" spans="1:2" ht="18">
      <c r="A11215" s="50" t="s">
        <v>4687</v>
      </c>
      <c r="B11215" s="1" t="s">
        <v>7110</v>
      </c>
    </row>
    <row r="11216" spans="1:2" ht="18">
      <c r="A11216" s="50" t="s">
        <v>4688</v>
      </c>
      <c r="B11216" s="1" t="s">
        <v>7110</v>
      </c>
    </row>
    <row r="11217" spans="1:2" ht="18">
      <c r="A11217" s="50" t="s">
        <v>4451</v>
      </c>
      <c r="B11217" s="1" t="s">
        <v>7110</v>
      </c>
    </row>
    <row r="11218" spans="1:2" ht="18">
      <c r="A11218" s="50" t="s">
        <v>4451</v>
      </c>
      <c r="B11218" s="1" t="s">
        <v>7110</v>
      </c>
    </row>
    <row r="11219" spans="1:2" ht="18">
      <c r="A11219" s="50" t="s">
        <v>4451</v>
      </c>
      <c r="B11219" s="1" t="s">
        <v>7110</v>
      </c>
    </row>
    <row r="11220" spans="1:2" ht="18">
      <c r="A11220" s="50" t="s">
        <v>4451</v>
      </c>
      <c r="B11220" s="1" t="s">
        <v>7110</v>
      </c>
    </row>
    <row r="11221" spans="1:2" ht="18">
      <c r="A11221" s="50" t="s">
        <v>4688</v>
      </c>
      <c r="B11221" s="1" t="s">
        <v>7110</v>
      </c>
    </row>
    <row r="11222" spans="1:2" ht="18">
      <c r="A11222" s="50" t="s">
        <v>4688</v>
      </c>
      <c r="B11222" s="1" t="s">
        <v>7110</v>
      </c>
    </row>
    <row r="11223" spans="1:2" ht="18">
      <c r="A11223" s="50" t="s">
        <v>4688</v>
      </c>
      <c r="B11223" s="1" t="s">
        <v>7110</v>
      </c>
    </row>
    <row r="11224" spans="1:2" ht="18">
      <c r="A11224" s="50" t="s">
        <v>4688</v>
      </c>
      <c r="B11224" s="1" t="s">
        <v>7110</v>
      </c>
    </row>
    <row r="11225" spans="1:2" ht="18">
      <c r="A11225" s="50" t="s">
        <v>4602</v>
      </c>
      <c r="B11225" s="1" t="s">
        <v>7110</v>
      </c>
    </row>
    <row r="11226" spans="1:2" ht="18">
      <c r="A11226" s="50" t="s">
        <v>4451</v>
      </c>
      <c r="B11226" s="1" t="s">
        <v>7110</v>
      </c>
    </row>
    <row r="11227" spans="1:2" ht="18">
      <c r="A11227" s="50" t="s">
        <v>5214</v>
      </c>
      <c r="B11227" s="1" t="s">
        <v>7110</v>
      </c>
    </row>
    <row r="11228" spans="1:2" ht="18">
      <c r="A11228" s="50" t="s">
        <v>5053</v>
      </c>
      <c r="B11228" s="1" t="s">
        <v>7110</v>
      </c>
    </row>
    <row r="11229" spans="1:2" ht="18">
      <c r="A11229" s="50" t="s">
        <v>5053</v>
      </c>
      <c r="B11229" s="1" t="s">
        <v>7110</v>
      </c>
    </row>
    <row r="11230" spans="1:2" ht="18">
      <c r="A11230" s="50" t="s">
        <v>5214</v>
      </c>
      <c r="B11230" s="1" t="s">
        <v>7110</v>
      </c>
    </row>
    <row r="11231" spans="1:2" ht="18">
      <c r="A11231" s="50" t="s">
        <v>5053</v>
      </c>
      <c r="B11231" s="1" t="s">
        <v>7110</v>
      </c>
    </row>
    <row r="11232" spans="1:2" ht="18">
      <c r="A11232" s="50" t="s">
        <v>5218</v>
      </c>
      <c r="B11232" s="1" t="s">
        <v>7110</v>
      </c>
    </row>
    <row r="11233" spans="1:2" ht="18">
      <c r="A11233" s="50" t="s">
        <v>5053</v>
      </c>
      <c r="B11233" s="1" t="s">
        <v>7110</v>
      </c>
    </row>
    <row r="11234" spans="1:2" ht="18">
      <c r="A11234" s="50" t="s">
        <v>5214</v>
      </c>
      <c r="B11234" s="1" t="s">
        <v>7110</v>
      </c>
    </row>
    <row r="11235" spans="1:2" ht="18">
      <c r="A11235" s="50" t="s">
        <v>5175</v>
      </c>
      <c r="B11235" s="1" t="s">
        <v>7110</v>
      </c>
    </row>
    <row r="11236" spans="1:2" ht="18">
      <c r="A11236" s="50" t="s">
        <v>5283</v>
      </c>
      <c r="B11236" s="1" t="s">
        <v>7110</v>
      </c>
    </row>
    <row r="11237" spans="1:2" ht="18">
      <c r="A11237" s="50" t="s">
        <v>5283</v>
      </c>
      <c r="B11237" s="1" t="s">
        <v>7110</v>
      </c>
    </row>
    <row r="11238" spans="1:2" ht="18">
      <c r="A11238" s="50" t="s">
        <v>5175</v>
      </c>
      <c r="B11238" s="1" t="s">
        <v>7110</v>
      </c>
    </row>
    <row r="11239" spans="1:2" ht="18">
      <c r="A11239" s="50" t="s">
        <v>4964</v>
      </c>
      <c r="B11239" s="1" t="s">
        <v>7110</v>
      </c>
    </row>
    <row r="11240" spans="1:2" ht="18">
      <c r="A11240" s="50" t="s">
        <v>4964</v>
      </c>
      <c r="B11240" s="1" t="s">
        <v>7110</v>
      </c>
    </row>
    <row r="11241" spans="1:2" ht="18">
      <c r="A11241" s="50" t="s">
        <v>4967</v>
      </c>
      <c r="B11241" s="1" t="s">
        <v>7110</v>
      </c>
    </row>
    <row r="11242" spans="1:2" ht="18">
      <c r="A11242" s="50" t="s">
        <v>4967</v>
      </c>
      <c r="B11242" s="1" t="s">
        <v>7110</v>
      </c>
    </row>
    <row r="11243" spans="1:2" ht="18">
      <c r="A11243" s="50" t="s">
        <v>4964</v>
      </c>
      <c r="B11243" s="1" t="s">
        <v>7110</v>
      </c>
    </row>
    <row r="11244" spans="1:2" ht="18">
      <c r="A11244" s="50" t="s">
        <v>5073</v>
      </c>
      <c r="B11244" s="1" t="s">
        <v>7110</v>
      </c>
    </row>
    <row r="11245" spans="1:2" ht="18">
      <c r="A11245" s="50" t="s">
        <v>5073</v>
      </c>
      <c r="B11245" s="1" t="s">
        <v>7110</v>
      </c>
    </row>
    <row r="11246" spans="1:2" ht="18">
      <c r="A11246" s="50" t="s">
        <v>5073</v>
      </c>
      <c r="B11246" s="1" t="s">
        <v>7110</v>
      </c>
    </row>
    <row r="11247" spans="1:2" ht="18">
      <c r="A11247" s="50" t="s">
        <v>5059</v>
      </c>
      <c r="B11247" s="1" t="s">
        <v>7110</v>
      </c>
    </row>
    <row r="11248" spans="1:2" ht="18">
      <c r="A11248" s="50" t="s">
        <v>5059</v>
      </c>
      <c r="B11248" s="1" t="s">
        <v>7110</v>
      </c>
    </row>
    <row r="11249" spans="1:2" ht="18">
      <c r="A11249" s="50" t="s">
        <v>4966</v>
      </c>
      <c r="B11249" s="1" t="s">
        <v>7110</v>
      </c>
    </row>
    <row r="11250" spans="1:2" ht="18">
      <c r="A11250" s="50" t="s">
        <v>4966</v>
      </c>
      <c r="B11250" s="1" t="s">
        <v>7110</v>
      </c>
    </row>
    <row r="11251" spans="1:2" ht="18">
      <c r="A11251" s="50" t="s">
        <v>4970</v>
      </c>
      <c r="B11251" s="1" t="s">
        <v>7110</v>
      </c>
    </row>
    <row r="11252" spans="1:2" ht="18">
      <c r="A11252" s="50" t="s">
        <v>4966</v>
      </c>
      <c r="B11252" s="1" t="s">
        <v>7110</v>
      </c>
    </row>
    <row r="11253" spans="1:2" ht="18">
      <c r="A11253" s="50" t="s">
        <v>5052</v>
      </c>
      <c r="B11253" s="1" t="s">
        <v>7110</v>
      </c>
    </row>
    <row r="11254" spans="1:2" ht="18">
      <c r="A11254" s="50" t="s">
        <v>4966</v>
      </c>
      <c r="B11254" s="1" t="s">
        <v>7110</v>
      </c>
    </row>
    <row r="11255" spans="1:2" ht="18">
      <c r="A11255" s="50" t="s">
        <v>5052</v>
      </c>
      <c r="B11255" s="1" t="s">
        <v>7110</v>
      </c>
    </row>
    <row r="11256" spans="1:2" ht="18">
      <c r="A11256" s="50" t="s">
        <v>5052</v>
      </c>
      <c r="B11256" s="1" t="s">
        <v>7110</v>
      </c>
    </row>
    <row r="11257" spans="1:2" ht="18">
      <c r="A11257" s="50" t="s">
        <v>5052</v>
      </c>
      <c r="B11257" s="1" t="s">
        <v>7110</v>
      </c>
    </row>
    <row r="11258" spans="1:2" ht="18">
      <c r="A11258" s="50" t="s">
        <v>5052</v>
      </c>
      <c r="B11258" s="1" t="s">
        <v>7110</v>
      </c>
    </row>
    <row r="11259" spans="1:2" ht="18">
      <c r="A11259" s="50" t="s">
        <v>5052</v>
      </c>
      <c r="B11259" s="1" t="s">
        <v>7110</v>
      </c>
    </row>
    <row r="11260" spans="1:2" ht="18">
      <c r="A11260" s="50" t="s">
        <v>5033</v>
      </c>
      <c r="B11260" s="1" t="s">
        <v>7110</v>
      </c>
    </row>
    <row r="11261" spans="1:2" ht="18">
      <c r="A11261" s="50" t="s">
        <v>5036</v>
      </c>
      <c r="B11261" s="1" t="s">
        <v>7110</v>
      </c>
    </row>
    <row r="11262" spans="1:2" ht="18">
      <c r="A11262" s="50" t="s">
        <v>5038</v>
      </c>
      <c r="B11262" s="1" t="s">
        <v>7110</v>
      </c>
    </row>
    <row r="11263" spans="1:2" ht="18">
      <c r="A11263" s="50" t="s">
        <v>5036</v>
      </c>
      <c r="B11263" s="1" t="s">
        <v>7110</v>
      </c>
    </row>
    <row r="11264" spans="1:2" ht="18">
      <c r="A11264" s="50" t="s">
        <v>5036</v>
      </c>
      <c r="B11264" s="1" t="s">
        <v>7110</v>
      </c>
    </row>
    <row r="11265" spans="1:2" ht="18">
      <c r="A11265" s="50" t="s">
        <v>5074</v>
      </c>
      <c r="B11265" s="1" t="s">
        <v>7110</v>
      </c>
    </row>
    <row r="11266" spans="1:2" ht="18">
      <c r="A11266" s="50" t="s">
        <v>5075</v>
      </c>
      <c r="B11266" s="1" t="s">
        <v>7110</v>
      </c>
    </row>
    <row r="11267" spans="1:2" ht="18">
      <c r="A11267" s="50" t="s">
        <v>5075</v>
      </c>
      <c r="B11267" s="1" t="s">
        <v>7110</v>
      </c>
    </row>
    <row r="11268" spans="1:2" ht="18">
      <c r="A11268" s="50" t="s">
        <v>5075</v>
      </c>
      <c r="B11268" s="1" t="s">
        <v>7110</v>
      </c>
    </row>
    <row r="11269" spans="1:2" ht="18">
      <c r="A11269" s="50" t="s">
        <v>5074</v>
      </c>
      <c r="B11269" s="1" t="s">
        <v>7110</v>
      </c>
    </row>
    <row r="11270" spans="1:2" ht="18">
      <c r="A11270" s="50" t="s">
        <v>5076</v>
      </c>
      <c r="B11270" s="1" t="s">
        <v>7110</v>
      </c>
    </row>
    <row r="11271" spans="1:2" ht="18">
      <c r="A11271" s="50" t="s">
        <v>5075</v>
      </c>
      <c r="B11271" s="1" t="s">
        <v>7110</v>
      </c>
    </row>
    <row r="11272" spans="1:2" ht="18">
      <c r="A11272" s="50" t="s">
        <v>5076</v>
      </c>
      <c r="B11272" s="1" t="s">
        <v>7110</v>
      </c>
    </row>
    <row r="11273" spans="1:2" ht="18">
      <c r="A11273" s="50" t="s">
        <v>5172</v>
      </c>
      <c r="B11273" s="1" t="s">
        <v>7110</v>
      </c>
    </row>
    <row r="11274" spans="1:2" ht="18">
      <c r="A11274" s="50" t="s">
        <v>5192</v>
      </c>
      <c r="B11274" s="1" t="s">
        <v>7110</v>
      </c>
    </row>
    <row r="11275" spans="1:2" ht="18">
      <c r="A11275" s="50" t="s">
        <v>5204</v>
      </c>
      <c r="B11275" s="1" t="s">
        <v>7110</v>
      </c>
    </row>
    <row r="11276" spans="1:2" ht="18">
      <c r="A11276" s="50" t="s">
        <v>5192</v>
      </c>
      <c r="B11276" s="1" t="s">
        <v>7110</v>
      </c>
    </row>
    <row r="11277" spans="1:2" ht="18">
      <c r="A11277" s="50" t="s">
        <v>5033</v>
      </c>
      <c r="B11277" s="1" t="s">
        <v>7110</v>
      </c>
    </row>
    <row r="11278" spans="1:2" ht="18">
      <c r="A11278" s="50" t="s">
        <v>5192</v>
      </c>
      <c r="B11278" s="1" t="s">
        <v>7110</v>
      </c>
    </row>
    <row r="11279" spans="1:2" ht="18">
      <c r="A11279" s="50" t="s">
        <v>5075</v>
      </c>
      <c r="B11279" s="1" t="s">
        <v>7110</v>
      </c>
    </row>
    <row r="11280" spans="1:2" ht="18">
      <c r="A11280" s="50" t="s">
        <v>5075</v>
      </c>
      <c r="B11280" s="1" t="s">
        <v>7110</v>
      </c>
    </row>
    <row r="11281" spans="1:2" ht="18">
      <c r="A11281" s="50" t="s">
        <v>5211</v>
      </c>
      <c r="B11281" s="1" t="s">
        <v>7110</v>
      </c>
    </row>
    <row r="11282" spans="1:2" ht="18">
      <c r="A11282" s="50" t="s">
        <v>5211</v>
      </c>
      <c r="B11282" s="1" t="s">
        <v>7110</v>
      </c>
    </row>
    <row r="11283" spans="1:2" ht="18">
      <c r="A11283" s="50" t="s">
        <v>5219</v>
      </c>
      <c r="B11283" s="1" t="s">
        <v>7110</v>
      </c>
    </row>
    <row r="11284" spans="1:2" ht="18">
      <c r="A11284" s="50" t="s">
        <v>5211</v>
      </c>
      <c r="B11284" s="1" t="s">
        <v>7110</v>
      </c>
    </row>
    <row r="11285" spans="1:2" ht="18">
      <c r="A11285" s="50" t="s">
        <v>5219</v>
      </c>
      <c r="B11285" s="1" t="s">
        <v>7110</v>
      </c>
    </row>
    <row r="11286" spans="1:2" ht="18">
      <c r="A11286" s="50" t="s">
        <v>5074</v>
      </c>
      <c r="B11286" s="1" t="s">
        <v>7110</v>
      </c>
    </row>
    <row r="11287" spans="1:2" ht="18">
      <c r="A11287" s="50" t="s">
        <v>5074</v>
      </c>
      <c r="B11287" s="1" t="s">
        <v>7110</v>
      </c>
    </row>
    <row r="11288" spans="1:2" ht="18">
      <c r="A11288" s="50" t="s">
        <v>5075</v>
      </c>
      <c r="B11288" s="1" t="s">
        <v>7110</v>
      </c>
    </row>
    <row r="11289" spans="1:2" ht="18">
      <c r="A11289" s="50" t="s">
        <v>5075</v>
      </c>
      <c r="B11289" s="1" t="s">
        <v>7110</v>
      </c>
    </row>
    <row r="11290" spans="1:2" ht="18">
      <c r="A11290" s="50" t="s">
        <v>5211</v>
      </c>
      <c r="B11290" s="1" t="s">
        <v>7110</v>
      </c>
    </row>
    <row r="11291" spans="1:2" ht="18">
      <c r="A11291" s="50" t="s">
        <v>5219</v>
      </c>
      <c r="B11291" s="1" t="s">
        <v>7110</v>
      </c>
    </row>
    <row r="11292" spans="1:2" ht="18">
      <c r="A11292" s="50" t="s">
        <v>5075</v>
      </c>
      <c r="B11292" s="1" t="s">
        <v>7110</v>
      </c>
    </row>
    <row r="11293" spans="1:2" ht="18">
      <c r="A11293" s="50" t="s">
        <v>5075</v>
      </c>
      <c r="B11293" s="1" t="s">
        <v>7110</v>
      </c>
    </row>
    <row r="11294" spans="1:2" ht="18">
      <c r="A11294" s="50" t="s">
        <v>5076</v>
      </c>
      <c r="B11294" s="1" t="s">
        <v>7110</v>
      </c>
    </row>
    <row r="11295" spans="1:2" ht="18">
      <c r="A11295" s="50" t="s">
        <v>4700</v>
      </c>
      <c r="B11295" s="1" t="s">
        <v>7110</v>
      </c>
    </row>
    <row r="11296" spans="1:2" ht="18">
      <c r="A11296" s="50" t="s">
        <v>4700</v>
      </c>
      <c r="B11296" s="1" t="s">
        <v>7110</v>
      </c>
    </row>
    <row r="11297" spans="1:2" ht="18">
      <c r="A11297" s="50" t="s">
        <v>4700</v>
      </c>
      <c r="B11297" s="1" t="s">
        <v>7110</v>
      </c>
    </row>
    <row r="11298" spans="1:2" ht="18">
      <c r="A11298" s="50" t="s">
        <v>4700</v>
      </c>
      <c r="B11298" s="1" t="s">
        <v>7110</v>
      </c>
    </row>
    <row r="11299" spans="1:2" ht="18">
      <c r="A11299" s="50" t="s">
        <v>4700</v>
      </c>
      <c r="B11299" s="1" t="s">
        <v>7110</v>
      </c>
    </row>
    <row r="11300" spans="1:2" ht="18">
      <c r="A11300" s="50" t="s">
        <v>4913</v>
      </c>
      <c r="B11300" s="1" t="s">
        <v>7110</v>
      </c>
    </row>
    <row r="11301" spans="1:2">
      <c r="A11301" s="1" t="s">
        <v>5193</v>
      </c>
      <c r="B11301" s="1" t="s">
        <v>7110</v>
      </c>
    </row>
    <row r="11302" spans="1:2">
      <c r="A11302" s="1" t="s">
        <v>5193</v>
      </c>
      <c r="B11302" s="1" t="s">
        <v>7110</v>
      </c>
    </row>
    <row r="11303" spans="1:2">
      <c r="A11303" s="1" t="s">
        <v>5193</v>
      </c>
      <c r="B11303" s="1" t="s">
        <v>7110</v>
      </c>
    </row>
    <row r="11304" spans="1:2">
      <c r="A11304" s="1" t="s">
        <v>5193</v>
      </c>
      <c r="B11304" s="1" t="s">
        <v>7110</v>
      </c>
    </row>
    <row r="11305" spans="1:2">
      <c r="A11305" s="1" t="s">
        <v>5193</v>
      </c>
      <c r="B11305" s="1" t="s">
        <v>7110</v>
      </c>
    </row>
    <row r="11306" spans="1:2" ht="18">
      <c r="A11306" s="50" t="s">
        <v>4702</v>
      </c>
      <c r="B11306" s="1" t="s">
        <v>7110</v>
      </c>
    </row>
    <row r="11307" spans="1:2" ht="18">
      <c r="A11307" s="50" t="s">
        <v>4702</v>
      </c>
      <c r="B11307" s="1" t="s">
        <v>7110</v>
      </c>
    </row>
    <row r="11308" spans="1:2" ht="18">
      <c r="A11308" s="50" t="s">
        <v>4702</v>
      </c>
      <c r="B11308" s="1" t="s">
        <v>7110</v>
      </c>
    </row>
    <row r="11309" spans="1:2" ht="18">
      <c r="A11309" s="50" t="s">
        <v>4702</v>
      </c>
      <c r="B11309" s="1" t="s">
        <v>7110</v>
      </c>
    </row>
    <row r="11310" spans="1:2" ht="18">
      <c r="A11310" s="50" t="s">
        <v>4890</v>
      </c>
      <c r="B11310" s="1" t="s">
        <v>7110</v>
      </c>
    </row>
    <row r="11311" spans="1:2" ht="18">
      <c r="A11311" s="50" t="s">
        <v>4891</v>
      </c>
      <c r="B11311" s="1" t="s">
        <v>7110</v>
      </c>
    </row>
    <row r="11312" spans="1:2" ht="18">
      <c r="A11312" s="50" t="s">
        <v>4892</v>
      </c>
      <c r="B11312" s="1" t="s">
        <v>7110</v>
      </c>
    </row>
    <row r="11313" spans="1:2" ht="18">
      <c r="A11313" s="50" t="s">
        <v>4891</v>
      </c>
      <c r="B11313" s="1" t="s">
        <v>7110</v>
      </c>
    </row>
    <row r="11314" spans="1:2" ht="18">
      <c r="A11314" s="50" t="s">
        <v>4893</v>
      </c>
      <c r="B11314" s="1" t="s">
        <v>7110</v>
      </c>
    </row>
    <row r="11315" spans="1:2" ht="18">
      <c r="A11315" s="50" t="s">
        <v>4702</v>
      </c>
      <c r="B11315" s="1" t="s">
        <v>7110</v>
      </c>
    </row>
    <row r="11316" spans="1:2" ht="18">
      <c r="A11316" s="50" t="s">
        <v>4891</v>
      </c>
      <c r="B11316" s="1" t="s">
        <v>7110</v>
      </c>
    </row>
    <row r="11317" spans="1:2" ht="18">
      <c r="A11317" s="50" t="s">
        <v>4891</v>
      </c>
      <c r="B11317" s="1" t="s">
        <v>7110</v>
      </c>
    </row>
    <row r="11318" spans="1:2" ht="18">
      <c r="A11318" s="50" t="s">
        <v>4892</v>
      </c>
      <c r="B11318" s="1" t="s">
        <v>7110</v>
      </c>
    </row>
    <row r="11319" spans="1:2" ht="18">
      <c r="A11319" s="50" t="s">
        <v>4893</v>
      </c>
      <c r="B11319" s="1" t="s">
        <v>7110</v>
      </c>
    </row>
    <row r="11320" spans="1:2" ht="18">
      <c r="A11320" s="50" t="s">
        <v>4893</v>
      </c>
      <c r="B11320" s="1" t="s">
        <v>7110</v>
      </c>
    </row>
    <row r="11321" spans="1:2" ht="18">
      <c r="A11321" s="50" t="s">
        <v>4892</v>
      </c>
      <c r="B11321" s="1" t="s">
        <v>7110</v>
      </c>
    </row>
    <row r="11322" spans="1:2" ht="18">
      <c r="A11322" s="50" t="s">
        <v>4893</v>
      </c>
      <c r="B11322" s="1" t="s">
        <v>7110</v>
      </c>
    </row>
    <row r="11323" spans="1:2" ht="18">
      <c r="A11323" s="50" t="s">
        <v>4890</v>
      </c>
      <c r="B11323" s="1" t="s">
        <v>7110</v>
      </c>
    </row>
    <row r="11324" spans="1:2" ht="18">
      <c r="A11324" s="50" t="s">
        <v>4891</v>
      </c>
      <c r="B11324" s="1" t="s">
        <v>7110</v>
      </c>
    </row>
    <row r="11325" spans="1:2" ht="18">
      <c r="A11325" s="50" t="s">
        <v>4897</v>
      </c>
      <c r="B11325" s="1" t="s">
        <v>7110</v>
      </c>
    </row>
    <row r="11326" spans="1:2" ht="18">
      <c r="A11326" s="50" t="s">
        <v>4911</v>
      </c>
      <c r="B11326" s="1" t="s">
        <v>7110</v>
      </c>
    </row>
    <row r="11327" spans="1:2" ht="18">
      <c r="A11327" s="50" t="s">
        <v>4916</v>
      </c>
      <c r="B11327" s="1" t="s">
        <v>7110</v>
      </c>
    </row>
    <row r="11328" spans="1:2" ht="18">
      <c r="A11328" s="50" t="s">
        <v>4917</v>
      </c>
      <c r="B11328" s="1" t="s">
        <v>7110</v>
      </c>
    </row>
    <row r="11329" spans="1:2" ht="18">
      <c r="A11329" s="50" t="s">
        <v>4911</v>
      </c>
      <c r="B11329" s="1" t="s">
        <v>7110</v>
      </c>
    </row>
    <row r="11330" spans="1:2" ht="18">
      <c r="A11330" s="50" t="s">
        <v>4921</v>
      </c>
      <c r="B11330" s="1" t="s">
        <v>7110</v>
      </c>
    </row>
    <row r="11331" spans="1:2" ht="18">
      <c r="A11331" s="50" t="s">
        <v>4922</v>
      </c>
      <c r="B11331" s="1" t="s">
        <v>7110</v>
      </c>
    </row>
    <row r="11332" spans="1:2" ht="18">
      <c r="A11332" s="50" t="s">
        <v>4924</v>
      </c>
      <c r="B11332" s="1" t="s">
        <v>7110</v>
      </c>
    </row>
    <row r="11333" spans="1:2" ht="18">
      <c r="A11333" s="50" t="s">
        <v>4890</v>
      </c>
      <c r="B11333" s="1" t="s">
        <v>7110</v>
      </c>
    </row>
    <row r="11334" spans="1:2" ht="18">
      <c r="A11334" s="50" t="s">
        <v>4306</v>
      </c>
      <c r="B11334" s="1" t="s">
        <v>7110</v>
      </c>
    </row>
    <row r="11335" spans="1:2" ht="18">
      <c r="A11335" s="50" t="s">
        <v>4679</v>
      </c>
      <c r="B11335" s="1" t="s">
        <v>7110</v>
      </c>
    </row>
    <row r="11336" spans="1:2" ht="18">
      <c r="A11336" s="50" t="s">
        <v>4915</v>
      </c>
      <c r="B11336" s="1" t="s">
        <v>7110</v>
      </c>
    </row>
    <row r="11337" spans="1:2" ht="18">
      <c r="A11337" s="50" t="s">
        <v>4915</v>
      </c>
      <c r="B11337" s="1" t="s">
        <v>7110</v>
      </c>
    </row>
    <row r="11338" spans="1:2" ht="18">
      <c r="A11338" s="50" t="s">
        <v>4915</v>
      </c>
      <c r="B11338" s="1" t="s">
        <v>7110</v>
      </c>
    </row>
    <row r="11339" spans="1:2" ht="18">
      <c r="A11339" s="50" t="s">
        <v>4934</v>
      </c>
      <c r="B11339" s="1" t="s">
        <v>7110</v>
      </c>
    </row>
    <row r="11340" spans="1:2" ht="18">
      <c r="A11340" s="50" t="s">
        <v>4934</v>
      </c>
      <c r="B11340" s="1" t="s">
        <v>7110</v>
      </c>
    </row>
    <row r="11341" spans="1:2" ht="18">
      <c r="A11341" s="50" t="s">
        <v>4955</v>
      </c>
      <c r="B11341" s="1" t="s">
        <v>7110</v>
      </c>
    </row>
    <row r="11342" spans="1:2" ht="18">
      <c r="A11342" s="50" t="s">
        <v>4955</v>
      </c>
      <c r="B11342" s="1" t="s">
        <v>7110</v>
      </c>
    </row>
    <row r="11343" spans="1:2" ht="18">
      <c r="A11343" s="50" t="s">
        <v>4955</v>
      </c>
      <c r="B11343" s="1" t="s">
        <v>7110</v>
      </c>
    </row>
    <row r="11344" spans="1:2" ht="18">
      <c r="A11344" s="50" t="s">
        <v>4955</v>
      </c>
      <c r="B11344" s="1" t="s">
        <v>7110</v>
      </c>
    </row>
    <row r="11345" spans="1:2" ht="18">
      <c r="A11345" s="50" t="s">
        <v>4955</v>
      </c>
      <c r="B11345" s="1" t="s">
        <v>7110</v>
      </c>
    </row>
    <row r="11346" spans="1:2" ht="18">
      <c r="A11346" s="50" t="s">
        <v>4306</v>
      </c>
      <c r="B11346" s="1" t="s">
        <v>7110</v>
      </c>
    </row>
    <row r="11347" spans="1:2" ht="18">
      <c r="A11347" s="50" t="s">
        <v>4934</v>
      </c>
      <c r="B11347" s="1" t="s">
        <v>7110</v>
      </c>
    </row>
    <row r="11348" spans="1:2" ht="18">
      <c r="A11348" s="50" t="s">
        <v>5240</v>
      </c>
      <c r="B11348" s="1" t="s">
        <v>7110</v>
      </c>
    </row>
    <row r="11349" spans="1:2" ht="18">
      <c r="A11349" s="50" t="s">
        <v>5054</v>
      </c>
      <c r="B11349" s="1" t="s">
        <v>7110</v>
      </c>
    </row>
    <row r="11350" spans="1:2" ht="18">
      <c r="A11350" s="50" t="s">
        <v>5216</v>
      </c>
      <c r="B11350" s="1" t="s">
        <v>7110</v>
      </c>
    </row>
    <row r="11351" spans="1:2" ht="18">
      <c r="A11351" s="50" t="s">
        <v>5216</v>
      </c>
      <c r="B11351" s="1" t="s">
        <v>7110</v>
      </c>
    </row>
    <row r="11352" spans="1:2" ht="18">
      <c r="A11352" s="50" t="s">
        <v>5240</v>
      </c>
      <c r="B11352" s="1" t="s">
        <v>7110</v>
      </c>
    </row>
    <row r="11353" spans="1:2" ht="18">
      <c r="A11353" s="50" t="s">
        <v>4889</v>
      </c>
      <c r="B11353" s="1" t="s">
        <v>7110</v>
      </c>
    </row>
    <row r="11354" spans="1:2" ht="18">
      <c r="A11354" s="50" t="s">
        <v>4889</v>
      </c>
      <c r="B11354" s="1" t="s">
        <v>7110</v>
      </c>
    </row>
    <row r="11355" spans="1:2" ht="18">
      <c r="A11355" s="50" t="s">
        <v>4956</v>
      </c>
      <c r="B11355" s="1" t="s">
        <v>7110</v>
      </c>
    </row>
    <row r="11356" spans="1:2" ht="18">
      <c r="A11356" s="50" t="s">
        <v>4968</v>
      </c>
      <c r="B11356" s="1" t="s">
        <v>7110</v>
      </c>
    </row>
    <row r="11357" spans="1:2" ht="18">
      <c r="A11357" s="50" t="s">
        <v>4889</v>
      </c>
      <c r="B11357" s="1" t="s">
        <v>7110</v>
      </c>
    </row>
    <row r="11358" spans="1:2" ht="18">
      <c r="A11358" s="50" t="s">
        <v>4956</v>
      </c>
      <c r="B11358" s="1" t="s">
        <v>7110</v>
      </c>
    </row>
    <row r="11359" spans="1:2" ht="18">
      <c r="A11359" s="50" t="s">
        <v>4968</v>
      </c>
      <c r="B11359" s="1" t="s">
        <v>7110</v>
      </c>
    </row>
    <row r="11360" spans="1:2" ht="18">
      <c r="A11360" s="50" t="s">
        <v>4968</v>
      </c>
      <c r="B11360" s="1" t="s">
        <v>7110</v>
      </c>
    </row>
    <row r="11361" spans="1:2" ht="18">
      <c r="A11361" s="50" t="s">
        <v>4968</v>
      </c>
      <c r="B11361" s="1" t="s">
        <v>7110</v>
      </c>
    </row>
    <row r="11362" spans="1:2" ht="18">
      <c r="A11362" s="50" t="s">
        <v>4956</v>
      </c>
      <c r="B11362" s="1" t="s">
        <v>7110</v>
      </c>
    </row>
    <row r="11363" spans="1:2">
      <c r="A11363" s="1" t="s">
        <v>5449</v>
      </c>
      <c r="B11363" s="1" t="s">
        <v>7110</v>
      </c>
    </row>
    <row r="11364" spans="1:2" ht="18">
      <c r="A11364" s="50" t="s">
        <v>5184</v>
      </c>
      <c r="B11364" s="1" t="s">
        <v>7110</v>
      </c>
    </row>
    <row r="11365" spans="1:2" ht="18">
      <c r="A11365" s="50" t="s">
        <v>5190</v>
      </c>
      <c r="B11365" s="1" t="s">
        <v>7110</v>
      </c>
    </row>
    <row r="11366" spans="1:2" ht="18">
      <c r="A11366" s="50" t="s">
        <v>5210</v>
      </c>
      <c r="B11366" s="1" t="s">
        <v>7110</v>
      </c>
    </row>
    <row r="11367" spans="1:2" ht="18">
      <c r="A11367" s="50" t="s">
        <v>5210</v>
      </c>
      <c r="B11367" s="1" t="s">
        <v>7110</v>
      </c>
    </row>
    <row r="11368" spans="1:2" ht="18">
      <c r="A11368" s="50" t="s">
        <v>5210</v>
      </c>
      <c r="B11368" s="1" t="s">
        <v>7110</v>
      </c>
    </row>
    <row r="11369" spans="1:2" ht="18">
      <c r="A11369" s="50" t="s">
        <v>5228</v>
      </c>
      <c r="B11369" s="1" t="s">
        <v>7110</v>
      </c>
    </row>
    <row r="11370" spans="1:2" ht="18">
      <c r="A11370" s="50" t="s">
        <v>5210</v>
      </c>
      <c r="B11370" s="1" t="s">
        <v>7110</v>
      </c>
    </row>
    <row r="11371" spans="1:2" ht="18">
      <c r="A11371" s="50" t="s">
        <v>5228</v>
      </c>
      <c r="B11371" s="1" t="s">
        <v>7110</v>
      </c>
    </row>
    <row r="11372" spans="1:2" ht="18">
      <c r="A11372" s="50" t="s">
        <v>5276</v>
      </c>
      <c r="B11372" s="1" t="s">
        <v>7110</v>
      </c>
    </row>
    <row r="11373" spans="1:2" ht="18">
      <c r="A11373" s="50" t="s">
        <v>5276</v>
      </c>
      <c r="B11373" s="1" t="s">
        <v>7110</v>
      </c>
    </row>
    <row r="11374" spans="1:2" ht="18">
      <c r="A11374" s="50" t="s">
        <v>5228</v>
      </c>
      <c r="B11374" s="1" t="s">
        <v>7110</v>
      </c>
    </row>
    <row r="11375" spans="1:2" ht="18">
      <c r="A11375" s="50" t="s">
        <v>5228</v>
      </c>
      <c r="B11375" s="1" t="s">
        <v>7110</v>
      </c>
    </row>
    <row r="11376" spans="1:2" ht="18">
      <c r="A11376" s="50" t="s">
        <v>5276</v>
      </c>
      <c r="B11376" s="1" t="s">
        <v>7110</v>
      </c>
    </row>
    <row r="11377" spans="1:2" ht="18">
      <c r="A11377" s="50" t="s">
        <v>5228</v>
      </c>
      <c r="B11377" s="1" t="s">
        <v>7110</v>
      </c>
    </row>
    <row r="11378" spans="1:2" ht="18">
      <c r="A11378" s="50" t="s">
        <v>5228</v>
      </c>
      <c r="B11378" s="1" t="s">
        <v>7110</v>
      </c>
    </row>
    <row r="11379" spans="1:2" ht="18">
      <c r="A11379" s="50" t="s">
        <v>5228</v>
      </c>
      <c r="B11379" s="1" t="s">
        <v>7110</v>
      </c>
    </row>
    <row r="11380" spans="1:2" ht="18">
      <c r="A11380" s="50" t="s">
        <v>5276</v>
      </c>
      <c r="B11380" s="1" t="s">
        <v>7110</v>
      </c>
    </row>
    <row r="11381" spans="1:2" ht="18">
      <c r="A11381" s="50" t="s">
        <v>5228</v>
      </c>
      <c r="B11381" s="1" t="s">
        <v>7110</v>
      </c>
    </row>
    <row r="11382" spans="1:2" ht="18">
      <c r="A11382" s="50" t="s">
        <v>5228</v>
      </c>
      <c r="B11382" s="1" t="s">
        <v>7110</v>
      </c>
    </row>
    <row r="11383" spans="1:2" ht="18">
      <c r="A11383" s="50" t="s">
        <v>5228</v>
      </c>
      <c r="B11383" s="1" t="s">
        <v>7110</v>
      </c>
    </row>
    <row r="11384" spans="1:2" ht="18">
      <c r="A11384" s="50" t="s">
        <v>5276</v>
      </c>
      <c r="B11384" s="1" t="s">
        <v>7110</v>
      </c>
    </row>
    <row r="11385" spans="1:2" ht="18">
      <c r="A11385" s="50" t="s">
        <v>4699</v>
      </c>
      <c r="B11385" s="1" t="s">
        <v>7110</v>
      </c>
    </row>
    <row r="11386" spans="1:2" ht="18">
      <c r="A11386" s="50" t="s">
        <v>4699</v>
      </c>
      <c r="B11386" s="1" t="s">
        <v>7110</v>
      </c>
    </row>
    <row r="11387" spans="1:2" ht="18">
      <c r="A11387" s="50" t="s">
        <v>4699</v>
      </c>
      <c r="B11387" s="1" t="s">
        <v>7110</v>
      </c>
    </row>
    <row r="11388" spans="1:2" ht="18">
      <c r="A11388" s="50" t="s">
        <v>4699</v>
      </c>
      <c r="B11388" s="1" t="s">
        <v>7110</v>
      </c>
    </row>
    <row r="11389" spans="1:2" ht="18">
      <c r="A11389" s="50" t="s">
        <v>4699</v>
      </c>
      <c r="B11389" s="1" t="s">
        <v>7110</v>
      </c>
    </row>
    <row r="11390" spans="1:2" ht="18">
      <c r="A11390" s="50" t="s">
        <v>4894</v>
      </c>
      <c r="B11390" s="1" t="s">
        <v>7110</v>
      </c>
    </row>
    <row r="11391" spans="1:2" ht="18">
      <c r="A11391" s="50" t="s">
        <v>4938</v>
      </c>
      <c r="B11391" s="1" t="s">
        <v>7110</v>
      </c>
    </row>
    <row r="11392" spans="1:2" ht="18">
      <c r="A11392" s="50" t="s">
        <v>4949</v>
      </c>
      <c r="B11392" s="1" t="s">
        <v>7110</v>
      </c>
    </row>
    <row r="11393" spans="1:2" ht="18">
      <c r="A11393" s="50" t="s">
        <v>4950</v>
      </c>
      <c r="B11393" s="1" t="s">
        <v>7110</v>
      </c>
    </row>
    <row r="11394" spans="1:2" ht="18">
      <c r="A11394" s="50" t="s">
        <v>4951</v>
      </c>
      <c r="B11394" s="1" t="s">
        <v>7110</v>
      </c>
    </row>
    <row r="11395" spans="1:2" ht="18">
      <c r="A11395" s="50" t="s">
        <v>4952</v>
      </c>
      <c r="B11395" s="1" t="s">
        <v>7110</v>
      </c>
    </row>
    <row r="11396" spans="1:2" ht="18">
      <c r="A11396" s="50" t="s">
        <v>4952</v>
      </c>
      <c r="B11396" s="1" t="s">
        <v>7110</v>
      </c>
    </row>
    <row r="11397" spans="1:2" ht="18">
      <c r="A11397" s="50" t="s">
        <v>4953</v>
      </c>
      <c r="B11397" s="1" t="s">
        <v>7110</v>
      </c>
    </row>
    <row r="11398" spans="1:2" ht="18">
      <c r="A11398" s="50" t="s">
        <v>4954</v>
      </c>
      <c r="B11398" s="1" t="s">
        <v>7110</v>
      </c>
    </row>
    <row r="11399" spans="1:2" ht="18">
      <c r="A11399" s="50" t="s">
        <v>4954</v>
      </c>
      <c r="B11399" s="1" t="s">
        <v>7110</v>
      </c>
    </row>
    <row r="11400" spans="1:2" ht="18">
      <c r="A11400" s="50" t="s">
        <v>4953</v>
      </c>
      <c r="B11400" s="1" t="s">
        <v>7110</v>
      </c>
    </row>
    <row r="11401" spans="1:2" ht="18">
      <c r="A11401" s="50" t="s">
        <v>4951</v>
      </c>
      <c r="B11401" s="1" t="s">
        <v>7110</v>
      </c>
    </row>
    <row r="11402" spans="1:2" ht="18">
      <c r="A11402" s="50" t="s">
        <v>4952</v>
      </c>
      <c r="B11402" s="1" t="s">
        <v>7110</v>
      </c>
    </row>
    <row r="11403" spans="1:2" ht="18">
      <c r="A11403" s="50" t="s">
        <v>4951</v>
      </c>
      <c r="B11403" s="1" t="s">
        <v>7110</v>
      </c>
    </row>
    <row r="11404" spans="1:2" ht="18">
      <c r="A11404" s="50" t="s">
        <v>4965</v>
      </c>
      <c r="B11404" s="1" t="s">
        <v>7110</v>
      </c>
    </row>
    <row r="11405" spans="1:2" ht="18">
      <c r="A11405" s="50" t="s">
        <v>4954</v>
      </c>
      <c r="B11405" s="1" t="s">
        <v>7110</v>
      </c>
    </row>
    <row r="11406" spans="1:2" ht="18">
      <c r="A11406" s="50" t="s">
        <v>4965</v>
      </c>
      <c r="B11406" s="1" t="s">
        <v>7110</v>
      </c>
    </row>
    <row r="11407" spans="1:2" ht="18">
      <c r="A11407" s="50" t="s">
        <v>4969</v>
      </c>
      <c r="B11407" s="1" t="s">
        <v>7110</v>
      </c>
    </row>
    <row r="11408" spans="1:2" ht="18">
      <c r="A11408" s="50" t="s">
        <v>4699</v>
      </c>
      <c r="B11408" s="1" t="s">
        <v>7110</v>
      </c>
    </row>
    <row r="11409" spans="1:2" ht="18">
      <c r="A11409" s="50" t="s">
        <v>4894</v>
      </c>
      <c r="B11409" s="1" t="s">
        <v>7110</v>
      </c>
    </row>
    <row r="11410" spans="1:2" ht="18">
      <c r="A11410" s="50" t="s">
        <v>4954</v>
      </c>
      <c r="B11410" s="1" t="s">
        <v>7110</v>
      </c>
    </row>
    <row r="11411" spans="1:2" ht="18">
      <c r="A11411" s="50" t="s">
        <v>4953</v>
      </c>
      <c r="B11411" s="1" t="s">
        <v>7110</v>
      </c>
    </row>
    <row r="11412" spans="1:2" ht="18">
      <c r="A11412" s="50" t="s">
        <v>4969</v>
      </c>
      <c r="B11412" s="1" t="s">
        <v>7110</v>
      </c>
    </row>
    <row r="11413" spans="1:2" ht="18">
      <c r="A11413" s="50" t="s">
        <v>4949</v>
      </c>
      <c r="B11413" s="1" t="s">
        <v>7110</v>
      </c>
    </row>
    <row r="11414" spans="1:2" ht="18">
      <c r="A11414" s="50" t="s">
        <v>5021</v>
      </c>
      <c r="B11414" s="1" t="s">
        <v>7110</v>
      </c>
    </row>
    <row r="11415" spans="1:2" ht="18">
      <c r="A11415" s="50" t="s">
        <v>5022</v>
      </c>
      <c r="B11415" s="1" t="s">
        <v>7110</v>
      </c>
    </row>
    <row r="11416" spans="1:2" ht="18">
      <c r="A11416" s="50" t="s">
        <v>5025</v>
      </c>
      <c r="B11416" s="1" t="s">
        <v>7110</v>
      </c>
    </row>
    <row r="11417" spans="1:2" ht="18">
      <c r="A11417" s="50" t="s">
        <v>5025</v>
      </c>
      <c r="B11417" s="1" t="s">
        <v>7110</v>
      </c>
    </row>
    <row r="11418" spans="1:2" ht="18">
      <c r="A11418" s="50" t="s">
        <v>5068</v>
      </c>
      <c r="B11418" s="1" t="s">
        <v>7110</v>
      </c>
    </row>
    <row r="11419" spans="1:2" ht="18">
      <c r="A11419" s="50" t="s">
        <v>5069</v>
      </c>
      <c r="B11419" s="1" t="s">
        <v>7110</v>
      </c>
    </row>
    <row r="11420" spans="1:2" ht="18">
      <c r="A11420" s="50" t="s">
        <v>5072</v>
      </c>
      <c r="B11420" s="1" t="s">
        <v>7110</v>
      </c>
    </row>
    <row r="11421" spans="1:2" ht="18">
      <c r="A11421" s="50" t="s">
        <v>5072</v>
      </c>
      <c r="B11421" s="1" t="s">
        <v>7110</v>
      </c>
    </row>
    <row r="11422" spans="1:2" ht="18">
      <c r="A11422" s="50" t="s">
        <v>5068</v>
      </c>
      <c r="B11422" s="1" t="s">
        <v>7110</v>
      </c>
    </row>
    <row r="11423" spans="1:2" ht="18">
      <c r="A11423" s="50" t="s">
        <v>5072</v>
      </c>
      <c r="B11423" s="1" t="s">
        <v>7110</v>
      </c>
    </row>
    <row r="11424" spans="1:2" ht="18">
      <c r="A11424" s="50" t="s">
        <v>5069</v>
      </c>
      <c r="B11424" s="1" t="s">
        <v>7110</v>
      </c>
    </row>
    <row r="11425" spans="1:2" ht="18">
      <c r="A11425" s="50" t="s">
        <v>5068</v>
      </c>
      <c r="B11425" s="1" t="s">
        <v>7110</v>
      </c>
    </row>
    <row r="11426" spans="1:2" ht="18">
      <c r="A11426" s="50" t="s">
        <v>5069</v>
      </c>
      <c r="B11426" s="1" t="s">
        <v>7110</v>
      </c>
    </row>
    <row r="11427" spans="1:2" ht="18">
      <c r="A11427" s="50" t="s">
        <v>5072</v>
      </c>
      <c r="B11427" s="1" t="s">
        <v>7110</v>
      </c>
    </row>
    <row r="11428" spans="1:2" ht="18">
      <c r="A11428" s="50" t="s">
        <v>5072</v>
      </c>
      <c r="B11428" s="1" t="s">
        <v>7110</v>
      </c>
    </row>
    <row r="11429" spans="1:2" ht="18">
      <c r="A11429" s="50" t="s">
        <v>5072</v>
      </c>
      <c r="B11429" s="1" t="s">
        <v>7110</v>
      </c>
    </row>
    <row r="11430" spans="1:2" ht="18">
      <c r="A11430" s="50" t="s">
        <v>5022</v>
      </c>
      <c r="B11430" s="1" t="s">
        <v>7110</v>
      </c>
    </row>
    <row r="11431" spans="1:2" ht="18">
      <c r="A11431" s="50" t="s">
        <v>5187</v>
      </c>
      <c r="B11431" s="1" t="s">
        <v>7110</v>
      </c>
    </row>
    <row r="11432" spans="1:2" ht="18">
      <c r="A11432" s="50" t="s">
        <v>5215</v>
      </c>
      <c r="B11432" s="1" t="s">
        <v>7110</v>
      </c>
    </row>
    <row r="11433" spans="1:2" ht="18">
      <c r="A11433" s="50" t="s">
        <v>4969</v>
      </c>
      <c r="B11433" s="1" t="s">
        <v>7110</v>
      </c>
    </row>
    <row r="11434" spans="1:2" ht="18">
      <c r="A11434" s="50" t="s">
        <v>5215</v>
      </c>
      <c r="B11434" s="1" t="s">
        <v>7110</v>
      </c>
    </row>
    <row r="11435" spans="1:2" ht="18">
      <c r="A11435" s="50" t="s">
        <v>5289</v>
      </c>
      <c r="B11435" s="1" t="s">
        <v>7110</v>
      </c>
    </row>
    <row r="11436" spans="1:2" ht="18">
      <c r="A11436" s="50" t="s">
        <v>5187</v>
      </c>
      <c r="B11436" s="1" t="s">
        <v>7110</v>
      </c>
    </row>
    <row r="11437" spans="1:2" ht="18">
      <c r="A11437" s="50" t="s">
        <v>5289</v>
      </c>
      <c r="B11437" s="1" t="s">
        <v>7110</v>
      </c>
    </row>
    <row r="11438" spans="1:2" ht="18">
      <c r="A11438" s="50" t="s">
        <v>5215</v>
      </c>
      <c r="B11438" s="1" t="s">
        <v>7110</v>
      </c>
    </row>
    <row r="11439" spans="1:2" ht="18">
      <c r="A11439" s="95" t="s">
        <v>3843</v>
      </c>
      <c r="B11439" s="1" t="s">
        <v>7110</v>
      </c>
    </row>
    <row r="11440" spans="1:2" ht="18">
      <c r="A11440" s="95" t="s">
        <v>3845</v>
      </c>
      <c r="B11440" s="1" t="s">
        <v>7110</v>
      </c>
    </row>
    <row r="11441" spans="1:2" ht="18">
      <c r="A11441" s="95" t="s">
        <v>3848</v>
      </c>
      <c r="B11441" s="1" t="s">
        <v>7110</v>
      </c>
    </row>
    <row r="11442" spans="1:2" ht="18">
      <c r="A11442" s="95" t="s">
        <v>3843</v>
      </c>
      <c r="B11442" s="1" t="s">
        <v>7110</v>
      </c>
    </row>
    <row r="11443" spans="1:2" ht="18">
      <c r="A11443" s="95" t="s">
        <v>3843</v>
      </c>
      <c r="B11443" s="1" t="s">
        <v>7110</v>
      </c>
    </row>
    <row r="11444" spans="1:2" ht="18">
      <c r="A11444" s="95" t="s">
        <v>3843</v>
      </c>
      <c r="B11444" s="1" t="s">
        <v>7110</v>
      </c>
    </row>
    <row r="11445" spans="1:2" ht="18">
      <c r="A11445" s="95" t="s">
        <v>3887</v>
      </c>
      <c r="B11445" s="1" t="s">
        <v>7110</v>
      </c>
    </row>
    <row r="11446" spans="1:2" ht="18">
      <c r="A11446" s="95" t="s">
        <v>3887</v>
      </c>
      <c r="B11446" s="1" t="s">
        <v>7110</v>
      </c>
    </row>
    <row r="11447" spans="1:2" ht="18">
      <c r="A11447" s="95" t="s">
        <v>3949</v>
      </c>
      <c r="B11447" s="1" t="s">
        <v>7110</v>
      </c>
    </row>
    <row r="11448" spans="1:2" ht="18">
      <c r="A11448" s="95" t="s">
        <v>3951</v>
      </c>
      <c r="B11448" s="1" t="s">
        <v>7110</v>
      </c>
    </row>
    <row r="11449" spans="1:2" ht="18">
      <c r="A11449" s="95" t="s">
        <v>3952</v>
      </c>
      <c r="B11449" s="1" t="s">
        <v>7110</v>
      </c>
    </row>
    <row r="11450" spans="1:2" ht="18">
      <c r="A11450" s="95" t="s">
        <v>3953</v>
      </c>
      <c r="B11450" s="1" t="s">
        <v>7110</v>
      </c>
    </row>
    <row r="11451" spans="1:2" ht="18">
      <c r="A11451" s="95" t="s">
        <v>3954</v>
      </c>
      <c r="B11451" s="1" t="s">
        <v>7110</v>
      </c>
    </row>
    <row r="11452" spans="1:2" ht="18">
      <c r="A11452" s="95" t="s">
        <v>3956</v>
      </c>
      <c r="B11452" s="1" t="s">
        <v>7110</v>
      </c>
    </row>
    <row r="11453" spans="1:2" ht="18">
      <c r="A11453" s="95" t="s">
        <v>3957</v>
      </c>
      <c r="B11453" s="1" t="s">
        <v>7110</v>
      </c>
    </row>
    <row r="11454" spans="1:2" ht="18">
      <c r="A11454" s="95" t="s">
        <v>3960</v>
      </c>
      <c r="B11454" s="1" t="s">
        <v>7110</v>
      </c>
    </row>
    <row r="11455" spans="1:2" ht="18">
      <c r="A11455" s="95" t="s">
        <v>3961</v>
      </c>
      <c r="B11455" s="1" t="s">
        <v>7110</v>
      </c>
    </row>
    <row r="11456" spans="1:2" ht="18">
      <c r="A11456" s="95" t="s">
        <v>3960</v>
      </c>
      <c r="B11456" s="1" t="s">
        <v>7110</v>
      </c>
    </row>
    <row r="11457" spans="1:2" ht="18">
      <c r="A11457" s="95" t="s">
        <v>3962</v>
      </c>
      <c r="B11457" s="1" t="s">
        <v>7110</v>
      </c>
    </row>
    <row r="11458" spans="1:2" ht="18">
      <c r="A11458" s="95" t="s">
        <v>3951</v>
      </c>
      <c r="B11458" s="1" t="s">
        <v>7110</v>
      </c>
    </row>
    <row r="11459" spans="1:2" ht="18">
      <c r="A11459" s="95" t="s">
        <v>4213</v>
      </c>
      <c r="B11459" s="1" t="s">
        <v>7110</v>
      </c>
    </row>
    <row r="11460" spans="1:2" ht="18">
      <c r="A11460" s="95" t="s">
        <v>4215</v>
      </c>
      <c r="B11460" s="1" t="s">
        <v>7110</v>
      </c>
    </row>
    <row r="11461" spans="1:2" ht="18">
      <c r="A11461" s="95" t="s">
        <v>4216</v>
      </c>
      <c r="B11461" s="1" t="s">
        <v>7110</v>
      </c>
    </row>
    <row r="11462" spans="1:2" ht="18">
      <c r="A11462" s="95" t="s">
        <v>4217</v>
      </c>
      <c r="B11462" s="1" t="s">
        <v>7110</v>
      </c>
    </row>
    <row r="11463" spans="1:2" ht="18">
      <c r="A11463" s="95" t="s">
        <v>3961</v>
      </c>
      <c r="B11463" s="1" t="s">
        <v>7110</v>
      </c>
    </row>
    <row r="11464" spans="1:2" ht="18">
      <c r="A11464" s="95" t="s">
        <v>4235</v>
      </c>
      <c r="B11464" s="1" t="s">
        <v>7110</v>
      </c>
    </row>
    <row r="11465" spans="1:2" ht="18">
      <c r="A11465" s="95" t="s">
        <v>4256</v>
      </c>
      <c r="B11465" s="1" t="s">
        <v>7110</v>
      </c>
    </row>
    <row r="11466" spans="1:2" ht="18">
      <c r="A11466" s="95" t="s">
        <v>4257</v>
      </c>
      <c r="B11466" s="1" t="s">
        <v>7110</v>
      </c>
    </row>
    <row r="11467" spans="1:2" ht="18">
      <c r="A11467" s="95" t="s">
        <v>4257</v>
      </c>
      <c r="B11467" s="1" t="s">
        <v>7110</v>
      </c>
    </row>
    <row r="11468" spans="1:2" ht="18">
      <c r="A11468" s="95" t="s">
        <v>3961</v>
      </c>
      <c r="B11468" s="1" t="s">
        <v>7110</v>
      </c>
    </row>
    <row r="11469" spans="1:2" ht="18">
      <c r="A11469" s="95" t="s">
        <v>4262</v>
      </c>
      <c r="B11469" s="1" t="s">
        <v>7110</v>
      </c>
    </row>
    <row r="11470" spans="1:2" ht="18">
      <c r="A11470" s="95" t="s">
        <v>4235</v>
      </c>
      <c r="B11470" s="1" t="s">
        <v>7110</v>
      </c>
    </row>
    <row r="11471" spans="1:2" ht="18">
      <c r="A11471" s="95" t="s">
        <v>3845</v>
      </c>
      <c r="B11471" s="1" t="s">
        <v>7110</v>
      </c>
    </row>
    <row r="11472" spans="1:2" ht="18">
      <c r="A11472" s="95" t="s">
        <v>4282</v>
      </c>
      <c r="B11472" s="1" t="s">
        <v>7110</v>
      </c>
    </row>
    <row r="11473" spans="1:2" ht="18">
      <c r="A11473" s="95" t="s">
        <v>4286</v>
      </c>
      <c r="B11473" s="1" t="s">
        <v>7110</v>
      </c>
    </row>
    <row r="11474" spans="1:2" ht="18">
      <c r="A11474" s="95" t="s">
        <v>4282</v>
      </c>
      <c r="B11474" s="1" t="s">
        <v>7110</v>
      </c>
    </row>
    <row r="11475" spans="1:2" ht="18">
      <c r="A11475" s="95" t="s">
        <v>4286</v>
      </c>
      <c r="B11475" s="1" t="s">
        <v>7110</v>
      </c>
    </row>
    <row r="11476" spans="1:2" ht="18">
      <c r="A11476" s="95" t="s">
        <v>4300</v>
      </c>
      <c r="B11476" s="1" t="s">
        <v>7110</v>
      </c>
    </row>
    <row r="11477" spans="1:2" ht="18">
      <c r="A11477" s="95" t="s">
        <v>4301</v>
      </c>
      <c r="B11477" s="1" t="s">
        <v>7110</v>
      </c>
    </row>
    <row r="11478" spans="1:2" ht="18">
      <c r="A11478" s="95" t="s">
        <v>4286</v>
      </c>
      <c r="B11478" s="1" t="s">
        <v>7110</v>
      </c>
    </row>
    <row r="11479" spans="1:2" ht="18">
      <c r="A11479" s="95" t="s">
        <v>4301</v>
      </c>
      <c r="B11479" s="1" t="s">
        <v>7110</v>
      </c>
    </row>
    <row r="11480" spans="1:2" ht="18">
      <c r="A11480" s="95" t="s">
        <v>3843</v>
      </c>
      <c r="B11480" s="1" t="s">
        <v>7110</v>
      </c>
    </row>
    <row r="11481" spans="1:2" ht="18">
      <c r="A11481" s="95" t="s">
        <v>4463</v>
      </c>
      <c r="B11481" s="1" t="s">
        <v>7110</v>
      </c>
    </row>
    <row r="11482" spans="1:2" ht="18">
      <c r="A11482" s="95" t="s">
        <v>4464</v>
      </c>
      <c r="B11482" s="1" t="s">
        <v>7110</v>
      </c>
    </row>
    <row r="11483" spans="1:2" ht="18">
      <c r="A11483" s="95" t="s">
        <v>4465</v>
      </c>
      <c r="B11483" s="1" t="s">
        <v>7110</v>
      </c>
    </row>
    <row r="11484" spans="1:2" ht="18">
      <c r="A11484" s="95" t="s">
        <v>4468</v>
      </c>
      <c r="B11484" s="1" t="s">
        <v>7110</v>
      </c>
    </row>
    <row r="11485" spans="1:2" ht="18">
      <c r="A11485" s="95" t="s">
        <v>4469</v>
      </c>
      <c r="B11485" s="1" t="s">
        <v>7110</v>
      </c>
    </row>
    <row r="11486" spans="1:2" ht="18">
      <c r="A11486" s="95" t="s">
        <v>4470</v>
      </c>
      <c r="B11486" s="1" t="s">
        <v>7110</v>
      </c>
    </row>
    <row r="11487" spans="1:2" ht="18">
      <c r="A11487" s="95" t="s">
        <v>4471</v>
      </c>
      <c r="B11487" s="1" t="s">
        <v>7110</v>
      </c>
    </row>
    <row r="11488" spans="1:2" ht="18">
      <c r="A11488" s="95" t="s">
        <v>4213</v>
      </c>
      <c r="B11488" s="1" t="s">
        <v>7110</v>
      </c>
    </row>
    <row r="11489" spans="1:2" ht="18">
      <c r="A11489" s="95" t="s">
        <v>4481</v>
      </c>
      <c r="B11489" s="1" t="s">
        <v>7110</v>
      </c>
    </row>
    <row r="11490" spans="1:2" ht="18">
      <c r="A11490" s="95" t="s">
        <v>4488</v>
      </c>
      <c r="B11490" s="1" t="s">
        <v>7110</v>
      </c>
    </row>
    <row r="11491" spans="1:2" ht="18">
      <c r="A11491" s="95" t="s">
        <v>4493</v>
      </c>
      <c r="B11491" s="1" t="s">
        <v>7110</v>
      </c>
    </row>
    <row r="11492" spans="1:2" ht="18">
      <c r="A11492" s="95" t="s">
        <v>4481</v>
      </c>
      <c r="B11492" s="1" t="s">
        <v>7110</v>
      </c>
    </row>
    <row r="11493" spans="1:2" ht="18">
      <c r="A11493" s="95" t="s">
        <v>4497</v>
      </c>
      <c r="B11493" s="1" t="s">
        <v>7110</v>
      </c>
    </row>
    <row r="11494" spans="1:2" ht="18">
      <c r="A11494" s="95" t="s">
        <v>4498</v>
      </c>
      <c r="B11494" s="1" t="s">
        <v>7110</v>
      </c>
    </row>
    <row r="11495" spans="1:2" ht="18">
      <c r="A11495" s="95" t="s">
        <v>4493</v>
      </c>
      <c r="B11495" s="1" t="s">
        <v>7110</v>
      </c>
    </row>
    <row r="11496" spans="1:2" ht="18">
      <c r="A11496" s="95" t="s">
        <v>4583</v>
      </c>
      <c r="B11496" s="1" t="s">
        <v>7110</v>
      </c>
    </row>
    <row r="11497" spans="1:2" ht="18">
      <c r="A11497" s="95" t="s">
        <v>4589</v>
      </c>
      <c r="B11497" s="1" t="s">
        <v>7110</v>
      </c>
    </row>
    <row r="11498" spans="1:2" ht="18">
      <c r="A11498" s="95" t="s">
        <v>4593</v>
      </c>
      <c r="B11498" s="1" t="s">
        <v>7110</v>
      </c>
    </row>
    <row r="11499" spans="1:2" ht="18">
      <c r="A11499" s="95" t="s">
        <v>4683</v>
      </c>
      <c r="B11499" s="1" t="s">
        <v>7110</v>
      </c>
    </row>
    <row r="11500" spans="1:2" ht="18">
      <c r="A11500" s="95" t="s">
        <v>4286</v>
      </c>
      <c r="B11500" s="1" t="s">
        <v>7110</v>
      </c>
    </row>
    <row r="11501" spans="1:2" ht="18">
      <c r="A11501" s="95" t="s">
        <v>4286</v>
      </c>
      <c r="B11501" s="1" t="s">
        <v>7110</v>
      </c>
    </row>
    <row r="11502" spans="1:2" ht="18">
      <c r="A11502" s="50" t="s">
        <v>3646</v>
      </c>
      <c r="B11502" s="1" t="s">
        <v>7110</v>
      </c>
    </row>
    <row r="11503" spans="1:2" ht="18">
      <c r="A11503" s="50" t="s">
        <v>3646</v>
      </c>
      <c r="B11503" s="1" t="s">
        <v>7110</v>
      </c>
    </row>
    <row r="11504" spans="1:2" ht="18">
      <c r="A11504" s="50" t="s">
        <v>3656</v>
      </c>
      <c r="B11504" s="1" t="s">
        <v>7110</v>
      </c>
    </row>
    <row r="11505" spans="1:2" ht="18">
      <c r="A11505" s="50" t="s">
        <v>3657</v>
      </c>
      <c r="B11505" s="1" t="s">
        <v>7110</v>
      </c>
    </row>
    <row r="11506" spans="1:2" ht="18">
      <c r="A11506" s="50" t="s">
        <v>3762</v>
      </c>
      <c r="B11506" s="1" t="s">
        <v>7110</v>
      </c>
    </row>
    <row r="11507" spans="1:2" ht="18">
      <c r="A11507" s="50" t="s">
        <v>3840</v>
      </c>
      <c r="B11507" s="1" t="s">
        <v>7110</v>
      </c>
    </row>
    <row r="11508" spans="1:2" ht="18">
      <c r="A11508" s="50" t="s">
        <v>3657</v>
      </c>
      <c r="B11508" s="1" t="s">
        <v>7110</v>
      </c>
    </row>
    <row r="11509" spans="1:2" ht="18">
      <c r="A11509" s="50" t="s">
        <v>3850</v>
      </c>
      <c r="B11509" s="1" t="s">
        <v>7110</v>
      </c>
    </row>
    <row r="11510" spans="1:2" ht="18">
      <c r="A11510" s="50" t="s">
        <v>3840</v>
      </c>
      <c r="B11510" s="1" t="s">
        <v>7110</v>
      </c>
    </row>
    <row r="11511" spans="1:2" ht="18">
      <c r="A11511" s="50" t="s">
        <v>3840</v>
      </c>
      <c r="B11511" s="1" t="s">
        <v>7110</v>
      </c>
    </row>
    <row r="11512" spans="1:2" ht="18">
      <c r="A11512" s="50" t="s">
        <v>3840</v>
      </c>
      <c r="B11512" s="1" t="s">
        <v>7110</v>
      </c>
    </row>
    <row r="11513" spans="1:2" ht="18">
      <c r="A11513" s="50" t="s">
        <v>3850</v>
      </c>
      <c r="B11513" s="1" t="s">
        <v>7110</v>
      </c>
    </row>
    <row r="11514" spans="1:2" ht="18">
      <c r="A11514" s="50" t="s">
        <v>3657</v>
      </c>
      <c r="B11514" s="1" t="s">
        <v>7110</v>
      </c>
    </row>
    <row r="11515" spans="1:2" ht="18">
      <c r="A11515" s="50" t="s">
        <v>3840</v>
      </c>
      <c r="B11515" s="1" t="s">
        <v>7110</v>
      </c>
    </row>
    <row r="11516" spans="1:2" ht="18">
      <c r="A11516" s="50" t="s">
        <v>3840</v>
      </c>
      <c r="B11516" s="1" t="s">
        <v>7110</v>
      </c>
    </row>
    <row r="11517" spans="1:2" ht="18">
      <c r="A11517" s="50" t="s">
        <v>3646</v>
      </c>
      <c r="B11517" s="1" t="s">
        <v>7110</v>
      </c>
    </row>
    <row r="11518" spans="1:2" ht="18">
      <c r="A11518" s="50" t="s">
        <v>3840</v>
      </c>
      <c r="B11518" s="1" t="s">
        <v>7110</v>
      </c>
    </row>
    <row r="11519" spans="1:2" ht="18">
      <c r="A11519" s="50" t="s">
        <v>3840</v>
      </c>
      <c r="B11519" s="1" t="s">
        <v>7110</v>
      </c>
    </row>
    <row r="11520" spans="1:2" ht="18">
      <c r="A11520" s="50" t="s">
        <v>3840</v>
      </c>
      <c r="B11520" s="1" t="s">
        <v>7110</v>
      </c>
    </row>
    <row r="11521" spans="1:2" ht="18">
      <c r="A11521" s="50" t="s">
        <v>3853</v>
      </c>
      <c r="B11521" s="1" t="s">
        <v>7110</v>
      </c>
    </row>
    <row r="11522" spans="1:2" ht="18">
      <c r="A11522" s="50" t="s">
        <v>3853</v>
      </c>
      <c r="B11522" s="1" t="s">
        <v>7110</v>
      </c>
    </row>
    <row r="11523" spans="1:2" ht="18">
      <c r="A11523" s="50" t="s">
        <v>3891</v>
      </c>
      <c r="B11523" s="1" t="s">
        <v>7110</v>
      </c>
    </row>
    <row r="11524" spans="1:2" ht="18">
      <c r="A11524" s="50" t="s">
        <v>3947</v>
      </c>
      <c r="B11524" s="1" t="s">
        <v>7110</v>
      </c>
    </row>
    <row r="11525" spans="1:2" ht="18">
      <c r="A11525" s="50" t="s">
        <v>3947</v>
      </c>
      <c r="B11525" s="1" t="s">
        <v>7110</v>
      </c>
    </row>
    <row r="11526" spans="1:2" ht="18">
      <c r="A11526" s="50" t="s">
        <v>4927</v>
      </c>
      <c r="B11526" s="1" t="s">
        <v>7110</v>
      </c>
    </row>
    <row r="11527" spans="1:2" ht="18">
      <c r="A11527" s="50" t="s">
        <v>5032</v>
      </c>
      <c r="B11527" s="1" t="s">
        <v>7110</v>
      </c>
    </row>
    <row r="11528" spans="1:2" ht="18">
      <c r="A11528" s="50" t="s">
        <v>5032</v>
      </c>
      <c r="B11528" s="1" t="s">
        <v>7110</v>
      </c>
    </row>
    <row r="11529" spans="1:2" ht="18">
      <c r="A11529" s="50" t="s">
        <v>5217</v>
      </c>
      <c r="B11529" s="1" t="s">
        <v>7110</v>
      </c>
    </row>
    <row r="11530" spans="1:2" ht="18">
      <c r="A11530" s="50" t="s">
        <v>5217</v>
      </c>
      <c r="B11530" s="1" t="s">
        <v>7110</v>
      </c>
    </row>
    <row r="11531" spans="1:2" ht="18">
      <c r="A11531" s="50" t="s">
        <v>5217</v>
      </c>
      <c r="B11531" s="1" t="s">
        <v>7110</v>
      </c>
    </row>
    <row r="11532" spans="1:2" ht="18">
      <c r="A11532" s="50" t="s">
        <v>5217</v>
      </c>
      <c r="B11532" s="1" t="s">
        <v>7110</v>
      </c>
    </row>
    <row r="11533" spans="1:2" ht="18">
      <c r="A11533" s="50" t="s">
        <v>5582</v>
      </c>
      <c r="B11533" s="1" t="s">
        <v>7110</v>
      </c>
    </row>
    <row r="11534" spans="1:2" ht="18">
      <c r="A11534" s="50" t="s">
        <v>5582</v>
      </c>
      <c r="B11534" s="1" t="s">
        <v>7110</v>
      </c>
    </row>
    <row r="11535" spans="1:2" ht="18">
      <c r="A11535" s="50" t="s">
        <v>5582</v>
      </c>
      <c r="B11535" s="1" t="s">
        <v>7110</v>
      </c>
    </row>
    <row r="11536" spans="1:2" ht="18">
      <c r="A11536" s="50" t="s">
        <v>5582</v>
      </c>
      <c r="B11536" s="1" t="s">
        <v>7110</v>
      </c>
    </row>
    <row r="11537" spans="1:2" ht="18">
      <c r="A11537" s="50" t="s">
        <v>5582</v>
      </c>
      <c r="B11537" s="1" t="s">
        <v>7110</v>
      </c>
    </row>
    <row r="11538" spans="1:2" ht="18">
      <c r="A11538" s="50" t="s">
        <v>5582</v>
      </c>
      <c r="B11538" s="1" t="s">
        <v>7110</v>
      </c>
    </row>
    <row r="11539" spans="1:2" ht="18">
      <c r="A11539" s="50" t="s">
        <v>5582</v>
      </c>
      <c r="B11539" s="1" t="s">
        <v>7110</v>
      </c>
    </row>
    <row r="11540" spans="1:2" ht="18">
      <c r="A11540" s="50" t="s">
        <v>5582</v>
      </c>
      <c r="B11540" s="1" t="s">
        <v>7110</v>
      </c>
    </row>
    <row r="11541" spans="1:2" ht="18">
      <c r="A11541" s="50" t="s">
        <v>5582</v>
      </c>
      <c r="B11541" s="1" t="s">
        <v>7110</v>
      </c>
    </row>
    <row r="11542" spans="1:2" ht="18">
      <c r="A11542" s="50" t="s">
        <v>5582</v>
      </c>
      <c r="B11542" s="1" t="s">
        <v>7110</v>
      </c>
    </row>
    <row r="11543" spans="1:2" ht="18">
      <c r="A11543" s="50" t="s">
        <v>5575</v>
      </c>
      <c r="B11543" s="1" t="s">
        <v>7110</v>
      </c>
    </row>
    <row r="11544" spans="1:2" ht="18">
      <c r="A11544" s="50" t="s">
        <v>5575</v>
      </c>
      <c r="B11544" s="1" t="s">
        <v>7110</v>
      </c>
    </row>
    <row r="11545" spans="1:2" ht="18">
      <c r="A11545" s="50" t="s">
        <v>5575</v>
      </c>
      <c r="B11545" s="1" t="s">
        <v>7110</v>
      </c>
    </row>
    <row r="11546" spans="1:2" ht="18">
      <c r="A11546" s="50" t="s">
        <v>5575</v>
      </c>
      <c r="B11546" s="1" t="s">
        <v>7110</v>
      </c>
    </row>
    <row r="11547" spans="1:2" ht="18">
      <c r="A11547" s="50" t="s">
        <v>5575</v>
      </c>
      <c r="B11547" s="1" t="s">
        <v>7110</v>
      </c>
    </row>
    <row r="11548" spans="1:2" ht="18">
      <c r="A11548" s="50" t="s">
        <v>5575</v>
      </c>
      <c r="B11548" s="1" t="s">
        <v>7110</v>
      </c>
    </row>
    <row r="11549" spans="1:2" ht="18">
      <c r="A11549" s="50" t="s">
        <v>5575</v>
      </c>
      <c r="B11549" s="1" t="s">
        <v>7110</v>
      </c>
    </row>
    <row r="11550" spans="1:2" ht="18">
      <c r="A11550" s="50" t="s">
        <v>5575</v>
      </c>
      <c r="B11550" s="1" t="s">
        <v>7110</v>
      </c>
    </row>
    <row r="11551" spans="1:2" ht="18">
      <c r="A11551" s="50" t="s">
        <v>5575</v>
      </c>
      <c r="B11551" s="1" t="s">
        <v>7110</v>
      </c>
    </row>
    <row r="11552" spans="1:2" ht="18">
      <c r="A11552" s="50" t="s">
        <v>5575</v>
      </c>
      <c r="B11552" s="1" t="s">
        <v>7110</v>
      </c>
    </row>
    <row r="11553" spans="1:2" ht="18">
      <c r="A11553" s="50" t="s">
        <v>4946</v>
      </c>
      <c r="B11553" s="1" t="s">
        <v>7110</v>
      </c>
    </row>
    <row r="11554" spans="1:2" ht="18">
      <c r="A11554" s="50" t="s">
        <v>5015</v>
      </c>
      <c r="B11554" s="1" t="s">
        <v>7110</v>
      </c>
    </row>
    <row r="11555" spans="1:2" ht="18">
      <c r="A11555" s="50" t="s">
        <v>5016</v>
      </c>
      <c r="B11555" s="1" t="s">
        <v>7110</v>
      </c>
    </row>
    <row r="11556" spans="1:2" ht="18">
      <c r="A11556" s="50" t="s">
        <v>5026</v>
      </c>
      <c r="B11556" s="1" t="s">
        <v>7110</v>
      </c>
    </row>
    <row r="11557" spans="1:2" ht="18">
      <c r="A11557" s="50" t="s">
        <v>5040</v>
      </c>
      <c r="B11557" s="1" t="s">
        <v>7110</v>
      </c>
    </row>
    <row r="11558" spans="1:2" ht="18">
      <c r="A11558" s="50" t="s">
        <v>5026</v>
      </c>
      <c r="B11558" s="1" t="s">
        <v>7110</v>
      </c>
    </row>
    <row r="11559" spans="1:2" ht="18">
      <c r="A11559" s="50" t="s">
        <v>5026</v>
      </c>
      <c r="B11559" s="1" t="s">
        <v>7110</v>
      </c>
    </row>
    <row r="11560" spans="1:2" ht="18">
      <c r="A11560" s="50" t="s">
        <v>5056</v>
      </c>
      <c r="B11560" s="1" t="s">
        <v>7110</v>
      </c>
    </row>
    <row r="11561" spans="1:2" ht="18">
      <c r="A11561" s="50" t="s">
        <v>5060</v>
      </c>
      <c r="B11561" s="1" t="s">
        <v>7110</v>
      </c>
    </row>
    <row r="11562" spans="1:2" ht="18">
      <c r="A11562" s="50" t="s">
        <v>5061</v>
      </c>
      <c r="B11562" s="1" t="s">
        <v>7110</v>
      </c>
    </row>
    <row r="11563" spans="1:2" ht="18">
      <c r="A11563" s="50" t="s">
        <v>5061</v>
      </c>
      <c r="B11563" s="1" t="s">
        <v>7110</v>
      </c>
    </row>
    <row r="11564" spans="1:2" ht="18">
      <c r="A11564" s="50" t="s">
        <v>5062</v>
      </c>
      <c r="B11564" s="1" t="s">
        <v>7110</v>
      </c>
    </row>
    <row r="11565" spans="1:2" ht="18">
      <c r="A11565" s="50" t="s">
        <v>5065</v>
      </c>
      <c r="B11565" s="1" t="s">
        <v>7110</v>
      </c>
    </row>
    <row r="11566" spans="1:2" ht="18">
      <c r="A11566" s="50" t="s">
        <v>5066</v>
      </c>
      <c r="B11566" s="1" t="s">
        <v>7110</v>
      </c>
    </row>
    <row r="11567" spans="1:2" ht="18">
      <c r="A11567" s="50" t="s">
        <v>5056</v>
      </c>
      <c r="B11567" s="1" t="s">
        <v>7110</v>
      </c>
    </row>
    <row r="11568" spans="1:2" ht="18">
      <c r="A11568" s="50" t="s">
        <v>5065</v>
      </c>
      <c r="B11568" s="1" t="s">
        <v>7110</v>
      </c>
    </row>
    <row r="11569" spans="1:2" ht="18">
      <c r="A11569" s="50" t="s">
        <v>5061</v>
      </c>
      <c r="B11569" s="1" t="s">
        <v>7110</v>
      </c>
    </row>
    <row r="11570" spans="1:2" ht="18">
      <c r="A11570" s="50" t="s">
        <v>5066</v>
      </c>
      <c r="B11570" s="1" t="s">
        <v>7110</v>
      </c>
    </row>
    <row r="11571" spans="1:2" ht="18">
      <c r="A11571" s="50" t="s">
        <v>5070</v>
      </c>
      <c r="B11571" s="1" t="s">
        <v>7110</v>
      </c>
    </row>
    <row r="11572" spans="1:2" ht="18">
      <c r="A11572" s="50" t="s">
        <v>5071</v>
      </c>
      <c r="B11572" s="1" t="s">
        <v>7110</v>
      </c>
    </row>
    <row r="11573" spans="1:2" ht="18">
      <c r="A11573" s="50" t="s">
        <v>5056</v>
      </c>
      <c r="B11573" s="1" t="s">
        <v>7110</v>
      </c>
    </row>
    <row r="11574" spans="1:2" ht="18">
      <c r="A11574" s="50" t="s">
        <v>5065</v>
      </c>
      <c r="B11574" s="1" t="s">
        <v>7110</v>
      </c>
    </row>
    <row r="11575" spans="1:2" ht="18">
      <c r="A11575" s="50" t="s">
        <v>5071</v>
      </c>
      <c r="B11575" s="1" t="s">
        <v>7110</v>
      </c>
    </row>
    <row r="11576" spans="1:2" ht="18">
      <c r="A11576" s="50" t="s">
        <v>5062</v>
      </c>
      <c r="B11576" s="1" t="s">
        <v>7110</v>
      </c>
    </row>
    <row r="11577" spans="1:2" ht="18">
      <c r="A11577" s="50" t="s">
        <v>5056</v>
      </c>
      <c r="B11577" s="1" t="s">
        <v>7110</v>
      </c>
    </row>
    <row r="11578" spans="1:2" ht="18">
      <c r="A11578" s="50" t="s">
        <v>5060</v>
      </c>
      <c r="B11578" s="1" t="s">
        <v>7110</v>
      </c>
    </row>
    <row r="11579" spans="1:2" ht="18">
      <c r="A11579" s="50" t="s">
        <v>5065</v>
      </c>
      <c r="B11579" s="1" t="s">
        <v>7110</v>
      </c>
    </row>
    <row r="11580" spans="1:2" ht="18">
      <c r="A11580" s="50" t="s">
        <v>5056</v>
      </c>
      <c r="B11580" s="1" t="s">
        <v>7110</v>
      </c>
    </row>
    <row r="11581" spans="1:2" ht="18">
      <c r="A11581" s="50" t="s">
        <v>5060</v>
      </c>
      <c r="B11581" s="1" t="s">
        <v>7110</v>
      </c>
    </row>
    <row r="11582" spans="1:2" ht="18">
      <c r="A11582" s="50" t="s">
        <v>5060</v>
      </c>
      <c r="B11582" s="1" t="s">
        <v>7110</v>
      </c>
    </row>
    <row r="11583" spans="1:2" ht="18">
      <c r="A11583" s="50" t="s">
        <v>5062</v>
      </c>
      <c r="B11583" s="1" t="s">
        <v>7110</v>
      </c>
    </row>
    <row r="11584" spans="1:2" ht="18">
      <c r="A11584" s="50" t="s">
        <v>5065</v>
      </c>
      <c r="B11584" s="1" t="s">
        <v>7110</v>
      </c>
    </row>
    <row r="11585" spans="1:2" ht="18">
      <c r="A11585" s="50" t="s">
        <v>5056</v>
      </c>
      <c r="B11585" s="1" t="s">
        <v>7110</v>
      </c>
    </row>
    <row r="11586" spans="1:2" ht="18">
      <c r="A11586" s="50" t="s">
        <v>5060</v>
      </c>
      <c r="B11586" s="1" t="s">
        <v>7110</v>
      </c>
    </row>
    <row r="11587" spans="1:2" ht="18">
      <c r="A11587" s="50" t="s">
        <v>5061</v>
      </c>
      <c r="B11587" s="1" t="s">
        <v>7110</v>
      </c>
    </row>
    <row r="11588" spans="1:2" ht="18">
      <c r="A11588" s="50" t="s">
        <v>5179</v>
      </c>
      <c r="B11588" s="1" t="s">
        <v>7110</v>
      </c>
    </row>
    <row r="11589" spans="1:2" ht="18">
      <c r="A11589" s="50" t="s">
        <v>5186</v>
      </c>
      <c r="B11589" s="1" t="s">
        <v>7110</v>
      </c>
    </row>
    <row r="11590" spans="1:2" ht="18">
      <c r="A11590" s="50" t="s">
        <v>5026</v>
      </c>
      <c r="B11590" s="1" t="s">
        <v>7110</v>
      </c>
    </row>
    <row r="11591" spans="1:2" ht="18">
      <c r="A11591" s="50" t="s">
        <v>5202</v>
      </c>
      <c r="B11591" s="1" t="s">
        <v>7110</v>
      </c>
    </row>
    <row r="11592" spans="1:2" ht="18">
      <c r="A11592" s="50" t="s">
        <v>5203</v>
      </c>
      <c r="B11592" s="1" t="s">
        <v>7110</v>
      </c>
    </row>
    <row r="11593" spans="1:2" ht="18">
      <c r="A11593" s="50" t="s">
        <v>5071</v>
      </c>
      <c r="B11593" s="1" t="s">
        <v>7110</v>
      </c>
    </row>
    <row r="11594" spans="1:2" ht="18">
      <c r="A11594" s="50" t="s">
        <v>5065</v>
      </c>
      <c r="B11594" s="1" t="s">
        <v>7110</v>
      </c>
    </row>
    <row r="11595" spans="1:2" ht="18">
      <c r="A11595" s="50" t="s">
        <v>5071</v>
      </c>
      <c r="B11595" s="1" t="s">
        <v>7110</v>
      </c>
    </row>
    <row r="11596" spans="1:2" ht="18">
      <c r="A11596" s="50" t="s">
        <v>5070</v>
      </c>
      <c r="B11596" s="1" t="s">
        <v>7110</v>
      </c>
    </row>
    <row r="11597" spans="1:2" ht="18">
      <c r="A11597" s="50" t="s">
        <v>5221</v>
      </c>
      <c r="B11597" s="1" t="s">
        <v>7110</v>
      </c>
    </row>
    <row r="11598" spans="1:2" ht="18">
      <c r="A11598" s="50" t="s">
        <v>5222</v>
      </c>
      <c r="B11598" s="1" t="s">
        <v>7110</v>
      </c>
    </row>
    <row r="11599" spans="1:2" ht="18">
      <c r="A11599" s="50" t="s">
        <v>5221</v>
      </c>
      <c r="B11599" s="1" t="s">
        <v>7110</v>
      </c>
    </row>
    <row r="11600" spans="1:2" ht="18">
      <c r="A11600" s="50" t="s">
        <v>5222</v>
      </c>
      <c r="B11600" s="1" t="s">
        <v>7110</v>
      </c>
    </row>
    <row r="11601" spans="1:2" ht="18">
      <c r="A11601" s="50" t="s">
        <v>5221</v>
      </c>
      <c r="B11601" s="1" t="s">
        <v>7110</v>
      </c>
    </row>
    <row r="11602" spans="1:2" ht="18">
      <c r="A11602" s="50" t="s">
        <v>5223</v>
      </c>
      <c r="B11602" s="1" t="s">
        <v>7110</v>
      </c>
    </row>
    <row r="11603" spans="1:2" ht="18">
      <c r="A11603" s="50" t="s">
        <v>5225</v>
      </c>
      <c r="B11603" s="1" t="s">
        <v>7110</v>
      </c>
    </row>
    <row r="11604" spans="1:2" ht="18">
      <c r="A11604" s="50" t="s">
        <v>5221</v>
      </c>
      <c r="B11604" s="1" t="s">
        <v>7110</v>
      </c>
    </row>
    <row r="11605" spans="1:2" ht="18">
      <c r="A11605" s="50" t="s">
        <v>5060</v>
      </c>
      <c r="B11605" s="1" t="s">
        <v>7110</v>
      </c>
    </row>
    <row r="11606" spans="1:2" ht="18">
      <c r="A11606" s="50" t="s">
        <v>5222</v>
      </c>
      <c r="B11606" s="1" t="s">
        <v>7110</v>
      </c>
    </row>
    <row r="11607" spans="1:2" ht="18">
      <c r="A11607" s="50" t="s">
        <v>5225</v>
      </c>
      <c r="B11607" s="1" t="s">
        <v>7110</v>
      </c>
    </row>
    <row r="11608" spans="1:2" ht="18">
      <c r="A11608" s="50" t="s">
        <v>5221</v>
      </c>
      <c r="B11608" s="1" t="s">
        <v>7110</v>
      </c>
    </row>
    <row r="11609" spans="1:2" ht="18">
      <c r="A11609" s="50" t="s">
        <v>5222</v>
      </c>
      <c r="B11609" s="1" t="s">
        <v>7110</v>
      </c>
    </row>
    <row r="11610" spans="1:2" ht="18">
      <c r="A11610" s="50" t="s">
        <v>5223</v>
      </c>
      <c r="B11610" s="1" t="s">
        <v>7110</v>
      </c>
    </row>
    <row r="11611" spans="1:2" ht="18">
      <c r="A11611" s="50" t="s">
        <v>5223</v>
      </c>
      <c r="B11611" s="1" t="s">
        <v>7110</v>
      </c>
    </row>
    <row r="11612" spans="1:2" ht="18">
      <c r="A11612" s="50" t="s">
        <v>5223</v>
      </c>
      <c r="B11612" s="1" t="s">
        <v>7110</v>
      </c>
    </row>
    <row r="11613" spans="1:2" ht="18">
      <c r="A11613" s="50" t="s">
        <v>5223</v>
      </c>
      <c r="B11613" s="1" t="s">
        <v>7110</v>
      </c>
    </row>
    <row r="11614" spans="1:2" ht="18">
      <c r="A11614" s="50" t="s">
        <v>5223</v>
      </c>
      <c r="B11614" s="1" t="s">
        <v>7110</v>
      </c>
    </row>
    <row r="11615" spans="1:2" ht="18">
      <c r="A11615" s="50" t="s">
        <v>5223</v>
      </c>
      <c r="B11615" s="1" t="s">
        <v>7110</v>
      </c>
    </row>
    <row r="11616" spans="1:2" ht="18">
      <c r="A11616" s="50" t="s">
        <v>5225</v>
      </c>
      <c r="B11616" s="1" t="s">
        <v>7110</v>
      </c>
    </row>
    <row r="11617" spans="1:2" ht="18">
      <c r="A11617" s="50" t="s">
        <v>5279</v>
      </c>
      <c r="B11617" s="1" t="s">
        <v>7110</v>
      </c>
    </row>
    <row r="11618" spans="1:2" ht="18">
      <c r="A11618" s="50" t="s">
        <v>5225</v>
      </c>
      <c r="B11618" s="1" t="s">
        <v>7110</v>
      </c>
    </row>
    <row r="11619" spans="1:2" ht="18">
      <c r="A11619" s="50" t="s">
        <v>5222</v>
      </c>
      <c r="B11619" s="1" t="s">
        <v>7110</v>
      </c>
    </row>
    <row r="11620" spans="1:2" ht="18">
      <c r="A11620" s="50" t="s">
        <v>5279</v>
      </c>
      <c r="B11620" s="1" t="s">
        <v>7110</v>
      </c>
    </row>
    <row r="11621" spans="1:2" ht="18">
      <c r="A11621" s="50" t="s">
        <v>5026</v>
      </c>
      <c r="B11621" s="1" t="s">
        <v>7110</v>
      </c>
    </row>
    <row r="11622" spans="1:2" ht="18">
      <c r="A11622" s="50" t="s">
        <v>5286</v>
      </c>
      <c r="B11622" s="1" t="s">
        <v>7110</v>
      </c>
    </row>
    <row r="11623" spans="1:2" ht="18">
      <c r="A11623" s="50" t="s">
        <v>5016</v>
      </c>
      <c r="B11623" s="1" t="s">
        <v>7110</v>
      </c>
    </row>
    <row r="11624" spans="1:2" ht="18">
      <c r="A11624" s="50" t="s">
        <v>5279</v>
      </c>
      <c r="B11624" s="1" t="s">
        <v>7110</v>
      </c>
    </row>
    <row r="11625" spans="1:2" ht="18">
      <c r="A11625" s="50" t="s">
        <v>5279</v>
      </c>
      <c r="B11625" s="1" t="s">
        <v>7110</v>
      </c>
    </row>
    <row r="11626" spans="1:2" ht="18">
      <c r="A11626" s="50" t="s">
        <v>5279</v>
      </c>
      <c r="B11626" s="1" t="s">
        <v>7110</v>
      </c>
    </row>
    <row r="11627" spans="1:2" ht="18">
      <c r="A11627" s="50" t="s">
        <v>5279</v>
      </c>
      <c r="B11627" s="1" t="s">
        <v>7110</v>
      </c>
    </row>
    <row r="11628" spans="1:2" ht="18">
      <c r="A11628" s="50" t="s">
        <v>5279</v>
      </c>
      <c r="B11628" s="1" t="s">
        <v>7110</v>
      </c>
    </row>
    <row r="11629" spans="1:2" ht="18">
      <c r="A11629" s="50" t="s">
        <v>5279</v>
      </c>
      <c r="B11629" s="1" t="s">
        <v>7110</v>
      </c>
    </row>
    <row r="11630" spans="1:2" ht="18">
      <c r="A11630" s="50" t="s">
        <v>5279</v>
      </c>
      <c r="B11630" s="1" t="s">
        <v>7110</v>
      </c>
    </row>
    <row r="11631" spans="1:2" ht="18">
      <c r="A11631" s="50" t="s">
        <v>5279</v>
      </c>
      <c r="B11631" s="1" t="s">
        <v>7110</v>
      </c>
    </row>
    <row r="11632" spans="1:2" ht="18">
      <c r="A11632" s="50" t="s">
        <v>5071</v>
      </c>
      <c r="B11632" s="1" t="s">
        <v>7110</v>
      </c>
    </row>
    <row r="11633" spans="1:2" ht="18">
      <c r="A11633" s="50" t="s">
        <v>5377</v>
      </c>
      <c r="B11633" s="1" t="s">
        <v>7110</v>
      </c>
    </row>
    <row r="11634" spans="1:2" ht="18">
      <c r="A11634" s="50" t="s">
        <v>5279</v>
      </c>
      <c r="B11634" s="1" t="s">
        <v>7110</v>
      </c>
    </row>
    <row r="11635" spans="1:2" ht="18">
      <c r="A11635" s="50" t="s">
        <v>5378</v>
      </c>
      <c r="B11635" s="1" t="s">
        <v>7110</v>
      </c>
    </row>
    <row r="11636" spans="1:2" ht="18">
      <c r="A11636" s="50" t="s">
        <v>5279</v>
      </c>
      <c r="B11636" s="1" t="s">
        <v>7110</v>
      </c>
    </row>
    <row r="11637" spans="1:2" ht="18">
      <c r="A11637" s="50" t="s">
        <v>5279</v>
      </c>
      <c r="B11637" s="1" t="s">
        <v>7110</v>
      </c>
    </row>
    <row r="11638" spans="1:2" ht="18">
      <c r="A11638" s="50" t="s">
        <v>5279</v>
      </c>
      <c r="B11638" s="1" t="s">
        <v>7110</v>
      </c>
    </row>
    <row r="11639" spans="1:2" ht="18">
      <c r="A11639" s="50" t="s">
        <v>5279</v>
      </c>
      <c r="B11639" s="1" t="s">
        <v>7110</v>
      </c>
    </row>
    <row r="11640" spans="1:2" ht="18">
      <c r="A11640" s="50" t="s">
        <v>5279</v>
      </c>
      <c r="B11640" s="1" t="s">
        <v>7110</v>
      </c>
    </row>
    <row r="11641" spans="1:2" ht="18">
      <c r="A11641" s="50" t="s">
        <v>5279</v>
      </c>
      <c r="B11641" s="1" t="s">
        <v>7110</v>
      </c>
    </row>
    <row r="11642" spans="1:2" ht="18">
      <c r="A11642" s="50" t="s">
        <v>5279</v>
      </c>
      <c r="B11642" s="1" t="s">
        <v>7110</v>
      </c>
    </row>
    <row r="11643" spans="1:2" ht="18">
      <c r="A11643" s="50" t="s">
        <v>5454</v>
      </c>
      <c r="B11643" s="1" t="s">
        <v>7110</v>
      </c>
    </row>
    <row r="11644" spans="1:2" ht="18">
      <c r="A11644" s="50" t="s">
        <v>5454</v>
      </c>
      <c r="B11644" s="1" t="s">
        <v>7110</v>
      </c>
    </row>
    <row r="11645" spans="1:2" ht="18">
      <c r="A11645" s="50" t="s">
        <v>5378</v>
      </c>
      <c r="B11645" s="1" t="s">
        <v>7110</v>
      </c>
    </row>
    <row r="11646" spans="1:2" ht="18">
      <c r="A11646" s="50" t="s">
        <v>5378</v>
      </c>
      <c r="B11646" s="1" t="s">
        <v>7110</v>
      </c>
    </row>
    <row r="11647" spans="1:2" ht="18">
      <c r="A11647" s="50" t="s">
        <v>5279</v>
      </c>
      <c r="B11647" s="1" t="s">
        <v>7110</v>
      </c>
    </row>
    <row r="11648" spans="1:2" ht="18">
      <c r="A11648" s="50" t="s">
        <v>5378</v>
      </c>
      <c r="B11648" s="1" t="s">
        <v>7110</v>
      </c>
    </row>
    <row r="11649" spans="1:2" ht="18">
      <c r="A11649" s="50" t="s">
        <v>5378</v>
      </c>
      <c r="B11649" s="1" t="s">
        <v>7110</v>
      </c>
    </row>
    <row r="11650" spans="1:2" ht="18">
      <c r="A11650" s="50" t="s">
        <v>5454</v>
      </c>
      <c r="B11650" s="1" t="s">
        <v>7110</v>
      </c>
    </row>
    <row r="11651" spans="1:2" ht="18">
      <c r="A11651" s="50" t="s">
        <v>5222</v>
      </c>
      <c r="B11651" s="1" t="s">
        <v>7110</v>
      </c>
    </row>
    <row r="11652" spans="1:2" ht="18">
      <c r="A11652" s="50" t="s">
        <v>5223</v>
      </c>
      <c r="B11652" s="1" t="s">
        <v>7110</v>
      </c>
    </row>
    <row r="11653" spans="1:2" ht="18">
      <c r="A11653" s="50" t="s">
        <v>5221</v>
      </c>
      <c r="B11653" s="1" t="s">
        <v>7110</v>
      </c>
    </row>
    <row r="11654" spans="1:2" ht="18">
      <c r="A11654" s="50" t="s">
        <v>5921</v>
      </c>
      <c r="B11654" s="1" t="s">
        <v>7110</v>
      </c>
    </row>
    <row r="11655" spans="1:2" ht="18">
      <c r="A11655" s="50" t="s">
        <v>5938</v>
      </c>
      <c r="B11655" s="1" t="s">
        <v>7110</v>
      </c>
    </row>
    <row r="11656" spans="1:2" ht="18">
      <c r="A11656" s="50" t="s">
        <v>5953</v>
      </c>
      <c r="B11656" s="1" t="s">
        <v>7110</v>
      </c>
    </row>
    <row r="11657" spans="1:2" ht="18">
      <c r="A11657" s="50" t="s">
        <v>5938</v>
      </c>
      <c r="B11657" s="1" t="s">
        <v>7110</v>
      </c>
    </row>
    <row r="11658" spans="1:2" ht="18">
      <c r="A11658" s="50" t="s">
        <v>6019</v>
      </c>
      <c r="B11658" s="1" t="s">
        <v>7110</v>
      </c>
    </row>
    <row r="11659" spans="1:2" ht="18">
      <c r="A11659" s="50" t="s">
        <v>5969</v>
      </c>
      <c r="B11659" s="1" t="s">
        <v>7110</v>
      </c>
    </row>
    <row r="11660" spans="1:2" ht="18">
      <c r="A11660" s="50" t="s">
        <v>5969</v>
      </c>
      <c r="B11660" s="1" t="s">
        <v>7110</v>
      </c>
    </row>
    <row r="11661" spans="1:2" ht="18">
      <c r="A11661" s="50" t="s">
        <v>5969</v>
      </c>
      <c r="B11661" s="1" t="s">
        <v>7110</v>
      </c>
    </row>
    <row r="11662" spans="1:2" ht="18">
      <c r="A11662" s="50" t="s">
        <v>5969</v>
      </c>
      <c r="B11662" s="1" t="s">
        <v>7110</v>
      </c>
    </row>
    <row r="11663" spans="1:2" ht="18">
      <c r="A11663" s="50" t="s">
        <v>5969</v>
      </c>
      <c r="B11663" s="1" t="s">
        <v>7110</v>
      </c>
    </row>
    <row r="11664" spans="1:2" ht="18">
      <c r="A11664" s="50" t="s">
        <v>5969</v>
      </c>
      <c r="B11664" s="1" t="s">
        <v>7110</v>
      </c>
    </row>
    <row r="11665" spans="1:2" ht="18">
      <c r="A11665" s="50" t="s">
        <v>5953</v>
      </c>
      <c r="B11665" s="1" t="s">
        <v>7110</v>
      </c>
    </row>
    <row r="11666" spans="1:2" ht="18">
      <c r="A11666" s="50" t="s">
        <v>5921</v>
      </c>
      <c r="B11666" s="1" t="s">
        <v>7110</v>
      </c>
    </row>
    <row r="11667" spans="1:2" ht="18">
      <c r="A11667" s="50" t="s">
        <v>5199</v>
      </c>
      <c r="B11667" s="1" t="s">
        <v>7110</v>
      </c>
    </row>
    <row r="11668" spans="1:2" ht="18">
      <c r="A11668" s="50" t="s">
        <v>5200</v>
      </c>
      <c r="B11668" s="1" t="s">
        <v>7110</v>
      </c>
    </row>
    <row r="11669" spans="1:2" ht="18">
      <c r="A11669" s="50" t="s">
        <v>5201</v>
      </c>
      <c r="B11669" s="1" t="s">
        <v>7110</v>
      </c>
    </row>
    <row r="11670" spans="1:2" ht="18">
      <c r="A11670" s="50" t="s">
        <v>6035</v>
      </c>
      <c r="B11670" s="1" t="s">
        <v>7110</v>
      </c>
    </row>
    <row r="11671" spans="1:2" ht="18">
      <c r="A11671" s="50" t="s">
        <v>6035</v>
      </c>
      <c r="B11671" s="1" t="s">
        <v>7110</v>
      </c>
    </row>
    <row r="11672" spans="1:2" ht="18.75">
      <c r="A11672" s="103" t="s">
        <v>2815</v>
      </c>
      <c r="B11672" s="1" t="s">
        <v>7110</v>
      </c>
    </row>
    <row r="11673" spans="1:2" ht="18.75">
      <c r="A11673" s="103" t="s">
        <v>3126</v>
      </c>
      <c r="B11673" s="1" t="s">
        <v>7110</v>
      </c>
    </row>
    <row r="11674" spans="1:2" ht="18.75">
      <c r="A11674" s="103" t="s">
        <v>3132</v>
      </c>
      <c r="B11674" s="1" t="s">
        <v>7110</v>
      </c>
    </row>
    <row r="11675" spans="1:2" ht="18.75">
      <c r="A11675" s="103" t="s">
        <v>3142</v>
      </c>
      <c r="B11675" s="1" t="s">
        <v>7110</v>
      </c>
    </row>
    <row r="11676" spans="1:2" ht="18.75">
      <c r="A11676" s="103" t="s">
        <v>3173</v>
      </c>
      <c r="B11676" s="1" t="s">
        <v>7110</v>
      </c>
    </row>
    <row r="11677" spans="1:2" ht="18.75">
      <c r="A11677" s="103" t="s">
        <v>3190</v>
      </c>
      <c r="B11677" s="1" t="s">
        <v>7110</v>
      </c>
    </row>
    <row r="11678" spans="1:2" ht="18.75">
      <c r="A11678" s="103" t="s">
        <v>3192</v>
      </c>
      <c r="B11678" s="1" t="s">
        <v>7110</v>
      </c>
    </row>
    <row r="11679" spans="1:2" ht="18.75">
      <c r="A11679" s="103" t="s">
        <v>3251</v>
      </c>
      <c r="B11679" s="1" t="s">
        <v>7110</v>
      </c>
    </row>
    <row r="11680" spans="1:2" ht="18.75">
      <c r="A11680" s="104" t="s">
        <v>3351</v>
      </c>
      <c r="B11680" s="1" t="s">
        <v>7110</v>
      </c>
    </row>
    <row r="11681" spans="1:2" ht="18.75">
      <c r="A11681" s="104" t="s">
        <v>3356</v>
      </c>
      <c r="B11681" s="1" t="s">
        <v>7110</v>
      </c>
    </row>
    <row r="11682" spans="1:2" ht="18.75">
      <c r="A11682" s="104" t="s">
        <v>3388</v>
      </c>
      <c r="B11682" s="1" t="s">
        <v>7110</v>
      </c>
    </row>
    <row r="11683" spans="1:2" ht="18.75">
      <c r="A11683" s="104" t="s">
        <v>3415</v>
      </c>
      <c r="B11683" s="1" t="s">
        <v>7110</v>
      </c>
    </row>
    <row r="11684" spans="1:2" ht="18.75">
      <c r="A11684" s="104" t="s">
        <v>3418</v>
      </c>
      <c r="B11684" s="1" t="s">
        <v>7110</v>
      </c>
    </row>
    <row r="11685" spans="1:2" ht="18.75">
      <c r="A11685" s="104" t="s">
        <v>3418</v>
      </c>
      <c r="B11685" s="1" t="s">
        <v>7110</v>
      </c>
    </row>
    <row r="11686" spans="1:2" ht="18.75">
      <c r="A11686" s="104" t="s">
        <v>3478</v>
      </c>
      <c r="B11686" s="1" t="s">
        <v>7110</v>
      </c>
    </row>
    <row r="11687" spans="1:2" ht="18.75">
      <c r="A11687" s="104" t="s">
        <v>3479</v>
      </c>
      <c r="B11687" s="1" t="s">
        <v>7110</v>
      </c>
    </row>
    <row r="11688" spans="1:2" ht="18.75">
      <c r="A11688" s="104" t="s">
        <v>3515</v>
      </c>
      <c r="B11688" s="1" t="s">
        <v>7110</v>
      </c>
    </row>
    <row r="11689" spans="1:2" ht="18.75">
      <c r="A11689" s="104" t="s">
        <v>3517</v>
      </c>
      <c r="B11689" s="1" t="s">
        <v>7110</v>
      </c>
    </row>
    <row r="11690" spans="1:2" ht="18.75">
      <c r="A11690" s="104" t="s">
        <v>3527</v>
      </c>
      <c r="B11690" s="1" t="s">
        <v>7110</v>
      </c>
    </row>
    <row r="11691" spans="1:2" ht="18.75">
      <c r="A11691" s="104" t="s">
        <v>3562</v>
      </c>
      <c r="B11691" s="1" t="s">
        <v>7110</v>
      </c>
    </row>
    <row r="11692" spans="1:2" ht="18.75">
      <c r="A11692" s="104" t="s">
        <v>3566</v>
      </c>
      <c r="B11692" s="1" t="s">
        <v>7110</v>
      </c>
    </row>
    <row r="11693" spans="1:2" ht="18.75">
      <c r="A11693" s="104" t="s">
        <v>3640</v>
      </c>
      <c r="B11693" s="1" t="s">
        <v>7110</v>
      </c>
    </row>
    <row r="11694" spans="1:2" ht="18.75">
      <c r="A11694" s="104" t="s">
        <v>3641</v>
      </c>
      <c r="B11694" s="1" t="s">
        <v>7110</v>
      </c>
    </row>
    <row r="11695" spans="1:2" ht="18.75">
      <c r="A11695" s="104" t="s">
        <v>3730</v>
      </c>
      <c r="B11695" s="1" t="s">
        <v>7110</v>
      </c>
    </row>
    <row r="11696" spans="1:2" ht="18.75">
      <c r="A11696" s="104" t="s">
        <v>3733</v>
      </c>
      <c r="B11696" s="1" t="s">
        <v>7110</v>
      </c>
    </row>
    <row r="11697" spans="1:2" ht="18.75">
      <c r="A11697" s="104" t="s">
        <v>3736</v>
      </c>
      <c r="B11697" s="1" t="s">
        <v>7110</v>
      </c>
    </row>
    <row r="11698" spans="1:2" ht="18.75">
      <c r="A11698" s="104" t="s">
        <v>3738</v>
      </c>
      <c r="B11698" s="1" t="s">
        <v>7110</v>
      </c>
    </row>
    <row r="11699" spans="1:2" ht="18.75">
      <c r="A11699" s="104" t="s">
        <v>3744</v>
      </c>
      <c r="B11699" s="1" t="s">
        <v>7110</v>
      </c>
    </row>
    <row r="11700" spans="1:2" ht="18.75">
      <c r="A11700" s="104" t="s">
        <v>3746</v>
      </c>
      <c r="B11700" s="1" t="s">
        <v>7110</v>
      </c>
    </row>
    <row r="11701" spans="1:2" ht="18.75">
      <c r="A11701" s="104" t="s">
        <v>3763</v>
      </c>
      <c r="B11701" s="1" t="s">
        <v>7110</v>
      </c>
    </row>
    <row r="11702" spans="1:2" ht="18.75">
      <c r="A11702" s="104" t="s">
        <v>3895</v>
      </c>
      <c r="B11702" s="1" t="s">
        <v>7110</v>
      </c>
    </row>
    <row r="11703" spans="1:2" ht="18.75">
      <c r="A11703" s="104" t="s">
        <v>3898</v>
      </c>
      <c r="B11703" s="1" t="s">
        <v>7110</v>
      </c>
    </row>
    <row r="11704" spans="1:2" ht="18.75">
      <c r="A11704" s="104" t="s">
        <v>3899</v>
      </c>
      <c r="B11704" s="1" t="s">
        <v>7110</v>
      </c>
    </row>
    <row r="11705" spans="1:2" ht="18.75">
      <c r="A11705" s="104" t="s">
        <v>3941</v>
      </c>
      <c r="B11705" s="1" t="s">
        <v>7110</v>
      </c>
    </row>
    <row r="11706" spans="1:2" ht="18.75">
      <c r="A11706" s="104" t="s">
        <v>4229</v>
      </c>
      <c r="B11706" s="1" t="s">
        <v>7110</v>
      </c>
    </row>
    <row r="11707" spans="1:2" ht="18.75">
      <c r="A11707" s="104" t="s">
        <v>4245</v>
      </c>
      <c r="B11707" s="1" t="s">
        <v>7110</v>
      </c>
    </row>
    <row r="11708" spans="1:2" ht="18.75">
      <c r="A11708" s="104" t="s">
        <v>4249</v>
      </c>
      <c r="B11708" s="1" t="s">
        <v>7110</v>
      </c>
    </row>
    <row r="11709" spans="1:2" ht="18.75">
      <c r="A11709" s="104" t="s">
        <v>4252</v>
      </c>
      <c r="B11709" s="1" t="s">
        <v>7110</v>
      </c>
    </row>
    <row r="11710" spans="1:2" ht="18.75">
      <c r="A11710" s="104" t="s">
        <v>4253</v>
      </c>
      <c r="B11710" s="1" t="s">
        <v>7110</v>
      </c>
    </row>
    <row r="11711" spans="1:2" ht="18.75">
      <c r="A11711" s="104" t="s">
        <v>3730</v>
      </c>
      <c r="B11711" s="1" t="s">
        <v>7110</v>
      </c>
    </row>
    <row r="11712" spans="1:2" ht="18.75">
      <c r="A11712" s="104" t="s">
        <v>4258</v>
      </c>
      <c r="B11712" s="1" t="s">
        <v>7110</v>
      </c>
    </row>
    <row r="11713" spans="1:2" ht="18.75">
      <c r="A11713" s="104" t="s">
        <v>4245</v>
      </c>
      <c r="B11713" s="1" t="s">
        <v>7110</v>
      </c>
    </row>
    <row r="11714" spans="1:2" ht="18.75">
      <c r="A11714" s="104" t="s">
        <v>4499</v>
      </c>
      <c r="B11714" s="1" t="s">
        <v>7110</v>
      </c>
    </row>
    <row r="11715" spans="1:2" ht="18.75">
      <c r="A11715" s="104" t="s">
        <v>3730</v>
      </c>
      <c r="B11715" s="1" t="s">
        <v>7110</v>
      </c>
    </row>
    <row r="11716" spans="1:2" ht="18.75">
      <c r="A11716" s="104" t="s">
        <v>4596</v>
      </c>
      <c r="B11716" s="1" t="s">
        <v>7110</v>
      </c>
    </row>
    <row r="11717" spans="1:2" ht="18.75">
      <c r="A11717" s="104" t="s">
        <v>4696</v>
      </c>
      <c r="B11717" s="1" t="s">
        <v>7110</v>
      </c>
    </row>
    <row r="11718" spans="1:2" ht="18.75">
      <c r="A11718" s="105" t="s">
        <v>4929</v>
      </c>
      <c r="B11718" s="1" t="s">
        <v>7110</v>
      </c>
    </row>
    <row r="11719" spans="1:2" ht="18.75">
      <c r="A11719" s="12" t="s">
        <v>5863</v>
      </c>
      <c r="B11719" s="1" t="s">
        <v>8687</v>
      </c>
    </row>
    <row r="11720" spans="1:2" ht="18.75">
      <c r="A11720" s="12" t="s">
        <v>5329</v>
      </c>
      <c r="B11720" s="1" t="s">
        <v>8687</v>
      </c>
    </row>
    <row r="11721" spans="1:2" ht="18.75">
      <c r="A11721" s="12" t="s">
        <v>5277</v>
      </c>
      <c r="B11721" s="1" t="s">
        <v>8687</v>
      </c>
    </row>
    <row r="11722" spans="1:2" ht="18.75">
      <c r="A11722" s="12" t="s">
        <v>5280</v>
      </c>
      <c r="B11722" s="1" t="s">
        <v>8687</v>
      </c>
    </row>
    <row r="11723" spans="1:2" ht="18.75">
      <c r="A11723" s="12" t="s">
        <v>5275</v>
      </c>
      <c r="B11723" s="1" t="s">
        <v>8687</v>
      </c>
    </row>
    <row r="11724" spans="1:2" ht="18.75">
      <c r="A11724" s="12" t="s">
        <v>5327</v>
      </c>
      <c r="B11724" s="1" t="s">
        <v>8687</v>
      </c>
    </row>
    <row r="11725" spans="1:2" ht="18.75">
      <c r="A11725" s="12" t="s">
        <v>5866</v>
      </c>
      <c r="B11725" s="1" t="s">
        <v>8687</v>
      </c>
    </row>
    <row r="11726" spans="1:2" ht="18.75">
      <c r="A11726" s="12" t="s">
        <v>5330</v>
      </c>
      <c r="B11726" s="1" t="s">
        <v>8687</v>
      </c>
    </row>
    <row r="11727" spans="1:2" ht="18.75">
      <c r="A11727" s="12" t="s">
        <v>5374</v>
      </c>
      <c r="B11727" s="1" t="s">
        <v>8687</v>
      </c>
    </row>
    <row r="11728" spans="1:2" ht="18.75">
      <c r="A11728" s="12" t="s">
        <v>5325</v>
      </c>
      <c r="B11728" s="1" t="s">
        <v>8687</v>
      </c>
    </row>
    <row r="11729" spans="1:2" ht="18.75">
      <c r="A11729" s="12" t="s">
        <v>5372</v>
      </c>
      <c r="B11729" s="1" t="s">
        <v>8687</v>
      </c>
    </row>
    <row r="11730" spans="1:2" ht="18.75">
      <c r="A11730" s="12" t="s">
        <v>5868</v>
      </c>
      <c r="B11730" s="1" t="s">
        <v>8687</v>
      </c>
    </row>
    <row r="11731" spans="1:2" ht="18.75">
      <c r="A11731" s="12" t="s">
        <v>5424</v>
      </c>
      <c r="B11731" s="1" t="s">
        <v>8687</v>
      </c>
    </row>
    <row r="11732" spans="1:2" ht="18.75">
      <c r="A11732" s="12" t="s">
        <v>5869</v>
      </c>
      <c r="B11732" s="1" t="s">
        <v>8687</v>
      </c>
    </row>
    <row r="11733" spans="1:2" ht="18.75">
      <c r="A11733" s="12" t="s">
        <v>5428</v>
      </c>
      <c r="B11733" s="1" t="s">
        <v>8687</v>
      </c>
    </row>
    <row r="11734" spans="1:2" ht="18.75">
      <c r="A11734" s="12" t="s">
        <v>5371</v>
      </c>
      <c r="B11734" s="1" t="s">
        <v>8687</v>
      </c>
    </row>
    <row r="11735" spans="1:2" ht="18.75">
      <c r="A11735" s="12" t="s">
        <v>5874</v>
      </c>
      <c r="B11735" s="1" t="s">
        <v>8687</v>
      </c>
    </row>
    <row r="11736" spans="1:2" ht="18.75">
      <c r="A11736" s="12" t="s">
        <v>5435</v>
      </c>
      <c r="B11736" s="1" t="s">
        <v>8687</v>
      </c>
    </row>
    <row r="11737" spans="1:2" ht="18.75">
      <c r="A11737" s="12" t="s">
        <v>5875</v>
      </c>
      <c r="B11737" s="1" t="s">
        <v>8687</v>
      </c>
    </row>
    <row r="11738" spans="1:2" ht="18.75">
      <c r="A11738" s="12" t="s">
        <v>5421</v>
      </c>
      <c r="B11738" s="1" t="s">
        <v>8687</v>
      </c>
    </row>
    <row r="11739" spans="1:2" ht="18.75">
      <c r="A11739" s="12" t="s">
        <v>5876</v>
      </c>
      <c r="B11739" s="1" t="s">
        <v>8687</v>
      </c>
    </row>
    <row r="11740" spans="1:2" ht="18.75">
      <c r="A11740" s="12" t="s">
        <v>5370</v>
      </c>
      <c r="B11740" s="1" t="s">
        <v>8687</v>
      </c>
    </row>
    <row r="11741" spans="1:2" ht="18.75">
      <c r="A11741" s="12" t="s">
        <v>5888</v>
      </c>
      <c r="B11741" s="1" t="s">
        <v>8687</v>
      </c>
    </row>
    <row r="11742" spans="1:2" ht="18.75">
      <c r="A11742" s="12" t="s">
        <v>5571</v>
      </c>
      <c r="B11742" s="1" t="s">
        <v>8687</v>
      </c>
    </row>
    <row r="11743" spans="1:2" ht="18.75">
      <c r="A11743" s="12" t="s">
        <v>5597</v>
      </c>
      <c r="B11743" s="1" t="s">
        <v>8687</v>
      </c>
    </row>
    <row r="11744" spans="1:2" ht="18.75">
      <c r="A11744" s="12" t="s">
        <v>5895</v>
      </c>
      <c r="B11744" s="1" t="s">
        <v>8687</v>
      </c>
    </row>
    <row r="11745" spans="1:2" ht="18.75">
      <c r="A11745" s="12" t="s">
        <v>5596</v>
      </c>
      <c r="B11745" s="1" t="s">
        <v>8687</v>
      </c>
    </row>
    <row r="11746" spans="1:2" ht="18.75">
      <c r="A11746" s="12" t="s">
        <v>5576</v>
      </c>
      <c r="B11746" s="1" t="s">
        <v>8687</v>
      </c>
    </row>
    <row r="11747" spans="1:2" ht="18.75">
      <c r="A11747" s="12" t="s">
        <v>5595</v>
      </c>
      <c r="B11747" s="1" t="s">
        <v>8687</v>
      </c>
    </row>
    <row r="11748" spans="1:2" ht="18.75">
      <c r="A11748" s="12" t="s">
        <v>5896</v>
      </c>
      <c r="B11748" s="1" t="s">
        <v>8687</v>
      </c>
    </row>
    <row r="11749" spans="1:2" ht="18.75">
      <c r="A11749" s="12"/>
    </row>
    <row r="11750" spans="1:2" ht="18.75">
      <c r="A11750" s="12"/>
    </row>
    <row r="11751" spans="1:2" ht="18.75">
      <c r="A11751" s="12"/>
    </row>
    <row r="11752" spans="1:2" ht="18.75">
      <c r="A11752" s="12"/>
    </row>
    <row r="11753" spans="1:2" ht="18.75">
      <c r="A11753" s="12"/>
    </row>
    <row r="11754" spans="1:2" ht="18.75">
      <c r="A11754" s="12"/>
    </row>
    <row r="11755" spans="1:2" ht="18.75">
      <c r="A11755" s="12"/>
    </row>
    <row r="11756" spans="1:2" ht="18.75">
      <c r="A11756" s="12"/>
    </row>
    <row r="11757" spans="1:2" ht="18.75">
      <c r="A11757" s="12"/>
    </row>
    <row r="11758" spans="1:2" ht="18.75">
      <c r="A11758" s="12"/>
    </row>
    <row r="11759" spans="1:2" ht="18.75">
      <c r="A11759" s="12"/>
    </row>
    <row r="11760" spans="1:2" ht="18.75">
      <c r="A11760" s="12"/>
    </row>
    <row r="11761" spans="1:1" ht="18.75">
      <c r="A11761" s="12"/>
    </row>
    <row r="11762" spans="1:1" ht="18.75">
      <c r="A11762" s="12"/>
    </row>
    <row r="11763" spans="1:1" ht="18.75">
      <c r="A11763" s="12"/>
    </row>
    <row r="11764" spans="1:1" ht="18.75">
      <c r="A11764" s="12"/>
    </row>
    <row r="11765" spans="1:1" ht="18.75">
      <c r="A11765" s="12"/>
    </row>
    <row r="11766" spans="1:1" ht="18.75">
      <c r="A11766" s="12"/>
    </row>
    <row r="11767" spans="1:1" ht="18.75">
      <c r="A11767" s="12"/>
    </row>
    <row r="11768" spans="1:1" ht="18.75">
      <c r="A11768" s="12"/>
    </row>
    <row r="11769" spans="1:1" ht="18.75">
      <c r="A11769" s="12"/>
    </row>
    <row r="11770" spans="1:1" ht="18.75">
      <c r="A11770" s="12"/>
    </row>
    <row r="11771" spans="1:1" ht="18.75">
      <c r="A11771" s="12"/>
    </row>
    <row r="11772" spans="1:1" ht="18.75">
      <c r="A11772" s="12"/>
    </row>
    <row r="11773" spans="1:1" ht="18.75">
      <c r="A11773" s="12"/>
    </row>
    <row r="11774" spans="1:1" ht="18.75">
      <c r="A11774" s="12"/>
    </row>
    <row r="11775" spans="1:1" ht="18.75">
      <c r="A11775" s="12"/>
    </row>
    <row r="11776" spans="1:1" ht="18.75">
      <c r="A11776" s="86"/>
    </row>
    <row r="11777" spans="1:1" ht="18.75">
      <c r="A11777" s="12"/>
    </row>
    <row r="11778" spans="1:1" ht="18.75">
      <c r="A11778" s="12"/>
    </row>
    <row r="11779" spans="1:1" ht="18.75">
      <c r="A11779" s="12"/>
    </row>
    <row r="11780" spans="1:1" ht="18.75">
      <c r="A11780" s="12"/>
    </row>
    <row r="11781" spans="1:1" ht="18.75">
      <c r="A11781" s="12"/>
    </row>
    <row r="11782" spans="1:1" ht="18.75">
      <c r="A11782" s="12"/>
    </row>
    <row r="11783" spans="1:1" ht="18.75">
      <c r="A11783" s="12"/>
    </row>
    <row r="11784" spans="1:1" ht="18.75">
      <c r="A11784" s="12"/>
    </row>
    <row r="11785" spans="1:1" ht="18.75">
      <c r="A11785" s="12"/>
    </row>
    <row r="11786" spans="1:1" ht="18.75">
      <c r="A11786" s="12"/>
    </row>
    <row r="11787" spans="1:1" ht="18.75">
      <c r="A11787" s="12"/>
    </row>
    <row r="11788" spans="1:1" ht="18.75">
      <c r="A11788" s="12"/>
    </row>
    <row r="11789" spans="1:1" ht="18.75">
      <c r="A11789" s="12"/>
    </row>
    <row r="11790" spans="1:1" ht="18.75">
      <c r="A11790" s="12"/>
    </row>
  </sheetData>
  <autoFilter ref="A1:C11718"/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69"/>
  <sheetViews>
    <sheetView rightToLeft="1" topLeftCell="A6828" zoomScaleNormal="100" workbookViewId="0">
      <selection activeCell="C6840" sqref="C6840:C8769"/>
    </sheetView>
  </sheetViews>
  <sheetFormatPr defaultColWidth="9" defaultRowHeight="14.25"/>
  <cols>
    <col min="1" max="1" width="12.125" style="71" bestFit="1" customWidth="1"/>
    <col min="2" max="2" width="14.25" style="71" bestFit="1" customWidth="1"/>
    <col min="3" max="3" width="20.625" style="71" bestFit="1" customWidth="1"/>
    <col min="4" max="4" width="8.25" style="71" bestFit="1" customWidth="1"/>
    <col min="5" max="5" width="9.375" style="71" bestFit="1" customWidth="1"/>
    <col min="6" max="6" width="10.375" style="71" bestFit="1" customWidth="1"/>
    <col min="7" max="7" width="12.375" style="71" bestFit="1" customWidth="1"/>
    <col min="8" max="8" width="16.625" style="125" bestFit="1" customWidth="1"/>
    <col min="9" max="9" width="24.875" style="74" customWidth="1"/>
    <col min="10" max="10" width="9.875" style="71" bestFit="1" customWidth="1"/>
    <col min="11" max="11" width="14.375" style="71" bestFit="1" customWidth="1"/>
    <col min="12" max="12" width="9" style="71"/>
    <col min="13" max="13" width="9.75" style="71" bestFit="1" customWidth="1"/>
    <col min="14" max="16384" width="9" style="71"/>
  </cols>
  <sheetData>
    <row r="1" spans="1:13" ht="15">
      <c r="A1" s="178" t="s">
        <v>2</v>
      </c>
      <c r="B1" s="117" t="s">
        <v>2</v>
      </c>
      <c r="C1" s="180" t="s">
        <v>5603</v>
      </c>
      <c r="D1" s="69"/>
      <c r="E1" s="70"/>
      <c r="F1" s="70"/>
      <c r="G1" s="70"/>
      <c r="H1" s="123"/>
      <c r="I1" s="73"/>
      <c r="J1" s="69"/>
      <c r="K1" s="69"/>
      <c r="L1" s="69"/>
      <c r="M1" s="69"/>
    </row>
    <row r="2" spans="1:13" ht="18">
      <c r="A2" s="177">
        <v>966000036</v>
      </c>
      <c r="B2" s="116" t="str">
        <f>MID(A2,1,2)&amp;"-"&amp;A2</f>
        <v>96-966000036</v>
      </c>
      <c r="C2" s="179" t="s">
        <v>7146</v>
      </c>
      <c r="E2" s="72"/>
      <c r="F2" s="72"/>
      <c r="G2" s="118"/>
      <c r="H2" s="124"/>
    </row>
    <row r="3" spans="1:13" ht="18">
      <c r="A3" s="177">
        <v>966000036</v>
      </c>
      <c r="B3" s="116" t="str">
        <f t="shared" ref="B3:B66" si="0">MID(A3,1,2)&amp;"-"&amp;A3</f>
        <v>96-966000036</v>
      </c>
      <c r="C3" s="179" t="s">
        <v>7146</v>
      </c>
      <c r="E3" s="72"/>
      <c r="F3" s="72"/>
      <c r="G3" s="118"/>
      <c r="H3" s="124"/>
    </row>
    <row r="4" spans="1:13" ht="18">
      <c r="A4" s="177">
        <v>961100113</v>
      </c>
      <c r="B4" s="116" t="str">
        <f t="shared" si="0"/>
        <v>96-961100113</v>
      </c>
      <c r="C4" s="179" t="s">
        <v>12408</v>
      </c>
      <c r="E4" s="72"/>
      <c r="F4" s="72"/>
      <c r="G4" s="119"/>
      <c r="H4" s="124"/>
    </row>
    <row r="5" spans="1:13" ht="18">
      <c r="A5" s="177">
        <v>966200440</v>
      </c>
      <c r="B5" s="116" t="str">
        <f t="shared" si="0"/>
        <v>96-966200440</v>
      </c>
      <c r="C5" s="179" t="s">
        <v>12187</v>
      </c>
      <c r="E5" s="72"/>
      <c r="F5" s="72"/>
      <c r="G5" s="119"/>
      <c r="H5" s="124"/>
    </row>
    <row r="6" spans="1:13" ht="18">
      <c r="A6" s="177">
        <v>964100094</v>
      </c>
      <c r="B6" s="116" t="str">
        <f t="shared" si="0"/>
        <v>96-964100094</v>
      </c>
      <c r="C6" s="179" t="s">
        <v>12409</v>
      </c>
      <c r="E6" s="72"/>
      <c r="F6" s="72"/>
      <c r="G6" s="120"/>
      <c r="H6" s="124"/>
    </row>
    <row r="7" spans="1:13" ht="18">
      <c r="A7" s="177">
        <v>952200074</v>
      </c>
      <c r="B7" s="116" t="str">
        <f t="shared" si="0"/>
        <v>95-952200074</v>
      </c>
      <c r="C7" s="179" t="s">
        <v>7151</v>
      </c>
      <c r="E7" s="72"/>
      <c r="F7" s="72"/>
      <c r="G7" s="118"/>
      <c r="H7" s="124"/>
    </row>
    <row r="8" spans="1:13" ht="18">
      <c r="A8" s="177">
        <v>966000034</v>
      </c>
      <c r="B8" s="116" t="str">
        <f t="shared" si="0"/>
        <v>96-966000034</v>
      </c>
      <c r="C8" s="179" t="s">
        <v>7146</v>
      </c>
      <c r="E8" s="72"/>
      <c r="F8" s="72"/>
      <c r="G8" s="118"/>
      <c r="H8" s="124"/>
    </row>
    <row r="9" spans="1:13" ht="18">
      <c r="A9" s="177">
        <v>966200484</v>
      </c>
      <c r="B9" s="116" t="str">
        <f t="shared" si="0"/>
        <v>96-966200484</v>
      </c>
      <c r="C9" s="179" t="s">
        <v>12185</v>
      </c>
      <c r="E9" s="72"/>
      <c r="F9" s="72"/>
      <c r="G9" s="121"/>
      <c r="H9" s="124"/>
    </row>
    <row r="10" spans="1:13" ht="18">
      <c r="A10" s="177">
        <v>966200492</v>
      </c>
      <c r="B10" s="116" t="str">
        <f t="shared" si="0"/>
        <v>96-966200492</v>
      </c>
      <c r="C10" s="179" t="s">
        <v>12186</v>
      </c>
      <c r="E10" s="72"/>
      <c r="F10" s="72"/>
      <c r="G10" s="118"/>
      <c r="H10" s="124"/>
    </row>
    <row r="11" spans="1:13" ht="18">
      <c r="A11" s="177">
        <v>966200527</v>
      </c>
      <c r="B11" s="116" t="str">
        <f t="shared" si="0"/>
        <v>96-966200527</v>
      </c>
      <c r="C11" s="179" t="s">
        <v>12410</v>
      </c>
      <c r="E11" s="72"/>
      <c r="F11" s="72"/>
      <c r="G11" s="118"/>
      <c r="H11" s="124"/>
    </row>
    <row r="12" spans="1:13" ht="18">
      <c r="A12" s="177">
        <v>954100030</v>
      </c>
      <c r="B12" s="116" t="str">
        <f t="shared" si="0"/>
        <v>95-954100030</v>
      </c>
      <c r="C12" s="179" t="s">
        <v>5749</v>
      </c>
      <c r="E12" s="72"/>
      <c r="F12" s="72"/>
      <c r="G12" s="122"/>
      <c r="H12" s="124"/>
    </row>
    <row r="13" spans="1:13">
      <c r="A13" s="177">
        <v>964100021</v>
      </c>
      <c r="B13" s="116" t="str">
        <f t="shared" si="0"/>
        <v>96-964100021</v>
      </c>
      <c r="C13" s="179" t="s">
        <v>5797</v>
      </c>
      <c r="E13" s="72"/>
      <c r="F13" s="72"/>
      <c r="G13" s="72"/>
      <c r="H13" s="124"/>
    </row>
    <row r="14" spans="1:13">
      <c r="A14" s="177">
        <v>966000035</v>
      </c>
      <c r="B14" s="116" t="str">
        <f t="shared" si="0"/>
        <v>96-966000035</v>
      </c>
      <c r="C14" s="179" t="s">
        <v>7146</v>
      </c>
      <c r="E14" s="72"/>
      <c r="F14" s="72"/>
      <c r="G14" s="72"/>
      <c r="H14" s="124"/>
    </row>
    <row r="15" spans="1:13">
      <c r="A15" s="177">
        <v>966000037</v>
      </c>
      <c r="B15" s="116" t="str">
        <f t="shared" si="0"/>
        <v>96-966000037</v>
      </c>
      <c r="C15" s="179" t="s">
        <v>7146</v>
      </c>
      <c r="E15" s="72"/>
      <c r="F15" s="72"/>
      <c r="G15" s="72"/>
      <c r="H15" s="124"/>
    </row>
    <row r="16" spans="1:13">
      <c r="A16" s="177">
        <v>951500301</v>
      </c>
      <c r="B16" s="116" t="str">
        <f t="shared" si="0"/>
        <v>95-951500301</v>
      </c>
      <c r="C16" s="179" t="s">
        <v>5659</v>
      </c>
      <c r="E16" s="72"/>
      <c r="F16" s="72"/>
      <c r="G16" s="72"/>
      <c r="H16" s="124"/>
    </row>
    <row r="17" spans="1:8">
      <c r="A17" s="177">
        <v>966200524</v>
      </c>
      <c r="B17" s="116" t="str">
        <f t="shared" si="0"/>
        <v>96-966200524</v>
      </c>
      <c r="C17" s="179" t="s">
        <v>12411</v>
      </c>
      <c r="E17" s="72"/>
      <c r="F17" s="72"/>
      <c r="G17" s="72"/>
      <c r="H17" s="124"/>
    </row>
    <row r="18" spans="1:8">
      <c r="A18" s="177">
        <v>966200535</v>
      </c>
      <c r="B18" s="116" t="str">
        <f t="shared" si="0"/>
        <v>96-966200535</v>
      </c>
      <c r="C18" s="179" t="s">
        <v>12412</v>
      </c>
      <c r="E18" s="72"/>
      <c r="F18" s="72"/>
      <c r="G18" s="72"/>
      <c r="H18" s="124"/>
    </row>
    <row r="19" spans="1:8">
      <c r="A19" s="177">
        <v>966200539</v>
      </c>
      <c r="B19" s="116" t="str">
        <f t="shared" si="0"/>
        <v>96-966200539</v>
      </c>
      <c r="C19" s="179" t="s">
        <v>12412</v>
      </c>
      <c r="E19" s="72"/>
      <c r="F19" s="72"/>
      <c r="G19" s="72"/>
      <c r="H19" s="124"/>
    </row>
    <row r="20" spans="1:8">
      <c r="A20" s="177">
        <v>966200481</v>
      </c>
      <c r="B20" s="116" t="str">
        <f t="shared" si="0"/>
        <v>96-966200481</v>
      </c>
      <c r="C20" s="179" t="s">
        <v>12185</v>
      </c>
      <c r="E20" s="72"/>
      <c r="F20" s="72"/>
      <c r="G20" s="72"/>
      <c r="H20" s="124"/>
    </row>
    <row r="21" spans="1:8">
      <c r="A21" s="177">
        <v>952000350</v>
      </c>
      <c r="B21" s="116" t="str">
        <f t="shared" si="0"/>
        <v>95-952000350</v>
      </c>
      <c r="C21" s="179" t="s">
        <v>7122</v>
      </c>
      <c r="E21" s="72"/>
      <c r="F21" s="72"/>
      <c r="G21" s="72"/>
      <c r="H21" s="124"/>
    </row>
    <row r="22" spans="1:8">
      <c r="A22" s="177">
        <v>966200538</v>
      </c>
      <c r="B22" s="116" t="str">
        <f t="shared" si="0"/>
        <v>96-966200538</v>
      </c>
      <c r="C22" s="179" t="s">
        <v>12412</v>
      </c>
      <c r="E22" s="72"/>
      <c r="F22" s="72"/>
      <c r="G22" s="72"/>
      <c r="H22" s="124"/>
    </row>
    <row r="23" spans="1:8">
      <c r="A23" s="177">
        <v>951700316</v>
      </c>
      <c r="B23" s="116" t="str">
        <f t="shared" si="0"/>
        <v>95-951700316</v>
      </c>
      <c r="C23" s="179" t="s">
        <v>7127</v>
      </c>
      <c r="E23" s="72"/>
      <c r="F23" s="72"/>
      <c r="G23" s="72"/>
      <c r="H23" s="124"/>
    </row>
    <row r="24" spans="1:8">
      <c r="A24" s="177">
        <v>951700254</v>
      </c>
      <c r="B24" s="116" t="str">
        <f t="shared" si="0"/>
        <v>95-951700254</v>
      </c>
      <c r="C24" s="179" t="s">
        <v>7153</v>
      </c>
      <c r="E24" s="72"/>
      <c r="F24" s="72"/>
      <c r="G24" s="72"/>
      <c r="H24" s="124"/>
    </row>
    <row r="25" spans="1:8">
      <c r="A25" s="177">
        <v>951900223</v>
      </c>
      <c r="B25" s="116" t="str">
        <f t="shared" si="0"/>
        <v>95-951900223</v>
      </c>
      <c r="C25" s="179" t="s">
        <v>7137</v>
      </c>
      <c r="E25" s="72"/>
      <c r="F25" s="72"/>
      <c r="G25" s="72"/>
      <c r="H25" s="124"/>
    </row>
    <row r="26" spans="1:8">
      <c r="A26" s="177">
        <v>961900119</v>
      </c>
      <c r="B26" s="116" t="str">
        <f t="shared" si="0"/>
        <v>96-961900119</v>
      </c>
      <c r="C26" s="179" t="s">
        <v>7156</v>
      </c>
      <c r="E26" s="72"/>
      <c r="F26" s="72"/>
      <c r="G26" s="72"/>
      <c r="H26" s="124"/>
    </row>
    <row r="27" spans="1:8">
      <c r="A27" s="177">
        <v>951900113</v>
      </c>
      <c r="B27" s="116" t="str">
        <f t="shared" si="0"/>
        <v>95-951900113</v>
      </c>
      <c r="C27" s="179" t="s">
        <v>7192</v>
      </c>
      <c r="E27" s="72"/>
      <c r="F27" s="72"/>
      <c r="G27" s="72"/>
      <c r="H27" s="124"/>
    </row>
    <row r="28" spans="1:8">
      <c r="A28" s="177">
        <v>951900168</v>
      </c>
      <c r="B28" s="116" t="str">
        <f t="shared" si="0"/>
        <v>95-951900168</v>
      </c>
      <c r="C28" s="179" t="s">
        <v>7192</v>
      </c>
      <c r="E28" s="72"/>
      <c r="F28" s="72"/>
      <c r="G28" s="72"/>
      <c r="H28" s="124"/>
    </row>
    <row r="29" spans="1:8">
      <c r="A29" s="177">
        <v>951800081</v>
      </c>
      <c r="B29" s="116" t="str">
        <f t="shared" si="0"/>
        <v>95-951800081</v>
      </c>
      <c r="C29" s="179" t="s">
        <v>7194</v>
      </c>
      <c r="E29" s="72"/>
      <c r="F29" s="72"/>
      <c r="G29" s="72"/>
      <c r="H29" s="124"/>
    </row>
    <row r="30" spans="1:8">
      <c r="A30" s="177">
        <v>956000012</v>
      </c>
      <c r="B30" s="116" t="str">
        <f t="shared" si="0"/>
        <v>95-956000012</v>
      </c>
      <c r="C30" s="179" t="s">
        <v>7146</v>
      </c>
      <c r="E30" s="72"/>
      <c r="F30" s="72"/>
      <c r="G30" s="72"/>
      <c r="H30" s="124"/>
    </row>
    <row r="31" spans="1:8">
      <c r="A31" s="177">
        <v>962200039</v>
      </c>
      <c r="B31" s="116" t="str">
        <f t="shared" si="0"/>
        <v>96-962200039</v>
      </c>
      <c r="C31" s="179" t="s">
        <v>7173</v>
      </c>
      <c r="E31" s="72"/>
      <c r="F31" s="72"/>
      <c r="G31" s="72"/>
      <c r="H31" s="124"/>
    </row>
    <row r="32" spans="1:8">
      <c r="A32" s="177">
        <v>952500036</v>
      </c>
      <c r="B32" s="116" t="str">
        <f t="shared" si="0"/>
        <v>95-952500036</v>
      </c>
      <c r="C32" s="179" t="s">
        <v>5658</v>
      </c>
      <c r="E32" s="72"/>
      <c r="F32" s="72"/>
      <c r="G32" s="72"/>
      <c r="H32" s="124"/>
    </row>
    <row r="33" spans="1:8">
      <c r="A33" s="177">
        <v>964100093</v>
      </c>
      <c r="B33" s="116" t="str">
        <f t="shared" si="0"/>
        <v>96-964100093</v>
      </c>
      <c r="C33" s="179" t="s">
        <v>12409</v>
      </c>
      <c r="E33" s="72"/>
      <c r="F33" s="72"/>
      <c r="G33" s="72"/>
      <c r="H33" s="124"/>
    </row>
    <row r="34" spans="1:8">
      <c r="A34" s="177">
        <v>952200034</v>
      </c>
      <c r="B34" s="116" t="str">
        <f t="shared" si="0"/>
        <v>95-952200034</v>
      </c>
      <c r="C34" s="179" t="s">
        <v>7126</v>
      </c>
      <c r="E34" s="72"/>
      <c r="F34" s="72"/>
      <c r="G34" s="72"/>
      <c r="H34" s="124"/>
    </row>
    <row r="35" spans="1:8">
      <c r="A35" s="177">
        <v>952500029</v>
      </c>
      <c r="B35" s="116" t="str">
        <f t="shared" si="0"/>
        <v>95-952500029</v>
      </c>
      <c r="C35" s="179" t="s">
        <v>5630</v>
      </c>
      <c r="E35" s="72"/>
      <c r="F35" s="72"/>
      <c r="G35" s="72"/>
      <c r="H35" s="124"/>
    </row>
    <row r="36" spans="1:8">
      <c r="A36" s="177">
        <v>966100018</v>
      </c>
      <c r="B36" s="116" t="str">
        <f t="shared" si="0"/>
        <v>96-966100018</v>
      </c>
      <c r="C36" s="179" t="s">
        <v>7128</v>
      </c>
      <c r="E36" s="72"/>
      <c r="F36" s="72"/>
      <c r="G36" s="72"/>
      <c r="H36" s="124"/>
    </row>
    <row r="37" spans="1:8">
      <c r="A37" s="177">
        <v>961700160</v>
      </c>
      <c r="B37" s="116" t="str">
        <f t="shared" si="0"/>
        <v>96-961700160</v>
      </c>
      <c r="C37" s="179" t="s">
        <v>12193</v>
      </c>
      <c r="E37" s="72"/>
      <c r="F37" s="72"/>
      <c r="G37" s="72"/>
      <c r="H37" s="124"/>
    </row>
    <row r="38" spans="1:8">
      <c r="A38" s="177">
        <v>951800077</v>
      </c>
      <c r="B38" s="116" t="str">
        <f t="shared" si="0"/>
        <v>95-951800077</v>
      </c>
      <c r="C38" s="179" t="s">
        <v>7140</v>
      </c>
      <c r="E38" s="72"/>
      <c r="F38" s="72"/>
      <c r="G38" s="72"/>
      <c r="H38" s="124"/>
    </row>
    <row r="39" spans="1:8">
      <c r="A39" s="177">
        <v>961900105</v>
      </c>
      <c r="B39" s="116" t="str">
        <f t="shared" si="0"/>
        <v>96-961900105</v>
      </c>
      <c r="C39" s="179" t="s">
        <v>7141</v>
      </c>
      <c r="E39" s="72"/>
      <c r="F39" s="72"/>
      <c r="G39" s="72"/>
      <c r="H39" s="124"/>
    </row>
    <row r="40" spans="1:8">
      <c r="A40" s="177">
        <v>961900108</v>
      </c>
      <c r="B40" s="116" t="str">
        <f t="shared" si="0"/>
        <v>96-961900108</v>
      </c>
      <c r="C40" s="179" t="s">
        <v>7141</v>
      </c>
      <c r="E40" s="72"/>
      <c r="F40" s="72"/>
      <c r="G40" s="72"/>
      <c r="H40" s="124"/>
    </row>
    <row r="41" spans="1:8">
      <c r="A41" s="177">
        <v>961900128</v>
      </c>
      <c r="B41" s="116" t="str">
        <f t="shared" si="0"/>
        <v>96-961900128</v>
      </c>
      <c r="C41" s="179" t="s">
        <v>7158</v>
      </c>
      <c r="E41" s="72"/>
      <c r="F41" s="72"/>
      <c r="G41" s="72"/>
      <c r="H41" s="124"/>
    </row>
    <row r="42" spans="1:8">
      <c r="A42" s="177">
        <v>951800110</v>
      </c>
      <c r="B42" s="116" t="str">
        <f t="shared" si="0"/>
        <v>95-951800110</v>
      </c>
      <c r="C42" s="179" t="s">
        <v>7142</v>
      </c>
      <c r="E42" s="72"/>
      <c r="F42" s="72"/>
      <c r="G42" s="72"/>
      <c r="H42" s="124"/>
    </row>
    <row r="43" spans="1:8">
      <c r="A43" s="177">
        <v>966200448</v>
      </c>
      <c r="B43" s="116" t="str">
        <f t="shared" si="0"/>
        <v>96-966200448</v>
      </c>
      <c r="C43" s="179" t="s">
        <v>12187</v>
      </c>
      <c r="E43" s="72"/>
      <c r="F43" s="72"/>
      <c r="G43" s="72"/>
      <c r="H43" s="124"/>
    </row>
    <row r="44" spans="1:8">
      <c r="A44" s="177">
        <v>954100020</v>
      </c>
      <c r="B44" s="116" t="str">
        <f t="shared" si="0"/>
        <v>95-954100020</v>
      </c>
      <c r="C44" s="179" t="s">
        <v>5691</v>
      </c>
      <c r="E44" s="72"/>
      <c r="F44" s="72"/>
      <c r="G44" s="72"/>
      <c r="H44" s="124"/>
    </row>
    <row r="45" spans="1:8">
      <c r="A45" s="177">
        <v>952200033</v>
      </c>
      <c r="B45" s="116" t="str">
        <f t="shared" si="0"/>
        <v>95-952200033</v>
      </c>
      <c r="C45" s="179" t="s">
        <v>7126</v>
      </c>
      <c r="E45" s="72"/>
      <c r="F45" s="72"/>
      <c r="G45" s="72"/>
      <c r="H45" s="124"/>
    </row>
    <row r="46" spans="1:8">
      <c r="A46" s="177">
        <v>952200036</v>
      </c>
      <c r="B46" s="116" t="str">
        <f t="shared" si="0"/>
        <v>95-952200036</v>
      </c>
      <c r="C46" s="179" t="s">
        <v>7126</v>
      </c>
      <c r="E46" s="72"/>
      <c r="F46" s="72"/>
      <c r="G46" s="72"/>
      <c r="H46" s="124"/>
    </row>
    <row r="47" spans="1:8">
      <c r="A47" s="177">
        <v>966000007</v>
      </c>
      <c r="B47" s="116" t="str">
        <f t="shared" si="0"/>
        <v>96-966000007</v>
      </c>
      <c r="C47" s="179" t="s">
        <v>7146</v>
      </c>
      <c r="E47" s="72"/>
      <c r="F47" s="72"/>
      <c r="G47" s="72"/>
      <c r="H47" s="124"/>
    </row>
    <row r="48" spans="1:8">
      <c r="A48" s="177">
        <v>966100017</v>
      </c>
      <c r="B48" s="116" t="str">
        <f t="shared" si="0"/>
        <v>96-966100017</v>
      </c>
      <c r="C48" s="179" t="s">
        <v>7128</v>
      </c>
      <c r="E48" s="72"/>
      <c r="F48" s="72"/>
      <c r="G48" s="72"/>
      <c r="H48" s="124"/>
    </row>
    <row r="49" spans="1:8">
      <c r="A49" s="177">
        <v>961700161</v>
      </c>
      <c r="B49" s="116" t="str">
        <f t="shared" si="0"/>
        <v>96-961700161</v>
      </c>
      <c r="C49" s="179" t="s">
        <v>12194</v>
      </c>
      <c r="E49" s="72"/>
      <c r="F49" s="72"/>
      <c r="G49" s="72"/>
      <c r="H49" s="124"/>
    </row>
    <row r="50" spans="1:8">
      <c r="A50" s="177">
        <v>951900209</v>
      </c>
      <c r="B50" s="116" t="str">
        <f t="shared" si="0"/>
        <v>95-951900209</v>
      </c>
      <c r="C50" s="179" t="s">
        <v>7149</v>
      </c>
      <c r="E50" s="72"/>
      <c r="F50" s="72"/>
      <c r="G50" s="72"/>
      <c r="H50" s="124"/>
    </row>
    <row r="51" spans="1:8">
      <c r="A51" s="177">
        <v>951500159</v>
      </c>
      <c r="B51" s="116" t="str">
        <f t="shared" si="0"/>
        <v>95-951500159</v>
      </c>
      <c r="C51" s="179" t="s">
        <v>5618</v>
      </c>
      <c r="E51" s="72"/>
      <c r="F51" s="72"/>
      <c r="G51" s="72"/>
      <c r="H51" s="124"/>
    </row>
    <row r="52" spans="1:8">
      <c r="A52" s="177">
        <v>966200495</v>
      </c>
      <c r="B52" s="116" t="str">
        <f t="shared" si="0"/>
        <v>96-966200495</v>
      </c>
      <c r="C52" s="179" t="s">
        <v>12189</v>
      </c>
      <c r="E52" s="72"/>
      <c r="F52" s="72"/>
      <c r="G52" s="72"/>
      <c r="H52" s="124"/>
    </row>
    <row r="53" spans="1:8">
      <c r="A53" s="177">
        <v>966200523</v>
      </c>
      <c r="B53" s="116" t="str">
        <f t="shared" si="0"/>
        <v>96-966200523</v>
      </c>
      <c r="C53" s="179" t="s">
        <v>12411</v>
      </c>
      <c r="E53" s="72"/>
      <c r="F53" s="72"/>
      <c r="G53" s="72"/>
      <c r="H53" s="124"/>
    </row>
    <row r="54" spans="1:8">
      <c r="A54" s="177">
        <v>966000033</v>
      </c>
      <c r="B54" s="116" t="str">
        <f t="shared" si="0"/>
        <v>96-966000033</v>
      </c>
      <c r="C54" s="179" t="s">
        <v>7146</v>
      </c>
      <c r="E54" s="72"/>
      <c r="F54" s="72"/>
      <c r="G54" s="72"/>
      <c r="H54" s="124"/>
    </row>
    <row r="55" spans="1:8">
      <c r="A55" s="177">
        <v>966000035</v>
      </c>
      <c r="B55" s="116" t="str">
        <f t="shared" si="0"/>
        <v>96-966000035</v>
      </c>
      <c r="C55" s="179" t="s">
        <v>7146</v>
      </c>
      <c r="E55" s="72"/>
      <c r="F55" s="72"/>
      <c r="G55" s="72"/>
      <c r="H55" s="124"/>
    </row>
    <row r="56" spans="1:8">
      <c r="A56" s="177">
        <v>961200161</v>
      </c>
      <c r="B56" s="116" t="str">
        <f t="shared" si="0"/>
        <v>96-961200161</v>
      </c>
      <c r="C56" s="179" t="s">
        <v>12413</v>
      </c>
      <c r="E56" s="72"/>
      <c r="F56" s="72"/>
      <c r="G56" s="72"/>
      <c r="H56" s="124"/>
    </row>
    <row r="57" spans="1:8">
      <c r="A57" s="177">
        <v>952200007</v>
      </c>
      <c r="B57" s="116" t="str">
        <f t="shared" si="0"/>
        <v>95-952200007</v>
      </c>
      <c r="C57" s="179" t="s">
        <v>7131</v>
      </c>
      <c r="E57" s="72"/>
      <c r="F57" s="72"/>
      <c r="G57" s="72"/>
      <c r="H57" s="124"/>
    </row>
    <row r="58" spans="1:8">
      <c r="A58" s="177">
        <v>966000036</v>
      </c>
      <c r="B58" s="116" t="str">
        <f t="shared" si="0"/>
        <v>96-966000036</v>
      </c>
      <c r="C58" s="179" t="s">
        <v>7146</v>
      </c>
      <c r="E58" s="72"/>
      <c r="F58" s="72"/>
      <c r="G58" s="72"/>
      <c r="H58" s="124"/>
    </row>
    <row r="59" spans="1:8">
      <c r="A59" s="177">
        <v>966000033</v>
      </c>
      <c r="B59" s="116" t="str">
        <f t="shared" si="0"/>
        <v>96-966000033</v>
      </c>
      <c r="C59" s="179" t="s">
        <v>7146</v>
      </c>
      <c r="E59" s="72"/>
      <c r="F59" s="72"/>
      <c r="G59" s="72"/>
      <c r="H59" s="124"/>
    </row>
    <row r="60" spans="1:8">
      <c r="A60" s="177">
        <v>966000034</v>
      </c>
      <c r="B60" s="116" t="str">
        <f t="shared" si="0"/>
        <v>96-966000034</v>
      </c>
      <c r="C60" s="179" t="s">
        <v>7146</v>
      </c>
      <c r="E60" s="72"/>
      <c r="F60" s="72"/>
      <c r="G60" s="72"/>
      <c r="H60" s="124"/>
    </row>
    <row r="61" spans="1:8">
      <c r="A61" s="177">
        <v>966000037</v>
      </c>
      <c r="B61" s="116" t="str">
        <f t="shared" si="0"/>
        <v>96-966000037</v>
      </c>
      <c r="C61" s="179" t="s">
        <v>7146</v>
      </c>
      <c r="E61" s="72"/>
      <c r="F61" s="72"/>
      <c r="G61" s="72"/>
      <c r="H61" s="124"/>
    </row>
    <row r="62" spans="1:8">
      <c r="A62" s="177">
        <v>961200164</v>
      </c>
      <c r="B62" s="116" t="str">
        <f t="shared" si="0"/>
        <v>96-961200164</v>
      </c>
      <c r="C62" s="179" t="s">
        <v>12413</v>
      </c>
      <c r="E62" s="72"/>
      <c r="F62" s="72"/>
      <c r="G62" s="72"/>
      <c r="H62" s="124"/>
    </row>
    <row r="63" spans="1:8">
      <c r="A63" s="177">
        <v>951500475</v>
      </c>
      <c r="B63" s="116" t="str">
        <f t="shared" si="0"/>
        <v>95-951500475</v>
      </c>
      <c r="C63" s="179" t="s">
        <v>5710</v>
      </c>
      <c r="E63" s="72"/>
      <c r="F63" s="72"/>
      <c r="G63" s="72"/>
      <c r="H63" s="124"/>
    </row>
    <row r="64" spans="1:8">
      <c r="A64" s="177">
        <v>961500848</v>
      </c>
      <c r="B64" s="116" t="str">
        <f t="shared" si="0"/>
        <v>96-961500848</v>
      </c>
      <c r="C64" s="179" t="s">
        <v>12414</v>
      </c>
      <c r="E64" s="72"/>
      <c r="F64" s="72"/>
      <c r="G64" s="72"/>
      <c r="H64" s="124"/>
    </row>
    <row r="65" spans="1:8">
      <c r="A65" s="177">
        <v>962000259</v>
      </c>
      <c r="B65" s="116" t="str">
        <f t="shared" si="0"/>
        <v>96-962000259</v>
      </c>
      <c r="C65" s="179" t="s">
        <v>7112</v>
      </c>
      <c r="E65" s="72"/>
      <c r="F65" s="72"/>
      <c r="G65" s="72"/>
      <c r="H65" s="124"/>
    </row>
    <row r="66" spans="1:8">
      <c r="A66" s="177">
        <v>966000034</v>
      </c>
      <c r="B66" s="116" t="str">
        <f t="shared" si="0"/>
        <v>96-966000034</v>
      </c>
      <c r="C66" s="179" t="s">
        <v>7146</v>
      </c>
      <c r="E66" s="72"/>
      <c r="F66" s="72"/>
      <c r="G66" s="72"/>
      <c r="H66" s="124"/>
    </row>
    <row r="67" spans="1:8">
      <c r="A67" s="177">
        <v>966200500</v>
      </c>
      <c r="B67" s="116" t="str">
        <f t="shared" ref="B67:B130" si="1">MID(A67,1,2)&amp;"-"&amp;A67</f>
        <v>96-966200500</v>
      </c>
      <c r="C67" s="179" t="s">
        <v>12415</v>
      </c>
      <c r="E67" s="72"/>
      <c r="F67" s="72"/>
      <c r="G67" s="72"/>
      <c r="H67" s="124"/>
    </row>
    <row r="68" spans="1:8">
      <c r="A68" s="177">
        <v>962000435</v>
      </c>
      <c r="B68" s="116" t="str">
        <f t="shared" si="1"/>
        <v>96-962000435</v>
      </c>
      <c r="C68" s="179" t="s">
        <v>12184</v>
      </c>
      <c r="E68" s="72"/>
      <c r="F68" s="72"/>
      <c r="G68" s="72"/>
      <c r="H68" s="124"/>
    </row>
    <row r="69" spans="1:8">
      <c r="A69" s="177">
        <v>966200531</v>
      </c>
      <c r="B69" s="116" t="str">
        <f t="shared" si="1"/>
        <v>96-966200531</v>
      </c>
      <c r="C69" s="179" t="s">
        <v>12416</v>
      </c>
      <c r="E69" s="72"/>
      <c r="F69" s="72"/>
      <c r="G69" s="72"/>
      <c r="H69" s="124"/>
    </row>
    <row r="70" spans="1:8">
      <c r="A70" s="177">
        <v>951400084</v>
      </c>
      <c r="B70" s="116" t="str">
        <f t="shared" si="1"/>
        <v>95-951400084</v>
      </c>
      <c r="C70" s="179" t="s">
        <v>7196</v>
      </c>
      <c r="E70" s="72"/>
      <c r="F70" s="72"/>
      <c r="G70" s="72"/>
      <c r="H70" s="124"/>
    </row>
    <row r="71" spans="1:8">
      <c r="A71" s="177">
        <v>966000044</v>
      </c>
      <c r="B71" s="116" t="str">
        <f t="shared" si="1"/>
        <v>96-966000044</v>
      </c>
      <c r="C71" s="179" t="s">
        <v>12417</v>
      </c>
      <c r="E71" s="72"/>
      <c r="F71" s="72"/>
      <c r="G71" s="72"/>
      <c r="H71" s="124"/>
    </row>
    <row r="72" spans="1:8">
      <c r="A72" s="177">
        <v>951400117</v>
      </c>
      <c r="B72" s="116" t="str">
        <f t="shared" si="1"/>
        <v>95-951400117</v>
      </c>
      <c r="C72" s="179" t="s">
        <v>7150</v>
      </c>
      <c r="E72" s="72"/>
      <c r="F72" s="72"/>
      <c r="G72" s="72"/>
      <c r="H72" s="124"/>
    </row>
    <row r="73" spans="1:8">
      <c r="A73" s="177">
        <v>951400120</v>
      </c>
      <c r="B73" s="116" t="str">
        <f t="shared" si="1"/>
        <v>95-951400120</v>
      </c>
      <c r="C73" s="179" t="s">
        <v>7150</v>
      </c>
      <c r="E73" s="72"/>
      <c r="F73" s="72"/>
      <c r="G73" s="72"/>
      <c r="H73" s="124"/>
    </row>
    <row r="74" spans="1:8">
      <c r="A74" s="177">
        <v>951400121</v>
      </c>
      <c r="B74" s="116" t="str">
        <f t="shared" si="1"/>
        <v>95-951400121</v>
      </c>
      <c r="C74" s="179" t="s">
        <v>7150</v>
      </c>
      <c r="E74" s="72"/>
      <c r="F74" s="72"/>
      <c r="G74" s="72"/>
      <c r="H74" s="124"/>
    </row>
    <row r="75" spans="1:8">
      <c r="A75" s="177">
        <v>951700223</v>
      </c>
      <c r="B75" s="116" t="str">
        <f t="shared" si="1"/>
        <v>95-951700223</v>
      </c>
      <c r="C75" s="179" t="s">
        <v>7185</v>
      </c>
      <c r="E75" s="72"/>
      <c r="F75" s="72"/>
      <c r="G75" s="72"/>
      <c r="H75" s="124"/>
    </row>
    <row r="76" spans="1:8">
      <c r="A76" s="177">
        <v>951700291</v>
      </c>
      <c r="B76" s="116" t="str">
        <f t="shared" si="1"/>
        <v>95-951700291</v>
      </c>
      <c r="C76" s="179" t="s">
        <v>7185</v>
      </c>
      <c r="E76" s="72"/>
      <c r="F76" s="72"/>
      <c r="G76" s="72"/>
      <c r="H76" s="124"/>
    </row>
    <row r="77" spans="1:8">
      <c r="A77" s="177">
        <v>962200026</v>
      </c>
      <c r="B77" s="116" t="str">
        <f t="shared" si="1"/>
        <v>96-962200026</v>
      </c>
      <c r="C77" s="179" t="s">
        <v>7182</v>
      </c>
      <c r="E77" s="72"/>
      <c r="F77" s="72"/>
      <c r="G77" s="72"/>
      <c r="H77" s="124"/>
    </row>
    <row r="78" spans="1:8">
      <c r="A78" s="177">
        <v>951900043</v>
      </c>
      <c r="B78" s="116" t="str">
        <f t="shared" si="1"/>
        <v>95-951900043</v>
      </c>
      <c r="C78" s="179" t="s">
        <v>7186</v>
      </c>
      <c r="E78" s="72"/>
      <c r="F78" s="72"/>
      <c r="G78" s="72"/>
      <c r="H78" s="124"/>
    </row>
    <row r="79" spans="1:8">
      <c r="A79" s="177">
        <v>961900185</v>
      </c>
      <c r="B79" s="116" t="str">
        <f t="shared" si="1"/>
        <v>96-961900185</v>
      </c>
      <c r="C79" s="179" t="s">
        <v>12199</v>
      </c>
      <c r="E79" s="72"/>
      <c r="F79" s="72"/>
      <c r="G79" s="72"/>
      <c r="H79" s="124"/>
    </row>
    <row r="80" spans="1:8">
      <c r="A80" s="177">
        <v>961900116</v>
      </c>
      <c r="B80" s="116" t="str">
        <f t="shared" si="1"/>
        <v>96-961900116</v>
      </c>
      <c r="C80" s="179" t="s">
        <v>7156</v>
      </c>
      <c r="E80" s="72"/>
      <c r="F80" s="72"/>
      <c r="G80" s="72"/>
      <c r="H80" s="124"/>
    </row>
    <row r="81" spans="1:8">
      <c r="A81" s="177">
        <v>961900186</v>
      </c>
      <c r="B81" s="116" t="str">
        <f t="shared" si="1"/>
        <v>96-961900186</v>
      </c>
      <c r="C81" s="179" t="s">
        <v>12211</v>
      </c>
      <c r="E81" s="72"/>
      <c r="F81" s="72"/>
      <c r="G81" s="72"/>
      <c r="H81" s="124"/>
    </row>
    <row r="82" spans="1:8">
      <c r="A82" s="177">
        <v>951700237</v>
      </c>
      <c r="B82" s="116" t="str">
        <f t="shared" si="1"/>
        <v>95-951700237</v>
      </c>
      <c r="C82" s="179" t="s">
        <v>7187</v>
      </c>
      <c r="E82" s="72"/>
      <c r="F82" s="72"/>
      <c r="G82" s="72"/>
      <c r="H82" s="124"/>
    </row>
    <row r="83" spans="1:8">
      <c r="A83" s="177">
        <v>951400097</v>
      </c>
      <c r="B83" s="116" t="str">
        <f t="shared" si="1"/>
        <v>95-951400097</v>
      </c>
      <c r="C83" s="179" t="s">
        <v>7188</v>
      </c>
      <c r="E83" s="72"/>
      <c r="F83" s="72"/>
      <c r="G83" s="72"/>
      <c r="H83" s="124"/>
    </row>
    <row r="84" spans="1:8">
      <c r="A84" s="177">
        <v>952200032</v>
      </c>
      <c r="B84" s="116" t="str">
        <f t="shared" si="1"/>
        <v>95-952200032</v>
      </c>
      <c r="C84" s="179" t="s">
        <v>7126</v>
      </c>
      <c r="E84" s="72"/>
      <c r="F84" s="72"/>
      <c r="G84" s="72"/>
      <c r="H84" s="124"/>
    </row>
    <row r="85" spans="1:8">
      <c r="A85" s="177">
        <v>952500020</v>
      </c>
      <c r="B85" s="116" t="str">
        <f t="shared" si="1"/>
        <v>95-952500020</v>
      </c>
      <c r="C85" s="179" t="s">
        <v>5618</v>
      </c>
      <c r="E85" s="72"/>
      <c r="F85" s="72"/>
      <c r="G85" s="72"/>
      <c r="H85" s="124"/>
    </row>
    <row r="86" spans="1:8">
      <c r="A86" s="177">
        <v>952500015</v>
      </c>
      <c r="B86" s="116" t="str">
        <f t="shared" si="1"/>
        <v>95-952500015</v>
      </c>
      <c r="C86" s="179" t="s">
        <v>5614</v>
      </c>
      <c r="E86" s="72"/>
      <c r="F86" s="72"/>
      <c r="G86" s="72"/>
      <c r="H86" s="124"/>
    </row>
    <row r="87" spans="1:8">
      <c r="A87" s="177">
        <v>951900230</v>
      </c>
      <c r="B87" s="116" t="str">
        <f t="shared" si="1"/>
        <v>95-951900230</v>
      </c>
      <c r="C87" s="179" t="s">
        <v>7176</v>
      </c>
      <c r="E87" s="72"/>
      <c r="F87" s="72"/>
      <c r="G87" s="72"/>
      <c r="H87" s="124"/>
    </row>
    <row r="88" spans="1:8">
      <c r="A88" s="177">
        <v>951700212</v>
      </c>
      <c r="B88" s="116" t="str">
        <f t="shared" si="1"/>
        <v>95-951700212</v>
      </c>
      <c r="C88" s="179" t="s">
        <v>7177</v>
      </c>
      <c r="E88" s="72"/>
      <c r="F88" s="72"/>
      <c r="G88" s="72"/>
      <c r="H88" s="124"/>
    </row>
    <row r="89" spans="1:8">
      <c r="A89" s="177">
        <v>951400118</v>
      </c>
      <c r="B89" s="116" t="str">
        <f t="shared" si="1"/>
        <v>95-951400118</v>
      </c>
      <c r="C89" s="179" t="s">
        <v>7150</v>
      </c>
      <c r="E89" s="72"/>
      <c r="F89" s="72"/>
      <c r="G89" s="72"/>
      <c r="H89" s="124"/>
    </row>
    <row r="90" spans="1:8">
      <c r="A90" s="177">
        <v>951700156</v>
      </c>
      <c r="B90" s="116" t="str">
        <f t="shared" si="1"/>
        <v>95-951700156</v>
      </c>
      <c r="C90" s="179" t="s">
        <v>7179</v>
      </c>
      <c r="E90" s="72"/>
      <c r="F90" s="72"/>
      <c r="G90" s="72"/>
      <c r="H90" s="124"/>
    </row>
    <row r="91" spans="1:8">
      <c r="A91" s="177">
        <v>951700235</v>
      </c>
      <c r="B91" s="116" t="str">
        <f t="shared" si="1"/>
        <v>95-951700235</v>
      </c>
      <c r="C91" s="179" t="s">
        <v>7180</v>
      </c>
      <c r="E91" s="72"/>
      <c r="F91" s="72"/>
      <c r="G91" s="72"/>
      <c r="H91" s="124"/>
    </row>
    <row r="92" spans="1:8">
      <c r="A92" s="177">
        <v>961900110</v>
      </c>
      <c r="B92" s="116" t="str">
        <f t="shared" si="1"/>
        <v>96-961900110</v>
      </c>
      <c r="C92" s="179" t="s">
        <v>7141</v>
      </c>
      <c r="E92" s="72"/>
      <c r="F92" s="72"/>
      <c r="G92" s="72"/>
      <c r="H92" s="124"/>
    </row>
    <row r="93" spans="1:8">
      <c r="A93" s="177">
        <v>951800109</v>
      </c>
      <c r="B93" s="116" t="str">
        <f t="shared" si="1"/>
        <v>95-951800109</v>
      </c>
      <c r="C93" s="179" t="s">
        <v>7132</v>
      </c>
      <c r="E93" s="72"/>
      <c r="F93" s="72"/>
      <c r="G93" s="72"/>
      <c r="H93" s="124"/>
    </row>
    <row r="94" spans="1:8">
      <c r="A94" s="177">
        <v>961700163</v>
      </c>
      <c r="B94" s="116" t="str">
        <f t="shared" si="1"/>
        <v>96-961700163</v>
      </c>
      <c r="C94" s="179" t="s">
        <v>12194</v>
      </c>
      <c r="E94" s="72"/>
      <c r="F94" s="72"/>
      <c r="G94" s="72"/>
      <c r="H94" s="124"/>
    </row>
    <row r="95" spans="1:8">
      <c r="A95" s="177">
        <v>961700164</v>
      </c>
      <c r="B95" s="116" t="str">
        <f t="shared" si="1"/>
        <v>96-961700164</v>
      </c>
      <c r="C95" s="179" t="s">
        <v>12194</v>
      </c>
      <c r="E95" s="72"/>
      <c r="F95" s="72"/>
      <c r="G95" s="72"/>
      <c r="H95" s="124"/>
    </row>
    <row r="96" spans="1:8">
      <c r="A96" s="177">
        <v>951800113</v>
      </c>
      <c r="B96" s="116" t="str">
        <f t="shared" si="1"/>
        <v>95-951800113</v>
      </c>
      <c r="C96" s="179" t="s">
        <v>7133</v>
      </c>
      <c r="E96" s="72"/>
      <c r="F96" s="72"/>
      <c r="G96" s="72"/>
      <c r="H96" s="124"/>
    </row>
    <row r="97" spans="1:8">
      <c r="A97" s="177">
        <v>951900232</v>
      </c>
      <c r="B97" s="116" t="str">
        <f t="shared" si="1"/>
        <v>95-951900232</v>
      </c>
      <c r="C97" s="179" t="s">
        <v>7134</v>
      </c>
      <c r="E97" s="72"/>
      <c r="F97" s="72"/>
      <c r="G97" s="72"/>
      <c r="H97" s="124"/>
    </row>
    <row r="98" spans="1:8">
      <c r="A98" s="177">
        <v>951900212</v>
      </c>
      <c r="B98" s="116" t="str">
        <f t="shared" si="1"/>
        <v>95-951900212</v>
      </c>
      <c r="C98" s="179" t="s">
        <v>7137</v>
      </c>
      <c r="E98" s="72"/>
      <c r="F98" s="72"/>
      <c r="G98" s="72"/>
      <c r="H98" s="124"/>
    </row>
    <row r="99" spans="1:8">
      <c r="A99" s="177">
        <v>961900106</v>
      </c>
      <c r="B99" s="116" t="str">
        <f t="shared" si="1"/>
        <v>96-961900106</v>
      </c>
      <c r="C99" s="179" t="s">
        <v>7141</v>
      </c>
      <c r="E99" s="72"/>
      <c r="F99" s="72"/>
      <c r="G99" s="72"/>
      <c r="H99" s="124"/>
    </row>
    <row r="100" spans="1:8">
      <c r="A100" s="177">
        <v>961900118</v>
      </c>
      <c r="B100" s="116" t="str">
        <f t="shared" si="1"/>
        <v>96-961900118</v>
      </c>
      <c r="C100" s="179" t="s">
        <v>7156</v>
      </c>
      <c r="E100" s="72"/>
      <c r="F100" s="72"/>
      <c r="G100" s="72"/>
      <c r="H100" s="124"/>
    </row>
    <row r="101" spans="1:8">
      <c r="A101" s="177">
        <v>966200467</v>
      </c>
      <c r="B101" s="116" t="str">
        <f t="shared" si="1"/>
        <v>96-966200467</v>
      </c>
      <c r="C101" s="179" t="s">
        <v>12185</v>
      </c>
      <c r="E101" s="72"/>
      <c r="F101" s="72"/>
      <c r="G101" s="72"/>
      <c r="H101" s="124"/>
    </row>
    <row r="102" spans="1:8">
      <c r="A102" s="177">
        <v>964100023</v>
      </c>
      <c r="B102" s="116" t="str">
        <f t="shared" si="1"/>
        <v>96-964100023</v>
      </c>
      <c r="C102" s="179" t="s">
        <v>5809</v>
      </c>
      <c r="E102" s="72"/>
      <c r="F102" s="72"/>
      <c r="G102" s="72"/>
      <c r="H102" s="124"/>
    </row>
    <row r="103" spans="1:8">
      <c r="A103" s="177">
        <v>951600044</v>
      </c>
      <c r="B103" s="116" t="str">
        <f t="shared" si="1"/>
        <v>95-951600044</v>
      </c>
      <c r="C103" s="179" t="s">
        <v>7184</v>
      </c>
      <c r="E103" s="72"/>
      <c r="F103" s="72"/>
      <c r="G103" s="72"/>
      <c r="H103" s="124"/>
    </row>
    <row r="104" spans="1:8">
      <c r="A104" s="177">
        <v>961700158</v>
      </c>
      <c r="B104" s="116" t="str">
        <f t="shared" si="1"/>
        <v>96-961700158</v>
      </c>
      <c r="C104" s="179" t="s">
        <v>12198</v>
      </c>
      <c r="E104" s="72"/>
      <c r="F104" s="72"/>
      <c r="G104" s="72"/>
      <c r="H104" s="124"/>
    </row>
    <row r="105" spans="1:8">
      <c r="A105" s="177">
        <v>961900107</v>
      </c>
      <c r="B105" s="116" t="str">
        <f t="shared" si="1"/>
        <v>96-961900107</v>
      </c>
      <c r="C105" s="179" t="s">
        <v>7141</v>
      </c>
      <c r="E105" s="72"/>
      <c r="F105" s="72"/>
      <c r="G105" s="72"/>
      <c r="H105" s="124"/>
    </row>
    <row r="106" spans="1:8">
      <c r="A106" s="177">
        <v>961900127</v>
      </c>
      <c r="B106" s="116" t="str">
        <f t="shared" si="1"/>
        <v>96-961900127</v>
      </c>
      <c r="C106" s="179" t="s">
        <v>7158</v>
      </c>
      <c r="E106" s="72"/>
      <c r="F106" s="72"/>
      <c r="G106" s="72"/>
      <c r="H106" s="124"/>
    </row>
    <row r="107" spans="1:8">
      <c r="A107" s="177">
        <v>956000013</v>
      </c>
      <c r="B107" s="116" t="str">
        <f t="shared" si="1"/>
        <v>95-956000013</v>
      </c>
      <c r="C107" s="179" t="s">
        <v>7146</v>
      </c>
      <c r="E107" s="72"/>
      <c r="F107" s="72"/>
      <c r="G107" s="72"/>
      <c r="H107" s="124"/>
    </row>
    <row r="108" spans="1:8">
      <c r="A108" s="177">
        <v>961900188</v>
      </c>
      <c r="B108" s="116" t="str">
        <f t="shared" si="1"/>
        <v>96-961900188</v>
      </c>
      <c r="C108" s="179" t="s">
        <v>12201</v>
      </c>
      <c r="E108" s="72"/>
      <c r="F108" s="72"/>
      <c r="G108" s="72"/>
      <c r="H108" s="124"/>
    </row>
    <row r="109" spans="1:8">
      <c r="A109" s="177">
        <v>951200023</v>
      </c>
      <c r="B109" s="116" t="str">
        <f t="shared" si="1"/>
        <v>95-951200023</v>
      </c>
      <c r="C109" s="179" t="s">
        <v>7172</v>
      </c>
      <c r="E109" s="72"/>
      <c r="F109" s="72"/>
      <c r="G109" s="72"/>
      <c r="H109" s="124"/>
    </row>
    <row r="110" spans="1:8">
      <c r="A110" s="177">
        <v>952200019</v>
      </c>
      <c r="B110" s="116" t="str">
        <f t="shared" si="1"/>
        <v>95-952200019</v>
      </c>
      <c r="C110" s="179" t="s">
        <v>7174</v>
      </c>
      <c r="E110" s="72"/>
      <c r="F110" s="72"/>
      <c r="G110" s="72"/>
      <c r="H110" s="124"/>
    </row>
    <row r="111" spans="1:8">
      <c r="A111" s="177">
        <v>951400111</v>
      </c>
      <c r="B111" s="116" t="str">
        <f t="shared" si="1"/>
        <v>95-951400111</v>
      </c>
      <c r="C111" s="179" t="s">
        <v>7164</v>
      </c>
      <c r="E111" s="72"/>
      <c r="F111" s="72"/>
      <c r="G111" s="72"/>
      <c r="H111" s="124"/>
    </row>
    <row r="112" spans="1:8">
      <c r="A112" s="177">
        <v>951800102</v>
      </c>
      <c r="B112" s="116" t="str">
        <f t="shared" si="1"/>
        <v>95-951800102</v>
      </c>
      <c r="C112" s="179" t="s">
        <v>7190</v>
      </c>
      <c r="E112" s="72"/>
      <c r="F112" s="72"/>
      <c r="G112" s="72"/>
      <c r="H112" s="124"/>
    </row>
    <row r="113" spans="1:8">
      <c r="A113" s="177">
        <v>966200520</v>
      </c>
      <c r="B113" s="116" t="str">
        <f t="shared" si="1"/>
        <v>96-966200520</v>
      </c>
      <c r="C113" s="179" t="s">
        <v>12418</v>
      </c>
      <c r="E113" s="72"/>
      <c r="F113" s="72"/>
      <c r="G113" s="72"/>
      <c r="H113" s="124"/>
    </row>
    <row r="114" spans="1:8">
      <c r="A114" s="177">
        <v>961900047</v>
      </c>
      <c r="B114" s="116" t="str">
        <f t="shared" si="1"/>
        <v>96-961900047</v>
      </c>
      <c r="C114" s="179" t="s">
        <v>7203</v>
      </c>
      <c r="E114" s="72"/>
      <c r="F114" s="72"/>
      <c r="G114" s="72"/>
      <c r="H114" s="124"/>
    </row>
    <row r="115" spans="1:8">
      <c r="A115" s="177">
        <v>966000031</v>
      </c>
      <c r="B115" s="116" t="str">
        <f t="shared" si="1"/>
        <v>96-966000031</v>
      </c>
      <c r="C115" s="179" t="s">
        <v>7146</v>
      </c>
      <c r="E115" s="72"/>
      <c r="F115" s="72"/>
      <c r="G115" s="72"/>
      <c r="H115" s="124"/>
    </row>
    <row r="116" spans="1:8">
      <c r="A116" s="177">
        <v>952200030</v>
      </c>
      <c r="B116" s="116" t="str">
        <f t="shared" si="1"/>
        <v>95-952200030</v>
      </c>
      <c r="C116" s="179" t="s">
        <v>7126</v>
      </c>
      <c r="E116" s="72"/>
      <c r="F116" s="72"/>
      <c r="G116" s="72"/>
      <c r="H116" s="124"/>
    </row>
    <row r="117" spans="1:8">
      <c r="A117" s="177">
        <v>962500004</v>
      </c>
      <c r="B117" s="116" t="str">
        <f t="shared" si="1"/>
        <v>96-962500004</v>
      </c>
      <c r="C117" s="179" t="s">
        <v>5729</v>
      </c>
      <c r="E117" s="72"/>
      <c r="F117" s="72"/>
      <c r="G117" s="72"/>
      <c r="H117" s="124"/>
    </row>
    <row r="118" spans="1:8">
      <c r="A118" s="177">
        <v>966000033</v>
      </c>
      <c r="B118" s="116" t="str">
        <f t="shared" si="1"/>
        <v>96-966000033</v>
      </c>
      <c r="C118" s="179" t="s">
        <v>7146</v>
      </c>
      <c r="E118" s="72"/>
      <c r="F118" s="72"/>
      <c r="G118" s="72"/>
      <c r="H118" s="124"/>
    </row>
    <row r="119" spans="1:8">
      <c r="A119" s="177">
        <v>966000035</v>
      </c>
      <c r="B119" s="116" t="str">
        <f t="shared" si="1"/>
        <v>96-966000035</v>
      </c>
      <c r="C119" s="179" t="s">
        <v>7146</v>
      </c>
      <c r="E119" s="72"/>
      <c r="F119" s="72"/>
      <c r="G119" s="72"/>
      <c r="H119" s="124"/>
    </row>
    <row r="120" spans="1:8">
      <c r="A120" s="177">
        <v>961200178</v>
      </c>
      <c r="B120" s="116" t="str">
        <f t="shared" si="1"/>
        <v>96-961200178</v>
      </c>
      <c r="C120" s="179" t="s">
        <v>12419</v>
      </c>
      <c r="E120" s="72"/>
      <c r="F120" s="72"/>
      <c r="G120" s="72"/>
      <c r="H120" s="124"/>
    </row>
    <row r="121" spans="1:8">
      <c r="A121" s="177">
        <v>966200499</v>
      </c>
      <c r="B121" s="116" t="str">
        <f t="shared" si="1"/>
        <v>96-966200499</v>
      </c>
      <c r="C121" s="179" t="s">
        <v>12415</v>
      </c>
      <c r="E121" s="72"/>
      <c r="F121" s="72"/>
      <c r="G121" s="72"/>
      <c r="H121" s="124"/>
    </row>
    <row r="122" spans="1:8">
      <c r="A122" s="177">
        <v>951400110</v>
      </c>
      <c r="B122" s="116" t="str">
        <f t="shared" si="1"/>
        <v>95-951400110</v>
      </c>
      <c r="C122" s="179" t="s">
        <v>7164</v>
      </c>
      <c r="E122" s="72"/>
      <c r="F122" s="72"/>
      <c r="G122" s="72"/>
      <c r="H122" s="124"/>
    </row>
    <row r="123" spans="1:8">
      <c r="A123" s="177">
        <v>951400075</v>
      </c>
      <c r="B123" s="116" t="str">
        <f t="shared" si="1"/>
        <v>95-951400075</v>
      </c>
      <c r="C123" s="179" t="s">
        <v>7165</v>
      </c>
      <c r="E123" s="72"/>
      <c r="F123" s="72"/>
      <c r="G123" s="72"/>
      <c r="H123" s="124"/>
    </row>
    <row r="124" spans="1:8">
      <c r="A124" s="177">
        <v>951900167</v>
      </c>
      <c r="B124" s="116" t="str">
        <f t="shared" si="1"/>
        <v>95-951900167</v>
      </c>
      <c r="C124" s="179" t="s">
        <v>7168</v>
      </c>
      <c r="E124" s="72"/>
      <c r="F124" s="72"/>
      <c r="G124" s="72"/>
      <c r="H124" s="124"/>
    </row>
    <row r="125" spans="1:8">
      <c r="A125" s="177">
        <v>962200048</v>
      </c>
      <c r="B125" s="116" t="str">
        <f t="shared" si="1"/>
        <v>96-962200048</v>
      </c>
      <c r="C125" s="179" t="s">
        <v>7173</v>
      </c>
      <c r="E125" s="72"/>
      <c r="F125" s="72"/>
      <c r="G125" s="72"/>
      <c r="H125" s="124"/>
    </row>
    <row r="126" spans="1:8">
      <c r="A126" s="177">
        <v>966200418</v>
      </c>
      <c r="B126" s="116" t="str">
        <f t="shared" si="1"/>
        <v>96-966200418</v>
      </c>
      <c r="C126" s="179" t="s">
        <v>12209</v>
      </c>
      <c r="E126" s="72"/>
      <c r="F126" s="72"/>
      <c r="G126" s="72"/>
      <c r="H126" s="124"/>
    </row>
    <row r="127" spans="1:8">
      <c r="A127" s="177">
        <v>961900114</v>
      </c>
      <c r="B127" s="116" t="str">
        <f t="shared" si="1"/>
        <v>96-961900114</v>
      </c>
      <c r="C127" s="179" t="s">
        <v>7155</v>
      </c>
      <c r="E127" s="72"/>
      <c r="F127" s="72"/>
      <c r="G127" s="72"/>
      <c r="H127" s="124"/>
    </row>
    <row r="128" spans="1:8">
      <c r="A128" s="177">
        <v>961900125</v>
      </c>
      <c r="B128" s="116" t="str">
        <f t="shared" si="1"/>
        <v>96-961900125</v>
      </c>
      <c r="C128" s="179" t="s">
        <v>7158</v>
      </c>
      <c r="E128" s="72"/>
      <c r="F128" s="72"/>
      <c r="G128" s="72"/>
      <c r="H128" s="124"/>
    </row>
    <row r="129" spans="1:8">
      <c r="A129" s="177">
        <v>951900238</v>
      </c>
      <c r="B129" s="116" t="str">
        <f t="shared" si="1"/>
        <v>95-951900238</v>
      </c>
      <c r="C129" s="179" t="s">
        <v>7201</v>
      </c>
      <c r="E129" s="72"/>
      <c r="F129" s="72"/>
      <c r="G129" s="72"/>
      <c r="H129" s="124"/>
    </row>
    <row r="130" spans="1:8">
      <c r="A130" s="177">
        <v>951400109</v>
      </c>
      <c r="B130" s="116" t="str">
        <f t="shared" si="1"/>
        <v>95-951400109</v>
      </c>
      <c r="C130" s="179" t="s">
        <v>7164</v>
      </c>
      <c r="E130" s="72"/>
      <c r="F130" s="72"/>
      <c r="G130" s="72"/>
      <c r="H130" s="124"/>
    </row>
    <row r="131" spans="1:8">
      <c r="A131" s="177">
        <v>961100115</v>
      </c>
      <c r="B131" s="116" t="str">
        <f t="shared" ref="B131:B194" si="2">MID(A131,1,2)&amp;"-"&amp;A131</f>
        <v>96-961100115</v>
      </c>
      <c r="C131" s="179" t="s">
        <v>12420</v>
      </c>
      <c r="E131" s="72"/>
      <c r="F131" s="72"/>
      <c r="G131" s="72"/>
      <c r="H131" s="124"/>
    </row>
    <row r="132" spans="1:8">
      <c r="A132" s="177">
        <v>952200044</v>
      </c>
      <c r="B132" s="116" t="str">
        <f t="shared" si="2"/>
        <v>95-952200044</v>
      </c>
      <c r="C132" s="179" t="s">
        <v>7174</v>
      </c>
      <c r="E132" s="72"/>
      <c r="F132" s="72"/>
      <c r="G132" s="72"/>
      <c r="H132" s="124"/>
    </row>
    <row r="133" spans="1:8">
      <c r="A133" s="177">
        <v>951400083</v>
      </c>
      <c r="B133" s="116" t="str">
        <f t="shared" si="2"/>
        <v>95-951400083</v>
      </c>
      <c r="C133" s="179" t="s">
        <v>7221</v>
      </c>
      <c r="E133" s="72"/>
      <c r="F133" s="72"/>
      <c r="G133" s="72"/>
      <c r="H133" s="124"/>
    </row>
    <row r="134" spans="1:8">
      <c r="A134" s="177">
        <v>951700157</v>
      </c>
      <c r="B134" s="116" t="str">
        <f t="shared" si="2"/>
        <v>95-951700157</v>
      </c>
      <c r="C134" s="179" t="s">
        <v>7219</v>
      </c>
      <c r="E134" s="72"/>
      <c r="F134" s="72"/>
      <c r="G134" s="72"/>
      <c r="H134" s="124"/>
    </row>
    <row r="135" spans="1:8">
      <c r="A135" s="177">
        <v>951700088</v>
      </c>
      <c r="B135" s="116" t="str">
        <f t="shared" si="2"/>
        <v>95-951700088</v>
      </c>
      <c r="C135" s="179" t="s">
        <v>7222</v>
      </c>
      <c r="E135" s="72"/>
      <c r="F135" s="72"/>
      <c r="G135" s="72"/>
      <c r="H135" s="124"/>
    </row>
    <row r="136" spans="1:8">
      <c r="A136" s="177">
        <v>966200389</v>
      </c>
      <c r="B136" s="116" t="str">
        <f t="shared" si="2"/>
        <v>96-966200389</v>
      </c>
      <c r="C136" s="179" t="s">
        <v>12204</v>
      </c>
      <c r="E136" s="72"/>
      <c r="F136" s="72"/>
      <c r="G136" s="72"/>
      <c r="H136" s="124"/>
    </row>
    <row r="137" spans="1:8">
      <c r="A137" s="177">
        <v>962500199</v>
      </c>
      <c r="B137" s="116" t="str">
        <f t="shared" si="2"/>
        <v>96-962500199</v>
      </c>
      <c r="C137" s="179" t="s">
        <v>12195</v>
      </c>
      <c r="E137" s="72"/>
      <c r="F137" s="72"/>
      <c r="G137" s="72"/>
      <c r="H137" s="124"/>
    </row>
    <row r="138" spans="1:8">
      <c r="A138" s="177">
        <v>951700304</v>
      </c>
      <c r="B138" s="116" t="str">
        <f t="shared" si="2"/>
        <v>95-951700304</v>
      </c>
      <c r="C138" s="179" t="s">
        <v>7161</v>
      </c>
      <c r="E138" s="72"/>
      <c r="F138" s="72"/>
      <c r="G138" s="72"/>
      <c r="H138" s="124"/>
    </row>
    <row r="139" spans="1:8">
      <c r="A139" s="177">
        <v>961700148</v>
      </c>
      <c r="B139" s="116" t="str">
        <f t="shared" si="2"/>
        <v>96-961700148</v>
      </c>
      <c r="C139" s="179" t="s">
        <v>12202</v>
      </c>
      <c r="E139" s="72"/>
      <c r="F139" s="72"/>
      <c r="G139" s="72"/>
      <c r="H139" s="124"/>
    </row>
    <row r="140" spans="1:8">
      <c r="A140" s="177">
        <v>961700162</v>
      </c>
      <c r="B140" s="116" t="str">
        <f t="shared" si="2"/>
        <v>96-961700162</v>
      </c>
      <c r="C140" s="179" t="s">
        <v>12194</v>
      </c>
      <c r="E140" s="72"/>
      <c r="F140" s="72"/>
      <c r="G140" s="72"/>
      <c r="H140" s="124"/>
    </row>
    <row r="141" spans="1:8">
      <c r="A141" s="177">
        <v>951400126</v>
      </c>
      <c r="B141" s="116" t="str">
        <f t="shared" si="2"/>
        <v>95-951400126</v>
      </c>
      <c r="C141" s="179" t="s">
        <v>7162</v>
      </c>
      <c r="E141" s="72"/>
      <c r="F141" s="72"/>
      <c r="G141" s="72"/>
      <c r="H141" s="124"/>
    </row>
    <row r="142" spans="1:8">
      <c r="A142" s="177">
        <v>951400073</v>
      </c>
      <c r="B142" s="116" t="str">
        <f t="shared" si="2"/>
        <v>95-951400073</v>
      </c>
      <c r="C142" s="179" t="s">
        <v>7185</v>
      </c>
      <c r="E142" s="72"/>
      <c r="F142" s="72"/>
      <c r="G142" s="72"/>
      <c r="H142" s="124"/>
    </row>
    <row r="143" spans="1:8">
      <c r="A143" s="177">
        <v>951700203</v>
      </c>
      <c r="B143" s="116" t="str">
        <f t="shared" si="2"/>
        <v>95-951700203</v>
      </c>
      <c r="C143" s="179" t="s">
        <v>7204</v>
      </c>
      <c r="E143" s="72"/>
      <c r="F143" s="72"/>
      <c r="G143" s="72"/>
      <c r="H143" s="124"/>
    </row>
    <row r="144" spans="1:8">
      <c r="A144" s="177">
        <v>961600017</v>
      </c>
      <c r="B144" s="116" t="str">
        <f t="shared" si="2"/>
        <v>96-961600017</v>
      </c>
      <c r="C144" s="179" t="s">
        <v>12203</v>
      </c>
      <c r="E144" s="72"/>
      <c r="F144" s="72"/>
      <c r="G144" s="72"/>
      <c r="H144" s="124"/>
    </row>
    <row r="145" spans="1:8">
      <c r="A145" s="177">
        <v>951900176</v>
      </c>
      <c r="B145" s="116" t="str">
        <f t="shared" si="2"/>
        <v>95-951900176</v>
      </c>
      <c r="C145" s="179" t="s">
        <v>7205</v>
      </c>
      <c r="E145" s="72"/>
      <c r="F145" s="72"/>
      <c r="G145" s="72"/>
      <c r="H145" s="124"/>
    </row>
    <row r="146" spans="1:8">
      <c r="A146" s="177">
        <v>951400050</v>
      </c>
      <c r="B146" s="116" t="str">
        <f t="shared" si="2"/>
        <v>95-951400050</v>
      </c>
      <c r="C146" s="179" t="s">
        <v>7206</v>
      </c>
      <c r="E146" s="72"/>
      <c r="F146" s="72"/>
      <c r="G146" s="72"/>
      <c r="H146" s="124"/>
    </row>
    <row r="147" spans="1:8">
      <c r="A147" s="177">
        <v>961700156</v>
      </c>
      <c r="B147" s="116" t="str">
        <f t="shared" si="2"/>
        <v>96-961700156</v>
      </c>
      <c r="C147" s="179" t="s">
        <v>12201</v>
      </c>
      <c r="E147" s="72"/>
      <c r="F147" s="72"/>
      <c r="G147" s="72"/>
      <c r="H147" s="124"/>
    </row>
    <row r="148" spans="1:8">
      <c r="A148" s="177">
        <v>961900115</v>
      </c>
      <c r="B148" s="116" t="str">
        <f t="shared" si="2"/>
        <v>96-961900115</v>
      </c>
      <c r="C148" s="179" t="s">
        <v>7156</v>
      </c>
      <c r="E148" s="72"/>
      <c r="F148" s="72"/>
      <c r="G148" s="72"/>
      <c r="H148" s="124"/>
    </row>
    <row r="149" spans="1:8">
      <c r="A149" s="177">
        <v>952000080</v>
      </c>
      <c r="B149" s="116" t="str">
        <f t="shared" si="2"/>
        <v>95-952000080</v>
      </c>
      <c r="C149" s="179" t="s">
        <v>7152</v>
      </c>
      <c r="E149" s="72"/>
      <c r="F149" s="72"/>
      <c r="G149" s="72"/>
      <c r="H149" s="124"/>
    </row>
    <row r="150" spans="1:8">
      <c r="A150" s="177">
        <v>962000501</v>
      </c>
      <c r="B150" s="116" t="str">
        <f t="shared" si="2"/>
        <v>96-962000501</v>
      </c>
      <c r="C150" s="179" t="s">
        <v>12184</v>
      </c>
      <c r="E150" s="72"/>
      <c r="F150" s="72"/>
      <c r="G150" s="72"/>
      <c r="H150" s="124"/>
    </row>
    <row r="151" spans="1:8">
      <c r="A151" s="177">
        <v>964300036</v>
      </c>
      <c r="B151" s="116" t="str">
        <f t="shared" si="2"/>
        <v>96-964300036</v>
      </c>
      <c r="C151" s="179" t="s">
        <v>12421</v>
      </c>
      <c r="E151" s="72"/>
      <c r="F151" s="72"/>
      <c r="G151" s="72"/>
      <c r="H151" s="124"/>
    </row>
    <row r="152" spans="1:8">
      <c r="A152" s="177">
        <v>952200016</v>
      </c>
      <c r="B152" s="116" t="str">
        <f t="shared" si="2"/>
        <v>95-952200016</v>
      </c>
      <c r="C152" s="179" t="s">
        <v>7131</v>
      </c>
      <c r="E152" s="72"/>
      <c r="F152" s="72"/>
      <c r="G152" s="72"/>
      <c r="H152" s="124"/>
    </row>
    <row r="153" spans="1:8">
      <c r="A153" s="177">
        <v>952200035</v>
      </c>
      <c r="B153" s="116" t="str">
        <f t="shared" si="2"/>
        <v>95-952200035</v>
      </c>
      <c r="C153" s="179" t="s">
        <v>7126</v>
      </c>
      <c r="E153" s="72"/>
      <c r="F153" s="72"/>
      <c r="G153" s="72"/>
      <c r="H153" s="124"/>
    </row>
    <row r="154" spans="1:8">
      <c r="A154" s="177">
        <v>952500005</v>
      </c>
      <c r="B154" s="116" t="str">
        <f t="shared" si="2"/>
        <v>95-952500005</v>
      </c>
      <c r="C154" s="179" t="s">
        <v>5618</v>
      </c>
      <c r="E154" s="72"/>
      <c r="F154" s="72"/>
      <c r="G154" s="72"/>
      <c r="H154" s="124"/>
    </row>
    <row r="155" spans="1:8">
      <c r="A155" s="177">
        <v>956000015</v>
      </c>
      <c r="B155" s="116" t="str">
        <f t="shared" si="2"/>
        <v>95-956000015</v>
      </c>
      <c r="C155" s="179" t="s">
        <v>7146</v>
      </c>
      <c r="E155" s="72"/>
      <c r="F155" s="72"/>
      <c r="G155" s="72"/>
      <c r="H155" s="124"/>
    </row>
    <row r="156" spans="1:8">
      <c r="A156" s="177">
        <v>951800103</v>
      </c>
      <c r="B156" s="116" t="str">
        <f t="shared" si="2"/>
        <v>95-951800103</v>
      </c>
      <c r="C156" s="179" t="s">
        <v>7197</v>
      </c>
      <c r="E156" s="72"/>
      <c r="F156" s="72"/>
      <c r="G156" s="72"/>
      <c r="H156" s="124"/>
    </row>
    <row r="157" spans="1:8">
      <c r="A157" s="177">
        <v>961700154</v>
      </c>
      <c r="B157" s="116" t="str">
        <f t="shared" si="2"/>
        <v>96-961700154</v>
      </c>
      <c r="C157" s="179" t="s">
        <v>12200</v>
      </c>
      <c r="E157" s="72"/>
      <c r="F157" s="72"/>
      <c r="G157" s="72"/>
      <c r="H157" s="124"/>
    </row>
    <row r="158" spans="1:8">
      <c r="A158" s="177">
        <v>951400119</v>
      </c>
      <c r="B158" s="116" t="str">
        <f t="shared" si="2"/>
        <v>95-951400119</v>
      </c>
      <c r="C158" s="179" t="s">
        <v>7150</v>
      </c>
      <c r="E158" s="72"/>
      <c r="F158" s="72"/>
      <c r="G158" s="72"/>
      <c r="H158" s="124"/>
    </row>
    <row r="159" spans="1:8">
      <c r="A159" s="177">
        <v>951700224</v>
      </c>
      <c r="B159" s="116" t="str">
        <f t="shared" si="2"/>
        <v>95-951700224</v>
      </c>
      <c r="C159" s="179" t="s">
        <v>7153</v>
      </c>
      <c r="E159" s="72"/>
      <c r="F159" s="72"/>
      <c r="G159" s="72"/>
      <c r="H159" s="124"/>
    </row>
    <row r="160" spans="1:8">
      <c r="A160" s="177">
        <v>951700297</v>
      </c>
      <c r="B160" s="116" t="str">
        <f t="shared" si="2"/>
        <v>95-951700297</v>
      </c>
      <c r="C160" s="179" t="s">
        <v>7198</v>
      </c>
      <c r="E160" s="72"/>
      <c r="F160" s="72"/>
      <c r="G160" s="72"/>
      <c r="H160" s="124"/>
    </row>
    <row r="161" spans="1:8">
      <c r="A161" s="177">
        <v>951900227</v>
      </c>
      <c r="B161" s="116" t="str">
        <f t="shared" si="2"/>
        <v>95-951900227</v>
      </c>
      <c r="C161" s="179" t="s">
        <v>7186</v>
      </c>
      <c r="E161" s="72"/>
      <c r="F161" s="72"/>
      <c r="G161" s="72"/>
      <c r="H161" s="124"/>
    </row>
    <row r="162" spans="1:8">
      <c r="A162" s="177">
        <v>951400122</v>
      </c>
      <c r="B162" s="116" t="str">
        <f t="shared" si="2"/>
        <v>95-951400122</v>
      </c>
      <c r="C162" s="179" t="s">
        <v>7201</v>
      </c>
      <c r="E162" s="72"/>
      <c r="F162" s="72"/>
      <c r="G162" s="72"/>
      <c r="H162" s="124"/>
    </row>
    <row r="163" spans="1:8">
      <c r="A163" s="177">
        <v>961900109</v>
      </c>
      <c r="B163" s="116" t="str">
        <f t="shared" si="2"/>
        <v>96-961900109</v>
      </c>
      <c r="C163" s="179" t="s">
        <v>7141</v>
      </c>
      <c r="E163" s="72"/>
      <c r="F163" s="72"/>
      <c r="G163" s="72"/>
      <c r="H163" s="124"/>
    </row>
    <row r="164" spans="1:8">
      <c r="A164" s="177">
        <v>951700298</v>
      </c>
      <c r="B164" s="116" t="str">
        <f t="shared" si="2"/>
        <v>95-951700298</v>
      </c>
      <c r="C164" s="179" t="s">
        <v>7202</v>
      </c>
      <c r="E164" s="72"/>
      <c r="F164" s="72"/>
      <c r="G164" s="72"/>
      <c r="H164" s="124"/>
    </row>
    <row r="165" spans="1:8">
      <c r="A165" s="177">
        <v>951400108</v>
      </c>
      <c r="B165" s="116" t="str">
        <f t="shared" si="2"/>
        <v>95-951400108</v>
      </c>
      <c r="C165" s="179" t="s">
        <v>7164</v>
      </c>
      <c r="E165" s="72"/>
      <c r="F165" s="72"/>
      <c r="G165" s="72"/>
      <c r="H165" s="124"/>
    </row>
    <row r="166" spans="1:8">
      <c r="A166" s="177">
        <v>951400112</v>
      </c>
      <c r="B166" s="116" t="str">
        <f t="shared" si="2"/>
        <v>95-951400112</v>
      </c>
      <c r="C166" s="179" t="s">
        <v>7164</v>
      </c>
      <c r="E166" s="72"/>
      <c r="F166" s="72"/>
      <c r="G166" s="72"/>
      <c r="H166" s="124"/>
    </row>
    <row r="167" spans="1:8">
      <c r="A167" s="177">
        <v>966200529</v>
      </c>
      <c r="B167" s="116" t="str">
        <f t="shared" si="2"/>
        <v>96-966200529</v>
      </c>
      <c r="C167" s="179" t="s">
        <v>12422</v>
      </c>
      <c r="E167" s="72"/>
      <c r="F167" s="72"/>
      <c r="G167" s="72"/>
      <c r="H167" s="124"/>
    </row>
    <row r="168" spans="1:8">
      <c r="A168" s="177">
        <v>951900096</v>
      </c>
      <c r="B168" s="116" t="str">
        <f t="shared" si="2"/>
        <v>95-951900096</v>
      </c>
      <c r="C168" s="179" t="s">
        <v>7168</v>
      </c>
      <c r="E168" s="72"/>
      <c r="F168" s="72"/>
      <c r="G168" s="72"/>
      <c r="H168" s="124"/>
    </row>
    <row r="169" spans="1:8">
      <c r="A169" s="177">
        <v>951200097</v>
      </c>
      <c r="B169" s="116" t="str">
        <f t="shared" si="2"/>
        <v>95-951200097</v>
      </c>
      <c r="C169" s="179" t="s">
        <v>7218</v>
      </c>
      <c r="E169" s="72"/>
      <c r="F169" s="72"/>
      <c r="G169" s="72"/>
      <c r="H169" s="124"/>
    </row>
    <row r="170" spans="1:8">
      <c r="A170" s="177">
        <v>951700266</v>
      </c>
      <c r="B170" s="116" t="str">
        <f t="shared" si="2"/>
        <v>95-951700266</v>
      </c>
      <c r="C170" s="179" t="s">
        <v>7219</v>
      </c>
      <c r="E170" s="72"/>
      <c r="F170" s="72"/>
      <c r="G170" s="72"/>
      <c r="H170" s="124"/>
    </row>
    <row r="171" spans="1:8">
      <c r="A171" s="177">
        <v>961900126</v>
      </c>
      <c r="B171" s="116" t="str">
        <f t="shared" si="2"/>
        <v>96-961900126</v>
      </c>
      <c r="C171" s="179" t="s">
        <v>7158</v>
      </c>
      <c r="E171" s="72"/>
      <c r="F171" s="72"/>
      <c r="G171" s="72"/>
      <c r="H171" s="124"/>
    </row>
    <row r="172" spans="1:8">
      <c r="A172" s="177">
        <v>951800071</v>
      </c>
      <c r="B172" s="116" t="str">
        <f t="shared" si="2"/>
        <v>95-951800071</v>
      </c>
      <c r="C172" s="179" t="s">
        <v>7142</v>
      </c>
      <c r="E172" s="72"/>
      <c r="F172" s="72"/>
      <c r="G172" s="72"/>
      <c r="H172" s="124"/>
    </row>
    <row r="173" spans="1:8">
      <c r="A173" s="177">
        <v>951600052</v>
      </c>
      <c r="B173" s="116" t="str">
        <f t="shared" si="2"/>
        <v>95-951600052</v>
      </c>
      <c r="C173" s="179" t="s">
        <v>7207</v>
      </c>
      <c r="E173" s="72"/>
      <c r="F173" s="72"/>
      <c r="G173" s="72"/>
      <c r="H173" s="124"/>
    </row>
    <row r="174" spans="1:8">
      <c r="A174" s="177">
        <v>961900046</v>
      </c>
      <c r="B174" s="116" t="str">
        <f t="shared" si="2"/>
        <v>96-961900046</v>
      </c>
      <c r="C174" s="179" t="s">
        <v>7203</v>
      </c>
      <c r="E174" s="72"/>
      <c r="F174" s="72"/>
      <c r="G174" s="72"/>
      <c r="H174" s="124"/>
    </row>
    <row r="175" spans="1:8">
      <c r="A175" s="177">
        <v>951400085</v>
      </c>
      <c r="B175" s="116" t="str">
        <f t="shared" si="2"/>
        <v>95-951400085</v>
      </c>
      <c r="C175" s="179" t="s">
        <v>7196</v>
      </c>
      <c r="E175" s="72"/>
      <c r="F175" s="72"/>
      <c r="G175" s="72"/>
      <c r="H175" s="124"/>
    </row>
    <row r="176" spans="1:8">
      <c r="A176" s="177">
        <v>962000273</v>
      </c>
      <c r="B176" s="116" t="str">
        <f t="shared" si="2"/>
        <v>96-962000273</v>
      </c>
      <c r="C176" s="179" t="s">
        <v>12215</v>
      </c>
      <c r="E176" s="72"/>
      <c r="F176" s="72"/>
      <c r="G176" s="72"/>
      <c r="H176" s="124"/>
    </row>
    <row r="177" spans="1:8">
      <c r="A177" s="177">
        <v>966200424</v>
      </c>
      <c r="B177" s="116" t="str">
        <f t="shared" si="2"/>
        <v>96-966200424</v>
      </c>
      <c r="C177" s="179" t="s">
        <v>12205</v>
      </c>
      <c r="E177" s="72"/>
      <c r="F177" s="72"/>
      <c r="G177" s="72"/>
      <c r="H177" s="124"/>
    </row>
    <row r="178" spans="1:8">
      <c r="A178" s="177">
        <v>966000015</v>
      </c>
      <c r="B178" s="116" t="str">
        <f t="shared" si="2"/>
        <v>96-966000015</v>
      </c>
      <c r="C178" s="179" t="s">
        <v>7220</v>
      </c>
      <c r="E178" s="72"/>
      <c r="F178" s="72"/>
      <c r="G178" s="72"/>
      <c r="H178" s="124"/>
    </row>
    <row r="179" spans="1:8">
      <c r="A179" s="177">
        <v>951400086</v>
      </c>
      <c r="B179" s="116" t="str">
        <f t="shared" si="2"/>
        <v>95-951400086</v>
      </c>
      <c r="C179" s="179" t="s">
        <v>7196</v>
      </c>
      <c r="E179" s="72"/>
      <c r="F179" s="72"/>
      <c r="G179" s="72"/>
      <c r="H179" s="124"/>
    </row>
    <row r="180" spans="1:8">
      <c r="A180" s="177">
        <v>966000029</v>
      </c>
      <c r="B180" s="116" t="str">
        <f t="shared" si="2"/>
        <v>96-966000029</v>
      </c>
      <c r="C180" s="179" t="s">
        <v>7146</v>
      </c>
      <c r="E180" s="72"/>
      <c r="F180" s="72"/>
      <c r="G180" s="72"/>
      <c r="H180" s="124"/>
    </row>
    <row r="181" spans="1:8">
      <c r="A181" s="177">
        <v>951500557</v>
      </c>
      <c r="B181" s="116" t="str">
        <f t="shared" si="2"/>
        <v>95-951500557</v>
      </c>
      <c r="C181" s="179" t="s">
        <v>5742</v>
      </c>
      <c r="E181" s="72"/>
      <c r="F181" s="72"/>
      <c r="G181" s="72"/>
      <c r="H181" s="124"/>
    </row>
    <row r="182" spans="1:8">
      <c r="A182" s="177">
        <v>951200015</v>
      </c>
      <c r="B182" s="116" t="str">
        <f t="shared" si="2"/>
        <v>95-951200015</v>
      </c>
      <c r="C182" s="179" t="s">
        <v>7172</v>
      </c>
      <c r="E182" s="72"/>
      <c r="F182" s="72"/>
      <c r="G182" s="72"/>
      <c r="H182" s="124"/>
    </row>
    <row r="183" spans="1:8">
      <c r="A183" s="177">
        <v>951200058</v>
      </c>
      <c r="B183" s="116" t="str">
        <f t="shared" si="2"/>
        <v>95-951200058</v>
      </c>
      <c r="C183" s="179" t="s">
        <v>7226</v>
      </c>
      <c r="E183" s="72"/>
      <c r="F183" s="72"/>
      <c r="G183" s="72"/>
      <c r="H183" s="124"/>
    </row>
    <row r="184" spans="1:8">
      <c r="A184" s="177">
        <v>951200076</v>
      </c>
      <c r="B184" s="116" t="str">
        <f t="shared" si="2"/>
        <v>95-951200076</v>
      </c>
      <c r="C184" s="179" t="s">
        <v>7172</v>
      </c>
      <c r="E184" s="72"/>
      <c r="F184" s="72"/>
      <c r="G184" s="72"/>
      <c r="H184" s="124"/>
    </row>
    <row r="185" spans="1:8">
      <c r="A185" s="177">
        <v>961200008</v>
      </c>
      <c r="B185" s="116" t="str">
        <f t="shared" si="2"/>
        <v>96-961200008</v>
      </c>
      <c r="C185" s="179" t="s">
        <v>7229</v>
      </c>
      <c r="E185" s="72"/>
      <c r="F185" s="72"/>
      <c r="G185" s="72"/>
      <c r="H185" s="124"/>
    </row>
    <row r="186" spans="1:8">
      <c r="A186" s="177">
        <v>961200018</v>
      </c>
      <c r="B186" s="116" t="str">
        <f t="shared" si="2"/>
        <v>96-961200018</v>
      </c>
      <c r="C186" s="179" t="s">
        <v>7228</v>
      </c>
      <c r="E186" s="72"/>
      <c r="F186" s="72"/>
      <c r="G186" s="72"/>
      <c r="H186" s="124"/>
    </row>
    <row r="187" spans="1:8">
      <c r="A187" s="177">
        <v>951200002</v>
      </c>
      <c r="B187" s="116" t="str">
        <f t="shared" si="2"/>
        <v>95-951200002</v>
      </c>
      <c r="C187" s="179" t="s">
        <v>7227</v>
      </c>
      <c r="E187" s="72"/>
      <c r="F187" s="72"/>
      <c r="G187" s="72"/>
      <c r="H187" s="124"/>
    </row>
    <row r="188" spans="1:8">
      <c r="A188" s="177">
        <v>951200005</v>
      </c>
      <c r="B188" s="116" t="str">
        <f t="shared" si="2"/>
        <v>95-951200005</v>
      </c>
      <c r="C188" s="179" t="s">
        <v>7131</v>
      </c>
      <c r="E188" s="72"/>
      <c r="F188" s="72"/>
      <c r="G188" s="72"/>
      <c r="H188" s="124"/>
    </row>
    <row r="189" spans="1:8">
      <c r="A189" s="177">
        <v>951200025</v>
      </c>
      <c r="B189" s="116" t="str">
        <f t="shared" si="2"/>
        <v>95-951200025</v>
      </c>
      <c r="C189" s="179" t="s">
        <v>7172</v>
      </c>
      <c r="E189" s="72"/>
      <c r="F189" s="72"/>
      <c r="G189" s="72"/>
      <c r="H189" s="124"/>
    </row>
    <row r="190" spans="1:8">
      <c r="A190" s="177">
        <v>951200041</v>
      </c>
      <c r="B190" s="116" t="str">
        <f t="shared" si="2"/>
        <v>95-951200041</v>
      </c>
      <c r="C190" s="179" t="s">
        <v>7174</v>
      </c>
      <c r="E190" s="72"/>
      <c r="F190" s="72"/>
      <c r="G190" s="72"/>
      <c r="H190" s="124"/>
    </row>
    <row r="191" spans="1:8">
      <c r="A191" s="177">
        <v>951200006</v>
      </c>
      <c r="B191" s="116" t="str">
        <f t="shared" si="2"/>
        <v>95-951200006</v>
      </c>
      <c r="C191" s="179" t="s">
        <v>7131</v>
      </c>
      <c r="E191" s="72"/>
      <c r="F191" s="72"/>
      <c r="G191" s="72"/>
      <c r="H191" s="124"/>
    </row>
    <row r="192" spans="1:8">
      <c r="A192" s="177">
        <v>951200014</v>
      </c>
      <c r="B192" s="116" t="str">
        <f t="shared" si="2"/>
        <v>95-951200014</v>
      </c>
      <c r="C192" s="179" t="s">
        <v>7172</v>
      </c>
      <c r="E192" s="72"/>
      <c r="F192" s="72"/>
      <c r="G192" s="72"/>
      <c r="H192" s="124"/>
    </row>
    <row r="193" spans="1:8">
      <c r="A193" s="177">
        <v>951200024</v>
      </c>
      <c r="B193" s="116" t="str">
        <f t="shared" si="2"/>
        <v>95-951200024</v>
      </c>
      <c r="C193" s="179" t="s">
        <v>7172</v>
      </c>
      <c r="E193" s="72"/>
      <c r="F193" s="72"/>
      <c r="G193" s="72"/>
      <c r="H193" s="124"/>
    </row>
    <row r="194" spans="1:8">
      <c r="A194" s="177">
        <v>951200037</v>
      </c>
      <c r="B194" s="116" t="str">
        <f t="shared" si="2"/>
        <v>95-951200037</v>
      </c>
      <c r="C194" s="179" t="s">
        <v>7174</v>
      </c>
      <c r="E194" s="72"/>
      <c r="F194" s="72"/>
      <c r="G194" s="72"/>
      <c r="H194" s="124"/>
    </row>
    <row r="195" spans="1:8">
      <c r="A195" s="177">
        <v>951200038</v>
      </c>
      <c r="B195" s="116" t="str">
        <f t="shared" ref="B195:B258" si="3">MID(A195,1,2)&amp;"-"&amp;A195</f>
        <v>95-951200038</v>
      </c>
      <c r="C195" s="179" t="s">
        <v>7174</v>
      </c>
      <c r="E195" s="72"/>
      <c r="F195" s="72"/>
      <c r="G195" s="72"/>
      <c r="H195" s="124"/>
    </row>
    <row r="196" spans="1:8">
      <c r="A196" s="177">
        <v>951200045</v>
      </c>
      <c r="B196" s="116" t="str">
        <f t="shared" si="3"/>
        <v>95-951200045</v>
      </c>
      <c r="C196" s="179" t="s">
        <v>7174</v>
      </c>
      <c r="E196" s="72"/>
      <c r="F196" s="72"/>
      <c r="G196" s="72"/>
      <c r="H196" s="124"/>
    </row>
    <row r="197" spans="1:8">
      <c r="A197" s="177">
        <v>961200002</v>
      </c>
      <c r="B197" s="116" t="str">
        <f t="shared" si="3"/>
        <v>96-961200002</v>
      </c>
      <c r="C197" s="179" t="s">
        <v>7239</v>
      </c>
      <c r="E197" s="72"/>
      <c r="F197" s="72"/>
      <c r="G197" s="72"/>
      <c r="H197" s="124"/>
    </row>
    <row r="198" spans="1:8">
      <c r="A198" s="177">
        <v>961200017</v>
      </c>
      <c r="B198" s="116" t="str">
        <f t="shared" si="3"/>
        <v>96-961200017</v>
      </c>
      <c r="C198" s="179" t="s">
        <v>7228</v>
      </c>
      <c r="E198" s="72"/>
      <c r="F198" s="72"/>
      <c r="G198" s="72"/>
      <c r="H198" s="124"/>
    </row>
    <row r="199" spans="1:8">
      <c r="A199" s="177">
        <v>961200030</v>
      </c>
      <c r="B199" s="116" t="str">
        <f t="shared" si="3"/>
        <v>96-961200030</v>
      </c>
      <c r="C199" s="179" t="s">
        <v>7173</v>
      </c>
      <c r="E199" s="72"/>
      <c r="F199" s="72"/>
      <c r="G199" s="72"/>
      <c r="H199" s="124"/>
    </row>
    <row r="200" spans="1:8">
      <c r="A200" s="177">
        <v>961200043</v>
      </c>
      <c r="B200" s="116" t="str">
        <f t="shared" si="3"/>
        <v>96-961200043</v>
      </c>
      <c r="C200" s="179" t="s">
        <v>7125</v>
      </c>
      <c r="E200" s="72"/>
      <c r="F200" s="72"/>
      <c r="G200" s="72"/>
      <c r="H200" s="124"/>
    </row>
    <row r="201" spans="1:8">
      <c r="A201" s="177">
        <v>961200104</v>
      </c>
      <c r="B201" s="116" t="str">
        <f t="shared" si="3"/>
        <v>96-961200104</v>
      </c>
      <c r="C201" s="179" t="s">
        <v>7450</v>
      </c>
      <c r="E201" s="72"/>
      <c r="F201" s="72"/>
      <c r="G201" s="72"/>
      <c r="H201" s="124"/>
    </row>
    <row r="202" spans="1:8">
      <c r="A202" s="177">
        <v>961200122</v>
      </c>
      <c r="B202" s="116" t="str">
        <f t="shared" si="3"/>
        <v>96-961200122</v>
      </c>
      <c r="C202" s="179" t="s">
        <v>7125</v>
      </c>
      <c r="E202" s="72"/>
      <c r="F202" s="72"/>
      <c r="G202" s="72"/>
      <c r="H202" s="124"/>
    </row>
    <row r="203" spans="1:8">
      <c r="A203" s="177">
        <v>961200158</v>
      </c>
      <c r="B203" s="116" t="str">
        <f t="shared" si="3"/>
        <v>96-961200158</v>
      </c>
      <c r="C203" s="179" t="s">
        <v>12413</v>
      </c>
      <c r="E203" s="72"/>
      <c r="F203" s="72"/>
      <c r="G203" s="72"/>
      <c r="H203" s="124"/>
    </row>
    <row r="204" spans="1:8">
      <c r="A204" s="177">
        <v>961200176</v>
      </c>
      <c r="B204" s="116" t="str">
        <f t="shared" si="3"/>
        <v>96-961200176</v>
      </c>
      <c r="C204" s="179" t="s">
        <v>12421</v>
      </c>
      <c r="E204" s="72"/>
      <c r="F204" s="72"/>
      <c r="G204" s="72"/>
      <c r="H204" s="124"/>
    </row>
    <row r="205" spans="1:8">
      <c r="A205" s="177">
        <v>951200001</v>
      </c>
      <c r="B205" s="116" t="str">
        <f t="shared" si="3"/>
        <v>95-951200001</v>
      </c>
      <c r="C205" s="179" t="s">
        <v>7232</v>
      </c>
      <c r="E205" s="72"/>
      <c r="F205" s="72"/>
      <c r="G205" s="72"/>
      <c r="H205" s="124"/>
    </row>
    <row r="206" spans="1:8">
      <c r="A206" s="177">
        <v>951200011</v>
      </c>
      <c r="B206" s="116" t="str">
        <f t="shared" si="3"/>
        <v>95-951200011</v>
      </c>
      <c r="C206" s="179" t="s">
        <v>7172</v>
      </c>
      <c r="E206" s="72"/>
      <c r="F206" s="72"/>
      <c r="G206" s="72"/>
      <c r="H206" s="124"/>
    </row>
    <row r="207" spans="1:8">
      <c r="A207" s="177">
        <v>951200008</v>
      </c>
      <c r="B207" s="116" t="str">
        <f t="shared" si="3"/>
        <v>95-951200008</v>
      </c>
      <c r="C207" s="179" t="s">
        <v>7172</v>
      </c>
      <c r="E207" s="72"/>
      <c r="F207" s="72"/>
      <c r="G207" s="72"/>
      <c r="H207" s="124"/>
    </row>
    <row r="208" spans="1:8">
      <c r="A208" s="177">
        <v>951200022</v>
      </c>
      <c r="B208" s="116" t="str">
        <f t="shared" si="3"/>
        <v>95-951200022</v>
      </c>
      <c r="C208" s="179" t="s">
        <v>7172</v>
      </c>
      <c r="E208" s="72"/>
      <c r="F208" s="72"/>
      <c r="G208" s="72"/>
      <c r="H208" s="124"/>
    </row>
    <row r="209" spans="1:8">
      <c r="A209" s="177">
        <v>951200067</v>
      </c>
      <c r="B209" s="116" t="str">
        <f t="shared" si="3"/>
        <v>95-951200067</v>
      </c>
      <c r="C209" s="179" t="s">
        <v>7243</v>
      </c>
      <c r="E209" s="72"/>
      <c r="F209" s="72"/>
      <c r="G209" s="72"/>
      <c r="H209" s="124"/>
    </row>
    <row r="210" spans="1:8">
      <c r="A210" s="177">
        <v>961200011</v>
      </c>
      <c r="B210" s="116" t="str">
        <f t="shared" si="3"/>
        <v>96-961200011</v>
      </c>
      <c r="C210" s="179" t="s">
        <v>7230</v>
      </c>
      <c r="E210" s="72"/>
      <c r="F210" s="72"/>
      <c r="G210" s="72"/>
      <c r="H210" s="124"/>
    </row>
    <row r="211" spans="1:8">
      <c r="A211" s="177">
        <v>961200021</v>
      </c>
      <c r="B211" s="116" t="str">
        <f t="shared" si="3"/>
        <v>96-961200021</v>
      </c>
      <c r="C211" s="179" t="s">
        <v>7228</v>
      </c>
      <c r="E211" s="72"/>
      <c r="F211" s="72"/>
      <c r="G211" s="72"/>
      <c r="H211" s="124"/>
    </row>
    <row r="212" spans="1:8">
      <c r="A212" s="177">
        <v>961200044</v>
      </c>
      <c r="B212" s="116" t="str">
        <f t="shared" si="3"/>
        <v>96-961200044</v>
      </c>
      <c r="C212" s="179" t="s">
        <v>7125</v>
      </c>
      <c r="E212" s="72"/>
      <c r="F212" s="72"/>
      <c r="G212" s="72"/>
      <c r="H212" s="124"/>
    </row>
    <row r="213" spans="1:8">
      <c r="A213" s="177">
        <v>961200074</v>
      </c>
      <c r="B213" s="116" t="str">
        <f t="shared" si="3"/>
        <v>96-961200074</v>
      </c>
      <c r="C213" s="179" t="s">
        <v>8721</v>
      </c>
      <c r="E213" s="72"/>
      <c r="F213" s="72"/>
      <c r="G213" s="72"/>
      <c r="H213" s="124"/>
    </row>
    <row r="214" spans="1:8">
      <c r="A214" s="177">
        <v>961200076</v>
      </c>
      <c r="B214" s="116" t="str">
        <f t="shared" si="3"/>
        <v>96-961200076</v>
      </c>
      <c r="C214" s="179" t="s">
        <v>8721</v>
      </c>
      <c r="E214" s="72"/>
      <c r="F214" s="72"/>
      <c r="G214" s="72"/>
      <c r="H214" s="124"/>
    </row>
    <row r="215" spans="1:8">
      <c r="A215" s="177">
        <v>961200086</v>
      </c>
      <c r="B215" s="116" t="str">
        <f t="shared" si="3"/>
        <v>96-961200086</v>
      </c>
      <c r="C215" s="179" t="s">
        <v>8721</v>
      </c>
      <c r="E215" s="72"/>
      <c r="F215" s="72"/>
      <c r="G215" s="72"/>
      <c r="H215" s="124"/>
    </row>
    <row r="216" spans="1:8">
      <c r="A216" s="177">
        <v>961200089</v>
      </c>
      <c r="B216" s="116" t="str">
        <f t="shared" si="3"/>
        <v>96-961200089</v>
      </c>
      <c r="C216" s="179" t="s">
        <v>8721</v>
      </c>
      <c r="E216" s="72"/>
      <c r="F216" s="72"/>
      <c r="G216" s="72"/>
      <c r="H216" s="124"/>
    </row>
    <row r="217" spans="1:8">
      <c r="A217" s="177">
        <v>961200098</v>
      </c>
      <c r="B217" s="116" t="str">
        <f t="shared" si="3"/>
        <v>96-961200098</v>
      </c>
      <c r="C217" s="179" t="s">
        <v>7452</v>
      </c>
      <c r="E217" s="72"/>
      <c r="F217" s="72"/>
      <c r="G217" s="72"/>
      <c r="H217" s="124"/>
    </row>
    <row r="218" spans="1:8">
      <c r="A218" s="177">
        <v>961200012</v>
      </c>
      <c r="B218" s="116" t="str">
        <f t="shared" si="3"/>
        <v>96-961200012</v>
      </c>
      <c r="C218" s="179" t="s">
        <v>7230</v>
      </c>
      <c r="E218" s="72"/>
      <c r="F218" s="72"/>
      <c r="G218" s="72"/>
      <c r="H218" s="124"/>
    </row>
    <row r="219" spans="1:8">
      <c r="A219" s="177">
        <v>961200015</v>
      </c>
      <c r="B219" s="116" t="str">
        <f t="shared" si="3"/>
        <v>96-961200015</v>
      </c>
      <c r="C219" s="179" t="s">
        <v>7230</v>
      </c>
      <c r="E219" s="72"/>
      <c r="F219" s="72"/>
      <c r="G219" s="72"/>
      <c r="H219" s="124"/>
    </row>
    <row r="220" spans="1:8">
      <c r="A220" s="177">
        <v>961200029</v>
      </c>
      <c r="B220" s="116" t="str">
        <f t="shared" si="3"/>
        <v>96-961200029</v>
      </c>
      <c r="C220" s="179" t="s">
        <v>7173</v>
      </c>
      <c r="E220" s="72"/>
      <c r="F220" s="72"/>
      <c r="G220" s="72"/>
      <c r="H220" s="124"/>
    </row>
    <row r="221" spans="1:8">
      <c r="A221" s="177">
        <v>961200032</v>
      </c>
      <c r="B221" s="116" t="str">
        <f t="shared" si="3"/>
        <v>96-961200032</v>
      </c>
      <c r="C221" s="179" t="s">
        <v>7173</v>
      </c>
      <c r="E221" s="72"/>
      <c r="F221" s="72"/>
      <c r="G221" s="72"/>
      <c r="H221" s="124"/>
    </row>
    <row r="222" spans="1:8">
      <c r="A222" s="177">
        <v>961200093</v>
      </c>
      <c r="B222" s="116" t="str">
        <f t="shared" si="3"/>
        <v>96-961200093</v>
      </c>
      <c r="C222" s="179" t="s">
        <v>8721</v>
      </c>
      <c r="E222" s="72"/>
      <c r="F222" s="72"/>
      <c r="G222" s="72"/>
      <c r="H222" s="124"/>
    </row>
    <row r="223" spans="1:8">
      <c r="A223" s="177">
        <v>961200099</v>
      </c>
      <c r="B223" s="116" t="str">
        <f t="shared" si="3"/>
        <v>96-961200099</v>
      </c>
      <c r="C223" s="179" t="s">
        <v>7484</v>
      </c>
      <c r="E223" s="72"/>
      <c r="F223" s="72"/>
      <c r="G223" s="72"/>
      <c r="H223" s="124"/>
    </row>
    <row r="224" spans="1:8">
      <c r="A224" s="177">
        <v>961200116</v>
      </c>
      <c r="B224" s="116" t="str">
        <f t="shared" si="3"/>
        <v>96-961200116</v>
      </c>
      <c r="C224" s="179" t="s">
        <v>7229</v>
      </c>
      <c r="E224" s="72"/>
      <c r="F224" s="72"/>
      <c r="G224" s="72"/>
      <c r="H224" s="124"/>
    </row>
    <row r="225" spans="1:8">
      <c r="A225" s="177">
        <v>961200026</v>
      </c>
      <c r="B225" s="116" t="str">
        <f t="shared" si="3"/>
        <v>96-961200026</v>
      </c>
      <c r="C225" s="179" t="s">
        <v>7228</v>
      </c>
      <c r="E225" s="72"/>
      <c r="F225" s="72"/>
      <c r="G225" s="72"/>
      <c r="H225" s="124"/>
    </row>
    <row r="226" spans="1:8">
      <c r="A226" s="177">
        <v>961200056</v>
      </c>
      <c r="B226" s="116" t="str">
        <f t="shared" si="3"/>
        <v>96-961200056</v>
      </c>
      <c r="C226" s="179" t="s">
        <v>7244</v>
      </c>
      <c r="E226" s="72"/>
      <c r="F226" s="72"/>
      <c r="G226" s="72"/>
      <c r="H226" s="124"/>
    </row>
    <row r="227" spans="1:8">
      <c r="A227" s="177">
        <v>961200060</v>
      </c>
      <c r="B227" s="116" t="str">
        <f t="shared" si="3"/>
        <v>96-961200060</v>
      </c>
      <c r="C227" s="179" t="s">
        <v>7244</v>
      </c>
      <c r="E227" s="72"/>
      <c r="F227" s="72"/>
      <c r="G227" s="72"/>
      <c r="H227" s="124"/>
    </row>
    <row r="228" spans="1:8">
      <c r="A228" s="177">
        <v>961200083</v>
      </c>
      <c r="B228" s="116" t="str">
        <f t="shared" si="3"/>
        <v>96-961200083</v>
      </c>
      <c r="C228" s="179" t="s">
        <v>8702</v>
      </c>
      <c r="E228" s="72"/>
      <c r="F228" s="72"/>
      <c r="G228" s="72"/>
      <c r="H228" s="124"/>
    </row>
    <row r="229" spans="1:8">
      <c r="A229" s="177">
        <v>961200119</v>
      </c>
      <c r="B229" s="116" t="str">
        <f t="shared" si="3"/>
        <v>96-961200119</v>
      </c>
      <c r="C229" s="179" t="s">
        <v>9765</v>
      </c>
      <c r="E229" s="72"/>
      <c r="F229" s="72"/>
      <c r="G229" s="72"/>
      <c r="H229" s="124"/>
    </row>
    <row r="230" spans="1:8">
      <c r="A230" s="177">
        <v>961200120</v>
      </c>
      <c r="B230" s="116" t="str">
        <f t="shared" si="3"/>
        <v>96-961200120</v>
      </c>
      <c r="C230" s="179" t="s">
        <v>9765</v>
      </c>
      <c r="E230" s="72"/>
      <c r="F230" s="72"/>
      <c r="G230" s="72"/>
      <c r="H230" s="124"/>
    </row>
    <row r="231" spans="1:8">
      <c r="A231" s="177">
        <v>961200121</v>
      </c>
      <c r="B231" s="116" t="str">
        <f t="shared" si="3"/>
        <v>96-961200121</v>
      </c>
      <c r="C231" s="179" t="s">
        <v>9765</v>
      </c>
      <c r="E231" s="72"/>
      <c r="F231" s="72"/>
      <c r="G231" s="72"/>
      <c r="H231" s="124"/>
    </row>
    <row r="232" spans="1:8">
      <c r="A232" s="177">
        <v>961200155</v>
      </c>
      <c r="B232" s="116" t="str">
        <f t="shared" si="3"/>
        <v>96-961200155</v>
      </c>
      <c r="C232" s="179" t="s">
        <v>12413</v>
      </c>
      <c r="E232" s="72"/>
      <c r="F232" s="72"/>
      <c r="G232" s="72"/>
      <c r="H232" s="124"/>
    </row>
    <row r="233" spans="1:8">
      <c r="A233" s="177">
        <v>961200168</v>
      </c>
      <c r="B233" s="116" t="str">
        <f t="shared" si="3"/>
        <v>96-961200168</v>
      </c>
      <c r="C233" s="179" t="s">
        <v>12423</v>
      </c>
      <c r="E233" s="72"/>
      <c r="F233" s="72"/>
      <c r="G233" s="72"/>
      <c r="H233" s="124"/>
    </row>
    <row r="234" spans="1:8">
      <c r="A234" s="177">
        <v>961200132</v>
      </c>
      <c r="B234" s="116" t="str">
        <f t="shared" si="3"/>
        <v>96-961200132</v>
      </c>
      <c r="C234" s="179" t="s">
        <v>9765</v>
      </c>
      <c r="E234" s="72"/>
      <c r="F234" s="72"/>
      <c r="G234" s="72"/>
      <c r="H234" s="124"/>
    </row>
    <row r="235" spans="1:8">
      <c r="A235" s="177">
        <v>961200133</v>
      </c>
      <c r="B235" s="116" t="str">
        <f t="shared" si="3"/>
        <v>96-961200133</v>
      </c>
      <c r="C235" s="179" t="s">
        <v>9765</v>
      </c>
      <c r="E235" s="72"/>
      <c r="F235" s="72"/>
      <c r="G235" s="72"/>
      <c r="H235" s="124"/>
    </row>
    <row r="236" spans="1:8">
      <c r="A236" s="177">
        <v>951200013</v>
      </c>
      <c r="B236" s="116" t="str">
        <f t="shared" si="3"/>
        <v>95-951200013</v>
      </c>
      <c r="C236" s="179" t="s">
        <v>7172</v>
      </c>
      <c r="E236" s="72"/>
      <c r="F236" s="72"/>
      <c r="G236" s="72"/>
      <c r="H236" s="124"/>
    </row>
    <row r="237" spans="1:8">
      <c r="A237" s="177">
        <v>951200017</v>
      </c>
      <c r="B237" s="116" t="str">
        <f t="shared" si="3"/>
        <v>95-951200017</v>
      </c>
      <c r="C237" s="179" t="s">
        <v>7172</v>
      </c>
      <c r="E237" s="72"/>
      <c r="F237" s="72"/>
      <c r="G237" s="72"/>
      <c r="H237" s="124"/>
    </row>
    <row r="238" spans="1:8">
      <c r="A238" s="177">
        <v>951200031</v>
      </c>
      <c r="B238" s="116" t="str">
        <f t="shared" si="3"/>
        <v>95-951200031</v>
      </c>
      <c r="C238" s="179" t="s">
        <v>7172</v>
      </c>
      <c r="E238" s="72"/>
      <c r="F238" s="72"/>
      <c r="G238" s="72"/>
      <c r="H238" s="124"/>
    </row>
    <row r="239" spans="1:8">
      <c r="A239" s="177">
        <v>951200034</v>
      </c>
      <c r="B239" s="116" t="str">
        <f t="shared" si="3"/>
        <v>95-951200034</v>
      </c>
      <c r="C239" s="179" t="s">
        <v>7172</v>
      </c>
      <c r="E239" s="72"/>
      <c r="F239" s="72"/>
      <c r="G239" s="72"/>
      <c r="H239" s="124"/>
    </row>
    <row r="240" spans="1:8">
      <c r="A240" s="177">
        <v>951200042</v>
      </c>
      <c r="B240" s="116" t="str">
        <f t="shared" si="3"/>
        <v>95-951200042</v>
      </c>
      <c r="C240" s="179" t="s">
        <v>7174</v>
      </c>
      <c r="E240" s="72"/>
      <c r="F240" s="72"/>
      <c r="G240" s="72"/>
      <c r="H240" s="124"/>
    </row>
    <row r="241" spans="1:8">
      <c r="A241" s="177">
        <v>951200099</v>
      </c>
      <c r="B241" s="116" t="str">
        <f t="shared" si="3"/>
        <v>95-951200099</v>
      </c>
      <c r="C241" s="179" t="s">
        <v>7239</v>
      </c>
      <c r="E241" s="72"/>
      <c r="F241" s="72"/>
      <c r="G241" s="72"/>
      <c r="H241" s="124"/>
    </row>
    <row r="242" spans="1:8">
      <c r="A242" s="177">
        <v>961200003</v>
      </c>
      <c r="B242" s="116" t="str">
        <f t="shared" si="3"/>
        <v>96-961200003</v>
      </c>
      <c r="C242" s="179" t="s">
        <v>7239</v>
      </c>
      <c r="E242" s="72"/>
      <c r="F242" s="72"/>
      <c r="G242" s="72"/>
      <c r="H242" s="124"/>
    </row>
    <row r="243" spans="1:8">
      <c r="A243" s="177">
        <v>961200005</v>
      </c>
      <c r="B243" s="116" t="str">
        <f t="shared" si="3"/>
        <v>96-961200005</v>
      </c>
      <c r="C243" s="179" t="s">
        <v>7226</v>
      </c>
      <c r="E243" s="72"/>
      <c r="F243" s="72"/>
      <c r="G243" s="72"/>
      <c r="H243" s="124"/>
    </row>
    <row r="244" spans="1:8">
      <c r="A244" s="177">
        <v>961200014</v>
      </c>
      <c r="B244" s="116" t="str">
        <f t="shared" si="3"/>
        <v>96-961200014</v>
      </c>
      <c r="C244" s="179" t="s">
        <v>7230</v>
      </c>
      <c r="E244" s="72"/>
      <c r="F244" s="72"/>
      <c r="G244" s="72"/>
      <c r="H244" s="124"/>
    </row>
    <row r="245" spans="1:8">
      <c r="A245" s="177">
        <v>961200016</v>
      </c>
      <c r="B245" s="116" t="str">
        <f t="shared" si="3"/>
        <v>96-961200016</v>
      </c>
      <c r="C245" s="179" t="s">
        <v>7230</v>
      </c>
      <c r="E245" s="72"/>
      <c r="F245" s="72"/>
      <c r="G245" s="72"/>
      <c r="H245" s="124"/>
    </row>
    <row r="246" spans="1:8">
      <c r="A246" s="177">
        <v>961200023</v>
      </c>
      <c r="B246" s="116" t="str">
        <f t="shared" si="3"/>
        <v>96-961200023</v>
      </c>
      <c r="C246" s="179" t="s">
        <v>7228</v>
      </c>
      <c r="E246" s="72"/>
      <c r="F246" s="72"/>
      <c r="G246" s="72"/>
      <c r="H246" s="124"/>
    </row>
    <row r="247" spans="1:8">
      <c r="A247" s="177">
        <v>961200033</v>
      </c>
      <c r="B247" s="116" t="str">
        <f t="shared" si="3"/>
        <v>96-961200033</v>
      </c>
      <c r="C247" s="179" t="s">
        <v>7173</v>
      </c>
      <c r="E247" s="72"/>
      <c r="F247" s="72"/>
      <c r="G247" s="72"/>
      <c r="H247" s="124"/>
    </row>
    <row r="248" spans="1:8">
      <c r="A248" s="177">
        <v>961200063</v>
      </c>
      <c r="B248" s="116" t="str">
        <f t="shared" si="3"/>
        <v>96-961200063</v>
      </c>
      <c r="C248" s="179" t="s">
        <v>7244</v>
      </c>
      <c r="E248" s="72"/>
      <c r="F248" s="72"/>
      <c r="G248" s="72"/>
      <c r="H248" s="124"/>
    </row>
    <row r="249" spans="1:8">
      <c r="A249" s="177">
        <v>961200081</v>
      </c>
      <c r="B249" s="116" t="str">
        <f t="shared" si="3"/>
        <v>96-961200081</v>
      </c>
      <c r="C249" s="179" t="s">
        <v>8702</v>
      </c>
      <c r="E249" s="72"/>
      <c r="F249" s="72"/>
      <c r="G249" s="72"/>
      <c r="H249" s="124"/>
    </row>
    <row r="250" spans="1:8">
      <c r="A250" s="177">
        <v>961200085</v>
      </c>
      <c r="B250" s="116" t="str">
        <f t="shared" si="3"/>
        <v>96-961200085</v>
      </c>
      <c r="C250" s="179" t="s">
        <v>8702</v>
      </c>
      <c r="E250" s="72"/>
      <c r="F250" s="72"/>
      <c r="G250" s="72"/>
      <c r="H250" s="124"/>
    </row>
    <row r="251" spans="1:8">
      <c r="A251" s="177">
        <v>961200100</v>
      </c>
      <c r="B251" s="116" t="str">
        <f t="shared" si="3"/>
        <v>96-961200100</v>
      </c>
      <c r="C251" s="179" t="s">
        <v>8721</v>
      </c>
      <c r="E251" s="72"/>
      <c r="F251" s="72"/>
      <c r="G251" s="72"/>
      <c r="H251" s="124"/>
    </row>
    <row r="252" spans="1:8">
      <c r="A252" s="177">
        <v>961200118</v>
      </c>
      <c r="B252" s="116" t="str">
        <f t="shared" si="3"/>
        <v>96-961200118</v>
      </c>
      <c r="C252" s="179" t="s">
        <v>7484</v>
      </c>
      <c r="E252" s="72"/>
      <c r="F252" s="72"/>
      <c r="G252" s="72"/>
      <c r="H252" s="124"/>
    </row>
    <row r="253" spans="1:8">
      <c r="A253" s="177">
        <v>961200124</v>
      </c>
      <c r="B253" s="116" t="str">
        <f t="shared" si="3"/>
        <v>96-961200124</v>
      </c>
      <c r="C253" s="179" t="s">
        <v>9765</v>
      </c>
      <c r="E253" s="72"/>
      <c r="F253" s="72"/>
      <c r="G253" s="72"/>
      <c r="H253" s="124"/>
    </row>
    <row r="254" spans="1:8">
      <c r="A254" s="177">
        <v>961200141</v>
      </c>
      <c r="B254" s="116" t="str">
        <f t="shared" si="3"/>
        <v>96-961200141</v>
      </c>
      <c r="C254" s="179" t="s">
        <v>12197</v>
      </c>
      <c r="E254" s="72"/>
      <c r="F254" s="72"/>
      <c r="G254" s="72"/>
      <c r="H254" s="124"/>
    </row>
    <row r="255" spans="1:8">
      <c r="A255" s="177">
        <v>961200156</v>
      </c>
      <c r="B255" s="116" t="str">
        <f t="shared" si="3"/>
        <v>96-961200156</v>
      </c>
      <c r="C255" s="179" t="s">
        <v>12413</v>
      </c>
      <c r="E255" s="72"/>
      <c r="F255" s="72"/>
      <c r="G255" s="72"/>
      <c r="H255" s="124"/>
    </row>
    <row r="256" spans="1:8">
      <c r="A256" s="177">
        <v>961200163</v>
      </c>
      <c r="B256" s="116" t="str">
        <f t="shared" si="3"/>
        <v>96-961200163</v>
      </c>
      <c r="C256" s="179" t="s">
        <v>12413</v>
      </c>
      <c r="E256" s="72"/>
      <c r="F256" s="72"/>
      <c r="G256" s="72"/>
      <c r="H256" s="124"/>
    </row>
    <row r="257" spans="1:8">
      <c r="A257" s="177">
        <v>961200166</v>
      </c>
      <c r="B257" s="116" t="str">
        <f t="shared" si="3"/>
        <v>96-961200166</v>
      </c>
      <c r="C257" s="179" t="s">
        <v>12423</v>
      </c>
      <c r="E257" s="72"/>
      <c r="F257" s="72"/>
      <c r="G257" s="72"/>
      <c r="H257" s="124"/>
    </row>
    <row r="258" spans="1:8">
      <c r="A258" s="177">
        <v>961200167</v>
      </c>
      <c r="B258" s="116" t="str">
        <f t="shared" si="3"/>
        <v>96-961200167</v>
      </c>
      <c r="C258" s="179" t="s">
        <v>12413</v>
      </c>
      <c r="E258" s="72"/>
      <c r="F258" s="72"/>
      <c r="G258" s="72"/>
      <c r="H258" s="124"/>
    </row>
    <row r="259" spans="1:8">
      <c r="A259" s="177">
        <v>951200012</v>
      </c>
      <c r="B259" s="116" t="str">
        <f t="shared" ref="B259:B322" si="4">MID(A259,1,2)&amp;"-"&amp;A259</f>
        <v>95-951200012</v>
      </c>
      <c r="C259" s="179" t="s">
        <v>7172</v>
      </c>
      <c r="E259" s="72"/>
      <c r="F259" s="72"/>
      <c r="G259" s="72"/>
      <c r="H259" s="124"/>
    </row>
    <row r="260" spans="1:8">
      <c r="A260" s="177">
        <v>951200030</v>
      </c>
      <c r="B260" s="116" t="str">
        <f t="shared" si="4"/>
        <v>95-951200030</v>
      </c>
      <c r="C260" s="179" t="s">
        <v>7172</v>
      </c>
      <c r="E260" s="72"/>
      <c r="F260" s="72"/>
      <c r="G260" s="72"/>
      <c r="H260" s="124"/>
    </row>
    <row r="261" spans="1:8">
      <c r="A261" s="177">
        <v>951200064</v>
      </c>
      <c r="B261" s="116" t="str">
        <f t="shared" si="4"/>
        <v>95-951200064</v>
      </c>
      <c r="C261" s="179" t="s">
        <v>7235</v>
      </c>
      <c r="E261" s="72"/>
      <c r="F261" s="72"/>
      <c r="G261" s="72"/>
      <c r="H261" s="124"/>
    </row>
    <row r="262" spans="1:8">
      <c r="A262" s="177">
        <v>961200010</v>
      </c>
      <c r="B262" s="116" t="str">
        <f t="shared" si="4"/>
        <v>96-961200010</v>
      </c>
      <c r="C262" s="179" t="s">
        <v>7229</v>
      </c>
      <c r="E262" s="72"/>
      <c r="F262" s="72"/>
      <c r="G262" s="72"/>
      <c r="H262" s="124"/>
    </row>
    <row r="263" spans="1:8">
      <c r="A263" s="177">
        <v>961200020</v>
      </c>
      <c r="B263" s="116" t="str">
        <f t="shared" si="4"/>
        <v>96-961200020</v>
      </c>
      <c r="C263" s="179" t="s">
        <v>7228</v>
      </c>
      <c r="E263" s="72"/>
      <c r="F263" s="72"/>
      <c r="G263" s="72"/>
      <c r="H263" s="124"/>
    </row>
    <row r="264" spans="1:8">
      <c r="A264" s="177">
        <v>961200028</v>
      </c>
      <c r="B264" s="116" t="str">
        <f t="shared" si="4"/>
        <v>96-961200028</v>
      </c>
      <c r="C264" s="179" t="s">
        <v>7173</v>
      </c>
      <c r="E264" s="72"/>
      <c r="F264" s="72"/>
      <c r="G264" s="72"/>
      <c r="H264" s="124"/>
    </row>
    <row r="265" spans="1:8">
      <c r="A265" s="177">
        <v>961200045</v>
      </c>
      <c r="B265" s="116" t="str">
        <f t="shared" si="4"/>
        <v>96-961200045</v>
      </c>
      <c r="C265" s="179" t="s">
        <v>7125</v>
      </c>
      <c r="E265" s="72"/>
      <c r="F265" s="72"/>
      <c r="G265" s="72"/>
      <c r="H265" s="124"/>
    </row>
    <row r="266" spans="1:8">
      <c r="A266" s="177">
        <v>961200105</v>
      </c>
      <c r="B266" s="116" t="str">
        <f t="shared" si="4"/>
        <v>96-961200105</v>
      </c>
      <c r="C266" s="179" t="s">
        <v>7228</v>
      </c>
      <c r="E266" s="72"/>
      <c r="F266" s="72"/>
      <c r="G266" s="72"/>
      <c r="H266" s="124"/>
    </row>
    <row r="267" spans="1:8">
      <c r="A267" s="177">
        <v>961200160</v>
      </c>
      <c r="B267" s="116" t="str">
        <f t="shared" si="4"/>
        <v>96-961200160</v>
      </c>
      <c r="C267" s="179" t="s">
        <v>12413</v>
      </c>
      <c r="E267" s="72"/>
      <c r="F267" s="72"/>
      <c r="G267" s="72"/>
      <c r="H267" s="124"/>
    </row>
    <row r="268" spans="1:8">
      <c r="A268" s="177">
        <v>961200169</v>
      </c>
      <c r="B268" s="116" t="str">
        <f t="shared" si="4"/>
        <v>96-961200169</v>
      </c>
      <c r="C268" s="179" t="s">
        <v>12421</v>
      </c>
      <c r="E268" s="72"/>
      <c r="F268" s="72"/>
      <c r="G268" s="72"/>
      <c r="H268" s="124"/>
    </row>
    <row r="269" spans="1:8">
      <c r="A269" s="177">
        <v>961200172</v>
      </c>
      <c r="B269" s="116" t="str">
        <f t="shared" si="4"/>
        <v>96-961200172</v>
      </c>
      <c r="C269" s="179" t="s">
        <v>12421</v>
      </c>
      <c r="E269" s="72"/>
      <c r="F269" s="72"/>
      <c r="G269" s="72"/>
      <c r="H269" s="124"/>
    </row>
    <row r="270" spans="1:8">
      <c r="A270" s="177">
        <v>951500290</v>
      </c>
      <c r="B270" s="116" t="str">
        <f t="shared" si="4"/>
        <v>95-951500290</v>
      </c>
      <c r="C270" s="179" t="s">
        <v>5641</v>
      </c>
      <c r="E270" s="72"/>
      <c r="F270" s="72"/>
      <c r="G270" s="72"/>
      <c r="H270" s="124"/>
    </row>
    <row r="271" spans="1:8">
      <c r="A271" s="177">
        <v>951500316</v>
      </c>
      <c r="B271" s="116" t="str">
        <f t="shared" si="4"/>
        <v>95-951500316</v>
      </c>
      <c r="C271" s="179" t="s">
        <v>5661</v>
      </c>
      <c r="E271" s="72"/>
      <c r="F271" s="72"/>
      <c r="G271" s="72"/>
      <c r="H271" s="124"/>
    </row>
    <row r="272" spans="1:8">
      <c r="A272" s="177">
        <v>951500505</v>
      </c>
      <c r="B272" s="116" t="str">
        <f t="shared" si="4"/>
        <v>95-951500505</v>
      </c>
      <c r="C272" s="179" t="s">
        <v>5701</v>
      </c>
      <c r="E272" s="72"/>
      <c r="F272" s="72"/>
      <c r="G272" s="72"/>
      <c r="H272" s="124"/>
    </row>
    <row r="273" spans="1:8">
      <c r="A273" s="177">
        <v>951500106</v>
      </c>
      <c r="B273" s="116" t="str">
        <f t="shared" si="4"/>
        <v>95-951500106</v>
      </c>
      <c r="C273" s="179" t="s">
        <v>5617</v>
      </c>
      <c r="E273" s="72"/>
      <c r="F273" s="72"/>
      <c r="G273" s="72"/>
      <c r="H273" s="124"/>
    </row>
    <row r="274" spans="1:8">
      <c r="A274" s="177">
        <v>951500445</v>
      </c>
      <c r="B274" s="116" t="str">
        <f t="shared" si="4"/>
        <v>95-951500445</v>
      </c>
      <c r="C274" s="179" t="s">
        <v>5701</v>
      </c>
      <c r="E274" s="72"/>
      <c r="F274" s="72"/>
      <c r="G274" s="72"/>
      <c r="H274" s="124"/>
    </row>
    <row r="275" spans="1:8">
      <c r="A275" s="177">
        <v>951500446</v>
      </c>
      <c r="B275" s="116" t="str">
        <f t="shared" si="4"/>
        <v>95-951500446</v>
      </c>
      <c r="C275" s="179" t="s">
        <v>5701</v>
      </c>
      <c r="E275" s="72"/>
      <c r="F275" s="72"/>
      <c r="G275" s="72"/>
      <c r="H275" s="124"/>
    </row>
    <row r="276" spans="1:8">
      <c r="A276" s="177">
        <v>951500506</v>
      </c>
      <c r="B276" s="116" t="str">
        <f t="shared" si="4"/>
        <v>95-951500506</v>
      </c>
      <c r="C276" s="179" t="s">
        <v>5701</v>
      </c>
      <c r="E276" s="72"/>
      <c r="F276" s="72"/>
      <c r="G276" s="72"/>
      <c r="H276" s="124"/>
    </row>
    <row r="277" spans="1:8">
      <c r="A277" s="177">
        <v>951500105</v>
      </c>
      <c r="B277" s="116" t="str">
        <f t="shared" si="4"/>
        <v>95-951500105</v>
      </c>
      <c r="C277" s="179" t="s">
        <v>5617</v>
      </c>
      <c r="E277" s="72"/>
      <c r="F277" s="72"/>
      <c r="G277" s="72"/>
      <c r="H277" s="124"/>
    </row>
    <row r="278" spans="1:8">
      <c r="A278" s="177">
        <v>951500127</v>
      </c>
      <c r="B278" s="116" t="str">
        <f t="shared" si="4"/>
        <v>95-951500127</v>
      </c>
      <c r="C278" s="179" t="s">
        <v>5617</v>
      </c>
      <c r="E278" s="72"/>
      <c r="F278" s="72"/>
      <c r="G278" s="72"/>
      <c r="H278" s="124"/>
    </row>
    <row r="279" spans="1:8">
      <c r="A279" s="177">
        <v>951500383</v>
      </c>
      <c r="B279" s="116" t="str">
        <f t="shared" si="4"/>
        <v>95-951500383</v>
      </c>
      <c r="C279" s="179" t="s">
        <v>5661</v>
      </c>
      <c r="E279" s="72"/>
      <c r="F279" s="72"/>
      <c r="G279" s="72"/>
      <c r="H279" s="124"/>
    </row>
    <row r="280" spans="1:8">
      <c r="A280" s="177">
        <v>951500539</v>
      </c>
      <c r="B280" s="116" t="str">
        <f t="shared" si="4"/>
        <v>95-951500539</v>
      </c>
      <c r="C280" s="179" t="s">
        <v>5716</v>
      </c>
      <c r="E280" s="72"/>
      <c r="F280" s="72"/>
      <c r="G280" s="72"/>
      <c r="H280" s="124"/>
    </row>
    <row r="281" spans="1:8">
      <c r="A281" s="177">
        <v>951500036</v>
      </c>
      <c r="B281" s="116" t="str">
        <f t="shared" si="4"/>
        <v>95-951500036</v>
      </c>
      <c r="C281" s="179" t="s">
        <v>5613</v>
      </c>
      <c r="E281" s="72"/>
      <c r="F281" s="72"/>
      <c r="G281" s="72"/>
      <c r="H281" s="124"/>
    </row>
    <row r="282" spans="1:8">
      <c r="A282" s="177">
        <v>951500085</v>
      </c>
      <c r="B282" s="116" t="str">
        <f t="shared" si="4"/>
        <v>95-951500085</v>
      </c>
      <c r="C282" s="179" t="s">
        <v>5613</v>
      </c>
      <c r="E282" s="72"/>
      <c r="F282" s="72"/>
      <c r="G282" s="72"/>
      <c r="H282" s="124"/>
    </row>
    <row r="283" spans="1:8">
      <c r="A283" s="177">
        <v>951500110</v>
      </c>
      <c r="B283" s="116" t="str">
        <f t="shared" si="4"/>
        <v>95-951500110</v>
      </c>
      <c r="C283" s="179" t="s">
        <v>5613</v>
      </c>
      <c r="E283" s="72"/>
      <c r="F283" s="72"/>
      <c r="G283" s="72"/>
      <c r="H283" s="124"/>
    </row>
    <row r="284" spans="1:8">
      <c r="A284" s="177">
        <v>951500124</v>
      </c>
      <c r="B284" s="116" t="str">
        <f t="shared" si="4"/>
        <v>95-951500124</v>
      </c>
      <c r="C284" s="179" t="s">
        <v>5618</v>
      </c>
      <c r="E284" s="72"/>
      <c r="F284" s="72"/>
      <c r="G284" s="72"/>
      <c r="H284" s="124"/>
    </row>
    <row r="285" spans="1:8">
      <c r="A285" s="177">
        <v>951500148</v>
      </c>
      <c r="B285" s="116" t="str">
        <f t="shared" si="4"/>
        <v>95-951500148</v>
      </c>
      <c r="C285" s="179" t="s">
        <v>5618</v>
      </c>
      <c r="E285" s="72"/>
      <c r="F285" s="72"/>
      <c r="G285" s="72"/>
      <c r="H285" s="124"/>
    </row>
    <row r="286" spans="1:8">
      <c r="A286" s="177">
        <v>961500271</v>
      </c>
      <c r="B286" s="116" t="str">
        <f t="shared" si="4"/>
        <v>96-961500271</v>
      </c>
      <c r="C286" s="179" t="s">
        <v>5781</v>
      </c>
      <c r="E286" s="72"/>
      <c r="F286" s="72"/>
      <c r="G286" s="72"/>
      <c r="H286" s="124"/>
    </row>
    <row r="287" spans="1:8">
      <c r="A287" s="177">
        <v>951500153</v>
      </c>
      <c r="B287" s="116" t="str">
        <f t="shared" si="4"/>
        <v>95-951500153</v>
      </c>
      <c r="C287" s="179" t="s">
        <v>5621</v>
      </c>
      <c r="E287" s="72"/>
      <c r="F287" s="72"/>
      <c r="G287" s="72"/>
      <c r="H287" s="124"/>
    </row>
    <row r="288" spans="1:8">
      <c r="A288" s="177">
        <v>951500155</v>
      </c>
      <c r="B288" s="116" t="str">
        <f t="shared" si="4"/>
        <v>95-951500155</v>
      </c>
      <c r="C288" s="179" t="s">
        <v>5618</v>
      </c>
      <c r="E288" s="72"/>
      <c r="F288" s="72"/>
      <c r="G288" s="72"/>
      <c r="H288" s="124"/>
    </row>
    <row r="289" spans="1:8">
      <c r="A289" s="177">
        <v>951500314</v>
      </c>
      <c r="B289" s="116" t="str">
        <f t="shared" si="4"/>
        <v>95-951500314</v>
      </c>
      <c r="C289" s="179" t="s">
        <v>5665</v>
      </c>
      <c r="E289" s="72"/>
      <c r="F289" s="72"/>
      <c r="G289" s="72"/>
      <c r="H289" s="124"/>
    </row>
    <row r="290" spans="1:8">
      <c r="A290" s="177">
        <v>951500605</v>
      </c>
      <c r="B290" s="116" t="str">
        <f t="shared" si="4"/>
        <v>95-951500605</v>
      </c>
      <c r="C290" s="179" t="s">
        <v>5766</v>
      </c>
      <c r="E290" s="72"/>
      <c r="F290" s="72"/>
      <c r="G290" s="72"/>
      <c r="H290" s="124"/>
    </row>
    <row r="291" spans="1:8">
      <c r="A291" s="177">
        <v>951500606</v>
      </c>
      <c r="B291" s="116" t="str">
        <f t="shared" si="4"/>
        <v>95-951500606</v>
      </c>
      <c r="C291" s="179" t="s">
        <v>5766</v>
      </c>
      <c r="E291" s="72"/>
      <c r="F291" s="72"/>
      <c r="G291" s="72"/>
      <c r="H291" s="124"/>
    </row>
    <row r="292" spans="1:8">
      <c r="A292" s="177">
        <v>951500515</v>
      </c>
      <c r="B292" s="116" t="str">
        <f t="shared" si="4"/>
        <v>95-951500515</v>
      </c>
      <c r="C292" s="179" t="s">
        <v>5722</v>
      </c>
      <c r="E292" s="72"/>
      <c r="F292" s="72"/>
      <c r="G292" s="72"/>
      <c r="H292" s="124"/>
    </row>
    <row r="293" spans="1:8">
      <c r="A293" s="177">
        <v>951500601</v>
      </c>
      <c r="B293" s="116" t="str">
        <f t="shared" si="4"/>
        <v>95-951500601</v>
      </c>
      <c r="C293" s="179" t="s">
        <v>5753</v>
      </c>
      <c r="E293" s="72"/>
      <c r="F293" s="72"/>
      <c r="G293" s="72"/>
      <c r="H293" s="124"/>
    </row>
    <row r="294" spans="1:8">
      <c r="A294" s="177">
        <v>951500560</v>
      </c>
      <c r="B294" s="116" t="str">
        <f t="shared" si="4"/>
        <v>95-951500560</v>
      </c>
      <c r="C294" s="179" t="s">
        <v>5743</v>
      </c>
      <c r="E294" s="72"/>
      <c r="F294" s="72"/>
      <c r="G294" s="72"/>
      <c r="H294" s="124"/>
    </row>
    <row r="295" spans="1:8">
      <c r="A295" s="177">
        <v>951500123</v>
      </c>
      <c r="B295" s="116" t="str">
        <f t="shared" si="4"/>
        <v>95-951500123</v>
      </c>
      <c r="C295" s="179" t="s">
        <v>5613</v>
      </c>
      <c r="E295" s="72"/>
      <c r="F295" s="72"/>
      <c r="G295" s="72"/>
      <c r="H295" s="124"/>
    </row>
    <row r="296" spans="1:8">
      <c r="A296" s="177">
        <v>951500141</v>
      </c>
      <c r="B296" s="116" t="str">
        <f t="shared" si="4"/>
        <v>95-951500141</v>
      </c>
      <c r="C296" s="179" t="s">
        <v>5618</v>
      </c>
      <c r="E296" s="72"/>
      <c r="F296" s="72"/>
      <c r="G296" s="72"/>
      <c r="H296" s="124"/>
    </row>
    <row r="297" spans="1:8">
      <c r="A297" s="177">
        <v>951500164</v>
      </c>
      <c r="B297" s="116" t="str">
        <f t="shared" si="4"/>
        <v>95-951500164</v>
      </c>
      <c r="C297" s="179" t="s">
        <v>5618</v>
      </c>
      <c r="E297" s="72"/>
      <c r="F297" s="72"/>
      <c r="G297" s="72"/>
      <c r="H297" s="124"/>
    </row>
    <row r="298" spans="1:8">
      <c r="A298" s="177">
        <v>951500554</v>
      </c>
      <c r="B298" s="116" t="str">
        <f t="shared" si="4"/>
        <v>95-951500554</v>
      </c>
      <c r="C298" s="179" t="s">
        <v>5740</v>
      </c>
      <c r="E298" s="72"/>
      <c r="F298" s="72"/>
      <c r="G298" s="72"/>
      <c r="H298" s="124"/>
    </row>
    <row r="299" spans="1:8">
      <c r="A299" s="177">
        <v>951500107</v>
      </c>
      <c r="B299" s="116" t="str">
        <f t="shared" si="4"/>
        <v>95-951500107</v>
      </c>
      <c r="C299" s="179" t="s">
        <v>5613</v>
      </c>
      <c r="E299" s="72"/>
      <c r="F299" s="72"/>
      <c r="G299" s="72"/>
      <c r="H299" s="124"/>
    </row>
    <row r="300" spans="1:8">
      <c r="A300" s="177">
        <v>951500204</v>
      </c>
      <c r="B300" s="116" t="str">
        <f t="shared" si="4"/>
        <v>95-951500204</v>
      </c>
      <c r="C300" s="179" t="s">
        <v>5618</v>
      </c>
      <c r="E300" s="72"/>
      <c r="F300" s="72"/>
      <c r="G300" s="72"/>
      <c r="H300" s="124"/>
    </row>
    <row r="301" spans="1:8">
      <c r="A301" s="177">
        <v>951500393</v>
      </c>
      <c r="B301" s="116" t="str">
        <f t="shared" si="4"/>
        <v>95-951500393</v>
      </c>
      <c r="C301" s="179" t="s">
        <v>5649</v>
      </c>
      <c r="E301" s="72"/>
      <c r="F301" s="72"/>
      <c r="G301" s="72"/>
      <c r="H301" s="124"/>
    </row>
    <row r="302" spans="1:8">
      <c r="A302" s="177">
        <v>951500023</v>
      </c>
      <c r="B302" s="116" t="str">
        <f t="shared" si="4"/>
        <v>95-951500023</v>
      </c>
      <c r="C302" s="179" t="s">
        <v>5612</v>
      </c>
      <c r="E302" s="72"/>
      <c r="F302" s="72"/>
      <c r="G302" s="72"/>
      <c r="H302" s="124"/>
    </row>
    <row r="303" spans="1:8">
      <c r="A303" s="177">
        <v>951500026</v>
      </c>
      <c r="B303" s="116" t="str">
        <f t="shared" si="4"/>
        <v>95-951500026</v>
      </c>
      <c r="C303" s="179" t="s">
        <v>5612</v>
      </c>
      <c r="E303" s="72"/>
      <c r="F303" s="72"/>
      <c r="G303" s="72"/>
      <c r="H303" s="124"/>
    </row>
    <row r="304" spans="1:8">
      <c r="A304" s="177">
        <v>951500031</v>
      </c>
      <c r="B304" s="116" t="str">
        <f t="shared" si="4"/>
        <v>95-951500031</v>
      </c>
      <c r="C304" s="179" t="s">
        <v>5612</v>
      </c>
      <c r="E304" s="72"/>
      <c r="F304" s="72"/>
      <c r="G304" s="72"/>
      <c r="H304" s="124"/>
    </row>
    <row r="305" spans="1:8">
      <c r="A305" s="177">
        <v>951500049</v>
      </c>
      <c r="B305" s="116" t="str">
        <f t="shared" si="4"/>
        <v>95-951500049</v>
      </c>
      <c r="C305" s="179" t="s">
        <v>5612</v>
      </c>
      <c r="E305" s="72"/>
      <c r="F305" s="72"/>
      <c r="G305" s="72"/>
      <c r="H305" s="124"/>
    </row>
    <row r="306" spans="1:8">
      <c r="A306" s="177">
        <v>951500104</v>
      </c>
      <c r="B306" s="116" t="str">
        <f t="shared" si="4"/>
        <v>95-951500104</v>
      </c>
      <c r="C306" s="179" t="s">
        <v>5612</v>
      </c>
      <c r="E306" s="72"/>
      <c r="F306" s="72"/>
      <c r="G306" s="72"/>
      <c r="H306" s="124"/>
    </row>
    <row r="307" spans="1:8">
      <c r="A307" s="177">
        <v>951500113</v>
      </c>
      <c r="B307" s="116" t="str">
        <f t="shared" si="4"/>
        <v>95-951500113</v>
      </c>
      <c r="C307" s="179" t="s">
        <v>5612</v>
      </c>
      <c r="E307" s="72"/>
      <c r="F307" s="72"/>
      <c r="G307" s="72"/>
      <c r="H307" s="124"/>
    </row>
    <row r="308" spans="1:8">
      <c r="A308" s="177">
        <v>951500125</v>
      </c>
      <c r="B308" s="116" t="str">
        <f t="shared" si="4"/>
        <v>95-951500125</v>
      </c>
      <c r="C308" s="179" t="s">
        <v>5612</v>
      </c>
      <c r="E308" s="72"/>
      <c r="F308" s="72"/>
      <c r="G308" s="72"/>
      <c r="H308" s="124"/>
    </row>
    <row r="309" spans="1:8">
      <c r="A309" s="177">
        <v>951500126</v>
      </c>
      <c r="B309" s="116" t="str">
        <f t="shared" si="4"/>
        <v>95-951500126</v>
      </c>
      <c r="C309" s="179" t="s">
        <v>5612</v>
      </c>
      <c r="E309" s="72"/>
      <c r="F309" s="72"/>
      <c r="G309" s="72"/>
      <c r="H309" s="124"/>
    </row>
    <row r="310" spans="1:8">
      <c r="A310" s="177">
        <v>951500161</v>
      </c>
      <c r="B310" s="116" t="str">
        <f t="shared" si="4"/>
        <v>95-951500161</v>
      </c>
      <c r="C310" s="179" t="s">
        <v>5619</v>
      </c>
      <c r="E310" s="72"/>
      <c r="F310" s="72"/>
      <c r="G310" s="72"/>
      <c r="H310" s="124"/>
    </row>
    <row r="311" spans="1:8">
      <c r="A311" s="177">
        <v>951500162</v>
      </c>
      <c r="B311" s="116" t="str">
        <f t="shared" si="4"/>
        <v>95-951500162</v>
      </c>
      <c r="C311" s="179" t="s">
        <v>5619</v>
      </c>
      <c r="E311" s="72"/>
      <c r="F311" s="72"/>
      <c r="G311" s="72"/>
      <c r="H311" s="124"/>
    </row>
    <row r="312" spans="1:8">
      <c r="A312" s="177">
        <v>951500188</v>
      </c>
      <c r="B312" s="116" t="str">
        <f t="shared" si="4"/>
        <v>95-951500188</v>
      </c>
      <c r="C312" s="179" t="s">
        <v>5619</v>
      </c>
      <c r="E312" s="72"/>
      <c r="F312" s="72"/>
      <c r="G312" s="72"/>
      <c r="H312" s="124"/>
    </row>
    <row r="313" spans="1:8">
      <c r="A313" s="177">
        <v>951500196</v>
      </c>
      <c r="B313" s="116" t="str">
        <f t="shared" si="4"/>
        <v>95-951500196</v>
      </c>
      <c r="C313" s="179" t="s">
        <v>5619</v>
      </c>
      <c r="E313" s="72"/>
      <c r="F313" s="72"/>
      <c r="G313" s="72"/>
      <c r="H313" s="124"/>
    </row>
    <row r="314" spans="1:8">
      <c r="A314" s="177">
        <v>951500217</v>
      </c>
      <c r="B314" s="116" t="str">
        <f t="shared" si="4"/>
        <v>95-951500217</v>
      </c>
      <c r="C314" s="179" t="s">
        <v>5630</v>
      </c>
      <c r="E314" s="72"/>
      <c r="F314" s="72"/>
      <c r="G314" s="72"/>
      <c r="H314" s="124"/>
    </row>
    <row r="315" spans="1:8">
      <c r="A315" s="177">
        <v>951500222</v>
      </c>
      <c r="B315" s="116" t="str">
        <f t="shared" si="4"/>
        <v>95-951500222</v>
      </c>
      <c r="C315" s="179" t="s">
        <v>5630</v>
      </c>
      <c r="E315" s="72"/>
      <c r="F315" s="72"/>
      <c r="G315" s="72"/>
      <c r="H315" s="124"/>
    </row>
    <row r="316" spans="1:8">
      <c r="A316" s="177">
        <v>951500061</v>
      </c>
      <c r="B316" s="116" t="str">
        <f t="shared" si="4"/>
        <v>95-951500061</v>
      </c>
      <c r="C316" s="179" t="s">
        <v>5617</v>
      </c>
      <c r="E316" s="72"/>
      <c r="F316" s="72"/>
      <c r="G316" s="72"/>
      <c r="H316" s="124"/>
    </row>
    <row r="317" spans="1:8">
      <c r="A317" s="177">
        <v>951500528</v>
      </c>
      <c r="B317" s="116" t="str">
        <f t="shared" si="4"/>
        <v>95-951500528</v>
      </c>
      <c r="C317" s="179" t="s">
        <v>5701</v>
      </c>
      <c r="E317" s="72"/>
      <c r="F317" s="72"/>
      <c r="G317" s="72"/>
      <c r="H317" s="124"/>
    </row>
    <row r="318" spans="1:8">
      <c r="A318" s="177">
        <v>961500011</v>
      </c>
      <c r="B318" s="116" t="str">
        <f t="shared" si="4"/>
        <v>96-961500011</v>
      </c>
      <c r="C318" s="179" t="s">
        <v>5753</v>
      </c>
      <c r="E318" s="72"/>
      <c r="F318" s="72"/>
      <c r="G318" s="72"/>
      <c r="H318" s="124"/>
    </row>
    <row r="319" spans="1:8">
      <c r="A319" s="177">
        <v>951500226</v>
      </c>
      <c r="B319" s="116" t="str">
        <f t="shared" si="4"/>
        <v>95-951500226</v>
      </c>
      <c r="C319" s="179" t="s">
        <v>5635</v>
      </c>
      <c r="E319" s="72"/>
      <c r="F319" s="72"/>
      <c r="G319" s="72"/>
      <c r="H319" s="124"/>
    </row>
    <row r="320" spans="1:8">
      <c r="A320" s="177">
        <v>951500239</v>
      </c>
      <c r="B320" s="116" t="str">
        <f t="shared" si="4"/>
        <v>95-951500239</v>
      </c>
      <c r="C320" s="179" t="s">
        <v>5635</v>
      </c>
      <c r="E320" s="72"/>
      <c r="F320" s="72"/>
      <c r="G320" s="72"/>
      <c r="H320" s="124"/>
    </row>
    <row r="321" spans="1:8">
      <c r="A321" s="177">
        <v>951500244</v>
      </c>
      <c r="B321" s="116" t="str">
        <f t="shared" si="4"/>
        <v>95-951500244</v>
      </c>
      <c r="C321" s="179" t="s">
        <v>5635</v>
      </c>
      <c r="E321" s="72"/>
      <c r="F321" s="72"/>
      <c r="G321" s="72"/>
      <c r="H321" s="124"/>
    </row>
    <row r="322" spans="1:8">
      <c r="A322" s="177">
        <v>951500246</v>
      </c>
      <c r="B322" s="116" t="str">
        <f t="shared" si="4"/>
        <v>95-951500246</v>
      </c>
      <c r="C322" s="179" t="s">
        <v>5645</v>
      </c>
      <c r="E322" s="72"/>
      <c r="F322" s="72"/>
      <c r="G322" s="72"/>
      <c r="H322" s="124"/>
    </row>
    <row r="323" spans="1:8">
      <c r="A323" s="177">
        <v>951500252</v>
      </c>
      <c r="B323" s="116" t="str">
        <f t="shared" ref="B323:B386" si="5">MID(A323,1,2)&amp;"-"&amp;A323</f>
        <v>95-951500252</v>
      </c>
      <c r="C323" s="179" t="s">
        <v>5635</v>
      </c>
      <c r="E323" s="72"/>
      <c r="F323" s="72"/>
      <c r="G323" s="72"/>
      <c r="H323" s="124"/>
    </row>
    <row r="324" spans="1:8">
      <c r="A324" s="177">
        <v>951500288</v>
      </c>
      <c r="B324" s="116" t="str">
        <f t="shared" si="5"/>
        <v>95-951500288</v>
      </c>
      <c r="C324" s="179" t="s">
        <v>5658</v>
      </c>
      <c r="E324" s="72"/>
      <c r="F324" s="72"/>
      <c r="G324" s="72"/>
      <c r="H324" s="124"/>
    </row>
    <row r="325" spans="1:8">
      <c r="A325" s="177">
        <v>951500291</v>
      </c>
      <c r="B325" s="116" t="str">
        <f t="shared" si="5"/>
        <v>95-951500291</v>
      </c>
      <c r="C325" s="179" t="s">
        <v>5659</v>
      </c>
      <c r="E325" s="72"/>
      <c r="F325" s="72"/>
      <c r="G325" s="72"/>
      <c r="H325" s="124"/>
    </row>
    <row r="326" spans="1:8">
      <c r="A326" s="177">
        <v>951500297</v>
      </c>
      <c r="B326" s="116" t="str">
        <f t="shared" si="5"/>
        <v>95-951500297</v>
      </c>
      <c r="C326" s="179" t="s">
        <v>5659</v>
      </c>
      <c r="E326" s="72"/>
      <c r="F326" s="72"/>
      <c r="G326" s="72"/>
      <c r="H326" s="124"/>
    </row>
    <row r="327" spans="1:8">
      <c r="A327" s="177">
        <v>951500332</v>
      </c>
      <c r="B327" s="116" t="str">
        <f t="shared" si="5"/>
        <v>95-951500332</v>
      </c>
      <c r="C327" s="179" t="s">
        <v>5659</v>
      </c>
      <c r="E327" s="72"/>
      <c r="F327" s="72"/>
      <c r="G327" s="72"/>
      <c r="H327" s="124"/>
    </row>
    <row r="328" spans="1:8">
      <c r="A328" s="177">
        <v>951500340</v>
      </c>
      <c r="B328" s="116" t="str">
        <f t="shared" si="5"/>
        <v>95-951500340</v>
      </c>
      <c r="C328" s="179" t="s">
        <v>5659</v>
      </c>
      <c r="E328" s="72"/>
      <c r="F328" s="72"/>
      <c r="G328" s="72"/>
      <c r="H328" s="124"/>
    </row>
    <row r="329" spans="1:8">
      <c r="A329" s="177">
        <v>951500342</v>
      </c>
      <c r="B329" s="116" t="str">
        <f t="shared" si="5"/>
        <v>95-951500342</v>
      </c>
      <c r="C329" s="179" t="s">
        <v>5659</v>
      </c>
      <c r="E329" s="72"/>
      <c r="F329" s="72"/>
      <c r="G329" s="72"/>
      <c r="H329" s="124"/>
    </row>
    <row r="330" spans="1:8">
      <c r="A330" s="177">
        <v>951500349</v>
      </c>
      <c r="B330" s="116" t="str">
        <f t="shared" si="5"/>
        <v>95-951500349</v>
      </c>
      <c r="C330" s="179" t="s">
        <v>5659</v>
      </c>
      <c r="E330" s="72"/>
      <c r="F330" s="72"/>
      <c r="G330" s="72"/>
      <c r="H330" s="124"/>
    </row>
    <row r="331" spans="1:8">
      <c r="A331" s="177">
        <v>951500359</v>
      </c>
      <c r="B331" s="116" t="str">
        <f t="shared" si="5"/>
        <v>95-951500359</v>
      </c>
      <c r="C331" s="179" t="s">
        <v>5675</v>
      </c>
      <c r="E331" s="72"/>
      <c r="F331" s="72"/>
      <c r="G331" s="72"/>
      <c r="H331" s="124"/>
    </row>
    <row r="332" spans="1:8">
      <c r="A332" s="177">
        <v>951500366</v>
      </c>
      <c r="B332" s="116" t="str">
        <f t="shared" si="5"/>
        <v>95-951500366</v>
      </c>
      <c r="C332" s="179" t="s">
        <v>5659</v>
      </c>
      <c r="E332" s="72"/>
      <c r="F332" s="72"/>
      <c r="G332" s="72"/>
      <c r="H332" s="124"/>
    </row>
    <row r="333" spans="1:8">
      <c r="A333" s="177">
        <v>951500371</v>
      </c>
      <c r="B333" s="116" t="str">
        <f t="shared" si="5"/>
        <v>95-951500371</v>
      </c>
      <c r="C333" s="179" t="s">
        <v>5659</v>
      </c>
      <c r="E333" s="72"/>
      <c r="F333" s="72"/>
      <c r="G333" s="72"/>
      <c r="H333" s="124"/>
    </row>
    <row r="334" spans="1:8">
      <c r="A334" s="177">
        <v>951500375</v>
      </c>
      <c r="B334" s="116" t="str">
        <f t="shared" si="5"/>
        <v>95-951500375</v>
      </c>
      <c r="C334" s="179" t="s">
        <v>5675</v>
      </c>
      <c r="E334" s="72"/>
      <c r="F334" s="72"/>
      <c r="G334" s="72"/>
      <c r="H334" s="124"/>
    </row>
    <row r="335" spans="1:8">
      <c r="A335" s="177">
        <v>951500098</v>
      </c>
      <c r="B335" s="116" t="str">
        <f t="shared" si="5"/>
        <v>95-951500098</v>
      </c>
      <c r="C335" s="179" t="s">
        <v>5612</v>
      </c>
      <c r="E335" s="72"/>
      <c r="F335" s="72"/>
      <c r="G335" s="72"/>
      <c r="H335" s="124"/>
    </row>
    <row r="336" spans="1:8">
      <c r="A336" s="177">
        <v>951500099</v>
      </c>
      <c r="B336" s="116" t="str">
        <f t="shared" si="5"/>
        <v>95-951500099</v>
      </c>
      <c r="C336" s="179" t="s">
        <v>5612</v>
      </c>
      <c r="E336" s="72"/>
      <c r="F336" s="72"/>
      <c r="G336" s="72"/>
      <c r="H336" s="124"/>
    </row>
    <row r="337" spans="1:8">
      <c r="A337" s="177">
        <v>951500136</v>
      </c>
      <c r="B337" s="116" t="str">
        <f t="shared" si="5"/>
        <v>95-951500136</v>
      </c>
      <c r="C337" s="179" t="s">
        <v>5612</v>
      </c>
      <c r="E337" s="72"/>
      <c r="F337" s="72"/>
      <c r="G337" s="72"/>
      <c r="H337" s="124"/>
    </row>
    <row r="338" spans="1:8">
      <c r="A338" s="177">
        <v>951500149</v>
      </c>
      <c r="B338" s="116" t="str">
        <f t="shared" si="5"/>
        <v>95-951500149</v>
      </c>
      <c r="C338" s="179" t="s">
        <v>5619</v>
      </c>
      <c r="E338" s="72"/>
      <c r="F338" s="72"/>
      <c r="G338" s="72"/>
      <c r="H338" s="124"/>
    </row>
    <row r="339" spans="1:8">
      <c r="A339" s="177">
        <v>951500027</v>
      </c>
      <c r="B339" s="116" t="str">
        <f t="shared" si="5"/>
        <v>95-951500027</v>
      </c>
      <c r="C339" s="179" t="s">
        <v>5612</v>
      </c>
      <c r="E339" s="72"/>
      <c r="F339" s="72"/>
      <c r="G339" s="72"/>
      <c r="H339" s="124"/>
    </row>
    <row r="340" spans="1:8">
      <c r="A340" s="177">
        <v>951500050</v>
      </c>
      <c r="B340" s="116" t="str">
        <f t="shared" si="5"/>
        <v>95-951500050</v>
      </c>
      <c r="C340" s="179" t="s">
        <v>5612</v>
      </c>
      <c r="E340" s="72"/>
      <c r="F340" s="72"/>
      <c r="G340" s="72"/>
      <c r="H340" s="124"/>
    </row>
    <row r="341" spans="1:8">
      <c r="A341" s="177">
        <v>951500051</v>
      </c>
      <c r="B341" s="116" t="str">
        <f t="shared" si="5"/>
        <v>95-951500051</v>
      </c>
      <c r="C341" s="179" t="s">
        <v>5612</v>
      </c>
      <c r="E341" s="72"/>
      <c r="F341" s="72"/>
      <c r="G341" s="72"/>
      <c r="H341" s="124"/>
    </row>
    <row r="342" spans="1:8">
      <c r="A342" s="177">
        <v>951500206</v>
      </c>
      <c r="B342" s="116" t="str">
        <f t="shared" si="5"/>
        <v>95-951500206</v>
      </c>
      <c r="C342" s="179" t="s">
        <v>5627</v>
      </c>
      <c r="E342" s="72"/>
      <c r="F342" s="72"/>
      <c r="G342" s="72"/>
      <c r="H342" s="124"/>
    </row>
    <row r="343" spans="1:8">
      <c r="A343" s="177">
        <v>951500216</v>
      </c>
      <c r="B343" s="116" t="str">
        <f t="shared" si="5"/>
        <v>95-951500216</v>
      </c>
      <c r="C343" s="179" t="s">
        <v>5630</v>
      </c>
      <c r="E343" s="72"/>
      <c r="F343" s="72"/>
      <c r="G343" s="72"/>
      <c r="H343" s="124"/>
    </row>
    <row r="344" spans="1:8">
      <c r="A344" s="177">
        <v>951500224</v>
      </c>
      <c r="B344" s="116" t="str">
        <f t="shared" si="5"/>
        <v>95-951500224</v>
      </c>
      <c r="C344" s="179" t="s">
        <v>5630</v>
      </c>
      <c r="E344" s="72"/>
      <c r="F344" s="72"/>
      <c r="G344" s="72"/>
      <c r="H344" s="124"/>
    </row>
    <row r="345" spans="1:8">
      <c r="A345" s="177">
        <v>951500225</v>
      </c>
      <c r="B345" s="116" t="str">
        <f t="shared" si="5"/>
        <v>95-951500225</v>
      </c>
      <c r="C345" s="179" t="s">
        <v>5630</v>
      </c>
      <c r="E345" s="72"/>
      <c r="F345" s="72"/>
      <c r="G345" s="72"/>
      <c r="H345" s="124"/>
    </row>
    <row r="346" spans="1:8">
      <c r="A346" s="177">
        <v>951500233</v>
      </c>
      <c r="B346" s="116" t="str">
        <f t="shared" si="5"/>
        <v>95-951500233</v>
      </c>
      <c r="C346" s="179" t="s">
        <v>5630</v>
      </c>
      <c r="E346" s="72"/>
      <c r="F346" s="72"/>
      <c r="G346" s="72"/>
      <c r="H346" s="124"/>
    </row>
    <row r="347" spans="1:8">
      <c r="A347" s="177">
        <v>951500236</v>
      </c>
      <c r="B347" s="116" t="str">
        <f t="shared" si="5"/>
        <v>95-951500236</v>
      </c>
      <c r="C347" s="179" t="s">
        <v>5630</v>
      </c>
      <c r="E347" s="72"/>
      <c r="F347" s="72"/>
      <c r="G347" s="72"/>
      <c r="H347" s="124"/>
    </row>
    <row r="348" spans="1:8">
      <c r="A348" s="177">
        <v>951500242</v>
      </c>
      <c r="B348" s="116" t="str">
        <f t="shared" si="5"/>
        <v>95-951500242</v>
      </c>
      <c r="C348" s="179" t="s">
        <v>5635</v>
      </c>
      <c r="E348" s="72"/>
      <c r="F348" s="72"/>
      <c r="G348" s="72"/>
      <c r="H348" s="124"/>
    </row>
    <row r="349" spans="1:8">
      <c r="A349" s="177">
        <v>951500272</v>
      </c>
      <c r="B349" s="116" t="str">
        <f t="shared" si="5"/>
        <v>95-951500272</v>
      </c>
      <c r="C349" s="179" t="s">
        <v>5645</v>
      </c>
      <c r="E349" s="72"/>
      <c r="F349" s="72"/>
      <c r="G349" s="72"/>
      <c r="H349" s="124"/>
    </row>
    <row r="350" spans="1:8">
      <c r="A350" s="177">
        <v>951500279</v>
      </c>
      <c r="B350" s="116" t="str">
        <f t="shared" si="5"/>
        <v>95-951500279</v>
      </c>
      <c r="C350" s="179" t="s">
        <v>5654</v>
      </c>
      <c r="E350" s="72"/>
      <c r="F350" s="72"/>
      <c r="G350" s="72"/>
      <c r="H350" s="124"/>
    </row>
    <row r="351" spans="1:8">
      <c r="A351" s="177">
        <v>951500338</v>
      </c>
      <c r="B351" s="116" t="str">
        <f t="shared" si="5"/>
        <v>95-951500338</v>
      </c>
      <c r="C351" s="179" t="s">
        <v>5659</v>
      </c>
      <c r="E351" s="72"/>
      <c r="F351" s="72"/>
      <c r="G351" s="72"/>
      <c r="H351" s="124"/>
    </row>
    <row r="352" spans="1:8">
      <c r="A352" s="177">
        <v>951500403</v>
      </c>
      <c r="B352" s="116" t="str">
        <f t="shared" si="5"/>
        <v>95-951500403</v>
      </c>
      <c r="C352" s="179" t="s">
        <v>5680</v>
      </c>
      <c r="E352" s="72"/>
      <c r="F352" s="72"/>
      <c r="G352" s="72"/>
      <c r="H352" s="124"/>
    </row>
    <row r="353" spans="1:8">
      <c r="A353" s="177">
        <v>951500408</v>
      </c>
      <c r="B353" s="116" t="str">
        <f t="shared" si="5"/>
        <v>95-951500408</v>
      </c>
      <c r="C353" s="179" t="s">
        <v>5680</v>
      </c>
      <c r="E353" s="72"/>
      <c r="F353" s="72"/>
      <c r="G353" s="72"/>
      <c r="H353" s="124"/>
    </row>
    <row r="354" spans="1:8">
      <c r="A354" s="177">
        <v>951500414</v>
      </c>
      <c r="B354" s="116" t="str">
        <f t="shared" si="5"/>
        <v>95-951500414</v>
      </c>
      <c r="C354" s="179" t="s">
        <v>5689</v>
      </c>
      <c r="E354" s="72"/>
      <c r="F354" s="72"/>
      <c r="G354" s="72"/>
      <c r="H354" s="124"/>
    </row>
    <row r="355" spans="1:8">
      <c r="A355" s="177">
        <v>951500402</v>
      </c>
      <c r="B355" s="116" t="str">
        <f t="shared" si="5"/>
        <v>95-951500402</v>
      </c>
      <c r="C355" s="179" t="s">
        <v>5680</v>
      </c>
      <c r="E355" s="72"/>
      <c r="F355" s="72"/>
      <c r="G355" s="72"/>
      <c r="H355" s="124"/>
    </row>
    <row r="356" spans="1:8">
      <c r="A356" s="177">
        <v>951500413</v>
      </c>
      <c r="B356" s="116" t="str">
        <f t="shared" si="5"/>
        <v>95-951500413</v>
      </c>
      <c r="C356" s="179" t="s">
        <v>5689</v>
      </c>
      <c r="E356" s="72"/>
      <c r="F356" s="72"/>
      <c r="G356" s="72"/>
      <c r="H356" s="124"/>
    </row>
    <row r="357" spans="1:8">
      <c r="A357" s="177">
        <v>951500449</v>
      </c>
      <c r="B357" s="116" t="str">
        <f t="shared" si="5"/>
        <v>95-951500449</v>
      </c>
      <c r="C357" s="179" t="s">
        <v>5694</v>
      </c>
      <c r="E357" s="72"/>
      <c r="F357" s="72"/>
      <c r="G357" s="72"/>
      <c r="H357" s="124"/>
    </row>
    <row r="358" spans="1:8">
      <c r="A358" s="177">
        <v>951500495</v>
      </c>
      <c r="B358" s="116" t="str">
        <f t="shared" si="5"/>
        <v>95-951500495</v>
      </c>
      <c r="C358" s="179" t="s">
        <v>5708</v>
      </c>
      <c r="E358" s="72"/>
      <c r="F358" s="72"/>
      <c r="G358" s="72"/>
      <c r="H358" s="124"/>
    </row>
    <row r="359" spans="1:8">
      <c r="A359" s="177">
        <v>951500507</v>
      </c>
      <c r="B359" s="116" t="str">
        <f t="shared" si="5"/>
        <v>95-951500507</v>
      </c>
      <c r="C359" s="179" t="s">
        <v>5708</v>
      </c>
      <c r="E359" s="72"/>
      <c r="F359" s="72"/>
      <c r="G359" s="72"/>
      <c r="H359" s="124"/>
    </row>
    <row r="360" spans="1:8">
      <c r="A360" s="177">
        <v>951500553</v>
      </c>
      <c r="B360" s="116" t="str">
        <f t="shared" si="5"/>
        <v>95-951500553</v>
      </c>
      <c r="C360" s="179" t="s">
        <v>5726</v>
      </c>
      <c r="E360" s="72"/>
      <c r="F360" s="72"/>
      <c r="G360" s="72"/>
      <c r="H360" s="124"/>
    </row>
    <row r="361" spans="1:8">
      <c r="A361" s="177">
        <v>951500562</v>
      </c>
      <c r="B361" s="116" t="str">
        <f t="shared" si="5"/>
        <v>95-951500562</v>
      </c>
      <c r="C361" s="179" t="s">
        <v>5726</v>
      </c>
      <c r="E361" s="72"/>
      <c r="F361" s="72"/>
      <c r="G361" s="72"/>
      <c r="H361" s="124"/>
    </row>
    <row r="362" spans="1:8">
      <c r="A362" s="177">
        <v>951500600</v>
      </c>
      <c r="B362" s="116" t="str">
        <f t="shared" si="5"/>
        <v>95-951500600</v>
      </c>
      <c r="C362" s="179" t="s">
        <v>5752</v>
      </c>
      <c r="E362" s="72"/>
      <c r="F362" s="72"/>
      <c r="G362" s="72"/>
      <c r="H362" s="124"/>
    </row>
    <row r="363" spans="1:8">
      <c r="A363" s="177">
        <v>961500009</v>
      </c>
      <c r="B363" s="116" t="str">
        <f t="shared" si="5"/>
        <v>96-961500009</v>
      </c>
      <c r="C363" s="179" t="s">
        <v>5752</v>
      </c>
      <c r="E363" s="72"/>
      <c r="F363" s="72"/>
      <c r="G363" s="72"/>
      <c r="H363" s="124"/>
    </row>
    <row r="364" spans="1:8">
      <c r="A364" s="177">
        <v>961500025</v>
      </c>
      <c r="B364" s="116" t="str">
        <f t="shared" si="5"/>
        <v>96-961500025</v>
      </c>
      <c r="C364" s="179" t="s">
        <v>5758</v>
      </c>
      <c r="E364" s="72"/>
      <c r="F364" s="72"/>
      <c r="G364" s="72"/>
      <c r="H364" s="124"/>
    </row>
    <row r="365" spans="1:8">
      <c r="A365" s="177">
        <v>961500052</v>
      </c>
      <c r="B365" s="116" t="str">
        <f t="shared" si="5"/>
        <v>96-961500052</v>
      </c>
      <c r="C365" s="179" t="s">
        <v>5758</v>
      </c>
      <c r="E365" s="72"/>
      <c r="F365" s="72"/>
      <c r="G365" s="72"/>
      <c r="H365" s="124"/>
    </row>
    <row r="366" spans="1:8">
      <c r="A366" s="177">
        <v>961500056</v>
      </c>
      <c r="B366" s="116" t="str">
        <f t="shared" si="5"/>
        <v>96-961500056</v>
      </c>
      <c r="C366" s="179" t="s">
        <v>5758</v>
      </c>
      <c r="E366" s="72"/>
      <c r="F366" s="72"/>
      <c r="G366" s="72"/>
      <c r="H366" s="124"/>
    </row>
    <row r="367" spans="1:8">
      <c r="A367" s="177">
        <v>961500108</v>
      </c>
      <c r="B367" s="116" t="str">
        <f t="shared" si="5"/>
        <v>96-961500108</v>
      </c>
      <c r="C367" s="179" t="s">
        <v>5762</v>
      </c>
      <c r="E367" s="72"/>
      <c r="F367" s="72"/>
      <c r="G367" s="72"/>
      <c r="H367" s="124"/>
    </row>
    <row r="368" spans="1:8">
      <c r="A368" s="177">
        <v>961500114</v>
      </c>
      <c r="B368" s="116" t="str">
        <f t="shared" si="5"/>
        <v>96-961500114</v>
      </c>
      <c r="C368" s="179" t="s">
        <v>5762</v>
      </c>
      <c r="E368" s="72"/>
      <c r="F368" s="72"/>
      <c r="G368" s="72"/>
      <c r="H368" s="124"/>
    </row>
    <row r="369" spans="1:8">
      <c r="A369" s="177">
        <v>961500163</v>
      </c>
      <c r="B369" s="116" t="str">
        <f t="shared" si="5"/>
        <v>96-961500163</v>
      </c>
      <c r="C369" s="179" t="s">
        <v>5810</v>
      </c>
      <c r="E369" s="72"/>
      <c r="F369" s="72"/>
      <c r="G369" s="72"/>
      <c r="H369" s="124"/>
    </row>
    <row r="370" spans="1:8">
      <c r="A370" s="177">
        <v>961500165</v>
      </c>
      <c r="B370" s="116" t="str">
        <f t="shared" si="5"/>
        <v>96-961500165</v>
      </c>
      <c r="C370" s="179" t="s">
        <v>5810</v>
      </c>
      <c r="E370" s="72"/>
      <c r="F370" s="72"/>
      <c r="G370" s="72"/>
      <c r="H370" s="124"/>
    </row>
    <row r="371" spans="1:8">
      <c r="A371" s="177">
        <v>951500180</v>
      </c>
      <c r="B371" s="116" t="str">
        <f t="shared" si="5"/>
        <v>95-951500180</v>
      </c>
      <c r="C371" s="179" t="s">
        <v>5619</v>
      </c>
      <c r="E371" s="72"/>
      <c r="F371" s="72"/>
      <c r="G371" s="72"/>
      <c r="H371" s="124"/>
    </row>
    <row r="372" spans="1:8">
      <c r="A372" s="177">
        <v>951500197</v>
      </c>
      <c r="B372" s="116" t="str">
        <f t="shared" si="5"/>
        <v>95-951500197</v>
      </c>
      <c r="C372" s="179" t="s">
        <v>5619</v>
      </c>
      <c r="E372" s="72"/>
      <c r="F372" s="72"/>
      <c r="G372" s="72"/>
      <c r="H372" s="124"/>
    </row>
    <row r="373" spans="1:8">
      <c r="A373" s="177">
        <v>951500223</v>
      </c>
      <c r="B373" s="116" t="str">
        <f t="shared" si="5"/>
        <v>95-951500223</v>
      </c>
      <c r="C373" s="179" t="s">
        <v>5630</v>
      </c>
      <c r="E373" s="72"/>
      <c r="F373" s="72"/>
      <c r="G373" s="72"/>
      <c r="H373" s="124"/>
    </row>
    <row r="374" spans="1:8">
      <c r="A374" s="177">
        <v>951500247</v>
      </c>
      <c r="B374" s="116" t="str">
        <f t="shared" si="5"/>
        <v>95-951500247</v>
      </c>
      <c r="C374" s="179" t="s">
        <v>5635</v>
      </c>
      <c r="E374" s="72"/>
      <c r="F374" s="72"/>
      <c r="G374" s="72"/>
      <c r="H374" s="124"/>
    </row>
    <row r="375" spans="1:8">
      <c r="A375" s="177">
        <v>951500254</v>
      </c>
      <c r="B375" s="116" t="str">
        <f t="shared" si="5"/>
        <v>95-951500254</v>
      </c>
      <c r="C375" s="179" t="s">
        <v>5635</v>
      </c>
      <c r="E375" s="72"/>
      <c r="F375" s="72"/>
      <c r="G375" s="72"/>
      <c r="H375" s="124"/>
    </row>
    <row r="376" spans="1:8">
      <c r="A376" s="177">
        <v>951500265</v>
      </c>
      <c r="B376" s="116" t="str">
        <f t="shared" si="5"/>
        <v>95-951500265</v>
      </c>
      <c r="C376" s="179" t="s">
        <v>5645</v>
      </c>
      <c r="E376" s="72"/>
      <c r="F376" s="72"/>
      <c r="G376" s="72"/>
      <c r="H376" s="124"/>
    </row>
    <row r="377" spans="1:8">
      <c r="A377" s="177">
        <v>951500273</v>
      </c>
      <c r="B377" s="116" t="str">
        <f t="shared" si="5"/>
        <v>95-951500273</v>
      </c>
      <c r="C377" s="179" t="s">
        <v>5645</v>
      </c>
      <c r="E377" s="72"/>
      <c r="F377" s="72"/>
      <c r="G377" s="72"/>
      <c r="H377" s="124"/>
    </row>
    <row r="378" spans="1:8">
      <c r="A378" s="177">
        <v>951500283</v>
      </c>
      <c r="B378" s="116" t="str">
        <f t="shared" si="5"/>
        <v>95-951500283</v>
      </c>
      <c r="C378" s="179" t="s">
        <v>5654</v>
      </c>
      <c r="E378" s="72"/>
      <c r="F378" s="72"/>
      <c r="G378" s="72"/>
      <c r="H378" s="124"/>
    </row>
    <row r="379" spans="1:8">
      <c r="A379" s="177">
        <v>951500284</v>
      </c>
      <c r="B379" s="116" t="str">
        <f t="shared" si="5"/>
        <v>95-951500284</v>
      </c>
      <c r="C379" s="179" t="s">
        <v>5654</v>
      </c>
      <c r="E379" s="72"/>
      <c r="F379" s="72"/>
      <c r="G379" s="72"/>
      <c r="H379" s="124"/>
    </row>
    <row r="380" spans="1:8">
      <c r="A380" s="177">
        <v>951500306</v>
      </c>
      <c r="B380" s="116" t="str">
        <f t="shared" si="5"/>
        <v>95-951500306</v>
      </c>
      <c r="C380" s="179" t="s">
        <v>5659</v>
      </c>
      <c r="E380" s="72"/>
      <c r="F380" s="72"/>
      <c r="G380" s="72"/>
      <c r="H380" s="124"/>
    </row>
    <row r="381" spans="1:8">
      <c r="A381" s="177">
        <v>951500325</v>
      </c>
      <c r="B381" s="116" t="str">
        <f t="shared" si="5"/>
        <v>95-951500325</v>
      </c>
      <c r="C381" s="179" t="s">
        <v>5659</v>
      </c>
      <c r="E381" s="72"/>
      <c r="F381" s="72"/>
      <c r="G381" s="72"/>
      <c r="H381" s="124"/>
    </row>
    <row r="382" spans="1:8">
      <c r="A382" s="177">
        <v>951500333</v>
      </c>
      <c r="B382" s="116" t="str">
        <f t="shared" si="5"/>
        <v>95-951500333</v>
      </c>
      <c r="C382" s="179" t="s">
        <v>5659</v>
      </c>
      <c r="E382" s="72"/>
      <c r="F382" s="72"/>
      <c r="G382" s="72"/>
      <c r="H382" s="124"/>
    </row>
    <row r="383" spans="1:8">
      <c r="A383" s="177">
        <v>951500350</v>
      </c>
      <c r="B383" s="116" t="str">
        <f t="shared" si="5"/>
        <v>95-951500350</v>
      </c>
      <c r="C383" s="179" t="s">
        <v>5659</v>
      </c>
      <c r="E383" s="72"/>
      <c r="F383" s="72"/>
      <c r="G383" s="72"/>
      <c r="H383" s="124"/>
    </row>
    <row r="384" spans="1:8">
      <c r="A384" s="177">
        <v>951500354</v>
      </c>
      <c r="B384" s="116" t="str">
        <f t="shared" si="5"/>
        <v>95-951500354</v>
      </c>
      <c r="C384" s="179" t="s">
        <v>5658</v>
      </c>
      <c r="E384" s="72"/>
      <c r="F384" s="72"/>
      <c r="G384" s="72"/>
      <c r="H384" s="124"/>
    </row>
    <row r="385" spans="1:8">
      <c r="A385" s="177">
        <v>951500362</v>
      </c>
      <c r="B385" s="116" t="str">
        <f t="shared" si="5"/>
        <v>95-951500362</v>
      </c>
      <c r="C385" s="179" t="s">
        <v>5659</v>
      </c>
      <c r="E385" s="72"/>
      <c r="F385" s="72"/>
      <c r="G385" s="72"/>
      <c r="H385" s="124"/>
    </row>
    <row r="386" spans="1:8">
      <c r="A386" s="177">
        <v>951500380</v>
      </c>
      <c r="B386" s="116" t="str">
        <f t="shared" si="5"/>
        <v>95-951500380</v>
      </c>
      <c r="C386" s="179" t="s">
        <v>5680</v>
      </c>
      <c r="E386" s="72"/>
      <c r="F386" s="72"/>
      <c r="G386" s="72"/>
      <c r="H386" s="124"/>
    </row>
    <row r="387" spans="1:8">
      <c r="A387" s="177">
        <v>951500608</v>
      </c>
      <c r="B387" s="116" t="str">
        <f t="shared" ref="B387:B450" si="6">MID(A387,1,2)&amp;"-"&amp;A387</f>
        <v>95-951500608</v>
      </c>
      <c r="C387" s="179" t="s">
        <v>5766</v>
      </c>
      <c r="E387" s="72"/>
      <c r="F387" s="72"/>
      <c r="G387" s="72"/>
      <c r="H387" s="124"/>
    </row>
    <row r="388" spans="1:8">
      <c r="A388" s="177">
        <v>951500166</v>
      </c>
      <c r="B388" s="116" t="str">
        <f t="shared" si="6"/>
        <v>95-951500166</v>
      </c>
      <c r="C388" s="179" t="s">
        <v>5621</v>
      </c>
      <c r="E388" s="72"/>
      <c r="F388" s="72"/>
      <c r="G388" s="72"/>
      <c r="H388" s="124"/>
    </row>
    <row r="389" spans="1:8">
      <c r="A389" s="177">
        <v>961500179</v>
      </c>
      <c r="B389" s="116" t="str">
        <f t="shared" si="6"/>
        <v>96-961500179</v>
      </c>
      <c r="C389" s="179" t="s">
        <v>5813</v>
      </c>
      <c r="E389" s="72"/>
      <c r="F389" s="72"/>
      <c r="G389" s="72"/>
      <c r="H389" s="124"/>
    </row>
    <row r="390" spans="1:8">
      <c r="A390" s="177">
        <v>961500181</v>
      </c>
      <c r="B390" s="116" t="str">
        <f t="shared" si="6"/>
        <v>96-961500181</v>
      </c>
      <c r="C390" s="179" t="s">
        <v>5815</v>
      </c>
      <c r="E390" s="72"/>
      <c r="F390" s="72"/>
      <c r="G390" s="72"/>
      <c r="H390" s="124"/>
    </row>
    <row r="391" spans="1:8">
      <c r="A391" s="177">
        <v>961500213</v>
      </c>
      <c r="B391" s="116" t="str">
        <f t="shared" si="6"/>
        <v>96-961500213</v>
      </c>
      <c r="C391" s="179" t="s">
        <v>5813</v>
      </c>
      <c r="E391" s="72"/>
      <c r="F391" s="72"/>
      <c r="G391" s="72"/>
      <c r="H391" s="124"/>
    </row>
    <row r="392" spans="1:8">
      <c r="A392" s="177">
        <v>961500222</v>
      </c>
      <c r="B392" s="116" t="str">
        <f t="shared" si="6"/>
        <v>96-961500222</v>
      </c>
      <c r="C392" s="179" t="s">
        <v>5813</v>
      </c>
      <c r="E392" s="72"/>
      <c r="F392" s="72"/>
      <c r="G392" s="72"/>
      <c r="H392" s="124"/>
    </row>
    <row r="393" spans="1:8">
      <c r="A393" s="177">
        <v>961500245</v>
      </c>
      <c r="B393" s="116" t="str">
        <f t="shared" si="6"/>
        <v>96-961500245</v>
      </c>
      <c r="C393" s="179" t="s">
        <v>5814</v>
      </c>
      <c r="E393" s="72"/>
      <c r="F393" s="72"/>
      <c r="G393" s="72"/>
      <c r="H393" s="124"/>
    </row>
    <row r="394" spans="1:8">
      <c r="A394" s="177">
        <v>961500251</v>
      </c>
      <c r="B394" s="116" t="str">
        <f t="shared" si="6"/>
        <v>96-961500251</v>
      </c>
      <c r="C394" s="179" t="s">
        <v>5814</v>
      </c>
      <c r="E394" s="72"/>
      <c r="F394" s="72"/>
      <c r="G394" s="72"/>
      <c r="H394" s="124"/>
    </row>
    <row r="395" spans="1:8">
      <c r="A395" s="177">
        <v>961500257</v>
      </c>
      <c r="B395" s="116" t="str">
        <f t="shared" si="6"/>
        <v>96-961500257</v>
      </c>
      <c r="C395" s="179" t="s">
        <v>5826</v>
      </c>
      <c r="E395" s="72"/>
      <c r="F395" s="72"/>
      <c r="G395" s="72"/>
      <c r="H395" s="124"/>
    </row>
    <row r="396" spans="1:8">
      <c r="A396" s="177">
        <v>961500259</v>
      </c>
      <c r="B396" s="116" t="str">
        <f t="shared" si="6"/>
        <v>96-961500259</v>
      </c>
      <c r="C396" s="179" t="s">
        <v>5814</v>
      </c>
      <c r="E396" s="72"/>
      <c r="F396" s="72"/>
      <c r="G396" s="72"/>
      <c r="H396" s="124"/>
    </row>
    <row r="397" spans="1:8">
      <c r="A397" s="177">
        <v>961500260</v>
      </c>
      <c r="B397" s="116" t="str">
        <f t="shared" si="6"/>
        <v>96-961500260</v>
      </c>
      <c r="C397" s="179" t="s">
        <v>5826</v>
      </c>
      <c r="E397" s="72"/>
      <c r="F397" s="72"/>
      <c r="G397" s="72"/>
      <c r="H397" s="124"/>
    </row>
    <row r="398" spans="1:8">
      <c r="A398" s="177">
        <v>961500305</v>
      </c>
      <c r="B398" s="116" t="str">
        <f t="shared" si="6"/>
        <v>96-961500305</v>
      </c>
      <c r="C398" s="179" t="s">
        <v>5826</v>
      </c>
      <c r="E398" s="72"/>
      <c r="F398" s="72"/>
      <c r="G398" s="72"/>
      <c r="H398" s="124"/>
    </row>
    <row r="399" spans="1:8">
      <c r="A399" s="177">
        <v>961500324</v>
      </c>
      <c r="B399" s="116" t="str">
        <f t="shared" si="6"/>
        <v>96-961500324</v>
      </c>
      <c r="C399" s="179" t="s">
        <v>5831</v>
      </c>
      <c r="E399" s="72"/>
      <c r="F399" s="72"/>
      <c r="G399" s="72"/>
      <c r="H399" s="124"/>
    </row>
    <row r="400" spans="1:8">
      <c r="A400" s="177">
        <v>961500349</v>
      </c>
      <c r="B400" s="116" t="str">
        <f t="shared" si="6"/>
        <v>96-961500349</v>
      </c>
      <c r="C400" s="179" t="s">
        <v>5831</v>
      </c>
      <c r="E400" s="72"/>
      <c r="F400" s="72"/>
      <c r="G400" s="72"/>
      <c r="H400" s="124"/>
    </row>
    <row r="401" spans="1:8">
      <c r="A401" s="177">
        <v>961500378</v>
      </c>
      <c r="B401" s="116" t="str">
        <f t="shared" si="6"/>
        <v>96-961500378</v>
      </c>
      <c r="C401" s="179" t="s">
        <v>7231</v>
      </c>
      <c r="E401" s="72"/>
      <c r="F401" s="72"/>
      <c r="G401" s="72"/>
      <c r="H401" s="124"/>
    </row>
    <row r="402" spans="1:8">
      <c r="A402" s="177">
        <v>961500388</v>
      </c>
      <c r="B402" s="116" t="str">
        <f t="shared" si="6"/>
        <v>96-961500388</v>
      </c>
      <c r="C402" s="179" t="s">
        <v>7231</v>
      </c>
      <c r="E402" s="72"/>
      <c r="F402" s="72"/>
      <c r="G402" s="72"/>
      <c r="H402" s="124"/>
    </row>
    <row r="403" spans="1:8">
      <c r="A403" s="177">
        <v>961500396</v>
      </c>
      <c r="B403" s="116" t="str">
        <f t="shared" si="6"/>
        <v>96-961500396</v>
      </c>
      <c r="C403" s="179" t="s">
        <v>7231</v>
      </c>
      <c r="E403" s="72"/>
      <c r="F403" s="72"/>
      <c r="G403" s="72"/>
      <c r="H403" s="124"/>
    </row>
    <row r="404" spans="1:8">
      <c r="A404" s="177">
        <v>961500458</v>
      </c>
      <c r="B404" s="116" t="str">
        <f t="shared" si="6"/>
        <v>96-961500458</v>
      </c>
      <c r="C404" s="179" t="s">
        <v>7175</v>
      </c>
      <c r="E404" s="72"/>
      <c r="F404" s="72"/>
      <c r="G404" s="72"/>
      <c r="H404" s="124"/>
    </row>
    <row r="405" spans="1:8">
      <c r="A405" s="177">
        <v>961500463</v>
      </c>
      <c r="B405" s="116" t="str">
        <f t="shared" si="6"/>
        <v>96-961500463</v>
      </c>
      <c r="C405" s="179" t="s">
        <v>7175</v>
      </c>
      <c r="E405" s="72"/>
      <c r="F405" s="72"/>
      <c r="G405" s="72"/>
      <c r="H405" s="124"/>
    </row>
    <row r="406" spans="1:8">
      <c r="A406" s="177">
        <v>951500418</v>
      </c>
      <c r="B406" s="116" t="str">
        <f t="shared" si="6"/>
        <v>95-951500418</v>
      </c>
      <c r="C406" s="179" t="s">
        <v>5680</v>
      </c>
      <c r="E406" s="72"/>
      <c r="F406" s="72"/>
      <c r="G406" s="72"/>
      <c r="H406" s="124"/>
    </row>
    <row r="407" spans="1:8">
      <c r="A407" s="177">
        <v>951500429</v>
      </c>
      <c r="B407" s="116" t="str">
        <f t="shared" si="6"/>
        <v>95-951500429</v>
      </c>
      <c r="C407" s="179" t="s">
        <v>5694</v>
      </c>
      <c r="E407" s="72"/>
      <c r="F407" s="72"/>
      <c r="G407" s="72"/>
      <c r="H407" s="124"/>
    </row>
    <row r="408" spans="1:8">
      <c r="A408" s="177">
        <v>951500468</v>
      </c>
      <c r="B408" s="116" t="str">
        <f t="shared" si="6"/>
        <v>95-951500468</v>
      </c>
      <c r="C408" s="179" t="s">
        <v>5694</v>
      </c>
      <c r="E408" s="72"/>
      <c r="F408" s="72"/>
      <c r="G408" s="72"/>
      <c r="H408" s="124"/>
    </row>
    <row r="409" spans="1:8">
      <c r="A409" s="177">
        <v>951500480</v>
      </c>
      <c r="B409" s="116" t="str">
        <f t="shared" si="6"/>
        <v>95-951500480</v>
      </c>
      <c r="C409" s="179" t="s">
        <v>5708</v>
      </c>
      <c r="E409" s="72"/>
      <c r="F409" s="72"/>
      <c r="G409" s="72"/>
      <c r="H409" s="124"/>
    </row>
    <row r="410" spans="1:8">
      <c r="A410" s="177">
        <v>951500535</v>
      </c>
      <c r="B410" s="116" t="str">
        <f t="shared" si="6"/>
        <v>95-951500535</v>
      </c>
      <c r="C410" s="179" t="s">
        <v>5726</v>
      </c>
      <c r="E410" s="72"/>
      <c r="F410" s="72"/>
      <c r="G410" s="72"/>
      <c r="H410" s="124"/>
    </row>
    <row r="411" spans="1:8">
      <c r="A411" s="177">
        <v>961500067</v>
      </c>
      <c r="B411" s="116" t="str">
        <f t="shared" si="6"/>
        <v>96-961500067</v>
      </c>
      <c r="C411" s="179" t="s">
        <v>5758</v>
      </c>
      <c r="E411" s="72"/>
      <c r="F411" s="72"/>
      <c r="G411" s="72"/>
      <c r="H411" s="124"/>
    </row>
    <row r="412" spans="1:8">
      <c r="A412" s="177">
        <v>961500075</v>
      </c>
      <c r="B412" s="116" t="str">
        <f t="shared" si="6"/>
        <v>96-961500075</v>
      </c>
      <c r="C412" s="179" t="s">
        <v>5762</v>
      </c>
      <c r="E412" s="72"/>
      <c r="F412" s="72"/>
      <c r="G412" s="72"/>
      <c r="H412" s="124"/>
    </row>
    <row r="413" spans="1:8">
      <c r="A413" s="177">
        <v>961500076</v>
      </c>
      <c r="B413" s="116" t="str">
        <f t="shared" si="6"/>
        <v>96-961500076</v>
      </c>
      <c r="C413" s="179" t="s">
        <v>5762</v>
      </c>
      <c r="E413" s="72"/>
      <c r="F413" s="72"/>
      <c r="G413" s="72"/>
      <c r="H413" s="124"/>
    </row>
    <row r="414" spans="1:8">
      <c r="A414" s="177">
        <v>961500078</v>
      </c>
      <c r="B414" s="116" t="str">
        <f t="shared" si="6"/>
        <v>96-961500078</v>
      </c>
      <c r="C414" s="179" t="s">
        <v>5762</v>
      </c>
      <c r="E414" s="72"/>
      <c r="F414" s="72"/>
      <c r="G414" s="72"/>
      <c r="H414" s="124"/>
    </row>
    <row r="415" spans="1:8">
      <c r="A415" s="177">
        <v>961500089</v>
      </c>
      <c r="B415" s="116" t="str">
        <f t="shared" si="6"/>
        <v>96-961500089</v>
      </c>
      <c r="C415" s="179" t="s">
        <v>5762</v>
      </c>
      <c r="E415" s="72"/>
      <c r="F415" s="72"/>
      <c r="G415" s="72"/>
      <c r="H415" s="124"/>
    </row>
    <row r="416" spans="1:8">
      <c r="A416" s="177">
        <v>961500123</v>
      </c>
      <c r="B416" s="116" t="str">
        <f t="shared" si="6"/>
        <v>96-961500123</v>
      </c>
      <c r="C416" s="179" t="s">
        <v>5799</v>
      </c>
      <c r="E416" s="72"/>
      <c r="F416" s="72"/>
      <c r="G416" s="72"/>
      <c r="H416" s="124"/>
    </row>
    <row r="417" spans="1:8">
      <c r="A417" s="177">
        <v>961500131</v>
      </c>
      <c r="B417" s="116" t="str">
        <f t="shared" si="6"/>
        <v>96-961500131</v>
      </c>
      <c r="C417" s="179" t="s">
        <v>5799</v>
      </c>
      <c r="E417" s="72"/>
      <c r="F417" s="72"/>
      <c r="G417" s="72"/>
      <c r="H417" s="124"/>
    </row>
    <row r="418" spans="1:8">
      <c r="A418" s="177">
        <v>961500136</v>
      </c>
      <c r="B418" s="116" t="str">
        <f t="shared" si="6"/>
        <v>96-961500136</v>
      </c>
      <c r="C418" s="179" t="s">
        <v>5799</v>
      </c>
      <c r="E418" s="72"/>
      <c r="F418" s="72"/>
      <c r="G418" s="72"/>
      <c r="H418" s="124"/>
    </row>
    <row r="419" spans="1:8">
      <c r="A419" s="177">
        <v>961500146</v>
      </c>
      <c r="B419" s="116" t="str">
        <f t="shared" si="6"/>
        <v>96-961500146</v>
      </c>
      <c r="C419" s="179" t="s">
        <v>5799</v>
      </c>
      <c r="E419" s="72"/>
      <c r="F419" s="72"/>
      <c r="G419" s="72"/>
      <c r="H419" s="124"/>
    </row>
    <row r="420" spans="1:8">
      <c r="A420" s="177">
        <v>961500147</v>
      </c>
      <c r="B420" s="116" t="str">
        <f t="shared" si="6"/>
        <v>96-961500147</v>
      </c>
      <c r="C420" s="179" t="s">
        <v>5799</v>
      </c>
      <c r="E420" s="72"/>
      <c r="F420" s="72"/>
      <c r="G420" s="72"/>
      <c r="H420" s="124"/>
    </row>
    <row r="421" spans="1:8">
      <c r="A421" s="177">
        <v>961500153</v>
      </c>
      <c r="B421" s="116" t="str">
        <f t="shared" si="6"/>
        <v>96-961500153</v>
      </c>
      <c r="C421" s="179" t="s">
        <v>5799</v>
      </c>
      <c r="E421" s="72"/>
      <c r="F421" s="72"/>
      <c r="G421" s="72"/>
      <c r="H421" s="124"/>
    </row>
    <row r="422" spans="1:8">
      <c r="A422" s="177">
        <v>961500157</v>
      </c>
      <c r="B422" s="116" t="str">
        <f t="shared" si="6"/>
        <v>96-961500157</v>
      </c>
      <c r="C422" s="179" t="s">
        <v>5810</v>
      </c>
      <c r="E422" s="72"/>
      <c r="F422" s="72"/>
      <c r="G422" s="72"/>
      <c r="H422" s="124"/>
    </row>
    <row r="423" spans="1:8">
      <c r="A423" s="177">
        <v>951500381</v>
      </c>
      <c r="B423" s="116" t="str">
        <f t="shared" si="6"/>
        <v>95-951500381</v>
      </c>
      <c r="C423" s="179" t="s">
        <v>5680</v>
      </c>
      <c r="E423" s="72"/>
      <c r="F423" s="72"/>
      <c r="G423" s="72"/>
      <c r="H423" s="124"/>
    </row>
    <row r="424" spans="1:8">
      <c r="A424" s="177">
        <v>951500406</v>
      </c>
      <c r="B424" s="116" t="str">
        <f t="shared" si="6"/>
        <v>95-951500406</v>
      </c>
      <c r="C424" s="179" t="s">
        <v>5680</v>
      </c>
      <c r="E424" s="72"/>
      <c r="F424" s="72"/>
      <c r="G424" s="72"/>
      <c r="H424" s="124"/>
    </row>
    <row r="425" spans="1:8">
      <c r="A425" s="177">
        <v>951500451</v>
      </c>
      <c r="B425" s="116" t="str">
        <f t="shared" si="6"/>
        <v>95-951500451</v>
      </c>
      <c r="C425" s="179" t="s">
        <v>5694</v>
      </c>
      <c r="E425" s="72"/>
      <c r="F425" s="72"/>
      <c r="G425" s="72"/>
      <c r="H425" s="124"/>
    </row>
    <row r="426" spans="1:8">
      <c r="A426" s="177">
        <v>951500486</v>
      </c>
      <c r="B426" s="116" t="str">
        <f t="shared" si="6"/>
        <v>95-951500486</v>
      </c>
      <c r="C426" s="179" t="s">
        <v>5708</v>
      </c>
      <c r="E426" s="72"/>
      <c r="F426" s="72"/>
      <c r="G426" s="72"/>
      <c r="H426" s="124"/>
    </row>
    <row r="427" spans="1:8">
      <c r="A427" s="177">
        <v>951500496</v>
      </c>
      <c r="B427" s="116" t="str">
        <f t="shared" si="6"/>
        <v>95-951500496</v>
      </c>
      <c r="C427" s="179" t="s">
        <v>5708</v>
      </c>
      <c r="E427" s="72"/>
      <c r="F427" s="72"/>
      <c r="G427" s="72"/>
      <c r="H427" s="124"/>
    </row>
    <row r="428" spans="1:8">
      <c r="A428" s="177">
        <v>951500577</v>
      </c>
      <c r="B428" s="116" t="str">
        <f t="shared" si="6"/>
        <v>95-951500577</v>
      </c>
      <c r="C428" s="179" t="s">
        <v>5733</v>
      </c>
      <c r="E428" s="72"/>
      <c r="F428" s="72"/>
      <c r="G428" s="72"/>
      <c r="H428" s="124"/>
    </row>
    <row r="429" spans="1:8">
      <c r="A429" s="177">
        <v>951500595</v>
      </c>
      <c r="B429" s="116" t="str">
        <f t="shared" si="6"/>
        <v>95-951500595</v>
      </c>
      <c r="C429" s="179" t="s">
        <v>5762</v>
      </c>
      <c r="E429" s="72"/>
      <c r="F429" s="72"/>
      <c r="G429" s="72"/>
      <c r="H429" s="124"/>
    </row>
    <row r="430" spans="1:8">
      <c r="A430" s="177">
        <v>951500597</v>
      </c>
      <c r="B430" s="116" t="str">
        <f t="shared" si="6"/>
        <v>95-951500597</v>
      </c>
      <c r="C430" s="179" t="s">
        <v>5752</v>
      </c>
      <c r="E430" s="72"/>
      <c r="F430" s="72"/>
      <c r="G430" s="72"/>
      <c r="H430" s="124"/>
    </row>
    <row r="431" spans="1:8">
      <c r="A431" s="177">
        <v>961500003</v>
      </c>
      <c r="B431" s="116" t="str">
        <f t="shared" si="6"/>
        <v>96-961500003</v>
      </c>
      <c r="C431" s="179" t="s">
        <v>5752</v>
      </c>
      <c r="E431" s="72"/>
      <c r="F431" s="72"/>
      <c r="G431" s="72"/>
      <c r="H431" s="124"/>
    </row>
    <row r="432" spans="1:8">
      <c r="A432" s="177">
        <v>961500020</v>
      </c>
      <c r="B432" s="116" t="str">
        <f t="shared" si="6"/>
        <v>96-961500020</v>
      </c>
      <c r="C432" s="179" t="s">
        <v>5758</v>
      </c>
      <c r="E432" s="72"/>
      <c r="F432" s="72"/>
      <c r="G432" s="72"/>
      <c r="H432" s="124"/>
    </row>
    <row r="433" spans="1:8">
      <c r="A433" s="177">
        <v>961500054</v>
      </c>
      <c r="B433" s="116" t="str">
        <f t="shared" si="6"/>
        <v>96-961500054</v>
      </c>
      <c r="C433" s="179" t="s">
        <v>5758</v>
      </c>
      <c r="E433" s="72"/>
      <c r="F433" s="72"/>
      <c r="G433" s="72"/>
      <c r="H433" s="124"/>
    </row>
    <row r="434" spans="1:8">
      <c r="A434" s="177">
        <v>961500068</v>
      </c>
      <c r="B434" s="116" t="str">
        <f t="shared" si="6"/>
        <v>96-961500068</v>
      </c>
      <c r="C434" s="179" t="s">
        <v>5758</v>
      </c>
      <c r="E434" s="72"/>
      <c r="F434" s="72"/>
      <c r="G434" s="72"/>
      <c r="H434" s="124"/>
    </row>
    <row r="435" spans="1:8">
      <c r="A435" s="177">
        <v>961500107</v>
      </c>
      <c r="B435" s="116" t="str">
        <f t="shared" si="6"/>
        <v>96-961500107</v>
      </c>
      <c r="C435" s="179" t="s">
        <v>5762</v>
      </c>
      <c r="E435" s="72"/>
      <c r="F435" s="72"/>
      <c r="G435" s="72"/>
      <c r="H435" s="124"/>
    </row>
    <row r="436" spans="1:8">
      <c r="A436" s="177">
        <v>961500118</v>
      </c>
      <c r="B436" s="116" t="str">
        <f t="shared" si="6"/>
        <v>96-961500118</v>
      </c>
      <c r="C436" s="179" t="s">
        <v>5762</v>
      </c>
      <c r="E436" s="72"/>
      <c r="F436" s="72"/>
      <c r="G436" s="72"/>
      <c r="H436" s="124"/>
    </row>
    <row r="437" spans="1:8">
      <c r="A437" s="177">
        <v>961500172</v>
      </c>
      <c r="B437" s="116" t="str">
        <f t="shared" si="6"/>
        <v>96-961500172</v>
      </c>
      <c r="C437" s="179" t="s">
        <v>5810</v>
      </c>
      <c r="E437" s="72"/>
      <c r="F437" s="72"/>
      <c r="G437" s="72"/>
      <c r="H437" s="124"/>
    </row>
    <row r="438" spans="1:8">
      <c r="A438" s="177">
        <v>961500178</v>
      </c>
      <c r="B438" s="116" t="str">
        <f t="shared" si="6"/>
        <v>96-961500178</v>
      </c>
      <c r="C438" s="179" t="s">
        <v>5810</v>
      </c>
      <c r="E438" s="72"/>
      <c r="F438" s="72"/>
      <c r="G438" s="72"/>
      <c r="H438" s="124"/>
    </row>
    <row r="439" spans="1:8">
      <c r="A439" s="177">
        <v>961500188</v>
      </c>
      <c r="B439" s="116" t="str">
        <f t="shared" si="6"/>
        <v>96-961500188</v>
      </c>
      <c r="C439" s="179" t="s">
        <v>5813</v>
      </c>
      <c r="E439" s="72"/>
      <c r="F439" s="72"/>
      <c r="G439" s="72"/>
      <c r="H439" s="124"/>
    </row>
    <row r="440" spans="1:8">
      <c r="A440" s="177">
        <v>951500015</v>
      </c>
      <c r="B440" s="116" t="str">
        <f t="shared" si="6"/>
        <v>95-951500015</v>
      </c>
      <c r="C440" s="179" t="s">
        <v>5605</v>
      </c>
      <c r="E440" s="72"/>
      <c r="F440" s="72"/>
      <c r="G440" s="72"/>
      <c r="H440" s="124"/>
    </row>
    <row r="441" spans="1:8">
      <c r="A441" s="177">
        <v>951500017</v>
      </c>
      <c r="B441" s="116" t="str">
        <f t="shared" si="6"/>
        <v>95-951500017</v>
      </c>
      <c r="C441" s="179" t="s">
        <v>5605</v>
      </c>
      <c r="E441" s="72"/>
      <c r="F441" s="72"/>
      <c r="G441" s="72"/>
      <c r="H441" s="124"/>
    </row>
    <row r="442" spans="1:8">
      <c r="A442" s="177">
        <v>951500035</v>
      </c>
      <c r="B442" s="116" t="str">
        <f t="shared" si="6"/>
        <v>95-951500035</v>
      </c>
      <c r="C442" s="179" t="s">
        <v>5613</v>
      </c>
      <c r="E442" s="72"/>
      <c r="F442" s="72"/>
      <c r="G442" s="72"/>
      <c r="H442" s="124"/>
    </row>
    <row r="443" spans="1:8">
      <c r="A443" s="177">
        <v>951500201</v>
      </c>
      <c r="B443" s="116" t="str">
        <f t="shared" si="6"/>
        <v>95-951500201</v>
      </c>
      <c r="C443" s="179" t="s">
        <v>5618</v>
      </c>
      <c r="E443" s="72"/>
      <c r="F443" s="72"/>
      <c r="G443" s="72"/>
      <c r="H443" s="124"/>
    </row>
    <row r="444" spans="1:8">
      <c r="A444" s="177">
        <v>951500029</v>
      </c>
      <c r="B444" s="116" t="str">
        <f t="shared" si="6"/>
        <v>95-951500029</v>
      </c>
      <c r="C444" s="179" t="s">
        <v>5612</v>
      </c>
      <c r="E444" s="72"/>
      <c r="F444" s="72"/>
      <c r="G444" s="72"/>
      <c r="H444" s="124"/>
    </row>
    <row r="445" spans="1:8">
      <c r="A445" s="177">
        <v>951500048</v>
      </c>
      <c r="B445" s="116" t="str">
        <f t="shared" si="6"/>
        <v>95-951500048</v>
      </c>
      <c r="C445" s="179" t="s">
        <v>5612</v>
      </c>
      <c r="E445" s="72"/>
      <c r="F445" s="72"/>
      <c r="G445" s="72"/>
      <c r="H445" s="124"/>
    </row>
    <row r="446" spans="1:8">
      <c r="A446" s="177">
        <v>951500052</v>
      </c>
      <c r="B446" s="116" t="str">
        <f t="shared" si="6"/>
        <v>95-951500052</v>
      </c>
      <c r="C446" s="179" t="s">
        <v>5612</v>
      </c>
      <c r="E446" s="72"/>
      <c r="F446" s="72"/>
      <c r="G446" s="72"/>
      <c r="H446" s="124"/>
    </row>
    <row r="447" spans="1:8">
      <c r="A447" s="177">
        <v>961500488</v>
      </c>
      <c r="B447" s="116" t="str">
        <f t="shared" si="6"/>
        <v>96-961500488</v>
      </c>
      <c r="C447" s="179" t="s">
        <v>7111</v>
      </c>
      <c r="E447" s="72"/>
      <c r="F447" s="72"/>
      <c r="G447" s="72"/>
      <c r="H447" s="124"/>
    </row>
    <row r="448" spans="1:8">
      <c r="A448" s="177">
        <v>961500530</v>
      </c>
      <c r="B448" s="116" t="str">
        <f t="shared" si="6"/>
        <v>96-961500530</v>
      </c>
      <c r="C448" s="179" t="s">
        <v>7175</v>
      </c>
      <c r="E448" s="72"/>
      <c r="F448" s="72"/>
      <c r="G448" s="72"/>
      <c r="H448" s="124"/>
    </row>
    <row r="449" spans="1:8">
      <c r="A449" s="177">
        <v>961500535</v>
      </c>
      <c r="B449" s="116" t="str">
        <f t="shared" si="6"/>
        <v>96-961500535</v>
      </c>
      <c r="C449" s="179" t="s">
        <v>7175</v>
      </c>
      <c r="E449" s="72"/>
      <c r="F449" s="72"/>
      <c r="G449" s="72"/>
      <c r="H449" s="124"/>
    </row>
    <row r="450" spans="1:8">
      <c r="A450" s="177">
        <v>961500579</v>
      </c>
      <c r="B450" s="116" t="str">
        <f t="shared" si="6"/>
        <v>96-961500579</v>
      </c>
      <c r="C450" s="179" t="s">
        <v>8698</v>
      </c>
      <c r="E450" s="72"/>
      <c r="F450" s="72"/>
      <c r="G450" s="72"/>
      <c r="H450" s="124"/>
    </row>
    <row r="451" spans="1:8">
      <c r="A451" s="177">
        <v>961500612</v>
      </c>
      <c r="B451" s="116" t="str">
        <f t="shared" ref="B451:B514" si="7">MID(A451,1,2)&amp;"-"&amp;A451</f>
        <v>96-961500612</v>
      </c>
      <c r="C451" s="179" t="s">
        <v>8698</v>
      </c>
      <c r="E451" s="72"/>
      <c r="F451" s="72"/>
      <c r="G451" s="72"/>
      <c r="H451" s="124"/>
    </row>
    <row r="452" spans="1:8">
      <c r="A452" s="177">
        <v>961500653</v>
      </c>
      <c r="B452" s="116" t="str">
        <f t="shared" si="7"/>
        <v>96-961500653</v>
      </c>
      <c r="C452" s="179" t="s">
        <v>8698</v>
      </c>
      <c r="E452" s="72"/>
      <c r="F452" s="72"/>
      <c r="G452" s="72"/>
      <c r="H452" s="124"/>
    </row>
    <row r="453" spans="1:8">
      <c r="A453" s="177">
        <v>961500663</v>
      </c>
      <c r="B453" s="116" t="str">
        <f t="shared" si="7"/>
        <v>96-961500663</v>
      </c>
      <c r="C453" s="179" t="s">
        <v>9769</v>
      </c>
      <c r="E453" s="72"/>
      <c r="F453" s="72"/>
      <c r="G453" s="72"/>
      <c r="H453" s="124"/>
    </row>
    <row r="454" spans="1:8">
      <c r="A454" s="177">
        <v>961500676</v>
      </c>
      <c r="B454" s="116" t="str">
        <f t="shared" si="7"/>
        <v>96-961500676</v>
      </c>
      <c r="C454" s="179" t="s">
        <v>9769</v>
      </c>
      <c r="E454" s="72"/>
      <c r="F454" s="72"/>
      <c r="G454" s="72"/>
      <c r="H454" s="124"/>
    </row>
    <row r="455" spans="1:8">
      <c r="A455" s="177">
        <v>961500702</v>
      </c>
      <c r="B455" s="116" t="str">
        <f t="shared" si="7"/>
        <v>96-961500702</v>
      </c>
      <c r="C455" s="179" t="s">
        <v>9783</v>
      </c>
      <c r="E455" s="72"/>
      <c r="F455" s="72"/>
      <c r="G455" s="72"/>
      <c r="H455" s="124"/>
    </row>
    <row r="456" spans="1:8">
      <c r="A456" s="177">
        <v>961500761</v>
      </c>
      <c r="B456" s="116" t="str">
        <f t="shared" si="7"/>
        <v>96-961500761</v>
      </c>
      <c r="C456" s="179" t="s">
        <v>9763</v>
      </c>
      <c r="E456" s="72"/>
      <c r="F456" s="72"/>
      <c r="G456" s="72"/>
      <c r="H456" s="124"/>
    </row>
    <row r="457" spans="1:8">
      <c r="A457" s="177">
        <v>961500782</v>
      </c>
      <c r="B457" s="116" t="str">
        <f t="shared" si="7"/>
        <v>96-961500782</v>
      </c>
      <c r="C457" s="179" t="s">
        <v>9763</v>
      </c>
      <c r="E457" s="72"/>
      <c r="F457" s="72"/>
      <c r="G457" s="72"/>
      <c r="H457" s="124"/>
    </row>
    <row r="458" spans="1:8">
      <c r="A458" s="177">
        <v>961500161</v>
      </c>
      <c r="B458" s="116" t="str">
        <f t="shared" si="7"/>
        <v>96-961500161</v>
      </c>
      <c r="C458" s="179" t="s">
        <v>5810</v>
      </c>
      <c r="E458" s="72"/>
      <c r="F458" s="72"/>
      <c r="G458" s="72"/>
      <c r="H458" s="124"/>
    </row>
    <row r="459" spans="1:8">
      <c r="A459" s="177">
        <v>961500190</v>
      </c>
      <c r="B459" s="116" t="str">
        <f t="shared" si="7"/>
        <v>96-961500190</v>
      </c>
      <c r="C459" s="179" t="s">
        <v>5813</v>
      </c>
      <c r="E459" s="72"/>
      <c r="F459" s="72"/>
      <c r="G459" s="72"/>
      <c r="H459" s="124"/>
    </row>
    <row r="460" spans="1:8">
      <c r="A460" s="177">
        <v>961500199</v>
      </c>
      <c r="B460" s="116" t="str">
        <f t="shared" si="7"/>
        <v>96-961500199</v>
      </c>
      <c r="C460" s="179" t="s">
        <v>5815</v>
      </c>
      <c r="E460" s="72"/>
      <c r="F460" s="72"/>
      <c r="G460" s="72"/>
      <c r="H460" s="124"/>
    </row>
    <row r="461" spans="1:8">
      <c r="A461" s="177">
        <v>961500202</v>
      </c>
      <c r="B461" s="116" t="str">
        <f t="shared" si="7"/>
        <v>96-961500202</v>
      </c>
      <c r="C461" s="179" t="s">
        <v>5815</v>
      </c>
      <c r="E461" s="72"/>
      <c r="F461" s="72"/>
      <c r="G461" s="72"/>
      <c r="H461" s="124"/>
    </row>
    <row r="462" spans="1:8">
      <c r="A462" s="177">
        <v>961500214</v>
      </c>
      <c r="B462" s="116" t="str">
        <f t="shared" si="7"/>
        <v>96-961500214</v>
      </c>
      <c r="C462" s="179" t="s">
        <v>5813</v>
      </c>
      <c r="E462" s="72"/>
      <c r="F462" s="72"/>
      <c r="G462" s="72"/>
      <c r="H462" s="124"/>
    </row>
    <row r="463" spans="1:8">
      <c r="A463" s="177">
        <v>961500216</v>
      </c>
      <c r="B463" s="116" t="str">
        <f t="shared" si="7"/>
        <v>96-961500216</v>
      </c>
      <c r="C463" s="179" t="s">
        <v>5813</v>
      </c>
      <c r="E463" s="72"/>
      <c r="F463" s="72"/>
      <c r="G463" s="72"/>
      <c r="H463" s="124"/>
    </row>
    <row r="464" spans="1:8">
      <c r="A464" s="177">
        <v>961500246</v>
      </c>
      <c r="B464" s="116" t="str">
        <f t="shared" si="7"/>
        <v>96-961500246</v>
      </c>
      <c r="C464" s="179" t="s">
        <v>5814</v>
      </c>
      <c r="E464" s="72"/>
      <c r="F464" s="72"/>
      <c r="G464" s="72"/>
      <c r="H464" s="124"/>
    </row>
    <row r="465" spans="1:8">
      <c r="A465" s="177">
        <v>961500253</v>
      </c>
      <c r="B465" s="116" t="str">
        <f t="shared" si="7"/>
        <v>96-961500253</v>
      </c>
      <c r="C465" s="179" t="s">
        <v>5814</v>
      </c>
      <c r="E465" s="72"/>
      <c r="F465" s="72"/>
      <c r="G465" s="72"/>
      <c r="H465" s="124"/>
    </row>
    <row r="466" spans="1:8">
      <c r="A466" s="177">
        <v>961500280</v>
      </c>
      <c r="B466" s="116" t="str">
        <f t="shared" si="7"/>
        <v>96-961500280</v>
      </c>
      <c r="C466" s="179" t="s">
        <v>5826</v>
      </c>
      <c r="E466" s="72"/>
      <c r="F466" s="72"/>
      <c r="G466" s="72"/>
      <c r="H466" s="124"/>
    </row>
    <row r="467" spans="1:8">
      <c r="A467" s="177">
        <v>961500284</v>
      </c>
      <c r="B467" s="116" t="str">
        <f t="shared" si="7"/>
        <v>96-961500284</v>
      </c>
      <c r="C467" s="179" t="s">
        <v>5826</v>
      </c>
      <c r="E467" s="72"/>
      <c r="F467" s="72"/>
      <c r="G467" s="72"/>
      <c r="H467" s="124"/>
    </row>
    <row r="468" spans="1:8">
      <c r="A468" s="177">
        <v>961500289</v>
      </c>
      <c r="B468" s="116" t="str">
        <f t="shared" si="7"/>
        <v>96-961500289</v>
      </c>
      <c r="C468" s="179" t="s">
        <v>5826</v>
      </c>
      <c r="E468" s="72"/>
      <c r="F468" s="72"/>
      <c r="G468" s="72"/>
      <c r="H468" s="124"/>
    </row>
    <row r="469" spans="1:8">
      <c r="A469" s="177">
        <v>961500307</v>
      </c>
      <c r="B469" s="116" t="str">
        <f t="shared" si="7"/>
        <v>96-961500307</v>
      </c>
      <c r="C469" s="179" t="s">
        <v>5826</v>
      </c>
      <c r="E469" s="72"/>
      <c r="F469" s="72"/>
      <c r="G469" s="72"/>
      <c r="H469" s="124"/>
    </row>
    <row r="470" spans="1:8">
      <c r="A470" s="177">
        <v>961500312</v>
      </c>
      <c r="B470" s="116" t="str">
        <f t="shared" si="7"/>
        <v>96-961500312</v>
      </c>
      <c r="C470" s="179" t="s">
        <v>5826</v>
      </c>
      <c r="E470" s="72"/>
      <c r="F470" s="72"/>
      <c r="G470" s="72"/>
      <c r="H470" s="124"/>
    </row>
    <row r="471" spans="1:8">
      <c r="A471" s="177">
        <v>961500319</v>
      </c>
      <c r="B471" s="116" t="str">
        <f t="shared" si="7"/>
        <v>96-961500319</v>
      </c>
      <c r="C471" s="179" t="s">
        <v>5831</v>
      </c>
      <c r="E471" s="72"/>
      <c r="F471" s="72"/>
      <c r="G471" s="72"/>
      <c r="H471" s="124"/>
    </row>
    <row r="472" spans="1:8">
      <c r="A472" s="177">
        <v>961500330</v>
      </c>
      <c r="B472" s="116" t="str">
        <f t="shared" si="7"/>
        <v>96-961500330</v>
      </c>
      <c r="C472" s="179" t="s">
        <v>5831</v>
      </c>
      <c r="E472" s="72"/>
      <c r="F472" s="72"/>
      <c r="G472" s="72"/>
      <c r="H472" s="124"/>
    </row>
    <row r="473" spans="1:8">
      <c r="A473" s="177">
        <v>961500366</v>
      </c>
      <c r="B473" s="116" t="str">
        <f t="shared" si="7"/>
        <v>96-961500366</v>
      </c>
      <c r="C473" s="179" t="s">
        <v>7231</v>
      </c>
      <c r="E473" s="72"/>
      <c r="F473" s="72"/>
      <c r="G473" s="72"/>
      <c r="H473" s="124"/>
    </row>
    <row r="474" spans="1:8">
      <c r="A474" s="177">
        <v>961500400</v>
      </c>
      <c r="B474" s="116" t="str">
        <f t="shared" si="7"/>
        <v>96-961500400</v>
      </c>
      <c r="C474" s="179" t="s">
        <v>7231</v>
      </c>
      <c r="E474" s="72"/>
      <c r="F474" s="72"/>
      <c r="G474" s="72"/>
      <c r="H474" s="124"/>
    </row>
    <row r="475" spans="1:8">
      <c r="A475" s="177">
        <v>961500072</v>
      </c>
      <c r="B475" s="116" t="str">
        <f t="shared" si="7"/>
        <v>96-961500072</v>
      </c>
      <c r="C475" s="179" t="s">
        <v>5753</v>
      </c>
      <c r="E475" s="72"/>
      <c r="F475" s="72"/>
      <c r="G475" s="72"/>
      <c r="H475" s="124"/>
    </row>
    <row r="476" spans="1:8">
      <c r="A476" s="177">
        <v>961500192</v>
      </c>
      <c r="B476" s="116" t="str">
        <f t="shared" si="7"/>
        <v>96-961500192</v>
      </c>
      <c r="C476" s="179" t="s">
        <v>5813</v>
      </c>
      <c r="E476" s="72"/>
      <c r="F476" s="72"/>
      <c r="G476" s="72"/>
      <c r="H476" s="124"/>
    </row>
    <row r="477" spans="1:8">
      <c r="A477" s="177">
        <v>961500194</v>
      </c>
      <c r="B477" s="116" t="str">
        <f t="shared" si="7"/>
        <v>96-961500194</v>
      </c>
      <c r="C477" s="179" t="s">
        <v>5813</v>
      </c>
      <c r="E477" s="72"/>
      <c r="F477" s="72"/>
      <c r="G477" s="72"/>
      <c r="H477" s="124"/>
    </row>
    <row r="478" spans="1:8">
      <c r="A478" s="177">
        <v>961500195</v>
      </c>
      <c r="B478" s="116" t="str">
        <f t="shared" si="7"/>
        <v>96-961500195</v>
      </c>
      <c r="C478" s="179" t="s">
        <v>5813</v>
      </c>
      <c r="E478" s="72"/>
      <c r="F478" s="72"/>
      <c r="G478" s="72"/>
      <c r="H478" s="124"/>
    </row>
    <row r="479" spans="1:8">
      <c r="A479" s="177">
        <v>961500203</v>
      </c>
      <c r="B479" s="116" t="str">
        <f t="shared" si="7"/>
        <v>96-961500203</v>
      </c>
      <c r="C479" s="179" t="s">
        <v>5815</v>
      </c>
      <c r="E479" s="72"/>
      <c r="F479" s="72"/>
      <c r="G479" s="72"/>
      <c r="H479" s="124"/>
    </row>
    <row r="480" spans="1:8">
      <c r="A480" s="177">
        <v>961500212</v>
      </c>
      <c r="B480" s="116" t="str">
        <f t="shared" si="7"/>
        <v>96-961500212</v>
      </c>
      <c r="C480" s="179" t="s">
        <v>5813</v>
      </c>
      <c r="E480" s="72"/>
      <c r="F480" s="72"/>
      <c r="G480" s="72"/>
      <c r="H480" s="124"/>
    </row>
    <row r="481" spans="1:8">
      <c r="A481" s="177">
        <v>961500236</v>
      </c>
      <c r="B481" s="116" t="str">
        <f t="shared" si="7"/>
        <v>96-961500236</v>
      </c>
      <c r="C481" s="179" t="s">
        <v>5813</v>
      </c>
      <c r="E481" s="72"/>
      <c r="F481" s="72"/>
      <c r="G481" s="72"/>
      <c r="H481" s="124"/>
    </row>
    <row r="482" spans="1:8">
      <c r="A482" s="177">
        <v>961500240</v>
      </c>
      <c r="B482" s="116" t="str">
        <f t="shared" si="7"/>
        <v>96-961500240</v>
      </c>
      <c r="C482" s="179" t="s">
        <v>5813</v>
      </c>
      <c r="E482" s="72"/>
      <c r="F482" s="72"/>
      <c r="G482" s="72"/>
      <c r="H482" s="124"/>
    </row>
    <row r="483" spans="1:8">
      <c r="A483" s="177">
        <v>961500244</v>
      </c>
      <c r="B483" s="116" t="str">
        <f t="shared" si="7"/>
        <v>96-961500244</v>
      </c>
      <c r="C483" s="179" t="s">
        <v>5814</v>
      </c>
      <c r="E483" s="72"/>
      <c r="F483" s="72"/>
      <c r="G483" s="72"/>
      <c r="H483" s="124"/>
    </row>
    <row r="484" spans="1:8">
      <c r="A484" s="177">
        <v>961500252</v>
      </c>
      <c r="B484" s="116" t="str">
        <f t="shared" si="7"/>
        <v>96-961500252</v>
      </c>
      <c r="C484" s="179" t="s">
        <v>5814</v>
      </c>
      <c r="E484" s="72"/>
      <c r="F484" s="72"/>
      <c r="G484" s="72"/>
      <c r="H484" s="124"/>
    </row>
    <row r="485" spans="1:8">
      <c r="A485" s="177">
        <v>961500281</v>
      </c>
      <c r="B485" s="116" t="str">
        <f t="shared" si="7"/>
        <v>96-961500281</v>
      </c>
      <c r="C485" s="179" t="s">
        <v>5826</v>
      </c>
      <c r="E485" s="72"/>
      <c r="F485" s="72"/>
      <c r="G485" s="72"/>
      <c r="H485" s="124"/>
    </row>
    <row r="486" spans="1:8">
      <c r="A486" s="177">
        <v>961500302</v>
      </c>
      <c r="B486" s="116" t="str">
        <f t="shared" si="7"/>
        <v>96-961500302</v>
      </c>
      <c r="C486" s="179" t="s">
        <v>5826</v>
      </c>
      <c r="E486" s="72"/>
      <c r="F486" s="72"/>
      <c r="G486" s="72"/>
      <c r="H486" s="124"/>
    </row>
    <row r="487" spans="1:8">
      <c r="A487" s="177">
        <v>961500340</v>
      </c>
      <c r="B487" s="116" t="str">
        <f t="shared" si="7"/>
        <v>96-961500340</v>
      </c>
      <c r="C487" s="179" t="s">
        <v>5831</v>
      </c>
      <c r="E487" s="72"/>
      <c r="F487" s="72"/>
      <c r="G487" s="72"/>
      <c r="H487" s="124"/>
    </row>
    <row r="488" spans="1:8">
      <c r="A488" s="177">
        <v>961500341</v>
      </c>
      <c r="B488" s="116" t="str">
        <f t="shared" si="7"/>
        <v>96-961500341</v>
      </c>
      <c r="C488" s="179" t="s">
        <v>5831</v>
      </c>
      <c r="E488" s="72"/>
      <c r="F488" s="72"/>
      <c r="G488" s="72"/>
      <c r="H488" s="124"/>
    </row>
    <row r="489" spans="1:8">
      <c r="A489" s="177">
        <v>961500377</v>
      </c>
      <c r="B489" s="116" t="str">
        <f t="shared" si="7"/>
        <v>96-961500377</v>
      </c>
      <c r="C489" s="179" t="s">
        <v>7231</v>
      </c>
      <c r="E489" s="72"/>
      <c r="F489" s="72"/>
      <c r="G489" s="72"/>
      <c r="H489" s="124"/>
    </row>
    <row r="490" spans="1:8">
      <c r="A490" s="177">
        <v>961500382</v>
      </c>
      <c r="B490" s="116" t="str">
        <f t="shared" si="7"/>
        <v>96-961500382</v>
      </c>
      <c r="C490" s="179" t="s">
        <v>7231</v>
      </c>
      <c r="E490" s="72"/>
      <c r="F490" s="72"/>
      <c r="G490" s="72"/>
      <c r="H490" s="124"/>
    </row>
    <row r="491" spans="1:8">
      <c r="A491" s="177">
        <v>961500389</v>
      </c>
      <c r="B491" s="116" t="str">
        <f t="shared" si="7"/>
        <v>96-961500389</v>
      </c>
      <c r="C491" s="179" t="s">
        <v>7231</v>
      </c>
      <c r="E491" s="72"/>
      <c r="F491" s="72"/>
      <c r="G491" s="72"/>
      <c r="H491" s="124"/>
    </row>
    <row r="492" spans="1:8">
      <c r="A492" s="177">
        <v>961500416</v>
      </c>
      <c r="B492" s="116" t="str">
        <f t="shared" si="7"/>
        <v>96-961500416</v>
      </c>
      <c r="C492" s="179" t="s">
        <v>7231</v>
      </c>
      <c r="E492" s="72"/>
      <c r="F492" s="72"/>
      <c r="G492" s="72"/>
      <c r="H492" s="124"/>
    </row>
    <row r="493" spans="1:8">
      <c r="A493" s="177">
        <v>951500063</v>
      </c>
      <c r="B493" s="116" t="str">
        <f t="shared" si="7"/>
        <v>95-951500063</v>
      </c>
      <c r="C493" s="179" t="s">
        <v>5612</v>
      </c>
      <c r="E493" s="72"/>
      <c r="F493" s="72"/>
      <c r="G493" s="72"/>
      <c r="H493" s="124"/>
    </row>
    <row r="494" spans="1:8">
      <c r="A494" s="177">
        <v>951500139</v>
      </c>
      <c r="B494" s="116" t="str">
        <f t="shared" si="7"/>
        <v>95-951500139</v>
      </c>
      <c r="C494" s="179" t="s">
        <v>5619</v>
      </c>
      <c r="E494" s="72"/>
      <c r="F494" s="72"/>
      <c r="G494" s="72"/>
      <c r="H494" s="124"/>
    </row>
    <row r="495" spans="1:8">
      <c r="A495" s="177">
        <v>951500146</v>
      </c>
      <c r="B495" s="116" t="str">
        <f t="shared" si="7"/>
        <v>95-951500146</v>
      </c>
      <c r="C495" s="179" t="s">
        <v>5619</v>
      </c>
      <c r="E495" s="72"/>
      <c r="F495" s="72"/>
      <c r="G495" s="72"/>
      <c r="H495" s="124"/>
    </row>
    <row r="496" spans="1:8">
      <c r="A496" s="177">
        <v>951500205</v>
      </c>
      <c r="B496" s="116" t="str">
        <f t="shared" si="7"/>
        <v>95-951500205</v>
      </c>
      <c r="C496" s="179" t="s">
        <v>5627</v>
      </c>
      <c r="E496" s="72"/>
      <c r="F496" s="72"/>
      <c r="G496" s="72"/>
      <c r="H496" s="124"/>
    </row>
    <row r="497" spans="1:8">
      <c r="A497" s="177">
        <v>951500213</v>
      </c>
      <c r="B497" s="116" t="str">
        <f t="shared" si="7"/>
        <v>95-951500213</v>
      </c>
      <c r="C497" s="179" t="s">
        <v>5630</v>
      </c>
      <c r="E497" s="72"/>
      <c r="F497" s="72"/>
      <c r="G497" s="72"/>
      <c r="H497" s="124"/>
    </row>
    <row r="498" spans="1:8">
      <c r="A498" s="177">
        <v>951500277</v>
      </c>
      <c r="B498" s="116" t="str">
        <f t="shared" si="7"/>
        <v>95-951500277</v>
      </c>
      <c r="C498" s="179" t="s">
        <v>5654</v>
      </c>
      <c r="E498" s="72"/>
      <c r="F498" s="72"/>
      <c r="G498" s="72"/>
      <c r="H498" s="124"/>
    </row>
    <row r="499" spans="1:8">
      <c r="A499" s="177">
        <v>951500321</v>
      </c>
      <c r="B499" s="116" t="str">
        <f t="shared" si="7"/>
        <v>95-951500321</v>
      </c>
      <c r="C499" s="179" t="s">
        <v>5659</v>
      </c>
      <c r="E499" s="72"/>
      <c r="F499" s="72"/>
      <c r="G499" s="72"/>
      <c r="H499" s="124"/>
    </row>
    <row r="500" spans="1:8">
      <c r="A500" s="177">
        <v>951500322</v>
      </c>
      <c r="B500" s="116" t="str">
        <f t="shared" si="7"/>
        <v>95-951500322</v>
      </c>
      <c r="C500" s="179" t="s">
        <v>5659</v>
      </c>
      <c r="E500" s="72"/>
      <c r="F500" s="72"/>
      <c r="G500" s="72"/>
      <c r="H500" s="124"/>
    </row>
    <row r="501" spans="1:8">
      <c r="A501" s="177">
        <v>951500323</v>
      </c>
      <c r="B501" s="116" t="str">
        <f t="shared" si="7"/>
        <v>95-951500323</v>
      </c>
      <c r="C501" s="179" t="s">
        <v>5659</v>
      </c>
      <c r="E501" s="72"/>
      <c r="F501" s="72"/>
      <c r="G501" s="72"/>
      <c r="H501" s="124"/>
    </row>
    <row r="502" spans="1:8">
      <c r="A502" s="177">
        <v>951500329</v>
      </c>
      <c r="B502" s="116" t="str">
        <f t="shared" si="7"/>
        <v>95-951500329</v>
      </c>
      <c r="C502" s="179" t="s">
        <v>5659</v>
      </c>
      <c r="E502" s="72"/>
      <c r="F502" s="72"/>
      <c r="G502" s="72"/>
      <c r="H502" s="124"/>
    </row>
    <row r="503" spans="1:8">
      <c r="A503" s="177">
        <v>951500368</v>
      </c>
      <c r="B503" s="116" t="str">
        <f t="shared" si="7"/>
        <v>95-951500368</v>
      </c>
      <c r="C503" s="179" t="s">
        <v>5659</v>
      </c>
      <c r="E503" s="72"/>
      <c r="F503" s="72"/>
      <c r="G503" s="72"/>
      <c r="H503" s="124"/>
    </row>
    <row r="504" spans="1:8">
      <c r="A504" s="177">
        <v>951500370</v>
      </c>
      <c r="B504" s="116" t="str">
        <f t="shared" si="7"/>
        <v>95-951500370</v>
      </c>
      <c r="C504" s="179" t="s">
        <v>5659</v>
      </c>
      <c r="E504" s="72"/>
      <c r="F504" s="72"/>
      <c r="G504" s="72"/>
      <c r="H504" s="124"/>
    </row>
    <row r="505" spans="1:8">
      <c r="A505" s="177">
        <v>951500392</v>
      </c>
      <c r="B505" s="116" t="str">
        <f t="shared" si="7"/>
        <v>95-951500392</v>
      </c>
      <c r="C505" s="179" t="s">
        <v>5680</v>
      </c>
      <c r="E505" s="72"/>
      <c r="F505" s="72"/>
      <c r="G505" s="72"/>
      <c r="H505" s="124"/>
    </row>
    <row r="506" spans="1:8">
      <c r="A506" s="177">
        <v>951500400</v>
      </c>
      <c r="B506" s="116" t="str">
        <f t="shared" si="7"/>
        <v>95-951500400</v>
      </c>
      <c r="C506" s="179" t="s">
        <v>5680</v>
      </c>
      <c r="E506" s="72"/>
      <c r="F506" s="72"/>
      <c r="G506" s="72"/>
      <c r="H506" s="124"/>
    </row>
    <row r="507" spans="1:8">
      <c r="A507" s="177">
        <v>951500450</v>
      </c>
      <c r="B507" s="116" t="str">
        <f t="shared" si="7"/>
        <v>95-951500450</v>
      </c>
      <c r="C507" s="179" t="s">
        <v>5694</v>
      </c>
      <c r="E507" s="72"/>
      <c r="F507" s="72"/>
      <c r="G507" s="72"/>
      <c r="H507" s="124"/>
    </row>
    <row r="508" spans="1:8">
      <c r="A508" s="177">
        <v>951500476</v>
      </c>
      <c r="B508" s="116" t="str">
        <f t="shared" si="7"/>
        <v>95-951500476</v>
      </c>
      <c r="C508" s="179" t="s">
        <v>5708</v>
      </c>
      <c r="E508" s="72"/>
      <c r="F508" s="72"/>
      <c r="G508" s="72"/>
      <c r="H508" s="124"/>
    </row>
    <row r="509" spans="1:8">
      <c r="A509" s="177">
        <v>951500485</v>
      </c>
      <c r="B509" s="116" t="str">
        <f t="shared" si="7"/>
        <v>95-951500485</v>
      </c>
      <c r="C509" s="179" t="s">
        <v>5708</v>
      </c>
      <c r="E509" s="72"/>
      <c r="F509" s="72"/>
      <c r="G509" s="72"/>
      <c r="H509" s="124"/>
    </row>
    <row r="510" spans="1:8">
      <c r="A510" s="177">
        <v>961500415</v>
      </c>
      <c r="B510" s="116" t="str">
        <f t="shared" si="7"/>
        <v>96-961500415</v>
      </c>
      <c r="C510" s="179" t="s">
        <v>7231</v>
      </c>
      <c r="E510" s="72"/>
      <c r="F510" s="72"/>
      <c r="G510" s="72"/>
      <c r="H510" s="124"/>
    </row>
    <row r="511" spans="1:8">
      <c r="A511" s="177">
        <v>961500450</v>
      </c>
      <c r="B511" s="116" t="str">
        <f t="shared" si="7"/>
        <v>96-961500450</v>
      </c>
      <c r="C511" s="179" t="s">
        <v>7175</v>
      </c>
      <c r="E511" s="72"/>
      <c r="F511" s="72"/>
      <c r="G511" s="72"/>
      <c r="H511" s="124"/>
    </row>
    <row r="512" spans="1:8">
      <c r="A512" s="177">
        <v>961500453</v>
      </c>
      <c r="B512" s="116" t="str">
        <f t="shared" si="7"/>
        <v>96-961500453</v>
      </c>
      <c r="C512" s="179" t="s">
        <v>7175</v>
      </c>
      <c r="E512" s="72"/>
      <c r="F512" s="72"/>
      <c r="G512" s="72"/>
      <c r="H512" s="124"/>
    </row>
    <row r="513" spans="1:8">
      <c r="A513" s="177">
        <v>961500473</v>
      </c>
      <c r="B513" s="116" t="str">
        <f t="shared" si="7"/>
        <v>96-961500473</v>
      </c>
      <c r="C513" s="179" t="s">
        <v>7175</v>
      </c>
      <c r="E513" s="72"/>
      <c r="F513" s="72"/>
      <c r="G513" s="72"/>
      <c r="H513" s="124"/>
    </row>
    <row r="514" spans="1:8">
      <c r="A514" s="177">
        <v>961500474</v>
      </c>
      <c r="B514" s="116" t="str">
        <f t="shared" si="7"/>
        <v>96-961500474</v>
      </c>
      <c r="C514" s="179" t="s">
        <v>7175</v>
      </c>
      <c r="E514" s="72"/>
      <c r="F514" s="72"/>
      <c r="G514" s="72"/>
      <c r="H514" s="124"/>
    </row>
    <row r="515" spans="1:8">
      <c r="A515" s="177">
        <v>961500475</v>
      </c>
      <c r="B515" s="116" t="str">
        <f t="shared" ref="B515:B578" si="8">MID(A515,1,2)&amp;"-"&amp;A515</f>
        <v>96-961500475</v>
      </c>
      <c r="C515" s="179" t="s">
        <v>7175</v>
      </c>
      <c r="E515" s="72"/>
      <c r="F515" s="72"/>
      <c r="G515" s="72"/>
      <c r="H515" s="124"/>
    </row>
    <row r="516" spans="1:8">
      <c r="A516" s="177">
        <v>961500489</v>
      </c>
      <c r="B516" s="116" t="str">
        <f t="shared" si="8"/>
        <v>96-961500489</v>
      </c>
      <c r="C516" s="179" t="s">
        <v>7111</v>
      </c>
      <c r="E516" s="72"/>
      <c r="F516" s="72"/>
      <c r="G516" s="72"/>
      <c r="H516" s="124"/>
    </row>
    <row r="517" spans="1:8">
      <c r="A517" s="177">
        <v>961500503</v>
      </c>
      <c r="B517" s="116" t="str">
        <f t="shared" si="8"/>
        <v>96-961500503</v>
      </c>
      <c r="C517" s="179" t="s">
        <v>7111</v>
      </c>
      <c r="E517" s="72"/>
      <c r="F517" s="72"/>
      <c r="G517" s="72"/>
      <c r="H517" s="124"/>
    </row>
    <row r="518" spans="1:8">
      <c r="A518" s="177">
        <v>961500507</v>
      </c>
      <c r="B518" s="116" t="str">
        <f t="shared" si="8"/>
        <v>96-961500507</v>
      </c>
      <c r="C518" s="179" t="s">
        <v>7111</v>
      </c>
      <c r="E518" s="72"/>
      <c r="F518" s="72"/>
      <c r="G518" s="72"/>
      <c r="H518" s="124"/>
    </row>
    <row r="519" spans="1:8">
      <c r="A519" s="177">
        <v>961500575</v>
      </c>
      <c r="B519" s="116" t="str">
        <f t="shared" si="8"/>
        <v>96-961500575</v>
      </c>
      <c r="C519" s="179" t="s">
        <v>8698</v>
      </c>
      <c r="E519" s="72"/>
      <c r="F519" s="72"/>
      <c r="G519" s="72"/>
      <c r="H519" s="124"/>
    </row>
    <row r="520" spans="1:8">
      <c r="A520" s="177">
        <v>961500576</v>
      </c>
      <c r="B520" s="116" t="str">
        <f t="shared" si="8"/>
        <v>96-961500576</v>
      </c>
      <c r="C520" s="179" t="s">
        <v>8698</v>
      </c>
      <c r="E520" s="72"/>
      <c r="F520" s="72"/>
      <c r="G520" s="72"/>
      <c r="H520" s="124"/>
    </row>
    <row r="521" spans="1:8">
      <c r="A521" s="177">
        <v>961500639</v>
      </c>
      <c r="B521" s="116" t="str">
        <f t="shared" si="8"/>
        <v>96-961500639</v>
      </c>
      <c r="C521" s="179" t="s">
        <v>8698</v>
      </c>
      <c r="E521" s="72"/>
      <c r="F521" s="72"/>
      <c r="G521" s="72"/>
      <c r="H521" s="124"/>
    </row>
    <row r="522" spans="1:8">
      <c r="A522" s="177">
        <v>961500665</v>
      </c>
      <c r="B522" s="116" t="str">
        <f t="shared" si="8"/>
        <v>96-961500665</v>
      </c>
      <c r="C522" s="179" t="s">
        <v>8698</v>
      </c>
      <c r="E522" s="72"/>
      <c r="F522" s="72"/>
      <c r="G522" s="72"/>
      <c r="H522" s="124"/>
    </row>
    <row r="523" spans="1:8">
      <c r="A523" s="177">
        <v>961500670</v>
      </c>
      <c r="B523" s="116" t="str">
        <f t="shared" si="8"/>
        <v>96-961500670</v>
      </c>
      <c r="C523" s="179" t="s">
        <v>8698</v>
      </c>
      <c r="E523" s="72"/>
      <c r="F523" s="72"/>
      <c r="G523" s="72"/>
      <c r="H523" s="124"/>
    </row>
    <row r="524" spans="1:8">
      <c r="A524" s="177">
        <v>961500678</v>
      </c>
      <c r="B524" s="116" t="str">
        <f t="shared" si="8"/>
        <v>96-961500678</v>
      </c>
      <c r="C524" s="179" t="s">
        <v>9763</v>
      </c>
      <c r="E524" s="72"/>
      <c r="F524" s="72"/>
      <c r="G524" s="72"/>
      <c r="H524" s="124"/>
    </row>
    <row r="525" spans="1:8">
      <c r="A525" s="177">
        <v>961500753</v>
      </c>
      <c r="B525" s="116" t="str">
        <f t="shared" si="8"/>
        <v>96-961500753</v>
      </c>
      <c r="C525" s="179" t="s">
        <v>9769</v>
      </c>
      <c r="E525" s="72"/>
      <c r="F525" s="72"/>
      <c r="G525" s="72"/>
      <c r="H525" s="124"/>
    </row>
    <row r="526" spans="1:8">
      <c r="A526" s="177">
        <v>961500814</v>
      </c>
      <c r="B526" s="116" t="str">
        <f t="shared" si="8"/>
        <v>96-961500814</v>
      </c>
      <c r="C526" s="179" t="s">
        <v>12260</v>
      </c>
      <c r="E526" s="72"/>
      <c r="F526" s="72"/>
      <c r="G526" s="72"/>
      <c r="H526" s="124"/>
    </row>
    <row r="527" spans="1:8">
      <c r="A527" s="177">
        <v>961500456</v>
      </c>
      <c r="B527" s="116" t="str">
        <f t="shared" si="8"/>
        <v>96-961500456</v>
      </c>
      <c r="C527" s="179" t="s">
        <v>7175</v>
      </c>
      <c r="E527" s="72"/>
      <c r="F527" s="72"/>
      <c r="G527" s="72"/>
      <c r="H527" s="124"/>
    </row>
    <row r="528" spans="1:8">
      <c r="A528" s="177">
        <v>961500529</v>
      </c>
      <c r="B528" s="116" t="str">
        <f t="shared" si="8"/>
        <v>96-961500529</v>
      </c>
      <c r="C528" s="179" t="s">
        <v>7175</v>
      </c>
      <c r="E528" s="72"/>
      <c r="F528" s="72"/>
      <c r="G528" s="72"/>
      <c r="H528" s="124"/>
    </row>
    <row r="529" spans="1:8">
      <c r="A529" s="177">
        <v>961500545</v>
      </c>
      <c r="B529" s="116" t="str">
        <f t="shared" si="8"/>
        <v>96-961500545</v>
      </c>
      <c r="C529" s="179" t="s">
        <v>7175</v>
      </c>
      <c r="E529" s="72"/>
      <c r="F529" s="72"/>
      <c r="G529" s="72"/>
      <c r="H529" s="124"/>
    </row>
    <row r="530" spans="1:8">
      <c r="A530" s="177">
        <v>961500562</v>
      </c>
      <c r="B530" s="116" t="str">
        <f t="shared" si="8"/>
        <v>96-961500562</v>
      </c>
      <c r="C530" s="179" t="s">
        <v>8698</v>
      </c>
      <c r="E530" s="72"/>
      <c r="F530" s="72"/>
      <c r="G530" s="72"/>
      <c r="H530" s="124"/>
    </row>
    <row r="531" spans="1:8">
      <c r="A531" s="177">
        <v>961500590</v>
      </c>
      <c r="B531" s="116" t="str">
        <f t="shared" si="8"/>
        <v>96-961500590</v>
      </c>
      <c r="C531" s="179" t="s">
        <v>8698</v>
      </c>
      <c r="E531" s="72"/>
      <c r="F531" s="72"/>
      <c r="G531" s="72"/>
      <c r="H531" s="124"/>
    </row>
    <row r="532" spans="1:8">
      <c r="A532" s="177">
        <v>961500674</v>
      </c>
      <c r="B532" s="116" t="str">
        <f t="shared" si="8"/>
        <v>96-961500674</v>
      </c>
      <c r="C532" s="179" t="s">
        <v>9769</v>
      </c>
      <c r="E532" s="72"/>
      <c r="F532" s="72"/>
      <c r="G532" s="72"/>
      <c r="H532" s="124"/>
    </row>
    <row r="533" spans="1:8">
      <c r="A533" s="177">
        <v>961500675</v>
      </c>
      <c r="B533" s="116" t="str">
        <f t="shared" si="8"/>
        <v>96-961500675</v>
      </c>
      <c r="C533" s="179" t="s">
        <v>9769</v>
      </c>
      <c r="E533" s="72"/>
      <c r="F533" s="72"/>
      <c r="G533" s="72"/>
      <c r="H533" s="124"/>
    </row>
    <row r="534" spans="1:8">
      <c r="A534" s="177">
        <v>961500733</v>
      </c>
      <c r="B534" s="116" t="str">
        <f t="shared" si="8"/>
        <v>96-961500733</v>
      </c>
      <c r="C534" s="179" t="s">
        <v>9769</v>
      </c>
      <c r="E534" s="72"/>
      <c r="F534" s="72"/>
      <c r="G534" s="72"/>
      <c r="H534" s="124"/>
    </row>
    <row r="535" spans="1:8">
      <c r="A535" s="177">
        <v>961500781</v>
      </c>
      <c r="B535" s="116" t="str">
        <f t="shared" si="8"/>
        <v>96-961500781</v>
      </c>
      <c r="C535" s="179" t="s">
        <v>9763</v>
      </c>
      <c r="E535" s="72"/>
      <c r="F535" s="72"/>
      <c r="G535" s="72"/>
      <c r="H535" s="124"/>
    </row>
    <row r="536" spans="1:8">
      <c r="A536" s="177">
        <v>961500843</v>
      </c>
      <c r="B536" s="116" t="str">
        <f t="shared" si="8"/>
        <v>96-961500843</v>
      </c>
      <c r="C536" s="179" t="s">
        <v>12260</v>
      </c>
      <c r="E536" s="72"/>
      <c r="F536" s="72"/>
      <c r="G536" s="72"/>
      <c r="H536" s="124"/>
    </row>
    <row r="537" spans="1:8">
      <c r="A537" s="177">
        <v>951500565</v>
      </c>
      <c r="B537" s="116" t="str">
        <f t="shared" si="8"/>
        <v>95-951500565</v>
      </c>
      <c r="C537" s="179" t="s">
        <v>5726</v>
      </c>
      <c r="E537" s="72"/>
      <c r="F537" s="72"/>
      <c r="G537" s="72"/>
      <c r="H537" s="124"/>
    </row>
    <row r="538" spans="1:8">
      <c r="A538" s="177">
        <v>951500582</v>
      </c>
      <c r="B538" s="116" t="str">
        <f t="shared" si="8"/>
        <v>95-951500582</v>
      </c>
      <c r="C538" s="179" t="s">
        <v>5733</v>
      </c>
      <c r="E538" s="72"/>
      <c r="F538" s="72"/>
      <c r="G538" s="72"/>
      <c r="H538" s="124"/>
    </row>
    <row r="539" spans="1:8">
      <c r="A539" s="177">
        <v>951500589</v>
      </c>
      <c r="B539" s="116" t="str">
        <f t="shared" si="8"/>
        <v>95-951500589</v>
      </c>
      <c r="C539" s="179" t="s">
        <v>5752</v>
      </c>
      <c r="E539" s="72"/>
      <c r="F539" s="72"/>
      <c r="G539" s="72"/>
      <c r="H539" s="124"/>
    </row>
    <row r="540" spans="1:8">
      <c r="A540" s="177">
        <v>951500598</v>
      </c>
      <c r="B540" s="116" t="str">
        <f t="shared" si="8"/>
        <v>95-951500598</v>
      </c>
      <c r="C540" s="179" t="s">
        <v>5752</v>
      </c>
      <c r="E540" s="72"/>
      <c r="F540" s="72"/>
      <c r="G540" s="72"/>
      <c r="H540" s="124"/>
    </row>
    <row r="541" spans="1:8">
      <c r="A541" s="177">
        <v>961500010</v>
      </c>
      <c r="B541" s="116" t="str">
        <f t="shared" si="8"/>
        <v>96-961500010</v>
      </c>
      <c r="C541" s="179" t="s">
        <v>5752</v>
      </c>
      <c r="E541" s="72"/>
      <c r="F541" s="72"/>
      <c r="G541" s="72"/>
      <c r="H541" s="124"/>
    </row>
    <row r="542" spans="1:8">
      <c r="A542" s="177">
        <v>961500013</v>
      </c>
      <c r="B542" s="116" t="str">
        <f t="shared" si="8"/>
        <v>96-961500013</v>
      </c>
      <c r="C542" s="179" t="s">
        <v>5752</v>
      </c>
      <c r="E542" s="72"/>
      <c r="F542" s="72"/>
      <c r="G542" s="72"/>
      <c r="H542" s="124"/>
    </row>
    <row r="543" spans="1:8">
      <c r="A543" s="177">
        <v>961500038</v>
      </c>
      <c r="B543" s="116" t="str">
        <f t="shared" si="8"/>
        <v>96-961500038</v>
      </c>
      <c r="C543" s="179" t="s">
        <v>5758</v>
      </c>
      <c r="E543" s="72"/>
      <c r="F543" s="72"/>
      <c r="G543" s="72"/>
      <c r="H543" s="124"/>
    </row>
    <row r="544" spans="1:8">
      <c r="A544" s="177">
        <v>961500041</v>
      </c>
      <c r="B544" s="116" t="str">
        <f t="shared" si="8"/>
        <v>96-961500041</v>
      </c>
      <c r="C544" s="179" t="s">
        <v>5758</v>
      </c>
      <c r="E544" s="72"/>
      <c r="F544" s="72"/>
      <c r="G544" s="72"/>
      <c r="H544" s="124"/>
    </row>
    <row r="545" spans="1:8">
      <c r="A545" s="177">
        <v>961500119</v>
      </c>
      <c r="B545" s="116" t="str">
        <f t="shared" si="8"/>
        <v>96-961500119</v>
      </c>
      <c r="C545" s="179" t="s">
        <v>5799</v>
      </c>
      <c r="E545" s="72"/>
      <c r="F545" s="72"/>
      <c r="G545" s="72"/>
      <c r="H545" s="124"/>
    </row>
    <row r="546" spans="1:8">
      <c r="A546" s="177">
        <v>961500127</v>
      </c>
      <c r="B546" s="116" t="str">
        <f t="shared" si="8"/>
        <v>96-961500127</v>
      </c>
      <c r="C546" s="179" t="s">
        <v>5799</v>
      </c>
      <c r="E546" s="72"/>
      <c r="F546" s="72"/>
      <c r="G546" s="72"/>
      <c r="H546" s="124"/>
    </row>
    <row r="547" spans="1:8">
      <c r="A547" s="177">
        <v>961500129</v>
      </c>
      <c r="B547" s="116" t="str">
        <f t="shared" si="8"/>
        <v>96-961500129</v>
      </c>
      <c r="C547" s="179" t="s">
        <v>5799</v>
      </c>
      <c r="E547" s="72"/>
      <c r="F547" s="72"/>
      <c r="G547" s="72"/>
      <c r="H547" s="124"/>
    </row>
    <row r="548" spans="1:8">
      <c r="A548" s="177">
        <v>961500150</v>
      </c>
      <c r="B548" s="116" t="str">
        <f t="shared" si="8"/>
        <v>96-961500150</v>
      </c>
      <c r="C548" s="179" t="s">
        <v>5799</v>
      </c>
      <c r="E548" s="72"/>
      <c r="F548" s="72"/>
      <c r="G548" s="72"/>
      <c r="H548" s="124"/>
    </row>
    <row r="549" spans="1:8">
      <c r="A549" s="177">
        <v>961500166</v>
      </c>
      <c r="B549" s="116" t="str">
        <f t="shared" si="8"/>
        <v>96-961500166</v>
      </c>
      <c r="C549" s="179" t="s">
        <v>5810</v>
      </c>
      <c r="E549" s="72"/>
      <c r="F549" s="72"/>
      <c r="G549" s="72"/>
      <c r="H549" s="124"/>
    </row>
    <row r="550" spans="1:8">
      <c r="A550" s="177">
        <v>961500169</v>
      </c>
      <c r="B550" s="116" t="str">
        <f t="shared" si="8"/>
        <v>96-961500169</v>
      </c>
      <c r="C550" s="179" t="s">
        <v>5810</v>
      </c>
      <c r="E550" s="72"/>
      <c r="F550" s="72"/>
      <c r="G550" s="72"/>
      <c r="H550" s="124"/>
    </row>
    <row r="551" spans="1:8">
      <c r="A551" s="177">
        <v>961500209</v>
      </c>
      <c r="B551" s="116" t="str">
        <f t="shared" si="8"/>
        <v>96-961500209</v>
      </c>
      <c r="C551" s="179" t="s">
        <v>5813</v>
      </c>
      <c r="E551" s="72"/>
      <c r="F551" s="72"/>
      <c r="G551" s="72"/>
      <c r="H551" s="124"/>
    </row>
    <row r="552" spans="1:8">
      <c r="A552" s="177">
        <v>961500210</v>
      </c>
      <c r="B552" s="116" t="str">
        <f t="shared" si="8"/>
        <v>96-961500210</v>
      </c>
      <c r="C552" s="179" t="s">
        <v>5813</v>
      </c>
      <c r="E552" s="72"/>
      <c r="F552" s="72"/>
      <c r="G552" s="72"/>
      <c r="H552" s="124"/>
    </row>
    <row r="553" spans="1:8">
      <c r="A553" s="177">
        <v>961500218</v>
      </c>
      <c r="B553" s="116" t="str">
        <f t="shared" si="8"/>
        <v>96-961500218</v>
      </c>
      <c r="C553" s="179" t="s">
        <v>5813</v>
      </c>
      <c r="E553" s="72"/>
      <c r="F553" s="72"/>
      <c r="G553" s="72"/>
      <c r="H553" s="124"/>
    </row>
    <row r="554" spans="1:8">
      <c r="A554" s="177">
        <v>951500014</v>
      </c>
      <c r="B554" s="116" t="str">
        <f t="shared" si="8"/>
        <v>95-951500014</v>
      </c>
      <c r="C554" s="179" t="s">
        <v>5605</v>
      </c>
      <c r="E554" s="72"/>
      <c r="F554" s="72"/>
      <c r="G554" s="72"/>
      <c r="H554" s="124"/>
    </row>
    <row r="555" spans="1:8">
      <c r="A555" s="177">
        <v>951500057</v>
      </c>
      <c r="B555" s="116" t="str">
        <f t="shared" si="8"/>
        <v>95-951500057</v>
      </c>
      <c r="C555" s="179" t="s">
        <v>5608</v>
      </c>
      <c r="E555" s="72"/>
      <c r="F555" s="72"/>
      <c r="G555" s="72"/>
      <c r="H555" s="124"/>
    </row>
    <row r="556" spans="1:8">
      <c r="A556" s="177">
        <v>951500058</v>
      </c>
      <c r="B556" s="116" t="str">
        <f t="shared" si="8"/>
        <v>95-951500058</v>
      </c>
      <c r="C556" s="179" t="s">
        <v>5608</v>
      </c>
      <c r="E556" s="72"/>
      <c r="F556" s="72"/>
      <c r="G556" s="72"/>
      <c r="H556" s="124"/>
    </row>
    <row r="557" spans="1:8">
      <c r="A557" s="177">
        <v>951500073</v>
      </c>
      <c r="B557" s="116" t="str">
        <f t="shared" si="8"/>
        <v>95-951500073</v>
      </c>
      <c r="C557" s="179" t="s">
        <v>5608</v>
      </c>
      <c r="E557" s="72"/>
      <c r="F557" s="72"/>
      <c r="G557" s="72"/>
      <c r="H557" s="124"/>
    </row>
    <row r="558" spans="1:8">
      <c r="A558" s="177">
        <v>951500083</v>
      </c>
      <c r="B558" s="116" t="str">
        <f t="shared" si="8"/>
        <v>95-951500083</v>
      </c>
      <c r="C558" s="179" t="s">
        <v>5608</v>
      </c>
      <c r="E558" s="72"/>
      <c r="F558" s="72"/>
      <c r="G558" s="72"/>
      <c r="H558" s="124"/>
    </row>
    <row r="559" spans="1:8">
      <c r="A559" s="177">
        <v>951500091</v>
      </c>
      <c r="B559" s="116" t="str">
        <f t="shared" si="8"/>
        <v>95-951500091</v>
      </c>
      <c r="C559" s="179" t="s">
        <v>5608</v>
      </c>
      <c r="E559" s="72"/>
      <c r="F559" s="72"/>
      <c r="G559" s="72"/>
      <c r="H559" s="124"/>
    </row>
    <row r="560" spans="1:8">
      <c r="A560" s="177">
        <v>951500094</v>
      </c>
      <c r="B560" s="116" t="str">
        <f t="shared" si="8"/>
        <v>95-951500094</v>
      </c>
      <c r="C560" s="179" t="s">
        <v>5608</v>
      </c>
      <c r="E560" s="72"/>
      <c r="F560" s="72"/>
      <c r="G560" s="72"/>
      <c r="H560" s="124"/>
    </row>
    <row r="561" spans="1:8">
      <c r="A561" s="177">
        <v>951500096</v>
      </c>
      <c r="B561" s="116" t="str">
        <f t="shared" si="8"/>
        <v>95-951500096</v>
      </c>
      <c r="C561" s="179" t="s">
        <v>5608</v>
      </c>
      <c r="E561" s="72"/>
      <c r="F561" s="72"/>
      <c r="G561" s="72"/>
      <c r="H561" s="124"/>
    </row>
    <row r="562" spans="1:8">
      <c r="A562" s="177">
        <v>951500102</v>
      </c>
      <c r="B562" s="116" t="str">
        <f t="shared" si="8"/>
        <v>95-951500102</v>
      </c>
      <c r="C562" s="179" t="s">
        <v>5608</v>
      </c>
      <c r="E562" s="72"/>
      <c r="F562" s="72"/>
      <c r="G562" s="72"/>
      <c r="H562" s="124"/>
    </row>
    <row r="563" spans="1:8">
      <c r="A563" s="177">
        <v>951500186</v>
      </c>
      <c r="B563" s="116" t="str">
        <f t="shared" si="8"/>
        <v>95-951500186</v>
      </c>
      <c r="C563" s="179" t="s">
        <v>5622</v>
      </c>
      <c r="E563" s="72"/>
      <c r="F563" s="72"/>
      <c r="G563" s="72"/>
      <c r="H563" s="124"/>
    </row>
    <row r="564" spans="1:8">
      <c r="A564" s="177">
        <v>961500334</v>
      </c>
      <c r="B564" s="116" t="str">
        <f t="shared" si="8"/>
        <v>96-961500334</v>
      </c>
      <c r="C564" s="179" t="s">
        <v>7233</v>
      </c>
      <c r="E564" s="72"/>
      <c r="F564" s="72"/>
      <c r="G564" s="72"/>
      <c r="H564" s="124"/>
    </row>
    <row r="565" spans="1:8">
      <c r="A565" s="177">
        <v>951500022</v>
      </c>
      <c r="B565" s="116" t="str">
        <f t="shared" si="8"/>
        <v>95-951500022</v>
      </c>
      <c r="C565" s="179" t="s">
        <v>5612</v>
      </c>
      <c r="E565" s="72"/>
      <c r="F565" s="72"/>
      <c r="G565" s="72"/>
      <c r="H565" s="124"/>
    </row>
    <row r="566" spans="1:8">
      <c r="A566" s="177">
        <v>951500054</v>
      </c>
      <c r="B566" s="116" t="str">
        <f t="shared" si="8"/>
        <v>95-951500054</v>
      </c>
      <c r="C566" s="179" t="s">
        <v>5612</v>
      </c>
      <c r="E566" s="72"/>
      <c r="F566" s="72"/>
      <c r="G566" s="72"/>
      <c r="H566" s="124"/>
    </row>
    <row r="567" spans="1:8">
      <c r="A567" s="177">
        <v>951500130</v>
      </c>
      <c r="B567" s="116" t="str">
        <f t="shared" si="8"/>
        <v>95-951500130</v>
      </c>
      <c r="C567" s="179" t="s">
        <v>5612</v>
      </c>
      <c r="E567" s="72"/>
      <c r="F567" s="72"/>
      <c r="G567" s="72"/>
      <c r="H567" s="124"/>
    </row>
    <row r="568" spans="1:8">
      <c r="A568" s="177">
        <v>951500134</v>
      </c>
      <c r="B568" s="116" t="str">
        <f t="shared" si="8"/>
        <v>95-951500134</v>
      </c>
      <c r="C568" s="179" t="s">
        <v>5612</v>
      </c>
      <c r="E568" s="72"/>
      <c r="F568" s="72"/>
      <c r="G568" s="72"/>
      <c r="H568" s="124"/>
    </row>
    <row r="569" spans="1:8">
      <c r="A569" s="177">
        <v>951500193</v>
      </c>
      <c r="B569" s="116" t="str">
        <f t="shared" si="8"/>
        <v>95-951500193</v>
      </c>
      <c r="C569" s="179" t="s">
        <v>5619</v>
      </c>
      <c r="E569" s="72"/>
      <c r="F569" s="72"/>
      <c r="G569" s="72"/>
      <c r="H569" s="124"/>
    </row>
    <row r="570" spans="1:8">
      <c r="A570" s="177">
        <v>951500194</v>
      </c>
      <c r="B570" s="116" t="str">
        <f t="shared" si="8"/>
        <v>95-951500194</v>
      </c>
      <c r="C570" s="179" t="s">
        <v>5619</v>
      </c>
      <c r="E570" s="72"/>
      <c r="F570" s="72"/>
      <c r="G570" s="72"/>
      <c r="H570" s="124"/>
    </row>
    <row r="571" spans="1:8">
      <c r="A571" s="177">
        <v>951500237</v>
      </c>
      <c r="B571" s="116" t="str">
        <f t="shared" si="8"/>
        <v>95-951500237</v>
      </c>
      <c r="C571" s="179" t="s">
        <v>5640</v>
      </c>
      <c r="E571" s="72"/>
      <c r="F571" s="72"/>
      <c r="G571" s="72"/>
      <c r="H571" s="124"/>
    </row>
    <row r="572" spans="1:8">
      <c r="A572" s="177">
        <v>951500278</v>
      </c>
      <c r="B572" s="116" t="str">
        <f t="shared" si="8"/>
        <v>95-951500278</v>
      </c>
      <c r="C572" s="179" t="s">
        <v>5654</v>
      </c>
      <c r="E572" s="72"/>
      <c r="F572" s="72"/>
      <c r="G572" s="72"/>
      <c r="H572" s="124"/>
    </row>
    <row r="573" spans="1:8">
      <c r="A573" s="177">
        <v>961500226</v>
      </c>
      <c r="B573" s="116" t="str">
        <f t="shared" si="8"/>
        <v>96-961500226</v>
      </c>
      <c r="C573" s="179" t="s">
        <v>5813</v>
      </c>
      <c r="E573" s="72"/>
      <c r="F573" s="72"/>
      <c r="G573" s="72"/>
      <c r="H573" s="124"/>
    </row>
    <row r="574" spans="1:8">
      <c r="A574" s="177">
        <v>961500328</v>
      </c>
      <c r="B574" s="116" t="str">
        <f t="shared" si="8"/>
        <v>96-961500328</v>
      </c>
      <c r="C574" s="179" t="s">
        <v>5831</v>
      </c>
      <c r="E574" s="72"/>
      <c r="F574" s="72"/>
      <c r="G574" s="72"/>
      <c r="H574" s="124"/>
    </row>
    <row r="575" spans="1:8">
      <c r="A575" s="177">
        <v>961500350</v>
      </c>
      <c r="B575" s="116" t="str">
        <f t="shared" si="8"/>
        <v>96-961500350</v>
      </c>
      <c r="C575" s="179" t="s">
        <v>5831</v>
      </c>
      <c r="E575" s="72"/>
      <c r="F575" s="72"/>
      <c r="G575" s="72"/>
      <c r="H575" s="124"/>
    </row>
    <row r="576" spans="1:8">
      <c r="A576" s="177">
        <v>961500351</v>
      </c>
      <c r="B576" s="116" t="str">
        <f t="shared" si="8"/>
        <v>96-961500351</v>
      </c>
      <c r="C576" s="179" t="s">
        <v>5831</v>
      </c>
      <c r="E576" s="72"/>
      <c r="F576" s="72"/>
      <c r="G576" s="72"/>
      <c r="H576" s="124"/>
    </row>
    <row r="577" spans="1:8">
      <c r="A577" s="177">
        <v>961500365</v>
      </c>
      <c r="B577" s="116" t="str">
        <f t="shared" si="8"/>
        <v>96-961500365</v>
      </c>
      <c r="C577" s="179" t="s">
        <v>7231</v>
      </c>
      <c r="E577" s="72"/>
      <c r="F577" s="72"/>
      <c r="G577" s="72"/>
      <c r="H577" s="124"/>
    </row>
    <row r="578" spans="1:8">
      <c r="A578" s="177">
        <v>961500367</v>
      </c>
      <c r="B578" s="116" t="str">
        <f t="shared" si="8"/>
        <v>96-961500367</v>
      </c>
      <c r="C578" s="179" t="s">
        <v>7231</v>
      </c>
      <c r="E578" s="72"/>
      <c r="F578" s="72"/>
      <c r="G578" s="72"/>
      <c r="H578" s="124"/>
    </row>
    <row r="579" spans="1:8">
      <c r="A579" s="177">
        <v>961500369</v>
      </c>
      <c r="B579" s="116" t="str">
        <f t="shared" ref="B579:B642" si="9">MID(A579,1,2)&amp;"-"&amp;A579</f>
        <v>96-961500369</v>
      </c>
      <c r="C579" s="179" t="s">
        <v>7231</v>
      </c>
      <c r="E579" s="72"/>
      <c r="F579" s="72"/>
      <c r="G579" s="72"/>
      <c r="H579" s="124"/>
    </row>
    <row r="580" spans="1:8">
      <c r="A580" s="177">
        <v>961500381</v>
      </c>
      <c r="B580" s="116" t="str">
        <f t="shared" si="9"/>
        <v>96-961500381</v>
      </c>
      <c r="C580" s="179" t="s">
        <v>7231</v>
      </c>
      <c r="E580" s="72"/>
      <c r="F580" s="72"/>
      <c r="G580" s="72"/>
      <c r="H580" s="124"/>
    </row>
    <row r="581" spans="1:8">
      <c r="A581" s="177">
        <v>961500383</v>
      </c>
      <c r="B581" s="116" t="str">
        <f t="shared" si="9"/>
        <v>96-961500383</v>
      </c>
      <c r="C581" s="179" t="s">
        <v>7231</v>
      </c>
      <c r="E581" s="72"/>
      <c r="F581" s="72"/>
      <c r="G581" s="72"/>
      <c r="H581" s="124"/>
    </row>
    <row r="582" spans="1:8">
      <c r="A582" s="177">
        <v>961500386</v>
      </c>
      <c r="B582" s="116" t="str">
        <f t="shared" si="9"/>
        <v>96-961500386</v>
      </c>
      <c r="C582" s="179" t="s">
        <v>7231</v>
      </c>
      <c r="E582" s="72"/>
      <c r="F582" s="72"/>
      <c r="G582" s="72"/>
      <c r="H582" s="124"/>
    </row>
    <row r="583" spans="1:8">
      <c r="A583" s="177">
        <v>961500392</v>
      </c>
      <c r="B583" s="116" t="str">
        <f t="shared" si="9"/>
        <v>96-961500392</v>
      </c>
      <c r="C583" s="179" t="s">
        <v>7231</v>
      </c>
      <c r="E583" s="72"/>
      <c r="F583" s="72"/>
      <c r="G583" s="72"/>
      <c r="H583" s="124"/>
    </row>
    <row r="584" spans="1:8">
      <c r="A584" s="177">
        <v>961500398</v>
      </c>
      <c r="B584" s="116" t="str">
        <f t="shared" si="9"/>
        <v>96-961500398</v>
      </c>
      <c r="C584" s="179" t="s">
        <v>7231</v>
      </c>
      <c r="E584" s="72"/>
      <c r="F584" s="72"/>
      <c r="G584" s="72"/>
      <c r="H584" s="124"/>
    </row>
    <row r="585" spans="1:8">
      <c r="A585" s="177">
        <v>961500410</v>
      </c>
      <c r="B585" s="116" t="str">
        <f t="shared" si="9"/>
        <v>96-961500410</v>
      </c>
      <c r="C585" s="179" t="s">
        <v>7231</v>
      </c>
      <c r="E585" s="72"/>
      <c r="F585" s="72"/>
      <c r="G585" s="72"/>
      <c r="H585" s="124"/>
    </row>
    <row r="586" spans="1:8">
      <c r="A586" s="177">
        <v>961500417</v>
      </c>
      <c r="B586" s="116" t="str">
        <f t="shared" si="9"/>
        <v>96-961500417</v>
      </c>
      <c r="C586" s="179" t="s">
        <v>7231</v>
      </c>
      <c r="E586" s="72"/>
      <c r="F586" s="72"/>
      <c r="G586" s="72"/>
      <c r="H586" s="124"/>
    </row>
    <row r="587" spans="1:8">
      <c r="A587" s="177">
        <v>961500443</v>
      </c>
      <c r="B587" s="116" t="str">
        <f t="shared" si="9"/>
        <v>96-961500443</v>
      </c>
      <c r="C587" s="179" t="s">
        <v>7175</v>
      </c>
      <c r="E587" s="72"/>
      <c r="F587" s="72"/>
      <c r="G587" s="72"/>
      <c r="H587" s="124"/>
    </row>
    <row r="588" spans="1:8">
      <c r="A588" s="177">
        <v>961500457</v>
      </c>
      <c r="B588" s="116" t="str">
        <f t="shared" si="9"/>
        <v>96-961500457</v>
      </c>
      <c r="C588" s="179" t="s">
        <v>7175</v>
      </c>
      <c r="E588" s="72"/>
      <c r="F588" s="72"/>
      <c r="G588" s="72"/>
      <c r="H588" s="124"/>
    </row>
    <row r="589" spans="1:8">
      <c r="A589" s="177">
        <v>961500486</v>
      </c>
      <c r="B589" s="116" t="str">
        <f t="shared" si="9"/>
        <v>96-961500486</v>
      </c>
      <c r="C589" s="179" t="s">
        <v>7111</v>
      </c>
      <c r="E589" s="72"/>
      <c r="F589" s="72"/>
      <c r="G589" s="72"/>
      <c r="H589" s="124"/>
    </row>
    <row r="590" spans="1:8">
      <c r="A590" s="177">
        <v>951500068</v>
      </c>
      <c r="B590" s="116" t="str">
        <f t="shared" si="9"/>
        <v>95-951500068</v>
      </c>
      <c r="C590" s="179" t="s">
        <v>5608</v>
      </c>
      <c r="E590" s="72"/>
      <c r="F590" s="72"/>
      <c r="G590" s="72"/>
      <c r="H590" s="124"/>
    </row>
    <row r="591" spans="1:8">
      <c r="A591" s="177">
        <v>951500081</v>
      </c>
      <c r="B591" s="116" t="str">
        <f t="shared" si="9"/>
        <v>95-951500081</v>
      </c>
      <c r="C591" s="179" t="s">
        <v>5608</v>
      </c>
      <c r="E591" s="72"/>
      <c r="F591" s="72"/>
      <c r="G591" s="72"/>
      <c r="H591" s="124"/>
    </row>
    <row r="592" spans="1:8">
      <c r="A592" s="177">
        <v>951500093</v>
      </c>
      <c r="B592" s="116" t="str">
        <f t="shared" si="9"/>
        <v>95-951500093</v>
      </c>
      <c r="C592" s="179" t="s">
        <v>5608</v>
      </c>
      <c r="E592" s="72"/>
      <c r="F592" s="72"/>
      <c r="G592" s="72"/>
      <c r="H592" s="124"/>
    </row>
    <row r="593" spans="1:8">
      <c r="A593" s="177">
        <v>951500060</v>
      </c>
      <c r="B593" s="116" t="str">
        <f t="shared" si="9"/>
        <v>95-951500060</v>
      </c>
      <c r="C593" s="179" t="s">
        <v>5613</v>
      </c>
      <c r="E593" s="72"/>
      <c r="F593" s="72"/>
      <c r="G593" s="72"/>
      <c r="H593" s="124"/>
    </row>
    <row r="594" spans="1:8">
      <c r="A594" s="177">
        <v>951500100</v>
      </c>
      <c r="B594" s="116" t="str">
        <f t="shared" si="9"/>
        <v>95-951500100</v>
      </c>
      <c r="C594" s="179" t="s">
        <v>5613</v>
      </c>
      <c r="E594" s="72"/>
      <c r="F594" s="72"/>
      <c r="G594" s="72"/>
      <c r="H594" s="124"/>
    </row>
    <row r="595" spans="1:8">
      <c r="A595" s="177">
        <v>951500128</v>
      </c>
      <c r="B595" s="116" t="str">
        <f t="shared" si="9"/>
        <v>95-951500128</v>
      </c>
      <c r="C595" s="179" t="s">
        <v>5618</v>
      </c>
      <c r="E595" s="72"/>
      <c r="F595" s="72"/>
      <c r="G595" s="72"/>
      <c r="H595" s="124"/>
    </row>
    <row r="596" spans="1:8">
      <c r="A596" s="177">
        <v>951500171</v>
      </c>
      <c r="B596" s="116" t="str">
        <f t="shared" si="9"/>
        <v>95-951500171</v>
      </c>
      <c r="C596" s="179" t="s">
        <v>5618</v>
      </c>
      <c r="E596" s="72"/>
      <c r="F596" s="72"/>
      <c r="G596" s="72"/>
      <c r="H596" s="124"/>
    </row>
    <row r="597" spans="1:8">
      <c r="A597" s="177">
        <v>951500474</v>
      </c>
      <c r="B597" s="116" t="str">
        <f t="shared" si="9"/>
        <v>95-951500474</v>
      </c>
      <c r="C597" s="179" t="s">
        <v>5710</v>
      </c>
      <c r="E597" s="72"/>
      <c r="F597" s="72"/>
      <c r="G597" s="72"/>
      <c r="H597" s="124"/>
    </row>
    <row r="598" spans="1:8">
      <c r="A598" s="177">
        <v>951500282</v>
      </c>
      <c r="B598" s="116" t="str">
        <f t="shared" si="9"/>
        <v>95-951500282</v>
      </c>
      <c r="C598" s="179" t="s">
        <v>5654</v>
      </c>
      <c r="E598" s="72"/>
      <c r="F598" s="72"/>
      <c r="G598" s="72"/>
      <c r="H598" s="124"/>
    </row>
    <row r="599" spans="1:8">
      <c r="A599" s="177">
        <v>951500289</v>
      </c>
      <c r="B599" s="116" t="str">
        <f t="shared" si="9"/>
        <v>95-951500289</v>
      </c>
      <c r="C599" s="179" t="s">
        <v>5658</v>
      </c>
      <c r="E599" s="72"/>
      <c r="F599" s="72"/>
      <c r="G599" s="72"/>
      <c r="H599" s="124"/>
    </row>
    <row r="600" spans="1:8">
      <c r="A600" s="177">
        <v>951500295</v>
      </c>
      <c r="B600" s="116" t="str">
        <f t="shared" si="9"/>
        <v>95-951500295</v>
      </c>
      <c r="C600" s="179" t="s">
        <v>5659</v>
      </c>
      <c r="E600" s="72"/>
      <c r="F600" s="72"/>
      <c r="G600" s="72"/>
      <c r="H600" s="124"/>
    </row>
    <row r="601" spans="1:8">
      <c r="A601" s="177">
        <v>951500334</v>
      </c>
      <c r="B601" s="116" t="str">
        <f t="shared" si="9"/>
        <v>95-951500334</v>
      </c>
      <c r="C601" s="179" t="s">
        <v>5659</v>
      </c>
      <c r="E601" s="72"/>
      <c r="F601" s="72"/>
      <c r="G601" s="72"/>
      <c r="H601" s="124"/>
    </row>
    <row r="602" spans="1:8">
      <c r="A602" s="177">
        <v>951500336</v>
      </c>
      <c r="B602" s="116" t="str">
        <f t="shared" si="9"/>
        <v>95-951500336</v>
      </c>
      <c r="C602" s="179" t="s">
        <v>5659</v>
      </c>
      <c r="E602" s="72"/>
      <c r="F602" s="72"/>
      <c r="G602" s="72"/>
      <c r="H602" s="124"/>
    </row>
    <row r="603" spans="1:8">
      <c r="A603" s="177">
        <v>951500337</v>
      </c>
      <c r="B603" s="116" t="str">
        <f t="shared" si="9"/>
        <v>95-951500337</v>
      </c>
      <c r="C603" s="179" t="s">
        <v>5659</v>
      </c>
      <c r="E603" s="72"/>
      <c r="F603" s="72"/>
      <c r="G603" s="72"/>
      <c r="H603" s="124"/>
    </row>
    <row r="604" spans="1:8">
      <c r="A604" s="177">
        <v>951500385</v>
      </c>
      <c r="B604" s="116" t="str">
        <f t="shared" si="9"/>
        <v>95-951500385</v>
      </c>
      <c r="C604" s="179" t="s">
        <v>5680</v>
      </c>
      <c r="E604" s="72"/>
      <c r="F604" s="72"/>
      <c r="G604" s="72"/>
      <c r="H604" s="124"/>
    </row>
    <row r="605" spans="1:8">
      <c r="A605" s="177">
        <v>951500401</v>
      </c>
      <c r="B605" s="116" t="str">
        <f t="shared" si="9"/>
        <v>95-951500401</v>
      </c>
      <c r="C605" s="179" t="s">
        <v>5680</v>
      </c>
      <c r="E605" s="72"/>
      <c r="F605" s="72"/>
      <c r="G605" s="72"/>
      <c r="H605" s="124"/>
    </row>
    <row r="606" spans="1:8">
      <c r="A606" s="177">
        <v>951500404</v>
      </c>
      <c r="B606" s="116" t="str">
        <f t="shared" si="9"/>
        <v>95-951500404</v>
      </c>
      <c r="C606" s="179" t="s">
        <v>5680</v>
      </c>
      <c r="E606" s="72"/>
      <c r="F606" s="72"/>
      <c r="G606" s="72"/>
      <c r="H606" s="124"/>
    </row>
    <row r="607" spans="1:8">
      <c r="A607" s="177">
        <v>951500409</v>
      </c>
      <c r="B607" s="116" t="str">
        <f t="shared" si="9"/>
        <v>95-951500409</v>
      </c>
      <c r="C607" s="179" t="s">
        <v>5680</v>
      </c>
      <c r="E607" s="72"/>
      <c r="F607" s="72"/>
      <c r="G607" s="72"/>
      <c r="H607" s="124"/>
    </row>
    <row r="608" spans="1:8">
      <c r="A608" s="177">
        <v>951500419</v>
      </c>
      <c r="B608" s="116" t="str">
        <f t="shared" si="9"/>
        <v>95-951500419</v>
      </c>
      <c r="C608" s="179" t="s">
        <v>5680</v>
      </c>
      <c r="E608" s="72"/>
      <c r="F608" s="72"/>
      <c r="G608" s="72"/>
      <c r="H608" s="124"/>
    </row>
    <row r="609" spans="1:8">
      <c r="A609" s="177">
        <v>951500431</v>
      </c>
      <c r="B609" s="116" t="str">
        <f t="shared" si="9"/>
        <v>95-951500431</v>
      </c>
      <c r="C609" s="179" t="s">
        <v>5694</v>
      </c>
      <c r="E609" s="72"/>
      <c r="F609" s="72"/>
      <c r="G609" s="72"/>
      <c r="H609" s="124"/>
    </row>
    <row r="610" spans="1:8">
      <c r="A610" s="177">
        <v>951500514</v>
      </c>
      <c r="B610" s="116" t="str">
        <f t="shared" si="9"/>
        <v>95-951500514</v>
      </c>
      <c r="C610" s="179" t="s">
        <v>5708</v>
      </c>
      <c r="E610" s="72"/>
      <c r="F610" s="72"/>
      <c r="G610" s="72"/>
      <c r="H610" s="124"/>
    </row>
    <row r="611" spans="1:8">
      <c r="A611" s="177">
        <v>951500523</v>
      </c>
      <c r="B611" s="116" t="str">
        <f t="shared" si="9"/>
        <v>95-951500523</v>
      </c>
      <c r="C611" s="179" t="s">
        <v>5708</v>
      </c>
      <c r="E611" s="72"/>
      <c r="F611" s="72"/>
      <c r="G611" s="72"/>
      <c r="H611" s="124"/>
    </row>
    <row r="612" spans="1:8">
      <c r="A612" s="177">
        <v>951500572</v>
      </c>
      <c r="B612" s="116" t="str">
        <f t="shared" si="9"/>
        <v>95-951500572</v>
      </c>
      <c r="C612" s="179" t="s">
        <v>5733</v>
      </c>
      <c r="E612" s="72"/>
      <c r="F612" s="72"/>
      <c r="G612" s="72"/>
      <c r="H612" s="124"/>
    </row>
    <row r="613" spans="1:8">
      <c r="A613" s="177">
        <v>951500591</v>
      </c>
      <c r="B613" s="116" t="str">
        <f t="shared" si="9"/>
        <v>95-951500591</v>
      </c>
      <c r="C613" s="179" t="s">
        <v>5752</v>
      </c>
      <c r="E613" s="72"/>
      <c r="F613" s="72"/>
      <c r="G613" s="72"/>
      <c r="H613" s="124"/>
    </row>
    <row r="614" spans="1:8">
      <c r="A614" s="177">
        <v>961500337</v>
      </c>
      <c r="B614" s="116" t="str">
        <f t="shared" si="9"/>
        <v>96-961500337</v>
      </c>
      <c r="C614" s="179" t="s">
        <v>7233</v>
      </c>
      <c r="E614" s="72"/>
      <c r="F614" s="72"/>
      <c r="G614" s="72"/>
      <c r="H614" s="124"/>
    </row>
    <row r="615" spans="1:8">
      <c r="A615" s="177">
        <v>961500426</v>
      </c>
      <c r="B615" s="116" t="str">
        <f t="shared" si="9"/>
        <v>96-961500426</v>
      </c>
      <c r="C615" s="179" t="s">
        <v>7233</v>
      </c>
      <c r="E615" s="72"/>
      <c r="F615" s="72"/>
      <c r="G615" s="72"/>
      <c r="H615" s="124"/>
    </row>
    <row r="616" spans="1:8">
      <c r="A616" s="177">
        <v>961500684</v>
      </c>
      <c r="B616" s="116" t="str">
        <f t="shared" si="9"/>
        <v>96-961500684</v>
      </c>
      <c r="C616" s="179" t="s">
        <v>9770</v>
      </c>
      <c r="E616" s="72"/>
      <c r="F616" s="72"/>
      <c r="G616" s="72"/>
      <c r="H616" s="124"/>
    </row>
    <row r="617" spans="1:8">
      <c r="A617" s="177">
        <v>961500844</v>
      </c>
      <c r="B617" s="116" t="str">
        <f t="shared" si="9"/>
        <v>96-961500844</v>
      </c>
      <c r="C617" s="179" t="s">
        <v>12306</v>
      </c>
      <c r="E617" s="72"/>
      <c r="F617" s="72"/>
      <c r="G617" s="72"/>
      <c r="H617" s="124"/>
    </row>
    <row r="618" spans="1:8">
      <c r="A618" s="177">
        <v>951500144</v>
      </c>
      <c r="B618" s="116" t="str">
        <f t="shared" si="9"/>
        <v>95-951500144</v>
      </c>
      <c r="C618" s="179" t="s">
        <v>5614</v>
      </c>
      <c r="E618" s="72"/>
      <c r="F618" s="72"/>
      <c r="G618" s="72"/>
      <c r="H618" s="124"/>
    </row>
    <row r="619" spans="1:8">
      <c r="A619" s="177">
        <v>951500168</v>
      </c>
      <c r="B619" s="116" t="str">
        <f t="shared" si="9"/>
        <v>95-951500168</v>
      </c>
      <c r="C619" s="179" t="s">
        <v>5614</v>
      </c>
      <c r="E619" s="72"/>
      <c r="F619" s="72"/>
      <c r="G619" s="72"/>
      <c r="H619" s="124"/>
    </row>
    <row r="620" spans="1:8">
      <c r="A620" s="177">
        <v>951500379</v>
      </c>
      <c r="B620" s="116" t="str">
        <f t="shared" si="9"/>
        <v>95-951500379</v>
      </c>
      <c r="C620" s="179" t="s">
        <v>5674</v>
      </c>
      <c r="E620" s="72"/>
      <c r="F620" s="72"/>
      <c r="G620" s="72"/>
      <c r="H620" s="124"/>
    </row>
    <row r="621" spans="1:8">
      <c r="A621" s="177">
        <v>951500410</v>
      </c>
      <c r="B621" s="116" t="str">
        <f t="shared" si="9"/>
        <v>95-951500410</v>
      </c>
      <c r="C621" s="179" t="s">
        <v>5688</v>
      </c>
      <c r="E621" s="72"/>
      <c r="F621" s="72"/>
      <c r="G621" s="72"/>
      <c r="H621" s="124"/>
    </row>
    <row r="622" spans="1:8">
      <c r="A622" s="177">
        <v>951500478</v>
      </c>
      <c r="B622" s="116" t="str">
        <f t="shared" si="9"/>
        <v>95-951500478</v>
      </c>
      <c r="C622" s="179" t="s">
        <v>5711</v>
      </c>
      <c r="E622" s="72"/>
      <c r="F622" s="72"/>
      <c r="G622" s="72"/>
      <c r="H622" s="124"/>
    </row>
    <row r="623" spans="1:8">
      <c r="A623" s="177">
        <v>961500116</v>
      </c>
      <c r="B623" s="116" t="str">
        <f t="shared" si="9"/>
        <v>96-961500116</v>
      </c>
      <c r="C623" s="179" t="s">
        <v>5793</v>
      </c>
      <c r="E623" s="72"/>
      <c r="F623" s="72"/>
      <c r="G623" s="72"/>
      <c r="H623" s="124"/>
    </row>
    <row r="624" spans="1:8">
      <c r="A624" s="177">
        <v>961500140</v>
      </c>
      <c r="B624" s="116" t="str">
        <f t="shared" si="9"/>
        <v>96-961500140</v>
      </c>
      <c r="C624" s="179" t="s">
        <v>5793</v>
      </c>
      <c r="E624" s="72"/>
      <c r="F624" s="72"/>
      <c r="G624" s="72"/>
      <c r="H624" s="124"/>
    </row>
    <row r="625" spans="1:8">
      <c r="A625" s="177">
        <v>961500320</v>
      </c>
      <c r="B625" s="116" t="str">
        <f t="shared" si="9"/>
        <v>96-961500320</v>
      </c>
      <c r="C625" s="179" t="s">
        <v>5852</v>
      </c>
      <c r="E625" s="72"/>
      <c r="F625" s="72"/>
      <c r="G625" s="72"/>
      <c r="H625" s="124"/>
    </row>
    <row r="626" spans="1:8">
      <c r="A626" s="177">
        <v>961500492</v>
      </c>
      <c r="B626" s="116" t="str">
        <f t="shared" si="9"/>
        <v>96-961500492</v>
      </c>
      <c r="C626" s="179" t="s">
        <v>7234</v>
      </c>
      <c r="E626" s="72"/>
      <c r="F626" s="72"/>
      <c r="G626" s="72"/>
      <c r="H626" s="124"/>
    </row>
    <row r="627" spans="1:8">
      <c r="A627" s="177">
        <v>961500574</v>
      </c>
      <c r="B627" s="116" t="str">
        <f t="shared" si="9"/>
        <v>96-961500574</v>
      </c>
      <c r="C627" s="179" t="s">
        <v>7118</v>
      </c>
      <c r="E627" s="72"/>
      <c r="F627" s="72"/>
      <c r="G627" s="72"/>
      <c r="H627" s="124"/>
    </row>
    <row r="628" spans="1:8">
      <c r="A628" s="177">
        <v>961500580</v>
      </c>
      <c r="B628" s="116" t="str">
        <f t="shared" si="9"/>
        <v>96-961500580</v>
      </c>
      <c r="C628" s="179" t="s">
        <v>7118</v>
      </c>
      <c r="E628" s="72"/>
      <c r="F628" s="72"/>
      <c r="G628" s="72"/>
      <c r="H628" s="124"/>
    </row>
    <row r="629" spans="1:8">
      <c r="A629" s="177">
        <v>961500581</v>
      </c>
      <c r="B629" s="116" t="str">
        <f t="shared" si="9"/>
        <v>96-961500581</v>
      </c>
      <c r="C629" s="179" t="s">
        <v>7118</v>
      </c>
      <c r="E629" s="72"/>
      <c r="F629" s="72"/>
      <c r="G629" s="72"/>
      <c r="H629" s="124"/>
    </row>
    <row r="630" spans="1:8">
      <c r="A630" s="177">
        <v>961500637</v>
      </c>
      <c r="B630" s="116" t="str">
        <f t="shared" si="9"/>
        <v>96-961500637</v>
      </c>
      <c r="C630" s="179" t="s">
        <v>8724</v>
      </c>
      <c r="E630" s="72"/>
      <c r="F630" s="72"/>
      <c r="G630" s="72"/>
      <c r="H630" s="124"/>
    </row>
    <row r="631" spans="1:8">
      <c r="A631" s="177">
        <v>961500497</v>
      </c>
      <c r="B631" s="116" t="str">
        <f t="shared" si="9"/>
        <v>96-961500497</v>
      </c>
      <c r="C631" s="179" t="s">
        <v>7111</v>
      </c>
      <c r="E631" s="72"/>
      <c r="F631" s="72"/>
      <c r="G631" s="72"/>
      <c r="H631" s="124"/>
    </row>
    <row r="632" spans="1:8">
      <c r="A632" s="177">
        <v>961500509</v>
      </c>
      <c r="B632" s="116" t="str">
        <f t="shared" si="9"/>
        <v>96-961500509</v>
      </c>
      <c r="C632" s="179" t="s">
        <v>7111</v>
      </c>
      <c r="E632" s="72"/>
      <c r="F632" s="72"/>
      <c r="G632" s="72"/>
      <c r="H632" s="124"/>
    </row>
    <row r="633" spans="1:8">
      <c r="A633" s="177">
        <v>961500516</v>
      </c>
      <c r="B633" s="116" t="str">
        <f t="shared" si="9"/>
        <v>96-961500516</v>
      </c>
      <c r="C633" s="179" t="s">
        <v>7111</v>
      </c>
      <c r="E633" s="72"/>
      <c r="F633" s="72"/>
      <c r="G633" s="72"/>
      <c r="H633" s="124"/>
    </row>
    <row r="634" spans="1:8">
      <c r="A634" s="177">
        <v>961500521</v>
      </c>
      <c r="B634" s="116" t="str">
        <f t="shared" si="9"/>
        <v>96-961500521</v>
      </c>
      <c r="C634" s="179" t="s">
        <v>7111</v>
      </c>
      <c r="E634" s="72"/>
      <c r="F634" s="72"/>
      <c r="G634" s="72"/>
      <c r="H634" s="124"/>
    </row>
    <row r="635" spans="1:8">
      <c r="A635" s="177">
        <v>961500537</v>
      </c>
      <c r="B635" s="116" t="str">
        <f t="shared" si="9"/>
        <v>96-961500537</v>
      </c>
      <c r="C635" s="179" t="s">
        <v>7273</v>
      </c>
      <c r="E635" s="72"/>
      <c r="F635" s="72"/>
      <c r="G635" s="72"/>
      <c r="H635" s="124"/>
    </row>
    <row r="636" spans="1:8">
      <c r="A636" s="177">
        <v>961500568</v>
      </c>
      <c r="B636" s="116" t="str">
        <f t="shared" si="9"/>
        <v>96-961500568</v>
      </c>
      <c r="C636" s="179" t="s">
        <v>8698</v>
      </c>
      <c r="E636" s="72"/>
      <c r="F636" s="72"/>
      <c r="G636" s="72"/>
      <c r="H636" s="124"/>
    </row>
    <row r="637" spans="1:8">
      <c r="A637" s="177">
        <v>961500583</v>
      </c>
      <c r="B637" s="116" t="str">
        <f t="shared" si="9"/>
        <v>96-961500583</v>
      </c>
      <c r="C637" s="179" t="s">
        <v>8698</v>
      </c>
      <c r="E637" s="72"/>
      <c r="F637" s="72"/>
      <c r="G637" s="72"/>
      <c r="H637" s="124"/>
    </row>
    <row r="638" spans="1:8">
      <c r="A638" s="177">
        <v>961500664</v>
      </c>
      <c r="B638" s="116" t="str">
        <f t="shared" si="9"/>
        <v>96-961500664</v>
      </c>
      <c r="C638" s="179" t="s">
        <v>8698</v>
      </c>
      <c r="E638" s="72"/>
      <c r="F638" s="72"/>
      <c r="G638" s="72"/>
      <c r="H638" s="124"/>
    </row>
    <row r="639" spans="1:8">
      <c r="A639" s="177">
        <v>961500677</v>
      </c>
      <c r="B639" s="116" t="str">
        <f t="shared" si="9"/>
        <v>96-961500677</v>
      </c>
      <c r="C639" s="179" t="s">
        <v>9769</v>
      </c>
      <c r="E639" s="72"/>
      <c r="F639" s="72"/>
      <c r="G639" s="72"/>
      <c r="H639" s="124"/>
    </row>
    <row r="640" spans="1:8">
      <c r="A640" s="177">
        <v>961500692</v>
      </c>
      <c r="B640" s="116" t="str">
        <f t="shared" si="9"/>
        <v>96-961500692</v>
      </c>
      <c r="C640" s="179" t="s">
        <v>9783</v>
      </c>
      <c r="E640" s="72"/>
      <c r="F640" s="72"/>
      <c r="G640" s="72"/>
      <c r="H640" s="124"/>
    </row>
    <row r="641" spans="1:8">
      <c r="A641" s="177">
        <v>961500732</v>
      </c>
      <c r="B641" s="116" t="str">
        <f t="shared" si="9"/>
        <v>96-961500732</v>
      </c>
      <c r="C641" s="179" t="s">
        <v>9769</v>
      </c>
      <c r="E641" s="72"/>
      <c r="F641" s="72"/>
      <c r="G641" s="72"/>
      <c r="H641" s="124"/>
    </row>
    <row r="642" spans="1:8">
      <c r="A642" s="177">
        <v>961500754</v>
      </c>
      <c r="B642" s="116" t="str">
        <f t="shared" si="9"/>
        <v>96-961500754</v>
      </c>
      <c r="C642" s="179" t="s">
        <v>9769</v>
      </c>
      <c r="E642" s="72"/>
      <c r="F642" s="72"/>
      <c r="G642" s="72"/>
      <c r="H642" s="124"/>
    </row>
    <row r="643" spans="1:8">
      <c r="A643" s="177">
        <v>961500795</v>
      </c>
      <c r="B643" s="116" t="str">
        <f t="shared" ref="B643:B706" si="10">MID(A643,1,2)&amp;"-"&amp;A643</f>
        <v>96-961500795</v>
      </c>
      <c r="C643" s="179" t="s">
        <v>12260</v>
      </c>
      <c r="E643" s="72"/>
      <c r="F643" s="72"/>
      <c r="G643" s="72"/>
      <c r="H643" s="124"/>
    </row>
    <row r="644" spans="1:8">
      <c r="A644" s="177">
        <v>951500024</v>
      </c>
      <c r="B644" s="116" t="str">
        <f t="shared" si="10"/>
        <v>95-951500024</v>
      </c>
      <c r="C644" s="179" t="s">
        <v>5608</v>
      </c>
      <c r="E644" s="72"/>
      <c r="F644" s="72"/>
      <c r="G644" s="72"/>
      <c r="H644" s="124"/>
    </row>
    <row r="645" spans="1:8">
      <c r="A645" s="177">
        <v>951500044</v>
      </c>
      <c r="B645" s="116" t="str">
        <f t="shared" si="10"/>
        <v>95-951500044</v>
      </c>
      <c r="C645" s="179" t="s">
        <v>5608</v>
      </c>
      <c r="E645" s="72"/>
      <c r="F645" s="72"/>
      <c r="G645" s="72"/>
      <c r="H645" s="124"/>
    </row>
    <row r="646" spans="1:8">
      <c r="A646" s="177">
        <v>951500056</v>
      </c>
      <c r="B646" s="116" t="str">
        <f t="shared" si="10"/>
        <v>95-951500056</v>
      </c>
      <c r="C646" s="179" t="s">
        <v>5608</v>
      </c>
      <c r="E646" s="72"/>
      <c r="F646" s="72"/>
      <c r="G646" s="72"/>
      <c r="H646" s="124"/>
    </row>
    <row r="647" spans="1:8">
      <c r="A647" s="177">
        <v>951500071</v>
      </c>
      <c r="B647" s="116" t="str">
        <f t="shared" si="10"/>
        <v>95-951500071</v>
      </c>
      <c r="C647" s="179" t="s">
        <v>5608</v>
      </c>
      <c r="E647" s="72"/>
      <c r="F647" s="72"/>
      <c r="G647" s="72"/>
      <c r="H647" s="124"/>
    </row>
    <row r="648" spans="1:8">
      <c r="A648" s="177">
        <v>951500074</v>
      </c>
      <c r="B648" s="116" t="str">
        <f t="shared" si="10"/>
        <v>95-951500074</v>
      </c>
      <c r="C648" s="179" t="s">
        <v>5608</v>
      </c>
      <c r="E648" s="72"/>
      <c r="F648" s="72"/>
      <c r="G648" s="72"/>
      <c r="H648" s="124"/>
    </row>
    <row r="649" spans="1:8">
      <c r="A649" s="177">
        <v>951500079</v>
      </c>
      <c r="B649" s="116" t="str">
        <f t="shared" si="10"/>
        <v>95-951500079</v>
      </c>
      <c r="C649" s="179" t="s">
        <v>5608</v>
      </c>
      <c r="E649" s="72"/>
      <c r="F649" s="72"/>
      <c r="G649" s="72"/>
      <c r="H649" s="124"/>
    </row>
    <row r="650" spans="1:8">
      <c r="A650" s="177">
        <v>951500172</v>
      </c>
      <c r="B650" s="116" t="str">
        <f t="shared" si="10"/>
        <v>95-951500172</v>
      </c>
      <c r="C650" s="179" t="s">
        <v>5622</v>
      </c>
      <c r="E650" s="72"/>
      <c r="F650" s="72"/>
      <c r="G650" s="72"/>
      <c r="H650" s="124"/>
    </row>
    <row r="651" spans="1:8">
      <c r="A651" s="177">
        <v>951500175</v>
      </c>
      <c r="B651" s="116" t="str">
        <f t="shared" si="10"/>
        <v>95-951500175</v>
      </c>
      <c r="C651" s="179" t="s">
        <v>5622</v>
      </c>
      <c r="E651" s="72"/>
      <c r="F651" s="72"/>
      <c r="G651" s="72"/>
      <c r="H651" s="124"/>
    </row>
    <row r="652" spans="1:8">
      <c r="A652" s="177">
        <v>951500182</v>
      </c>
      <c r="B652" s="116" t="str">
        <f t="shared" si="10"/>
        <v>95-951500182</v>
      </c>
      <c r="C652" s="179" t="s">
        <v>5622</v>
      </c>
      <c r="E652" s="72"/>
      <c r="F652" s="72"/>
      <c r="G652" s="72"/>
      <c r="H652" s="124"/>
    </row>
    <row r="653" spans="1:8">
      <c r="A653" s="177">
        <v>961500362</v>
      </c>
      <c r="B653" s="116" t="str">
        <f t="shared" si="10"/>
        <v>96-961500362</v>
      </c>
      <c r="C653" s="179" t="s">
        <v>7233</v>
      </c>
      <c r="E653" s="72"/>
      <c r="F653" s="72"/>
      <c r="G653" s="72"/>
      <c r="H653" s="124"/>
    </row>
    <row r="654" spans="1:8">
      <c r="A654" s="177">
        <v>961500438</v>
      </c>
      <c r="B654" s="116" t="str">
        <f t="shared" si="10"/>
        <v>96-961500438</v>
      </c>
      <c r="C654" s="179" t="s">
        <v>7233</v>
      </c>
      <c r="E654" s="72"/>
      <c r="F654" s="72"/>
      <c r="G654" s="72"/>
      <c r="H654" s="124"/>
    </row>
    <row r="655" spans="1:8">
      <c r="A655" s="177">
        <v>961500546</v>
      </c>
      <c r="B655" s="116" t="str">
        <f t="shared" si="10"/>
        <v>96-961500546</v>
      </c>
      <c r="C655" s="179" t="s">
        <v>8497</v>
      </c>
      <c r="E655" s="72"/>
      <c r="F655" s="72"/>
      <c r="G655" s="72"/>
      <c r="H655" s="124"/>
    </row>
    <row r="656" spans="1:8">
      <c r="A656" s="177">
        <v>961500708</v>
      </c>
      <c r="B656" s="116" t="str">
        <f t="shared" si="10"/>
        <v>96-961500708</v>
      </c>
      <c r="C656" s="179" t="s">
        <v>9770</v>
      </c>
      <c r="E656" s="72"/>
      <c r="F656" s="72"/>
      <c r="G656" s="72"/>
      <c r="H656" s="124"/>
    </row>
    <row r="657" spans="1:8">
      <c r="A657" s="177">
        <v>961500729</v>
      </c>
      <c r="B657" s="116" t="str">
        <f t="shared" si="10"/>
        <v>96-961500729</v>
      </c>
      <c r="C657" s="179" t="s">
        <v>9770</v>
      </c>
      <c r="E657" s="72"/>
      <c r="F657" s="72"/>
      <c r="G657" s="72"/>
      <c r="H657" s="124"/>
    </row>
    <row r="658" spans="1:8">
      <c r="A658" s="177">
        <v>961500796</v>
      </c>
      <c r="B658" s="116" t="str">
        <f t="shared" si="10"/>
        <v>96-961500796</v>
      </c>
      <c r="C658" s="179" t="s">
        <v>12306</v>
      </c>
      <c r="E658" s="72"/>
      <c r="F658" s="72"/>
      <c r="G658" s="72"/>
      <c r="H658" s="124"/>
    </row>
    <row r="659" spans="1:8">
      <c r="A659" s="177">
        <v>961500829</v>
      </c>
      <c r="B659" s="116" t="str">
        <f t="shared" si="10"/>
        <v>96-961500829</v>
      </c>
      <c r="C659" s="179" t="s">
        <v>12306</v>
      </c>
      <c r="E659" s="72"/>
      <c r="F659" s="72"/>
      <c r="G659" s="72"/>
      <c r="H659" s="124"/>
    </row>
    <row r="660" spans="1:8">
      <c r="A660" s="177">
        <v>961500838</v>
      </c>
      <c r="B660" s="116" t="str">
        <f t="shared" si="10"/>
        <v>96-961500838</v>
      </c>
      <c r="C660" s="179" t="s">
        <v>12306</v>
      </c>
      <c r="E660" s="72"/>
      <c r="F660" s="72"/>
      <c r="G660" s="72"/>
      <c r="H660" s="124"/>
    </row>
    <row r="661" spans="1:8">
      <c r="A661" s="177">
        <v>951500142</v>
      </c>
      <c r="B661" s="116" t="str">
        <f t="shared" si="10"/>
        <v>95-951500142</v>
      </c>
      <c r="C661" s="179" t="s">
        <v>5614</v>
      </c>
      <c r="E661" s="72"/>
      <c r="F661" s="72"/>
      <c r="G661" s="72"/>
      <c r="H661" s="124"/>
    </row>
    <row r="662" spans="1:8">
      <c r="A662" s="177">
        <v>951500170</v>
      </c>
      <c r="B662" s="116" t="str">
        <f t="shared" si="10"/>
        <v>95-951500170</v>
      </c>
      <c r="C662" s="179" t="s">
        <v>5614</v>
      </c>
      <c r="E662" s="72"/>
      <c r="F662" s="72"/>
      <c r="G662" s="72"/>
      <c r="H662" s="124"/>
    </row>
    <row r="663" spans="1:8">
      <c r="A663" s="177">
        <v>951500353</v>
      </c>
      <c r="B663" s="116" t="str">
        <f t="shared" si="10"/>
        <v>95-951500353</v>
      </c>
      <c r="C663" s="179" t="s">
        <v>5670</v>
      </c>
      <c r="E663" s="72"/>
      <c r="F663" s="72"/>
      <c r="G663" s="72"/>
      <c r="H663" s="124"/>
    </row>
    <row r="664" spans="1:8">
      <c r="A664" s="177">
        <v>961500022</v>
      </c>
      <c r="B664" s="116" t="str">
        <f t="shared" si="10"/>
        <v>96-961500022</v>
      </c>
      <c r="C664" s="179" t="s">
        <v>5772</v>
      </c>
      <c r="E664" s="72"/>
      <c r="F664" s="72"/>
      <c r="G664" s="72"/>
      <c r="H664" s="124"/>
    </row>
    <row r="665" spans="1:8">
      <c r="A665" s="177">
        <v>961500047</v>
      </c>
      <c r="B665" s="116" t="str">
        <f t="shared" si="10"/>
        <v>96-961500047</v>
      </c>
      <c r="C665" s="179" t="s">
        <v>5772</v>
      </c>
      <c r="E665" s="72"/>
      <c r="F665" s="72"/>
      <c r="G665" s="72"/>
      <c r="H665" s="124"/>
    </row>
    <row r="666" spans="1:8">
      <c r="A666" s="177">
        <v>961500265</v>
      </c>
      <c r="B666" s="116" t="str">
        <f t="shared" si="10"/>
        <v>96-961500265</v>
      </c>
      <c r="C666" s="179" t="s">
        <v>5821</v>
      </c>
      <c r="E666" s="72"/>
      <c r="F666" s="72"/>
      <c r="G666" s="72"/>
      <c r="H666" s="124"/>
    </row>
    <row r="667" spans="1:8">
      <c r="A667" s="177">
        <v>961500006</v>
      </c>
      <c r="B667" s="116" t="str">
        <f t="shared" si="10"/>
        <v>96-961500006</v>
      </c>
      <c r="C667" s="179" t="s">
        <v>5752</v>
      </c>
      <c r="E667" s="72"/>
      <c r="F667" s="72"/>
      <c r="G667" s="72"/>
      <c r="H667" s="124"/>
    </row>
    <row r="668" spans="1:8">
      <c r="A668" s="177">
        <v>961500051</v>
      </c>
      <c r="B668" s="116" t="str">
        <f t="shared" si="10"/>
        <v>96-961500051</v>
      </c>
      <c r="C668" s="179" t="s">
        <v>5758</v>
      </c>
      <c r="E668" s="72"/>
      <c r="F668" s="72"/>
      <c r="G668" s="72"/>
      <c r="H668" s="124"/>
    </row>
    <row r="669" spans="1:8">
      <c r="A669" s="177">
        <v>961500057</v>
      </c>
      <c r="B669" s="116" t="str">
        <f t="shared" si="10"/>
        <v>96-961500057</v>
      </c>
      <c r="C669" s="179" t="s">
        <v>5758</v>
      </c>
      <c r="E669" s="72"/>
      <c r="F669" s="72"/>
      <c r="G669" s="72"/>
      <c r="H669" s="124"/>
    </row>
    <row r="670" spans="1:8">
      <c r="A670" s="177">
        <v>961500069</v>
      </c>
      <c r="B670" s="116" t="str">
        <f t="shared" si="10"/>
        <v>96-961500069</v>
      </c>
      <c r="C670" s="179" t="s">
        <v>5758</v>
      </c>
      <c r="E670" s="72"/>
      <c r="F670" s="72"/>
      <c r="G670" s="72"/>
      <c r="H670" s="124"/>
    </row>
    <row r="671" spans="1:8">
      <c r="A671" s="177">
        <v>961500097</v>
      </c>
      <c r="B671" s="116" t="str">
        <f t="shared" si="10"/>
        <v>96-961500097</v>
      </c>
      <c r="C671" s="179" t="s">
        <v>5762</v>
      </c>
      <c r="E671" s="72"/>
      <c r="F671" s="72"/>
      <c r="G671" s="72"/>
      <c r="H671" s="124"/>
    </row>
    <row r="672" spans="1:8">
      <c r="A672" s="177">
        <v>961500098</v>
      </c>
      <c r="B672" s="116" t="str">
        <f t="shared" si="10"/>
        <v>96-961500098</v>
      </c>
      <c r="C672" s="179" t="s">
        <v>5762</v>
      </c>
      <c r="E672" s="72"/>
      <c r="F672" s="72"/>
      <c r="G672" s="72"/>
      <c r="H672" s="124"/>
    </row>
    <row r="673" spans="1:8">
      <c r="A673" s="177">
        <v>961500121</v>
      </c>
      <c r="B673" s="116" t="str">
        <f t="shared" si="10"/>
        <v>96-961500121</v>
      </c>
      <c r="C673" s="179" t="s">
        <v>5799</v>
      </c>
      <c r="E673" s="72"/>
      <c r="F673" s="72"/>
      <c r="G673" s="72"/>
      <c r="H673" s="124"/>
    </row>
    <row r="674" spans="1:8">
      <c r="A674" s="177">
        <v>961500122</v>
      </c>
      <c r="B674" s="116" t="str">
        <f t="shared" si="10"/>
        <v>96-961500122</v>
      </c>
      <c r="C674" s="179" t="s">
        <v>5799</v>
      </c>
      <c r="E674" s="72"/>
      <c r="F674" s="72"/>
      <c r="G674" s="72"/>
      <c r="H674" s="124"/>
    </row>
    <row r="675" spans="1:8">
      <c r="A675" s="177">
        <v>961500135</v>
      </c>
      <c r="B675" s="116" t="str">
        <f t="shared" si="10"/>
        <v>96-961500135</v>
      </c>
      <c r="C675" s="179" t="s">
        <v>5799</v>
      </c>
      <c r="E675" s="72"/>
      <c r="F675" s="72"/>
      <c r="G675" s="72"/>
      <c r="H675" s="124"/>
    </row>
    <row r="676" spans="1:8">
      <c r="A676" s="177">
        <v>961500139</v>
      </c>
      <c r="B676" s="116" t="str">
        <f t="shared" si="10"/>
        <v>96-961500139</v>
      </c>
      <c r="C676" s="179" t="s">
        <v>5799</v>
      </c>
      <c r="E676" s="72"/>
      <c r="F676" s="72"/>
      <c r="G676" s="72"/>
      <c r="H676" s="124"/>
    </row>
    <row r="677" spans="1:8">
      <c r="A677" s="177">
        <v>961500152</v>
      </c>
      <c r="B677" s="116" t="str">
        <f t="shared" si="10"/>
        <v>96-961500152</v>
      </c>
      <c r="C677" s="179" t="s">
        <v>5799</v>
      </c>
      <c r="E677" s="72"/>
      <c r="F677" s="72"/>
      <c r="G677" s="72"/>
      <c r="H677" s="124"/>
    </row>
    <row r="678" spans="1:8">
      <c r="A678" s="177">
        <v>961500158</v>
      </c>
      <c r="B678" s="116" t="str">
        <f t="shared" si="10"/>
        <v>96-961500158</v>
      </c>
      <c r="C678" s="179" t="s">
        <v>5810</v>
      </c>
      <c r="E678" s="72"/>
      <c r="F678" s="72"/>
      <c r="G678" s="72"/>
      <c r="H678" s="124"/>
    </row>
    <row r="679" spans="1:8">
      <c r="A679" s="177">
        <v>961500175</v>
      </c>
      <c r="B679" s="116" t="str">
        <f t="shared" si="10"/>
        <v>96-961500175</v>
      </c>
      <c r="C679" s="179" t="s">
        <v>5810</v>
      </c>
      <c r="E679" s="72"/>
      <c r="F679" s="72"/>
      <c r="G679" s="72"/>
      <c r="H679" s="124"/>
    </row>
    <row r="680" spans="1:8">
      <c r="A680" s="177">
        <v>961500184</v>
      </c>
      <c r="B680" s="116" t="str">
        <f t="shared" si="10"/>
        <v>96-961500184</v>
      </c>
      <c r="C680" s="179" t="s">
        <v>5813</v>
      </c>
      <c r="E680" s="72"/>
      <c r="F680" s="72"/>
      <c r="G680" s="72"/>
      <c r="H680" s="124"/>
    </row>
    <row r="681" spans="1:8">
      <c r="A681" s="177">
        <v>961500186</v>
      </c>
      <c r="B681" s="116" t="str">
        <f t="shared" si="10"/>
        <v>96-961500186</v>
      </c>
      <c r="C681" s="179" t="s">
        <v>5813</v>
      </c>
      <c r="E681" s="72"/>
      <c r="F681" s="72"/>
      <c r="G681" s="72"/>
      <c r="H681" s="124"/>
    </row>
    <row r="682" spans="1:8">
      <c r="A682" s="177">
        <v>961500225</v>
      </c>
      <c r="B682" s="116" t="str">
        <f t="shared" si="10"/>
        <v>96-961500225</v>
      </c>
      <c r="C682" s="179" t="s">
        <v>5813</v>
      </c>
      <c r="E682" s="72"/>
      <c r="F682" s="72"/>
      <c r="G682" s="72"/>
      <c r="H682" s="124"/>
    </row>
    <row r="683" spans="1:8">
      <c r="A683" s="177">
        <v>961500232</v>
      </c>
      <c r="B683" s="116" t="str">
        <f t="shared" si="10"/>
        <v>96-961500232</v>
      </c>
      <c r="C683" s="179" t="s">
        <v>5813</v>
      </c>
      <c r="E683" s="72"/>
      <c r="F683" s="72"/>
      <c r="G683" s="72"/>
      <c r="H683" s="124"/>
    </row>
    <row r="684" spans="1:8">
      <c r="A684" s="177">
        <v>961500724</v>
      </c>
      <c r="B684" s="116" t="str">
        <f t="shared" si="10"/>
        <v>96-961500724</v>
      </c>
      <c r="C684" s="179" t="s">
        <v>9796</v>
      </c>
      <c r="E684" s="72"/>
      <c r="F684" s="72"/>
      <c r="G684" s="72"/>
      <c r="H684" s="124"/>
    </row>
    <row r="685" spans="1:8">
      <c r="A685" s="177">
        <v>961500725</v>
      </c>
      <c r="B685" s="116" t="str">
        <f t="shared" si="10"/>
        <v>96-961500725</v>
      </c>
      <c r="C685" s="179" t="s">
        <v>9796</v>
      </c>
      <c r="E685" s="72"/>
      <c r="F685" s="72"/>
      <c r="G685" s="72"/>
      <c r="H685" s="124"/>
    </row>
    <row r="686" spans="1:8">
      <c r="A686" s="177">
        <v>961500760</v>
      </c>
      <c r="B686" s="116" t="str">
        <f t="shared" si="10"/>
        <v>96-961500760</v>
      </c>
      <c r="C686" s="179" t="s">
        <v>9797</v>
      </c>
      <c r="E686" s="72"/>
      <c r="F686" s="72"/>
      <c r="G686" s="72"/>
      <c r="H686" s="124"/>
    </row>
    <row r="687" spans="1:8">
      <c r="A687" s="177">
        <v>961500792</v>
      </c>
      <c r="B687" s="116" t="str">
        <f t="shared" si="10"/>
        <v>96-961500792</v>
      </c>
      <c r="C687" s="179" t="s">
        <v>12218</v>
      </c>
      <c r="E687" s="72"/>
      <c r="F687" s="72"/>
      <c r="G687" s="72"/>
      <c r="H687" s="124"/>
    </row>
    <row r="688" spans="1:8">
      <c r="A688" s="177">
        <v>961500830</v>
      </c>
      <c r="B688" s="116" t="str">
        <f t="shared" si="10"/>
        <v>96-961500830</v>
      </c>
      <c r="C688" s="179" t="s">
        <v>12221</v>
      </c>
      <c r="E688" s="72"/>
      <c r="F688" s="72"/>
      <c r="G688" s="72"/>
      <c r="H688" s="124"/>
    </row>
    <row r="689" spans="1:8">
      <c r="A689" s="177">
        <v>961500834</v>
      </c>
      <c r="B689" s="116" t="str">
        <f t="shared" si="10"/>
        <v>96-961500834</v>
      </c>
      <c r="C689" s="179" t="s">
        <v>12414</v>
      </c>
      <c r="E689" s="72"/>
      <c r="F689" s="72"/>
      <c r="G689" s="72"/>
      <c r="H689" s="124"/>
    </row>
    <row r="690" spans="1:8">
      <c r="A690" s="177">
        <v>951500240</v>
      </c>
      <c r="B690" s="116" t="str">
        <f t="shared" si="10"/>
        <v>95-951500240</v>
      </c>
      <c r="C690" s="179" t="s">
        <v>5632</v>
      </c>
      <c r="E690" s="72"/>
      <c r="F690" s="72"/>
      <c r="G690" s="72"/>
      <c r="H690" s="124"/>
    </row>
    <row r="691" spans="1:8">
      <c r="A691" s="177">
        <v>951500248</v>
      </c>
      <c r="B691" s="116" t="str">
        <f t="shared" si="10"/>
        <v>95-951500248</v>
      </c>
      <c r="C691" s="179" t="s">
        <v>5632</v>
      </c>
      <c r="E691" s="72"/>
      <c r="F691" s="72"/>
      <c r="G691" s="72"/>
      <c r="H691" s="124"/>
    </row>
    <row r="692" spans="1:8">
      <c r="A692" s="177">
        <v>951500271</v>
      </c>
      <c r="B692" s="116" t="str">
        <f t="shared" si="10"/>
        <v>95-951500271</v>
      </c>
      <c r="C692" s="179" t="s">
        <v>5651</v>
      </c>
      <c r="E692" s="72"/>
      <c r="F692" s="72"/>
      <c r="G692" s="72"/>
      <c r="H692" s="124"/>
    </row>
    <row r="693" spans="1:8">
      <c r="A693" s="177">
        <v>951500280</v>
      </c>
      <c r="B693" s="116" t="str">
        <f t="shared" si="10"/>
        <v>95-951500280</v>
      </c>
      <c r="C693" s="179" t="s">
        <v>5651</v>
      </c>
      <c r="E693" s="72"/>
      <c r="F693" s="72"/>
      <c r="G693" s="72"/>
      <c r="H693" s="124"/>
    </row>
    <row r="694" spans="1:8">
      <c r="A694" s="177">
        <v>951500308</v>
      </c>
      <c r="B694" s="116" t="str">
        <f t="shared" si="10"/>
        <v>95-951500308</v>
      </c>
      <c r="C694" s="179" t="s">
        <v>5662</v>
      </c>
      <c r="E694" s="72"/>
      <c r="F694" s="72"/>
      <c r="G694" s="72"/>
      <c r="H694" s="124"/>
    </row>
    <row r="695" spans="1:8">
      <c r="A695" s="177">
        <v>951500344</v>
      </c>
      <c r="B695" s="116" t="str">
        <f t="shared" si="10"/>
        <v>95-951500344</v>
      </c>
      <c r="C695" s="179" t="s">
        <v>5662</v>
      </c>
      <c r="E695" s="72"/>
      <c r="F695" s="72"/>
      <c r="G695" s="72"/>
      <c r="H695" s="124"/>
    </row>
    <row r="696" spans="1:8">
      <c r="A696" s="177">
        <v>951500348</v>
      </c>
      <c r="B696" s="116" t="str">
        <f t="shared" si="10"/>
        <v>95-951500348</v>
      </c>
      <c r="C696" s="179" t="s">
        <v>5662</v>
      </c>
      <c r="E696" s="72"/>
      <c r="F696" s="72"/>
      <c r="G696" s="72"/>
      <c r="H696" s="124"/>
    </row>
    <row r="697" spans="1:8">
      <c r="A697" s="177">
        <v>951500483</v>
      </c>
      <c r="B697" s="116" t="str">
        <f t="shared" si="10"/>
        <v>95-951500483</v>
      </c>
      <c r="C697" s="179" t="s">
        <v>5713</v>
      </c>
      <c r="E697" s="72"/>
      <c r="F697" s="72"/>
      <c r="G697" s="72"/>
      <c r="H697" s="124"/>
    </row>
    <row r="698" spans="1:8">
      <c r="A698" s="177">
        <v>951500548</v>
      </c>
      <c r="B698" s="116" t="str">
        <f t="shared" si="10"/>
        <v>95-951500548</v>
      </c>
      <c r="C698" s="179" t="s">
        <v>5712</v>
      </c>
      <c r="E698" s="72"/>
      <c r="F698" s="72"/>
      <c r="G698" s="72"/>
      <c r="H698" s="124"/>
    </row>
    <row r="699" spans="1:8">
      <c r="A699" s="177">
        <v>951500561</v>
      </c>
      <c r="B699" s="116" t="str">
        <f t="shared" si="10"/>
        <v>95-951500561</v>
      </c>
      <c r="C699" s="179" t="s">
        <v>5738</v>
      </c>
      <c r="E699" s="72"/>
      <c r="F699" s="72"/>
      <c r="G699" s="72"/>
      <c r="H699" s="124"/>
    </row>
    <row r="700" spans="1:8">
      <c r="A700" s="177">
        <v>951500030</v>
      </c>
      <c r="B700" s="116" t="str">
        <f t="shared" si="10"/>
        <v>95-951500030</v>
      </c>
      <c r="C700" s="179" t="s">
        <v>5612</v>
      </c>
      <c r="E700" s="72"/>
      <c r="F700" s="72"/>
      <c r="G700" s="72"/>
      <c r="H700" s="124"/>
    </row>
    <row r="701" spans="1:8">
      <c r="A701" s="177">
        <v>951500046</v>
      </c>
      <c r="B701" s="116" t="str">
        <f t="shared" si="10"/>
        <v>95-951500046</v>
      </c>
      <c r="C701" s="179" t="s">
        <v>5612</v>
      </c>
      <c r="E701" s="72"/>
      <c r="F701" s="72"/>
      <c r="G701" s="72"/>
      <c r="H701" s="124"/>
    </row>
    <row r="702" spans="1:8">
      <c r="A702" s="177">
        <v>951500120</v>
      </c>
      <c r="B702" s="116" t="str">
        <f t="shared" si="10"/>
        <v>95-951500120</v>
      </c>
      <c r="C702" s="179" t="s">
        <v>5612</v>
      </c>
      <c r="E702" s="72"/>
      <c r="F702" s="72"/>
      <c r="G702" s="72"/>
      <c r="H702" s="124"/>
    </row>
    <row r="703" spans="1:8">
      <c r="A703" s="177">
        <v>951500140</v>
      </c>
      <c r="B703" s="116" t="str">
        <f t="shared" si="10"/>
        <v>95-951500140</v>
      </c>
      <c r="C703" s="179" t="s">
        <v>5619</v>
      </c>
      <c r="E703" s="72"/>
      <c r="F703" s="72"/>
      <c r="G703" s="72"/>
      <c r="H703" s="124"/>
    </row>
    <row r="704" spans="1:8">
      <c r="A704" s="177">
        <v>951500160</v>
      </c>
      <c r="B704" s="116" t="str">
        <f t="shared" si="10"/>
        <v>95-951500160</v>
      </c>
      <c r="C704" s="179" t="s">
        <v>5619</v>
      </c>
      <c r="E704" s="72"/>
      <c r="F704" s="72"/>
      <c r="G704" s="72"/>
      <c r="H704" s="124"/>
    </row>
    <row r="705" spans="1:8">
      <c r="A705" s="177">
        <v>951500163</v>
      </c>
      <c r="B705" s="116" t="str">
        <f t="shared" si="10"/>
        <v>95-951500163</v>
      </c>
      <c r="C705" s="179" t="s">
        <v>5619</v>
      </c>
      <c r="E705" s="72"/>
      <c r="F705" s="72"/>
      <c r="G705" s="72"/>
      <c r="H705" s="124"/>
    </row>
    <row r="706" spans="1:8">
      <c r="A706" s="177">
        <v>951500177</v>
      </c>
      <c r="B706" s="116" t="str">
        <f t="shared" si="10"/>
        <v>95-951500177</v>
      </c>
      <c r="C706" s="179" t="s">
        <v>5619</v>
      </c>
      <c r="E706" s="72"/>
      <c r="F706" s="72"/>
      <c r="G706" s="72"/>
      <c r="H706" s="124"/>
    </row>
    <row r="707" spans="1:8">
      <c r="A707" s="177">
        <v>951500211</v>
      </c>
      <c r="B707" s="116" t="str">
        <f t="shared" ref="B707:B770" si="11">MID(A707,1,2)&amp;"-"&amp;A707</f>
        <v>95-951500211</v>
      </c>
      <c r="C707" s="179" t="s">
        <v>5630</v>
      </c>
      <c r="E707" s="72"/>
      <c r="F707" s="72"/>
      <c r="G707" s="72"/>
      <c r="H707" s="124"/>
    </row>
    <row r="708" spans="1:8">
      <c r="A708" s="177">
        <v>961500299</v>
      </c>
      <c r="B708" s="116" t="str">
        <f t="shared" si="11"/>
        <v>96-961500299</v>
      </c>
      <c r="C708" s="179" t="s">
        <v>5822</v>
      </c>
      <c r="E708" s="72"/>
      <c r="F708" s="72"/>
      <c r="G708" s="72"/>
      <c r="H708" s="124"/>
    </row>
    <row r="709" spans="1:8">
      <c r="A709" s="177">
        <v>961500468</v>
      </c>
      <c r="B709" s="116" t="str">
        <f t="shared" si="11"/>
        <v>96-961500468</v>
      </c>
      <c r="C709" s="179" t="s">
        <v>7255</v>
      </c>
      <c r="E709" s="72"/>
      <c r="F709" s="72"/>
      <c r="G709" s="72"/>
      <c r="H709" s="124"/>
    </row>
    <row r="710" spans="1:8">
      <c r="A710" s="177">
        <v>961500491</v>
      </c>
      <c r="B710" s="116" t="str">
        <f t="shared" si="11"/>
        <v>96-961500491</v>
      </c>
      <c r="C710" s="179" t="s">
        <v>7234</v>
      </c>
      <c r="E710" s="72"/>
      <c r="F710" s="72"/>
      <c r="G710" s="72"/>
      <c r="H710" s="124"/>
    </row>
    <row r="711" spans="1:8">
      <c r="A711" s="177">
        <v>961500501</v>
      </c>
      <c r="B711" s="116" t="str">
        <f t="shared" si="11"/>
        <v>96-961500501</v>
      </c>
      <c r="C711" s="179" t="s">
        <v>7121</v>
      </c>
      <c r="E711" s="72"/>
      <c r="F711" s="72"/>
      <c r="G711" s="72"/>
      <c r="H711" s="124"/>
    </row>
    <row r="712" spans="1:8">
      <c r="A712" s="177">
        <v>961500602</v>
      </c>
      <c r="B712" s="116" t="str">
        <f t="shared" si="11"/>
        <v>96-961500602</v>
      </c>
      <c r="C712" s="179" t="s">
        <v>8725</v>
      </c>
      <c r="E712" s="72"/>
      <c r="F712" s="72"/>
      <c r="G712" s="72"/>
      <c r="H712" s="124"/>
    </row>
    <row r="713" spans="1:8">
      <c r="A713" s="177">
        <v>961500751</v>
      </c>
      <c r="B713" s="116" t="str">
        <f t="shared" si="11"/>
        <v>96-961500751</v>
      </c>
      <c r="C713" s="179" t="s">
        <v>9789</v>
      </c>
      <c r="E713" s="72"/>
      <c r="F713" s="72"/>
      <c r="G713" s="72"/>
      <c r="H713" s="124"/>
    </row>
    <row r="714" spans="1:8">
      <c r="A714" s="177">
        <v>961500769</v>
      </c>
      <c r="B714" s="116" t="str">
        <f t="shared" si="11"/>
        <v>96-961500769</v>
      </c>
      <c r="C714" s="179" t="s">
        <v>9797</v>
      </c>
      <c r="E714" s="72"/>
      <c r="F714" s="72"/>
      <c r="G714" s="72"/>
      <c r="H714" s="124"/>
    </row>
    <row r="715" spans="1:8">
      <c r="A715" s="177">
        <v>961500780</v>
      </c>
      <c r="B715" s="116" t="str">
        <f t="shared" si="11"/>
        <v>96-961500780</v>
      </c>
      <c r="C715" s="179" t="s">
        <v>9790</v>
      </c>
      <c r="E715" s="72"/>
      <c r="F715" s="72"/>
      <c r="G715" s="72"/>
      <c r="H715" s="124"/>
    </row>
    <row r="716" spans="1:8">
      <c r="A716" s="177">
        <v>961500793</v>
      </c>
      <c r="B716" s="116" t="str">
        <f t="shared" si="11"/>
        <v>96-961500793</v>
      </c>
      <c r="C716" s="179" t="s">
        <v>12218</v>
      </c>
      <c r="E716" s="72"/>
      <c r="F716" s="72"/>
      <c r="G716" s="72"/>
      <c r="H716" s="124"/>
    </row>
    <row r="717" spans="1:8">
      <c r="A717" s="177">
        <v>961500845</v>
      </c>
      <c r="B717" s="116" t="str">
        <f t="shared" si="11"/>
        <v>96-961500845</v>
      </c>
      <c r="C717" s="179" t="s">
        <v>12414</v>
      </c>
      <c r="E717" s="72"/>
      <c r="F717" s="72"/>
      <c r="G717" s="72"/>
      <c r="H717" s="124"/>
    </row>
    <row r="718" spans="1:8">
      <c r="A718" s="177">
        <v>951500296</v>
      </c>
      <c r="B718" s="116" t="str">
        <f t="shared" si="11"/>
        <v>95-951500296</v>
      </c>
      <c r="C718" s="179" t="s">
        <v>5660</v>
      </c>
      <c r="E718" s="72"/>
      <c r="F718" s="72"/>
      <c r="G718" s="72"/>
      <c r="H718" s="124"/>
    </row>
    <row r="719" spans="1:8">
      <c r="A719" s="177">
        <v>951500398</v>
      </c>
      <c r="B719" s="116" t="str">
        <f t="shared" si="11"/>
        <v>95-951500398</v>
      </c>
      <c r="C719" s="179" t="s">
        <v>5686</v>
      </c>
      <c r="E719" s="72"/>
      <c r="F719" s="72"/>
      <c r="G719" s="72"/>
      <c r="H719" s="124"/>
    </row>
    <row r="720" spans="1:8">
      <c r="A720" s="177">
        <v>951500415</v>
      </c>
      <c r="B720" s="116" t="str">
        <f t="shared" si="11"/>
        <v>95-951500415</v>
      </c>
      <c r="C720" s="179" t="s">
        <v>5686</v>
      </c>
      <c r="E720" s="72"/>
      <c r="F720" s="72"/>
      <c r="G720" s="72"/>
      <c r="H720" s="124"/>
    </row>
    <row r="721" spans="1:8">
      <c r="A721" s="177">
        <v>951500482</v>
      </c>
      <c r="B721" s="116" t="str">
        <f t="shared" si="11"/>
        <v>95-951500482</v>
      </c>
      <c r="C721" s="179" t="s">
        <v>5712</v>
      </c>
      <c r="E721" s="72"/>
      <c r="F721" s="72"/>
      <c r="G721" s="72"/>
      <c r="H721" s="124"/>
    </row>
    <row r="722" spans="1:8">
      <c r="A722" s="177">
        <v>961500023</v>
      </c>
      <c r="B722" s="116" t="str">
        <f t="shared" si="11"/>
        <v>96-961500023</v>
      </c>
      <c r="C722" s="179" t="s">
        <v>5751</v>
      </c>
      <c r="E722" s="72"/>
      <c r="F722" s="72"/>
      <c r="G722" s="72"/>
      <c r="H722" s="124"/>
    </row>
    <row r="723" spans="1:8">
      <c r="A723" s="177">
        <v>961500205</v>
      </c>
      <c r="B723" s="116" t="str">
        <f t="shared" si="11"/>
        <v>96-961500205</v>
      </c>
      <c r="C723" s="179" t="s">
        <v>5818</v>
      </c>
      <c r="E723" s="72"/>
      <c r="F723" s="72"/>
      <c r="G723" s="72"/>
      <c r="H723" s="124"/>
    </row>
    <row r="724" spans="1:8">
      <c r="A724" s="177">
        <v>961500273</v>
      </c>
      <c r="B724" s="116" t="str">
        <f t="shared" si="11"/>
        <v>96-961500273</v>
      </c>
      <c r="C724" s="179" t="s">
        <v>5820</v>
      </c>
      <c r="E724" s="72"/>
      <c r="F724" s="72"/>
      <c r="G724" s="72"/>
      <c r="H724" s="124"/>
    </row>
    <row r="725" spans="1:8">
      <c r="A725" s="177">
        <v>961500233</v>
      </c>
      <c r="B725" s="116" t="str">
        <f t="shared" si="11"/>
        <v>96-961500233</v>
      </c>
      <c r="C725" s="179" t="s">
        <v>5813</v>
      </c>
      <c r="E725" s="72"/>
      <c r="F725" s="72"/>
      <c r="G725" s="72"/>
      <c r="H725" s="124"/>
    </row>
    <row r="726" spans="1:8">
      <c r="A726" s="177">
        <v>961500262</v>
      </c>
      <c r="B726" s="116" t="str">
        <f t="shared" si="11"/>
        <v>96-961500262</v>
      </c>
      <c r="C726" s="179" t="s">
        <v>5826</v>
      </c>
      <c r="E726" s="72"/>
      <c r="F726" s="72"/>
      <c r="G726" s="72"/>
      <c r="H726" s="124"/>
    </row>
    <row r="727" spans="1:8">
      <c r="A727" s="177">
        <v>961500292</v>
      </c>
      <c r="B727" s="116" t="str">
        <f t="shared" si="11"/>
        <v>96-961500292</v>
      </c>
      <c r="C727" s="179" t="s">
        <v>5826</v>
      </c>
      <c r="E727" s="72"/>
      <c r="F727" s="72"/>
      <c r="G727" s="72"/>
      <c r="H727" s="124"/>
    </row>
    <row r="728" spans="1:8">
      <c r="A728" s="177">
        <v>961500309</v>
      </c>
      <c r="B728" s="116" t="str">
        <f t="shared" si="11"/>
        <v>96-961500309</v>
      </c>
      <c r="C728" s="179" t="s">
        <v>5831</v>
      </c>
      <c r="E728" s="72"/>
      <c r="F728" s="72"/>
      <c r="G728" s="72"/>
      <c r="H728" s="124"/>
    </row>
    <row r="729" spans="1:8">
      <c r="A729" s="177">
        <v>961500313</v>
      </c>
      <c r="B729" s="116" t="str">
        <f t="shared" si="11"/>
        <v>96-961500313</v>
      </c>
      <c r="C729" s="179" t="s">
        <v>5831</v>
      </c>
      <c r="E729" s="72"/>
      <c r="F729" s="72"/>
      <c r="G729" s="72"/>
      <c r="H729" s="124"/>
    </row>
    <row r="730" spans="1:8">
      <c r="A730" s="177">
        <v>961500335</v>
      </c>
      <c r="B730" s="116" t="str">
        <f t="shared" si="11"/>
        <v>96-961500335</v>
      </c>
      <c r="C730" s="179" t="s">
        <v>7231</v>
      </c>
      <c r="E730" s="72"/>
      <c r="F730" s="72"/>
      <c r="G730" s="72"/>
      <c r="H730" s="124"/>
    </row>
    <row r="731" spans="1:8">
      <c r="A731" s="177">
        <v>961500339</v>
      </c>
      <c r="B731" s="116" t="str">
        <f t="shared" si="11"/>
        <v>96-961500339</v>
      </c>
      <c r="C731" s="179" t="s">
        <v>5831</v>
      </c>
      <c r="E731" s="72"/>
      <c r="F731" s="72"/>
      <c r="G731" s="72"/>
      <c r="H731" s="124"/>
    </row>
    <row r="732" spans="1:8">
      <c r="A732" s="177">
        <v>961500374</v>
      </c>
      <c r="B732" s="116" t="str">
        <f t="shared" si="11"/>
        <v>96-961500374</v>
      </c>
      <c r="C732" s="179" t="s">
        <v>7175</v>
      </c>
      <c r="E732" s="72"/>
      <c r="F732" s="72"/>
      <c r="G732" s="72"/>
      <c r="H732" s="124"/>
    </row>
    <row r="733" spans="1:8">
      <c r="A733" s="177">
        <v>961500394</v>
      </c>
      <c r="B733" s="116" t="str">
        <f t="shared" si="11"/>
        <v>96-961500394</v>
      </c>
      <c r="C733" s="179" t="s">
        <v>7231</v>
      </c>
      <c r="E733" s="72"/>
      <c r="F733" s="72"/>
      <c r="G733" s="72"/>
      <c r="H733" s="124"/>
    </row>
    <row r="734" spans="1:8">
      <c r="A734" s="177">
        <v>961500397</v>
      </c>
      <c r="B734" s="116" t="str">
        <f t="shared" si="11"/>
        <v>96-961500397</v>
      </c>
      <c r="C734" s="179" t="s">
        <v>7231</v>
      </c>
      <c r="E734" s="72"/>
      <c r="F734" s="72"/>
      <c r="G734" s="72"/>
      <c r="H734" s="124"/>
    </row>
    <row r="735" spans="1:8">
      <c r="A735" s="177">
        <v>961500409</v>
      </c>
      <c r="B735" s="116" t="str">
        <f t="shared" si="11"/>
        <v>96-961500409</v>
      </c>
      <c r="C735" s="179" t="s">
        <v>7231</v>
      </c>
      <c r="E735" s="72"/>
      <c r="F735" s="72"/>
      <c r="G735" s="72"/>
      <c r="H735" s="124"/>
    </row>
    <row r="736" spans="1:8">
      <c r="A736" s="177">
        <v>961500432</v>
      </c>
      <c r="B736" s="116" t="str">
        <f t="shared" si="11"/>
        <v>96-961500432</v>
      </c>
      <c r="C736" s="179" t="s">
        <v>7231</v>
      </c>
      <c r="E736" s="72"/>
      <c r="F736" s="72"/>
      <c r="G736" s="72"/>
      <c r="H736" s="124"/>
    </row>
    <row r="737" spans="1:8">
      <c r="A737" s="177">
        <v>961500467</v>
      </c>
      <c r="B737" s="116" t="str">
        <f t="shared" si="11"/>
        <v>96-961500467</v>
      </c>
      <c r="C737" s="179" t="s">
        <v>7175</v>
      </c>
      <c r="E737" s="72"/>
      <c r="F737" s="72"/>
      <c r="G737" s="72"/>
      <c r="H737" s="124"/>
    </row>
    <row r="738" spans="1:8">
      <c r="A738" s="177">
        <v>961500470</v>
      </c>
      <c r="B738" s="116" t="str">
        <f t="shared" si="11"/>
        <v>96-961500470</v>
      </c>
      <c r="C738" s="179" t="s">
        <v>7175</v>
      </c>
      <c r="E738" s="72"/>
      <c r="F738" s="72"/>
      <c r="G738" s="72"/>
      <c r="H738" s="124"/>
    </row>
    <row r="739" spans="1:8">
      <c r="A739" s="177">
        <v>961500504</v>
      </c>
      <c r="B739" s="116" t="str">
        <f t="shared" si="11"/>
        <v>96-961500504</v>
      </c>
      <c r="C739" s="179" t="s">
        <v>7111</v>
      </c>
      <c r="E739" s="72"/>
      <c r="F739" s="72"/>
      <c r="G739" s="72"/>
      <c r="H739" s="124"/>
    </row>
    <row r="740" spans="1:8">
      <c r="A740" s="177">
        <v>961500531</v>
      </c>
      <c r="B740" s="116" t="str">
        <f t="shared" si="11"/>
        <v>96-961500531</v>
      </c>
      <c r="C740" s="179" t="s">
        <v>7175</v>
      </c>
      <c r="E740" s="72"/>
      <c r="F740" s="72"/>
      <c r="G740" s="72"/>
      <c r="H740" s="124"/>
    </row>
    <row r="741" spans="1:8">
      <c r="A741" s="177">
        <v>961500540</v>
      </c>
      <c r="B741" s="116" t="str">
        <f t="shared" si="11"/>
        <v>96-961500540</v>
      </c>
      <c r="C741" s="179" t="s">
        <v>7273</v>
      </c>
      <c r="E741" s="72"/>
      <c r="F741" s="72"/>
      <c r="G741" s="72"/>
      <c r="H741" s="124"/>
    </row>
    <row r="742" spans="1:8">
      <c r="A742" s="177">
        <v>951500593</v>
      </c>
      <c r="B742" s="116" t="str">
        <f t="shared" si="11"/>
        <v>95-951500593</v>
      </c>
      <c r="C742" s="179" t="s">
        <v>5748</v>
      </c>
      <c r="E742" s="72"/>
      <c r="F742" s="72"/>
      <c r="G742" s="72"/>
      <c r="H742" s="124"/>
    </row>
    <row r="743" spans="1:8">
      <c r="A743" s="177">
        <v>961500040</v>
      </c>
      <c r="B743" s="116" t="str">
        <f t="shared" si="11"/>
        <v>96-961500040</v>
      </c>
      <c r="C743" s="179" t="s">
        <v>5777</v>
      </c>
      <c r="E743" s="72"/>
      <c r="F743" s="72"/>
      <c r="G743" s="72"/>
      <c r="H743" s="124"/>
    </row>
    <row r="744" spans="1:8">
      <c r="A744" s="177">
        <v>961500060</v>
      </c>
      <c r="B744" s="116" t="str">
        <f t="shared" si="11"/>
        <v>96-961500060</v>
      </c>
      <c r="C744" s="179" t="s">
        <v>5777</v>
      </c>
      <c r="E744" s="72"/>
      <c r="F744" s="72"/>
      <c r="G744" s="72"/>
      <c r="H744" s="124"/>
    </row>
    <row r="745" spans="1:8">
      <c r="A745" s="177">
        <v>961500066</v>
      </c>
      <c r="B745" s="116" t="str">
        <f t="shared" si="11"/>
        <v>96-961500066</v>
      </c>
      <c r="C745" s="179" t="s">
        <v>5777</v>
      </c>
      <c r="E745" s="72"/>
      <c r="F745" s="72"/>
      <c r="G745" s="72"/>
      <c r="H745" s="124"/>
    </row>
    <row r="746" spans="1:8">
      <c r="A746" s="177">
        <v>961500142</v>
      </c>
      <c r="B746" s="116" t="str">
        <f t="shared" si="11"/>
        <v>96-961500142</v>
      </c>
      <c r="C746" s="179" t="s">
        <v>5803</v>
      </c>
      <c r="E746" s="72"/>
      <c r="F746" s="72"/>
      <c r="G746" s="72"/>
      <c r="H746" s="124"/>
    </row>
    <row r="747" spans="1:8">
      <c r="A747" s="177">
        <v>961500149</v>
      </c>
      <c r="B747" s="116" t="str">
        <f t="shared" si="11"/>
        <v>96-961500149</v>
      </c>
      <c r="C747" s="179" t="s">
        <v>5789</v>
      </c>
      <c r="E747" s="72"/>
      <c r="F747" s="72"/>
      <c r="G747" s="72"/>
      <c r="H747" s="124"/>
    </row>
    <row r="748" spans="1:8">
      <c r="A748" s="177">
        <v>961500167</v>
      </c>
      <c r="B748" s="116" t="str">
        <f t="shared" si="11"/>
        <v>96-961500167</v>
      </c>
      <c r="C748" s="179" t="s">
        <v>5789</v>
      </c>
      <c r="E748" s="72"/>
      <c r="F748" s="72"/>
      <c r="G748" s="72"/>
      <c r="H748" s="124"/>
    </row>
    <row r="749" spans="1:8">
      <c r="A749" s="177">
        <v>961500220</v>
      </c>
      <c r="B749" s="116" t="str">
        <f t="shared" si="11"/>
        <v>96-961500220</v>
      </c>
      <c r="C749" s="179" t="s">
        <v>5819</v>
      </c>
      <c r="E749" s="72"/>
      <c r="F749" s="72"/>
      <c r="G749" s="72"/>
      <c r="H749" s="124"/>
    </row>
    <row r="750" spans="1:8">
      <c r="A750" s="177">
        <v>961500230</v>
      </c>
      <c r="B750" s="116" t="str">
        <f t="shared" si="11"/>
        <v>96-961500230</v>
      </c>
      <c r="C750" s="179" t="s">
        <v>5819</v>
      </c>
      <c r="E750" s="72"/>
      <c r="F750" s="72"/>
      <c r="G750" s="72"/>
      <c r="H750" s="124"/>
    </row>
    <row r="751" spans="1:8">
      <c r="A751" s="177">
        <v>961500272</v>
      </c>
      <c r="B751" s="116" t="str">
        <f t="shared" si="11"/>
        <v>96-961500272</v>
      </c>
      <c r="C751" s="179" t="s">
        <v>5807</v>
      </c>
      <c r="E751" s="72"/>
      <c r="F751" s="72"/>
      <c r="G751" s="72"/>
      <c r="H751" s="124"/>
    </row>
    <row r="752" spans="1:8">
      <c r="A752" s="177">
        <v>961500276</v>
      </c>
      <c r="B752" s="116" t="str">
        <f t="shared" si="11"/>
        <v>96-961500276</v>
      </c>
      <c r="C752" s="179" t="s">
        <v>5820</v>
      </c>
      <c r="E752" s="72"/>
      <c r="F752" s="72"/>
      <c r="G752" s="72"/>
      <c r="H752" s="124"/>
    </row>
    <row r="753" spans="1:8">
      <c r="A753" s="177">
        <v>961500300</v>
      </c>
      <c r="B753" s="116" t="str">
        <f t="shared" si="11"/>
        <v>96-961500300</v>
      </c>
      <c r="C753" s="179" t="s">
        <v>5820</v>
      </c>
      <c r="E753" s="72"/>
      <c r="F753" s="72"/>
      <c r="G753" s="72"/>
      <c r="H753" s="124"/>
    </row>
    <row r="754" spans="1:8">
      <c r="A754" s="177">
        <v>961500326</v>
      </c>
      <c r="B754" s="116" t="str">
        <f t="shared" si="11"/>
        <v>96-961500326</v>
      </c>
      <c r="C754" s="179" t="s">
        <v>5818</v>
      </c>
      <c r="E754" s="72"/>
      <c r="F754" s="72"/>
      <c r="G754" s="72"/>
      <c r="H754" s="124"/>
    </row>
    <row r="755" spans="1:8">
      <c r="A755" s="177">
        <v>961500348</v>
      </c>
      <c r="B755" s="116" t="str">
        <f t="shared" si="11"/>
        <v>96-961500348</v>
      </c>
      <c r="C755" s="179" t="s">
        <v>5818</v>
      </c>
      <c r="E755" s="72"/>
      <c r="F755" s="72"/>
      <c r="G755" s="72"/>
      <c r="H755" s="124"/>
    </row>
    <row r="756" spans="1:8">
      <c r="A756" s="177">
        <v>961500411</v>
      </c>
      <c r="B756" s="116" t="str">
        <f t="shared" si="11"/>
        <v>96-961500411</v>
      </c>
      <c r="C756" s="179" t="s">
        <v>7237</v>
      </c>
      <c r="E756" s="72"/>
      <c r="F756" s="72"/>
      <c r="G756" s="72"/>
      <c r="H756" s="124"/>
    </row>
    <row r="757" spans="1:8">
      <c r="A757" s="177">
        <v>961500527</v>
      </c>
      <c r="B757" s="116" t="str">
        <f t="shared" si="11"/>
        <v>96-961500527</v>
      </c>
      <c r="C757" s="179" t="s">
        <v>5842</v>
      </c>
      <c r="E757" s="72"/>
      <c r="F757" s="72"/>
      <c r="G757" s="72"/>
      <c r="H757" s="124"/>
    </row>
    <row r="758" spans="1:8">
      <c r="A758" s="177">
        <v>961500597</v>
      </c>
      <c r="B758" s="116" t="str">
        <f t="shared" si="11"/>
        <v>96-961500597</v>
      </c>
      <c r="C758" s="179" t="s">
        <v>8722</v>
      </c>
      <c r="E758" s="72"/>
      <c r="F758" s="72"/>
      <c r="G758" s="72"/>
      <c r="H758" s="124"/>
    </row>
    <row r="759" spans="1:8">
      <c r="A759" s="177">
        <v>951500178</v>
      </c>
      <c r="B759" s="116" t="str">
        <f t="shared" si="11"/>
        <v>95-951500178</v>
      </c>
      <c r="C759" s="179" t="s">
        <v>5622</v>
      </c>
      <c r="E759" s="72"/>
      <c r="F759" s="72"/>
      <c r="G759" s="72"/>
      <c r="H759" s="124"/>
    </row>
    <row r="760" spans="1:8">
      <c r="A760" s="177">
        <v>951500191</v>
      </c>
      <c r="B760" s="116" t="str">
        <f t="shared" si="11"/>
        <v>95-951500191</v>
      </c>
      <c r="C760" s="179" t="s">
        <v>5622</v>
      </c>
      <c r="E760" s="72"/>
      <c r="F760" s="72"/>
      <c r="G760" s="72"/>
      <c r="H760" s="124"/>
    </row>
    <row r="761" spans="1:8">
      <c r="A761" s="177">
        <v>951500497</v>
      </c>
      <c r="B761" s="116" t="str">
        <f t="shared" si="11"/>
        <v>95-951500497</v>
      </c>
      <c r="C761" s="179" t="s">
        <v>5690</v>
      </c>
      <c r="E761" s="72"/>
      <c r="F761" s="72"/>
      <c r="G761" s="72"/>
      <c r="H761" s="124"/>
    </row>
    <row r="762" spans="1:8">
      <c r="A762" s="177">
        <v>951500498</v>
      </c>
      <c r="B762" s="116" t="str">
        <f t="shared" si="11"/>
        <v>95-951500498</v>
      </c>
      <c r="C762" s="179" t="s">
        <v>5690</v>
      </c>
      <c r="E762" s="72"/>
      <c r="F762" s="72"/>
      <c r="G762" s="72"/>
      <c r="H762" s="124"/>
    </row>
    <row r="763" spans="1:8">
      <c r="A763" s="177">
        <v>951500529</v>
      </c>
      <c r="B763" s="116" t="str">
        <f t="shared" si="11"/>
        <v>95-951500529</v>
      </c>
      <c r="C763" s="179" t="s">
        <v>5690</v>
      </c>
      <c r="E763" s="72"/>
      <c r="F763" s="72"/>
      <c r="G763" s="72"/>
      <c r="H763" s="124"/>
    </row>
    <row r="764" spans="1:8">
      <c r="A764" s="177">
        <v>961500436</v>
      </c>
      <c r="B764" s="116" t="str">
        <f t="shared" si="11"/>
        <v>96-961500436</v>
      </c>
      <c r="C764" s="179" t="s">
        <v>7233</v>
      </c>
      <c r="E764" s="72"/>
      <c r="F764" s="72"/>
      <c r="G764" s="72"/>
      <c r="H764" s="124"/>
    </row>
    <row r="765" spans="1:8">
      <c r="A765" s="177">
        <v>961500685</v>
      </c>
      <c r="B765" s="116" t="str">
        <f t="shared" si="11"/>
        <v>96-961500685</v>
      </c>
      <c r="C765" s="179" t="s">
        <v>9770</v>
      </c>
      <c r="E765" s="72"/>
      <c r="F765" s="72"/>
      <c r="G765" s="72"/>
      <c r="H765" s="124"/>
    </row>
    <row r="766" spans="1:8">
      <c r="A766" s="177">
        <v>961500709</v>
      </c>
      <c r="B766" s="116" t="str">
        <f t="shared" si="11"/>
        <v>96-961500709</v>
      </c>
      <c r="C766" s="179" t="s">
        <v>9770</v>
      </c>
      <c r="E766" s="72"/>
      <c r="F766" s="72"/>
      <c r="G766" s="72"/>
      <c r="H766" s="124"/>
    </row>
    <row r="767" spans="1:8">
      <c r="A767" s="177">
        <v>961500713</v>
      </c>
      <c r="B767" s="116" t="str">
        <f t="shared" si="11"/>
        <v>96-961500713</v>
      </c>
      <c r="C767" s="179" t="s">
        <v>9770</v>
      </c>
      <c r="E767" s="72"/>
      <c r="F767" s="72"/>
      <c r="G767" s="72"/>
      <c r="H767" s="124"/>
    </row>
    <row r="768" spans="1:8">
      <c r="A768" s="177">
        <v>961500815</v>
      </c>
      <c r="B768" s="116" t="str">
        <f t="shared" si="11"/>
        <v>96-961500815</v>
      </c>
      <c r="C768" s="179" t="s">
        <v>12306</v>
      </c>
      <c r="E768" s="72"/>
      <c r="F768" s="72"/>
      <c r="G768" s="72"/>
      <c r="H768" s="124"/>
    </row>
    <row r="769" spans="1:8">
      <c r="A769" s="177">
        <v>961500847</v>
      </c>
      <c r="B769" s="116" t="str">
        <f t="shared" si="11"/>
        <v>96-961500847</v>
      </c>
      <c r="C769" s="179" t="s">
        <v>12306</v>
      </c>
      <c r="E769" s="72"/>
      <c r="F769" s="72"/>
      <c r="G769" s="72"/>
      <c r="H769" s="124"/>
    </row>
    <row r="770" spans="1:8">
      <c r="A770" s="177">
        <v>951500133</v>
      </c>
      <c r="B770" s="116" t="str">
        <f t="shared" si="11"/>
        <v>95-951500133</v>
      </c>
      <c r="C770" s="179" t="s">
        <v>5614</v>
      </c>
      <c r="E770" s="72"/>
      <c r="F770" s="72"/>
      <c r="G770" s="72"/>
      <c r="H770" s="124"/>
    </row>
    <row r="771" spans="1:8">
      <c r="A771" s="177">
        <v>951500137</v>
      </c>
      <c r="B771" s="116" t="str">
        <f t="shared" ref="B771:B834" si="12">MID(A771,1,2)&amp;"-"&amp;A771</f>
        <v>95-951500137</v>
      </c>
      <c r="C771" s="179" t="s">
        <v>5614</v>
      </c>
      <c r="E771" s="72"/>
      <c r="F771" s="72"/>
      <c r="G771" s="72"/>
      <c r="H771" s="124"/>
    </row>
    <row r="772" spans="1:8">
      <c r="A772" s="177">
        <v>951500200</v>
      </c>
      <c r="B772" s="116" t="str">
        <f t="shared" si="12"/>
        <v>95-951500200</v>
      </c>
      <c r="C772" s="179" t="s">
        <v>5614</v>
      </c>
      <c r="E772" s="72"/>
      <c r="F772" s="72"/>
      <c r="G772" s="72"/>
      <c r="H772" s="124"/>
    </row>
    <row r="773" spans="1:8">
      <c r="A773" s="177">
        <v>951500352</v>
      </c>
      <c r="B773" s="116" t="str">
        <f t="shared" si="12"/>
        <v>95-951500352</v>
      </c>
      <c r="C773" s="179" t="s">
        <v>5670</v>
      </c>
      <c r="E773" s="72"/>
      <c r="F773" s="72"/>
      <c r="G773" s="72"/>
      <c r="H773" s="124"/>
    </row>
    <row r="774" spans="1:8">
      <c r="A774" s="177">
        <v>951500215</v>
      </c>
      <c r="B774" s="116" t="str">
        <f t="shared" si="12"/>
        <v>95-951500215</v>
      </c>
      <c r="C774" s="179" t="s">
        <v>5630</v>
      </c>
      <c r="E774" s="72"/>
      <c r="F774" s="72"/>
      <c r="G774" s="72"/>
      <c r="H774" s="124"/>
    </row>
    <row r="775" spans="1:8">
      <c r="A775" s="177">
        <v>951500219</v>
      </c>
      <c r="B775" s="116" t="str">
        <f t="shared" si="12"/>
        <v>95-951500219</v>
      </c>
      <c r="C775" s="179" t="s">
        <v>5635</v>
      </c>
      <c r="E775" s="72"/>
      <c r="F775" s="72"/>
      <c r="G775" s="72"/>
      <c r="H775" s="124"/>
    </row>
    <row r="776" spans="1:8">
      <c r="A776" s="177">
        <v>951500227</v>
      </c>
      <c r="B776" s="116" t="str">
        <f t="shared" si="12"/>
        <v>95-951500227</v>
      </c>
      <c r="C776" s="179" t="s">
        <v>5640</v>
      </c>
      <c r="E776" s="72"/>
      <c r="F776" s="72"/>
      <c r="G776" s="72"/>
      <c r="H776" s="124"/>
    </row>
    <row r="777" spans="1:8">
      <c r="A777" s="177">
        <v>951500243</v>
      </c>
      <c r="B777" s="116" t="str">
        <f t="shared" si="12"/>
        <v>95-951500243</v>
      </c>
      <c r="C777" s="179" t="s">
        <v>5635</v>
      </c>
      <c r="E777" s="72"/>
      <c r="F777" s="72"/>
      <c r="G777" s="72"/>
      <c r="H777" s="124"/>
    </row>
    <row r="778" spans="1:8">
      <c r="A778" s="177">
        <v>951500274</v>
      </c>
      <c r="B778" s="116" t="str">
        <f t="shared" si="12"/>
        <v>95-951500274</v>
      </c>
      <c r="C778" s="179" t="s">
        <v>5645</v>
      </c>
      <c r="E778" s="72"/>
      <c r="F778" s="72"/>
      <c r="G778" s="72"/>
      <c r="H778" s="124"/>
    </row>
    <row r="779" spans="1:8">
      <c r="A779" s="177">
        <v>951500276</v>
      </c>
      <c r="B779" s="116" t="str">
        <f t="shared" si="12"/>
        <v>95-951500276</v>
      </c>
      <c r="C779" s="179" t="s">
        <v>5654</v>
      </c>
      <c r="E779" s="72"/>
      <c r="F779" s="72"/>
      <c r="G779" s="72"/>
      <c r="H779" s="124"/>
    </row>
    <row r="780" spans="1:8">
      <c r="A780" s="177">
        <v>951500285</v>
      </c>
      <c r="B780" s="116" t="str">
        <f t="shared" si="12"/>
        <v>95-951500285</v>
      </c>
      <c r="C780" s="179" t="s">
        <v>5654</v>
      </c>
      <c r="E780" s="72"/>
      <c r="F780" s="72"/>
      <c r="G780" s="72"/>
      <c r="H780" s="124"/>
    </row>
    <row r="781" spans="1:8">
      <c r="A781" s="177">
        <v>951500307</v>
      </c>
      <c r="B781" s="116" t="str">
        <f t="shared" si="12"/>
        <v>95-951500307</v>
      </c>
      <c r="C781" s="179" t="s">
        <v>5659</v>
      </c>
      <c r="E781" s="72"/>
      <c r="F781" s="72"/>
      <c r="G781" s="72"/>
      <c r="H781" s="124"/>
    </row>
    <row r="782" spans="1:8">
      <c r="A782" s="177">
        <v>951500328</v>
      </c>
      <c r="B782" s="116" t="str">
        <f t="shared" si="12"/>
        <v>95-951500328</v>
      </c>
      <c r="C782" s="179" t="s">
        <v>5659</v>
      </c>
      <c r="E782" s="72"/>
      <c r="F782" s="72"/>
      <c r="G782" s="72"/>
      <c r="H782" s="124"/>
    </row>
    <row r="783" spans="1:8">
      <c r="A783" s="177">
        <v>951500355</v>
      </c>
      <c r="B783" s="116" t="str">
        <f t="shared" si="12"/>
        <v>95-951500355</v>
      </c>
      <c r="C783" s="179" t="s">
        <v>5658</v>
      </c>
      <c r="E783" s="72"/>
      <c r="F783" s="72"/>
      <c r="G783" s="72"/>
      <c r="H783" s="124"/>
    </row>
    <row r="784" spans="1:8">
      <c r="A784" s="177">
        <v>951500369</v>
      </c>
      <c r="B784" s="116" t="str">
        <f t="shared" si="12"/>
        <v>95-951500369</v>
      </c>
      <c r="C784" s="179" t="s">
        <v>5659</v>
      </c>
      <c r="E784" s="72"/>
      <c r="F784" s="72"/>
      <c r="G784" s="72"/>
      <c r="H784" s="124"/>
    </row>
    <row r="785" spans="1:8">
      <c r="A785" s="177">
        <v>951500373</v>
      </c>
      <c r="B785" s="116" t="str">
        <f t="shared" si="12"/>
        <v>95-951500373</v>
      </c>
      <c r="C785" s="179" t="s">
        <v>5654</v>
      </c>
      <c r="E785" s="72"/>
      <c r="F785" s="72"/>
      <c r="G785" s="72"/>
      <c r="H785" s="124"/>
    </row>
    <row r="786" spans="1:8">
      <c r="A786" s="177">
        <v>951500411</v>
      </c>
      <c r="B786" s="116" t="str">
        <f t="shared" si="12"/>
        <v>95-951500411</v>
      </c>
      <c r="C786" s="179" t="s">
        <v>5689</v>
      </c>
      <c r="E786" s="72"/>
      <c r="F786" s="72"/>
      <c r="G786" s="72"/>
      <c r="H786" s="124"/>
    </row>
    <row r="787" spans="1:8">
      <c r="A787" s="177">
        <v>951500426</v>
      </c>
      <c r="B787" s="116" t="str">
        <f t="shared" si="12"/>
        <v>95-951500426</v>
      </c>
      <c r="C787" s="179" t="s">
        <v>5694</v>
      </c>
      <c r="E787" s="72"/>
      <c r="F787" s="72"/>
      <c r="G787" s="72"/>
      <c r="H787" s="124"/>
    </row>
    <row r="788" spans="1:8">
      <c r="A788" s="177">
        <v>951500427</v>
      </c>
      <c r="B788" s="116" t="str">
        <f t="shared" si="12"/>
        <v>95-951500427</v>
      </c>
      <c r="C788" s="179" t="s">
        <v>5694</v>
      </c>
      <c r="E788" s="72"/>
      <c r="F788" s="72"/>
      <c r="G788" s="72"/>
      <c r="H788" s="124"/>
    </row>
    <row r="789" spans="1:8">
      <c r="A789" s="177">
        <v>951500430</v>
      </c>
      <c r="B789" s="116" t="str">
        <f t="shared" si="12"/>
        <v>95-951500430</v>
      </c>
      <c r="C789" s="179" t="s">
        <v>5694</v>
      </c>
      <c r="E789" s="72"/>
      <c r="F789" s="72"/>
      <c r="G789" s="72"/>
      <c r="H789" s="124"/>
    </row>
    <row r="790" spans="1:8">
      <c r="A790" s="177">
        <v>951500041</v>
      </c>
      <c r="B790" s="116" t="str">
        <f t="shared" si="12"/>
        <v>95-951500041</v>
      </c>
      <c r="C790" s="179" t="s">
        <v>5608</v>
      </c>
      <c r="E790" s="72"/>
      <c r="F790" s="72"/>
      <c r="G790" s="72"/>
      <c r="H790" s="124"/>
    </row>
    <row r="791" spans="1:8">
      <c r="A791" s="177">
        <v>951500055</v>
      </c>
      <c r="B791" s="116" t="str">
        <f t="shared" si="12"/>
        <v>95-951500055</v>
      </c>
      <c r="C791" s="179" t="s">
        <v>5608</v>
      </c>
      <c r="E791" s="72"/>
      <c r="F791" s="72"/>
      <c r="G791" s="72"/>
      <c r="H791" s="124"/>
    </row>
    <row r="792" spans="1:8">
      <c r="A792" s="177">
        <v>951500070</v>
      </c>
      <c r="B792" s="116" t="str">
        <f t="shared" si="12"/>
        <v>95-951500070</v>
      </c>
      <c r="C792" s="179" t="s">
        <v>5608</v>
      </c>
      <c r="E792" s="72"/>
      <c r="F792" s="72"/>
      <c r="G792" s="72"/>
      <c r="H792" s="124"/>
    </row>
    <row r="793" spans="1:8">
      <c r="A793" s="177">
        <v>951500075</v>
      </c>
      <c r="B793" s="116" t="str">
        <f t="shared" si="12"/>
        <v>95-951500075</v>
      </c>
      <c r="C793" s="179" t="s">
        <v>5608</v>
      </c>
      <c r="E793" s="72"/>
      <c r="F793" s="72"/>
      <c r="G793" s="72"/>
      <c r="H793" s="124"/>
    </row>
    <row r="794" spans="1:8">
      <c r="A794" s="177">
        <v>951500078</v>
      </c>
      <c r="B794" s="116" t="str">
        <f t="shared" si="12"/>
        <v>95-951500078</v>
      </c>
      <c r="C794" s="179" t="s">
        <v>5608</v>
      </c>
      <c r="E794" s="72"/>
      <c r="F794" s="72"/>
      <c r="G794" s="72"/>
      <c r="H794" s="124"/>
    </row>
    <row r="795" spans="1:8">
      <c r="A795" s="177">
        <v>951500116</v>
      </c>
      <c r="B795" s="116" t="str">
        <f t="shared" si="12"/>
        <v>95-951500116</v>
      </c>
      <c r="C795" s="179" t="s">
        <v>5608</v>
      </c>
      <c r="E795" s="72"/>
      <c r="F795" s="72"/>
      <c r="G795" s="72"/>
      <c r="H795" s="124"/>
    </row>
    <row r="796" spans="1:8">
      <c r="A796" s="177">
        <v>951500092</v>
      </c>
      <c r="B796" s="116" t="str">
        <f t="shared" si="12"/>
        <v>95-951500092</v>
      </c>
      <c r="C796" s="179" t="s">
        <v>5608</v>
      </c>
      <c r="E796" s="72"/>
      <c r="F796" s="72"/>
      <c r="G796" s="72"/>
      <c r="H796" s="124"/>
    </row>
    <row r="797" spans="1:8">
      <c r="A797" s="177">
        <v>951500179</v>
      </c>
      <c r="B797" s="116" t="str">
        <f t="shared" si="12"/>
        <v>95-951500179</v>
      </c>
      <c r="C797" s="179" t="s">
        <v>5622</v>
      </c>
      <c r="E797" s="72"/>
      <c r="F797" s="72"/>
      <c r="G797" s="72"/>
      <c r="H797" s="124"/>
    </row>
    <row r="798" spans="1:8">
      <c r="A798" s="177">
        <v>951500192</v>
      </c>
      <c r="B798" s="116" t="str">
        <f t="shared" si="12"/>
        <v>95-951500192</v>
      </c>
      <c r="C798" s="179" t="s">
        <v>5622</v>
      </c>
      <c r="E798" s="72"/>
      <c r="F798" s="72"/>
      <c r="G798" s="72"/>
      <c r="H798" s="124"/>
    </row>
    <row r="799" spans="1:8">
      <c r="A799" s="177">
        <v>951500459</v>
      </c>
      <c r="B799" s="116" t="str">
        <f t="shared" si="12"/>
        <v>95-951500459</v>
      </c>
      <c r="C799" s="179" t="s">
        <v>5690</v>
      </c>
      <c r="E799" s="72"/>
      <c r="F799" s="72"/>
      <c r="G799" s="72"/>
      <c r="H799" s="124"/>
    </row>
    <row r="800" spans="1:8">
      <c r="A800" s="177">
        <v>951500531</v>
      </c>
      <c r="B800" s="116" t="str">
        <f t="shared" si="12"/>
        <v>95-951500531</v>
      </c>
      <c r="C800" s="179" t="s">
        <v>5690</v>
      </c>
      <c r="E800" s="72"/>
      <c r="F800" s="72"/>
      <c r="G800" s="72"/>
      <c r="H800" s="124"/>
    </row>
    <row r="801" spans="1:8">
      <c r="A801" s="177">
        <v>961500333</v>
      </c>
      <c r="B801" s="116" t="str">
        <f t="shared" si="12"/>
        <v>96-961500333</v>
      </c>
      <c r="C801" s="179" t="s">
        <v>7233</v>
      </c>
      <c r="E801" s="72"/>
      <c r="F801" s="72"/>
      <c r="G801" s="72"/>
      <c r="H801" s="124"/>
    </row>
    <row r="802" spans="1:8">
      <c r="A802" s="177">
        <v>961500393</v>
      </c>
      <c r="B802" s="116" t="str">
        <f t="shared" si="12"/>
        <v>96-961500393</v>
      </c>
      <c r="C802" s="179" t="s">
        <v>7233</v>
      </c>
      <c r="E802" s="72"/>
      <c r="F802" s="72"/>
      <c r="G802" s="72"/>
      <c r="H802" s="124"/>
    </row>
    <row r="803" spans="1:8">
      <c r="A803" s="177">
        <v>961500538</v>
      </c>
      <c r="B803" s="116" t="str">
        <f t="shared" si="12"/>
        <v>96-961500538</v>
      </c>
      <c r="C803" s="179" t="s">
        <v>8497</v>
      </c>
      <c r="E803" s="72"/>
      <c r="F803" s="72"/>
      <c r="G803" s="72"/>
      <c r="H803" s="124"/>
    </row>
    <row r="804" spans="1:8">
      <c r="A804" s="177">
        <v>961500317</v>
      </c>
      <c r="B804" s="116" t="str">
        <f t="shared" si="12"/>
        <v>96-961500317</v>
      </c>
      <c r="C804" s="179" t="s">
        <v>5818</v>
      </c>
      <c r="E804" s="72"/>
      <c r="F804" s="72"/>
      <c r="G804" s="72"/>
      <c r="H804" s="124"/>
    </row>
    <row r="805" spans="1:8">
      <c r="A805" s="177">
        <v>961500420</v>
      </c>
      <c r="B805" s="116" t="str">
        <f t="shared" si="12"/>
        <v>96-961500420</v>
      </c>
      <c r="C805" s="179" t="s">
        <v>7237</v>
      </c>
      <c r="E805" s="72"/>
      <c r="F805" s="72"/>
      <c r="G805" s="72"/>
      <c r="H805" s="124"/>
    </row>
    <row r="806" spans="1:8">
      <c r="A806" s="177">
        <v>961500441</v>
      </c>
      <c r="B806" s="116" t="str">
        <f t="shared" si="12"/>
        <v>96-961500441</v>
      </c>
      <c r="C806" s="179" t="s">
        <v>7237</v>
      </c>
      <c r="E806" s="72"/>
      <c r="F806" s="72"/>
      <c r="G806" s="72"/>
      <c r="H806" s="124"/>
    </row>
    <row r="807" spans="1:8">
      <c r="A807" s="177">
        <v>961500465</v>
      </c>
      <c r="B807" s="116" t="str">
        <f t="shared" si="12"/>
        <v>96-961500465</v>
      </c>
      <c r="C807" s="179" t="s">
        <v>5836</v>
      </c>
      <c r="E807" s="72"/>
      <c r="F807" s="72"/>
      <c r="G807" s="72"/>
      <c r="H807" s="124"/>
    </row>
    <row r="808" spans="1:8">
      <c r="A808" s="177">
        <v>961500564</v>
      </c>
      <c r="B808" s="116" t="str">
        <f t="shared" si="12"/>
        <v>96-961500564</v>
      </c>
      <c r="C808" s="179" t="s">
        <v>8722</v>
      </c>
      <c r="E808" s="72"/>
      <c r="F808" s="72"/>
      <c r="G808" s="72"/>
      <c r="H808" s="124"/>
    </row>
    <row r="809" spans="1:8">
      <c r="A809" s="177">
        <v>961500608</v>
      </c>
      <c r="B809" s="116" t="str">
        <f t="shared" si="12"/>
        <v>96-961500608</v>
      </c>
      <c r="C809" s="179" t="s">
        <v>8722</v>
      </c>
      <c r="E809" s="72"/>
      <c r="F809" s="72"/>
      <c r="G809" s="72"/>
      <c r="H809" s="124"/>
    </row>
    <row r="810" spans="1:8">
      <c r="A810" s="177">
        <v>961500644</v>
      </c>
      <c r="B810" s="116" t="str">
        <f t="shared" si="12"/>
        <v>96-961500644</v>
      </c>
      <c r="C810" s="179" t="s">
        <v>9771</v>
      </c>
      <c r="E810" s="72"/>
      <c r="F810" s="72"/>
      <c r="G810" s="72"/>
      <c r="H810" s="124"/>
    </row>
    <row r="811" spans="1:8">
      <c r="A811" s="177">
        <v>961500660</v>
      </c>
      <c r="B811" s="116" t="str">
        <f t="shared" si="12"/>
        <v>96-961500660</v>
      </c>
      <c r="C811" s="179" t="s">
        <v>9771</v>
      </c>
      <c r="E811" s="72"/>
      <c r="F811" s="72"/>
      <c r="G811" s="72"/>
      <c r="H811" s="124"/>
    </row>
    <row r="812" spans="1:8">
      <c r="A812" s="177">
        <v>961500669</v>
      </c>
      <c r="B812" s="116" t="str">
        <f t="shared" si="12"/>
        <v>96-961500669</v>
      </c>
      <c r="C812" s="179" t="s">
        <v>9771</v>
      </c>
      <c r="E812" s="72"/>
      <c r="F812" s="72"/>
      <c r="G812" s="72"/>
      <c r="H812" s="124"/>
    </row>
    <row r="813" spans="1:8">
      <c r="A813" s="177">
        <v>961500723</v>
      </c>
      <c r="B813" s="116" t="str">
        <f t="shared" si="12"/>
        <v>96-961500723</v>
      </c>
      <c r="C813" s="179" t="s">
        <v>9795</v>
      </c>
      <c r="E813" s="72"/>
      <c r="F813" s="72"/>
      <c r="G813" s="72"/>
      <c r="H813" s="124"/>
    </row>
    <row r="814" spans="1:8">
      <c r="A814" s="177">
        <v>961500757</v>
      </c>
      <c r="B814" s="116" t="str">
        <f t="shared" si="12"/>
        <v>96-961500757</v>
      </c>
      <c r="C814" s="179" t="s">
        <v>12219</v>
      </c>
      <c r="E814" s="72"/>
      <c r="F814" s="72"/>
      <c r="G814" s="72"/>
      <c r="H814" s="124"/>
    </row>
    <row r="815" spans="1:8">
      <c r="A815" s="177">
        <v>961500766</v>
      </c>
      <c r="B815" s="116" t="str">
        <f t="shared" si="12"/>
        <v>96-961500766</v>
      </c>
      <c r="C815" s="179" t="s">
        <v>9794</v>
      </c>
      <c r="E815" s="72"/>
      <c r="F815" s="72"/>
      <c r="G815" s="72"/>
      <c r="H815" s="124"/>
    </row>
    <row r="816" spans="1:8">
      <c r="A816" s="177">
        <v>961500790</v>
      </c>
      <c r="B816" s="116" t="str">
        <f t="shared" si="12"/>
        <v>96-961500790</v>
      </c>
      <c r="C816" s="179" t="s">
        <v>12220</v>
      </c>
      <c r="E816" s="72"/>
      <c r="F816" s="72"/>
      <c r="G816" s="72"/>
      <c r="H816" s="124"/>
    </row>
    <row r="817" spans="1:8">
      <c r="A817" s="177">
        <v>951500258</v>
      </c>
      <c r="B817" s="116" t="str">
        <f t="shared" si="12"/>
        <v>95-951500258</v>
      </c>
      <c r="C817" s="179" t="s">
        <v>5648</v>
      </c>
      <c r="E817" s="72"/>
      <c r="F817" s="72"/>
      <c r="G817" s="72"/>
      <c r="H817" s="124"/>
    </row>
    <row r="818" spans="1:8">
      <c r="A818" s="177">
        <v>951500326</v>
      </c>
      <c r="B818" s="116" t="str">
        <f t="shared" si="12"/>
        <v>95-951500326</v>
      </c>
      <c r="C818" s="179" t="s">
        <v>5666</v>
      </c>
      <c r="E818" s="72"/>
      <c r="F818" s="72"/>
      <c r="G818" s="72"/>
      <c r="H818" s="124"/>
    </row>
    <row r="819" spans="1:8">
      <c r="A819" s="177">
        <v>951500357</v>
      </c>
      <c r="B819" s="116" t="str">
        <f t="shared" si="12"/>
        <v>95-951500357</v>
      </c>
      <c r="C819" s="179" t="s">
        <v>5673</v>
      </c>
      <c r="E819" s="72"/>
      <c r="F819" s="72"/>
      <c r="G819" s="72"/>
      <c r="H819" s="124"/>
    </row>
    <row r="820" spans="1:8">
      <c r="A820" s="177">
        <v>951500596</v>
      </c>
      <c r="B820" s="116" t="str">
        <f t="shared" si="12"/>
        <v>95-951500596</v>
      </c>
      <c r="C820" s="179" t="s">
        <v>5759</v>
      </c>
      <c r="E820" s="72"/>
      <c r="F820" s="72"/>
      <c r="G820" s="72"/>
      <c r="H820" s="124"/>
    </row>
    <row r="821" spans="1:8">
      <c r="A821" s="177">
        <v>961500567</v>
      </c>
      <c r="B821" s="116" t="str">
        <f t="shared" si="12"/>
        <v>96-961500567</v>
      </c>
      <c r="C821" s="179" t="s">
        <v>8698</v>
      </c>
      <c r="E821" s="72"/>
      <c r="F821" s="72"/>
      <c r="G821" s="72"/>
      <c r="H821" s="124"/>
    </row>
    <row r="822" spans="1:8">
      <c r="A822" s="177">
        <v>961500600</v>
      </c>
      <c r="B822" s="116" t="str">
        <f t="shared" si="12"/>
        <v>96-961500600</v>
      </c>
      <c r="C822" s="179" t="s">
        <v>8698</v>
      </c>
      <c r="E822" s="72"/>
      <c r="F822" s="72"/>
      <c r="G822" s="72"/>
      <c r="H822" s="124"/>
    </row>
    <row r="823" spans="1:8">
      <c r="A823" s="177">
        <v>961500640</v>
      </c>
      <c r="B823" s="116" t="str">
        <f t="shared" si="12"/>
        <v>96-961500640</v>
      </c>
      <c r="C823" s="179" t="s">
        <v>8698</v>
      </c>
      <c r="E823" s="72"/>
      <c r="F823" s="72"/>
      <c r="G823" s="72"/>
      <c r="H823" s="124"/>
    </row>
    <row r="824" spans="1:8">
      <c r="A824" s="177">
        <v>961500693</v>
      </c>
      <c r="B824" s="116" t="str">
        <f t="shared" si="12"/>
        <v>96-961500693</v>
      </c>
      <c r="C824" s="179" t="s">
        <v>9783</v>
      </c>
      <c r="E824" s="72"/>
      <c r="F824" s="72"/>
      <c r="G824" s="72"/>
      <c r="H824" s="124"/>
    </row>
    <row r="825" spans="1:8">
      <c r="A825" s="177">
        <v>961500694</v>
      </c>
      <c r="B825" s="116" t="str">
        <f t="shared" si="12"/>
        <v>96-961500694</v>
      </c>
      <c r="C825" s="179" t="s">
        <v>9783</v>
      </c>
      <c r="E825" s="72"/>
      <c r="F825" s="72"/>
      <c r="G825" s="72"/>
      <c r="H825" s="124"/>
    </row>
    <row r="826" spans="1:8">
      <c r="A826" s="177">
        <v>961500715</v>
      </c>
      <c r="B826" s="116" t="str">
        <f t="shared" si="12"/>
        <v>96-961500715</v>
      </c>
      <c r="C826" s="179" t="s">
        <v>9783</v>
      </c>
      <c r="E826" s="72"/>
      <c r="F826" s="72"/>
      <c r="G826" s="72"/>
      <c r="H826" s="124"/>
    </row>
    <row r="827" spans="1:8">
      <c r="A827" s="177">
        <v>961500740</v>
      </c>
      <c r="B827" s="116" t="str">
        <f t="shared" si="12"/>
        <v>96-961500740</v>
      </c>
      <c r="C827" s="179" t="s">
        <v>9769</v>
      </c>
      <c r="E827" s="72"/>
      <c r="F827" s="72"/>
      <c r="G827" s="72"/>
      <c r="H827" s="124"/>
    </row>
    <row r="828" spans="1:8">
      <c r="A828" s="177">
        <v>961500741</v>
      </c>
      <c r="B828" s="116" t="str">
        <f t="shared" si="12"/>
        <v>96-961500741</v>
      </c>
      <c r="C828" s="179" t="s">
        <v>9769</v>
      </c>
      <c r="E828" s="72"/>
      <c r="F828" s="72"/>
      <c r="G828" s="72"/>
      <c r="H828" s="124"/>
    </row>
    <row r="829" spans="1:8">
      <c r="A829" s="177">
        <v>961500772</v>
      </c>
      <c r="B829" s="116" t="str">
        <f t="shared" si="12"/>
        <v>96-961500772</v>
      </c>
      <c r="C829" s="179" t="s">
        <v>9763</v>
      </c>
      <c r="E829" s="72"/>
      <c r="F829" s="72"/>
      <c r="G829" s="72"/>
      <c r="H829" s="124"/>
    </row>
    <row r="830" spans="1:8">
      <c r="A830" s="177">
        <v>961500824</v>
      </c>
      <c r="B830" s="116" t="str">
        <f t="shared" si="12"/>
        <v>96-961500824</v>
      </c>
      <c r="C830" s="179" t="s">
        <v>12260</v>
      </c>
      <c r="E830" s="72"/>
      <c r="F830" s="72"/>
      <c r="G830" s="72"/>
      <c r="H830" s="124"/>
    </row>
    <row r="831" spans="1:8">
      <c r="A831" s="177">
        <v>951500358</v>
      </c>
      <c r="B831" s="116" t="str">
        <f t="shared" si="12"/>
        <v>95-951500358</v>
      </c>
      <c r="C831" s="179" t="s">
        <v>5674</v>
      </c>
      <c r="E831" s="72"/>
      <c r="F831" s="72"/>
      <c r="G831" s="72"/>
      <c r="H831" s="124"/>
    </row>
    <row r="832" spans="1:8">
      <c r="A832" s="177">
        <v>951500422</v>
      </c>
      <c r="B832" s="116" t="str">
        <f t="shared" si="12"/>
        <v>95-951500422</v>
      </c>
      <c r="C832" s="179" t="s">
        <v>5688</v>
      </c>
      <c r="E832" s="72"/>
      <c r="F832" s="72"/>
      <c r="G832" s="72"/>
      <c r="H832" s="124"/>
    </row>
    <row r="833" spans="1:8">
      <c r="A833" s="177">
        <v>951500481</v>
      </c>
      <c r="B833" s="116" t="str">
        <f t="shared" si="12"/>
        <v>95-951500481</v>
      </c>
      <c r="C833" s="179" t="s">
        <v>5711</v>
      </c>
      <c r="E833" s="72"/>
      <c r="F833" s="72"/>
      <c r="G833" s="72"/>
      <c r="H833" s="124"/>
    </row>
    <row r="834" spans="1:8">
      <c r="A834" s="177">
        <v>961500034</v>
      </c>
      <c r="B834" s="116" t="str">
        <f t="shared" si="12"/>
        <v>96-961500034</v>
      </c>
      <c r="C834" s="179" t="s">
        <v>5772</v>
      </c>
      <c r="E834" s="72"/>
      <c r="F834" s="72"/>
      <c r="G834" s="72"/>
      <c r="H834" s="124"/>
    </row>
    <row r="835" spans="1:8">
      <c r="A835" s="177">
        <v>961500100</v>
      </c>
      <c r="B835" s="116" t="str">
        <f t="shared" ref="B835:B898" si="13">MID(A835,1,2)&amp;"-"&amp;A835</f>
        <v>96-961500100</v>
      </c>
      <c r="C835" s="179" t="s">
        <v>5793</v>
      </c>
      <c r="E835" s="72"/>
      <c r="F835" s="72"/>
      <c r="G835" s="72"/>
      <c r="H835" s="124"/>
    </row>
    <row r="836" spans="1:8">
      <c r="A836" s="177">
        <v>961500228</v>
      </c>
      <c r="B836" s="116" t="str">
        <f t="shared" si="13"/>
        <v>96-961500228</v>
      </c>
      <c r="C836" s="179" t="s">
        <v>5822</v>
      </c>
      <c r="E836" s="72"/>
      <c r="F836" s="72"/>
      <c r="G836" s="72"/>
      <c r="H836" s="124"/>
    </row>
    <row r="837" spans="1:8">
      <c r="A837" s="177">
        <v>961500481</v>
      </c>
      <c r="B837" s="116" t="str">
        <f t="shared" si="13"/>
        <v>96-961500481</v>
      </c>
      <c r="C837" s="179" t="s">
        <v>7121</v>
      </c>
      <c r="E837" s="72"/>
      <c r="F837" s="72"/>
      <c r="G837" s="72"/>
      <c r="H837" s="124"/>
    </row>
    <row r="838" spans="1:8">
      <c r="A838" s="177">
        <v>961500515</v>
      </c>
      <c r="B838" s="116" t="str">
        <f t="shared" si="13"/>
        <v>96-961500515</v>
      </c>
      <c r="C838" s="179" t="s">
        <v>7121</v>
      </c>
      <c r="E838" s="72"/>
      <c r="F838" s="72"/>
      <c r="G838" s="72"/>
      <c r="H838" s="124"/>
    </row>
    <row r="839" spans="1:8">
      <c r="A839" s="177">
        <v>961500554</v>
      </c>
      <c r="B839" s="116" t="str">
        <f t="shared" si="13"/>
        <v>96-961500554</v>
      </c>
      <c r="C839" s="179" t="s">
        <v>8724</v>
      </c>
      <c r="E839" s="72"/>
      <c r="F839" s="72"/>
      <c r="G839" s="72"/>
      <c r="H839" s="124"/>
    </row>
    <row r="840" spans="1:8">
      <c r="A840" s="177">
        <v>961500555</v>
      </c>
      <c r="B840" s="116" t="str">
        <f t="shared" si="13"/>
        <v>96-961500555</v>
      </c>
      <c r="C840" s="179" t="s">
        <v>8725</v>
      </c>
      <c r="E840" s="72"/>
      <c r="F840" s="72"/>
      <c r="G840" s="72"/>
      <c r="H840" s="124"/>
    </row>
    <row r="841" spans="1:8">
      <c r="A841" s="177">
        <v>961500556</v>
      </c>
      <c r="B841" s="116" t="str">
        <f t="shared" si="13"/>
        <v>96-961500556</v>
      </c>
      <c r="C841" s="179" t="s">
        <v>8726</v>
      </c>
      <c r="E841" s="72"/>
      <c r="F841" s="72"/>
      <c r="G841" s="72"/>
      <c r="H841" s="124"/>
    </row>
    <row r="842" spans="1:8">
      <c r="A842" s="177">
        <v>961500586</v>
      </c>
      <c r="B842" s="116" t="str">
        <f t="shared" si="13"/>
        <v>96-961500586</v>
      </c>
      <c r="C842" s="179" t="s">
        <v>7118</v>
      </c>
      <c r="E842" s="72"/>
      <c r="F842" s="72"/>
      <c r="G842" s="72"/>
      <c r="H842" s="124"/>
    </row>
    <row r="843" spans="1:8">
      <c r="A843" s="177">
        <v>961500601</v>
      </c>
      <c r="B843" s="116" t="str">
        <f t="shared" si="13"/>
        <v>96-961500601</v>
      </c>
      <c r="C843" s="179" t="s">
        <v>8725</v>
      </c>
      <c r="E843" s="72"/>
      <c r="F843" s="72"/>
      <c r="G843" s="72"/>
      <c r="H843" s="124"/>
    </row>
    <row r="844" spans="1:8">
      <c r="A844" s="177">
        <v>961500616</v>
      </c>
      <c r="B844" s="116" t="str">
        <f t="shared" si="13"/>
        <v>96-961500616</v>
      </c>
      <c r="C844" s="179" t="s">
        <v>8724</v>
      </c>
      <c r="E844" s="72"/>
      <c r="F844" s="72"/>
      <c r="G844" s="72"/>
      <c r="H844" s="124"/>
    </row>
    <row r="845" spans="1:8">
      <c r="A845" s="177">
        <v>961500650</v>
      </c>
      <c r="B845" s="116" t="str">
        <f t="shared" si="13"/>
        <v>96-961500650</v>
      </c>
      <c r="C845" s="179" t="s">
        <v>9768</v>
      </c>
      <c r="E845" s="72"/>
      <c r="F845" s="72"/>
      <c r="G845" s="72"/>
      <c r="H845" s="124"/>
    </row>
    <row r="846" spans="1:8">
      <c r="A846" s="177">
        <v>961500651</v>
      </c>
      <c r="B846" s="116" t="str">
        <f t="shared" si="13"/>
        <v>96-961500651</v>
      </c>
      <c r="C846" s="179" t="s">
        <v>9768</v>
      </c>
      <c r="E846" s="72"/>
      <c r="F846" s="72"/>
      <c r="G846" s="72"/>
      <c r="H846" s="124"/>
    </row>
    <row r="847" spans="1:8">
      <c r="A847" s="177">
        <v>961500700</v>
      </c>
      <c r="B847" s="116" t="str">
        <f t="shared" si="13"/>
        <v>96-961500700</v>
      </c>
      <c r="C847" s="179" t="s">
        <v>9768</v>
      </c>
      <c r="E847" s="72"/>
      <c r="F847" s="72"/>
      <c r="G847" s="72"/>
      <c r="H847" s="124"/>
    </row>
    <row r="848" spans="1:8">
      <c r="A848" s="177">
        <v>961500609</v>
      </c>
      <c r="B848" s="116" t="str">
        <f t="shared" si="13"/>
        <v>96-961500609</v>
      </c>
      <c r="C848" s="179" t="s">
        <v>8722</v>
      </c>
      <c r="E848" s="72"/>
      <c r="F848" s="72"/>
      <c r="G848" s="72"/>
      <c r="H848" s="124"/>
    </row>
    <row r="849" spans="1:8">
      <c r="A849" s="177">
        <v>961500659</v>
      </c>
      <c r="B849" s="116" t="str">
        <f t="shared" si="13"/>
        <v>96-961500659</v>
      </c>
      <c r="C849" s="179" t="s">
        <v>9771</v>
      </c>
      <c r="E849" s="72"/>
      <c r="F849" s="72"/>
      <c r="G849" s="72"/>
      <c r="H849" s="124"/>
    </row>
    <row r="850" spans="1:8">
      <c r="A850" s="177">
        <v>961500666</v>
      </c>
      <c r="B850" s="116" t="str">
        <f t="shared" si="13"/>
        <v>96-961500666</v>
      </c>
      <c r="C850" s="179" t="s">
        <v>9771</v>
      </c>
      <c r="E850" s="72"/>
      <c r="F850" s="72"/>
      <c r="G850" s="72"/>
      <c r="H850" s="124"/>
    </row>
    <row r="851" spans="1:8">
      <c r="A851" s="177">
        <v>961500718</v>
      </c>
      <c r="B851" s="116" t="str">
        <f t="shared" si="13"/>
        <v>96-961500718</v>
      </c>
      <c r="C851" s="179" t="s">
        <v>9762</v>
      </c>
      <c r="E851" s="72"/>
      <c r="F851" s="72"/>
      <c r="G851" s="72"/>
      <c r="H851" s="124"/>
    </row>
    <row r="852" spans="1:8">
      <c r="A852" s="177">
        <v>961500776</v>
      </c>
      <c r="B852" s="116" t="str">
        <f t="shared" si="13"/>
        <v>96-961500776</v>
      </c>
      <c r="C852" s="179" t="s">
        <v>12217</v>
      </c>
      <c r="E852" s="72"/>
      <c r="F852" s="72"/>
      <c r="G852" s="72"/>
      <c r="H852" s="124"/>
    </row>
    <row r="853" spans="1:8">
      <c r="A853" s="177">
        <v>961500849</v>
      </c>
      <c r="B853" s="116" t="str">
        <f t="shared" si="13"/>
        <v>96-961500849</v>
      </c>
      <c r="C853" s="179" t="s">
        <v>12424</v>
      </c>
      <c r="E853" s="72"/>
      <c r="F853" s="72"/>
      <c r="G853" s="72"/>
      <c r="H853" s="124"/>
    </row>
    <row r="854" spans="1:8">
      <c r="A854" s="177">
        <v>951500287</v>
      </c>
      <c r="B854" s="116" t="str">
        <f t="shared" si="13"/>
        <v>95-951500287</v>
      </c>
      <c r="C854" s="179" t="s">
        <v>5657</v>
      </c>
      <c r="E854" s="72"/>
      <c r="F854" s="72"/>
      <c r="G854" s="72"/>
      <c r="H854" s="124"/>
    </row>
    <row r="855" spans="1:8">
      <c r="A855" s="177">
        <v>951500421</v>
      </c>
      <c r="B855" s="116" t="str">
        <f t="shared" si="13"/>
        <v>95-951500421</v>
      </c>
      <c r="C855" s="179" t="s">
        <v>5693</v>
      </c>
      <c r="E855" s="72"/>
      <c r="F855" s="72"/>
      <c r="G855" s="72"/>
      <c r="H855" s="124"/>
    </row>
    <row r="856" spans="1:8">
      <c r="A856" s="177">
        <v>951500602</v>
      </c>
      <c r="B856" s="116" t="str">
        <f t="shared" si="13"/>
        <v>95-951500602</v>
      </c>
      <c r="C856" s="179" t="s">
        <v>5759</v>
      </c>
      <c r="E856" s="72"/>
      <c r="F856" s="72"/>
      <c r="G856" s="72"/>
      <c r="H856" s="124"/>
    </row>
    <row r="857" spans="1:8">
      <c r="A857" s="177">
        <v>961500081</v>
      </c>
      <c r="B857" s="116" t="str">
        <f t="shared" si="13"/>
        <v>96-961500081</v>
      </c>
      <c r="C857" s="179" t="s">
        <v>5767</v>
      </c>
      <c r="E857" s="72"/>
      <c r="F857" s="72"/>
      <c r="G857" s="72"/>
      <c r="H857" s="124"/>
    </row>
    <row r="858" spans="1:8">
      <c r="A858" s="177">
        <v>961500156</v>
      </c>
      <c r="B858" s="116" t="str">
        <f t="shared" si="13"/>
        <v>96-961500156</v>
      </c>
      <c r="C858" s="179" t="s">
        <v>5806</v>
      </c>
      <c r="E858" s="72"/>
      <c r="F858" s="72"/>
      <c r="G858" s="72"/>
      <c r="H858" s="124"/>
    </row>
    <row r="859" spans="1:8">
      <c r="A859" s="177">
        <v>961500589</v>
      </c>
      <c r="B859" s="116" t="str">
        <f t="shared" si="13"/>
        <v>96-961500589</v>
      </c>
      <c r="C859" s="179" t="s">
        <v>9775</v>
      </c>
      <c r="E859" s="72"/>
      <c r="F859" s="72"/>
      <c r="G859" s="72"/>
      <c r="H859" s="124"/>
    </row>
    <row r="860" spans="1:8">
      <c r="A860" s="177">
        <v>951500465</v>
      </c>
      <c r="B860" s="116" t="str">
        <f t="shared" si="13"/>
        <v>95-951500465</v>
      </c>
      <c r="C860" s="179" t="s">
        <v>5700</v>
      </c>
      <c r="E860" s="72"/>
      <c r="F860" s="72"/>
      <c r="G860" s="72"/>
      <c r="H860" s="124"/>
    </row>
    <row r="861" spans="1:8">
      <c r="A861" s="177">
        <v>951500447</v>
      </c>
      <c r="B861" s="116" t="str">
        <f t="shared" si="13"/>
        <v>95-951500447</v>
      </c>
      <c r="C861" s="179" t="s">
        <v>5703</v>
      </c>
      <c r="E861" s="72"/>
      <c r="F861" s="72"/>
      <c r="G861" s="72"/>
      <c r="H861" s="124"/>
    </row>
    <row r="862" spans="1:8">
      <c r="A862" s="177">
        <v>951500508</v>
      </c>
      <c r="B862" s="116" t="str">
        <f t="shared" si="13"/>
        <v>95-951500508</v>
      </c>
      <c r="C862" s="179" t="s">
        <v>5719</v>
      </c>
      <c r="E862" s="72"/>
      <c r="F862" s="72"/>
      <c r="G862" s="72"/>
      <c r="H862" s="124"/>
    </row>
    <row r="863" spans="1:8">
      <c r="A863" s="177">
        <v>951200061</v>
      </c>
      <c r="B863" s="116" t="str">
        <f t="shared" si="13"/>
        <v>95-951200061</v>
      </c>
      <c r="C863" s="179" t="s">
        <v>7247</v>
      </c>
      <c r="E863" s="72"/>
      <c r="F863" s="72"/>
      <c r="G863" s="72"/>
      <c r="H863" s="124"/>
    </row>
    <row r="864" spans="1:8">
      <c r="A864" s="177">
        <v>961500592</v>
      </c>
      <c r="B864" s="116" t="str">
        <f t="shared" si="13"/>
        <v>96-961500592</v>
      </c>
      <c r="C864" s="179" t="s">
        <v>9761</v>
      </c>
      <c r="E864" s="72"/>
      <c r="F864" s="72"/>
      <c r="G864" s="72"/>
      <c r="H864" s="124"/>
    </row>
    <row r="865" spans="1:8">
      <c r="A865" s="177">
        <v>951500436</v>
      </c>
      <c r="B865" s="116" t="str">
        <f t="shared" si="13"/>
        <v>95-951500436</v>
      </c>
      <c r="C865" s="179" t="s">
        <v>5694</v>
      </c>
      <c r="E865" s="72"/>
      <c r="F865" s="72"/>
      <c r="G865" s="72"/>
      <c r="H865" s="124"/>
    </row>
    <row r="866" spans="1:8">
      <c r="A866" s="177">
        <v>951500467</v>
      </c>
      <c r="B866" s="116" t="str">
        <f t="shared" si="13"/>
        <v>95-951500467</v>
      </c>
      <c r="C866" s="179" t="s">
        <v>5694</v>
      </c>
      <c r="E866" s="72"/>
      <c r="F866" s="72"/>
      <c r="G866" s="72"/>
      <c r="H866" s="124"/>
    </row>
    <row r="867" spans="1:8">
      <c r="A867" s="177">
        <v>951500578</v>
      </c>
      <c r="B867" s="116" t="str">
        <f t="shared" si="13"/>
        <v>95-951500578</v>
      </c>
      <c r="C867" s="179" t="s">
        <v>5733</v>
      </c>
      <c r="E867" s="72"/>
      <c r="F867" s="72"/>
      <c r="G867" s="72"/>
      <c r="H867" s="124"/>
    </row>
    <row r="868" spans="1:8">
      <c r="A868" s="177">
        <v>961500014</v>
      </c>
      <c r="B868" s="116" t="str">
        <f t="shared" si="13"/>
        <v>96-961500014</v>
      </c>
      <c r="C868" s="179" t="s">
        <v>5752</v>
      </c>
      <c r="E868" s="72"/>
      <c r="F868" s="72"/>
      <c r="G868" s="72"/>
      <c r="H868" s="124"/>
    </row>
    <row r="869" spans="1:8">
      <c r="A869" s="177">
        <v>961500019</v>
      </c>
      <c r="B869" s="116" t="str">
        <f t="shared" si="13"/>
        <v>96-961500019</v>
      </c>
      <c r="C869" s="179" t="s">
        <v>5758</v>
      </c>
      <c r="E869" s="72"/>
      <c r="F869" s="72"/>
      <c r="G869" s="72"/>
      <c r="H869" s="124"/>
    </row>
    <row r="870" spans="1:8">
      <c r="A870" s="177">
        <v>961500053</v>
      </c>
      <c r="B870" s="116" t="str">
        <f t="shared" si="13"/>
        <v>96-961500053</v>
      </c>
      <c r="C870" s="179" t="s">
        <v>5758</v>
      </c>
      <c r="E870" s="72"/>
      <c r="F870" s="72"/>
      <c r="G870" s="72"/>
      <c r="H870" s="124"/>
    </row>
    <row r="871" spans="1:8">
      <c r="A871" s="177">
        <v>961500055</v>
      </c>
      <c r="B871" s="116" t="str">
        <f t="shared" si="13"/>
        <v>96-961500055</v>
      </c>
      <c r="C871" s="179" t="s">
        <v>5758</v>
      </c>
      <c r="E871" s="72"/>
      <c r="F871" s="72"/>
      <c r="G871" s="72"/>
      <c r="H871" s="124"/>
    </row>
    <row r="872" spans="1:8">
      <c r="A872" s="177">
        <v>961500101</v>
      </c>
      <c r="B872" s="116" t="str">
        <f t="shared" si="13"/>
        <v>96-961500101</v>
      </c>
      <c r="C872" s="179" t="s">
        <v>5799</v>
      </c>
      <c r="E872" s="72"/>
      <c r="F872" s="72"/>
      <c r="G872" s="72"/>
      <c r="H872" s="124"/>
    </row>
    <row r="873" spans="1:8">
      <c r="A873" s="177">
        <v>961500115</v>
      </c>
      <c r="B873" s="116" t="str">
        <f t="shared" si="13"/>
        <v>96-961500115</v>
      </c>
      <c r="C873" s="179" t="s">
        <v>5762</v>
      </c>
      <c r="E873" s="72"/>
      <c r="F873" s="72"/>
      <c r="G873" s="72"/>
      <c r="H873" s="124"/>
    </row>
    <row r="874" spans="1:8">
      <c r="A874" s="177">
        <v>961500117</v>
      </c>
      <c r="B874" s="116" t="str">
        <f t="shared" si="13"/>
        <v>96-961500117</v>
      </c>
      <c r="C874" s="179" t="s">
        <v>5762</v>
      </c>
      <c r="E874" s="72"/>
      <c r="F874" s="72"/>
      <c r="G874" s="72"/>
      <c r="H874" s="124"/>
    </row>
    <row r="875" spans="1:8">
      <c r="A875" s="177">
        <v>961500124</v>
      </c>
      <c r="B875" s="116" t="str">
        <f t="shared" si="13"/>
        <v>96-961500124</v>
      </c>
      <c r="C875" s="179" t="s">
        <v>5799</v>
      </c>
      <c r="E875" s="72"/>
      <c r="F875" s="72"/>
      <c r="G875" s="72"/>
      <c r="H875" s="124"/>
    </row>
    <row r="876" spans="1:8">
      <c r="A876" s="177">
        <v>961500148</v>
      </c>
      <c r="B876" s="116" t="str">
        <f t="shared" si="13"/>
        <v>96-961500148</v>
      </c>
      <c r="C876" s="179" t="s">
        <v>5799</v>
      </c>
      <c r="E876" s="72"/>
      <c r="F876" s="72"/>
      <c r="G876" s="72"/>
      <c r="H876" s="124"/>
    </row>
    <row r="877" spans="1:8">
      <c r="A877" s="177">
        <v>961500154</v>
      </c>
      <c r="B877" s="116" t="str">
        <f t="shared" si="13"/>
        <v>96-961500154</v>
      </c>
      <c r="C877" s="179" t="s">
        <v>5810</v>
      </c>
      <c r="E877" s="72"/>
      <c r="F877" s="72"/>
      <c r="G877" s="72"/>
      <c r="H877" s="124"/>
    </row>
    <row r="878" spans="1:8">
      <c r="A878" s="177">
        <v>961500155</v>
      </c>
      <c r="B878" s="116" t="str">
        <f t="shared" si="13"/>
        <v>96-961500155</v>
      </c>
      <c r="C878" s="179" t="s">
        <v>5810</v>
      </c>
      <c r="E878" s="72"/>
      <c r="F878" s="72"/>
      <c r="G878" s="72"/>
      <c r="H878" s="124"/>
    </row>
    <row r="879" spans="1:8">
      <c r="A879" s="177">
        <v>961500164</v>
      </c>
      <c r="B879" s="116" t="str">
        <f t="shared" si="13"/>
        <v>96-961500164</v>
      </c>
      <c r="C879" s="179" t="s">
        <v>5810</v>
      </c>
      <c r="E879" s="72"/>
      <c r="F879" s="72"/>
      <c r="G879" s="72"/>
      <c r="H879" s="124"/>
    </row>
    <row r="880" spans="1:8">
      <c r="A880" s="177">
        <v>961500180</v>
      </c>
      <c r="B880" s="116" t="str">
        <f t="shared" si="13"/>
        <v>96-961500180</v>
      </c>
      <c r="C880" s="179" t="s">
        <v>5814</v>
      </c>
      <c r="E880" s="72"/>
      <c r="F880" s="72"/>
      <c r="G880" s="72"/>
      <c r="H880" s="124"/>
    </row>
    <row r="881" spans="1:8">
      <c r="A881" s="177">
        <v>961500185</v>
      </c>
      <c r="B881" s="116" t="str">
        <f t="shared" si="13"/>
        <v>96-961500185</v>
      </c>
      <c r="C881" s="179" t="s">
        <v>5813</v>
      </c>
      <c r="E881" s="72"/>
      <c r="F881" s="72"/>
      <c r="G881" s="72"/>
      <c r="H881" s="124"/>
    </row>
    <row r="882" spans="1:8">
      <c r="A882" s="177">
        <v>961500571</v>
      </c>
      <c r="B882" s="116" t="str">
        <f t="shared" si="13"/>
        <v>96-961500571</v>
      </c>
      <c r="C882" s="179" t="s">
        <v>8497</v>
      </c>
      <c r="E882" s="72"/>
      <c r="F882" s="72"/>
      <c r="G882" s="72"/>
      <c r="H882" s="124"/>
    </row>
    <row r="883" spans="1:8">
      <c r="A883" s="177">
        <v>961500689</v>
      </c>
      <c r="B883" s="116" t="str">
        <f t="shared" si="13"/>
        <v>96-961500689</v>
      </c>
      <c r="C883" s="179" t="s">
        <v>9770</v>
      </c>
      <c r="E883" s="72"/>
      <c r="F883" s="72"/>
      <c r="G883" s="72"/>
      <c r="H883" s="124"/>
    </row>
    <row r="884" spans="1:8">
      <c r="A884" s="177">
        <v>961500802</v>
      </c>
      <c r="B884" s="116" t="str">
        <f t="shared" si="13"/>
        <v>96-961500802</v>
      </c>
      <c r="C884" s="179" t="s">
        <v>12306</v>
      </c>
      <c r="E884" s="72"/>
      <c r="F884" s="72"/>
      <c r="G884" s="72"/>
      <c r="H884" s="124"/>
    </row>
    <row r="885" spans="1:8">
      <c r="A885" s="177">
        <v>961500821</v>
      </c>
      <c r="B885" s="116" t="str">
        <f t="shared" si="13"/>
        <v>96-961500821</v>
      </c>
      <c r="C885" s="179" t="s">
        <v>12306</v>
      </c>
      <c r="E885" s="72"/>
      <c r="F885" s="72"/>
      <c r="G885" s="72"/>
      <c r="H885" s="124"/>
    </row>
    <row r="886" spans="1:8">
      <c r="A886" s="177">
        <v>961500839</v>
      </c>
      <c r="B886" s="116" t="str">
        <f t="shared" si="13"/>
        <v>96-961500839</v>
      </c>
      <c r="C886" s="179" t="s">
        <v>12306</v>
      </c>
      <c r="E886" s="72"/>
      <c r="F886" s="72"/>
      <c r="G886" s="72"/>
      <c r="H886" s="124"/>
    </row>
    <row r="887" spans="1:8">
      <c r="A887" s="177">
        <v>951500005</v>
      </c>
      <c r="B887" s="116" t="str">
        <f t="shared" si="13"/>
        <v>95-951500005</v>
      </c>
      <c r="C887" s="179" t="s">
        <v>5610</v>
      </c>
      <c r="E887" s="72"/>
      <c r="F887" s="72"/>
      <c r="G887" s="72"/>
      <c r="H887" s="124"/>
    </row>
    <row r="888" spans="1:8">
      <c r="A888" s="177">
        <v>951500038</v>
      </c>
      <c r="B888" s="116" t="str">
        <f t="shared" si="13"/>
        <v>95-951500038</v>
      </c>
      <c r="C888" s="179" t="s">
        <v>5614</v>
      </c>
      <c r="E888" s="72"/>
      <c r="F888" s="72"/>
      <c r="G888" s="72"/>
      <c r="H888" s="124"/>
    </row>
    <row r="889" spans="1:8">
      <c r="A889" s="177">
        <v>951500152</v>
      </c>
      <c r="B889" s="116" t="str">
        <f t="shared" si="13"/>
        <v>95-951500152</v>
      </c>
      <c r="C889" s="179" t="s">
        <v>5614</v>
      </c>
      <c r="E889" s="72"/>
      <c r="F889" s="72"/>
      <c r="G889" s="72"/>
      <c r="H889" s="124"/>
    </row>
    <row r="890" spans="1:8">
      <c r="A890" s="177">
        <v>951500198</v>
      </c>
      <c r="B890" s="116" t="str">
        <f t="shared" si="13"/>
        <v>95-951500198</v>
      </c>
      <c r="C890" s="179" t="s">
        <v>5614</v>
      </c>
      <c r="E890" s="72"/>
      <c r="F890" s="72"/>
      <c r="G890" s="72"/>
      <c r="H890" s="124"/>
    </row>
    <row r="891" spans="1:8">
      <c r="A891" s="177">
        <v>951500407</v>
      </c>
      <c r="B891" s="116" t="str">
        <f t="shared" si="13"/>
        <v>95-951500407</v>
      </c>
      <c r="C891" s="179" t="s">
        <v>5688</v>
      </c>
      <c r="E891" s="72"/>
      <c r="F891" s="72"/>
      <c r="G891" s="72"/>
      <c r="H891" s="124"/>
    </row>
    <row r="892" spans="1:8">
      <c r="A892" s="177">
        <v>951500458</v>
      </c>
      <c r="B892" s="116" t="str">
        <f t="shared" si="13"/>
        <v>95-951500458</v>
      </c>
      <c r="C892" s="179" t="s">
        <v>5688</v>
      </c>
      <c r="E892" s="72"/>
      <c r="F892" s="72"/>
      <c r="G892" s="72"/>
      <c r="H892" s="124"/>
    </row>
    <row r="893" spans="1:8">
      <c r="A893" s="177">
        <v>951500493</v>
      </c>
      <c r="B893" s="116" t="str">
        <f t="shared" si="13"/>
        <v>95-951500493</v>
      </c>
      <c r="C893" s="179" t="s">
        <v>5717</v>
      </c>
      <c r="E893" s="72"/>
      <c r="F893" s="72"/>
      <c r="G893" s="72"/>
      <c r="H893" s="124"/>
    </row>
    <row r="894" spans="1:8">
      <c r="A894" s="177">
        <v>961500200</v>
      </c>
      <c r="B894" s="116" t="str">
        <f t="shared" si="13"/>
        <v>96-961500200</v>
      </c>
      <c r="C894" s="179" t="s">
        <v>5816</v>
      </c>
      <c r="E894" s="72"/>
      <c r="F894" s="72"/>
      <c r="G894" s="72"/>
      <c r="H894" s="124"/>
    </row>
    <row r="895" spans="1:8">
      <c r="A895" s="177">
        <v>961500221</v>
      </c>
      <c r="B895" s="116" t="str">
        <f t="shared" si="13"/>
        <v>96-961500221</v>
      </c>
      <c r="C895" s="179" t="s">
        <v>5821</v>
      </c>
      <c r="E895" s="72"/>
      <c r="F895" s="72"/>
      <c r="G895" s="72"/>
      <c r="H895" s="124"/>
    </row>
    <row r="896" spans="1:8">
      <c r="A896" s="177">
        <v>961500278</v>
      </c>
      <c r="B896" s="116" t="str">
        <f t="shared" si="13"/>
        <v>96-961500278</v>
      </c>
      <c r="C896" s="179" t="s">
        <v>5821</v>
      </c>
      <c r="E896" s="72"/>
      <c r="F896" s="72"/>
      <c r="G896" s="72"/>
      <c r="H896" s="124"/>
    </row>
    <row r="897" spans="1:8">
      <c r="A897" s="177">
        <v>961500459</v>
      </c>
      <c r="B897" s="116" t="str">
        <f t="shared" si="13"/>
        <v>96-961500459</v>
      </c>
      <c r="C897" s="179" t="s">
        <v>7234</v>
      </c>
      <c r="E897" s="72"/>
      <c r="F897" s="72"/>
      <c r="G897" s="72"/>
      <c r="H897" s="124"/>
    </row>
    <row r="898" spans="1:8">
      <c r="A898" s="177">
        <v>961500587</v>
      </c>
      <c r="B898" s="116" t="str">
        <f t="shared" si="13"/>
        <v>96-961500587</v>
      </c>
      <c r="C898" s="179" t="s">
        <v>8726</v>
      </c>
      <c r="E898" s="72"/>
      <c r="F898" s="72"/>
      <c r="G898" s="72"/>
      <c r="H898" s="124"/>
    </row>
    <row r="899" spans="1:8">
      <c r="A899" s="177">
        <v>961500085</v>
      </c>
      <c r="B899" s="116" t="str">
        <f t="shared" ref="B899:B962" si="14">MID(A899,1,2)&amp;"-"&amp;A899</f>
        <v>96-961500085</v>
      </c>
      <c r="C899" s="179" t="s">
        <v>5796</v>
      </c>
      <c r="E899" s="72"/>
      <c r="F899" s="72"/>
      <c r="G899" s="72"/>
      <c r="H899" s="124"/>
    </row>
    <row r="900" spans="1:8">
      <c r="A900" s="177">
        <v>961500543</v>
      </c>
      <c r="B900" s="116" t="str">
        <f t="shared" si="14"/>
        <v>96-961500543</v>
      </c>
      <c r="C900" s="179" t="s">
        <v>5854</v>
      </c>
      <c r="E900" s="72"/>
      <c r="F900" s="72"/>
      <c r="G900" s="72"/>
      <c r="H900" s="124"/>
    </row>
    <row r="901" spans="1:8">
      <c r="A901" s="177">
        <v>961500563</v>
      </c>
      <c r="B901" s="116" t="str">
        <f t="shared" si="14"/>
        <v>96-961500563</v>
      </c>
      <c r="C901" s="179" t="s">
        <v>5854</v>
      </c>
      <c r="E901" s="72"/>
      <c r="F901" s="72"/>
      <c r="G901" s="72"/>
      <c r="H901" s="124"/>
    </row>
    <row r="902" spans="1:8">
      <c r="A902" s="177">
        <v>961200108</v>
      </c>
      <c r="B902" s="116" t="str">
        <f t="shared" si="14"/>
        <v>96-961200108</v>
      </c>
      <c r="C902" s="179" t="s">
        <v>9776</v>
      </c>
      <c r="E902" s="72"/>
      <c r="F902" s="72"/>
      <c r="G902" s="72"/>
      <c r="H902" s="124"/>
    </row>
    <row r="903" spans="1:8">
      <c r="A903" s="177">
        <v>961500007</v>
      </c>
      <c r="B903" s="116" t="str">
        <f t="shared" si="14"/>
        <v>96-961500007</v>
      </c>
      <c r="C903" s="179" t="s">
        <v>5767</v>
      </c>
      <c r="E903" s="72"/>
      <c r="F903" s="72"/>
      <c r="G903" s="72"/>
      <c r="H903" s="124"/>
    </row>
    <row r="904" spans="1:8">
      <c r="A904" s="177">
        <v>961500113</v>
      </c>
      <c r="B904" s="116" t="str">
        <f t="shared" si="14"/>
        <v>96-961500113</v>
      </c>
      <c r="C904" s="179" t="s">
        <v>5805</v>
      </c>
      <c r="E904" s="72"/>
      <c r="F904" s="72"/>
      <c r="G904" s="72"/>
      <c r="H904" s="124"/>
    </row>
    <row r="905" spans="1:8">
      <c r="A905" s="177">
        <v>961500261</v>
      </c>
      <c r="B905" s="116" t="str">
        <f t="shared" si="14"/>
        <v>96-961500261</v>
      </c>
      <c r="C905" s="179" t="s">
        <v>5829</v>
      </c>
      <c r="E905" s="72"/>
      <c r="F905" s="72"/>
      <c r="G905" s="72"/>
      <c r="H905" s="124"/>
    </row>
    <row r="906" spans="1:8">
      <c r="A906" s="177">
        <v>961500291</v>
      </c>
      <c r="B906" s="116" t="str">
        <f t="shared" si="14"/>
        <v>96-961500291</v>
      </c>
      <c r="C906" s="179" t="s">
        <v>5838</v>
      </c>
      <c r="E906" s="72"/>
      <c r="F906" s="72"/>
      <c r="G906" s="72"/>
      <c r="H906" s="124"/>
    </row>
    <row r="907" spans="1:8">
      <c r="A907" s="177">
        <v>961500318</v>
      </c>
      <c r="B907" s="116" t="str">
        <f t="shared" si="14"/>
        <v>96-961500318</v>
      </c>
      <c r="C907" s="179" t="s">
        <v>5851</v>
      </c>
      <c r="E907" s="72"/>
      <c r="F907" s="72"/>
      <c r="G907" s="72"/>
      <c r="H907" s="124"/>
    </row>
    <row r="908" spans="1:8">
      <c r="A908" s="177">
        <v>961500418</v>
      </c>
      <c r="B908" s="116" t="str">
        <f t="shared" si="14"/>
        <v>96-961500418</v>
      </c>
      <c r="C908" s="179" t="s">
        <v>7262</v>
      </c>
      <c r="E908" s="72"/>
      <c r="F908" s="72"/>
      <c r="G908" s="72"/>
      <c r="H908" s="124"/>
    </row>
    <row r="909" spans="1:8">
      <c r="A909" s="177">
        <v>961500681</v>
      </c>
      <c r="B909" s="116" t="str">
        <f t="shared" si="14"/>
        <v>96-961500681</v>
      </c>
      <c r="C909" s="179" t="s">
        <v>9772</v>
      </c>
      <c r="E909" s="72"/>
      <c r="F909" s="72"/>
      <c r="G909" s="72"/>
      <c r="H909" s="124"/>
    </row>
    <row r="910" spans="1:8">
      <c r="A910" s="177">
        <v>961500710</v>
      </c>
      <c r="B910" s="116" t="str">
        <f t="shared" si="14"/>
        <v>96-961500710</v>
      </c>
      <c r="C910" s="179" t="s">
        <v>9913</v>
      </c>
      <c r="E910" s="72"/>
      <c r="F910" s="72"/>
      <c r="G910" s="72"/>
      <c r="H910" s="124"/>
    </row>
    <row r="911" spans="1:8">
      <c r="A911" s="177">
        <v>951500266</v>
      </c>
      <c r="B911" s="116" t="str">
        <f t="shared" si="14"/>
        <v>95-951500266</v>
      </c>
      <c r="C911" s="179" t="s">
        <v>5653</v>
      </c>
      <c r="E911" s="72"/>
      <c r="F911" s="72"/>
      <c r="G911" s="72"/>
      <c r="H911" s="124"/>
    </row>
    <row r="912" spans="1:8">
      <c r="A912" s="177">
        <v>961500043</v>
      </c>
      <c r="B912" s="116" t="str">
        <f t="shared" si="14"/>
        <v>96-961500043</v>
      </c>
      <c r="C912" s="179" t="s">
        <v>5785</v>
      </c>
      <c r="E912" s="72"/>
      <c r="F912" s="72"/>
      <c r="G912" s="72"/>
      <c r="H912" s="124"/>
    </row>
    <row r="913" spans="1:8">
      <c r="A913" s="177">
        <v>951500391</v>
      </c>
      <c r="B913" s="116" t="str">
        <f t="shared" si="14"/>
        <v>95-951500391</v>
      </c>
      <c r="C913" s="179" t="s">
        <v>5684</v>
      </c>
      <c r="E913" s="72"/>
      <c r="F913" s="72"/>
      <c r="G913" s="72"/>
      <c r="H913" s="124"/>
    </row>
    <row r="914" spans="1:8">
      <c r="A914" s="177">
        <v>961500062</v>
      </c>
      <c r="B914" s="116" t="str">
        <f t="shared" si="14"/>
        <v>96-961500062</v>
      </c>
      <c r="C914" s="179" t="s">
        <v>5787</v>
      </c>
      <c r="E914" s="72"/>
      <c r="F914" s="72"/>
      <c r="G914" s="72"/>
      <c r="H914" s="124"/>
    </row>
    <row r="915" spans="1:8">
      <c r="A915" s="177">
        <v>951500454</v>
      </c>
      <c r="B915" s="116" t="str">
        <f t="shared" si="14"/>
        <v>95-951500454</v>
      </c>
      <c r="C915" s="179" t="s">
        <v>5700</v>
      </c>
      <c r="E915" s="72"/>
      <c r="F915" s="72"/>
      <c r="G915" s="72"/>
      <c r="H915" s="124"/>
    </row>
    <row r="916" spans="1:8">
      <c r="A916" s="177">
        <v>961500033</v>
      </c>
      <c r="B916" s="116" t="str">
        <f t="shared" si="14"/>
        <v>96-961500033</v>
      </c>
      <c r="C916" s="179" t="s">
        <v>5776</v>
      </c>
      <c r="E916" s="72"/>
      <c r="F916" s="72"/>
      <c r="G916" s="72"/>
      <c r="H916" s="124"/>
    </row>
    <row r="917" spans="1:8">
      <c r="A917" s="177">
        <v>961500046</v>
      </c>
      <c r="B917" s="116" t="str">
        <f t="shared" si="14"/>
        <v>96-961500046</v>
      </c>
      <c r="C917" s="179" t="s">
        <v>5776</v>
      </c>
      <c r="E917" s="72"/>
      <c r="F917" s="72"/>
      <c r="G917" s="72"/>
      <c r="H917" s="124"/>
    </row>
    <row r="918" spans="1:8">
      <c r="A918" s="177">
        <v>961500435</v>
      </c>
      <c r="B918" s="116" t="str">
        <f t="shared" si="14"/>
        <v>96-961500435</v>
      </c>
      <c r="C918" s="179" t="s">
        <v>5780</v>
      </c>
      <c r="E918" s="72"/>
      <c r="F918" s="72"/>
      <c r="G918" s="72"/>
      <c r="H918" s="124"/>
    </row>
    <row r="919" spans="1:8">
      <c r="A919" s="177">
        <v>961500548</v>
      </c>
      <c r="B919" s="116" t="str">
        <f t="shared" si="14"/>
        <v>96-961500548</v>
      </c>
      <c r="C919" s="179" t="s">
        <v>5854</v>
      </c>
      <c r="E919" s="72"/>
      <c r="F919" s="72"/>
      <c r="G919" s="72"/>
      <c r="H919" s="124"/>
    </row>
    <row r="920" spans="1:8">
      <c r="A920" s="177">
        <v>951500008</v>
      </c>
      <c r="B920" s="116" t="str">
        <f t="shared" si="14"/>
        <v>95-951500008</v>
      </c>
      <c r="C920" s="179" t="s">
        <v>5608</v>
      </c>
      <c r="E920" s="72"/>
      <c r="F920" s="72"/>
      <c r="G920" s="72"/>
      <c r="H920" s="124"/>
    </row>
    <row r="921" spans="1:8">
      <c r="A921" s="177">
        <v>961500727</v>
      </c>
      <c r="B921" s="116" t="str">
        <f t="shared" si="14"/>
        <v>96-961500727</v>
      </c>
      <c r="C921" s="179" t="s">
        <v>9796</v>
      </c>
      <c r="E921" s="72"/>
      <c r="F921" s="72"/>
      <c r="G921" s="72"/>
      <c r="H921" s="124"/>
    </row>
    <row r="922" spans="1:8">
      <c r="A922" s="177">
        <v>961500734</v>
      </c>
      <c r="B922" s="116" t="str">
        <f t="shared" si="14"/>
        <v>96-961500734</v>
      </c>
      <c r="C922" s="179" t="s">
        <v>9796</v>
      </c>
      <c r="E922" s="72"/>
      <c r="F922" s="72"/>
      <c r="G922" s="72"/>
      <c r="H922" s="124"/>
    </row>
    <row r="923" spans="1:8">
      <c r="A923" s="177">
        <v>961500735</v>
      </c>
      <c r="B923" s="116" t="str">
        <f t="shared" si="14"/>
        <v>96-961500735</v>
      </c>
      <c r="C923" s="179" t="s">
        <v>9789</v>
      </c>
      <c r="E923" s="72"/>
      <c r="F923" s="72"/>
      <c r="G923" s="72"/>
      <c r="H923" s="124"/>
    </row>
    <row r="924" spans="1:8">
      <c r="A924" s="177">
        <v>961500749</v>
      </c>
      <c r="B924" s="116" t="str">
        <f t="shared" si="14"/>
        <v>96-961500749</v>
      </c>
      <c r="C924" s="179" t="s">
        <v>9789</v>
      </c>
      <c r="E924" s="72"/>
      <c r="F924" s="72"/>
      <c r="G924" s="72"/>
      <c r="H924" s="124"/>
    </row>
    <row r="925" spans="1:8">
      <c r="A925" s="177">
        <v>961500768</v>
      </c>
      <c r="B925" s="116" t="str">
        <f t="shared" si="14"/>
        <v>96-961500768</v>
      </c>
      <c r="C925" s="179" t="s">
        <v>9797</v>
      </c>
      <c r="E925" s="72"/>
      <c r="F925" s="72"/>
      <c r="G925" s="72"/>
      <c r="H925" s="124"/>
    </row>
    <row r="926" spans="1:8">
      <c r="A926" s="177">
        <v>961500774</v>
      </c>
      <c r="B926" s="116" t="str">
        <f t="shared" si="14"/>
        <v>96-961500774</v>
      </c>
      <c r="C926" s="179" t="s">
        <v>9790</v>
      </c>
      <c r="E926" s="72"/>
      <c r="F926" s="72"/>
      <c r="G926" s="72"/>
      <c r="H926" s="124"/>
    </row>
    <row r="927" spans="1:8">
      <c r="A927" s="177">
        <v>961500783</v>
      </c>
      <c r="B927" s="116" t="str">
        <f t="shared" si="14"/>
        <v>96-961500783</v>
      </c>
      <c r="C927" s="179" t="s">
        <v>12218</v>
      </c>
      <c r="E927" s="72"/>
      <c r="F927" s="72"/>
      <c r="G927" s="72"/>
      <c r="H927" s="124"/>
    </row>
    <row r="928" spans="1:8">
      <c r="A928" s="177">
        <v>961500798</v>
      </c>
      <c r="B928" s="116" t="str">
        <f t="shared" si="14"/>
        <v>96-961500798</v>
      </c>
      <c r="C928" s="179" t="s">
        <v>12218</v>
      </c>
      <c r="E928" s="72"/>
      <c r="F928" s="72"/>
      <c r="G928" s="72"/>
      <c r="H928" s="124"/>
    </row>
    <row r="929" spans="1:8">
      <c r="A929" s="177">
        <v>961500803</v>
      </c>
      <c r="B929" s="116" t="str">
        <f t="shared" si="14"/>
        <v>96-961500803</v>
      </c>
      <c r="C929" s="179" t="s">
        <v>12221</v>
      </c>
      <c r="E929" s="72"/>
      <c r="F929" s="72"/>
      <c r="G929" s="72"/>
      <c r="H929" s="124"/>
    </row>
    <row r="930" spans="1:8">
      <c r="A930" s="177">
        <v>961500833</v>
      </c>
      <c r="B930" s="116" t="str">
        <f t="shared" si="14"/>
        <v>96-961500833</v>
      </c>
      <c r="C930" s="179" t="s">
        <v>12414</v>
      </c>
      <c r="E930" s="72"/>
      <c r="F930" s="72"/>
      <c r="G930" s="72"/>
      <c r="H930" s="124"/>
    </row>
    <row r="931" spans="1:8">
      <c r="A931" s="177">
        <v>961500841</v>
      </c>
      <c r="B931" s="116" t="str">
        <f t="shared" si="14"/>
        <v>96-961500841</v>
      </c>
      <c r="C931" s="179" t="s">
        <v>12414</v>
      </c>
      <c r="E931" s="72"/>
      <c r="F931" s="72"/>
      <c r="G931" s="72"/>
      <c r="H931" s="124"/>
    </row>
    <row r="932" spans="1:8">
      <c r="A932" s="177">
        <v>951500390</v>
      </c>
      <c r="B932" s="116" t="str">
        <f t="shared" si="14"/>
        <v>95-951500390</v>
      </c>
      <c r="C932" s="179" t="s">
        <v>5668</v>
      </c>
      <c r="E932" s="72"/>
      <c r="F932" s="72"/>
      <c r="G932" s="72"/>
      <c r="H932" s="124"/>
    </row>
    <row r="933" spans="1:8">
      <c r="A933" s="177">
        <v>951500397</v>
      </c>
      <c r="B933" s="116" t="str">
        <f t="shared" si="14"/>
        <v>95-951500397</v>
      </c>
      <c r="C933" s="179" t="s">
        <v>5686</v>
      </c>
      <c r="E933" s="72"/>
      <c r="F933" s="72"/>
      <c r="G933" s="72"/>
      <c r="H933" s="124"/>
    </row>
    <row r="934" spans="1:8">
      <c r="A934" s="177">
        <v>951500433</v>
      </c>
      <c r="B934" s="116" t="str">
        <f t="shared" si="14"/>
        <v>95-951500433</v>
      </c>
      <c r="C934" s="179" t="s">
        <v>5698</v>
      </c>
      <c r="E934" s="72"/>
      <c r="F934" s="72"/>
      <c r="G934" s="72"/>
      <c r="H934" s="124"/>
    </row>
    <row r="935" spans="1:8">
      <c r="A935" s="177">
        <v>951500457</v>
      </c>
      <c r="B935" s="116" t="str">
        <f t="shared" si="14"/>
        <v>95-951500457</v>
      </c>
      <c r="C935" s="179" t="s">
        <v>5698</v>
      </c>
      <c r="E935" s="72"/>
      <c r="F935" s="72"/>
      <c r="G935" s="72"/>
      <c r="H935" s="124"/>
    </row>
    <row r="936" spans="1:8">
      <c r="A936" s="177">
        <v>951500545</v>
      </c>
      <c r="B936" s="116" t="str">
        <f t="shared" si="14"/>
        <v>95-951500545</v>
      </c>
      <c r="C936" s="179" t="s">
        <v>5712</v>
      </c>
      <c r="E936" s="72"/>
      <c r="F936" s="72"/>
      <c r="G936" s="72"/>
      <c r="H936" s="124"/>
    </row>
    <row r="937" spans="1:8">
      <c r="A937" s="177">
        <v>951500563</v>
      </c>
      <c r="B937" s="116" t="str">
        <f t="shared" si="14"/>
        <v>95-951500563</v>
      </c>
      <c r="C937" s="179" t="s">
        <v>5746</v>
      </c>
      <c r="E937" s="72"/>
      <c r="F937" s="72"/>
      <c r="G937" s="72"/>
      <c r="H937" s="124"/>
    </row>
    <row r="938" spans="1:8">
      <c r="A938" s="177">
        <v>961500189</v>
      </c>
      <c r="B938" s="116" t="str">
        <f t="shared" si="14"/>
        <v>96-961500189</v>
      </c>
      <c r="C938" s="179" t="s">
        <v>5813</v>
      </c>
      <c r="E938" s="72"/>
      <c r="F938" s="72"/>
      <c r="G938" s="72"/>
      <c r="H938" s="124"/>
    </row>
    <row r="939" spans="1:8">
      <c r="A939" s="177">
        <v>961500197</v>
      </c>
      <c r="B939" s="116" t="str">
        <f t="shared" si="14"/>
        <v>96-961500197</v>
      </c>
      <c r="C939" s="179" t="s">
        <v>5815</v>
      </c>
      <c r="E939" s="72"/>
      <c r="F939" s="72"/>
      <c r="G939" s="72"/>
      <c r="H939" s="124"/>
    </row>
    <row r="940" spans="1:8">
      <c r="A940" s="177">
        <v>961500201</v>
      </c>
      <c r="B940" s="116" t="str">
        <f t="shared" si="14"/>
        <v>96-961500201</v>
      </c>
      <c r="C940" s="179" t="s">
        <v>5815</v>
      </c>
      <c r="E940" s="72"/>
      <c r="F940" s="72"/>
      <c r="G940" s="72"/>
      <c r="H940" s="124"/>
    </row>
    <row r="941" spans="1:8">
      <c r="A941" s="177">
        <v>961500204</v>
      </c>
      <c r="B941" s="116" t="str">
        <f t="shared" si="14"/>
        <v>96-961500204</v>
      </c>
      <c r="C941" s="179" t="s">
        <v>5813</v>
      </c>
      <c r="E941" s="72"/>
      <c r="F941" s="72"/>
      <c r="G941" s="72"/>
      <c r="H941" s="124"/>
    </row>
    <row r="942" spans="1:8">
      <c r="A942" s="177">
        <v>961500215</v>
      </c>
      <c r="B942" s="116" t="str">
        <f t="shared" si="14"/>
        <v>96-961500215</v>
      </c>
      <c r="C942" s="179" t="s">
        <v>5813</v>
      </c>
      <c r="E942" s="72"/>
      <c r="F942" s="72"/>
      <c r="G942" s="72"/>
      <c r="H942" s="124"/>
    </row>
    <row r="943" spans="1:8">
      <c r="A943" s="177">
        <v>961500237</v>
      </c>
      <c r="B943" s="116" t="str">
        <f t="shared" si="14"/>
        <v>96-961500237</v>
      </c>
      <c r="C943" s="179" t="s">
        <v>5813</v>
      </c>
      <c r="E943" s="72"/>
      <c r="F943" s="72"/>
      <c r="G943" s="72"/>
      <c r="H943" s="124"/>
    </row>
    <row r="944" spans="1:8">
      <c r="A944" s="177">
        <v>961500243</v>
      </c>
      <c r="B944" s="116" t="str">
        <f t="shared" si="14"/>
        <v>96-961500243</v>
      </c>
      <c r="C944" s="179" t="s">
        <v>5814</v>
      </c>
      <c r="E944" s="72"/>
      <c r="F944" s="72"/>
      <c r="G944" s="72"/>
      <c r="H944" s="124"/>
    </row>
    <row r="945" spans="1:8">
      <c r="A945" s="177">
        <v>961500247</v>
      </c>
      <c r="B945" s="116" t="str">
        <f t="shared" si="14"/>
        <v>96-961500247</v>
      </c>
      <c r="C945" s="179" t="s">
        <v>5814</v>
      </c>
      <c r="E945" s="72"/>
      <c r="F945" s="72"/>
      <c r="G945" s="72"/>
      <c r="H945" s="124"/>
    </row>
    <row r="946" spans="1:8">
      <c r="A946" s="177">
        <v>961500254</v>
      </c>
      <c r="B946" s="116" t="str">
        <f t="shared" si="14"/>
        <v>96-961500254</v>
      </c>
      <c r="C946" s="179" t="s">
        <v>5814</v>
      </c>
      <c r="E946" s="72"/>
      <c r="F946" s="72"/>
      <c r="G946" s="72"/>
      <c r="H946" s="124"/>
    </row>
    <row r="947" spans="1:8">
      <c r="A947" s="177">
        <v>961500285</v>
      </c>
      <c r="B947" s="116" t="str">
        <f t="shared" si="14"/>
        <v>96-961500285</v>
      </c>
      <c r="C947" s="179" t="s">
        <v>5826</v>
      </c>
      <c r="E947" s="72"/>
      <c r="F947" s="72"/>
      <c r="G947" s="72"/>
      <c r="H947" s="124"/>
    </row>
    <row r="948" spans="1:8">
      <c r="A948" s="177">
        <v>961500295</v>
      </c>
      <c r="B948" s="116" t="str">
        <f t="shared" si="14"/>
        <v>96-961500295</v>
      </c>
      <c r="C948" s="179" t="s">
        <v>5826</v>
      </c>
      <c r="E948" s="72"/>
      <c r="F948" s="72"/>
      <c r="G948" s="72"/>
      <c r="H948" s="124"/>
    </row>
    <row r="949" spans="1:8">
      <c r="A949" s="177">
        <v>961500297</v>
      </c>
      <c r="B949" s="116" t="str">
        <f t="shared" si="14"/>
        <v>96-961500297</v>
      </c>
      <c r="C949" s="179" t="s">
        <v>5826</v>
      </c>
      <c r="E949" s="72"/>
      <c r="F949" s="72"/>
      <c r="G949" s="72"/>
      <c r="H949" s="124"/>
    </row>
    <row r="950" spans="1:8">
      <c r="A950" s="177">
        <v>961500298</v>
      </c>
      <c r="B950" s="116" t="str">
        <f t="shared" si="14"/>
        <v>96-961500298</v>
      </c>
      <c r="C950" s="179" t="s">
        <v>5826</v>
      </c>
      <c r="E950" s="72"/>
      <c r="F950" s="72"/>
      <c r="G950" s="72"/>
      <c r="H950" s="124"/>
    </row>
    <row r="951" spans="1:8">
      <c r="A951" s="177">
        <v>961500327</v>
      </c>
      <c r="B951" s="116" t="str">
        <f t="shared" si="14"/>
        <v>96-961500327</v>
      </c>
      <c r="C951" s="179" t="s">
        <v>5831</v>
      </c>
      <c r="E951" s="72"/>
      <c r="F951" s="72"/>
      <c r="G951" s="72"/>
      <c r="H951" s="124"/>
    </row>
    <row r="952" spans="1:8">
      <c r="A952" s="177">
        <v>961500329</v>
      </c>
      <c r="B952" s="116" t="str">
        <f t="shared" si="14"/>
        <v>96-961500329</v>
      </c>
      <c r="C952" s="179" t="s">
        <v>5831</v>
      </c>
      <c r="E952" s="72"/>
      <c r="F952" s="72"/>
      <c r="G952" s="72"/>
      <c r="H952" s="124"/>
    </row>
    <row r="953" spans="1:8">
      <c r="A953" s="177">
        <v>961500346</v>
      </c>
      <c r="B953" s="116" t="str">
        <f t="shared" si="14"/>
        <v>96-961500346</v>
      </c>
      <c r="C953" s="179" t="s">
        <v>5831</v>
      </c>
      <c r="E953" s="72"/>
      <c r="F953" s="72"/>
      <c r="G953" s="72"/>
      <c r="H953" s="124"/>
    </row>
    <row r="954" spans="1:8">
      <c r="A954" s="177">
        <v>961500423</v>
      </c>
      <c r="B954" s="116" t="str">
        <f t="shared" si="14"/>
        <v>96-961500423</v>
      </c>
      <c r="C954" s="179" t="s">
        <v>7231</v>
      </c>
      <c r="E954" s="72"/>
      <c r="F954" s="72"/>
      <c r="G954" s="72"/>
      <c r="H954" s="124"/>
    </row>
    <row r="955" spans="1:8">
      <c r="A955" s="177">
        <v>961500632</v>
      </c>
      <c r="B955" s="116" t="str">
        <f t="shared" si="14"/>
        <v>96-961500632</v>
      </c>
      <c r="C955" s="179" t="s">
        <v>8748</v>
      </c>
      <c r="E955" s="72"/>
      <c r="F955" s="72"/>
      <c r="G955" s="72"/>
      <c r="H955" s="124"/>
    </row>
    <row r="956" spans="1:8">
      <c r="A956" s="177">
        <v>961500673</v>
      </c>
      <c r="B956" s="116" t="str">
        <f t="shared" si="14"/>
        <v>96-961500673</v>
      </c>
      <c r="C956" s="179" t="s">
        <v>9768</v>
      </c>
      <c r="E956" s="72"/>
      <c r="F956" s="72"/>
      <c r="G956" s="72"/>
      <c r="H956" s="124"/>
    </row>
    <row r="957" spans="1:8">
      <c r="A957" s="177">
        <v>961500691</v>
      </c>
      <c r="B957" s="116" t="str">
        <f t="shared" si="14"/>
        <v>96-961500691</v>
      </c>
      <c r="C957" s="179" t="s">
        <v>9768</v>
      </c>
      <c r="E957" s="72"/>
      <c r="F957" s="72"/>
      <c r="G957" s="72"/>
      <c r="H957" s="124"/>
    </row>
    <row r="958" spans="1:8">
      <c r="A958" s="177">
        <v>961500745</v>
      </c>
      <c r="B958" s="116" t="str">
        <f t="shared" si="14"/>
        <v>96-961500745</v>
      </c>
      <c r="C958" s="179" t="s">
        <v>9789</v>
      </c>
      <c r="E958" s="72"/>
      <c r="F958" s="72"/>
      <c r="G958" s="72"/>
      <c r="H958" s="124"/>
    </row>
    <row r="959" spans="1:8">
      <c r="A959" s="177">
        <v>961500747</v>
      </c>
      <c r="B959" s="116" t="str">
        <f t="shared" si="14"/>
        <v>96-961500747</v>
      </c>
      <c r="C959" s="179" t="s">
        <v>9784</v>
      </c>
      <c r="E959" s="72"/>
      <c r="F959" s="72"/>
      <c r="G959" s="72"/>
      <c r="H959" s="124"/>
    </row>
    <row r="960" spans="1:8">
      <c r="A960" s="177">
        <v>961500777</v>
      </c>
      <c r="B960" s="116" t="str">
        <f t="shared" si="14"/>
        <v>96-961500777</v>
      </c>
      <c r="C960" s="179" t="s">
        <v>9790</v>
      </c>
      <c r="E960" s="72"/>
      <c r="F960" s="72"/>
      <c r="G960" s="72"/>
      <c r="H960" s="124"/>
    </row>
    <row r="961" spans="1:8">
      <c r="A961" s="177">
        <v>961500832</v>
      </c>
      <c r="B961" s="116" t="str">
        <f t="shared" si="14"/>
        <v>96-961500832</v>
      </c>
      <c r="C961" s="179" t="s">
        <v>12414</v>
      </c>
      <c r="E961" s="72"/>
      <c r="F961" s="72"/>
      <c r="G961" s="72"/>
      <c r="H961" s="124"/>
    </row>
    <row r="962" spans="1:8">
      <c r="A962" s="177">
        <v>961500835</v>
      </c>
      <c r="B962" s="116" t="str">
        <f t="shared" si="14"/>
        <v>96-961500835</v>
      </c>
      <c r="C962" s="179" t="s">
        <v>12414</v>
      </c>
      <c r="E962" s="72"/>
      <c r="F962" s="72"/>
      <c r="G962" s="72"/>
      <c r="H962" s="124"/>
    </row>
    <row r="963" spans="1:8">
      <c r="A963" s="177">
        <v>961500840</v>
      </c>
      <c r="B963" s="116" t="str">
        <f t="shared" ref="B963:B1026" si="15">MID(A963,1,2)&amp;"-"&amp;A963</f>
        <v>96-961500840</v>
      </c>
      <c r="C963" s="179" t="s">
        <v>12414</v>
      </c>
      <c r="E963" s="72"/>
      <c r="F963" s="72"/>
      <c r="G963" s="72"/>
      <c r="H963" s="124"/>
    </row>
    <row r="964" spans="1:8">
      <c r="A964" s="177">
        <v>951500218</v>
      </c>
      <c r="B964" s="116" t="str">
        <f t="shared" si="15"/>
        <v>95-951500218</v>
      </c>
      <c r="C964" s="179" t="s">
        <v>5632</v>
      </c>
      <c r="E964" s="72"/>
      <c r="F964" s="72"/>
      <c r="G964" s="72"/>
      <c r="H964" s="124"/>
    </row>
    <row r="965" spans="1:8">
      <c r="A965" s="177">
        <v>951500256</v>
      </c>
      <c r="B965" s="116" t="str">
        <f t="shared" si="15"/>
        <v>95-951500256</v>
      </c>
      <c r="C965" s="179" t="s">
        <v>5646</v>
      </c>
      <c r="E965" s="72"/>
      <c r="F965" s="72"/>
      <c r="G965" s="72"/>
      <c r="H965" s="124"/>
    </row>
    <row r="966" spans="1:8">
      <c r="A966" s="177">
        <v>951500262</v>
      </c>
      <c r="B966" s="116" t="str">
        <f t="shared" si="15"/>
        <v>95-951500262</v>
      </c>
      <c r="C966" s="179" t="s">
        <v>5651</v>
      </c>
      <c r="E966" s="72"/>
      <c r="F966" s="72"/>
      <c r="G966" s="72"/>
      <c r="H966" s="124"/>
    </row>
    <row r="967" spans="1:8">
      <c r="A967" s="177">
        <v>951500542</v>
      </c>
      <c r="B967" s="116" t="str">
        <f t="shared" si="15"/>
        <v>95-951500542</v>
      </c>
      <c r="C967" s="179" t="s">
        <v>5712</v>
      </c>
      <c r="E967" s="72"/>
      <c r="F967" s="72"/>
      <c r="G967" s="72"/>
      <c r="H967" s="124"/>
    </row>
    <row r="968" spans="1:8">
      <c r="A968" s="177">
        <v>951500543</v>
      </c>
      <c r="B968" s="116" t="str">
        <f t="shared" si="15"/>
        <v>95-951500543</v>
      </c>
      <c r="C968" s="179" t="s">
        <v>5712</v>
      </c>
      <c r="E968" s="72"/>
      <c r="F968" s="72"/>
      <c r="G968" s="72"/>
      <c r="H968" s="124"/>
    </row>
    <row r="969" spans="1:8">
      <c r="A969" s="177">
        <v>961500070</v>
      </c>
      <c r="B969" s="116" t="str">
        <f t="shared" si="15"/>
        <v>96-961500070</v>
      </c>
      <c r="C969" s="179" t="s">
        <v>5789</v>
      </c>
      <c r="E969" s="72"/>
      <c r="F969" s="72"/>
      <c r="G969" s="72"/>
      <c r="H969" s="124"/>
    </row>
    <row r="970" spans="1:8">
      <c r="A970" s="177">
        <v>961500109</v>
      </c>
      <c r="B970" s="116" t="str">
        <f t="shared" si="15"/>
        <v>96-961500109</v>
      </c>
      <c r="C970" s="179" t="s">
        <v>5801</v>
      </c>
      <c r="E970" s="72"/>
      <c r="F970" s="72"/>
      <c r="G970" s="72"/>
      <c r="H970" s="124"/>
    </row>
    <row r="971" spans="1:8">
      <c r="A971" s="177">
        <v>961500132</v>
      </c>
      <c r="B971" s="116" t="str">
        <f t="shared" si="15"/>
        <v>96-961500132</v>
      </c>
      <c r="C971" s="179" t="s">
        <v>5803</v>
      </c>
      <c r="E971" s="72"/>
      <c r="F971" s="72"/>
      <c r="G971" s="72"/>
      <c r="H971" s="124"/>
    </row>
    <row r="972" spans="1:8">
      <c r="A972" s="177">
        <v>961500511</v>
      </c>
      <c r="B972" s="116" t="str">
        <f t="shared" si="15"/>
        <v>96-961500511</v>
      </c>
      <c r="C972" s="179" t="s">
        <v>7253</v>
      </c>
      <c r="E972" s="72"/>
      <c r="F972" s="72"/>
      <c r="G972" s="72"/>
      <c r="H972" s="124"/>
    </row>
    <row r="973" spans="1:8">
      <c r="A973" s="177">
        <v>961500683</v>
      </c>
      <c r="B973" s="116" t="str">
        <f t="shared" si="15"/>
        <v>96-961500683</v>
      </c>
      <c r="C973" s="179" t="s">
        <v>7253</v>
      </c>
      <c r="E973" s="72"/>
      <c r="F973" s="72"/>
      <c r="G973" s="72"/>
      <c r="H973" s="124"/>
    </row>
    <row r="974" spans="1:8">
      <c r="A974" s="177">
        <v>961500671</v>
      </c>
      <c r="B974" s="116" t="str">
        <f t="shared" si="15"/>
        <v>96-961500671</v>
      </c>
      <c r="C974" s="179" t="s">
        <v>9798</v>
      </c>
      <c r="E974" s="72"/>
      <c r="F974" s="72"/>
      <c r="G974" s="72"/>
      <c r="H974" s="124"/>
    </row>
    <row r="975" spans="1:8">
      <c r="A975" s="177">
        <v>951500594</v>
      </c>
      <c r="B975" s="116" t="str">
        <f t="shared" si="15"/>
        <v>95-951500594</v>
      </c>
      <c r="C975" s="179" t="s">
        <v>5748</v>
      </c>
      <c r="E975" s="72"/>
      <c r="F975" s="72"/>
      <c r="G975" s="72"/>
      <c r="H975" s="124"/>
    </row>
    <row r="976" spans="1:8">
      <c r="A976" s="177">
        <v>961500001</v>
      </c>
      <c r="B976" s="116" t="str">
        <f t="shared" si="15"/>
        <v>96-961500001</v>
      </c>
      <c r="C976" s="179" t="s">
        <v>5748</v>
      </c>
      <c r="E976" s="72"/>
      <c r="F976" s="72"/>
      <c r="G976" s="72"/>
      <c r="H976" s="124"/>
    </row>
    <row r="977" spans="1:8">
      <c r="A977" s="177">
        <v>961500017</v>
      </c>
      <c r="B977" s="116" t="str">
        <f t="shared" si="15"/>
        <v>96-961500017</v>
      </c>
      <c r="C977" s="179" t="s">
        <v>5751</v>
      </c>
      <c r="E977" s="72"/>
      <c r="F977" s="72"/>
      <c r="G977" s="72"/>
      <c r="H977" s="124"/>
    </row>
    <row r="978" spans="1:8">
      <c r="A978" s="177">
        <v>961500134</v>
      </c>
      <c r="B978" s="116" t="str">
        <f t="shared" si="15"/>
        <v>96-961500134</v>
      </c>
      <c r="C978" s="179" t="s">
        <v>5803</v>
      </c>
      <c r="E978" s="72"/>
      <c r="F978" s="72"/>
      <c r="G978" s="72"/>
      <c r="H978" s="124"/>
    </row>
    <row r="979" spans="1:8">
      <c r="A979" s="177">
        <v>961500145</v>
      </c>
      <c r="B979" s="116" t="str">
        <f t="shared" si="15"/>
        <v>96-961500145</v>
      </c>
      <c r="C979" s="179" t="s">
        <v>5807</v>
      </c>
      <c r="E979" s="72"/>
      <c r="F979" s="72"/>
      <c r="G979" s="72"/>
      <c r="H979" s="124"/>
    </row>
    <row r="980" spans="1:8">
      <c r="A980" s="177">
        <v>961500191</v>
      </c>
      <c r="B980" s="116" t="str">
        <f t="shared" si="15"/>
        <v>96-961500191</v>
      </c>
      <c r="C980" s="179" t="s">
        <v>5807</v>
      </c>
      <c r="E980" s="72"/>
      <c r="F980" s="72"/>
      <c r="G980" s="72"/>
      <c r="H980" s="124"/>
    </row>
    <row r="981" spans="1:8">
      <c r="A981" s="177">
        <v>961500207</v>
      </c>
      <c r="B981" s="116" t="str">
        <f t="shared" si="15"/>
        <v>96-961500207</v>
      </c>
      <c r="C981" s="179" t="s">
        <v>5820</v>
      </c>
      <c r="E981" s="72"/>
      <c r="F981" s="72"/>
      <c r="G981" s="72"/>
      <c r="H981" s="124"/>
    </row>
    <row r="982" spans="1:8">
      <c r="A982" s="177">
        <v>961500242</v>
      </c>
      <c r="B982" s="116" t="str">
        <f t="shared" si="15"/>
        <v>96-961500242</v>
      </c>
      <c r="C982" s="179" t="s">
        <v>5819</v>
      </c>
      <c r="E982" s="72"/>
      <c r="F982" s="72"/>
      <c r="G982" s="72"/>
      <c r="H982" s="124"/>
    </row>
    <row r="983" spans="1:8">
      <c r="A983" s="177">
        <v>961500267</v>
      </c>
      <c r="B983" s="116" t="str">
        <f t="shared" si="15"/>
        <v>96-961500267</v>
      </c>
      <c r="C983" s="179" t="s">
        <v>5807</v>
      </c>
      <c r="E983" s="72"/>
      <c r="F983" s="72"/>
      <c r="G983" s="72"/>
      <c r="H983" s="124"/>
    </row>
    <row r="984" spans="1:8">
      <c r="A984" s="177">
        <v>961500361</v>
      </c>
      <c r="B984" s="116" t="str">
        <f t="shared" si="15"/>
        <v>96-961500361</v>
      </c>
      <c r="C984" s="179" t="s">
        <v>5836</v>
      </c>
      <c r="E984" s="72"/>
      <c r="F984" s="72"/>
      <c r="G984" s="72"/>
      <c r="H984" s="124"/>
    </row>
    <row r="985" spans="1:8">
      <c r="A985" s="177">
        <v>961500387</v>
      </c>
      <c r="B985" s="116" t="str">
        <f t="shared" si="15"/>
        <v>96-961500387</v>
      </c>
      <c r="C985" s="179" t="s">
        <v>5836</v>
      </c>
      <c r="E985" s="72"/>
      <c r="F985" s="72"/>
      <c r="G985" s="72"/>
      <c r="H985" s="124"/>
    </row>
    <row r="986" spans="1:8">
      <c r="A986" s="177">
        <v>961500442</v>
      </c>
      <c r="B986" s="116" t="str">
        <f t="shared" si="15"/>
        <v>96-961500442</v>
      </c>
      <c r="C986" s="179" t="s">
        <v>5836</v>
      </c>
      <c r="E986" s="72"/>
      <c r="F986" s="72"/>
      <c r="G986" s="72"/>
      <c r="H986" s="124"/>
    </row>
    <row r="987" spans="1:8">
      <c r="A987" s="177">
        <v>961500448</v>
      </c>
      <c r="B987" s="116" t="str">
        <f t="shared" si="15"/>
        <v>96-961500448</v>
      </c>
      <c r="C987" s="179" t="s">
        <v>5836</v>
      </c>
      <c r="E987" s="72"/>
      <c r="F987" s="72"/>
      <c r="G987" s="72"/>
      <c r="H987" s="124"/>
    </row>
    <row r="988" spans="1:8">
      <c r="A988" s="177">
        <v>961500451</v>
      </c>
      <c r="B988" s="116" t="str">
        <f t="shared" si="15"/>
        <v>96-961500451</v>
      </c>
      <c r="C988" s="179" t="s">
        <v>5836</v>
      </c>
      <c r="E988" s="72"/>
      <c r="F988" s="72"/>
      <c r="G988" s="72"/>
      <c r="H988" s="124"/>
    </row>
    <row r="989" spans="1:8">
      <c r="A989" s="177">
        <v>961500566</v>
      </c>
      <c r="B989" s="116" t="str">
        <f t="shared" si="15"/>
        <v>96-961500566</v>
      </c>
      <c r="C989" s="179" t="s">
        <v>8722</v>
      </c>
      <c r="E989" s="72"/>
      <c r="F989" s="72"/>
      <c r="G989" s="72"/>
      <c r="H989" s="124"/>
    </row>
    <row r="990" spans="1:8">
      <c r="A990" s="177">
        <v>961500643</v>
      </c>
      <c r="B990" s="116" t="str">
        <f t="shared" si="15"/>
        <v>96-961500643</v>
      </c>
      <c r="C990" s="179" t="s">
        <v>9762</v>
      </c>
      <c r="E990" s="72"/>
      <c r="F990" s="72"/>
      <c r="G990" s="72"/>
      <c r="H990" s="124"/>
    </row>
    <row r="991" spans="1:8">
      <c r="A991" s="177">
        <v>961500690</v>
      </c>
      <c r="B991" s="116" t="str">
        <f t="shared" si="15"/>
        <v>96-961500690</v>
      </c>
      <c r="C991" s="179" t="s">
        <v>9762</v>
      </c>
      <c r="E991" s="72"/>
      <c r="F991" s="72"/>
      <c r="G991" s="72"/>
      <c r="H991" s="124"/>
    </row>
    <row r="992" spans="1:8">
      <c r="A992" s="177">
        <v>951500019</v>
      </c>
      <c r="B992" s="116" t="str">
        <f t="shared" si="15"/>
        <v>95-951500019</v>
      </c>
      <c r="C992" s="179" t="s">
        <v>5608</v>
      </c>
      <c r="E992" s="72"/>
      <c r="F992" s="72"/>
      <c r="G992" s="72"/>
      <c r="H992" s="124"/>
    </row>
    <row r="993" spans="1:8">
      <c r="A993" s="177">
        <v>951500042</v>
      </c>
      <c r="B993" s="116" t="str">
        <f t="shared" si="15"/>
        <v>95-951500042</v>
      </c>
      <c r="C993" s="179" t="s">
        <v>5608</v>
      </c>
      <c r="E993" s="72"/>
      <c r="F993" s="72"/>
      <c r="G993" s="72"/>
      <c r="H993" s="124"/>
    </row>
    <row r="994" spans="1:8">
      <c r="A994" s="177">
        <v>951500076</v>
      </c>
      <c r="B994" s="116" t="str">
        <f t="shared" si="15"/>
        <v>95-951500076</v>
      </c>
      <c r="C994" s="179" t="s">
        <v>5608</v>
      </c>
      <c r="E994" s="72"/>
      <c r="F994" s="72"/>
      <c r="G994" s="72"/>
      <c r="H994" s="124"/>
    </row>
    <row r="995" spans="1:8">
      <c r="A995" s="177">
        <v>951500174</v>
      </c>
      <c r="B995" s="116" t="str">
        <f t="shared" si="15"/>
        <v>95-951500174</v>
      </c>
      <c r="C995" s="179" t="s">
        <v>5622</v>
      </c>
      <c r="E995" s="72"/>
      <c r="F995" s="72"/>
      <c r="G995" s="72"/>
      <c r="H995" s="124"/>
    </row>
    <row r="996" spans="1:8">
      <c r="A996" s="177">
        <v>951500189</v>
      </c>
      <c r="B996" s="116" t="str">
        <f t="shared" si="15"/>
        <v>95-951500189</v>
      </c>
      <c r="C996" s="179" t="s">
        <v>5622</v>
      </c>
      <c r="E996" s="72"/>
      <c r="F996" s="72"/>
      <c r="G996" s="72"/>
      <c r="H996" s="124"/>
    </row>
    <row r="997" spans="1:8">
      <c r="A997" s="177">
        <v>951500538</v>
      </c>
      <c r="B997" s="116" t="str">
        <f t="shared" si="15"/>
        <v>95-951500538</v>
      </c>
      <c r="C997" s="179" t="s">
        <v>5690</v>
      </c>
      <c r="E997" s="72"/>
      <c r="F997" s="72"/>
      <c r="G997" s="72"/>
      <c r="H997" s="124"/>
    </row>
    <row r="998" spans="1:8">
      <c r="A998" s="177">
        <v>961500357</v>
      </c>
      <c r="B998" s="116" t="str">
        <f t="shared" si="15"/>
        <v>96-961500357</v>
      </c>
      <c r="C998" s="179" t="s">
        <v>7233</v>
      </c>
      <c r="E998" s="72"/>
      <c r="F998" s="72"/>
      <c r="G998" s="72"/>
      <c r="H998" s="124"/>
    </row>
    <row r="999" spans="1:8">
      <c r="A999" s="177">
        <v>961500363</v>
      </c>
      <c r="B999" s="116" t="str">
        <f t="shared" si="15"/>
        <v>96-961500363</v>
      </c>
      <c r="C999" s="179" t="s">
        <v>7233</v>
      </c>
      <c r="E999" s="72"/>
      <c r="F999" s="72"/>
      <c r="G999" s="72"/>
      <c r="H999" s="124"/>
    </row>
    <row r="1000" spans="1:8">
      <c r="A1000" s="177">
        <v>961500380</v>
      </c>
      <c r="B1000" s="116" t="str">
        <f t="shared" si="15"/>
        <v>96-961500380</v>
      </c>
      <c r="C1000" s="179" t="s">
        <v>7233</v>
      </c>
      <c r="E1000" s="72"/>
      <c r="F1000" s="72"/>
      <c r="G1000" s="72"/>
      <c r="H1000" s="124"/>
    </row>
    <row r="1001" spans="1:8">
      <c r="A1001" s="177">
        <v>961500557</v>
      </c>
      <c r="B1001" s="116" t="str">
        <f t="shared" si="15"/>
        <v>96-961500557</v>
      </c>
      <c r="C1001" s="179" t="s">
        <v>8497</v>
      </c>
      <c r="E1001" s="72"/>
      <c r="F1001" s="72"/>
      <c r="G1001" s="72"/>
      <c r="H1001" s="124"/>
    </row>
    <row r="1002" spans="1:8">
      <c r="A1002" s="177">
        <v>961500646</v>
      </c>
      <c r="B1002" s="116" t="str">
        <f t="shared" si="15"/>
        <v>96-961500646</v>
      </c>
      <c r="C1002" s="179" t="s">
        <v>9767</v>
      </c>
      <c r="E1002" s="72"/>
      <c r="F1002" s="72"/>
      <c r="G1002" s="72"/>
      <c r="H1002" s="124"/>
    </row>
    <row r="1003" spans="1:8">
      <c r="A1003" s="177">
        <v>961500647</v>
      </c>
      <c r="B1003" s="116" t="str">
        <f t="shared" si="15"/>
        <v>96-961500647</v>
      </c>
      <c r="C1003" s="179" t="s">
        <v>9767</v>
      </c>
      <c r="E1003" s="72"/>
      <c r="F1003" s="72"/>
      <c r="G1003" s="72"/>
      <c r="H1003" s="124"/>
    </row>
    <row r="1004" spans="1:8">
      <c r="A1004" s="177">
        <v>961500697</v>
      </c>
      <c r="B1004" s="116" t="str">
        <f t="shared" si="15"/>
        <v>96-961500697</v>
      </c>
      <c r="C1004" s="179" t="s">
        <v>9770</v>
      </c>
      <c r="E1004" s="72"/>
      <c r="F1004" s="72"/>
      <c r="G1004" s="72"/>
      <c r="H1004" s="124"/>
    </row>
    <row r="1005" spans="1:8">
      <c r="A1005" s="177">
        <v>961500714</v>
      </c>
      <c r="B1005" s="116" t="str">
        <f t="shared" si="15"/>
        <v>96-961500714</v>
      </c>
      <c r="C1005" s="179" t="s">
        <v>9770</v>
      </c>
      <c r="E1005" s="72"/>
      <c r="F1005" s="72"/>
      <c r="G1005" s="72"/>
      <c r="H1005" s="124"/>
    </row>
    <row r="1006" spans="1:8">
      <c r="A1006" s="177">
        <v>961500799</v>
      </c>
      <c r="B1006" s="116" t="str">
        <f t="shared" si="15"/>
        <v>96-961500799</v>
      </c>
      <c r="C1006" s="179" t="s">
        <v>12306</v>
      </c>
      <c r="E1006" s="72"/>
      <c r="F1006" s="72"/>
      <c r="G1006" s="72"/>
      <c r="H1006" s="124"/>
    </row>
    <row r="1007" spans="1:8">
      <c r="A1007" s="177">
        <v>951500150</v>
      </c>
      <c r="B1007" s="116" t="str">
        <f t="shared" si="15"/>
        <v>95-951500150</v>
      </c>
      <c r="C1007" s="179" t="s">
        <v>5614</v>
      </c>
      <c r="E1007" s="72"/>
      <c r="F1007" s="72"/>
      <c r="G1007" s="72"/>
      <c r="H1007" s="124"/>
    </row>
    <row r="1008" spans="1:8">
      <c r="A1008" s="177">
        <v>961500445</v>
      </c>
      <c r="B1008" s="116" t="str">
        <f t="shared" si="15"/>
        <v>96-961500445</v>
      </c>
      <c r="C1008" s="179" t="s">
        <v>7231</v>
      </c>
      <c r="E1008" s="72"/>
      <c r="F1008" s="72"/>
      <c r="G1008" s="72"/>
      <c r="H1008" s="124"/>
    </row>
    <row r="1009" spans="1:8">
      <c r="A1009" s="177">
        <v>961500472</v>
      </c>
      <c r="B1009" s="116" t="str">
        <f t="shared" si="15"/>
        <v>96-961500472</v>
      </c>
      <c r="C1009" s="179" t="s">
        <v>7111</v>
      </c>
      <c r="E1009" s="72"/>
      <c r="F1009" s="72"/>
      <c r="G1009" s="72"/>
      <c r="H1009" s="124"/>
    </row>
    <row r="1010" spans="1:8">
      <c r="A1010" s="177">
        <v>961500479</v>
      </c>
      <c r="B1010" s="116" t="str">
        <f t="shared" si="15"/>
        <v>96-961500479</v>
      </c>
      <c r="C1010" s="179" t="s">
        <v>7175</v>
      </c>
      <c r="E1010" s="72"/>
      <c r="F1010" s="72"/>
      <c r="G1010" s="72"/>
      <c r="H1010" s="124"/>
    </row>
    <row r="1011" spans="1:8">
      <c r="A1011" s="177">
        <v>961500534</v>
      </c>
      <c r="B1011" s="116" t="str">
        <f t="shared" si="15"/>
        <v>96-961500534</v>
      </c>
      <c r="C1011" s="179" t="s">
        <v>7175</v>
      </c>
      <c r="E1011" s="72"/>
      <c r="F1011" s="72"/>
      <c r="G1011" s="72"/>
      <c r="H1011" s="124"/>
    </row>
    <row r="1012" spans="1:8">
      <c r="A1012" s="177">
        <v>961500536</v>
      </c>
      <c r="B1012" s="116" t="str">
        <f t="shared" si="15"/>
        <v>96-961500536</v>
      </c>
      <c r="C1012" s="179" t="s">
        <v>7273</v>
      </c>
      <c r="E1012" s="72"/>
      <c r="F1012" s="72"/>
      <c r="G1012" s="72"/>
      <c r="H1012" s="124"/>
    </row>
    <row r="1013" spans="1:8">
      <c r="A1013" s="177">
        <v>961500569</v>
      </c>
      <c r="B1013" s="116" t="str">
        <f t="shared" si="15"/>
        <v>96-961500569</v>
      </c>
      <c r="C1013" s="179" t="s">
        <v>7273</v>
      </c>
      <c r="E1013" s="72"/>
      <c r="F1013" s="72"/>
      <c r="G1013" s="72"/>
      <c r="H1013" s="124"/>
    </row>
    <row r="1014" spans="1:8">
      <c r="A1014" s="177">
        <v>961500614</v>
      </c>
      <c r="B1014" s="116" t="str">
        <f t="shared" si="15"/>
        <v>96-961500614</v>
      </c>
      <c r="C1014" s="179" t="s">
        <v>8698</v>
      </c>
      <c r="E1014" s="72"/>
      <c r="F1014" s="72"/>
      <c r="G1014" s="72"/>
      <c r="H1014" s="124"/>
    </row>
    <row r="1015" spans="1:8">
      <c r="A1015" s="177">
        <v>961500635</v>
      </c>
      <c r="B1015" s="116" t="str">
        <f t="shared" si="15"/>
        <v>96-961500635</v>
      </c>
      <c r="C1015" s="179" t="s">
        <v>8698</v>
      </c>
      <c r="E1015" s="72"/>
      <c r="F1015" s="72"/>
      <c r="G1015" s="72"/>
      <c r="H1015" s="124"/>
    </row>
    <row r="1016" spans="1:8">
      <c r="A1016" s="177">
        <v>961500695</v>
      </c>
      <c r="B1016" s="116" t="str">
        <f t="shared" si="15"/>
        <v>96-961500695</v>
      </c>
      <c r="C1016" s="179" t="s">
        <v>9783</v>
      </c>
      <c r="E1016" s="72"/>
      <c r="F1016" s="72"/>
      <c r="G1016" s="72"/>
      <c r="H1016" s="124"/>
    </row>
    <row r="1017" spans="1:8">
      <c r="A1017" s="177">
        <v>961500703</v>
      </c>
      <c r="B1017" s="116" t="str">
        <f t="shared" si="15"/>
        <v>96-961500703</v>
      </c>
      <c r="C1017" s="179" t="s">
        <v>9783</v>
      </c>
      <c r="E1017" s="72"/>
      <c r="F1017" s="72"/>
      <c r="G1017" s="72"/>
      <c r="H1017" s="124"/>
    </row>
    <row r="1018" spans="1:8">
      <c r="A1018" s="177">
        <v>961500704</v>
      </c>
      <c r="B1018" s="116" t="str">
        <f t="shared" si="15"/>
        <v>96-961500704</v>
      </c>
      <c r="C1018" s="179" t="s">
        <v>9783</v>
      </c>
      <c r="E1018" s="72"/>
      <c r="F1018" s="72"/>
      <c r="G1018" s="72"/>
      <c r="H1018" s="124"/>
    </row>
    <row r="1019" spans="1:8">
      <c r="A1019" s="177">
        <v>961500716</v>
      </c>
      <c r="B1019" s="116" t="str">
        <f t="shared" si="15"/>
        <v>96-961500716</v>
      </c>
      <c r="C1019" s="179" t="s">
        <v>9783</v>
      </c>
      <c r="E1019" s="72"/>
      <c r="F1019" s="72"/>
      <c r="G1019" s="72"/>
      <c r="H1019" s="124"/>
    </row>
    <row r="1020" spans="1:8">
      <c r="A1020" s="177">
        <v>961500764</v>
      </c>
      <c r="B1020" s="116" t="str">
        <f t="shared" si="15"/>
        <v>96-961500764</v>
      </c>
      <c r="C1020" s="179" t="s">
        <v>9763</v>
      </c>
      <c r="E1020" s="72"/>
      <c r="F1020" s="72"/>
      <c r="G1020" s="72"/>
      <c r="H1020" s="124"/>
    </row>
    <row r="1021" spans="1:8">
      <c r="A1021" s="177">
        <v>961500831</v>
      </c>
      <c r="B1021" s="116" t="str">
        <f t="shared" si="15"/>
        <v>96-961500831</v>
      </c>
      <c r="C1021" s="179" t="s">
        <v>12260</v>
      </c>
      <c r="E1021" s="72"/>
      <c r="F1021" s="72"/>
      <c r="G1021" s="72"/>
      <c r="H1021" s="124"/>
    </row>
    <row r="1022" spans="1:8">
      <c r="A1022" s="177">
        <v>961500138</v>
      </c>
      <c r="B1022" s="116" t="str">
        <f t="shared" si="15"/>
        <v>96-961500138</v>
      </c>
      <c r="C1022" s="179" t="s">
        <v>5803</v>
      </c>
      <c r="E1022" s="72"/>
      <c r="F1022" s="72"/>
      <c r="G1022" s="72"/>
      <c r="H1022" s="124"/>
    </row>
    <row r="1023" spans="1:8">
      <c r="A1023" s="177">
        <v>961500151</v>
      </c>
      <c r="B1023" s="116" t="str">
        <f t="shared" si="15"/>
        <v>96-961500151</v>
      </c>
      <c r="C1023" s="179" t="s">
        <v>5789</v>
      </c>
      <c r="E1023" s="72"/>
      <c r="F1023" s="72"/>
      <c r="G1023" s="72"/>
      <c r="H1023" s="124"/>
    </row>
    <row r="1024" spans="1:8">
      <c r="A1024" s="177">
        <v>961500241</v>
      </c>
      <c r="B1024" s="116" t="str">
        <f t="shared" si="15"/>
        <v>96-961500241</v>
      </c>
      <c r="C1024" s="179" t="s">
        <v>5819</v>
      </c>
      <c r="E1024" s="72"/>
      <c r="F1024" s="72"/>
      <c r="G1024" s="72"/>
      <c r="H1024" s="124"/>
    </row>
    <row r="1025" spans="1:8">
      <c r="A1025" s="177">
        <v>961500336</v>
      </c>
      <c r="B1025" s="116" t="str">
        <f t="shared" si="15"/>
        <v>96-961500336</v>
      </c>
      <c r="C1025" s="179" t="s">
        <v>5818</v>
      </c>
      <c r="E1025" s="72"/>
      <c r="F1025" s="72"/>
      <c r="G1025" s="72"/>
      <c r="H1025" s="124"/>
    </row>
    <row r="1026" spans="1:8">
      <c r="A1026" s="177">
        <v>961500379</v>
      </c>
      <c r="B1026" s="116" t="str">
        <f t="shared" si="15"/>
        <v>96-961500379</v>
      </c>
      <c r="C1026" s="179" t="s">
        <v>5836</v>
      </c>
      <c r="E1026" s="72"/>
      <c r="F1026" s="72"/>
      <c r="G1026" s="72"/>
      <c r="H1026" s="124"/>
    </row>
    <row r="1027" spans="1:8">
      <c r="A1027" s="177">
        <v>961500405</v>
      </c>
      <c r="B1027" s="116" t="str">
        <f t="shared" ref="B1027:B1090" si="16">MID(A1027,1,2)&amp;"-"&amp;A1027</f>
        <v>96-961500405</v>
      </c>
      <c r="C1027" s="179" t="s">
        <v>5836</v>
      </c>
      <c r="E1027" s="72"/>
      <c r="F1027" s="72"/>
      <c r="G1027" s="72"/>
      <c r="H1027" s="124"/>
    </row>
    <row r="1028" spans="1:8">
      <c r="A1028" s="177">
        <v>961500429</v>
      </c>
      <c r="B1028" s="116" t="str">
        <f t="shared" si="16"/>
        <v>96-961500429</v>
      </c>
      <c r="C1028" s="179" t="s">
        <v>7237</v>
      </c>
      <c r="E1028" s="72"/>
      <c r="F1028" s="72"/>
      <c r="G1028" s="72"/>
      <c r="H1028" s="124"/>
    </row>
    <row r="1029" spans="1:8">
      <c r="A1029" s="177">
        <v>961500449</v>
      </c>
      <c r="B1029" s="116" t="str">
        <f t="shared" si="16"/>
        <v>96-961500449</v>
      </c>
      <c r="C1029" s="179" t="s">
        <v>5836</v>
      </c>
      <c r="E1029" s="72"/>
      <c r="F1029" s="72"/>
      <c r="G1029" s="72"/>
      <c r="H1029" s="124"/>
    </row>
    <row r="1030" spans="1:8">
      <c r="A1030" s="177">
        <v>961500452</v>
      </c>
      <c r="B1030" s="116" t="str">
        <f t="shared" si="16"/>
        <v>96-961500452</v>
      </c>
      <c r="C1030" s="179" t="s">
        <v>5836</v>
      </c>
      <c r="E1030" s="72"/>
      <c r="F1030" s="72"/>
      <c r="G1030" s="72"/>
      <c r="H1030" s="124"/>
    </row>
    <row r="1031" spans="1:8">
      <c r="A1031" s="177">
        <v>961500462</v>
      </c>
      <c r="B1031" s="116" t="str">
        <f t="shared" si="16"/>
        <v>96-961500462</v>
      </c>
      <c r="C1031" s="179" t="s">
        <v>5836</v>
      </c>
      <c r="E1031" s="72"/>
      <c r="F1031" s="72"/>
      <c r="G1031" s="72"/>
      <c r="H1031" s="124"/>
    </row>
    <row r="1032" spans="1:8">
      <c r="A1032" s="177">
        <v>961500517</v>
      </c>
      <c r="B1032" s="116" t="str">
        <f t="shared" si="16"/>
        <v>96-961500517</v>
      </c>
      <c r="C1032" s="179" t="s">
        <v>5842</v>
      </c>
      <c r="E1032" s="72"/>
      <c r="F1032" s="72"/>
      <c r="G1032" s="72"/>
      <c r="H1032" s="124"/>
    </row>
    <row r="1033" spans="1:8">
      <c r="A1033" s="177">
        <v>961500520</v>
      </c>
      <c r="B1033" s="116" t="str">
        <f t="shared" si="16"/>
        <v>96-961500520</v>
      </c>
      <c r="C1033" s="179" t="s">
        <v>5842</v>
      </c>
      <c r="E1033" s="72"/>
      <c r="F1033" s="72"/>
      <c r="G1033" s="72"/>
      <c r="H1033" s="124"/>
    </row>
    <row r="1034" spans="1:8">
      <c r="A1034" s="177">
        <v>961500523</v>
      </c>
      <c r="B1034" s="116" t="str">
        <f t="shared" si="16"/>
        <v>96-961500523</v>
      </c>
      <c r="C1034" s="179" t="s">
        <v>5842</v>
      </c>
      <c r="E1034" s="72"/>
      <c r="F1034" s="72"/>
      <c r="G1034" s="72"/>
      <c r="H1034" s="124"/>
    </row>
    <row r="1035" spans="1:8">
      <c r="A1035" s="177">
        <v>961500565</v>
      </c>
      <c r="B1035" s="116" t="str">
        <f t="shared" si="16"/>
        <v>96-961500565</v>
      </c>
      <c r="C1035" s="179" t="s">
        <v>8722</v>
      </c>
      <c r="E1035" s="72"/>
      <c r="F1035" s="72"/>
      <c r="G1035" s="72"/>
      <c r="H1035" s="124"/>
    </row>
    <row r="1036" spans="1:8">
      <c r="A1036" s="177">
        <v>961500588</v>
      </c>
      <c r="B1036" s="116" t="str">
        <f t="shared" si="16"/>
        <v>96-961500588</v>
      </c>
      <c r="C1036" s="179" t="s">
        <v>8722</v>
      </c>
      <c r="E1036" s="72"/>
      <c r="F1036" s="72"/>
      <c r="G1036" s="72"/>
      <c r="H1036" s="124"/>
    </row>
    <row r="1037" spans="1:8">
      <c r="A1037" s="177">
        <v>961500622</v>
      </c>
      <c r="B1037" s="116" t="str">
        <f t="shared" si="16"/>
        <v>96-961500622</v>
      </c>
      <c r="C1037" s="179" t="s">
        <v>8722</v>
      </c>
      <c r="E1037" s="72"/>
      <c r="F1037" s="72"/>
      <c r="G1037" s="72"/>
      <c r="H1037" s="124"/>
    </row>
    <row r="1038" spans="1:8">
      <c r="A1038" s="177">
        <v>961500624</v>
      </c>
      <c r="B1038" s="116" t="str">
        <f t="shared" si="16"/>
        <v>96-961500624</v>
      </c>
      <c r="C1038" s="179" t="s">
        <v>9771</v>
      </c>
      <c r="E1038" s="72"/>
      <c r="F1038" s="72"/>
      <c r="G1038" s="72"/>
      <c r="H1038" s="124"/>
    </row>
    <row r="1039" spans="1:8">
      <c r="A1039" s="177">
        <v>956200002</v>
      </c>
      <c r="B1039" s="116" t="str">
        <f t="shared" si="16"/>
        <v>95-956200002</v>
      </c>
      <c r="C1039" s="179" t="s">
        <v>7267</v>
      </c>
      <c r="E1039" s="72"/>
      <c r="F1039" s="72"/>
      <c r="G1039" s="72"/>
      <c r="H1039" s="124"/>
    </row>
    <row r="1040" spans="1:8">
      <c r="A1040" s="177">
        <v>956200161</v>
      </c>
      <c r="B1040" s="116" t="str">
        <f t="shared" si="16"/>
        <v>95-956200161</v>
      </c>
      <c r="C1040" s="179" t="s">
        <v>7268</v>
      </c>
      <c r="E1040" s="72"/>
      <c r="F1040" s="72"/>
      <c r="G1040" s="72"/>
      <c r="H1040" s="124"/>
    </row>
    <row r="1041" spans="1:8">
      <c r="A1041" s="177">
        <v>956200405</v>
      </c>
      <c r="B1041" s="116" t="str">
        <f t="shared" si="16"/>
        <v>95-956200405</v>
      </c>
      <c r="C1041" s="179" t="s">
        <v>7269</v>
      </c>
      <c r="E1041" s="72"/>
      <c r="F1041" s="72"/>
      <c r="G1041" s="72"/>
      <c r="H1041" s="124"/>
    </row>
    <row r="1042" spans="1:8">
      <c r="A1042" s="177">
        <v>966200099</v>
      </c>
      <c r="B1042" s="116" t="str">
        <f t="shared" si="16"/>
        <v>96-966200099</v>
      </c>
      <c r="C1042" s="179" t="s">
        <v>7270</v>
      </c>
      <c r="E1042" s="72"/>
      <c r="F1042" s="72"/>
      <c r="G1042" s="72"/>
      <c r="H1042" s="124"/>
    </row>
    <row r="1043" spans="1:8">
      <c r="A1043" s="177">
        <v>961500722</v>
      </c>
      <c r="B1043" s="116" t="str">
        <f t="shared" si="16"/>
        <v>96-961500722</v>
      </c>
      <c r="C1043" s="179" t="s">
        <v>9795</v>
      </c>
      <c r="E1043" s="72"/>
      <c r="F1043" s="72"/>
      <c r="G1043" s="72"/>
      <c r="H1043" s="124"/>
    </row>
    <row r="1044" spans="1:8">
      <c r="A1044" s="177">
        <v>961500738</v>
      </c>
      <c r="B1044" s="116" t="str">
        <f t="shared" si="16"/>
        <v>96-961500738</v>
      </c>
      <c r="C1044" s="179" t="s">
        <v>9795</v>
      </c>
      <c r="E1044" s="72"/>
      <c r="F1044" s="72"/>
      <c r="G1044" s="72"/>
      <c r="H1044" s="124"/>
    </row>
    <row r="1045" spans="1:8">
      <c r="A1045" s="177">
        <v>961500752</v>
      </c>
      <c r="B1045" s="116" t="str">
        <f t="shared" si="16"/>
        <v>96-961500752</v>
      </c>
      <c r="C1045" s="179" t="s">
        <v>12219</v>
      </c>
      <c r="E1045" s="72"/>
      <c r="F1045" s="72"/>
      <c r="G1045" s="72"/>
      <c r="H1045" s="124"/>
    </row>
    <row r="1046" spans="1:8">
      <c r="A1046" s="177">
        <v>961500825</v>
      </c>
      <c r="B1046" s="116" t="str">
        <f t="shared" si="16"/>
        <v>96-961500825</v>
      </c>
      <c r="C1046" s="179" t="s">
        <v>12220</v>
      </c>
      <c r="E1046" s="72"/>
      <c r="F1046" s="72"/>
      <c r="G1046" s="72"/>
      <c r="H1046" s="124"/>
    </row>
    <row r="1047" spans="1:8">
      <c r="A1047" s="177">
        <v>951500387</v>
      </c>
      <c r="B1047" s="116" t="str">
        <f t="shared" si="16"/>
        <v>95-951500387</v>
      </c>
      <c r="C1047" s="179" t="s">
        <v>5666</v>
      </c>
      <c r="E1047" s="72"/>
      <c r="F1047" s="72"/>
      <c r="G1047" s="72"/>
      <c r="H1047" s="124"/>
    </row>
    <row r="1048" spans="1:8">
      <c r="A1048" s="177">
        <v>951500405</v>
      </c>
      <c r="B1048" s="116" t="str">
        <f t="shared" si="16"/>
        <v>95-951500405</v>
      </c>
      <c r="C1048" s="179" t="s">
        <v>5687</v>
      </c>
      <c r="E1048" s="72"/>
      <c r="F1048" s="72"/>
      <c r="G1048" s="72"/>
      <c r="H1048" s="124"/>
    </row>
    <row r="1049" spans="1:8">
      <c r="A1049" s="177">
        <v>951500547</v>
      </c>
      <c r="B1049" s="116" t="str">
        <f t="shared" si="16"/>
        <v>95-951500547</v>
      </c>
      <c r="C1049" s="179" t="s">
        <v>5728</v>
      </c>
      <c r="E1049" s="72"/>
      <c r="F1049" s="72"/>
      <c r="G1049" s="72"/>
      <c r="H1049" s="124"/>
    </row>
    <row r="1050" spans="1:8">
      <c r="A1050" s="177">
        <v>951500604</v>
      </c>
      <c r="B1050" s="116" t="str">
        <f t="shared" si="16"/>
        <v>95-951500604</v>
      </c>
      <c r="C1050" s="179" t="s">
        <v>5764</v>
      </c>
      <c r="E1050" s="72"/>
      <c r="F1050" s="72"/>
      <c r="G1050" s="72"/>
      <c r="H1050" s="124"/>
    </row>
    <row r="1051" spans="1:8">
      <c r="A1051" s="177">
        <v>961500102</v>
      </c>
      <c r="B1051" s="116" t="str">
        <f t="shared" si="16"/>
        <v>96-961500102</v>
      </c>
      <c r="C1051" s="179" t="s">
        <v>5800</v>
      </c>
      <c r="E1051" s="72"/>
      <c r="F1051" s="72"/>
      <c r="G1051" s="72"/>
      <c r="H1051" s="124"/>
    </row>
    <row r="1052" spans="1:8">
      <c r="A1052" s="177">
        <v>961500159</v>
      </c>
      <c r="B1052" s="116" t="str">
        <f t="shared" si="16"/>
        <v>96-961500159</v>
      </c>
      <c r="C1052" s="179" t="s">
        <v>5806</v>
      </c>
      <c r="E1052" s="72"/>
      <c r="F1052" s="72"/>
      <c r="G1052" s="72"/>
      <c r="H1052" s="124"/>
    </row>
    <row r="1053" spans="1:8">
      <c r="A1053" s="177">
        <v>961500287</v>
      </c>
      <c r="B1053" s="116" t="str">
        <f t="shared" si="16"/>
        <v>96-961500287</v>
      </c>
      <c r="C1053" s="179" t="s">
        <v>5838</v>
      </c>
      <c r="E1053" s="72"/>
      <c r="F1053" s="72"/>
      <c r="G1053" s="72"/>
      <c r="H1053" s="124"/>
    </row>
    <row r="1054" spans="1:8">
      <c r="A1054" s="177">
        <v>961500311</v>
      </c>
      <c r="B1054" s="116" t="str">
        <f t="shared" si="16"/>
        <v>96-961500311</v>
      </c>
      <c r="C1054" s="179" t="s">
        <v>5845</v>
      </c>
      <c r="E1054" s="72"/>
      <c r="F1054" s="72"/>
      <c r="G1054" s="72"/>
      <c r="H1054" s="124"/>
    </row>
    <row r="1055" spans="1:8">
      <c r="A1055" s="177">
        <v>961500314</v>
      </c>
      <c r="B1055" s="116" t="str">
        <f t="shared" si="16"/>
        <v>96-961500314</v>
      </c>
      <c r="C1055" s="179" t="s">
        <v>5847</v>
      </c>
      <c r="E1055" s="72"/>
      <c r="F1055" s="72"/>
      <c r="G1055" s="72"/>
      <c r="H1055" s="124"/>
    </row>
    <row r="1056" spans="1:8">
      <c r="A1056" s="177">
        <v>961500332</v>
      </c>
      <c r="B1056" s="116" t="str">
        <f t="shared" si="16"/>
        <v>96-961500332</v>
      </c>
      <c r="C1056" s="179" t="s">
        <v>7258</v>
      </c>
      <c r="E1056" s="72"/>
      <c r="F1056" s="72"/>
      <c r="G1056" s="72"/>
      <c r="H1056" s="124"/>
    </row>
    <row r="1057" spans="1:8">
      <c r="A1057" s="177">
        <v>961500544</v>
      </c>
      <c r="B1057" s="116" t="str">
        <f t="shared" si="16"/>
        <v>96-961500544</v>
      </c>
      <c r="C1057" s="179" t="s">
        <v>8727</v>
      </c>
      <c r="E1057" s="72"/>
      <c r="F1057" s="72"/>
      <c r="G1057" s="72"/>
      <c r="H1057" s="124"/>
    </row>
    <row r="1058" spans="1:8">
      <c r="A1058" s="177">
        <v>961500582</v>
      </c>
      <c r="B1058" s="116" t="str">
        <f t="shared" si="16"/>
        <v>96-961500582</v>
      </c>
      <c r="C1058" s="179" t="s">
        <v>8723</v>
      </c>
      <c r="E1058" s="72"/>
      <c r="F1058" s="72"/>
      <c r="G1058" s="72"/>
      <c r="H1058" s="124"/>
    </row>
    <row r="1059" spans="1:8">
      <c r="A1059" s="177">
        <v>961500788</v>
      </c>
      <c r="B1059" s="116" t="str">
        <f t="shared" si="16"/>
        <v>96-961500788</v>
      </c>
      <c r="C1059" s="179" t="s">
        <v>12222</v>
      </c>
      <c r="E1059" s="72"/>
      <c r="F1059" s="72"/>
      <c r="G1059" s="72"/>
      <c r="H1059" s="124"/>
    </row>
    <row r="1060" spans="1:8">
      <c r="A1060" s="177">
        <v>951200049</v>
      </c>
      <c r="B1060" s="116" t="str">
        <f t="shared" si="16"/>
        <v>95-951200049</v>
      </c>
      <c r="C1060" s="179" t="s">
        <v>7259</v>
      </c>
      <c r="E1060" s="72"/>
      <c r="F1060" s="72"/>
      <c r="G1060" s="72"/>
      <c r="H1060" s="124"/>
    </row>
    <row r="1061" spans="1:8">
      <c r="A1061" s="177">
        <v>951200051</v>
      </c>
      <c r="B1061" s="116" t="str">
        <f t="shared" si="16"/>
        <v>95-951200051</v>
      </c>
      <c r="C1061" s="179" t="s">
        <v>7260</v>
      </c>
      <c r="E1061" s="72"/>
      <c r="F1061" s="72"/>
      <c r="G1061" s="72"/>
      <c r="H1061" s="124"/>
    </row>
    <row r="1062" spans="1:8">
      <c r="A1062" s="177">
        <v>951500311</v>
      </c>
      <c r="B1062" s="116" t="str">
        <f t="shared" si="16"/>
        <v>95-951500311</v>
      </c>
      <c r="C1062" s="179" t="s">
        <v>5653</v>
      </c>
      <c r="E1062" s="72"/>
      <c r="F1062" s="72"/>
      <c r="G1062" s="72"/>
      <c r="H1062" s="124"/>
    </row>
    <row r="1063" spans="1:8">
      <c r="A1063" s="177">
        <v>961500447</v>
      </c>
      <c r="B1063" s="116" t="str">
        <f t="shared" si="16"/>
        <v>96-961500447</v>
      </c>
      <c r="C1063" s="179" t="s">
        <v>7271</v>
      </c>
      <c r="E1063" s="72"/>
      <c r="F1063" s="72"/>
      <c r="G1063" s="72"/>
      <c r="H1063" s="124"/>
    </row>
    <row r="1064" spans="1:8">
      <c r="A1064" s="177">
        <v>951500376</v>
      </c>
      <c r="B1064" s="116" t="str">
        <f t="shared" si="16"/>
        <v>95-951500376</v>
      </c>
      <c r="C1064" s="179" t="s">
        <v>5679</v>
      </c>
      <c r="E1064" s="72"/>
      <c r="F1064" s="72"/>
      <c r="G1064" s="72"/>
      <c r="H1064" s="124"/>
    </row>
    <row r="1065" spans="1:8">
      <c r="A1065" s="177">
        <v>961500063</v>
      </c>
      <c r="B1065" s="116" t="str">
        <f t="shared" si="16"/>
        <v>96-961500063</v>
      </c>
      <c r="C1065" s="179" t="s">
        <v>5787</v>
      </c>
      <c r="E1065" s="72"/>
      <c r="F1065" s="72"/>
      <c r="G1065" s="72"/>
      <c r="H1065" s="124"/>
    </row>
    <row r="1066" spans="1:8">
      <c r="A1066" s="177">
        <v>951500441</v>
      </c>
      <c r="B1066" s="116" t="str">
        <f t="shared" si="16"/>
        <v>95-951500441</v>
      </c>
      <c r="C1066" s="179" t="s">
        <v>5700</v>
      </c>
      <c r="E1066" s="72"/>
      <c r="F1066" s="72"/>
      <c r="G1066" s="72"/>
      <c r="H1066" s="124"/>
    </row>
    <row r="1067" spans="1:8">
      <c r="A1067" s="177">
        <v>951200068</v>
      </c>
      <c r="B1067" s="116" t="str">
        <f t="shared" si="16"/>
        <v>95-951200068</v>
      </c>
      <c r="C1067" s="179" t="s">
        <v>7272</v>
      </c>
      <c r="E1067" s="72"/>
      <c r="F1067" s="72"/>
      <c r="G1067" s="72"/>
      <c r="H1067" s="124"/>
    </row>
    <row r="1068" spans="1:8">
      <c r="A1068" s="177">
        <v>961200046</v>
      </c>
      <c r="B1068" s="116" t="str">
        <f t="shared" si="16"/>
        <v>96-961200046</v>
      </c>
      <c r="C1068" s="179" t="s">
        <v>7242</v>
      </c>
      <c r="E1068" s="72"/>
      <c r="F1068" s="72"/>
      <c r="G1068" s="72"/>
      <c r="H1068" s="124"/>
    </row>
    <row r="1069" spans="1:8">
      <c r="A1069" s="177">
        <v>961200057</v>
      </c>
      <c r="B1069" s="116" t="str">
        <f t="shared" si="16"/>
        <v>96-961200057</v>
      </c>
      <c r="C1069" s="179" t="s">
        <v>7242</v>
      </c>
      <c r="E1069" s="72"/>
      <c r="F1069" s="72"/>
      <c r="G1069" s="72"/>
      <c r="H1069" s="124"/>
    </row>
    <row r="1070" spans="1:8">
      <c r="A1070" s="177">
        <v>961200126</v>
      </c>
      <c r="B1070" s="116" t="str">
        <f t="shared" si="16"/>
        <v>96-961200126</v>
      </c>
      <c r="C1070" s="179" t="s">
        <v>9778</v>
      </c>
      <c r="E1070" s="72"/>
      <c r="F1070" s="72"/>
      <c r="G1070" s="72"/>
      <c r="H1070" s="124"/>
    </row>
    <row r="1071" spans="1:8">
      <c r="A1071" s="177">
        <v>961200094</v>
      </c>
      <c r="B1071" s="116" t="str">
        <f t="shared" si="16"/>
        <v>96-961200094</v>
      </c>
      <c r="C1071" s="179" t="s">
        <v>9773</v>
      </c>
      <c r="E1071" s="72"/>
      <c r="F1071" s="72"/>
      <c r="G1071" s="72"/>
      <c r="H1071" s="124"/>
    </row>
    <row r="1072" spans="1:8">
      <c r="A1072" s="177">
        <v>961500542</v>
      </c>
      <c r="B1072" s="116" t="str">
        <f t="shared" si="16"/>
        <v>96-961500542</v>
      </c>
      <c r="C1072" s="179" t="s">
        <v>5854</v>
      </c>
      <c r="E1072" s="72"/>
      <c r="F1072" s="72"/>
      <c r="G1072" s="72"/>
      <c r="H1072" s="124"/>
    </row>
    <row r="1073" spans="1:8">
      <c r="A1073" s="177">
        <v>961500720</v>
      </c>
      <c r="B1073" s="116" t="str">
        <f t="shared" si="16"/>
        <v>96-961500720</v>
      </c>
      <c r="C1073" s="179" t="s">
        <v>9798</v>
      </c>
      <c r="E1073" s="72"/>
      <c r="F1073" s="72"/>
      <c r="G1073" s="72"/>
      <c r="H1073" s="124"/>
    </row>
    <row r="1074" spans="1:8">
      <c r="A1074" s="177">
        <v>961500827</v>
      </c>
      <c r="B1074" s="116" t="str">
        <f t="shared" si="16"/>
        <v>96-961500827</v>
      </c>
      <c r="C1074" s="179" t="s">
        <v>12425</v>
      </c>
      <c r="E1074" s="72"/>
      <c r="F1074" s="72"/>
      <c r="G1074" s="72"/>
      <c r="H1074" s="124"/>
    </row>
    <row r="1075" spans="1:8">
      <c r="A1075" s="177">
        <v>951500165</v>
      </c>
      <c r="B1075" s="116" t="str">
        <f t="shared" si="16"/>
        <v>95-951500165</v>
      </c>
      <c r="C1075" s="179" t="s">
        <v>5614</v>
      </c>
      <c r="E1075" s="72"/>
      <c r="F1075" s="72"/>
      <c r="G1075" s="72"/>
      <c r="H1075" s="124"/>
    </row>
    <row r="1076" spans="1:8">
      <c r="A1076" s="177">
        <v>951500423</v>
      </c>
      <c r="B1076" s="116" t="str">
        <f t="shared" si="16"/>
        <v>95-951500423</v>
      </c>
      <c r="C1076" s="179" t="s">
        <v>5688</v>
      </c>
      <c r="E1076" s="72"/>
      <c r="F1076" s="72"/>
      <c r="G1076" s="72"/>
      <c r="H1076" s="124"/>
    </row>
    <row r="1077" spans="1:8">
      <c r="A1077" s="177">
        <v>951500517</v>
      </c>
      <c r="B1077" s="116" t="str">
        <f t="shared" si="16"/>
        <v>95-951500517</v>
      </c>
      <c r="C1077" s="179" t="s">
        <v>5723</v>
      </c>
      <c r="E1077" s="72"/>
      <c r="F1077" s="72"/>
      <c r="G1077" s="72"/>
      <c r="H1077" s="124"/>
    </row>
    <row r="1078" spans="1:8">
      <c r="A1078" s="177">
        <v>951500534</v>
      </c>
      <c r="B1078" s="116" t="str">
        <f t="shared" si="16"/>
        <v>95-951500534</v>
      </c>
      <c r="C1078" s="179" t="s">
        <v>5717</v>
      </c>
      <c r="E1078" s="72"/>
      <c r="F1078" s="72"/>
      <c r="G1078" s="72"/>
      <c r="H1078" s="124"/>
    </row>
    <row r="1079" spans="1:8">
      <c r="A1079" s="177">
        <v>961500027</v>
      </c>
      <c r="B1079" s="116" t="str">
        <f t="shared" si="16"/>
        <v>96-961500027</v>
      </c>
      <c r="C1079" s="179" t="s">
        <v>5772</v>
      </c>
      <c r="E1079" s="72"/>
      <c r="F1079" s="72"/>
      <c r="G1079" s="72"/>
      <c r="H1079" s="124"/>
    </row>
    <row r="1080" spans="1:8">
      <c r="A1080" s="177">
        <v>961500035</v>
      </c>
      <c r="B1080" s="116" t="str">
        <f t="shared" si="16"/>
        <v>96-961500035</v>
      </c>
      <c r="C1080" s="179" t="s">
        <v>5772</v>
      </c>
      <c r="E1080" s="72"/>
      <c r="F1080" s="72"/>
      <c r="G1080" s="72"/>
      <c r="H1080" s="124"/>
    </row>
    <row r="1081" spans="1:8">
      <c r="A1081" s="177">
        <v>961500080</v>
      </c>
      <c r="B1081" s="116" t="str">
        <f t="shared" si="16"/>
        <v>96-961500080</v>
      </c>
      <c r="C1081" s="179" t="s">
        <v>5793</v>
      </c>
      <c r="E1081" s="72"/>
      <c r="F1081" s="72"/>
      <c r="G1081" s="72"/>
      <c r="H1081" s="124"/>
    </row>
    <row r="1082" spans="1:8">
      <c r="A1082" s="177">
        <v>961500193</v>
      </c>
      <c r="B1082" s="116" t="str">
        <f t="shared" si="16"/>
        <v>96-961500193</v>
      </c>
      <c r="C1082" s="179" t="s">
        <v>5816</v>
      </c>
      <c r="E1082" s="72"/>
      <c r="F1082" s="72"/>
      <c r="G1082" s="72"/>
      <c r="H1082" s="124"/>
    </row>
    <row r="1083" spans="1:8">
      <c r="A1083" s="177">
        <v>961500290</v>
      </c>
      <c r="B1083" s="116" t="str">
        <f t="shared" si="16"/>
        <v>96-961500290</v>
      </c>
      <c r="C1083" s="179" t="s">
        <v>5822</v>
      </c>
      <c r="E1083" s="72"/>
      <c r="F1083" s="72"/>
      <c r="G1083" s="72"/>
      <c r="H1083" s="124"/>
    </row>
    <row r="1084" spans="1:8">
      <c r="A1084" s="177">
        <v>961500494</v>
      </c>
      <c r="B1084" s="116" t="str">
        <f t="shared" si="16"/>
        <v>96-961500494</v>
      </c>
      <c r="C1084" s="179" t="s">
        <v>7234</v>
      </c>
      <c r="E1084" s="72"/>
      <c r="F1084" s="72"/>
      <c r="G1084" s="72"/>
      <c r="H1084" s="124"/>
    </row>
    <row r="1085" spans="1:8">
      <c r="A1085" s="177">
        <v>961500500</v>
      </c>
      <c r="B1085" s="116" t="str">
        <f t="shared" si="16"/>
        <v>96-961500500</v>
      </c>
      <c r="C1085" s="179" t="s">
        <v>7121</v>
      </c>
      <c r="E1085" s="72"/>
      <c r="F1085" s="72"/>
      <c r="G1085" s="72"/>
      <c r="H1085" s="124"/>
    </row>
    <row r="1086" spans="1:8">
      <c r="A1086" s="177">
        <v>961500505</v>
      </c>
      <c r="B1086" s="116" t="str">
        <f t="shared" si="16"/>
        <v>96-961500505</v>
      </c>
      <c r="C1086" s="179" t="s">
        <v>7114</v>
      </c>
      <c r="E1086" s="72"/>
      <c r="F1086" s="72"/>
      <c r="G1086" s="72"/>
      <c r="H1086" s="124"/>
    </row>
    <row r="1087" spans="1:8">
      <c r="A1087" s="177">
        <v>961500593</v>
      </c>
      <c r="B1087" s="116" t="str">
        <f t="shared" si="16"/>
        <v>96-961500593</v>
      </c>
      <c r="C1087" s="179" t="s">
        <v>8726</v>
      </c>
      <c r="E1087" s="72"/>
      <c r="F1087" s="72"/>
      <c r="G1087" s="72"/>
      <c r="H1087" s="124"/>
    </row>
    <row r="1088" spans="1:8">
      <c r="A1088" s="177">
        <v>961500594</v>
      </c>
      <c r="B1088" s="116" t="str">
        <f t="shared" si="16"/>
        <v>96-961500594</v>
      </c>
      <c r="C1088" s="179" t="s">
        <v>8726</v>
      </c>
      <c r="E1088" s="72"/>
      <c r="F1088" s="72"/>
      <c r="G1088" s="72"/>
      <c r="H1088" s="124"/>
    </row>
    <row r="1089" spans="1:8">
      <c r="A1089" s="177">
        <v>961500627</v>
      </c>
      <c r="B1089" s="116" t="str">
        <f t="shared" si="16"/>
        <v>96-961500627</v>
      </c>
      <c r="C1089" s="179" t="s">
        <v>8724</v>
      </c>
      <c r="E1089" s="72"/>
      <c r="F1089" s="72"/>
      <c r="G1089" s="72"/>
      <c r="H1089" s="124"/>
    </row>
    <row r="1090" spans="1:8">
      <c r="A1090" s="177">
        <v>961500701</v>
      </c>
      <c r="B1090" s="116" t="str">
        <f t="shared" si="16"/>
        <v>96-961500701</v>
      </c>
      <c r="C1090" s="179" t="s">
        <v>9768</v>
      </c>
      <c r="E1090" s="72"/>
      <c r="F1090" s="72"/>
      <c r="G1090" s="72"/>
      <c r="H1090" s="124"/>
    </row>
    <row r="1091" spans="1:8">
      <c r="A1091" s="177">
        <v>961500736</v>
      </c>
      <c r="B1091" s="116" t="str">
        <f t="shared" ref="B1091:B1154" si="17">MID(A1091,1,2)&amp;"-"&amp;A1091</f>
        <v>96-961500736</v>
      </c>
      <c r="C1091" s="179" t="s">
        <v>9789</v>
      </c>
      <c r="E1091" s="72"/>
      <c r="F1091" s="72"/>
      <c r="G1091" s="72"/>
      <c r="H1091" s="124"/>
    </row>
    <row r="1092" spans="1:8">
      <c r="A1092" s="177">
        <v>961500634</v>
      </c>
      <c r="B1092" s="116" t="str">
        <f t="shared" si="17"/>
        <v>96-961500634</v>
      </c>
      <c r="C1092" s="179" t="s">
        <v>9771</v>
      </c>
      <c r="E1092" s="72"/>
      <c r="F1092" s="72"/>
      <c r="G1092" s="72"/>
      <c r="H1092" s="124"/>
    </row>
    <row r="1093" spans="1:8">
      <c r="A1093" s="177">
        <v>961500696</v>
      </c>
      <c r="B1093" s="116" t="str">
        <f t="shared" si="17"/>
        <v>96-961500696</v>
      </c>
      <c r="C1093" s="179" t="s">
        <v>9762</v>
      </c>
      <c r="E1093" s="72"/>
      <c r="F1093" s="72"/>
      <c r="G1093" s="72"/>
      <c r="H1093" s="124"/>
    </row>
    <row r="1094" spans="1:8">
      <c r="A1094" s="177">
        <v>961500711</v>
      </c>
      <c r="B1094" s="116" t="str">
        <f t="shared" si="17"/>
        <v>96-961500711</v>
      </c>
      <c r="C1094" s="179" t="s">
        <v>9762</v>
      </c>
      <c r="E1094" s="72"/>
      <c r="F1094" s="72"/>
      <c r="G1094" s="72"/>
      <c r="H1094" s="124"/>
    </row>
    <row r="1095" spans="1:8">
      <c r="A1095" s="177">
        <v>961500743</v>
      </c>
      <c r="B1095" s="116" t="str">
        <f t="shared" si="17"/>
        <v>96-961500743</v>
      </c>
      <c r="C1095" s="179" t="s">
        <v>9794</v>
      </c>
      <c r="E1095" s="72"/>
      <c r="F1095" s="72"/>
      <c r="G1095" s="72"/>
      <c r="H1095" s="124"/>
    </row>
    <row r="1096" spans="1:8">
      <c r="A1096" s="177">
        <v>961500775</v>
      </c>
      <c r="B1096" s="116" t="str">
        <f t="shared" si="17"/>
        <v>96-961500775</v>
      </c>
      <c r="C1096" s="179" t="s">
        <v>12217</v>
      </c>
      <c r="E1096" s="72"/>
      <c r="F1096" s="72"/>
      <c r="G1096" s="72"/>
      <c r="H1096" s="124"/>
    </row>
    <row r="1097" spans="1:8">
      <c r="A1097" s="177">
        <v>951500396</v>
      </c>
      <c r="B1097" s="116" t="str">
        <f t="shared" si="17"/>
        <v>95-951500396</v>
      </c>
      <c r="C1097" s="179" t="s">
        <v>5685</v>
      </c>
      <c r="E1097" s="72"/>
      <c r="F1097" s="72"/>
      <c r="G1097" s="72"/>
      <c r="H1097" s="124"/>
    </row>
    <row r="1098" spans="1:8">
      <c r="A1098" s="177">
        <v>951500420</v>
      </c>
      <c r="B1098" s="116" t="str">
        <f t="shared" si="17"/>
        <v>95-951500420</v>
      </c>
      <c r="C1098" s="179" t="s">
        <v>5692</v>
      </c>
      <c r="E1098" s="72"/>
      <c r="F1098" s="72"/>
      <c r="G1098" s="72"/>
      <c r="H1098" s="124"/>
    </row>
    <row r="1099" spans="1:8">
      <c r="A1099" s="177">
        <v>951500432</v>
      </c>
      <c r="B1099" s="116" t="str">
        <f t="shared" si="17"/>
        <v>95-951500432</v>
      </c>
      <c r="C1099" s="179" t="s">
        <v>5695</v>
      </c>
      <c r="E1099" s="72"/>
      <c r="F1099" s="72"/>
      <c r="G1099" s="72"/>
      <c r="H1099" s="124"/>
    </row>
    <row r="1100" spans="1:8">
      <c r="A1100" s="177">
        <v>951500455</v>
      </c>
      <c r="B1100" s="116" t="str">
        <f t="shared" si="17"/>
        <v>95-951500455</v>
      </c>
      <c r="C1100" s="179" t="s">
        <v>5705</v>
      </c>
      <c r="E1100" s="72"/>
      <c r="F1100" s="72"/>
      <c r="G1100" s="72"/>
      <c r="H1100" s="124"/>
    </row>
    <row r="1101" spans="1:8">
      <c r="A1101" s="177">
        <v>951500513</v>
      </c>
      <c r="B1101" s="116" t="str">
        <f t="shared" si="17"/>
        <v>95-951500513</v>
      </c>
      <c r="C1101" s="179" t="s">
        <v>5721</v>
      </c>
      <c r="E1101" s="72"/>
      <c r="F1101" s="72"/>
      <c r="G1101" s="72"/>
      <c r="H1101" s="124"/>
    </row>
    <row r="1102" spans="1:8">
      <c r="A1102" s="177">
        <v>961500310</v>
      </c>
      <c r="B1102" s="116" t="str">
        <f t="shared" si="17"/>
        <v>96-961500310</v>
      </c>
      <c r="C1102" s="179" t="s">
        <v>5838</v>
      </c>
      <c r="E1102" s="72"/>
      <c r="F1102" s="72"/>
      <c r="G1102" s="72"/>
      <c r="H1102" s="124"/>
    </row>
    <row r="1103" spans="1:8">
      <c r="A1103" s="177">
        <v>961500460</v>
      </c>
      <c r="B1103" s="116" t="str">
        <f t="shared" si="17"/>
        <v>96-961500460</v>
      </c>
      <c r="C1103" s="179" t="s">
        <v>7241</v>
      </c>
      <c r="E1103" s="72"/>
      <c r="F1103" s="72"/>
      <c r="G1103" s="72"/>
      <c r="H1103" s="124"/>
    </row>
    <row r="1104" spans="1:8">
      <c r="A1104" s="177">
        <v>961500510</v>
      </c>
      <c r="B1104" s="116" t="str">
        <f t="shared" si="17"/>
        <v>96-961500510</v>
      </c>
      <c r="C1104" s="179" t="s">
        <v>7276</v>
      </c>
      <c r="E1104" s="72"/>
      <c r="F1104" s="72"/>
      <c r="G1104" s="72"/>
      <c r="H1104" s="124"/>
    </row>
    <row r="1105" spans="1:8">
      <c r="A1105" s="177">
        <v>961500549</v>
      </c>
      <c r="B1105" s="116" t="str">
        <f t="shared" si="17"/>
        <v>96-961500549</v>
      </c>
      <c r="C1105" s="179" t="s">
        <v>8723</v>
      </c>
      <c r="E1105" s="72"/>
      <c r="F1105" s="72"/>
      <c r="G1105" s="72"/>
      <c r="H1105" s="124"/>
    </row>
    <row r="1106" spans="1:8">
      <c r="A1106" s="177">
        <v>951500269</v>
      </c>
      <c r="B1106" s="116" t="str">
        <f t="shared" si="17"/>
        <v>95-951500269</v>
      </c>
      <c r="C1106" s="179" t="s">
        <v>5653</v>
      </c>
      <c r="E1106" s="72"/>
      <c r="F1106" s="72"/>
      <c r="G1106" s="72"/>
      <c r="H1106" s="124"/>
    </row>
    <row r="1107" spans="1:8">
      <c r="A1107" s="177">
        <v>961500039</v>
      </c>
      <c r="B1107" s="116" t="str">
        <f t="shared" si="17"/>
        <v>96-961500039</v>
      </c>
      <c r="C1107" s="179" t="s">
        <v>5769</v>
      </c>
      <c r="E1107" s="72"/>
      <c r="F1107" s="72"/>
      <c r="G1107" s="72"/>
      <c r="H1107" s="124"/>
    </row>
    <row r="1108" spans="1:8">
      <c r="A1108" s="177">
        <v>951500286</v>
      </c>
      <c r="B1108" s="116" t="str">
        <f t="shared" si="17"/>
        <v>95-951500286</v>
      </c>
      <c r="C1108" s="179" t="s">
        <v>5656</v>
      </c>
      <c r="E1108" s="72"/>
      <c r="F1108" s="72"/>
      <c r="G1108" s="72"/>
      <c r="H1108" s="124"/>
    </row>
    <row r="1109" spans="1:8">
      <c r="A1109" s="177">
        <v>961500744</v>
      </c>
      <c r="B1109" s="116" t="str">
        <f t="shared" si="17"/>
        <v>96-961500744</v>
      </c>
      <c r="C1109" s="179" t="s">
        <v>9789</v>
      </c>
      <c r="E1109" s="72"/>
      <c r="F1109" s="72"/>
      <c r="G1109" s="72"/>
      <c r="H1109" s="124"/>
    </row>
    <row r="1110" spans="1:8">
      <c r="A1110" s="177">
        <v>961500746</v>
      </c>
      <c r="B1110" s="116" t="str">
        <f t="shared" si="17"/>
        <v>96-961500746</v>
      </c>
      <c r="C1110" s="179" t="s">
        <v>9784</v>
      </c>
      <c r="E1110" s="72"/>
      <c r="F1110" s="72"/>
      <c r="G1110" s="72"/>
      <c r="H1110" s="124"/>
    </row>
    <row r="1111" spans="1:8">
      <c r="A1111" s="177">
        <v>961500748</v>
      </c>
      <c r="B1111" s="116" t="str">
        <f t="shared" si="17"/>
        <v>96-961500748</v>
      </c>
      <c r="C1111" s="179" t="s">
        <v>9789</v>
      </c>
      <c r="E1111" s="72"/>
      <c r="F1111" s="72"/>
      <c r="G1111" s="72"/>
      <c r="H1111" s="124"/>
    </row>
    <row r="1112" spans="1:8">
      <c r="A1112" s="177">
        <v>961500756</v>
      </c>
      <c r="B1112" s="116" t="str">
        <f t="shared" si="17"/>
        <v>96-961500756</v>
      </c>
      <c r="C1112" s="179" t="s">
        <v>9789</v>
      </c>
      <c r="E1112" s="72"/>
      <c r="F1112" s="72"/>
      <c r="G1112" s="72"/>
      <c r="H1112" s="124"/>
    </row>
    <row r="1113" spans="1:8">
      <c r="A1113" s="177">
        <v>961500758</v>
      </c>
      <c r="B1113" s="116" t="str">
        <f t="shared" si="17"/>
        <v>96-961500758</v>
      </c>
      <c r="C1113" s="179" t="s">
        <v>9797</v>
      </c>
      <c r="E1113" s="72"/>
      <c r="F1113" s="72"/>
      <c r="G1113" s="72"/>
      <c r="H1113" s="124"/>
    </row>
    <row r="1114" spans="1:8">
      <c r="A1114" s="177">
        <v>961500759</v>
      </c>
      <c r="B1114" s="116" t="str">
        <f t="shared" si="17"/>
        <v>96-961500759</v>
      </c>
      <c r="C1114" s="179" t="s">
        <v>9797</v>
      </c>
      <c r="E1114" s="72"/>
      <c r="F1114" s="72"/>
      <c r="G1114" s="72"/>
      <c r="H1114" s="124"/>
    </row>
    <row r="1115" spans="1:8">
      <c r="A1115" s="177">
        <v>961500823</v>
      </c>
      <c r="B1115" s="116" t="str">
        <f t="shared" si="17"/>
        <v>96-961500823</v>
      </c>
      <c r="C1115" s="179" t="s">
        <v>12221</v>
      </c>
      <c r="E1115" s="72"/>
      <c r="F1115" s="72"/>
      <c r="G1115" s="72"/>
      <c r="H1115" s="124"/>
    </row>
    <row r="1116" spans="1:8">
      <c r="A1116" s="177">
        <v>951500275</v>
      </c>
      <c r="B1116" s="116" t="str">
        <f t="shared" si="17"/>
        <v>95-951500275</v>
      </c>
      <c r="C1116" s="179" t="s">
        <v>5651</v>
      </c>
      <c r="E1116" s="72"/>
      <c r="F1116" s="72"/>
      <c r="G1116" s="72"/>
      <c r="H1116" s="124"/>
    </row>
    <row r="1117" spans="1:8">
      <c r="A1117" s="177">
        <v>951500324</v>
      </c>
      <c r="B1117" s="116" t="str">
        <f t="shared" si="17"/>
        <v>95-951500324</v>
      </c>
      <c r="C1117" s="179" t="s">
        <v>5662</v>
      </c>
      <c r="E1117" s="72"/>
      <c r="F1117" s="72"/>
      <c r="G1117" s="72"/>
      <c r="H1117" s="124"/>
    </row>
    <row r="1118" spans="1:8">
      <c r="A1118" s="177">
        <v>951500346</v>
      </c>
      <c r="B1118" s="116" t="str">
        <f t="shared" si="17"/>
        <v>95-951500346</v>
      </c>
      <c r="C1118" s="179" t="s">
        <v>5668</v>
      </c>
      <c r="E1118" s="72"/>
      <c r="F1118" s="72"/>
      <c r="G1118" s="72"/>
      <c r="H1118" s="124"/>
    </row>
    <row r="1119" spans="1:8">
      <c r="A1119" s="177">
        <v>951500374</v>
      </c>
      <c r="B1119" s="116" t="str">
        <f t="shared" si="17"/>
        <v>95-951500374</v>
      </c>
      <c r="C1119" s="179" t="s">
        <v>5662</v>
      </c>
      <c r="E1119" s="72"/>
      <c r="F1119" s="72"/>
      <c r="G1119" s="72"/>
      <c r="H1119" s="124"/>
    </row>
    <row r="1120" spans="1:8">
      <c r="A1120" s="177">
        <v>951500388</v>
      </c>
      <c r="B1120" s="116" t="str">
        <f t="shared" si="17"/>
        <v>95-951500388</v>
      </c>
      <c r="C1120" s="179" t="s">
        <v>5668</v>
      </c>
      <c r="E1120" s="72"/>
      <c r="F1120" s="72"/>
      <c r="G1120" s="72"/>
      <c r="H1120" s="124"/>
    </row>
    <row r="1121" spans="1:8">
      <c r="A1121" s="177">
        <v>951500588</v>
      </c>
      <c r="B1121" s="116" t="str">
        <f t="shared" si="17"/>
        <v>95-951500588</v>
      </c>
      <c r="C1121" s="179" t="s">
        <v>5748</v>
      </c>
      <c r="E1121" s="72"/>
      <c r="F1121" s="72"/>
      <c r="G1121" s="72"/>
      <c r="H1121" s="124"/>
    </row>
    <row r="1122" spans="1:8">
      <c r="A1122" s="177">
        <v>961500048</v>
      </c>
      <c r="B1122" s="116" t="str">
        <f t="shared" si="17"/>
        <v>96-961500048</v>
      </c>
      <c r="C1122" s="179" t="s">
        <v>5777</v>
      </c>
      <c r="E1122" s="72"/>
      <c r="F1122" s="72"/>
      <c r="G1122" s="72"/>
      <c r="H1122" s="124"/>
    </row>
    <row r="1123" spans="1:8">
      <c r="A1123" s="177">
        <v>961500103</v>
      </c>
      <c r="B1123" s="116" t="str">
        <f t="shared" si="17"/>
        <v>96-961500103</v>
      </c>
      <c r="C1123" s="179" t="s">
        <v>5801</v>
      </c>
      <c r="E1123" s="72"/>
      <c r="F1123" s="72"/>
      <c r="G1123" s="72"/>
      <c r="H1123" s="124"/>
    </row>
    <row r="1124" spans="1:8">
      <c r="A1124" s="177">
        <v>961500111</v>
      </c>
      <c r="B1124" s="116" t="str">
        <f t="shared" si="17"/>
        <v>96-961500111</v>
      </c>
      <c r="C1124" s="179" t="s">
        <v>5803</v>
      </c>
      <c r="E1124" s="72"/>
      <c r="F1124" s="72"/>
      <c r="G1124" s="72"/>
      <c r="H1124" s="124"/>
    </row>
    <row r="1125" spans="1:8">
      <c r="A1125" s="177">
        <v>961500206</v>
      </c>
      <c r="B1125" s="116" t="str">
        <f t="shared" si="17"/>
        <v>96-961500206</v>
      </c>
      <c r="C1125" s="179" t="s">
        <v>5819</v>
      </c>
      <c r="E1125" s="72"/>
      <c r="F1125" s="72"/>
      <c r="G1125" s="72"/>
      <c r="H1125" s="124"/>
    </row>
    <row r="1126" spans="1:8">
      <c r="A1126" s="177">
        <v>951500502</v>
      </c>
      <c r="B1126" s="116" t="str">
        <f t="shared" si="17"/>
        <v>95-951500502</v>
      </c>
      <c r="C1126" s="179" t="s">
        <v>5718</v>
      </c>
      <c r="E1126" s="72"/>
      <c r="F1126" s="72"/>
      <c r="G1126" s="72"/>
      <c r="H1126" s="124"/>
    </row>
    <row r="1127" spans="1:8">
      <c r="A1127" s="177">
        <v>951500540</v>
      </c>
      <c r="B1127" s="116" t="str">
        <f t="shared" si="17"/>
        <v>95-951500540</v>
      </c>
      <c r="C1127" s="179" t="s">
        <v>5727</v>
      </c>
      <c r="E1127" s="72"/>
      <c r="F1127" s="72"/>
      <c r="G1127" s="72"/>
      <c r="H1127" s="124"/>
    </row>
    <row r="1128" spans="1:8">
      <c r="A1128" s="177">
        <v>951500541</v>
      </c>
      <c r="B1128" s="116" t="str">
        <f t="shared" si="17"/>
        <v>95-951500541</v>
      </c>
      <c r="C1128" s="179" t="s">
        <v>5727</v>
      </c>
      <c r="E1128" s="72"/>
      <c r="F1128" s="72"/>
      <c r="G1128" s="72"/>
      <c r="H1128" s="124"/>
    </row>
    <row r="1129" spans="1:8">
      <c r="A1129" s="177">
        <v>961500042</v>
      </c>
      <c r="B1129" s="116" t="str">
        <f t="shared" si="17"/>
        <v>96-961500042</v>
      </c>
      <c r="C1129" s="179" t="s">
        <v>5784</v>
      </c>
      <c r="E1129" s="72"/>
      <c r="F1129" s="72"/>
      <c r="G1129" s="72"/>
      <c r="H1129" s="124"/>
    </row>
    <row r="1130" spans="1:8">
      <c r="A1130" s="177">
        <v>951500452</v>
      </c>
      <c r="B1130" s="116" t="str">
        <f t="shared" si="17"/>
        <v>95-951500452</v>
      </c>
      <c r="C1130" s="179" t="s">
        <v>5700</v>
      </c>
      <c r="E1130" s="72"/>
      <c r="F1130" s="72"/>
      <c r="G1130" s="72"/>
      <c r="H1130" s="124"/>
    </row>
    <row r="1131" spans="1:8">
      <c r="A1131" s="177">
        <v>961200065</v>
      </c>
      <c r="B1131" s="116" t="str">
        <f t="shared" si="17"/>
        <v>96-961200065</v>
      </c>
      <c r="C1131" s="179" t="s">
        <v>7242</v>
      </c>
      <c r="E1131" s="72"/>
      <c r="F1131" s="72"/>
      <c r="G1131" s="72"/>
      <c r="H1131" s="124"/>
    </row>
    <row r="1132" spans="1:8">
      <c r="A1132" s="177">
        <v>961200102</v>
      </c>
      <c r="B1132" s="116" t="str">
        <f t="shared" si="17"/>
        <v>96-961200102</v>
      </c>
      <c r="C1132" s="179" t="s">
        <v>9778</v>
      </c>
      <c r="E1132" s="72"/>
      <c r="F1132" s="72"/>
      <c r="G1132" s="72"/>
      <c r="H1132" s="124"/>
    </row>
    <row r="1133" spans="1:8">
      <c r="A1133" s="177">
        <v>961200109</v>
      </c>
      <c r="B1133" s="116" t="str">
        <f t="shared" si="17"/>
        <v>96-961200109</v>
      </c>
      <c r="C1133" s="179" t="s">
        <v>9778</v>
      </c>
      <c r="E1133" s="72"/>
      <c r="F1133" s="72"/>
      <c r="G1133" s="72"/>
      <c r="H1133" s="124"/>
    </row>
    <row r="1134" spans="1:8">
      <c r="A1134" s="177">
        <v>961500028</v>
      </c>
      <c r="B1134" s="116" t="str">
        <f t="shared" si="17"/>
        <v>96-961500028</v>
      </c>
      <c r="C1134" s="179" t="s">
        <v>5774</v>
      </c>
      <c r="E1134" s="72"/>
      <c r="F1134" s="72"/>
      <c r="G1134" s="72"/>
      <c r="H1134" s="124"/>
    </row>
    <row r="1135" spans="1:8">
      <c r="A1135" s="177">
        <v>961500560</v>
      </c>
      <c r="B1135" s="116" t="str">
        <f t="shared" si="17"/>
        <v>96-961500560</v>
      </c>
      <c r="C1135" s="179" t="s">
        <v>5854</v>
      </c>
      <c r="E1135" s="72"/>
      <c r="F1135" s="72"/>
      <c r="G1135" s="72"/>
      <c r="H1135" s="124"/>
    </row>
    <row r="1136" spans="1:8">
      <c r="A1136" s="177">
        <v>961500682</v>
      </c>
      <c r="B1136" s="116" t="str">
        <f t="shared" si="17"/>
        <v>96-961500682</v>
      </c>
      <c r="C1136" s="179" t="s">
        <v>9779</v>
      </c>
      <c r="E1136" s="72"/>
      <c r="F1136" s="72"/>
      <c r="G1136" s="72"/>
      <c r="H1136" s="124"/>
    </row>
    <row r="1137" spans="1:8">
      <c r="A1137" s="177">
        <v>961500818</v>
      </c>
      <c r="B1137" s="116" t="str">
        <f t="shared" si="17"/>
        <v>96-961500818</v>
      </c>
      <c r="C1137" s="179" t="s">
        <v>12426</v>
      </c>
      <c r="E1137" s="72"/>
      <c r="F1137" s="72"/>
      <c r="G1137" s="72"/>
      <c r="H1137" s="124"/>
    </row>
    <row r="1138" spans="1:8">
      <c r="A1138" s="177">
        <v>961500705</v>
      </c>
      <c r="B1138" s="116" t="str">
        <f t="shared" si="17"/>
        <v>96-961500705</v>
      </c>
      <c r="C1138" s="179" t="s">
        <v>9798</v>
      </c>
      <c r="E1138" s="72"/>
      <c r="F1138" s="72"/>
      <c r="G1138" s="72"/>
      <c r="H1138" s="124"/>
    </row>
    <row r="1139" spans="1:8">
      <c r="A1139" s="177">
        <v>961500836</v>
      </c>
      <c r="B1139" s="116" t="str">
        <f t="shared" si="17"/>
        <v>96-961500836</v>
      </c>
      <c r="C1139" s="179" t="s">
        <v>12427</v>
      </c>
      <c r="E1139" s="72"/>
      <c r="F1139" s="72"/>
      <c r="G1139" s="72"/>
      <c r="H1139" s="124"/>
    </row>
    <row r="1140" spans="1:8">
      <c r="A1140" s="177">
        <v>951500020</v>
      </c>
      <c r="B1140" s="116" t="str">
        <f t="shared" si="17"/>
        <v>95-951500020</v>
      </c>
      <c r="C1140" s="179" t="s">
        <v>5608</v>
      </c>
      <c r="E1140" s="72"/>
      <c r="F1140" s="72"/>
      <c r="G1140" s="72"/>
      <c r="H1140" s="124"/>
    </row>
    <row r="1141" spans="1:8">
      <c r="A1141" s="177">
        <v>951500045</v>
      </c>
      <c r="B1141" s="116" t="str">
        <f t="shared" si="17"/>
        <v>95-951500045</v>
      </c>
      <c r="C1141" s="179" t="s">
        <v>5608</v>
      </c>
      <c r="E1141" s="72"/>
      <c r="F1141" s="72"/>
      <c r="G1141" s="72"/>
      <c r="H1141" s="124"/>
    </row>
    <row r="1142" spans="1:8">
      <c r="A1142" s="177">
        <v>951500062</v>
      </c>
      <c r="B1142" s="116" t="str">
        <f t="shared" si="17"/>
        <v>95-951500062</v>
      </c>
      <c r="C1142" s="179" t="s">
        <v>5608</v>
      </c>
      <c r="E1142" s="72"/>
      <c r="F1142" s="72"/>
      <c r="G1142" s="72"/>
      <c r="H1142" s="124"/>
    </row>
    <row r="1143" spans="1:8">
      <c r="A1143" s="177">
        <v>951500069</v>
      </c>
      <c r="B1143" s="116" t="str">
        <f t="shared" si="17"/>
        <v>95-951500069</v>
      </c>
      <c r="C1143" s="179" t="s">
        <v>5608</v>
      </c>
      <c r="E1143" s="72"/>
      <c r="F1143" s="72"/>
      <c r="G1143" s="72"/>
      <c r="H1143" s="124"/>
    </row>
    <row r="1144" spans="1:8">
      <c r="A1144" s="177">
        <v>951500183</v>
      </c>
      <c r="B1144" s="116" t="str">
        <f t="shared" si="17"/>
        <v>95-951500183</v>
      </c>
      <c r="C1144" s="179" t="s">
        <v>5622</v>
      </c>
      <c r="E1144" s="72"/>
      <c r="F1144" s="72"/>
      <c r="G1144" s="72"/>
      <c r="H1144" s="124"/>
    </row>
    <row r="1145" spans="1:8">
      <c r="A1145" s="177">
        <v>951500487</v>
      </c>
      <c r="B1145" s="116" t="str">
        <f t="shared" si="17"/>
        <v>95-951500487</v>
      </c>
      <c r="C1145" s="179" t="s">
        <v>5690</v>
      </c>
      <c r="E1145" s="72"/>
      <c r="F1145" s="72"/>
      <c r="G1145" s="72"/>
      <c r="H1145" s="124"/>
    </row>
    <row r="1146" spans="1:8">
      <c r="A1146" s="177">
        <v>961500345</v>
      </c>
      <c r="B1146" s="116" t="str">
        <f t="shared" si="17"/>
        <v>96-961500345</v>
      </c>
      <c r="C1146" s="179" t="s">
        <v>7233</v>
      </c>
      <c r="E1146" s="72"/>
      <c r="F1146" s="72"/>
      <c r="G1146" s="72"/>
      <c r="H1146" s="124"/>
    </row>
    <row r="1147" spans="1:8">
      <c r="A1147" s="177">
        <v>962000062</v>
      </c>
      <c r="B1147" s="116" t="str">
        <f t="shared" si="17"/>
        <v>96-962000062</v>
      </c>
      <c r="C1147" s="179" t="s">
        <v>7112</v>
      </c>
      <c r="E1147" s="72"/>
      <c r="F1147" s="72"/>
      <c r="G1147" s="72"/>
      <c r="H1147" s="124"/>
    </row>
    <row r="1148" spans="1:8">
      <c r="A1148" s="177">
        <v>962000448</v>
      </c>
      <c r="B1148" s="116" t="str">
        <f t="shared" si="17"/>
        <v>96-962000448</v>
      </c>
      <c r="C1148" s="179" t="s">
        <v>12184</v>
      </c>
      <c r="E1148" s="72"/>
      <c r="F1148" s="72"/>
      <c r="G1148" s="72"/>
      <c r="H1148" s="124"/>
    </row>
    <row r="1149" spans="1:8">
      <c r="A1149" s="177">
        <v>961500368</v>
      </c>
      <c r="B1149" s="116" t="str">
        <f t="shared" si="17"/>
        <v>96-961500368</v>
      </c>
      <c r="C1149" s="179" t="s">
        <v>5836</v>
      </c>
      <c r="E1149" s="72"/>
      <c r="F1149" s="72"/>
      <c r="G1149" s="72"/>
      <c r="H1149" s="124"/>
    </row>
    <row r="1150" spans="1:8">
      <c r="A1150" s="177">
        <v>961500385</v>
      </c>
      <c r="B1150" s="116" t="str">
        <f t="shared" si="17"/>
        <v>96-961500385</v>
      </c>
      <c r="C1150" s="179" t="s">
        <v>5836</v>
      </c>
      <c r="E1150" s="72"/>
      <c r="F1150" s="72"/>
      <c r="G1150" s="72"/>
      <c r="H1150" s="124"/>
    </row>
    <row r="1151" spans="1:8">
      <c r="A1151" s="177">
        <v>961500390</v>
      </c>
      <c r="B1151" s="116" t="str">
        <f t="shared" si="17"/>
        <v>96-961500390</v>
      </c>
      <c r="C1151" s="179" t="s">
        <v>5836</v>
      </c>
      <c r="E1151" s="72"/>
      <c r="F1151" s="72"/>
      <c r="G1151" s="72"/>
      <c r="H1151" s="124"/>
    </row>
    <row r="1152" spans="1:8">
      <c r="A1152" s="177">
        <v>961500461</v>
      </c>
      <c r="B1152" s="116" t="str">
        <f t="shared" si="17"/>
        <v>96-961500461</v>
      </c>
      <c r="C1152" s="179" t="s">
        <v>5836</v>
      </c>
      <c r="E1152" s="72"/>
      <c r="F1152" s="72"/>
      <c r="G1152" s="72"/>
      <c r="H1152" s="124"/>
    </row>
    <row r="1153" spans="1:8">
      <c r="A1153" s="177">
        <v>961500518</v>
      </c>
      <c r="B1153" s="116" t="str">
        <f t="shared" si="17"/>
        <v>96-961500518</v>
      </c>
      <c r="C1153" s="179" t="s">
        <v>5842</v>
      </c>
      <c r="E1153" s="72"/>
      <c r="F1153" s="72"/>
      <c r="G1153" s="72"/>
      <c r="H1153" s="124"/>
    </row>
    <row r="1154" spans="1:8">
      <c r="A1154" s="177">
        <v>961500532</v>
      </c>
      <c r="B1154" s="116" t="str">
        <f t="shared" si="17"/>
        <v>96-961500532</v>
      </c>
      <c r="C1154" s="179" t="s">
        <v>8722</v>
      </c>
      <c r="E1154" s="72"/>
      <c r="F1154" s="72"/>
      <c r="G1154" s="72"/>
      <c r="H1154" s="124"/>
    </row>
    <row r="1155" spans="1:8">
      <c r="A1155" s="177">
        <v>961500595</v>
      </c>
      <c r="B1155" s="116" t="str">
        <f t="shared" ref="B1155:B1218" si="18">MID(A1155,1,2)&amp;"-"&amp;A1155</f>
        <v>96-961500595</v>
      </c>
      <c r="C1155" s="179" t="s">
        <v>8722</v>
      </c>
      <c r="E1155" s="72"/>
      <c r="F1155" s="72"/>
      <c r="G1155" s="72"/>
      <c r="H1155" s="124"/>
    </row>
    <row r="1156" spans="1:8">
      <c r="A1156" s="177">
        <v>961500599</v>
      </c>
      <c r="B1156" s="116" t="str">
        <f t="shared" si="18"/>
        <v>96-961500599</v>
      </c>
      <c r="C1156" s="179" t="s">
        <v>8722</v>
      </c>
      <c r="E1156" s="72"/>
      <c r="F1156" s="72"/>
      <c r="G1156" s="72"/>
      <c r="H1156" s="124"/>
    </row>
    <row r="1157" spans="1:8">
      <c r="A1157" s="177">
        <v>961500619</v>
      </c>
      <c r="B1157" s="116" t="str">
        <f t="shared" si="18"/>
        <v>96-961500619</v>
      </c>
      <c r="C1157" s="179" t="s">
        <v>9771</v>
      </c>
      <c r="E1157" s="72"/>
      <c r="F1157" s="72"/>
      <c r="G1157" s="72"/>
      <c r="H1157" s="124"/>
    </row>
    <row r="1158" spans="1:8">
      <c r="A1158" s="177">
        <v>961500623</v>
      </c>
      <c r="B1158" s="116" t="str">
        <f t="shared" si="18"/>
        <v>96-961500623</v>
      </c>
      <c r="C1158" s="179" t="s">
        <v>9774</v>
      </c>
      <c r="E1158" s="72"/>
      <c r="F1158" s="72"/>
      <c r="G1158" s="72"/>
      <c r="H1158" s="124"/>
    </row>
    <row r="1159" spans="1:8">
      <c r="A1159" s="177">
        <v>961500626</v>
      </c>
      <c r="B1159" s="116" t="str">
        <f t="shared" si="18"/>
        <v>96-961500626</v>
      </c>
      <c r="C1159" s="179" t="s">
        <v>9771</v>
      </c>
      <c r="E1159" s="72"/>
      <c r="F1159" s="72"/>
      <c r="G1159" s="72"/>
      <c r="H1159" s="124"/>
    </row>
    <row r="1160" spans="1:8">
      <c r="A1160" s="177">
        <v>961500642</v>
      </c>
      <c r="B1160" s="116" t="str">
        <f t="shared" si="18"/>
        <v>96-961500642</v>
      </c>
      <c r="C1160" s="179" t="s">
        <v>9771</v>
      </c>
      <c r="E1160" s="72"/>
      <c r="F1160" s="72"/>
      <c r="G1160" s="72"/>
      <c r="H1160" s="124"/>
    </row>
    <row r="1161" spans="1:8">
      <c r="A1161" s="177">
        <v>961500762</v>
      </c>
      <c r="B1161" s="116" t="str">
        <f t="shared" si="18"/>
        <v>96-961500762</v>
      </c>
      <c r="C1161" s="179" t="s">
        <v>9774</v>
      </c>
      <c r="E1161" s="72"/>
      <c r="F1161" s="72"/>
      <c r="G1161" s="72"/>
      <c r="H1161" s="124"/>
    </row>
    <row r="1162" spans="1:8">
      <c r="A1162" s="177">
        <v>961500767</v>
      </c>
      <c r="B1162" s="116" t="str">
        <f t="shared" si="18"/>
        <v>96-961500767</v>
      </c>
      <c r="C1162" s="179" t="s">
        <v>12217</v>
      </c>
      <c r="E1162" s="72"/>
      <c r="F1162" s="72"/>
      <c r="G1162" s="72"/>
      <c r="H1162" s="124"/>
    </row>
    <row r="1163" spans="1:8">
      <c r="A1163" s="177">
        <v>951500489</v>
      </c>
      <c r="B1163" s="116" t="str">
        <f t="shared" si="18"/>
        <v>95-951500489</v>
      </c>
      <c r="C1163" s="179" t="s">
        <v>5714</v>
      </c>
      <c r="E1163" s="72"/>
      <c r="F1163" s="72"/>
      <c r="G1163" s="72"/>
      <c r="H1163" s="124"/>
    </row>
    <row r="1164" spans="1:8">
      <c r="A1164" s="177">
        <v>951500570</v>
      </c>
      <c r="B1164" s="116" t="str">
        <f t="shared" si="18"/>
        <v>95-951500570</v>
      </c>
      <c r="C1164" s="179" t="s">
        <v>5728</v>
      </c>
      <c r="E1164" s="72"/>
      <c r="F1164" s="72"/>
      <c r="G1164" s="72"/>
      <c r="H1164" s="124"/>
    </row>
    <row r="1165" spans="1:8">
      <c r="A1165" s="177">
        <v>961500087</v>
      </c>
      <c r="B1165" s="116" t="str">
        <f t="shared" si="18"/>
        <v>96-961500087</v>
      </c>
      <c r="C1165" s="179" t="s">
        <v>5795</v>
      </c>
      <c r="E1165" s="72"/>
      <c r="F1165" s="72"/>
      <c r="G1165" s="72"/>
      <c r="H1165" s="124"/>
    </row>
    <row r="1166" spans="1:8">
      <c r="A1166" s="177">
        <v>961500355</v>
      </c>
      <c r="B1166" s="116" t="str">
        <f t="shared" si="18"/>
        <v>96-961500355</v>
      </c>
      <c r="C1166" s="179" t="s">
        <v>7233</v>
      </c>
      <c r="E1166" s="72"/>
      <c r="F1166" s="72"/>
      <c r="G1166" s="72"/>
      <c r="H1166" s="124"/>
    </row>
    <row r="1167" spans="1:8">
      <c r="A1167" s="177">
        <v>961500425</v>
      </c>
      <c r="B1167" s="116" t="str">
        <f t="shared" si="18"/>
        <v>96-961500425</v>
      </c>
      <c r="C1167" s="179" t="s">
        <v>7233</v>
      </c>
      <c r="E1167" s="72"/>
      <c r="F1167" s="72"/>
      <c r="G1167" s="72"/>
      <c r="H1167" s="124"/>
    </row>
    <row r="1168" spans="1:8">
      <c r="A1168" s="177">
        <v>961500437</v>
      </c>
      <c r="B1168" s="116" t="str">
        <f t="shared" si="18"/>
        <v>96-961500437</v>
      </c>
      <c r="C1168" s="179" t="s">
        <v>7233</v>
      </c>
      <c r="E1168" s="72"/>
      <c r="F1168" s="72"/>
      <c r="G1168" s="72"/>
      <c r="H1168" s="124"/>
    </row>
    <row r="1169" spans="1:8">
      <c r="A1169" s="177">
        <v>961500440</v>
      </c>
      <c r="B1169" s="116" t="str">
        <f t="shared" si="18"/>
        <v>96-961500440</v>
      </c>
      <c r="C1169" s="179" t="s">
        <v>7233</v>
      </c>
      <c r="E1169" s="72"/>
      <c r="F1169" s="72"/>
      <c r="G1169" s="72"/>
      <c r="H1169" s="124"/>
    </row>
    <row r="1170" spans="1:8">
      <c r="A1170" s="177">
        <v>961500687</v>
      </c>
      <c r="B1170" s="116" t="str">
        <f t="shared" si="18"/>
        <v>96-961500687</v>
      </c>
      <c r="C1170" s="179" t="s">
        <v>9770</v>
      </c>
      <c r="E1170" s="72"/>
      <c r="F1170" s="72"/>
      <c r="G1170" s="72"/>
      <c r="H1170" s="124"/>
    </row>
    <row r="1171" spans="1:8">
      <c r="A1171" s="177">
        <v>961500730</v>
      </c>
      <c r="B1171" s="116" t="str">
        <f t="shared" si="18"/>
        <v>96-961500730</v>
      </c>
      <c r="C1171" s="179" t="s">
        <v>9770</v>
      </c>
      <c r="E1171" s="72"/>
      <c r="F1171" s="72"/>
      <c r="G1171" s="72"/>
      <c r="H1171" s="124"/>
    </row>
    <row r="1172" spans="1:8">
      <c r="A1172" s="177">
        <v>951500009</v>
      </c>
      <c r="B1172" s="116" t="str">
        <f t="shared" si="18"/>
        <v>95-951500009</v>
      </c>
      <c r="C1172" s="179" t="s">
        <v>5610</v>
      </c>
      <c r="E1172" s="72"/>
      <c r="F1172" s="72"/>
      <c r="G1172" s="72"/>
      <c r="H1172" s="124"/>
    </row>
    <row r="1173" spans="1:8">
      <c r="A1173" s="177">
        <v>951500011</v>
      </c>
      <c r="B1173" s="116" t="str">
        <f t="shared" si="18"/>
        <v>95-951500011</v>
      </c>
      <c r="C1173" s="179" t="s">
        <v>5610</v>
      </c>
      <c r="E1173" s="72"/>
      <c r="F1173" s="72"/>
      <c r="G1173" s="72"/>
      <c r="H1173" s="124"/>
    </row>
    <row r="1174" spans="1:8">
      <c r="A1174" s="177">
        <v>951500151</v>
      </c>
      <c r="B1174" s="116" t="str">
        <f t="shared" si="18"/>
        <v>95-951500151</v>
      </c>
      <c r="C1174" s="179" t="s">
        <v>5614</v>
      </c>
      <c r="E1174" s="72"/>
      <c r="F1174" s="72"/>
      <c r="G1174" s="72"/>
      <c r="H1174" s="124"/>
    </row>
    <row r="1175" spans="1:8">
      <c r="A1175" s="177">
        <v>951500546</v>
      </c>
      <c r="B1175" s="116" t="str">
        <f t="shared" si="18"/>
        <v>95-951500546</v>
      </c>
      <c r="C1175" s="179" t="s">
        <v>5717</v>
      </c>
      <c r="E1175" s="72"/>
      <c r="F1175" s="72"/>
      <c r="G1175" s="72"/>
      <c r="H1175" s="124"/>
    </row>
    <row r="1176" spans="1:8">
      <c r="A1176" s="177">
        <v>951500566</v>
      </c>
      <c r="B1176" s="116" t="str">
        <f t="shared" si="18"/>
        <v>95-951500566</v>
      </c>
      <c r="C1176" s="179" t="s">
        <v>5723</v>
      </c>
      <c r="E1176" s="72"/>
      <c r="F1176" s="72"/>
      <c r="G1176" s="72"/>
      <c r="H1176" s="124"/>
    </row>
    <row r="1177" spans="1:8">
      <c r="A1177" s="177">
        <v>951500567</v>
      </c>
      <c r="B1177" s="116" t="str">
        <f t="shared" si="18"/>
        <v>95-951500567</v>
      </c>
      <c r="C1177" s="179" t="s">
        <v>5717</v>
      </c>
      <c r="E1177" s="72"/>
      <c r="F1177" s="72"/>
      <c r="G1177" s="72"/>
      <c r="H1177" s="124"/>
    </row>
    <row r="1178" spans="1:8">
      <c r="A1178" s="177">
        <v>951500568</v>
      </c>
      <c r="B1178" s="116" t="str">
        <f t="shared" si="18"/>
        <v>95-951500568</v>
      </c>
      <c r="C1178" s="179" t="s">
        <v>5723</v>
      </c>
      <c r="E1178" s="72"/>
      <c r="F1178" s="72"/>
      <c r="G1178" s="72"/>
      <c r="H1178" s="124"/>
    </row>
    <row r="1179" spans="1:8">
      <c r="A1179" s="177">
        <v>961500112</v>
      </c>
      <c r="B1179" s="116" t="str">
        <f t="shared" si="18"/>
        <v>96-961500112</v>
      </c>
      <c r="C1179" s="179" t="s">
        <v>5793</v>
      </c>
      <c r="E1179" s="72"/>
      <c r="F1179" s="72"/>
      <c r="G1179" s="72"/>
      <c r="H1179" s="124"/>
    </row>
    <row r="1180" spans="1:8">
      <c r="A1180" s="177">
        <v>961500183</v>
      </c>
      <c r="B1180" s="116" t="str">
        <f t="shared" si="18"/>
        <v>96-961500183</v>
      </c>
      <c r="C1180" s="179" t="s">
        <v>5816</v>
      </c>
      <c r="E1180" s="72"/>
      <c r="F1180" s="72"/>
      <c r="G1180" s="72"/>
      <c r="H1180" s="124"/>
    </row>
    <row r="1181" spans="1:8">
      <c r="A1181" s="177">
        <v>961500279</v>
      </c>
      <c r="B1181" s="116" t="str">
        <f t="shared" si="18"/>
        <v>96-961500279</v>
      </c>
      <c r="C1181" s="179" t="s">
        <v>5822</v>
      </c>
      <c r="E1181" s="72"/>
      <c r="F1181" s="72"/>
      <c r="G1181" s="72"/>
      <c r="H1181" s="124"/>
    </row>
    <row r="1182" spans="1:8">
      <c r="A1182" s="177">
        <v>961500408</v>
      </c>
      <c r="B1182" s="116" t="str">
        <f t="shared" si="18"/>
        <v>96-961500408</v>
      </c>
      <c r="C1182" s="179" t="s">
        <v>5852</v>
      </c>
      <c r="E1182" s="72"/>
      <c r="F1182" s="72"/>
      <c r="G1182" s="72"/>
      <c r="H1182" s="124"/>
    </row>
    <row r="1183" spans="1:8">
      <c r="A1183" s="177">
        <v>961500424</v>
      </c>
      <c r="B1183" s="116" t="str">
        <f t="shared" si="18"/>
        <v>96-961500424</v>
      </c>
      <c r="C1183" s="179" t="s">
        <v>5852</v>
      </c>
      <c r="E1183" s="72"/>
      <c r="F1183" s="72"/>
      <c r="G1183" s="72"/>
      <c r="H1183" s="124"/>
    </row>
    <row r="1184" spans="1:8">
      <c r="A1184" s="177">
        <v>961500454</v>
      </c>
      <c r="B1184" s="116" t="str">
        <f t="shared" si="18"/>
        <v>96-961500454</v>
      </c>
      <c r="C1184" s="179" t="s">
        <v>7255</v>
      </c>
      <c r="E1184" s="72"/>
      <c r="F1184" s="72"/>
      <c r="G1184" s="72"/>
      <c r="H1184" s="124"/>
    </row>
    <row r="1185" spans="1:8">
      <c r="A1185" s="177">
        <v>961500482</v>
      </c>
      <c r="B1185" s="116" t="str">
        <f t="shared" si="18"/>
        <v>96-961500482</v>
      </c>
      <c r="C1185" s="179" t="s">
        <v>7114</v>
      </c>
      <c r="E1185" s="72"/>
      <c r="F1185" s="72"/>
      <c r="G1185" s="72"/>
      <c r="H1185" s="124"/>
    </row>
    <row r="1186" spans="1:8">
      <c r="A1186" s="177">
        <v>961500514</v>
      </c>
      <c r="B1186" s="116" t="str">
        <f t="shared" si="18"/>
        <v>96-961500514</v>
      </c>
      <c r="C1186" s="179" t="s">
        <v>7114</v>
      </c>
      <c r="E1186" s="72"/>
      <c r="F1186" s="72"/>
      <c r="G1186" s="72"/>
      <c r="H1186" s="124"/>
    </row>
    <row r="1187" spans="1:8">
      <c r="A1187" s="177">
        <v>961500726</v>
      </c>
      <c r="B1187" s="116" t="str">
        <f t="shared" si="18"/>
        <v>96-961500726</v>
      </c>
      <c r="C1187" s="179" t="s">
        <v>9796</v>
      </c>
      <c r="E1187" s="72"/>
      <c r="F1187" s="72"/>
      <c r="G1187" s="72"/>
      <c r="H1187" s="124"/>
    </row>
    <row r="1188" spans="1:8">
      <c r="A1188" s="177">
        <v>961500770</v>
      </c>
      <c r="B1188" s="116" t="str">
        <f t="shared" si="18"/>
        <v>96-961500770</v>
      </c>
      <c r="C1188" s="179" t="s">
        <v>9790</v>
      </c>
      <c r="E1188" s="72"/>
      <c r="F1188" s="72"/>
      <c r="G1188" s="72"/>
      <c r="H1188" s="124"/>
    </row>
    <row r="1189" spans="1:8">
      <c r="A1189" s="177">
        <v>961500787</v>
      </c>
      <c r="B1189" s="116" t="str">
        <f t="shared" si="18"/>
        <v>96-961500787</v>
      </c>
      <c r="C1189" s="179" t="s">
        <v>12218</v>
      </c>
      <c r="E1189" s="72"/>
      <c r="F1189" s="72"/>
      <c r="G1189" s="72"/>
      <c r="H1189" s="124"/>
    </row>
    <row r="1190" spans="1:8">
      <c r="A1190" s="177">
        <v>961500797</v>
      </c>
      <c r="B1190" s="116" t="str">
        <f t="shared" si="18"/>
        <v>96-961500797</v>
      </c>
      <c r="C1190" s="179" t="s">
        <v>12221</v>
      </c>
      <c r="E1190" s="72"/>
      <c r="F1190" s="72"/>
      <c r="G1190" s="72"/>
      <c r="H1190" s="124"/>
    </row>
    <row r="1191" spans="1:8">
      <c r="A1191" s="177">
        <v>961500806</v>
      </c>
      <c r="B1191" s="116" t="str">
        <f t="shared" si="18"/>
        <v>96-961500806</v>
      </c>
      <c r="C1191" s="179" t="s">
        <v>12221</v>
      </c>
      <c r="E1191" s="72"/>
      <c r="F1191" s="72"/>
      <c r="G1191" s="72"/>
      <c r="H1191" s="124"/>
    </row>
    <row r="1192" spans="1:8">
      <c r="A1192" s="177">
        <v>961500811</v>
      </c>
      <c r="B1192" s="116" t="str">
        <f t="shared" si="18"/>
        <v>96-961500811</v>
      </c>
      <c r="C1192" s="179" t="s">
        <v>12221</v>
      </c>
      <c r="E1192" s="72"/>
      <c r="F1192" s="72"/>
      <c r="G1192" s="72"/>
      <c r="H1192" s="124"/>
    </row>
    <row r="1193" spans="1:8">
      <c r="A1193" s="177">
        <v>951500263</v>
      </c>
      <c r="B1193" s="116" t="str">
        <f t="shared" si="18"/>
        <v>95-951500263</v>
      </c>
      <c r="C1193" s="179" t="s">
        <v>5651</v>
      </c>
      <c r="E1193" s="72"/>
      <c r="F1193" s="72"/>
      <c r="G1193" s="72"/>
      <c r="H1193" s="124"/>
    </row>
    <row r="1194" spans="1:8">
      <c r="A1194" s="177">
        <v>951500360</v>
      </c>
      <c r="B1194" s="116" t="str">
        <f t="shared" si="18"/>
        <v>95-951500360</v>
      </c>
      <c r="C1194" s="179" t="s">
        <v>5662</v>
      </c>
      <c r="E1194" s="72"/>
      <c r="F1194" s="72"/>
      <c r="G1194" s="72"/>
      <c r="H1194" s="124"/>
    </row>
    <row r="1195" spans="1:8">
      <c r="A1195" s="177">
        <v>951500365</v>
      </c>
      <c r="B1195" s="116" t="str">
        <f t="shared" si="18"/>
        <v>95-951500365</v>
      </c>
      <c r="C1195" s="179" t="s">
        <v>5660</v>
      </c>
      <c r="E1195" s="72"/>
      <c r="F1195" s="72"/>
      <c r="G1195" s="72"/>
      <c r="H1195" s="124"/>
    </row>
    <row r="1196" spans="1:8">
      <c r="A1196" s="177">
        <v>951500439</v>
      </c>
      <c r="B1196" s="116" t="str">
        <f t="shared" si="18"/>
        <v>95-951500439</v>
      </c>
      <c r="C1196" s="179" t="s">
        <v>5698</v>
      </c>
      <c r="E1196" s="72"/>
      <c r="F1196" s="72"/>
      <c r="G1196" s="72"/>
      <c r="H1196" s="124"/>
    </row>
    <row r="1197" spans="1:8">
      <c r="A1197" s="177">
        <v>951500440</v>
      </c>
      <c r="B1197" s="116" t="str">
        <f t="shared" si="18"/>
        <v>95-951500440</v>
      </c>
      <c r="C1197" s="179" t="s">
        <v>5698</v>
      </c>
      <c r="E1197" s="72"/>
      <c r="F1197" s="72"/>
      <c r="G1197" s="72"/>
      <c r="H1197" s="124"/>
    </row>
    <row r="1198" spans="1:8">
      <c r="A1198" s="177">
        <v>951500469</v>
      </c>
      <c r="B1198" s="116" t="str">
        <f t="shared" si="18"/>
        <v>95-951500469</v>
      </c>
      <c r="C1198" s="179" t="s">
        <v>5698</v>
      </c>
      <c r="E1198" s="72"/>
      <c r="F1198" s="72"/>
      <c r="G1198" s="72"/>
      <c r="H1198" s="124"/>
    </row>
    <row r="1199" spans="1:8">
      <c r="A1199" s="177">
        <v>951500550</v>
      </c>
      <c r="B1199" s="116" t="str">
        <f t="shared" si="18"/>
        <v>95-951500550</v>
      </c>
      <c r="C1199" s="179" t="s">
        <v>5738</v>
      </c>
      <c r="E1199" s="72"/>
      <c r="F1199" s="72"/>
      <c r="G1199" s="72"/>
      <c r="H1199" s="124"/>
    </row>
    <row r="1200" spans="1:8">
      <c r="A1200" s="177">
        <v>961500126</v>
      </c>
      <c r="B1200" s="116" t="str">
        <f t="shared" si="18"/>
        <v>96-961500126</v>
      </c>
      <c r="C1200" s="179" t="s">
        <v>5806</v>
      </c>
      <c r="E1200" s="72"/>
      <c r="F1200" s="72"/>
      <c r="G1200" s="72"/>
      <c r="H1200" s="124"/>
    </row>
    <row r="1201" spans="1:8">
      <c r="A1201" s="177">
        <v>961500249</v>
      </c>
      <c r="B1201" s="116" t="str">
        <f t="shared" si="18"/>
        <v>96-961500249</v>
      </c>
      <c r="C1201" s="179" t="s">
        <v>5825</v>
      </c>
      <c r="E1201" s="72"/>
      <c r="F1201" s="72"/>
      <c r="G1201" s="72"/>
      <c r="H1201" s="124"/>
    </row>
    <row r="1202" spans="1:8">
      <c r="A1202" s="177">
        <v>961500274</v>
      </c>
      <c r="B1202" s="116" t="str">
        <f t="shared" si="18"/>
        <v>96-961500274</v>
      </c>
      <c r="C1202" s="179" t="s">
        <v>5833</v>
      </c>
      <c r="E1202" s="72"/>
      <c r="F1202" s="72"/>
      <c r="G1202" s="72"/>
      <c r="H1202" s="124"/>
    </row>
    <row r="1203" spans="1:8">
      <c r="A1203" s="177">
        <v>961500282</v>
      </c>
      <c r="B1203" s="116" t="str">
        <f t="shared" si="18"/>
        <v>96-961500282</v>
      </c>
      <c r="C1203" s="179" t="s">
        <v>5838</v>
      </c>
      <c r="E1203" s="72"/>
      <c r="F1203" s="72"/>
      <c r="G1203" s="72"/>
      <c r="H1203" s="124"/>
    </row>
    <row r="1204" spans="1:8">
      <c r="A1204" s="177">
        <v>961500444</v>
      </c>
      <c r="B1204" s="116" t="str">
        <f t="shared" si="18"/>
        <v>96-961500444</v>
      </c>
      <c r="C1204" s="179" t="s">
        <v>7241</v>
      </c>
      <c r="E1204" s="72"/>
      <c r="F1204" s="72"/>
      <c r="G1204" s="72"/>
      <c r="H1204" s="124"/>
    </row>
    <row r="1205" spans="1:8">
      <c r="A1205" s="177">
        <v>951200054</v>
      </c>
      <c r="B1205" s="116" t="str">
        <f t="shared" si="18"/>
        <v>95-951200054</v>
      </c>
      <c r="C1205" s="179" t="s">
        <v>7251</v>
      </c>
      <c r="E1205" s="72"/>
      <c r="F1205" s="72"/>
      <c r="G1205" s="72"/>
      <c r="H1205" s="124"/>
    </row>
    <row r="1206" spans="1:8">
      <c r="A1206" s="177">
        <v>951500267</v>
      </c>
      <c r="B1206" s="116" t="str">
        <f t="shared" si="18"/>
        <v>95-951500267</v>
      </c>
      <c r="C1206" s="179" t="s">
        <v>5653</v>
      </c>
      <c r="E1206" s="72"/>
      <c r="F1206" s="72"/>
      <c r="G1206" s="72"/>
      <c r="H1206" s="124"/>
    </row>
    <row r="1207" spans="1:8">
      <c r="A1207" s="177">
        <v>951500571</v>
      </c>
      <c r="B1207" s="116" t="str">
        <f t="shared" si="18"/>
        <v>95-951500571</v>
      </c>
      <c r="C1207" s="179" t="s">
        <v>5724</v>
      </c>
      <c r="E1207" s="72"/>
      <c r="F1207" s="72"/>
      <c r="G1207" s="72"/>
      <c r="H1207" s="124"/>
    </row>
    <row r="1208" spans="1:8">
      <c r="A1208" s="177">
        <v>951500490</v>
      </c>
      <c r="B1208" s="116" t="str">
        <f t="shared" si="18"/>
        <v>95-951500490</v>
      </c>
      <c r="C1208" s="179" t="s">
        <v>5715</v>
      </c>
      <c r="E1208" s="72"/>
      <c r="F1208" s="72"/>
      <c r="G1208" s="72"/>
      <c r="H1208" s="124"/>
    </row>
    <row r="1209" spans="1:8">
      <c r="A1209" s="177">
        <v>961200058</v>
      </c>
      <c r="B1209" s="116" t="str">
        <f t="shared" si="18"/>
        <v>96-961200058</v>
      </c>
      <c r="C1209" s="179" t="s">
        <v>7242</v>
      </c>
      <c r="E1209" s="72"/>
      <c r="F1209" s="72"/>
      <c r="G1209" s="72"/>
      <c r="H1209" s="124"/>
    </row>
    <row r="1210" spans="1:8">
      <c r="A1210" s="177">
        <v>961200144</v>
      </c>
      <c r="B1210" s="116" t="str">
        <f t="shared" si="18"/>
        <v>96-961200144</v>
      </c>
      <c r="C1210" s="179" t="s">
        <v>9778</v>
      </c>
      <c r="E1210" s="72"/>
      <c r="F1210" s="72"/>
      <c r="G1210" s="72"/>
      <c r="H1210" s="124"/>
    </row>
    <row r="1211" spans="1:8">
      <c r="A1211" s="177">
        <v>961200145</v>
      </c>
      <c r="B1211" s="116" t="str">
        <f t="shared" si="18"/>
        <v>96-961200145</v>
      </c>
      <c r="C1211" s="179" t="s">
        <v>9778</v>
      </c>
      <c r="E1211" s="72"/>
      <c r="F1211" s="72"/>
      <c r="G1211" s="72"/>
      <c r="H1211" s="124"/>
    </row>
    <row r="1212" spans="1:8">
      <c r="A1212" s="177">
        <v>951500551</v>
      </c>
      <c r="B1212" s="116" t="str">
        <f t="shared" si="18"/>
        <v>95-951500551</v>
      </c>
      <c r="C1212" s="179" t="s">
        <v>5739</v>
      </c>
      <c r="E1212" s="72"/>
      <c r="F1212" s="72"/>
      <c r="G1212" s="72"/>
      <c r="H1212" s="124"/>
    </row>
    <row r="1213" spans="1:8">
      <c r="A1213" s="177">
        <v>961500434</v>
      </c>
      <c r="B1213" s="116" t="str">
        <f t="shared" si="18"/>
        <v>96-961500434</v>
      </c>
      <c r="C1213" s="179" t="s">
        <v>5841</v>
      </c>
      <c r="E1213" s="72"/>
      <c r="F1213" s="72"/>
      <c r="G1213" s="72"/>
      <c r="H1213" s="124"/>
    </row>
    <row r="1214" spans="1:8">
      <c r="A1214" s="177">
        <v>961500633</v>
      </c>
      <c r="B1214" s="116" t="str">
        <f t="shared" si="18"/>
        <v>96-961500633</v>
      </c>
      <c r="C1214" s="179" t="s">
        <v>9761</v>
      </c>
      <c r="E1214" s="72"/>
      <c r="F1214" s="72"/>
      <c r="G1214" s="72"/>
      <c r="H1214" s="124"/>
    </row>
    <row r="1215" spans="1:8">
      <c r="A1215" s="177">
        <v>961500561</v>
      </c>
      <c r="B1215" s="116" t="str">
        <f t="shared" si="18"/>
        <v>96-961500561</v>
      </c>
      <c r="C1215" s="179" t="s">
        <v>5854</v>
      </c>
      <c r="E1215" s="72"/>
      <c r="F1215" s="72"/>
      <c r="G1215" s="72"/>
      <c r="H1215" s="124"/>
    </row>
    <row r="1216" spans="1:8">
      <c r="A1216" s="177">
        <v>961500837</v>
      </c>
      <c r="B1216" s="116" t="str">
        <f t="shared" si="18"/>
        <v>96-961500837</v>
      </c>
      <c r="C1216" s="179" t="s">
        <v>12428</v>
      </c>
      <c r="E1216" s="72"/>
      <c r="F1216" s="72"/>
      <c r="G1216" s="72"/>
      <c r="H1216" s="124"/>
    </row>
    <row r="1217" spans="1:8">
      <c r="A1217" s="177">
        <v>951500573</v>
      </c>
      <c r="B1217" s="116" t="str">
        <f t="shared" si="18"/>
        <v>95-951500573</v>
      </c>
      <c r="C1217" s="179" t="s">
        <v>5751</v>
      </c>
      <c r="E1217" s="72"/>
      <c r="F1217" s="72"/>
      <c r="G1217" s="72"/>
      <c r="H1217" s="124"/>
    </row>
    <row r="1218" spans="1:8">
      <c r="A1218" s="177">
        <v>951500584</v>
      </c>
      <c r="B1218" s="116" t="str">
        <f t="shared" si="18"/>
        <v>95-951500584</v>
      </c>
      <c r="C1218" s="179" t="s">
        <v>5748</v>
      </c>
      <c r="E1218" s="72"/>
      <c r="F1218" s="72"/>
      <c r="G1218" s="72"/>
      <c r="H1218" s="124"/>
    </row>
    <row r="1219" spans="1:8">
      <c r="A1219" s="177">
        <v>961500004</v>
      </c>
      <c r="B1219" s="116" t="str">
        <f t="shared" ref="B1219:B1282" si="19">MID(A1219,1,2)&amp;"-"&amp;A1219</f>
        <v>96-961500004</v>
      </c>
      <c r="C1219" s="179" t="s">
        <v>5748</v>
      </c>
      <c r="E1219" s="72"/>
      <c r="F1219" s="72"/>
      <c r="G1219" s="72"/>
      <c r="H1219" s="124"/>
    </row>
    <row r="1220" spans="1:8">
      <c r="A1220" s="177">
        <v>961500036</v>
      </c>
      <c r="B1220" s="116" t="str">
        <f t="shared" si="19"/>
        <v>96-961500036</v>
      </c>
      <c r="C1220" s="179" t="s">
        <v>5777</v>
      </c>
      <c r="E1220" s="72"/>
      <c r="F1220" s="72"/>
      <c r="G1220" s="72"/>
      <c r="H1220" s="124"/>
    </row>
    <row r="1221" spans="1:8">
      <c r="A1221" s="177">
        <v>961500143</v>
      </c>
      <c r="B1221" s="116" t="str">
        <f t="shared" si="19"/>
        <v>96-961500143</v>
      </c>
      <c r="C1221" s="179" t="s">
        <v>5807</v>
      </c>
      <c r="E1221" s="72"/>
      <c r="F1221" s="72"/>
      <c r="G1221" s="72"/>
      <c r="H1221" s="124"/>
    </row>
    <row r="1222" spans="1:8">
      <c r="A1222" s="177">
        <v>961500219</v>
      </c>
      <c r="B1222" s="116" t="str">
        <f t="shared" si="19"/>
        <v>96-961500219</v>
      </c>
      <c r="C1222" s="179" t="s">
        <v>5819</v>
      </c>
      <c r="E1222" s="72"/>
      <c r="F1222" s="72"/>
      <c r="G1222" s="72"/>
      <c r="H1222" s="124"/>
    </row>
    <row r="1223" spans="1:8">
      <c r="A1223" s="177">
        <v>961500277</v>
      </c>
      <c r="B1223" s="116" t="str">
        <f t="shared" si="19"/>
        <v>96-961500277</v>
      </c>
      <c r="C1223" s="179" t="s">
        <v>5820</v>
      </c>
      <c r="E1223" s="72"/>
      <c r="F1223" s="72"/>
      <c r="G1223" s="72"/>
      <c r="H1223" s="124"/>
    </row>
    <row r="1224" spans="1:8">
      <c r="A1224" s="177">
        <v>961500322</v>
      </c>
      <c r="B1224" s="116" t="str">
        <f t="shared" si="19"/>
        <v>96-961500322</v>
      </c>
      <c r="C1224" s="179" t="s">
        <v>5818</v>
      </c>
      <c r="E1224" s="72"/>
      <c r="F1224" s="72"/>
      <c r="G1224" s="72"/>
      <c r="H1224" s="124"/>
    </row>
    <row r="1225" spans="1:8">
      <c r="A1225" s="177">
        <v>961500342</v>
      </c>
      <c r="B1225" s="116" t="str">
        <f t="shared" si="19"/>
        <v>96-961500342</v>
      </c>
      <c r="C1225" s="179" t="s">
        <v>7237</v>
      </c>
      <c r="E1225" s="72"/>
      <c r="F1225" s="72"/>
      <c r="G1225" s="72"/>
      <c r="H1225" s="124"/>
    </row>
    <row r="1226" spans="1:8">
      <c r="A1226" s="177">
        <v>961500358</v>
      </c>
      <c r="B1226" s="116" t="str">
        <f t="shared" si="19"/>
        <v>96-961500358</v>
      </c>
      <c r="C1226" s="179" t="s">
        <v>5836</v>
      </c>
      <c r="E1226" s="72"/>
      <c r="F1226" s="72"/>
      <c r="G1226" s="72"/>
      <c r="H1226" s="124"/>
    </row>
    <row r="1227" spans="1:8">
      <c r="A1227" s="177">
        <v>961500421</v>
      </c>
      <c r="B1227" s="116" t="str">
        <f t="shared" si="19"/>
        <v>96-961500421</v>
      </c>
      <c r="C1227" s="179" t="s">
        <v>7237</v>
      </c>
      <c r="E1227" s="72"/>
      <c r="F1227" s="72"/>
      <c r="G1227" s="72"/>
      <c r="H1227" s="124"/>
    </row>
    <row r="1228" spans="1:8">
      <c r="A1228" s="177">
        <v>961500522</v>
      </c>
      <c r="B1228" s="116" t="str">
        <f t="shared" si="19"/>
        <v>96-961500522</v>
      </c>
      <c r="C1228" s="179" t="s">
        <v>5842</v>
      </c>
      <c r="E1228" s="72"/>
      <c r="F1228" s="72"/>
      <c r="G1228" s="72"/>
      <c r="H1228" s="124"/>
    </row>
    <row r="1229" spans="1:8">
      <c r="A1229" s="177">
        <v>961500570</v>
      </c>
      <c r="B1229" s="116" t="str">
        <f t="shared" si="19"/>
        <v>96-961500570</v>
      </c>
      <c r="C1229" s="179" t="s">
        <v>8722</v>
      </c>
      <c r="E1229" s="72"/>
      <c r="F1229" s="72"/>
      <c r="G1229" s="72"/>
      <c r="H1229" s="124"/>
    </row>
    <row r="1230" spans="1:8">
      <c r="A1230" s="177">
        <v>961500584</v>
      </c>
      <c r="B1230" s="116" t="str">
        <f t="shared" si="19"/>
        <v>96-961500584</v>
      </c>
      <c r="C1230" s="179" t="s">
        <v>9771</v>
      </c>
      <c r="E1230" s="72"/>
      <c r="F1230" s="72"/>
      <c r="G1230" s="72"/>
      <c r="H1230" s="124"/>
    </row>
    <row r="1231" spans="1:8">
      <c r="A1231" s="177">
        <v>961500645</v>
      </c>
      <c r="B1231" s="116" t="str">
        <f t="shared" si="19"/>
        <v>96-961500645</v>
      </c>
      <c r="C1231" s="179" t="s">
        <v>9771</v>
      </c>
      <c r="E1231" s="72"/>
      <c r="F1231" s="72"/>
      <c r="G1231" s="72"/>
      <c r="H1231" s="124"/>
    </row>
    <row r="1232" spans="1:8">
      <c r="A1232" s="177">
        <v>961500773</v>
      </c>
      <c r="B1232" s="116" t="str">
        <f t="shared" si="19"/>
        <v>96-961500773</v>
      </c>
      <c r="C1232" s="179" t="s">
        <v>12217</v>
      </c>
      <c r="E1232" s="72"/>
      <c r="F1232" s="72"/>
      <c r="G1232" s="72"/>
      <c r="H1232" s="124"/>
    </row>
    <row r="1233" spans="1:8">
      <c r="A1233" s="177">
        <v>961500779</v>
      </c>
      <c r="B1233" s="116" t="str">
        <f t="shared" si="19"/>
        <v>96-961500779</v>
      </c>
      <c r="C1233" s="179" t="s">
        <v>12217</v>
      </c>
      <c r="E1233" s="72"/>
      <c r="F1233" s="72"/>
      <c r="G1233" s="72"/>
      <c r="H1233" s="124"/>
    </row>
    <row r="1234" spans="1:8">
      <c r="A1234" s="177">
        <v>962000428</v>
      </c>
      <c r="B1234" s="116" t="str">
        <f t="shared" si="19"/>
        <v>96-962000428</v>
      </c>
      <c r="C1234" s="179" t="s">
        <v>12184</v>
      </c>
      <c r="E1234" s="72"/>
      <c r="F1234" s="72"/>
      <c r="G1234" s="72"/>
      <c r="H1234" s="124"/>
    </row>
    <row r="1235" spans="1:8">
      <c r="A1235" s="177">
        <v>951500549</v>
      </c>
      <c r="B1235" s="116" t="str">
        <f t="shared" si="19"/>
        <v>95-951500549</v>
      </c>
      <c r="C1235" s="179" t="s">
        <v>5732</v>
      </c>
      <c r="E1235" s="72"/>
      <c r="F1235" s="72"/>
      <c r="G1235" s="72"/>
      <c r="H1235" s="124"/>
    </row>
    <row r="1236" spans="1:8">
      <c r="A1236" s="177">
        <v>951500587</v>
      </c>
      <c r="B1236" s="116" t="str">
        <f t="shared" si="19"/>
        <v>95-951500587</v>
      </c>
      <c r="C1236" s="179" t="s">
        <v>5759</v>
      </c>
      <c r="E1236" s="72"/>
      <c r="F1236" s="72"/>
      <c r="G1236" s="72"/>
      <c r="H1236" s="124"/>
    </row>
    <row r="1237" spans="1:8">
      <c r="A1237" s="177">
        <v>961500050</v>
      </c>
      <c r="B1237" s="116" t="str">
        <f t="shared" si="19"/>
        <v>96-961500050</v>
      </c>
      <c r="C1237" s="179" t="s">
        <v>5767</v>
      </c>
      <c r="E1237" s="72"/>
      <c r="F1237" s="72"/>
      <c r="G1237" s="72"/>
      <c r="H1237" s="124"/>
    </row>
    <row r="1238" spans="1:8">
      <c r="A1238" s="177">
        <v>961500428</v>
      </c>
      <c r="B1238" s="116" t="str">
        <f t="shared" si="19"/>
        <v>96-961500428</v>
      </c>
      <c r="C1238" s="179" t="s">
        <v>7262</v>
      </c>
      <c r="E1238" s="72"/>
      <c r="F1238" s="72"/>
      <c r="G1238" s="72"/>
      <c r="H1238" s="124"/>
    </row>
    <row r="1239" spans="1:8">
      <c r="A1239" s="177">
        <v>961500524</v>
      </c>
      <c r="B1239" s="116" t="str">
        <f t="shared" si="19"/>
        <v>96-961500524</v>
      </c>
      <c r="C1239" s="179" t="s">
        <v>8727</v>
      </c>
      <c r="E1239" s="72"/>
      <c r="F1239" s="72"/>
      <c r="G1239" s="72"/>
      <c r="H1239" s="124"/>
    </row>
    <row r="1240" spans="1:8">
      <c r="A1240" s="177">
        <v>951200043</v>
      </c>
      <c r="B1240" s="116" t="str">
        <f t="shared" si="19"/>
        <v>95-951200043</v>
      </c>
      <c r="C1240" s="179" t="s">
        <v>7260</v>
      </c>
      <c r="E1240" s="72"/>
      <c r="F1240" s="72"/>
      <c r="G1240" s="72"/>
      <c r="H1240" s="124"/>
    </row>
    <row r="1241" spans="1:8">
      <c r="A1241" s="177">
        <v>951200052</v>
      </c>
      <c r="B1241" s="116" t="str">
        <f t="shared" si="19"/>
        <v>95-951200052</v>
      </c>
      <c r="C1241" s="179" t="s">
        <v>7251</v>
      </c>
      <c r="E1241" s="72"/>
      <c r="F1241" s="72"/>
      <c r="G1241" s="72"/>
      <c r="H1241" s="124"/>
    </row>
    <row r="1242" spans="1:8">
      <c r="A1242" s="177">
        <v>961200050</v>
      </c>
      <c r="B1242" s="116" t="str">
        <f t="shared" si="19"/>
        <v>96-961200050</v>
      </c>
      <c r="C1242" s="179" t="s">
        <v>7263</v>
      </c>
      <c r="E1242" s="72"/>
      <c r="F1242" s="72"/>
      <c r="G1242" s="72"/>
      <c r="H1242" s="124"/>
    </row>
    <row r="1243" spans="1:8">
      <c r="A1243" s="177">
        <v>951500519</v>
      </c>
      <c r="B1243" s="116" t="str">
        <f t="shared" si="19"/>
        <v>95-951500519</v>
      </c>
      <c r="C1243" s="179" t="s">
        <v>5725</v>
      </c>
      <c r="E1243" s="72"/>
      <c r="F1243" s="72"/>
      <c r="G1243" s="72"/>
      <c r="H1243" s="124"/>
    </row>
    <row r="1244" spans="1:8">
      <c r="A1244" s="177">
        <v>951500520</v>
      </c>
      <c r="B1244" s="116" t="str">
        <f t="shared" si="19"/>
        <v>95-951500520</v>
      </c>
      <c r="C1244" s="179" t="s">
        <v>5725</v>
      </c>
      <c r="E1244" s="72"/>
      <c r="F1244" s="72"/>
      <c r="G1244" s="72"/>
      <c r="H1244" s="124"/>
    </row>
    <row r="1245" spans="1:8">
      <c r="A1245" s="177">
        <v>961500064</v>
      </c>
      <c r="B1245" s="116" t="str">
        <f t="shared" si="19"/>
        <v>96-961500064</v>
      </c>
      <c r="C1245" s="179" t="s">
        <v>5788</v>
      </c>
      <c r="E1245" s="72"/>
      <c r="F1245" s="72"/>
      <c r="G1245" s="72"/>
      <c r="H1245" s="124"/>
    </row>
    <row r="1246" spans="1:8">
      <c r="A1246" s="177">
        <v>961500065</v>
      </c>
      <c r="B1246" s="116" t="str">
        <f t="shared" si="19"/>
        <v>96-961500065</v>
      </c>
      <c r="C1246" s="179" t="s">
        <v>5788</v>
      </c>
      <c r="E1246" s="72"/>
      <c r="F1246" s="72"/>
      <c r="G1246" s="72"/>
      <c r="H1246" s="124"/>
    </row>
    <row r="1247" spans="1:8">
      <c r="A1247" s="177">
        <v>951500510</v>
      </c>
      <c r="B1247" s="116" t="str">
        <f t="shared" si="19"/>
        <v>95-951500510</v>
      </c>
      <c r="C1247" s="179" t="s">
        <v>5715</v>
      </c>
      <c r="E1247" s="72"/>
      <c r="F1247" s="72"/>
      <c r="G1247" s="72"/>
      <c r="H1247" s="124"/>
    </row>
    <row r="1248" spans="1:8">
      <c r="A1248" s="177">
        <v>951500524</v>
      </c>
      <c r="B1248" s="116" t="str">
        <f t="shared" si="19"/>
        <v>95-951500524</v>
      </c>
      <c r="C1248" s="179" t="s">
        <v>5715</v>
      </c>
      <c r="E1248" s="72"/>
      <c r="F1248" s="72"/>
      <c r="G1248" s="72"/>
      <c r="H1248" s="124"/>
    </row>
    <row r="1249" spans="1:8">
      <c r="A1249" s="177">
        <v>961500045</v>
      </c>
      <c r="B1249" s="116" t="str">
        <f t="shared" si="19"/>
        <v>96-961500045</v>
      </c>
      <c r="C1249" s="179" t="s">
        <v>5776</v>
      </c>
      <c r="E1249" s="72"/>
      <c r="F1249" s="72"/>
      <c r="G1249" s="72"/>
      <c r="H1249" s="124"/>
    </row>
    <row r="1250" spans="1:8">
      <c r="A1250" s="177">
        <v>961200130</v>
      </c>
      <c r="B1250" s="116" t="str">
        <f t="shared" si="19"/>
        <v>96-961200130</v>
      </c>
      <c r="C1250" s="179" t="s">
        <v>9778</v>
      </c>
      <c r="E1250" s="72"/>
      <c r="F1250" s="72"/>
      <c r="G1250" s="72"/>
      <c r="H1250" s="124"/>
    </row>
    <row r="1251" spans="1:8">
      <c r="A1251" s="177">
        <v>956200159</v>
      </c>
      <c r="B1251" s="116" t="str">
        <f t="shared" si="19"/>
        <v>95-956200159</v>
      </c>
      <c r="C1251" s="179" t="s">
        <v>7268</v>
      </c>
      <c r="E1251" s="72"/>
      <c r="F1251" s="72"/>
      <c r="G1251" s="72"/>
      <c r="H1251" s="124"/>
    </row>
    <row r="1252" spans="1:8">
      <c r="A1252" s="177">
        <v>952000119</v>
      </c>
      <c r="B1252" s="116" t="str">
        <f t="shared" si="19"/>
        <v>95-952000119</v>
      </c>
      <c r="C1252" s="179" t="s">
        <v>7274</v>
      </c>
    </row>
    <row r="1253" spans="1:8">
      <c r="A1253" s="177">
        <v>961100073</v>
      </c>
      <c r="B1253" s="116" t="str">
        <f t="shared" si="19"/>
        <v>96-961100073</v>
      </c>
      <c r="C1253" s="179" t="s">
        <v>7115</v>
      </c>
    </row>
    <row r="1254" spans="1:8">
      <c r="A1254" s="177">
        <v>961200139</v>
      </c>
      <c r="B1254" s="116" t="str">
        <f t="shared" si="19"/>
        <v>96-961200139</v>
      </c>
      <c r="C1254" s="179" t="s">
        <v>9778</v>
      </c>
    </row>
    <row r="1255" spans="1:8">
      <c r="A1255" s="177">
        <v>961200148</v>
      </c>
      <c r="B1255" s="116" t="str">
        <f t="shared" si="19"/>
        <v>96-961200148</v>
      </c>
      <c r="C1255" s="179" t="s">
        <v>9778</v>
      </c>
    </row>
    <row r="1256" spans="1:8">
      <c r="A1256" s="177">
        <v>961500399</v>
      </c>
      <c r="B1256" s="116" t="str">
        <f t="shared" si="19"/>
        <v>96-961500399</v>
      </c>
      <c r="C1256" s="179" t="s">
        <v>7265</v>
      </c>
    </row>
    <row r="1257" spans="1:8">
      <c r="A1257" s="177">
        <v>961500559</v>
      </c>
      <c r="B1257" s="116" t="str">
        <f t="shared" si="19"/>
        <v>96-961500559</v>
      </c>
      <c r="C1257" s="179" t="s">
        <v>5854</v>
      </c>
    </row>
    <row r="1258" spans="1:8">
      <c r="A1258" s="177">
        <v>961500585</v>
      </c>
      <c r="B1258" s="116" t="str">
        <f t="shared" si="19"/>
        <v>96-961500585</v>
      </c>
      <c r="C1258" s="179" t="s">
        <v>7253</v>
      </c>
    </row>
    <row r="1259" spans="1:8">
      <c r="A1259" s="177">
        <v>952000238</v>
      </c>
      <c r="B1259" s="116" t="str">
        <f t="shared" si="19"/>
        <v>95-952000238</v>
      </c>
      <c r="C1259" s="179" t="s">
        <v>7248</v>
      </c>
    </row>
    <row r="1260" spans="1:8">
      <c r="A1260" s="177">
        <v>962000033</v>
      </c>
      <c r="B1260" s="116" t="str">
        <f t="shared" si="19"/>
        <v>96-962000033</v>
      </c>
      <c r="C1260" s="179" t="s">
        <v>7112</v>
      </c>
    </row>
    <row r="1261" spans="1:8">
      <c r="A1261" s="177">
        <v>951100015</v>
      </c>
      <c r="B1261" s="116" t="str">
        <f t="shared" si="19"/>
        <v>95-951100015</v>
      </c>
      <c r="C1261" s="179" t="s">
        <v>7281</v>
      </c>
    </row>
    <row r="1262" spans="1:8">
      <c r="A1262" s="177">
        <v>951100016</v>
      </c>
      <c r="B1262" s="116" t="str">
        <f t="shared" si="19"/>
        <v>95-951100016</v>
      </c>
      <c r="C1262" s="179" t="s">
        <v>7282</v>
      </c>
    </row>
    <row r="1263" spans="1:8">
      <c r="A1263" s="177">
        <v>952000057</v>
      </c>
      <c r="B1263" s="116" t="str">
        <f t="shared" si="19"/>
        <v>95-952000057</v>
      </c>
      <c r="C1263" s="179" t="s">
        <v>7278</v>
      </c>
    </row>
    <row r="1264" spans="1:8">
      <c r="A1264" s="177">
        <v>961200101</v>
      </c>
      <c r="B1264" s="116" t="str">
        <f t="shared" si="19"/>
        <v>96-961200101</v>
      </c>
      <c r="C1264" s="179" t="s">
        <v>9777</v>
      </c>
    </row>
    <row r="1265" spans="1:3">
      <c r="A1265" s="177">
        <v>951100047</v>
      </c>
      <c r="B1265" s="116" t="str">
        <f t="shared" si="19"/>
        <v>95-951100047</v>
      </c>
      <c r="C1265" s="179" t="s">
        <v>7283</v>
      </c>
    </row>
    <row r="1266" spans="1:3">
      <c r="A1266" s="177">
        <v>962000223</v>
      </c>
      <c r="B1266" s="116" t="str">
        <f t="shared" si="19"/>
        <v>96-962000223</v>
      </c>
      <c r="C1266" s="179" t="s">
        <v>7112</v>
      </c>
    </row>
    <row r="1267" spans="1:3">
      <c r="A1267" s="177">
        <v>951200010</v>
      </c>
      <c r="B1267" s="116" t="str">
        <f t="shared" si="19"/>
        <v>95-951200010</v>
      </c>
      <c r="C1267" s="179" t="s">
        <v>7172</v>
      </c>
    </row>
    <row r="1268" spans="1:3">
      <c r="A1268" s="177">
        <v>951200016</v>
      </c>
      <c r="B1268" s="116" t="str">
        <f t="shared" si="19"/>
        <v>95-951200016</v>
      </c>
      <c r="C1268" s="179" t="s">
        <v>7172</v>
      </c>
    </row>
    <row r="1269" spans="1:3">
      <c r="A1269" s="177">
        <v>951200021</v>
      </c>
      <c r="B1269" s="116" t="str">
        <f t="shared" si="19"/>
        <v>95-951200021</v>
      </c>
      <c r="C1269" s="179" t="s">
        <v>7172</v>
      </c>
    </row>
    <row r="1270" spans="1:3">
      <c r="A1270" s="177">
        <v>961200019</v>
      </c>
      <c r="B1270" s="116" t="str">
        <f t="shared" si="19"/>
        <v>96-961200019</v>
      </c>
      <c r="C1270" s="179" t="s">
        <v>7228</v>
      </c>
    </row>
    <row r="1271" spans="1:3">
      <c r="A1271" s="177">
        <v>961200073</v>
      </c>
      <c r="B1271" s="116" t="str">
        <f t="shared" si="19"/>
        <v>96-961200073</v>
      </c>
      <c r="C1271" s="179" t="s">
        <v>8721</v>
      </c>
    </row>
    <row r="1272" spans="1:3">
      <c r="A1272" s="177">
        <v>961200087</v>
      </c>
      <c r="B1272" s="116" t="str">
        <f t="shared" si="19"/>
        <v>96-961200087</v>
      </c>
      <c r="C1272" s="179" t="s">
        <v>7173</v>
      </c>
    </row>
    <row r="1273" spans="1:3">
      <c r="A1273" s="177">
        <v>961200103</v>
      </c>
      <c r="B1273" s="116" t="str">
        <f t="shared" si="19"/>
        <v>96-961200103</v>
      </c>
      <c r="C1273" s="179" t="s">
        <v>7230</v>
      </c>
    </row>
    <row r="1274" spans="1:3">
      <c r="A1274" s="177">
        <v>961200117</v>
      </c>
      <c r="B1274" s="116" t="str">
        <f t="shared" si="19"/>
        <v>96-961200117</v>
      </c>
      <c r="C1274" s="179" t="s">
        <v>9765</v>
      </c>
    </row>
    <row r="1275" spans="1:3">
      <c r="A1275" s="177">
        <v>961200128</v>
      </c>
      <c r="B1275" s="116" t="str">
        <f t="shared" si="19"/>
        <v>96-961200128</v>
      </c>
      <c r="C1275" s="179" t="s">
        <v>9765</v>
      </c>
    </row>
    <row r="1276" spans="1:3">
      <c r="A1276" s="177">
        <v>961200171</v>
      </c>
      <c r="B1276" s="116" t="str">
        <f t="shared" si="19"/>
        <v>96-961200171</v>
      </c>
      <c r="C1276" s="179" t="s">
        <v>12421</v>
      </c>
    </row>
    <row r="1277" spans="1:3">
      <c r="A1277" s="177">
        <v>962000127</v>
      </c>
      <c r="B1277" s="116" t="str">
        <f t="shared" si="19"/>
        <v>96-962000127</v>
      </c>
      <c r="C1277" s="179" t="s">
        <v>7112</v>
      </c>
    </row>
    <row r="1278" spans="1:3">
      <c r="A1278" s="177">
        <v>956200285</v>
      </c>
      <c r="B1278" s="116" t="str">
        <f t="shared" si="19"/>
        <v>95-956200285</v>
      </c>
      <c r="C1278" s="179" t="s">
        <v>7284</v>
      </c>
    </row>
    <row r="1279" spans="1:3">
      <c r="A1279" s="177">
        <v>962000161</v>
      </c>
      <c r="B1279" s="116" t="str">
        <f t="shared" si="19"/>
        <v>96-962000161</v>
      </c>
      <c r="C1279" s="179" t="s">
        <v>7112</v>
      </c>
    </row>
    <row r="1280" spans="1:3">
      <c r="A1280" s="177">
        <v>966200299</v>
      </c>
      <c r="B1280" s="116" t="str">
        <f t="shared" si="19"/>
        <v>96-966200299</v>
      </c>
      <c r="C1280" s="179" t="s">
        <v>7119</v>
      </c>
    </row>
    <row r="1281" spans="1:3">
      <c r="A1281" s="177">
        <v>962000238</v>
      </c>
      <c r="B1281" s="116" t="str">
        <f t="shared" si="19"/>
        <v>96-962000238</v>
      </c>
      <c r="C1281" s="179" t="s">
        <v>7112</v>
      </c>
    </row>
    <row r="1282" spans="1:3">
      <c r="A1282" s="177">
        <v>956200324</v>
      </c>
      <c r="B1282" s="116" t="str">
        <f t="shared" si="19"/>
        <v>95-956200324</v>
      </c>
      <c r="C1282" s="179" t="s">
        <v>7289</v>
      </c>
    </row>
    <row r="1283" spans="1:3">
      <c r="A1283" s="177">
        <v>962000159</v>
      </c>
      <c r="B1283" s="116" t="str">
        <f t="shared" ref="B1283:B1346" si="20">MID(A1283,1,2)&amp;"-"&amp;A1283</f>
        <v>96-962000159</v>
      </c>
      <c r="C1283" s="179" t="s">
        <v>7112</v>
      </c>
    </row>
    <row r="1284" spans="1:3">
      <c r="A1284" s="177">
        <v>966300048</v>
      </c>
      <c r="B1284" s="116" t="str">
        <f t="shared" si="20"/>
        <v>96-966300048</v>
      </c>
      <c r="C1284" s="179" t="s">
        <v>12223</v>
      </c>
    </row>
    <row r="1285" spans="1:3">
      <c r="A1285" s="177">
        <v>951100083</v>
      </c>
      <c r="B1285" s="116" t="str">
        <f t="shared" si="20"/>
        <v>95-951100083</v>
      </c>
      <c r="C1285" s="179" t="s">
        <v>7291</v>
      </c>
    </row>
    <row r="1286" spans="1:3">
      <c r="A1286" s="177">
        <v>962000182</v>
      </c>
      <c r="B1286" s="116" t="str">
        <f t="shared" si="20"/>
        <v>96-962000182</v>
      </c>
      <c r="C1286" s="179" t="s">
        <v>7112</v>
      </c>
    </row>
    <row r="1287" spans="1:3">
      <c r="A1287" s="177">
        <v>956300008</v>
      </c>
      <c r="B1287" s="116" t="str">
        <f t="shared" si="20"/>
        <v>95-956300008</v>
      </c>
      <c r="C1287" s="179" t="s">
        <v>7287</v>
      </c>
    </row>
    <row r="1288" spans="1:3">
      <c r="A1288" s="177">
        <v>966200039</v>
      </c>
      <c r="B1288" s="116" t="str">
        <f t="shared" si="20"/>
        <v>96-966200039</v>
      </c>
      <c r="C1288" s="179" t="s">
        <v>7288</v>
      </c>
    </row>
    <row r="1289" spans="1:3">
      <c r="A1289" s="177">
        <v>951100122</v>
      </c>
      <c r="B1289" s="116" t="str">
        <f t="shared" si="20"/>
        <v>95-951100122</v>
      </c>
      <c r="C1289" s="179" t="s">
        <v>7295</v>
      </c>
    </row>
    <row r="1290" spans="1:3">
      <c r="A1290" s="177">
        <v>951100155</v>
      </c>
      <c r="B1290" s="116" t="str">
        <f t="shared" si="20"/>
        <v>95-951100155</v>
      </c>
      <c r="C1290" s="179" t="s">
        <v>7285</v>
      </c>
    </row>
    <row r="1291" spans="1:3">
      <c r="A1291" s="177">
        <v>961100031</v>
      </c>
      <c r="B1291" s="116" t="str">
        <f t="shared" si="20"/>
        <v>96-961100031</v>
      </c>
      <c r="C1291" s="179" t="s">
        <v>7286</v>
      </c>
    </row>
    <row r="1292" spans="1:3">
      <c r="A1292" s="177">
        <v>962000189</v>
      </c>
      <c r="B1292" s="116" t="str">
        <f t="shared" si="20"/>
        <v>96-962000189</v>
      </c>
      <c r="C1292" s="179" t="s">
        <v>7112</v>
      </c>
    </row>
    <row r="1293" spans="1:3">
      <c r="A1293" s="177">
        <v>962000146</v>
      </c>
      <c r="B1293" s="116" t="str">
        <f t="shared" si="20"/>
        <v>96-962000146</v>
      </c>
      <c r="C1293" s="179" t="s">
        <v>7112</v>
      </c>
    </row>
    <row r="1294" spans="1:3">
      <c r="A1294" s="177">
        <v>961100084</v>
      </c>
      <c r="B1294" s="116" t="str">
        <f t="shared" si="20"/>
        <v>96-961100084</v>
      </c>
      <c r="C1294" s="179" t="s">
        <v>12229</v>
      </c>
    </row>
    <row r="1295" spans="1:3">
      <c r="A1295" s="177">
        <v>951100190</v>
      </c>
      <c r="B1295" s="116" t="str">
        <f t="shared" si="20"/>
        <v>95-951100190</v>
      </c>
      <c r="C1295" s="179" t="s">
        <v>7328</v>
      </c>
    </row>
    <row r="1296" spans="1:3">
      <c r="A1296" s="177">
        <v>966200105</v>
      </c>
      <c r="B1296" s="116" t="str">
        <f t="shared" si="20"/>
        <v>96-966200105</v>
      </c>
      <c r="C1296" s="179" t="s">
        <v>7296</v>
      </c>
    </row>
    <row r="1297" spans="1:3">
      <c r="A1297" s="177">
        <v>951500305</v>
      </c>
      <c r="B1297" s="116" t="str">
        <f t="shared" si="20"/>
        <v>95-951500305</v>
      </c>
      <c r="C1297" s="179" t="s">
        <v>5661</v>
      </c>
    </row>
    <row r="1298" spans="1:3">
      <c r="A1298" s="177">
        <v>951500315</v>
      </c>
      <c r="B1298" s="116" t="str">
        <f t="shared" si="20"/>
        <v>95-951500315</v>
      </c>
      <c r="C1298" s="179" t="s">
        <v>5661</v>
      </c>
    </row>
    <row r="1299" spans="1:3">
      <c r="A1299" s="177">
        <v>951500317</v>
      </c>
      <c r="B1299" s="116" t="str">
        <f t="shared" si="20"/>
        <v>95-951500317</v>
      </c>
      <c r="C1299" s="179" t="s">
        <v>5661</v>
      </c>
    </row>
    <row r="1300" spans="1:3">
      <c r="A1300" s="177">
        <v>951500318</v>
      </c>
      <c r="B1300" s="116" t="str">
        <f t="shared" si="20"/>
        <v>95-951500318</v>
      </c>
      <c r="C1300" s="179" t="s">
        <v>5661</v>
      </c>
    </row>
    <row r="1301" spans="1:3">
      <c r="A1301" s="177">
        <v>961500005</v>
      </c>
      <c r="B1301" s="116" t="str">
        <f t="shared" si="20"/>
        <v>96-961500005</v>
      </c>
      <c r="C1301" s="179" t="s">
        <v>5753</v>
      </c>
    </row>
    <row r="1302" spans="1:3">
      <c r="A1302" s="177">
        <v>951500033</v>
      </c>
      <c r="B1302" s="116" t="str">
        <f t="shared" si="20"/>
        <v>95-951500033</v>
      </c>
      <c r="C1302" s="179" t="s">
        <v>5605</v>
      </c>
    </row>
    <row r="1303" spans="1:3">
      <c r="A1303" s="177">
        <v>951500040</v>
      </c>
      <c r="B1303" s="116" t="str">
        <f t="shared" si="20"/>
        <v>95-951500040</v>
      </c>
      <c r="C1303" s="179" t="s">
        <v>5613</v>
      </c>
    </row>
    <row r="1304" spans="1:3">
      <c r="A1304" s="177">
        <v>951500109</v>
      </c>
      <c r="B1304" s="116" t="str">
        <f t="shared" si="20"/>
        <v>95-951500109</v>
      </c>
      <c r="C1304" s="179" t="s">
        <v>5613</v>
      </c>
    </row>
    <row r="1305" spans="1:3">
      <c r="A1305" s="177">
        <v>951500259</v>
      </c>
      <c r="B1305" s="116" t="str">
        <f t="shared" si="20"/>
        <v>95-951500259</v>
      </c>
      <c r="C1305" s="179" t="s">
        <v>5649</v>
      </c>
    </row>
    <row r="1306" spans="1:3">
      <c r="A1306" s="177">
        <v>951500377</v>
      </c>
      <c r="B1306" s="116" t="str">
        <f t="shared" si="20"/>
        <v>95-951500377</v>
      </c>
      <c r="C1306" s="179" t="s">
        <v>5643</v>
      </c>
    </row>
    <row r="1307" spans="1:3">
      <c r="A1307" s="177">
        <v>951500556</v>
      </c>
      <c r="B1307" s="116" t="str">
        <f t="shared" si="20"/>
        <v>95-951500556</v>
      </c>
      <c r="C1307" s="179" t="s">
        <v>5740</v>
      </c>
    </row>
    <row r="1308" spans="1:3">
      <c r="A1308" s="177">
        <v>951500032</v>
      </c>
      <c r="B1308" s="116" t="str">
        <f t="shared" si="20"/>
        <v>95-951500032</v>
      </c>
      <c r="C1308" s="179" t="s">
        <v>5612</v>
      </c>
    </row>
    <row r="1309" spans="1:3">
      <c r="A1309" s="177">
        <v>951500053</v>
      </c>
      <c r="B1309" s="116" t="str">
        <f t="shared" si="20"/>
        <v>95-951500053</v>
      </c>
      <c r="C1309" s="179" t="s">
        <v>5612</v>
      </c>
    </row>
    <row r="1310" spans="1:3">
      <c r="A1310" s="177">
        <v>951500129</v>
      </c>
      <c r="B1310" s="116" t="str">
        <f t="shared" si="20"/>
        <v>95-951500129</v>
      </c>
      <c r="C1310" s="179" t="s">
        <v>5612</v>
      </c>
    </row>
    <row r="1311" spans="1:3">
      <c r="A1311" s="177">
        <v>951500145</v>
      </c>
      <c r="B1311" s="116" t="str">
        <f t="shared" si="20"/>
        <v>95-951500145</v>
      </c>
      <c r="C1311" s="179" t="s">
        <v>5619</v>
      </c>
    </row>
    <row r="1312" spans="1:3">
      <c r="A1312" s="177">
        <v>951500147</v>
      </c>
      <c r="B1312" s="116" t="str">
        <f t="shared" si="20"/>
        <v>95-951500147</v>
      </c>
      <c r="C1312" s="179" t="s">
        <v>5619</v>
      </c>
    </row>
    <row r="1313" spans="1:3">
      <c r="A1313" s="177">
        <v>951500214</v>
      </c>
      <c r="B1313" s="116" t="str">
        <f t="shared" si="20"/>
        <v>95-951500214</v>
      </c>
      <c r="C1313" s="179" t="s">
        <v>5630</v>
      </c>
    </row>
    <row r="1314" spans="1:3">
      <c r="A1314" s="177">
        <v>951500220</v>
      </c>
      <c r="B1314" s="116" t="str">
        <f t="shared" si="20"/>
        <v>95-951500220</v>
      </c>
      <c r="C1314" s="179" t="s">
        <v>5635</v>
      </c>
    </row>
    <row r="1315" spans="1:3">
      <c r="A1315" s="177">
        <v>951500245</v>
      </c>
      <c r="B1315" s="116" t="str">
        <f t="shared" si="20"/>
        <v>95-951500245</v>
      </c>
      <c r="C1315" s="179" t="s">
        <v>5635</v>
      </c>
    </row>
    <row r="1316" spans="1:3">
      <c r="A1316" s="177">
        <v>962000219</v>
      </c>
      <c r="B1316" s="116" t="str">
        <f t="shared" si="20"/>
        <v>96-962000219</v>
      </c>
      <c r="C1316" s="179" t="s">
        <v>7112</v>
      </c>
    </row>
    <row r="1317" spans="1:3">
      <c r="A1317" s="177">
        <v>951500253</v>
      </c>
      <c r="B1317" s="116" t="str">
        <f t="shared" si="20"/>
        <v>95-951500253</v>
      </c>
      <c r="C1317" s="179" t="s">
        <v>5635</v>
      </c>
    </row>
    <row r="1318" spans="1:3">
      <c r="A1318" s="177">
        <v>951500293</v>
      </c>
      <c r="B1318" s="116" t="str">
        <f t="shared" si="20"/>
        <v>95-951500293</v>
      </c>
      <c r="C1318" s="179" t="s">
        <v>5659</v>
      </c>
    </row>
    <row r="1319" spans="1:3">
      <c r="A1319" s="177">
        <v>951500298</v>
      </c>
      <c r="B1319" s="116" t="str">
        <f t="shared" si="20"/>
        <v>95-951500298</v>
      </c>
      <c r="C1319" s="179" t="s">
        <v>5659</v>
      </c>
    </row>
    <row r="1320" spans="1:3">
      <c r="A1320" s="177">
        <v>951500319</v>
      </c>
      <c r="B1320" s="116" t="str">
        <f t="shared" si="20"/>
        <v>95-951500319</v>
      </c>
      <c r="C1320" s="179" t="s">
        <v>5659</v>
      </c>
    </row>
    <row r="1321" spans="1:3">
      <c r="A1321" s="177">
        <v>951500331</v>
      </c>
      <c r="B1321" s="116" t="str">
        <f t="shared" si="20"/>
        <v>95-951500331</v>
      </c>
      <c r="C1321" s="179" t="s">
        <v>5659</v>
      </c>
    </row>
    <row r="1322" spans="1:3">
      <c r="A1322" s="177">
        <v>951500341</v>
      </c>
      <c r="B1322" s="116" t="str">
        <f t="shared" si="20"/>
        <v>95-951500341</v>
      </c>
      <c r="C1322" s="179" t="s">
        <v>5659</v>
      </c>
    </row>
    <row r="1323" spans="1:3">
      <c r="A1323" s="177">
        <v>951500367</v>
      </c>
      <c r="B1323" s="116" t="str">
        <f t="shared" si="20"/>
        <v>95-951500367</v>
      </c>
      <c r="C1323" s="179" t="s">
        <v>5659</v>
      </c>
    </row>
    <row r="1324" spans="1:3">
      <c r="A1324" s="177">
        <v>951500372</v>
      </c>
      <c r="B1324" s="116" t="str">
        <f t="shared" si="20"/>
        <v>95-951500372</v>
      </c>
      <c r="C1324" s="179" t="s">
        <v>5675</v>
      </c>
    </row>
    <row r="1325" spans="1:3">
      <c r="A1325" s="177">
        <v>951500382</v>
      </c>
      <c r="B1325" s="116" t="str">
        <f t="shared" si="20"/>
        <v>95-951500382</v>
      </c>
      <c r="C1325" s="179" t="s">
        <v>5680</v>
      </c>
    </row>
    <row r="1326" spans="1:3">
      <c r="A1326" s="177">
        <v>951500399</v>
      </c>
      <c r="B1326" s="116" t="str">
        <f t="shared" si="20"/>
        <v>95-951500399</v>
      </c>
      <c r="C1326" s="179" t="s">
        <v>5680</v>
      </c>
    </row>
    <row r="1327" spans="1:3">
      <c r="A1327" s="177">
        <v>951500417</v>
      </c>
      <c r="B1327" s="116" t="str">
        <f t="shared" si="20"/>
        <v>95-951500417</v>
      </c>
      <c r="C1327" s="179" t="s">
        <v>5680</v>
      </c>
    </row>
    <row r="1328" spans="1:3">
      <c r="A1328" s="177">
        <v>951500425</v>
      </c>
      <c r="B1328" s="116" t="str">
        <f t="shared" si="20"/>
        <v>95-951500425</v>
      </c>
      <c r="C1328" s="179" t="s">
        <v>5694</v>
      </c>
    </row>
    <row r="1329" spans="1:3">
      <c r="A1329" s="177">
        <v>951500428</v>
      </c>
      <c r="B1329" s="116" t="str">
        <f t="shared" si="20"/>
        <v>95-951500428</v>
      </c>
      <c r="C1329" s="179" t="s">
        <v>5694</v>
      </c>
    </row>
    <row r="1330" spans="1:3">
      <c r="A1330" s="177">
        <v>951500477</v>
      </c>
      <c r="B1330" s="116" t="str">
        <f t="shared" si="20"/>
        <v>95-951500477</v>
      </c>
      <c r="C1330" s="179" t="s">
        <v>5708</v>
      </c>
    </row>
    <row r="1331" spans="1:3">
      <c r="A1331" s="177">
        <v>951500484</v>
      </c>
      <c r="B1331" s="116" t="str">
        <f t="shared" si="20"/>
        <v>95-951500484</v>
      </c>
      <c r="C1331" s="179" t="s">
        <v>5708</v>
      </c>
    </row>
    <row r="1332" spans="1:3">
      <c r="A1332" s="177">
        <v>951500491</v>
      </c>
      <c r="B1332" s="116" t="str">
        <f t="shared" si="20"/>
        <v>95-951500491</v>
      </c>
      <c r="C1332" s="179" t="s">
        <v>5708</v>
      </c>
    </row>
    <row r="1333" spans="1:3">
      <c r="A1333" s="177">
        <v>951500492</v>
      </c>
      <c r="B1333" s="116" t="str">
        <f t="shared" si="20"/>
        <v>95-951500492</v>
      </c>
      <c r="C1333" s="179" t="s">
        <v>5708</v>
      </c>
    </row>
    <row r="1334" spans="1:3">
      <c r="A1334" s="177">
        <v>951500522</v>
      </c>
      <c r="B1334" s="116" t="str">
        <f t="shared" si="20"/>
        <v>95-951500522</v>
      </c>
      <c r="C1334" s="179" t="s">
        <v>5708</v>
      </c>
    </row>
    <row r="1335" spans="1:3">
      <c r="A1335" s="177">
        <v>951500544</v>
      </c>
      <c r="B1335" s="116" t="str">
        <f t="shared" si="20"/>
        <v>95-951500544</v>
      </c>
      <c r="C1335" s="179" t="s">
        <v>5726</v>
      </c>
    </row>
    <row r="1336" spans="1:3">
      <c r="A1336" s="177">
        <v>951500552</v>
      </c>
      <c r="B1336" s="116" t="str">
        <f t="shared" si="20"/>
        <v>95-951500552</v>
      </c>
      <c r="C1336" s="179" t="s">
        <v>5726</v>
      </c>
    </row>
    <row r="1337" spans="1:3">
      <c r="A1337" s="177">
        <v>951500583</v>
      </c>
      <c r="B1337" s="116" t="str">
        <f t="shared" si="20"/>
        <v>95-951500583</v>
      </c>
      <c r="C1337" s="179" t="s">
        <v>5752</v>
      </c>
    </row>
    <row r="1338" spans="1:3">
      <c r="A1338" s="177">
        <v>951500599</v>
      </c>
      <c r="B1338" s="116" t="str">
        <f t="shared" si="20"/>
        <v>95-951500599</v>
      </c>
      <c r="C1338" s="179" t="s">
        <v>5752</v>
      </c>
    </row>
    <row r="1339" spans="1:3">
      <c r="A1339" s="177">
        <v>951500607</v>
      </c>
      <c r="B1339" s="116" t="str">
        <f t="shared" si="20"/>
        <v>95-951500607</v>
      </c>
      <c r="C1339" s="179" t="s">
        <v>5752</v>
      </c>
    </row>
    <row r="1340" spans="1:3">
      <c r="A1340" s="177">
        <v>951500609</v>
      </c>
      <c r="B1340" s="116" t="str">
        <f t="shared" si="20"/>
        <v>95-951500609</v>
      </c>
      <c r="C1340" s="179" t="s">
        <v>5752</v>
      </c>
    </row>
    <row r="1341" spans="1:3">
      <c r="A1341" s="177">
        <v>961500018</v>
      </c>
      <c r="B1341" s="116" t="str">
        <f t="shared" si="20"/>
        <v>96-961500018</v>
      </c>
      <c r="C1341" s="179" t="s">
        <v>5758</v>
      </c>
    </row>
    <row r="1342" spans="1:3">
      <c r="A1342" s="177">
        <v>961500021</v>
      </c>
      <c r="B1342" s="116" t="str">
        <f t="shared" si="20"/>
        <v>96-961500021</v>
      </c>
      <c r="C1342" s="179" t="s">
        <v>5758</v>
      </c>
    </row>
    <row r="1343" spans="1:3">
      <c r="A1343" s="177">
        <v>961500032</v>
      </c>
      <c r="B1343" s="116" t="str">
        <f t="shared" si="20"/>
        <v>96-961500032</v>
      </c>
      <c r="C1343" s="179" t="s">
        <v>5758</v>
      </c>
    </row>
    <row r="1344" spans="1:3">
      <c r="A1344" s="177">
        <v>961500058</v>
      </c>
      <c r="B1344" s="116" t="str">
        <f t="shared" si="20"/>
        <v>96-961500058</v>
      </c>
      <c r="C1344" s="179" t="s">
        <v>5758</v>
      </c>
    </row>
    <row r="1345" spans="1:3">
      <c r="A1345" s="177">
        <v>961500077</v>
      </c>
      <c r="B1345" s="116" t="str">
        <f t="shared" si="20"/>
        <v>96-961500077</v>
      </c>
      <c r="C1345" s="179" t="s">
        <v>5762</v>
      </c>
    </row>
    <row r="1346" spans="1:3">
      <c r="A1346" s="177">
        <v>961500133</v>
      </c>
      <c r="B1346" s="116" t="str">
        <f t="shared" si="20"/>
        <v>96-961500133</v>
      </c>
      <c r="C1346" s="179" t="s">
        <v>5799</v>
      </c>
    </row>
    <row r="1347" spans="1:3">
      <c r="A1347" s="177">
        <v>961500170</v>
      </c>
      <c r="B1347" s="116" t="str">
        <f t="shared" ref="B1347:B1410" si="21">MID(A1347,1,2)&amp;"-"&amp;A1347</f>
        <v>96-961500170</v>
      </c>
      <c r="C1347" s="179" t="s">
        <v>5810</v>
      </c>
    </row>
    <row r="1348" spans="1:3">
      <c r="A1348" s="177">
        <v>961500176</v>
      </c>
      <c r="B1348" s="116" t="str">
        <f t="shared" si="21"/>
        <v>96-961500176</v>
      </c>
      <c r="C1348" s="179" t="s">
        <v>5810</v>
      </c>
    </row>
    <row r="1349" spans="1:3">
      <c r="A1349" s="177">
        <v>961500187</v>
      </c>
      <c r="B1349" s="116" t="str">
        <f t="shared" si="21"/>
        <v>96-961500187</v>
      </c>
      <c r="C1349" s="179" t="s">
        <v>5813</v>
      </c>
    </row>
    <row r="1350" spans="1:3">
      <c r="A1350" s="177">
        <v>956300004</v>
      </c>
      <c r="B1350" s="116" t="str">
        <f t="shared" si="21"/>
        <v>95-956300004</v>
      </c>
      <c r="C1350" s="179" t="s">
        <v>7290</v>
      </c>
    </row>
    <row r="1351" spans="1:3">
      <c r="A1351" s="177">
        <v>961500223</v>
      </c>
      <c r="B1351" s="116" t="str">
        <f t="shared" si="21"/>
        <v>96-961500223</v>
      </c>
      <c r="C1351" s="179" t="s">
        <v>5813</v>
      </c>
    </row>
    <row r="1352" spans="1:3">
      <c r="A1352" s="177">
        <v>961500224</v>
      </c>
      <c r="B1352" s="116" t="str">
        <f t="shared" si="21"/>
        <v>96-961500224</v>
      </c>
      <c r="C1352" s="179" t="s">
        <v>5813</v>
      </c>
    </row>
    <row r="1353" spans="1:3">
      <c r="A1353" s="177">
        <v>961500229</v>
      </c>
      <c r="B1353" s="116" t="str">
        <f t="shared" si="21"/>
        <v>96-961500229</v>
      </c>
      <c r="C1353" s="179" t="s">
        <v>5813</v>
      </c>
    </row>
    <row r="1354" spans="1:3">
      <c r="A1354" s="177">
        <v>961500238</v>
      </c>
      <c r="B1354" s="116" t="str">
        <f t="shared" si="21"/>
        <v>96-961500238</v>
      </c>
      <c r="C1354" s="179" t="s">
        <v>5813</v>
      </c>
    </row>
    <row r="1355" spans="1:3">
      <c r="A1355" s="177">
        <v>961500275</v>
      </c>
      <c r="B1355" s="116" t="str">
        <f t="shared" si="21"/>
        <v>96-961500275</v>
      </c>
      <c r="C1355" s="179" t="s">
        <v>5826</v>
      </c>
    </row>
    <row r="1356" spans="1:3">
      <c r="A1356" s="177">
        <v>961500293</v>
      </c>
      <c r="B1356" s="116" t="str">
        <f t="shared" si="21"/>
        <v>96-961500293</v>
      </c>
      <c r="C1356" s="179" t="s">
        <v>5826</v>
      </c>
    </row>
    <row r="1357" spans="1:3">
      <c r="A1357" s="177">
        <v>961500294</v>
      </c>
      <c r="B1357" s="116" t="str">
        <f t="shared" si="21"/>
        <v>96-961500294</v>
      </c>
      <c r="C1357" s="179" t="s">
        <v>5826</v>
      </c>
    </row>
    <row r="1358" spans="1:3">
      <c r="A1358" s="177">
        <v>961500303</v>
      </c>
      <c r="B1358" s="116" t="str">
        <f t="shared" si="21"/>
        <v>96-961500303</v>
      </c>
      <c r="C1358" s="179" t="s">
        <v>5826</v>
      </c>
    </row>
    <row r="1359" spans="1:3">
      <c r="A1359" s="177">
        <v>961500323</v>
      </c>
      <c r="B1359" s="116" t="str">
        <f t="shared" si="21"/>
        <v>96-961500323</v>
      </c>
      <c r="C1359" s="179" t="s">
        <v>5831</v>
      </c>
    </row>
    <row r="1360" spans="1:3">
      <c r="A1360" s="177">
        <v>961500373</v>
      </c>
      <c r="B1360" s="116" t="str">
        <f t="shared" si="21"/>
        <v>96-961500373</v>
      </c>
      <c r="C1360" s="179" t="s">
        <v>7231</v>
      </c>
    </row>
    <row r="1361" spans="1:3">
      <c r="A1361" s="177">
        <v>961500395</v>
      </c>
      <c r="B1361" s="116" t="str">
        <f t="shared" si="21"/>
        <v>96-961500395</v>
      </c>
      <c r="C1361" s="179" t="s">
        <v>7231</v>
      </c>
    </row>
    <row r="1362" spans="1:3">
      <c r="A1362" s="177">
        <v>961500414</v>
      </c>
      <c r="B1362" s="116" t="str">
        <f t="shared" si="21"/>
        <v>96-961500414</v>
      </c>
      <c r="C1362" s="179" t="s">
        <v>7231</v>
      </c>
    </row>
    <row r="1363" spans="1:3">
      <c r="A1363" s="177">
        <v>961500431</v>
      </c>
      <c r="B1363" s="116" t="str">
        <f t="shared" si="21"/>
        <v>96-961500431</v>
      </c>
      <c r="C1363" s="179" t="s">
        <v>7231</v>
      </c>
    </row>
    <row r="1364" spans="1:3">
      <c r="A1364" s="177">
        <v>961500471</v>
      </c>
      <c r="B1364" s="116" t="str">
        <f t="shared" si="21"/>
        <v>96-961500471</v>
      </c>
      <c r="C1364" s="179" t="s">
        <v>7175</v>
      </c>
    </row>
    <row r="1365" spans="1:3">
      <c r="A1365" s="177">
        <v>961500477</v>
      </c>
      <c r="B1365" s="116" t="str">
        <f t="shared" si="21"/>
        <v>96-961500477</v>
      </c>
      <c r="C1365" s="179" t="s">
        <v>7175</v>
      </c>
    </row>
    <row r="1366" spans="1:3">
      <c r="A1366" s="177">
        <v>961500478</v>
      </c>
      <c r="B1366" s="116" t="str">
        <f t="shared" si="21"/>
        <v>96-961500478</v>
      </c>
      <c r="C1366" s="179" t="s">
        <v>7175</v>
      </c>
    </row>
    <row r="1367" spans="1:3">
      <c r="A1367" s="177">
        <v>961500480</v>
      </c>
      <c r="B1367" s="116" t="str">
        <f t="shared" si="21"/>
        <v>96-961500480</v>
      </c>
      <c r="C1367" s="179" t="s">
        <v>7175</v>
      </c>
    </row>
    <row r="1368" spans="1:3">
      <c r="A1368" s="177">
        <v>956200347</v>
      </c>
      <c r="B1368" s="116" t="str">
        <f t="shared" si="21"/>
        <v>95-956200347</v>
      </c>
      <c r="C1368" s="179" t="s">
        <v>7292</v>
      </c>
    </row>
    <row r="1369" spans="1:3">
      <c r="A1369" s="177">
        <v>966200125</v>
      </c>
      <c r="B1369" s="116" t="str">
        <f t="shared" si="21"/>
        <v>96-966200125</v>
      </c>
      <c r="C1369" s="179" t="s">
        <v>7293</v>
      </c>
    </row>
    <row r="1370" spans="1:3">
      <c r="A1370" s="177">
        <v>962000326</v>
      </c>
      <c r="B1370" s="116" t="str">
        <f t="shared" si="21"/>
        <v>96-962000326</v>
      </c>
      <c r="C1370" s="179" t="s">
        <v>7112</v>
      </c>
    </row>
    <row r="1371" spans="1:3">
      <c r="A1371" s="177">
        <v>961500490</v>
      </c>
      <c r="B1371" s="116" t="str">
        <f t="shared" si="21"/>
        <v>96-961500490</v>
      </c>
      <c r="C1371" s="179" t="s">
        <v>7273</v>
      </c>
    </row>
    <row r="1372" spans="1:3">
      <c r="A1372" s="177">
        <v>961500496</v>
      </c>
      <c r="B1372" s="116" t="str">
        <f t="shared" si="21"/>
        <v>96-961500496</v>
      </c>
      <c r="C1372" s="179" t="s">
        <v>7175</v>
      </c>
    </row>
    <row r="1373" spans="1:3">
      <c r="A1373" s="177">
        <v>961500498</v>
      </c>
      <c r="B1373" s="116" t="str">
        <f t="shared" si="21"/>
        <v>96-961500498</v>
      </c>
      <c r="C1373" s="179" t="s">
        <v>7111</v>
      </c>
    </row>
    <row r="1374" spans="1:3">
      <c r="A1374" s="177">
        <v>961500502</v>
      </c>
      <c r="B1374" s="116" t="str">
        <f t="shared" si="21"/>
        <v>96-961500502</v>
      </c>
      <c r="C1374" s="179" t="s">
        <v>7111</v>
      </c>
    </row>
    <row r="1375" spans="1:3">
      <c r="A1375" s="177">
        <v>961500512</v>
      </c>
      <c r="B1375" s="116" t="str">
        <f t="shared" si="21"/>
        <v>96-961500512</v>
      </c>
      <c r="C1375" s="179" t="s">
        <v>7111</v>
      </c>
    </row>
    <row r="1376" spans="1:3">
      <c r="A1376" s="177">
        <v>961500547</v>
      </c>
      <c r="B1376" s="116" t="str">
        <f t="shared" si="21"/>
        <v>96-961500547</v>
      </c>
      <c r="C1376" s="179" t="s">
        <v>7175</v>
      </c>
    </row>
    <row r="1377" spans="1:3">
      <c r="A1377" s="177">
        <v>961500553</v>
      </c>
      <c r="B1377" s="116" t="str">
        <f t="shared" si="21"/>
        <v>96-961500553</v>
      </c>
      <c r="C1377" s="179" t="s">
        <v>7273</v>
      </c>
    </row>
    <row r="1378" spans="1:3">
      <c r="A1378" s="177">
        <v>961500558</v>
      </c>
      <c r="B1378" s="116" t="str">
        <f t="shared" si="21"/>
        <v>96-961500558</v>
      </c>
      <c r="C1378" s="179" t="s">
        <v>7273</v>
      </c>
    </row>
    <row r="1379" spans="1:3">
      <c r="A1379" s="177">
        <v>961500577</v>
      </c>
      <c r="B1379" s="116" t="str">
        <f t="shared" si="21"/>
        <v>96-961500577</v>
      </c>
      <c r="C1379" s="179" t="s">
        <v>8698</v>
      </c>
    </row>
    <row r="1380" spans="1:3">
      <c r="A1380" s="177">
        <v>961500596</v>
      </c>
      <c r="B1380" s="116" t="str">
        <f t="shared" si="21"/>
        <v>96-961500596</v>
      </c>
      <c r="C1380" s="179" t="s">
        <v>8698</v>
      </c>
    </row>
    <row r="1381" spans="1:3">
      <c r="A1381" s="177">
        <v>961500717</v>
      </c>
      <c r="B1381" s="116" t="str">
        <f t="shared" si="21"/>
        <v>96-961500717</v>
      </c>
      <c r="C1381" s="179" t="s">
        <v>9783</v>
      </c>
    </row>
    <row r="1382" spans="1:3">
      <c r="A1382" s="177">
        <v>961500801</v>
      </c>
      <c r="B1382" s="116" t="str">
        <f t="shared" si="21"/>
        <v>96-961500801</v>
      </c>
      <c r="C1382" s="179" t="s">
        <v>12260</v>
      </c>
    </row>
    <row r="1383" spans="1:3">
      <c r="A1383" s="177">
        <v>961500850</v>
      </c>
      <c r="B1383" s="116" t="str">
        <f t="shared" si="21"/>
        <v>96-961500850</v>
      </c>
      <c r="C1383" s="179" t="s">
        <v>12429</v>
      </c>
    </row>
    <row r="1384" spans="1:3">
      <c r="A1384" s="177">
        <v>961500851</v>
      </c>
      <c r="B1384" s="116" t="str">
        <f t="shared" si="21"/>
        <v>96-961500851</v>
      </c>
      <c r="C1384" s="179" t="s">
        <v>12429</v>
      </c>
    </row>
    <row r="1385" spans="1:3">
      <c r="A1385" s="177">
        <v>952000154</v>
      </c>
      <c r="B1385" s="116" t="str">
        <f t="shared" si="21"/>
        <v>95-952000154</v>
      </c>
      <c r="C1385" s="179" t="s">
        <v>7332</v>
      </c>
    </row>
    <row r="1386" spans="1:3">
      <c r="A1386" s="177">
        <v>956300010</v>
      </c>
      <c r="B1386" s="116" t="str">
        <f t="shared" si="21"/>
        <v>95-956300010</v>
      </c>
      <c r="C1386" s="179" t="s">
        <v>7294</v>
      </c>
    </row>
    <row r="1387" spans="1:3">
      <c r="A1387" s="177">
        <v>962000145</v>
      </c>
      <c r="B1387" s="116" t="str">
        <f t="shared" si="21"/>
        <v>96-962000145</v>
      </c>
      <c r="C1387" s="179" t="s">
        <v>7112</v>
      </c>
    </row>
    <row r="1388" spans="1:3">
      <c r="A1388" s="177">
        <v>951200033</v>
      </c>
      <c r="B1388" s="116" t="str">
        <f t="shared" si="21"/>
        <v>95-951200033</v>
      </c>
      <c r="C1388" s="179" t="s">
        <v>7298</v>
      </c>
    </row>
    <row r="1389" spans="1:3">
      <c r="A1389" s="177">
        <v>961200007</v>
      </c>
      <c r="B1389" s="116" t="str">
        <f t="shared" si="21"/>
        <v>96-961200007</v>
      </c>
      <c r="C1389" s="179" t="s">
        <v>7299</v>
      </c>
    </row>
    <row r="1390" spans="1:3">
      <c r="A1390" s="177">
        <v>966200243</v>
      </c>
      <c r="B1390" s="116" t="str">
        <f t="shared" si="21"/>
        <v>96-966200243</v>
      </c>
      <c r="C1390" s="179" t="s">
        <v>7333</v>
      </c>
    </row>
    <row r="1391" spans="1:3">
      <c r="A1391" s="177">
        <v>961100042</v>
      </c>
      <c r="B1391" s="116" t="str">
        <f t="shared" si="21"/>
        <v>96-961100042</v>
      </c>
      <c r="C1391" s="179" t="s">
        <v>7315</v>
      </c>
    </row>
    <row r="1392" spans="1:3">
      <c r="A1392" s="177">
        <v>962000269</v>
      </c>
      <c r="B1392" s="116" t="str">
        <f t="shared" si="21"/>
        <v>96-962000269</v>
      </c>
      <c r="C1392" s="179" t="s">
        <v>7112</v>
      </c>
    </row>
    <row r="1393" spans="1:3">
      <c r="A1393" s="177">
        <v>961100038</v>
      </c>
      <c r="B1393" s="116" t="str">
        <f t="shared" si="21"/>
        <v>96-961100038</v>
      </c>
      <c r="C1393" s="179" t="s">
        <v>7297</v>
      </c>
    </row>
    <row r="1394" spans="1:3">
      <c r="A1394" s="177">
        <v>951500025</v>
      </c>
      <c r="B1394" s="116" t="str">
        <f t="shared" si="21"/>
        <v>95-951500025</v>
      </c>
      <c r="C1394" s="179" t="s">
        <v>5608</v>
      </c>
    </row>
    <row r="1395" spans="1:3">
      <c r="A1395" s="177">
        <v>951500043</v>
      </c>
      <c r="B1395" s="116" t="str">
        <f t="shared" si="21"/>
        <v>95-951500043</v>
      </c>
      <c r="C1395" s="179" t="s">
        <v>5608</v>
      </c>
    </row>
    <row r="1396" spans="1:3">
      <c r="A1396" s="177">
        <v>951500072</v>
      </c>
      <c r="B1396" s="116" t="str">
        <f t="shared" si="21"/>
        <v>95-951500072</v>
      </c>
      <c r="C1396" s="179" t="s">
        <v>5608</v>
      </c>
    </row>
    <row r="1397" spans="1:3">
      <c r="A1397" s="177">
        <v>951500077</v>
      </c>
      <c r="B1397" s="116" t="str">
        <f t="shared" si="21"/>
        <v>95-951500077</v>
      </c>
      <c r="C1397" s="179" t="s">
        <v>5608</v>
      </c>
    </row>
    <row r="1398" spans="1:3">
      <c r="A1398" s="177">
        <v>951500080</v>
      </c>
      <c r="B1398" s="116" t="str">
        <f t="shared" si="21"/>
        <v>95-951500080</v>
      </c>
      <c r="C1398" s="179" t="s">
        <v>5608</v>
      </c>
    </row>
    <row r="1399" spans="1:3">
      <c r="A1399" s="177">
        <v>951500082</v>
      </c>
      <c r="B1399" s="116" t="str">
        <f t="shared" si="21"/>
        <v>95-951500082</v>
      </c>
      <c r="C1399" s="179" t="s">
        <v>5608</v>
      </c>
    </row>
    <row r="1400" spans="1:3">
      <c r="A1400" s="177">
        <v>951500118</v>
      </c>
      <c r="B1400" s="116" t="str">
        <f t="shared" si="21"/>
        <v>95-951500118</v>
      </c>
      <c r="C1400" s="179" t="s">
        <v>5608</v>
      </c>
    </row>
    <row r="1401" spans="1:3">
      <c r="A1401" s="177">
        <v>951500173</v>
      </c>
      <c r="B1401" s="116" t="str">
        <f t="shared" si="21"/>
        <v>95-951500173</v>
      </c>
      <c r="C1401" s="179" t="s">
        <v>5622</v>
      </c>
    </row>
    <row r="1402" spans="1:3">
      <c r="A1402" s="177">
        <v>951500184</v>
      </c>
      <c r="B1402" s="116" t="str">
        <f t="shared" si="21"/>
        <v>95-951500184</v>
      </c>
      <c r="C1402" s="179" t="s">
        <v>5622</v>
      </c>
    </row>
    <row r="1403" spans="1:3">
      <c r="A1403" s="177">
        <v>951500416</v>
      </c>
      <c r="B1403" s="116" t="str">
        <f t="shared" si="21"/>
        <v>95-951500416</v>
      </c>
      <c r="C1403" s="179" t="s">
        <v>5690</v>
      </c>
    </row>
    <row r="1404" spans="1:3">
      <c r="A1404" s="177">
        <v>951500488</v>
      </c>
      <c r="B1404" s="116" t="str">
        <f t="shared" si="21"/>
        <v>95-951500488</v>
      </c>
      <c r="C1404" s="179" t="s">
        <v>5690</v>
      </c>
    </row>
    <row r="1405" spans="1:3">
      <c r="A1405" s="177">
        <v>961500364</v>
      </c>
      <c r="B1405" s="116" t="str">
        <f t="shared" si="21"/>
        <v>96-961500364</v>
      </c>
      <c r="C1405" s="179" t="s">
        <v>7233</v>
      </c>
    </row>
    <row r="1406" spans="1:3">
      <c r="A1406" s="177">
        <v>961500371</v>
      </c>
      <c r="B1406" s="116" t="str">
        <f t="shared" si="21"/>
        <v>96-961500371</v>
      </c>
      <c r="C1406" s="179" t="s">
        <v>7233</v>
      </c>
    </row>
    <row r="1407" spans="1:3">
      <c r="A1407" s="177">
        <v>961500412</v>
      </c>
      <c r="B1407" s="116" t="str">
        <f t="shared" si="21"/>
        <v>96-961500412</v>
      </c>
      <c r="C1407" s="179" t="s">
        <v>7233</v>
      </c>
    </row>
    <row r="1408" spans="1:3">
      <c r="A1408" s="177">
        <v>961500439</v>
      </c>
      <c r="B1408" s="116" t="str">
        <f t="shared" si="21"/>
        <v>96-961500439</v>
      </c>
      <c r="C1408" s="179" t="s">
        <v>7233</v>
      </c>
    </row>
    <row r="1409" spans="1:3">
      <c r="A1409" s="177">
        <v>961500525</v>
      </c>
      <c r="B1409" s="116" t="str">
        <f t="shared" si="21"/>
        <v>96-961500525</v>
      </c>
      <c r="C1409" s="179" t="s">
        <v>8497</v>
      </c>
    </row>
    <row r="1410" spans="1:3">
      <c r="A1410" s="177">
        <v>961500533</v>
      </c>
      <c r="B1410" s="116" t="str">
        <f t="shared" si="21"/>
        <v>96-961500533</v>
      </c>
      <c r="C1410" s="179" t="s">
        <v>8497</v>
      </c>
    </row>
    <row r="1411" spans="1:3">
      <c r="A1411" s="177">
        <v>961500539</v>
      </c>
      <c r="B1411" s="116" t="str">
        <f t="shared" ref="B1411:B1474" si="22">MID(A1411,1,2)&amp;"-"&amp;A1411</f>
        <v>96-961500539</v>
      </c>
      <c r="C1411" s="179" t="s">
        <v>8497</v>
      </c>
    </row>
    <row r="1412" spans="1:3">
      <c r="A1412" s="177">
        <v>961500550</v>
      </c>
      <c r="B1412" s="116" t="str">
        <f t="shared" si="22"/>
        <v>96-961500550</v>
      </c>
      <c r="C1412" s="179" t="s">
        <v>8497</v>
      </c>
    </row>
    <row r="1413" spans="1:3">
      <c r="A1413" s="177">
        <v>961500573</v>
      </c>
      <c r="B1413" s="116" t="str">
        <f t="shared" si="22"/>
        <v>96-961500573</v>
      </c>
      <c r="C1413" s="179" t="s">
        <v>8497</v>
      </c>
    </row>
    <row r="1414" spans="1:3">
      <c r="A1414" s="177">
        <v>961500615</v>
      </c>
      <c r="B1414" s="116" t="str">
        <f t="shared" si="22"/>
        <v>96-961500615</v>
      </c>
      <c r="C1414" s="179" t="s">
        <v>9767</v>
      </c>
    </row>
    <row r="1415" spans="1:3">
      <c r="A1415" s="177">
        <v>961500688</v>
      </c>
      <c r="B1415" s="116" t="str">
        <f t="shared" si="22"/>
        <v>96-961500688</v>
      </c>
      <c r="C1415" s="179" t="s">
        <v>9770</v>
      </c>
    </row>
    <row r="1416" spans="1:3">
      <c r="A1416" s="177">
        <v>966200412</v>
      </c>
      <c r="B1416" s="116" t="str">
        <f t="shared" si="22"/>
        <v>96-966200412</v>
      </c>
      <c r="C1416" s="179" t="s">
        <v>12224</v>
      </c>
    </row>
    <row r="1417" spans="1:3">
      <c r="A1417" s="177">
        <v>961500707</v>
      </c>
      <c r="B1417" s="116" t="str">
        <f t="shared" si="22"/>
        <v>96-961500707</v>
      </c>
      <c r="C1417" s="179" t="s">
        <v>9770</v>
      </c>
    </row>
    <row r="1418" spans="1:3">
      <c r="A1418" s="177">
        <v>961500712</v>
      </c>
      <c r="B1418" s="116" t="str">
        <f t="shared" si="22"/>
        <v>96-961500712</v>
      </c>
      <c r="C1418" s="179" t="s">
        <v>9770</v>
      </c>
    </row>
    <row r="1419" spans="1:3">
      <c r="A1419" s="177">
        <v>961500809</v>
      </c>
      <c r="B1419" s="116" t="str">
        <f t="shared" si="22"/>
        <v>96-961500809</v>
      </c>
      <c r="C1419" s="179" t="s">
        <v>12306</v>
      </c>
    </row>
    <row r="1420" spans="1:3">
      <c r="A1420" s="177">
        <v>961500813</v>
      </c>
      <c r="B1420" s="116" t="str">
        <f t="shared" si="22"/>
        <v>96-961500813</v>
      </c>
      <c r="C1420" s="179" t="s">
        <v>12306</v>
      </c>
    </row>
    <row r="1421" spans="1:3">
      <c r="A1421" s="177">
        <v>961500822</v>
      </c>
      <c r="B1421" s="116" t="str">
        <f t="shared" si="22"/>
        <v>96-961500822</v>
      </c>
      <c r="C1421" s="179" t="s">
        <v>12306</v>
      </c>
    </row>
    <row r="1422" spans="1:3">
      <c r="A1422" s="177">
        <v>951500012</v>
      </c>
      <c r="B1422" s="116" t="str">
        <f t="shared" si="22"/>
        <v>95-951500012</v>
      </c>
      <c r="C1422" s="179" t="s">
        <v>5610</v>
      </c>
    </row>
    <row r="1423" spans="1:3">
      <c r="A1423" s="177">
        <v>951500103</v>
      </c>
      <c r="B1423" s="116" t="str">
        <f t="shared" si="22"/>
        <v>95-951500103</v>
      </c>
      <c r="C1423" s="179" t="s">
        <v>5614</v>
      </c>
    </row>
    <row r="1424" spans="1:3">
      <c r="A1424" s="177">
        <v>951500143</v>
      </c>
      <c r="B1424" s="116" t="str">
        <f t="shared" si="22"/>
        <v>95-951500143</v>
      </c>
      <c r="C1424" s="179" t="s">
        <v>5614</v>
      </c>
    </row>
    <row r="1425" spans="1:3">
      <c r="A1425" s="177">
        <v>951500199</v>
      </c>
      <c r="B1425" s="116" t="str">
        <f t="shared" si="22"/>
        <v>95-951500199</v>
      </c>
      <c r="C1425" s="179" t="s">
        <v>5614</v>
      </c>
    </row>
    <row r="1426" spans="1:3">
      <c r="A1426" s="177">
        <v>951500494</v>
      </c>
      <c r="B1426" s="116" t="str">
        <f t="shared" si="22"/>
        <v>95-951500494</v>
      </c>
      <c r="C1426" s="179" t="s">
        <v>5711</v>
      </c>
    </row>
    <row r="1427" spans="1:3">
      <c r="A1427" s="177">
        <v>961500012</v>
      </c>
      <c r="B1427" s="116" t="str">
        <f t="shared" si="22"/>
        <v>96-961500012</v>
      </c>
      <c r="C1427" s="179" t="s">
        <v>5768</v>
      </c>
    </row>
    <row r="1428" spans="1:3">
      <c r="A1428" s="177">
        <v>961500120</v>
      </c>
      <c r="B1428" s="116" t="str">
        <f t="shared" si="22"/>
        <v>96-961500120</v>
      </c>
      <c r="C1428" s="179" t="s">
        <v>5793</v>
      </c>
    </row>
    <row r="1429" spans="1:3">
      <c r="A1429" s="177">
        <v>961500141</v>
      </c>
      <c r="B1429" s="116" t="str">
        <f t="shared" si="22"/>
        <v>96-961500141</v>
      </c>
      <c r="C1429" s="179" t="s">
        <v>5793</v>
      </c>
    </row>
    <row r="1430" spans="1:3">
      <c r="A1430" s="177">
        <v>961500208</v>
      </c>
      <c r="B1430" s="116" t="str">
        <f t="shared" si="22"/>
        <v>96-961500208</v>
      </c>
      <c r="C1430" s="179" t="s">
        <v>5816</v>
      </c>
    </row>
    <row r="1431" spans="1:3">
      <c r="A1431" s="177">
        <v>961500248</v>
      </c>
      <c r="B1431" s="116" t="str">
        <f t="shared" si="22"/>
        <v>96-961500248</v>
      </c>
      <c r="C1431" s="179" t="s">
        <v>5821</v>
      </c>
    </row>
    <row r="1432" spans="1:3">
      <c r="A1432" s="177">
        <v>961500352</v>
      </c>
      <c r="B1432" s="116" t="str">
        <f t="shared" si="22"/>
        <v>96-961500352</v>
      </c>
      <c r="C1432" s="179" t="s">
        <v>5852</v>
      </c>
    </row>
    <row r="1433" spans="1:3">
      <c r="A1433" s="177">
        <v>961500455</v>
      </c>
      <c r="B1433" s="116" t="str">
        <f t="shared" si="22"/>
        <v>96-961500455</v>
      </c>
      <c r="C1433" s="179" t="s">
        <v>7255</v>
      </c>
    </row>
    <row r="1434" spans="1:3">
      <c r="A1434" s="177">
        <v>966200508</v>
      </c>
      <c r="B1434" s="116" t="str">
        <f t="shared" si="22"/>
        <v>96-966200508</v>
      </c>
      <c r="C1434" s="179" t="s">
        <v>12430</v>
      </c>
    </row>
    <row r="1435" spans="1:3">
      <c r="A1435" s="177">
        <v>961500464</v>
      </c>
      <c r="B1435" s="116" t="str">
        <f t="shared" si="22"/>
        <v>96-961500464</v>
      </c>
      <c r="C1435" s="179" t="s">
        <v>7255</v>
      </c>
    </row>
    <row r="1436" spans="1:3">
      <c r="A1436" s="177">
        <v>961500495</v>
      </c>
      <c r="B1436" s="116" t="str">
        <f t="shared" si="22"/>
        <v>96-961500495</v>
      </c>
      <c r="C1436" s="179" t="s">
        <v>7234</v>
      </c>
    </row>
    <row r="1437" spans="1:3">
      <c r="A1437" s="177">
        <v>961500706</v>
      </c>
      <c r="B1437" s="116" t="str">
        <f t="shared" si="22"/>
        <v>96-961500706</v>
      </c>
      <c r="C1437" s="179" t="s">
        <v>9768</v>
      </c>
    </row>
    <row r="1438" spans="1:3">
      <c r="A1438" s="177">
        <v>961500737</v>
      </c>
      <c r="B1438" s="116" t="str">
        <f t="shared" si="22"/>
        <v>96-961500737</v>
      </c>
      <c r="C1438" s="179" t="s">
        <v>9789</v>
      </c>
    </row>
    <row r="1439" spans="1:3">
      <c r="A1439" s="177">
        <v>961500791</v>
      </c>
      <c r="B1439" s="116" t="str">
        <f t="shared" si="22"/>
        <v>96-961500791</v>
      </c>
      <c r="C1439" s="179" t="s">
        <v>12221</v>
      </c>
    </row>
    <row r="1440" spans="1:3">
      <c r="A1440" s="177">
        <v>951500281</v>
      </c>
      <c r="B1440" s="116" t="str">
        <f t="shared" si="22"/>
        <v>95-951500281</v>
      </c>
      <c r="C1440" s="179" t="s">
        <v>5651</v>
      </c>
    </row>
    <row r="1441" spans="1:3">
      <c r="A1441" s="177">
        <v>951500361</v>
      </c>
      <c r="B1441" s="116" t="str">
        <f t="shared" si="22"/>
        <v>95-951500361</v>
      </c>
      <c r="C1441" s="179" t="s">
        <v>5660</v>
      </c>
    </row>
    <row r="1442" spans="1:3">
      <c r="A1442" s="177">
        <v>951500363</v>
      </c>
      <c r="B1442" s="116" t="str">
        <f t="shared" si="22"/>
        <v>95-951500363</v>
      </c>
      <c r="C1442" s="179" t="s">
        <v>5668</v>
      </c>
    </row>
    <row r="1443" spans="1:3">
      <c r="A1443" s="177">
        <v>951500389</v>
      </c>
      <c r="B1443" s="116" t="str">
        <f t="shared" si="22"/>
        <v>95-951500389</v>
      </c>
      <c r="C1443" s="179" t="s">
        <v>5668</v>
      </c>
    </row>
    <row r="1444" spans="1:3">
      <c r="A1444" s="177">
        <v>951500473</v>
      </c>
      <c r="B1444" s="116" t="str">
        <f t="shared" si="22"/>
        <v>95-951500473</v>
      </c>
      <c r="C1444" s="179" t="s">
        <v>5698</v>
      </c>
    </row>
    <row r="1445" spans="1:3">
      <c r="A1445" s="177">
        <v>951500586</v>
      </c>
      <c r="B1445" s="116" t="str">
        <f t="shared" si="22"/>
        <v>95-951500586</v>
      </c>
      <c r="C1445" s="179" t="s">
        <v>5748</v>
      </c>
    </row>
    <row r="1446" spans="1:3">
      <c r="A1446" s="177">
        <v>961500008</v>
      </c>
      <c r="B1446" s="116" t="str">
        <f t="shared" si="22"/>
        <v>96-961500008</v>
      </c>
      <c r="C1446" s="179" t="s">
        <v>5751</v>
      </c>
    </row>
    <row r="1447" spans="1:3">
      <c r="A1447" s="177">
        <v>961500110</v>
      </c>
      <c r="B1447" s="116" t="str">
        <f t="shared" si="22"/>
        <v>96-961500110</v>
      </c>
      <c r="C1447" s="179" t="s">
        <v>5801</v>
      </c>
    </row>
    <row r="1448" spans="1:3">
      <c r="A1448" s="177">
        <v>961500168</v>
      </c>
      <c r="B1448" s="116" t="str">
        <f t="shared" si="22"/>
        <v>96-961500168</v>
      </c>
      <c r="C1448" s="179" t="s">
        <v>5789</v>
      </c>
    </row>
    <row r="1449" spans="1:3">
      <c r="A1449" s="177">
        <v>961500177</v>
      </c>
      <c r="B1449" s="116" t="str">
        <f t="shared" si="22"/>
        <v>96-961500177</v>
      </c>
      <c r="C1449" s="179" t="s">
        <v>5807</v>
      </c>
    </row>
    <row r="1450" spans="1:3">
      <c r="A1450" s="177">
        <v>961500266</v>
      </c>
      <c r="B1450" s="116" t="str">
        <f t="shared" si="22"/>
        <v>96-961500266</v>
      </c>
      <c r="C1450" s="179" t="s">
        <v>5807</v>
      </c>
    </row>
    <row r="1451" spans="1:3">
      <c r="A1451" s="177">
        <v>961500268</v>
      </c>
      <c r="B1451" s="116" t="str">
        <f t="shared" si="22"/>
        <v>96-961500268</v>
      </c>
      <c r="C1451" s="179" t="s">
        <v>5807</v>
      </c>
    </row>
    <row r="1452" spans="1:3">
      <c r="A1452" s="177">
        <v>956200345</v>
      </c>
      <c r="B1452" s="116" t="str">
        <f t="shared" si="22"/>
        <v>95-956200345</v>
      </c>
      <c r="C1452" s="179" t="s">
        <v>7292</v>
      </c>
    </row>
    <row r="1453" spans="1:3">
      <c r="A1453" s="177">
        <v>961100098</v>
      </c>
      <c r="B1453" s="116" t="str">
        <f t="shared" si="22"/>
        <v>96-961100098</v>
      </c>
      <c r="C1453" s="179" t="s">
        <v>12230</v>
      </c>
    </row>
    <row r="1454" spans="1:3">
      <c r="A1454" s="177">
        <v>962000332</v>
      </c>
      <c r="B1454" s="116" t="str">
        <f t="shared" si="22"/>
        <v>96-962000332</v>
      </c>
      <c r="C1454" s="179" t="s">
        <v>7112</v>
      </c>
    </row>
    <row r="1455" spans="1:3">
      <c r="A1455" s="177">
        <v>961500286</v>
      </c>
      <c r="B1455" s="116" t="str">
        <f t="shared" si="22"/>
        <v>96-961500286</v>
      </c>
      <c r="C1455" s="179" t="s">
        <v>5820</v>
      </c>
    </row>
    <row r="1456" spans="1:3">
      <c r="A1456" s="177">
        <v>961500331</v>
      </c>
      <c r="B1456" s="116" t="str">
        <f t="shared" si="22"/>
        <v>96-961500331</v>
      </c>
      <c r="C1456" s="179" t="s">
        <v>5818</v>
      </c>
    </row>
    <row r="1457" spans="1:3">
      <c r="A1457" s="177">
        <v>961500343</v>
      </c>
      <c r="B1457" s="116" t="str">
        <f t="shared" si="22"/>
        <v>96-961500343</v>
      </c>
      <c r="C1457" s="179" t="s">
        <v>5818</v>
      </c>
    </row>
    <row r="1458" spans="1:3">
      <c r="A1458" s="177">
        <v>961500376</v>
      </c>
      <c r="B1458" s="116" t="str">
        <f t="shared" si="22"/>
        <v>96-961500376</v>
      </c>
      <c r="C1458" s="179" t="s">
        <v>5836</v>
      </c>
    </row>
    <row r="1459" spans="1:3">
      <c r="A1459" s="177">
        <v>961500384</v>
      </c>
      <c r="B1459" s="116" t="str">
        <f t="shared" si="22"/>
        <v>96-961500384</v>
      </c>
      <c r="C1459" s="179" t="s">
        <v>5836</v>
      </c>
    </row>
    <row r="1460" spans="1:3">
      <c r="A1460" s="177">
        <v>961500403</v>
      </c>
      <c r="B1460" s="116" t="str">
        <f t="shared" si="22"/>
        <v>96-961500403</v>
      </c>
      <c r="C1460" s="179" t="s">
        <v>5836</v>
      </c>
    </row>
    <row r="1461" spans="1:3">
      <c r="A1461" s="177">
        <v>961500519</v>
      </c>
      <c r="B1461" s="116" t="str">
        <f t="shared" si="22"/>
        <v>96-961500519</v>
      </c>
      <c r="C1461" s="179" t="s">
        <v>5842</v>
      </c>
    </row>
    <row r="1462" spans="1:3">
      <c r="A1462" s="177">
        <v>961500621</v>
      </c>
      <c r="B1462" s="116" t="str">
        <f t="shared" si="22"/>
        <v>96-961500621</v>
      </c>
      <c r="C1462" s="179" t="s">
        <v>8722</v>
      </c>
    </row>
    <row r="1463" spans="1:3">
      <c r="A1463" s="177">
        <v>961500719</v>
      </c>
      <c r="B1463" s="116" t="str">
        <f t="shared" si="22"/>
        <v>96-961500719</v>
      </c>
      <c r="C1463" s="179" t="s">
        <v>9771</v>
      </c>
    </row>
    <row r="1464" spans="1:3">
      <c r="A1464" s="177">
        <v>961500721</v>
      </c>
      <c r="B1464" s="116" t="str">
        <f t="shared" si="22"/>
        <v>96-961500721</v>
      </c>
      <c r="C1464" s="179" t="s">
        <v>9795</v>
      </c>
    </row>
    <row r="1465" spans="1:3">
      <c r="A1465" s="177">
        <v>961500805</v>
      </c>
      <c r="B1465" s="116" t="str">
        <f t="shared" si="22"/>
        <v>96-961500805</v>
      </c>
      <c r="C1465" s="179" t="s">
        <v>12220</v>
      </c>
    </row>
    <row r="1466" spans="1:3">
      <c r="A1466" s="177">
        <v>951500351</v>
      </c>
      <c r="B1466" s="116" t="str">
        <f t="shared" si="22"/>
        <v>95-951500351</v>
      </c>
      <c r="C1466" s="179" t="s">
        <v>5669</v>
      </c>
    </row>
    <row r="1467" spans="1:3">
      <c r="A1467" s="177">
        <v>951500509</v>
      </c>
      <c r="B1467" s="116" t="str">
        <f t="shared" si="22"/>
        <v>95-951500509</v>
      </c>
      <c r="C1467" s="179" t="s">
        <v>5720</v>
      </c>
    </row>
    <row r="1468" spans="1:3">
      <c r="A1468" s="177">
        <v>961500049</v>
      </c>
      <c r="B1468" s="116" t="str">
        <f t="shared" si="22"/>
        <v>96-961500049</v>
      </c>
      <c r="C1468" s="179" t="s">
        <v>5764</v>
      </c>
    </row>
    <row r="1469" spans="1:3">
      <c r="A1469" s="177">
        <v>961500083</v>
      </c>
      <c r="B1469" s="116" t="str">
        <f t="shared" si="22"/>
        <v>96-961500083</v>
      </c>
      <c r="C1469" s="179" t="s">
        <v>5795</v>
      </c>
    </row>
    <row r="1470" spans="1:3">
      <c r="A1470" s="177">
        <v>961500095</v>
      </c>
      <c r="B1470" s="116" t="str">
        <f t="shared" si="22"/>
        <v>96-961500095</v>
      </c>
      <c r="C1470" s="179" t="s">
        <v>5795</v>
      </c>
    </row>
    <row r="1471" spans="1:3">
      <c r="A1471" s="177">
        <v>961500231</v>
      </c>
      <c r="B1471" s="116" t="str">
        <f t="shared" si="22"/>
        <v>96-961500231</v>
      </c>
      <c r="C1471" s="179" t="s">
        <v>5823</v>
      </c>
    </row>
    <row r="1472" spans="1:3">
      <c r="A1472" s="177">
        <v>962000276</v>
      </c>
      <c r="B1472" s="116" t="str">
        <f t="shared" si="22"/>
        <v>96-962000276</v>
      </c>
      <c r="C1472" s="179" t="s">
        <v>7112</v>
      </c>
    </row>
    <row r="1473" spans="1:3">
      <c r="A1473" s="177">
        <v>956200346</v>
      </c>
      <c r="B1473" s="116" t="str">
        <f t="shared" si="22"/>
        <v>95-956200346</v>
      </c>
      <c r="C1473" s="179" t="s">
        <v>7292</v>
      </c>
    </row>
    <row r="1474" spans="1:3">
      <c r="A1474" s="177">
        <v>966200059</v>
      </c>
      <c r="B1474" s="116" t="str">
        <f t="shared" si="22"/>
        <v>96-966200059</v>
      </c>
      <c r="C1474" s="179" t="s">
        <v>7345</v>
      </c>
    </row>
    <row r="1475" spans="1:3">
      <c r="A1475" s="177">
        <v>951100184</v>
      </c>
      <c r="B1475" s="116" t="str">
        <f t="shared" ref="B1475:B1538" si="23">MID(A1475,1,2)&amp;"-"&amp;A1475</f>
        <v>95-951100184</v>
      </c>
      <c r="C1475" s="179" t="s">
        <v>7302</v>
      </c>
    </row>
    <row r="1476" spans="1:3">
      <c r="A1476" s="177">
        <v>962000108</v>
      </c>
      <c r="B1476" s="116" t="str">
        <f t="shared" si="23"/>
        <v>96-962000108</v>
      </c>
      <c r="C1476" s="179" t="s">
        <v>7112</v>
      </c>
    </row>
    <row r="1477" spans="1:3">
      <c r="A1477" s="177">
        <v>961500315</v>
      </c>
      <c r="B1477" s="116" t="str">
        <f t="shared" si="23"/>
        <v>96-961500315</v>
      </c>
      <c r="C1477" s="179" t="s">
        <v>5847</v>
      </c>
    </row>
    <row r="1478" spans="1:3">
      <c r="A1478" s="177">
        <v>951200059</v>
      </c>
      <c r="B1478" s="116" t="str">
        <f t="shared" si="23"/>
        <v>95-951200059</v>
      </c>
      <c r="C1478" s="179" t="s">
        <v>7277</v>
      </c>
    </row>
    <row r="1479" spans="1:3">
      <c r="A1479" s="177">
        <v>951500312</v>
      </c>
      <c r="B1479" s="116" t="str">
        <f t="shared" si="23"/>
        <v>95-951500312</v>
      </c>
      <c r="C1479" s="179" t="s">
        <v>5653</v>
      </c>
    </row>
    <row r="1480" spans="1:3">
      <c r="A1480" s="177">
        <v>961500015</v>
      </c>
      <c r="B1480" s="116" t="str">
        <f t="shared" si="23"/>
        <v>96-961500015</v>
      </c>
      <c r="C1480" s="179" t="s">
        <v>5769</v>
      </c>
    </row>
    <row r="1481" spans="1:3">
      <c r="A1481" s="177">
        <v>961500016</v>
      </c>
      <c r="B1481" s="116" t="str">
        <f t="shared" si="23"/>
        <v>96-961500016</v>
      </c>
      <c r="C1481" s="179" t="s">
        <v>5770</v>
      </c>
    </row>
    <row r="1482" spans="1:3">
      <c r="A1482" s="177">
        <v>961500105</v>
      </c>
      <c r="B1482" s="116" t="str">
        <f t="shared" si="23"/>
        <v>96-961500105</v>
      </c>
      <c r="C1482" s="179" t="s">
        <v>5802</v>
      </c>
    </row>
    <row r="1483" spans="1:3">
      <c r="A1483" s="177">
        <v>951500471</v>
      </c>
      <c r="B1483" s="116" t="str">
        <f t="shared" si="23"/>
        <v>95-951500471</v>
      </c>
      <c r="C1483" s="179" t="s">
        <v>5707</v>
      </c>
    </row>
    <row r="1484" spans="1:3">
      <c r="A1484" s="177">
        <v>951500526</v>
      </c>
      <c r="B1484" s="116" t="str">
        <f t="shared" si="23"/>
        <v>95-951500526</v>
      </c>
      <c r="C1484" s="179" t="s">
        <v>5715</v>
      </c>
    </row>
    <row r="1485" spans="1:3">
      <c r="A1485" s="177">
        <v>951200081</v>
      </c>
      <c r="B1485" s="116" t="str">
        <f t="shared" si="23"/>
        <v>95-951200081</v>
      </c>
      <c r="C1485" s="179" t="s">
        <v>7272</v>
      </c>
    </row>
    <row r="1486" spans="1:3">
      <c r="A1486" s="177">
        <v>961200136</v>
      </c>
      <c r="B1486" s="116" t="str">
        <f t="shared" si="23"/>
        <v>96-961200136</v>
      </c>
      <c r="C1486" s="179" t="s">
        <v>9778</v>
      </c>
    </row>
    <row r="1487" spans="1:3">
      <c r="A1487" s="177">
        <v>961500433</v>
      </c>
      <c r="B1487" s="116" t="str">
        <f t="shared" si="23"/>
        <v>96-961500433</v>
      </c>
      <c r="C1487" s="179" t="s">
        <v>5841</v>
      </c>
    </row>
    <row r="1488" spans="1:3">
      <c r="A1488" s="177">
        <v>961500654</v>
      </c>
      <c r="B1488" s="116" t="str">
        <f t="shared" si="23"/>
        <v>96-961500654</v>
      </c>
      <c r="C1488" s="179" t="s">
        <v>9761</v>
      </c>
    </row>
    <row r="1489" spans="1:3">
      <c r="A1489" s="177">
        <v>961500812</v>
      </c>
      <c r="B1489" s="116" t="str">
        <f t="shared" si="23"/>
        <v>96-961500812</v>
      </c>
      <c r="C1489" s="179" t="s">
        <v>12425</v>
      </c>
    </row>
    <row r="1490" spans="1:3">
      <c r="A1490" s="177">
        <v>961500826</v>
      </c>
      <c r="B1490" s="116" t="str">
        <f t="shared" si="23"/>
        <v>96-961500826</v>
      </c>
      <c r="C1490" s="179" t="s">
        <v>12425</v>
      </c>
    </row>
    <row r="1491" spans="1:3">
      <c r="A1491" s="177">
        <v>966200098</v>
      </c>
      <c r="B1491" s="116" t="str">
        <f t="shared" si="23"/>
        <v>96-966200098</v>
      </c>
      <c r="C1491" s="179" t="s">
        <v>7270</v>
      </c>
    </row>
    <row r="1492" spans="1:3">
      <c r="A1492" s="177">
        <v>951100145</v>
      </c>
      <c r="B1492" s="116" t="str">
        <f t="shared" si="23"/>
        <v>95-951100145</v>
      </c>
      <c r="C1492" s="179" t="s">
        <v>7308</v>
      </c>
    </row>
    <row r="1493" spans="1:3">
      <c r="A1493" s="177">
        <v>951200019</v>
      </c>
      <c r="B1493" s="116" t="str">
        <f t="shared" si="23"/>
        <v>95-951200019</v>
      </c>
      <c r="C1493" s="179" t="s">
        <v>7304</v>
      </c>
    </row>
    <row r="1494" spans="1:3">
      <c r="A1494" s="177">
        <v>951200044</v>
      </c>
      <c r="B1494" s="116" t="str">
        <f t="shared" si="23"/>
        <v>95-951200044</v>
      </c>
      <c r="C1494" s="179" t="s">
        <v>7305</v>
      </c>
    </row>
    <row r="1495" spans="1:3">
      <c r="A1495" s="177">
        <v>951200056</v>
      </c>
      <c r="B1495" s="116" t="str">
        <f t="shared" si="23"/>
        <v>95-951200056</v>
      </c>
      <c r="C1495" s="179" t="s">
        <v>7334</v>
      </c>
    </row>
    <row r="1496" spans="1:3">
      <c r="A1496" s="177">
        <v>961200013</v>
      </c>
      <c r="B1496" s="116" t="str">
        <f t="shared" si="23"/>
        <v>96-961200013</v>
      </c>
      <c r="C1496" s="179" t="s">
        <v>7335</v>
      </c>
    </row>
    <row r="1497" spans="1:3">
      <c r="A1497" s="177">
        <v>961200072</v>
      </c>
      <c r="B1497" s="116" t="str">
        <f t="shared" si="23"/>
        <v>96-961200072</v>
      </c>
      <c r="C1497" s="179" t="s">
        <v>8703</v>
      </c>
    </row>
    <row r="1498" spans="1:3">
      <c r="A1498" s="177">
        <v>952000263</v>
      </c>
      <c r="B1498" s="116" t="str">
        <f t="shared" si="23"/>
        <v>95-952000263</v>
      </c>
      <c r="C1498" s="179" t="s">
        <v>7280</v>
      </c>
    </row>
    <row r="1499" spans="1:3">
      <c r="A1499" s="177">
        <v>951100008</v>
      </c>
      <c r="B1499" s="116" t="str">
        <f t="shared" si="23"/>
        <v>95-951100008</v>
      </c>
      <c r="C1499" s="179" t="s">
        <v>7353</v>
      </c>
    </row>
    <row r="1500" spans="1:3">
      <c r="A1500" s="177">
        <v>951200088</v>
      </c>
      <c r="B1500" s="116" t="str">
        <f t="shared" si="23"/>
        <v>95-951200088</v>
      </c>
      <c r="C1500" s="179" t="s">
        <v>7300</v>
      </c>
    </row>
    <row r="1501" spans="1:3">
      <c r="A1501" s="177">
        <v>951100132</v>
      </c>
      <c r="B1501" s="116" t="str">
        <f t="shared" si="23"/>
        <v>95-951100132</v>
      </c>
      <c r="C1501" s="179" t="s">
        <v>7309</v>
      </c>
    </row>
    <row r="1502" spans="1:3">
      <c r="A1502" s="177">
        <v>961100015</v>
      </c>
      <c r="B1502" s="116" t="str">
        <f t="shared" si="23"/>
        <v>96-961100015</v>
      </c>
      <c r="C1502" s="179" t="s">
        <v>7310</v>
      </c>
    </row>
    <row r="1503" spans="1:3">
      <c r="A1503" s="177">
        <v>956200193</v>
      </c>
      <c r="B1503" s="116" t="str">
        <f t="shared" si="23"/>
        <v>95-956200193</v>
      </c>
      <c r="C1503" s="179" t="s">
        <v>7346</v>
      </c>
    </row>
    <row r="1504" spans="1:3">
      <c r="A1504" s="177">
        <v>951200035</v>
      </c>
      <c r="B1504" s="116" t="str">
        <f t="shared" si="23"/>
        <v>95-951200035</v>
      </c>
      <c r="C1504" s="179" t="s">
        <v>7371</v>
      </c>
    </row>
    <row r="1505" spans="1:3">
      <c r="A1505" s="177">
        <v>961100085</v>
      </c>
      <c r="B1505" s="116" t="str">
        <f t="shared" si="23"/>
        <v>96-961100085</v>
      </c>
      <c r="C1505" s="179" t="s">
        <v>12259</v>
      </c>
    </row>
    <row r="1506" spans="1:3">
      <c r="A1506" s="177">
        <v>956200151</v>
      </c>
      <c r="B1506" s="116" t="str">
        <f t="shared" si="23"/>
        <v>95-956200151</v>
      </c>
      <c r="C1506" s="179" t="s">
        <v>7268</v>
      </c>
    </row>
    <row r="1507" spans="1:3">
      <c r="A1507" s="177">
        <v>966300044</v>
      </c>
      <c r="B1507" s="116" t="str">
        <f t="shared" si="23"/>
        <v>96-966300044</v>
      </c>
      <c r="C1507" s="179" t="s">
        <v>12227</v>
      </c>
    </row>
    <row r="1508" spans="1:3">
      <c r="A1508" s="177">
        <v>956200061</v>
      </c>
      <c r="B1508" s="116" t="str">
        <f t="shared" si="23"/>
        <v>95-956200061</v>
      </c>
      <c r="C1508" s="179" t="s">
        <v>7306</v>
      </c>
    </row>
    <row r="1509" spans="1:3">
      <c r="A1509" s="177">
        <v>951100007</v>
      </c>
      <c r="B1509" s="116" t="str">
        <f t="shared" si="23"/>
        <v>95-951100007</v>
      </c>
      <c r="C1509" s="179" t="s">
        <v>7307</v>
      </c>
    </row>
    <row r="1510" spans="1:3">
      <c r="A1510" s="177">
        <v>956300011</v>
      </c>
      <c r="B1510" s="116" t="str">
        <f t="shared" si="23"/>
        <v>95-956300011</v>
      </c>
      <c r="C1510" s="179" t="s">
        <v>7316</v>
      </c>
    </row>
    <row r="1511" spans="1:3">
      <c r="A1511" s="177">
        <v>951100160</v>
      </c>
      <c r="B1511" s="116" t="str">
        <f t="shared" si="23"/>
        <v>95-951100160</v>
      </c>
      <c r="C1511" s="179" t="s">
        <v>7319</v>
      </c>
    </row>
    <row r="1512" spans="1:3">
      <c r="A1512" s="177">
        <v>962000339</v>
      </c>
      <c r="B1512" s="116" t="str">
        <f t="shared" si="23"/>
        <v>96-962000339</v>
      </c>
      <c r="C1512" s="179" t="s">
        <v>12184</v>
      </c>
    </row>
    <row r="1513" spans="1:3">
      <c r="A1513" s="177">
        <v>961200052</v>
      </c>
      <c r="B1513" s="116" t="str">
        <f t="shared" si="23"/>
        <v>96-961200052</v>
      </c>
      <c r="C1513" s="179" t="s">
        <v>7301</v>
      </c>
    </row>
    <row r="1514" spans="1:3">
      <c r="A1514" s="177">
        <v>951100013</v>
      </c>
      <c r="B1514" s="116" t="str">
        <f t="shared" si="23"/>
        <v>95-951100013</v>
      </c>
      <c r="C1514" s="179" t="s">
        <v>7396</v>
      </c>
    </row>
    <row r="1515" spans="1:3">
      <c r="A1515" s="177">
        <v>951100154</v>
      </c>
      <c r="B1515" s="116" t="str">
        <f t="shared" si="23"/>
        <v>95-951100154</v>
      </c>
      <c r="C1515" s="179" t="s">
        <v>7397</v>
      </c>
    </row>
    <row r="1516" spans="1:3">
      <c r="A1516" s="177">
        <v>961100063</v>
      </c>
      <c r="B1516" s="116" t="str">
        <f t="shared" si="23"/>
        <v>96-961100063</v>
      </c>
      <c r="C1516" s="179" t="s">
        <v>7398</v>
      </c>
    </row>
    <row r="1517" spans="1:3">
      <c r="A1517" s="177">
        <v>951100060</v>
      </c>
      <c r="B1517" s="116" t="str">
        <f t="shared" si="23"/>
        <v>95-951100060</v>
      </c>
      <c r="C1517" s="179" t="s">
        <v>7311</v>
      </c>
    </row>
    <row r="1518" spans="1:3">
      <c r="A1518" s="177">
        <v>951100120</v>
      </c>
      <c r="B1518" s="116" t="str">
        <f t="shared" si="23"/>
        <v>95-951100120</v>
      </c>
      <c r="C1518" s="179" t="s">
        <v>7312</v>
      </c>
    </row>
    <row r="1519" spans="1:3">
      <c r="A1519" s="177">
        <v>951100168</v>
      </c>
      <c r="B1519" s="116" t="str">
        <f t="shared" si="23"/>
        <v>95-951100168</v>
      </c>
      <c r="C1519" s="179" t="s">
        <v>7313</v>
      </c>
    </row>
    <row r="1520" spans="1:3">
      <c r="A1520" s="177">
        <v>961100029</v>
      </c>
      <c r="B1520" s="116" t="str">
        <f t="shared" si="23"/>
        <v>96-961100029</v>
      </c>
      <c r="C1520" s="179" t="s">
        <v>7314</v>
      </c>
    </row>
    <row r="1521" spans="1:3">
      <c r="A1521" s="177">
        <v>961200070</v>
      </c>
      <c r="B1521" s="116" t="str">
        <f t="shared" si="23"/>
        <v>96-961200070</v>
      </c>
      <c r="C1521" s="179" t="s">
        <v>8730</v>
      </c>
    </row>
    <row r="1522" spans="1:3">
      <c r="A1522" s="177">
        <v>951100099</v>
      </c>
      <c r="B1522" s="116" t="str">
        <f t="shared" si="23"/>
        <v>95-951100099</v>
      </c>
      <c r="C1522" s="179" t="s">
        <v>7323</v>
      </c>
    </row>
    <row r="1523" spans="1:3">
      <c r="A1523" s="177">
        <v>961100051</v>
      </c>
      <c r="B1523" s="116" t="str">
        <f t="shared" si="23"/>
        <v>96-961100051</v>
      </c>
      <c r="C1523" s="179" t="s">
        <v>7324</v>
      </c>
    </row>
    <row r="1524" spans="1:3">
      <c r="A1524" s="177">
        <v>961100062</v>
      </c>
      <c r="B1524" s="116" t="str">
        <f t="shared" si="23"/>
        <v>96-961100062</v>
      </c>
      <c r="C1524" s="179" t="s">
        <v>7325</v>
      </c>
    </row>
    <row r="1525" spans="1:3">
      <c r="A1525" s="177">
        <v>966300005</v>
      </c>
      <c r="B1525" s="116" t="str">
        <f t="shared" si="23"/>
        <v>96-966300005</v>
      </c>
      <c r="C1525" s="179" t="s">
        <v>8728</v>
      </c>
    </row>
    <row r="1526" spans="1:3">
      <c r="A1526" s="177">
        <v>966300034</v>
      </c>
      <c r="B1526" s="116" t="str">
        <f t="shared" si="23"/>
        <v>96-966300034</v>
      </c>
      <c r="C1526" s="179" t="s">
        <v>12235</v>
      </c>
    </row>
    <row r="1527" spans="1:3">
      <c r="A1527" s="177">
        <v>951100097</v>
      </c>
      <c r="B1527" s="116" t="str">
        <f t="shared" si="23"/>
        <v>95-951100097</v>
      </c>
      <c r="C1527" s="179" t="s">
        <v>7377</v>
      </c>
    </row>
    <row r="1528" spans="1:3">
      <c r="A1528" s="177">
        <v>951100141</v>
      </c>
      <c r="B1528" s="116" t="str">
        <f t="shared" si="23"/>
        <v>95-951100141</v>
      </c>
      <c r="C1528" s="179" t="s">
        <v>7378</v>
      </c>
    </row>
    <row r="1529" spans="1:3">
      <c r="A1529" s="177">
        <v>951100175</v>
      </c>
      <c r="B1529" s="116" t="str">
        <f t="shared" si="23"/>
        <v>95-951100175</v>
      </c>
      <c r="C1529" s="179" t="s">
        <v>7379</v>
      </c>
    </row>
    <row r="1530" spans="1:3">
      <c r="A1530" s="177">
        <v>951100187</v>
      </c>
      <c r="B1530" s="116" t="str">
        <f t="shared" si="23"/>
        <v>95-951100187</v>
      </c>
      <c r="C1530" s="179" t="s">
        <v>7380</v>
      </c>
    </row>
    <row r="1531" spans="1:3">
      <c r="A1531" s="177">
        <v>956300002</v>
      </c>
      <c r="B1531" s="116" t="str">
        <f t="shared" si="23"/>
        <v>95-956300002</v>
      </c>
      <c r="C1531" s="179" t="s">
        <v>7320</v>
      </c>
    </row>
    <row r="1532" spans="1:3">
      <c r="A1532" s="177">
        <v>952000100</v>
      </c>
      <c r="B1532" s="116" t="str">
        <f t="shared" si="23"/>
        <v>95-952000100</v>
      </c>
      <c r="C1532" s="179" t="s">
        <v>7321</v>
      </c>
    </row>
    <row r="1533" spans="1:3">
      <c r="A1533" s="177">
        <v>962000090</v>
      </c>
      <c r="B1533" s="116" t="str">
        <f t="shared" si="23"/>
        <v>96-962000090</v>
      </c>
      <c r="C1533" s="179" t="s">
        <v>7112</v>
      </c>
    </row>
    <row r="1534" spans="1:3">
      <c r="A1534" s="177">
        <v>962000429</v>
      </c>
      <c r="B1534" s="116" t="str">
        <f t="shared" si="23"/>
        <v>96-962000429</v>
      </c>
      <c r="C1534" s="179" t="s">
        <v>12184</v>
      </c>
    </row>
    <row r="1535" spans="1:3">
      <c r="A1535" s="177">
        <v>962000231</v>
      </c>
      <c r="B1535" s="116" t="str">
        <f t="shared" si="23"/>
        <v>96-962000231</v>
      </c>
      <c r="C1535" s="179" t="s">
        <v>7112</v>
      </c>
    </row>
    <row r="1536" spans="1:3">
      <c r="A1536" s="177">
        <v>962000265</v>
      </c>
      <c r="B1536" s="116" t="str">
        <f t="shared" si="23"/>
        <v>96-962000265</v>
      </c>
      <c r="C1536" s="179" t="s">
        <v>7112</v>
      </c>
    </row>
    <row r="1537" spans="1:3">
      <c r="A1537" s="177">
        <v>956200155</v>
      </c>
      <c r="B1537" s="116" t="str">
        <f t="shared" si="23"/>
        <v>95-956200155</v>
      </c>
      <c r="C1537" s="179" t="s">
        <v>7268</v>
      </c>
    </row>
    <row r="1538" spans="1:3">
      <c r="A1538" s="177">
        <v>962000252</v>
      </c>
      <c r="B1538" s="116" t="str">
        <f t="shared" si="23"/>
        <v>96-962000252</v>
      </c>
      <c r="C1538" s="179" t="s">
        <v>7112</v>
      </c>
    </row>
    <row r="1539" spans="1:3">
      <c r="A1539" s="177">
        <v>951100004</v>
      </c>
      <c r="B1539" s="116" t="str">
        <f t="shared" ref="B1539:B1602" si="24">MID(A1539,1,2)&amp;"-"&amp;A1539</f>
        <v>95-951100004</v>
      </c>
      <c r="C1539" s="179" t="s">
        <v>7336</v>
      </c>
    </row>
    <row r="1540" spans="1:3">
      <c r="A1540" s="177">
        <v>962000138</v>
      </c>
      <c r="B1540" s="116" t="str">
        <f t="shared" si="24"/>
        <v>96-962000138</v>
      </c>
      <c r="C1540" s="179" t="s">
        <v>7112</v>
      </c>
    </row>
    <row r="1541" spans="1:3">
      <c r="A1541" s="177">
        <v>951100071</v>
      </c>
      <c r="B1541" s="116" t="str">
        <f t="shared" si="24"/>
        <v>95-951100071</v>
      </c>
      <c r="C1541" s="179" t="s">
        <v>7317</v>
      </c>
    </row>
    <row r="1542" spans="1:3">
      <c r="A1542" s="177">
        <v>951100087</v>
      </c>
      <c r="B1542" s="116" t="str">
        <f t="shared" si="24"/>
        <v>95-951100087</v>
      </c>
      <c r="C1542" s="179" t="s">
        <v>7318</v>
      </c>
    </row>
    <row r="1543" spans="1:3">
      <c r="A1543" s="177">
        <v>951100005</v>
      </c>
      <c r="B1543" s="116" t="str">
        <f t="shared" si="24"/>
        <v>95-951100005</v>
      </c>
      <c r="C1543" s="179" t="s">
        <v>7337</v>
      </c>
    </row>
    <row r="1544" spans="1:3">
      <c r="A1544" s="177">
        <v>951100192</v>
      </c>
      <c r="B1544" s="116" t="str">
        <f t="shared" si="24"/>
        <v>95-951100192</v>
      </c>
      <c r="C1544" s="179" t="s">
        <v>7338</v>
      </c>
    </row>
    <row r="1545" spans="1:3">
      <c r="A1545" s="177">
        <v>966200111</v>
      </c>
      <c r="B1545" s="116" t="str">
        <f t="shared" si="24"/>
        <v>96-966200111</v>
      </c>
      <c r="C1545" s="179" t="s">
        <v>7339</v>
      </c>
    </row>
    <row r="1546" spans="1:3">
      <c r="A1546" s="177">
        <v>952000091</v>
      </c>
      <c r="B1546" s="116" t="str">
        <f t="shared" si="24"/>
        <v>95-952000091</v>
      </c>
      <c r="C1546" s="179" t="s">
        <v>7326</v>
      </c>
    </row>
    <row r="1547" spans="1:3">
      <c r="A1547" s="177">
        <v>952000248</v>
      </c>
      <c r="B1547" s="116" t="str">
        <f t="shared" si="24"/>
        <v>95-952000248</v>
      </c>
      <c r="C1547" s="179" t="s">
        <v>7327</v>
      </c>
    </row>
    <row r="1548" spans="1:3">
      <c r="A1548" s="177">
        <v>951100114</v>
      </c>
      <c r="B1548" s="116" t="str">
        <f t="shared" si="24"/>
        <v>95-951100114</v>
      </c>
      <c r="C1548" s="179" t="s">
        <v>7456</v>
      </c>
    </row>
    <row r="1549" spans="1:3">
      <c r="A1549" s="177">
        <v>962000134</v>
      </c>
      <c r="B1549" s="116" t="str">
        <f t="shared" si="24"/>
        <v>96-962000134</v>
      </c>
      <c r="C1549" s="179" t="s">
        <v>7112</v>
      </c>
    </row>
    <row r="1550" spans="1:3">
      <c r="A1550" s="177">
        <v>962000267</v>
      </c>
      <c r="B1550" s="116" t="str">
        <f t="shared" si="24"/>
        <v>96-962000267</v>
      </c>
      <c r="C1550" s="179" t="s">
        <v>7112</v>
      </c>
    </row>
    <row r="1551" spans="1:3">
      <c r="A1551" s="177">
        <v>952000293</v>
      </c>
      <c r="B1551" s="116" t="str">
        <f t="shared" si="24"/>
        <v>95-952000293</v>
      </c>
      <c r="C1551" s="179" t="s">
        <v>7329</v>
      </c>
    </row>
    <row r="1552" spans="1:3">
      <c r="A1552" s="177">
        <v>951100024</v>
      </c>
      <c r="B1552" s="116" t="str">
        <f t="shared" si="24"/>
        <v>95-951100024</v>
      </c>
      <c r="C1552" s="179" t="s">
        <v>7330</v>
      </c>
    </row>
    <row r="1553" spans="1:3">
      <c r="A1553" s="177">
        <v>966200404</v>
      </c>
      <c r="B1553" s="116" t="str">
        <f t="shared" si="24"/>
        <v>96-966200404</v>
      </c>
      <c r="C1553" s="179" t="s">
        <v>12239</v>
      </c>
    </row>
    <row r="1554" spans="1:3">
      <c r="A1554" s="177">
        <v>962000119</v>
      </c>
      <c r="B1554" s="116" t="str">
        <f t="shared" si="24"/>
        <v>96-962000119</v>
      </c>
      <c r="C1554" s="179" t="s">
        <v>7112</v>
      </c>
    </row>
    <row r="1555" spans="1:3">
      <c r="A1555" s="177">
        <v>961100079</v>
      </c>
      <c r="B1555" s="116" t="str">
        <f t="shared" si="24"/>
        <v>96-961100079</v>
      </c>
      <c r="C1555" s="179" t="s">
        <v>8729</v>
      </c>
    </row>
    <row r="1556" spans="1:3">
      <c r="A1556" s="177">
        <v>961100094</v>
      </c>
      <c r="B1556" s="116" t="str">
        <f t="shared" si="24"/>
        <v>96-961100094</v>
      </c>
      <c r="C1556" s="179" t="s">
        <v>12247</v>
      </c>
    </row>
    <row r="1557" spans="1:3">
      <c r="A1557" s="177">
        <v>966200348</v>
      </c>
      <c r="B1557" s="116" t="str">
        <f t="shared" si="24"/>
        <v>96-966200348</v>
      </c>
      <c r="C1557" s="179" t="s">
        <v>8696</v>
      </c>
    </row>
    <row r="1558" spans="1:3">
      <c r="A1558" s="177">
        <v>956300015</v>
      </c>
      <c r="B1558" s="116" t="str">
        <f t="shared" si="24"/>
        <v>95-956300015</v>
      </c>
      <c r="C1558" s="179" t="s">
        <v>7550</v>
      </c>
    </row>
    <row r="1559" spans="1:3">
      <c r="A1559" s="177">
        <v>951100131</v>
      </c>
      <c r="B1559" s="116" t="str">
        <f t="shared" si="24"/>
        <v>95-951100131</v>
      </c>
      <c r="C1559" s="179" t="s">
        <v>7340</v>
      </c>
    </row>
    <row r="1560" spans="1:3">
      <c r="A1560" s="177">
        <v>951100183</v>
      </c>
      <c r="B1560" s="116" t="str">
        <f t="shared" si="24"/>
        <v>95-951100183</v>
      </c>
      <c r="C1560" s="179" t="s">
        <v>7341</v>
      </c>
    </row>
    <row r="1561" spans="1:3">
      <c r="A1561" s="177">
        <v>952000203</v>
      </c>
      <c r="B1561" s="116" t="str">
        <f t="shared" si="24"/>
        <v>95-952000203</v>
      </c>
      <c r="C1561" s="179" t="s">
        <v>7342</v>
      </c>
    </row>
    <row r="1562" spans="1:3">
      <c r="A1562" s="177">
        <v>956300003</v>
      </c>
      <c r="B1562" s="116" t="str">
        <f t="shared" si="24"/>
        <v>95-956300003</v>
      </c>
      <c r="C1562" s="179" t="s">
        <v>7320</v>
      </c>
    </row>
    <row r="1563" spans="1:3">
      <c r="A1563" s="177">
        <v>952000278</v>
      </c>
      <c r="B1563" s="116" t="str">
        <f t="shared" si="24"/>
        <v>95-952000278</v>
      </c>
      <c r="C1563" s="179" t="s">
        <v>7280</v>
      </c>
    </row>
    <row r="1564" spans="1:3">
      <c r="A1564" s="177">
        <v>962000023</v>
      </c>
      <c r="B1564" s="116" t="str">
        <f t="shared" si="24"/>
        <v>96-962000023</v>
      </c>
      <c r="C1564" s="179" t="s">
        <v>7112</v>
      </c>
    </row>
    <row r="1565" spans="1:3">
      <c r="A1565" s="177">
        <v>951200039</v>
      </c>
      <c r="B1565" s="116" t="str">
        <f t="shared" si="24"/>
        <v>95-951200039</v>
      </c>
      <c r="C1565" s="179" t="s">
        <v>7371</v>
      </c>
    </row>
    <row r="1566" spans="1:3">
      <c r="A1566" s="177">
        <v>961200131</v>
      </c>
      <c r="B1566" s="116" t="str">
        <f t="shared" si="24"/>
        <v>96-961200131</v>
      </c>
      <c r="C1566" s="179" t="s">
        <v>12225</v>
      </c>
    </row>
    <row r="1567" spans="1:3">
      <c r="A1567" s="177">
        <v>966200143</v>
      </c>
      <c r="B1567" s="116" t="str">
        <f t="shared" si="24"/>
        <v>96-966200143</v>
      </c>
      <c r="C1567" s="179" t="s">
        <v>7343</v>
      </c>
    </row>
    <row r="1568" spans="1:3">
      <c r="A1568" s="177">
        <v>962000201</v>
      </c>
      <c r="B1568" s="116" t="str">
        <f t="shared" si="24"/>
        <v>96-962000201</v>
      </c>
      <c r="C1568" s="179" t="s">
        <v>7112</v>
      </c>
    </row>
    <row r="1569" spans="1:3">
      <c r="A1569" s="177">
        <v>956200219</v>
      </c>
      <c r="B1569" s="116" t="str">
        <f t="shared" si="24"/>
        <v>95-956200219</v>
      </c>
      <c r="C1569" s="179" t="s">
        <v>7357</v>
      </c>
    </row>
    <row r="1570" spans="1:3">
      <c r="A1570" s="177">
        <v>956300020</v>
      </c>
      <c r="B1570" s="116" t="str">
        <f t="shared" si="24"/>
        <v>95-956300020</v>
      </c>
      <c r="C1570" s="179" t="s">
        <v>7322</v>
      </c>
    </row>
    <row r="1571" spans="1:3">
      <c r="A1571" s="177">
        <v>966300045</v>
      </c>
      <c r="B1571" s="116" t="str">
        <f t="shared" si="24"/>
        <v>96-966300045</v>
      </c>
      <c r="C1571" s="179" t="s">
        <v>12263</v>
      </c>
    </row>
    <row r="1572" spans="1:3">
      <c r="A1572" s="177">
        <v>956200258</v>
      </c>
      <c r="B1572" s="116" t="str">
        <f t="shared" si="24"/>
        <v>95-956200258</v>
      </c>
      <c r="C1572" s="179" t="s">
        <v>7347</v>
      </c>
    </row>
    <row r="1573" spans="1:3">
      <c r="A1573" s="177">
        <v>966300008</v>
      </c>
      <c r="B1573" s="116" t="str">
        <f t="shared" si="24"/>
        <v>96-966300008</v>
      </c>
      <c r="C1573" s="179" t="s">
        <v>12226</v>
      </c>
    </row>
    <row r="1574" spans="1:3">
      <c r="A1574" s="177">
        <v>966300051</v>
      </c>
      <c r="B1574" s="116" t="str">
        <f t="shared" si="24"/>
        <v>96-966300051</v>
      </c>
      <c r="C1574" s="179" t="s">
        <v>12190</v>
      </c>
    </row>
    <row r="1575" spans="1:3">
      <c r="A1575" s="177">
        <v>951100072</v>
      </c>
      <c r="B1575" s="116" t="str">
        <f t="shared" si="24"/>
        <v>95-951100072</v>
      </c>
      <c r="C1575" s="179" t="s">
        <v>7352</v>
      </c>
    </row>
    <row r="1576" spans="1:3">
      <c r="A1576" s="177">
        <v>962000312</v>
      </c>
      <c r="B1576" s="116" t="str">
        <f t="shared" si="24"/>
        <v>96-962000312</v>
      </c>
      <c r="C1576" s="179" t="s">
        <v>7112</v>
      </c>
    </row>
    <row r="1577" spans="1:3">
      <c r="A1577" s="177">
        <v>951100167</v>
      </c>
      <c r="B1577" s="116" t="str">
        <f t="shared" si="24"/>
        <v>95-951100167</v>
      </c>
      <c r="C1577" s="179" t="s">
        <v>7354</v>
      </c>
    </row>
    <row r="1578" spans="1:3">
      <c r="A1578" s="177">
        <v>961200053</v>
      </c>
      <c r="B1578" s="116" t="str">
        <f t="shared" si="24"/>
        <v>96-961200053</v>
      </c>
      <c r="C1578" s="179" t="s">
        <v>7355</v>
      </c>
    </row>
    <row r="1579" spans="1:3">
      <c r="A1579" s="177">
        <v>961200066</v>
      </c>
      <c r="B1579" s="116" t="str">
        <f t="shared" si="24"/>
        <v>96-961200066</v>
      </c>
      <c r="C1579" s="179" t="s">
        <v>7356</v>
      </c>
    </row>
    <row r="1580" spans="1:3">
      <c r="A1580" s="177">
        <v>961200079</v>
      </c>
      <c r="B1580" s="116" t="str">
        <f t="shared" si="24"/>
        <v>96-961200079</v>
      </c>
      <c r="C1580" s="179" t="s">
        <v>8731</v>
      </c>
    </row>
    <row r="1581" spans="1:3">
      <c r="A1581" s="177">
        <v>961200125</v>
      </c>
      <c r="B1581" s="116" t="str">
        <f t="shared" si="24"/>
        <v>96-961200125</v>
      </c>
      <c r="C1581" s="179" t="s">
        <v>9791</v>
      </c>
    </row>
    <row r="1582" spans="1:3">
      <c r="A1582" s="177">
        <v>961200174</v>
      </c>
      <c r="B1582" s="116" t="str">
        <f t="shared" si="24"/>
        <v>96-961200174</v>
      </c>
      <c r="C1582" s="179" t="s">
        <v>12431</v>
      </c>
    </row>
    <row r="1583" spans="1:3">
      <c r="A1583" s="177">
        <v>952000148</v>
      </c>
      <c r="B1583" s="116" t="str">
        <f t="shared" si="24"/>
        <v>95-952000148</v>
      </c>
      <c r="C1583" s="179" t="s">
        <v>7332</v>
      </c>
    </row>
    <row r="1584" spans="1:3">
      <c r="A1584" s="177">
        <v>966200021</v>
      </c>
      <c r="B1584" s="116" t="str">
        <f t="shared" si="24"/>
        <v>96-966200021</v>
      </c>
      <c r="C1584" s="179" t="s">
        <v>7360</v>
      </c>
    </row>
    <row r="1585" spans="1:3">
      <c r="A1585" s="177">
        <v>962000221</v>
      </c>
      <c r="B1585" s="116" t="str">
        <f t="shared" si="24"/>
        <v>96-962000221</v>
      </c>
      <c r="C1585" s="179" t="s">
        <v>7112</v>
      </c>
    </row>
    <row r="1586" spans="1:3">
      <c r="A1586" s="177">
        <v>956200113</v>
      </c>
      <c r="B1586" s="116" t="str">
        <f t="shared" si="24"/>
        <v>95-956200113</v>
      </c>
      <c r="C1586" s="179" t="s">
        <v>7358</v>
      </c>
    </row>
    <row r="1587" spans="1:3">
      <c r="A1587" s="177">
        <v>956200114</v>
      </c>
      <c r="B1587" s="116" t="str">
        <f t="shared" si="24"/>
        <v>95-956200114</v>
      </c>
      <c r="C1587" s="179" t="s">
        <v>7358</v>
      </c>
    </row>
    <row r="1588" spans="1:3">
      <c r="A1588" s="177">
        <v>956200116</v>
      </c>
      <c r="B1588" s="116" t="str">
        <f t="shared" si="24"/>
        <v>95-956200116</v>
      </c>
      <c r="C1588" s="179" t="s">
        <v>7359</v>
      </c>
    </row>
    <row r="1589" spans="1:3">
      <c r="A1589" s="177">
        <v>966200022</v>
      </c>
      <c r="B1589" s="116" t="str">
        <f t="shared" si="24"/>
        <v>96-966200022</v>
      </c>
      <c r="C1589" s="179" t="s">
        <v>7360</v>
      </c>
    </row>
    <row r="1590" spans="1:3">
      <c r="A1590" s="177">
        <v>966200107</v>
      </c>
      <c r="B1590" s="116" t="str">
        <f t="shared" si="24"/>
        <v>96-966200107</v>
      </c>
      <c r="C1590" s="179" t="s">
        <v>7361</v>
      </c>
    </row>
    <row r="1591" spans="1:3">
      <c r="A1591" s="177">
        <v>966200504</v>
      </c>
      <c r="B1591" s="116" t="str">
        <f t="shared" si="24"/>
        <v>96-966200504</v>
      </c>
      <c r="C1591" s="179" t="s">
        <v>12415</v>
      </c>
    </row>
    <row r="1592" spans="1:3">
      <c r="A1592" s="177">
        <v>966200155</v>
      </c>
      <c r="B1592" s="116" t="str">
        <f t="shared" si="24"/>
        <v>96-966200155</v>
      </c>
      <c r="C1592" s="179" t="s">
        <v>7362</v>
      </c>
    </row>
    <row r="1593" spans="1:3">
      <c r="A1593" s="177">
        <v>966200158</v>
      </c>
      <c r="B1593" s="116" t="str">
        <f t="shared" si="24"/>
        <v>96-966200158</v>
      </c>
      <c r="C1593" s="179" t="s">
        <v>7362</v>
      </c>
    </row>
    <row r="1594" spans="1:3">
      <c r="A1594" s="177">
        <v>966200169</v>
      </c>
      <c r="B1594" s="116" t="str">
        <f t="shared" si="24"/>
        <v>96-966200169</v>
      </c>
      <c r="C1594" s="179" t="s">
        <v>7363</v>
      </c>
    </row>
    <row r="1595" spans="1:3">
      <c r="A1595" s="177">
        <v>966200174</v>
      </c>
      <c r="B1595" s="116" t="str">
        <f t="shared" si="24"/>
        <v>96-966200174</v>
      </c>
      <c r="C1595" s="179" t="s">
        <v>7363</v>
      </c>
    </row>
    <row r="1596" spans="1:3">
      <c r="A1596" s="177">
        <v>966200231</v>
      </c>
      <c r="B1596" s="116" t="str">
        <f t="shared" si="24"/>
        <v>96-966200231</v>
      </c>
      <c r="C1596" s="179" t="s">
        <v>7116</v>
      </c>
    </row>
    <row r="1597" spans="1:3">
      <c r="A1597" s="177">
        <v>966200452</v>
      </c>
      <c r="B1597" s="116" t="str">
        <f t="shared" si="24"/>
        <v>96-966200452</v>
      </c>
      <c r="C1597" s="179" t="s">
        <v>12192</v>
      </c>
    </row>
    <row r="1598" spans="1:3">
      <c r="A1598" s="177">
        <v>966200486</v>
      </c>
      <c r="B1598" s="116" t="str">
        <f t="shared" si="24"/>
        <v>96-966200486</v>
      </c>
      <c r="C1598" s="179" t="s">
        <v>12186</v>
      </c>
    </row>
    <row r="1599" spans="1:3">
      <c r="A1599" s="177">
        <v>962000133</v>
      </c>
      <c r="B1599" s="116" t="str">
        <f t="shared" si="24"/>
        <v>96-962000133</v>
      </c>
      <c r="C1599" s="179" t="s">
        <v>7112</v>
      </c>
    </row>
    <row r="1600" spans="1:3">
      <c r="A1600" s="177">
        <v>951100139</v>
      </c>
      <c r="B1600" s="116" t="str">
        <f t="shared" si="24"/>
        <v>95-951100139</v>
      </c>
      <c r="C1600" s="179" t="s">
        <v>7348</v>
      </c>
    </row>
    <row r="1601" spans="1:3">
      <c r="A1601" s="177">
        <v>951100163</v>
      </c>
      <c r="B1601" s="116" t="str">
        <f t="shared" si="24"/>
        <v>95-951100163</v>
      </c>
      <c r="C1601" s="179" t="s">
        <v>7349</v>
      </c>
    </row>
    <row r="1602" spans="1:3">
      <c r="A1602" s="177">
        <v>951100038</v>
      </c>
      <c r="B1602" s="116" t="str">
        <f t="shared" si="24"/>
        <v>95-951100038</v>
      </c>
      <c r="C1602" s="179" t="s">
        <v>7785</v>
      </c>
    </row>
    <row r="1603" spans="1:3">
      <c r="A1603" s="177">
        <v>966300014</v>
      </c>
      <c r="B1603" s="116" t="str">
        <f t="shared" ref="B1603:B1666" si="25">MID(A1603,1,2)&amp;"-"&amp;A1603</f>
        <v>96-966300014</v>
      </c>
      <c r="C1603" s="179" t="s">
        <v>12228</v>
      </c>
    </row>
    <row r="1604" spans="1:3">
      <c r="A1604" s="177">
        <v>951100065</v>
      </c>
      <c r="B1604" s="116" t="str">
        <f t="shared" si="25"/>
        <v>95-951100065</v>
      </c>
      <c r="C1604" s="179" t="s">
        <v>7350</v>
      </c>
    </row>
    <row r="1605" spans="1:3">
      <c r="A1605" s="177">
        <v>951100105</v>
      </c>
      <c r="B1605" s="116" t="str">
        <f t="shared" si="25"/>
        <v>95-951100105</v>
      </c>
      <c r="C1605" s="179" t="s">
        <v>7351</v>
      </c>
    </row>
    <row r="1606" spans="1:3">
      <c r="A1606" s="177">
        <v>956200004</v>
      </c>
      <c r="B1606" s="116" t="str">
        <f t="shared" si="25"/>
        <v>95-956200004</v>
      </c>
      <c r="C1606" s="179" t="s">
        <v>7267</v>
      </c>
    </row>
    <row r="1607" spans="1:3">
      <c r="A1607" s="177">
        <v>961100067</v>
      </c>
      <c r="B1607" s="116" t="str">
        <f t="shared" si="25"/>
        <v>96-961100067</v>
      </c>
      <c r="C1607" s="179" t="s">
        <v>7480</v>
      </c>
    </row>
    <row r="1608" spans="1:3">
      <c r="A1608" s="177">
        <v>951100030</v>
      </c>
      <c r="B1608" s="116" t="str">
        <f t="shared" si="25"/>
        <v>95-951100030</v>
      </c>
      <c r="C1608" s="179" t="s">
        <v>7855</v>
      </c>
    </row>
    <row r="1609" spans="1:3">
      <c r="A1609" s="177">
        <v>956200257</v>
      </c>
      <c r="B1609" s="116" t="str">
        <f t="shared" si="25"/>
        <v>95-956200257</v>
      </c>
      <c r="C1609" s="179" t="s">
        <v>7347</v>
      </c>
    </row>
    <row r="1610" spans="1:3">
      <c r="A1610" s="177">
        <v>962000256</v>
      </c>
      <c r="B1610" s="116" t="str">
        <f t="shared" si="25"/>
        <v>96-962000256</v>
      </c>
      <c r="C1610" s="179" t="s">
        <v>7112</v>
      </c>
    </row>
    <row r="1611" spans="1:3">
      <c r="A1611" s="177">
        <v>966200020</v>
      </c>
      <c r="B1611" s="116" t="str">
        <f t="shared" si="25"/>
        <v>96-966200020</v>
      </c>
      <c r="C1611" s="179" t="s">
        <v>7370</v>
      </c>
    </row>
    <row r="1612" spans="1:3">
      <c r="A1612" s="177">
        <v>962000441</v>
      </c>
      <c r="B1612" s="116" t="str">
        <f t="shared" si="25"/>
        <v>96-962000441</v>
      </c>
      <c r="C1612" s="179" t="s">
        <v>12184</v>
      </c>
    </row>
    <row r="1613" spans="1:3">
      <c r="A1613" s="177">
        <v>951100193</v>
      </c>
      <c r="B1613" s="116" t="str">
        <f t="shared" si="25"/>
        <v>95-951100193</v>
      </c>
      <c r="C1613" s="179" t="s">
        <v>7781</v>
      </c>
    </row>
    <row r="1614" spans="1:3">
      <c r="A1614" s="177">
        <v>956200015</v>
      </c>
      <c r="B1614" s="116" t="str">
        <f t="shared" si="25"/>
        <v>95-956200015</v>
      </c>
      <c r="C1614" s="179" t="s">
        <v>7372</v>
      </c>
    </row>
    <row r="1615" spans="1:3">
      <c r="A1615" s="177">
        <v>956200089</v>
      </c>
      <c r="B1615" s="116" t="str">
        <f t="shared" si="25"/>
        <v>95-956200089</v>
      </c>
      <c r="C1615" s="179" t="s">
        <v>7373</v>
      </c>
    </row>
    <row r="1616" spans="1:3">
      <c r="A1616" s="177">
        <v>962000032</v>
      </c>
      <c r="B1616" s="116" t="str">
        <f t="shared" si="25"/>
        <v>96-962000032</v>
      </c>
      <c r="C1616" s="179" t="s">
        <v>7112</v>
      </c>
    </row>
    <row r="1617" spans="1:3">
      <c r="A1617" s="177">
        <v>961100106</v>
      </c>
      <c r="B1617" s="116" t="str">
        <f t="shared" si="25"/>
        <v>96-961100106</v>
      </c>
      <c r="C1617" s="179" t="s">
        <v>12432</v>
      </c>
    </row>
    <row r="1618" spans="1:3">
      <c r="A1618" s="177">
        <v>961100036</v>
      </c>
      <c r="B1618" s="116" t="str">
        <f t="shared" si="25"/>
        <v>96-961100036</v>
      </c>
      <c r="C1618" s="179" t="s">
        <v>7365</v>
      </c>
    </row>
    <row r="1619" spans="1:3">
      <c r="A1619" s="177">
        <v>956200012</v>
      </c>
      <c r="B1619" s="116" t="str">
        <f t="shared" si="25"/>
        <v>95-956200012</v>
      </c>
      <c r="C1619" s="179" t="s">
        <v>7376</v>
      </c>
    </row>
    <row r="1620" spans="1:3">
      <c r="A1620" s="177">
        <v>951100041</v>
      </c>
      <c r="B1620" s="116" t="str">
        <f t="shared" si="25"/>
        <v>95-951100041</v>
      </c>
      <c r="C1620" s="179" t="s">
        <v>7366</v>
      </c>
    </row>
    <row r="1621" spans="1:3">
      <c r="A1621" s="177">
        <v>951100166</v>
      </c>
      <c r="B1621" s="116" t="str">
        <f t="shared" si="25"/>
        <v>95-951100166</v>
      </c>
      <c r="C1621" s="179" t="s">
        <v>7367</v>
      </c>
    </row>
    <row r="1622" spans="1:3">
      <c r="A1622" s="177">
        <v>962000011</v>
      </c>
      <c r="B1622" s="116" t="str">
        <f t="shared" si="25"/>
        <v>96-962000011</v>
      </c>
      <c r="C1622" s="179" t="s">
        <v>7112</v>
      </c>
    </row>
    <row r="1623" spans="1:3">
      <c r="A1623" s="177">
        <v>966200375</v>
      </c>
      <c r="B1623" s="116" t="str">
        <f t="shared" si="25"/>
        <v>96-966200375</v>
      </c>
      <c r="C1623" s="179" t="s">
        <v>12238</v>
      </c>
    </row>
    <row r="1624" spans="1:3">
      <c r="A1624" s="177">
        <v>962000150</v>
      </c>
      <c r="B1624" s="116" t="str">
        <f t="shared" si="25"/>
        <v>96-962000150</v>
      </c>
      <c r="C1624" s="179" t="s">
        <v>7112</v>
      </c>
    </row>
    <row r="1625" spans="1:3">
      <c r="A1625" s="177">
        <v>966200023</v>
      </c>
      <c r="B1625" s="116" t="str">
        <f t="shared" si="25"/>
        <v>96-966200023</v>
      </c>
      <c r="C1625" s="179" t="s">
        <v>7360</v>
      </c>
    </row>
    <row r="1626" spans="1:3">
      <c r="A1626" s="177">
        <v>966200138</v>
      </c>
      <c r="B1626" s="116" t="str">
        <f t="shared" si="25"/>
        <v>96-966200138</v>
      </c>
      <c r="C1626" s="179" t="s">
        <v>7368</v>
      </c>
    </row>
    <row r="1627" spans="1:3">
      <c r="A1627" s="177">
        <v>966200154</v>
      </c>
      <c r="B1627" s="116" t="str">
        <f t="shared" si="25"/>
        <v>96-966200154</v>
      </c>
      <c r="C1627" s="179" t="s">
        <v>7362</v>
      </c>
    </row>
    <row r="1628" spans="1:3">
      <c r="A1628" s="177">
        <v>966200157</v>
      </c>
      <c r="B1628" s="116" t="str">
        <f t="shared" si="25"/>
        <v>96-966200157</v>
      </c>
      <c r="C1628" s="179" t="s">
        <v>7362</v>
      </c>
    </row>
    <row r="1629" spans="1:3">
      <c r="A1629" s="177">
        <v>966200159</v>
      </c>
      <c r="B1629" s="116" t="str">
        <f t="shared" si="25"/>
        <v>96-966200159</v>
      </c>
      <c r="C1629" s="179" t="s">
        <v>7362</v>
      </c>
    </row>
    <row r="1630" spans="1:3">
      <c r="A1630" s="177">
        <v>952000284</v>
      </c>
      <c r="B1630" s="116" t="str">
        <f t="shared" si="25"/>
        <v>95-952000284</v>
      </c>
      <c r="C1630" s="179" t="s">
        <v>7280</v>
      </c>
    </row>
    <row r="1631" spans="1:3">
      <c r="A1631" s="177">
        <v>966200160</v>
      </c>
      <c r="B1631" s="116" t="str">
        <f t="shared" si="25"/>
        <v>96-966200160</v>
      </c>
      <c r="C1631" s="179" t="s">
        <v>7362</v>
      </c>
    </row>
    <row r="1632" spans="1:3">
      <c r="A1632" s="177">
        <v>966200168</v>
      </c>
      <c r="B1632" s="116" t="str">
        <f t="shared" si="25"/>
        <v>96-966200168</v>
      </c>
      <c r="C1632" s="179" t="s">
        <v>7363</v>
      </c>
    </row>
    <row r="1633" spans="1:3">
      <c r="A1633" s="177">
        <v>966200173</v>
      </c>
      <c r="B1633" s="116" t="str">
        <f t="shared" si="25"/>
        <v>96-966200173</v>
      </c>
      <c r="C1633" s="179" t="s">
        <v>7363</v>
      </c>
    </row>
    <row r="1634" spans="1:3">
      <c r="A1634" s="177">
        <v>966200177</v>
      </c>
      <c r="B1634" s="116" t="str">
        <f t="shared" si="25"/>
        <v>96-966200177</v>
      </c>
      <c r="C1634" s="179" t="s">
        <v>7363</v>
      </c>
    </row>
    <row r="1635" spans="1:3">
      <c r="A1635" s="177">
        <v>966200498</v>
      </c>
      <c r="B1635" s="116" t="str">
        <f t="shared" si="25"/>
        <v>96-966200498</v>
      </c>
      <c r="C1635" s="179" t="s">
        <v>12415</v>
      </c>
    </row>
    <row r="1636" spans="1:3">
      <c r="A1636" s="177">
        <v>952000289</v>
      </c>
      <c r="B1636" s="116" t="str">
        <f t="shared" si="25"/>
        <v>95-952000289</v>
      </c>
      <c r="C1636" s="179" t="s">
        <v>7280</v>
      </c>
    </row>
    <row r="1637" spans="1:3">
      <c r="A1637" s="177">
        <v>962000004</v>
      </c>
      <c r="B1637" s="116" t="str">
        <f t="shared" si="25"/>
        <v>96-962000004</v>
      </c>
      <c r="C1637" s="179" t="s">
        <v>7112</v>
      </c>
    </row>
    <row r="1638" spans="1:3">
      <c r="A1638" s="177">
        <v>962000066</v>
      </c>
      <c r="B1638" s="116" t="str">
        <f t="shared" si="25"/>
        <v>96-962000066</v>
      </c>
      <c r="C1638" s="179" t="s">
        <v>7112</v>
      </c>
    </row>
    <row r="1639" spans="1:3">
      <c r="A1639" s="177">
        <v>956200326</v>
      </c>
      <c r="B1639" s="116" t="str">
        <f t="shared" si="25"/>
        <v>95-956200326</v>
      </c>
      <c r="C1639" s="179" t="s">
        <v>7289</v>
      </c>
    </row>
    <row r="1640" spans="1:3">
      <c r="A1640" s="177">
        <v>961100041</v>
      </c>
      <c r="B1640" s="116" t="str">
        <f t="shared" si="25"/>
        <v>96-961100041</v>
      </c>
      <c r="C1640" s="179" t="s">
        <v>7381</v>
      </c>
    </row>
    <row r="1641" spans="1:3">
      <c r="A1641" s="177">
        <v>962000236</v>
      </c>
      <c r="B1641" s="116" t="str">
        <f t="shared" si="25"/>
        <v>96-962000236</v>
      </c>
      <c r="C1641" s="179" t="s">
        <v>7112</v>
      </c>
    </row>
    <row r="1642" spans="1:3">
      <c r="A1642" s="177">
        <v>956200129</v>
      </c>
      <c r="B1642" s="116" t="str">
        <f t="shared" si="25"/>
        <v>95-956200129</v>
      </c>
      <c r="C1642" s="179" t="s">
        <v>7382</v>
      </c>
    </row>
    <row r="1643" spans="1:3">
      <c r="A1643" s="177">
        <v>956300014</v>
      </c>
      <c r="B1643" s="116" t="str">
        <f t="shared" si="25"/>
        <v>95-956300014</v>
      </c>
      <c r="C1643" s="179" t="s">
        <v>7383</v>
      </c>
    </row>
    <row r="1644" spans="1:3">
      <c r="A1644" s="177">
        <v>962000242</v>
      </c>
      <c r="B1644" s="116" t="str">
        <f t="shared" si="25"/>
        <v>96-962000242</v>
      </c>
      <c r="C1644" s="179" t="s">
        <v>7112</v>
      </c>
    </row>
    <row r="1645" spans="1:3">
      <c r="A1645" s="177">
        <v>962000087</v>
      </c>
      <c r="B1645" s="116" t="str">
        <f t="shared" si="25"/>
        <v>96-962000087</v>
      </c>
      <c r="C1645" s="179" t="s">
        <v>7112</v>
      </c>
    </row>
    <row r="1646" spans="1:3">
      <c r="A1646" s="177">
        <v>962000355</v>
      </c>
      <c r="B1646" s="116" t="str">
        <f t="shared" si="25"/>
        <v>96-962000355</v>
      </c>
      <c r="C1646" s="179" t="s">
        <v>12184</v>
      </c>
    </row>
    <row r="1647" spans="1:3">
      <c r="A1647" s="177">
        <v>961200110</v>
      </c>
      <c r="B1647" s="116" t="str">
        <f t="shared" si="25"/>
        <v>96-961200110</v>
      </c>
      <c r="C1647" s="179" t="s">
        <v>9780</v>
      </c>
    </row>
    <row r="1648" spans="1:3">
      <c r="A1648" s="177">
        <v>952000004</v>
      </c>
      <c r="B1648" s="116" t="str">
        <f t="shared" si="25"/>
        <v>95-952000004</v>
      </c>
      <c r="C1648" s="179" t="s">
        <v>7384</v>
      </c>
    </row>
    <row r="1649" spans="1:3">
      <c r="A1649" s="177">
        <v>952000231</v>
      </c>
      <c r="B1649" s="116" t="str">
        <f t="shared" si="25"/>
        <v>95-952000231</v>
      </c>
      <c r="C1649" s="179" t="s">
        <v>7385</v>
      </c>
    </row>
    <row r="1650" spans="1:3">
      <c r="A1650" s="177">
        <v>962000109</v>
      </c>
      <c r="B1650" s="116" t="str">
        <f t="shared" si="25"/>
        <v>96-962000109</v>
      </c>
      <c r="C1650" s="179" t="s">
        <v>7112</v>
      </c>
    </row>
    <row r="1651" spans="1:3">
      <c r="A1651" s="177">
        <v>962000336</v>
      </c>
      <c r="B1651" s="116" t="str">
        <f t="shared" si="25"/>
        <v>96-962000336</v>
      </c>
      <c r="C1651" s="179" t="s">
        <v>7112</v>
      </c>
    </row>
    <row r="1652" spans="1:3">
      <c r="A1652" s="177">
        <v>952000163</v>
      </c>
      <c r="B1652" s="116" t="str">
        <f t="shared" si="25"/>
        <v>95-952000163</v>
      </c>
      <c r="C1652" s="179" t="s">
        <v>7386</v>
      </c>
    </row>
    <row r="1653" spans="1:3">
      <c r="A1653" s="177">
        <v>962000463</v>
      </c>
      <c r="B1653" s="116" t="str">
        <f t="shared" si="25"/>
        <v>96-962000463</v>
      </c>
      <c r="C1653" s="179" t="s">
        <v>12184</v>
      </c>
    </row>
    <row r="1654" spans="1:3">
      <c r="A1654" s="177">
        <v>962000261</v>
      </c>
      <c r="B1654" s="116" t="str">
        <f t="shared" si="25"/>
        <v>96-962000261</v>
      </c>
      <c r="C1654" s="179" t="s">
        <v>7112</v>
      </c>
    </row>
    <row r="1655" spans="1:3">
      <c r="A1655" s="177">
        <v>952000059</v>
      </c>
      <c r="B1655" s="116" t="str">
        <f t="shared" si="25"/>
        <v>95-952000059</v>
      </c>
      <c r="C1655" s="179" t="s">
        <v>7331</v>
      </c>
    </row>
    <row r="1656" spans="1:3">
      <c r="A1656" s="177">
        <v>961200025</v>
      </c>
      <c r="B1656" s="116" t="str">
        <f t="shared" si="25"/>
        <v>96-961200025</v>
      </c>
      <c r="C1656" s="179" t="s">
        <v>7387</v>
      </c>
    </row>
    <row r="1657" spans="1:3">
      <c r="A1657" s="177">
        <v>961200078</v>
      </c>
      <c r="B1657" s="116" t="str">
        <f t="shared" si="25"/>
        <v>96-961200078</v>
      </c>
      <c r="C1657" s="179" t="s">
        <v>7117</v>
      </c>
    </row>
    <row r="1658" spans="1:3">
      <c r="A1658" s="177">
        <v>961200097</v>
      </c>
      <c r="B1658" s="116" t="str">
        <f t="shared" si="25"/>
        <v>96-961200097</v>
      </c>
      <c r="C1658" s="179" t="s">
        <v>9764</v>
      </c>
    </row>
    <row r="1659" spans="1:3">
      <c r="A1659" s="177">
        <v>961200112</v>
      </c>
      <c r="B1659" s="116" t="str">
        <f t="shared" si="25"/>
        <v>96-961200112</v>
      </c>
      <c r="C1659" s="179" t="s">
        <v>9764</v>
      </c>
    </row>
    <row r="1660" spans="1:3">
      <c r="A1660" s="177">
        <v>961200147</v>
      </c>
      <c r="B1660" s="116" t="str">
        <f t="shared" si="25"/>
        <v>96-961200147</v>
      </c>
      <c r="C1660" s="179" t="s">
        <v>12231</v>
      </c>
    </row>
    <row r="1661" spans="1:3">
      <c r="A1661" s="177">
        <v>961200151</v>
      </c>
      <c r="B1661" s="116" t="str">
        <f t="shared" si="25"/>
        <v>96-961200151</v>
      </c>
      <c r="C1661" s="179" t="s">
        <v>12231</v>
      </c>
    </row>
    <row r="1662" spans="1:3">
      <c r="A1662" s="177">
        <v>966200392</v>
      </c>
      <c r="B1662" s="116" t="str">
        <f t="shared" si="25"/>
        <v>96-966200392</v>
      </c>
      <c r="C1662" s="179" t="s">
        <v>12239</v>
      </c>
    </row>
    <row r="1663" spans="1:3">
      <c r="A1663" s="177">
        <v>951100010</v>
      </c>
      <c r="B1663" s="116" t="str">
        <f t="shared" si="25"/>
        <v>95-951100010</v>
      </c>
      <c r="C1663" s="179" t="s">
        <v>7389</v>
      </c>
    </row>
    <row r="1664" spans="1:3">
      <c r="A1664" s="177">
        <v>956200128</v>
      </c>
      <c r="B1664" s="116" t="str">
        <f t="shared" si="25"/>
        <v>95-956200128</v>
      </c>
      <c r="C1664" s="179" t="s">
        <v>7390</v>
      </c>
    </row>
    <row r="1665" spans="1:3">
      <c r="A1665" s="177">
        <v>966200123</v>
      </c>
      <c r="B1665" s="116" t="str">
        <f t="shared" si="25"/>
        <v>96-966200123</v>
      </c>
      <c r="C1665" s="179" t="s">
        <v>7391</v>
      </c>
    </row>
    <row r="1666" spans="1:3">
      <c r="A1666" s="177">
        <v>952000178</v>
      </c>
      <c r="B1666" s="116" t="str">
        <f t="shared" si="25"/>
        <v>95-952000178</v>
      </c>
      <c r="C1666" s="179" t="s">
        <v>7392</v>
      </c>
    </row>
    <row r="1667" spans="1:3">
      <c r="A1667" s="177">
        <v>952000121</v>
      </c>
      <c r="B1667" s="116" t="str">
        <f t="shared" ref="B1667:B1730" si="26">MID(A1667,1,2)&amp;"-"&amp;A1667</f>
        <v>95-952000121</v>
      </c>
      <c r="C1667" s="179" t="s">
        <v>7274</v>
      </c>
    </row>
    <row r="1668" spans="1:3">
      <c r="A1668" s="177">
        <v>952000037</v>
      </c>
      <c r="B1668" s="116" t="str">
        <f t="shared" si="26"/>
        <v>95-952000037</v>
      </c>
      <c r="C1668" s="179" t="s">
        <v>7331</v>
      </c>
    </row>
    <row r="1669" spans="1:3">
      <c r="A1669" s="177">
        <v>962000073</v>
      </c>
      <c r="B1669" s="116" t="str">
        <f t="shared" si="26"/>
        <v>96-962000073</v>
      </c>
      <c r="C1669" s="179" t="s">
        <v>7112</v>
      </c>
    </row>
    <row r="1670" spans="1:3">
      <c r="A1670" s="177">
        <v>962000405</v>
      </c>
      <c r="B1670" s="116" t="str">
        <f t="shared" si="26"/>
        <v>96-962000405</v>
      </c>
      <c r="C1670" s="179" t="s">
        <v>12184</v>
      </c>
    </row>
    <row r="1671" spans="1:3">
      <c r="A1671" s="177">
        <v>952000098</v>
      </c>
      <c r="B1671" s="116" t="str">
        <f t="shared" si="26"/>
        <v>95-952000098</v>
      </c>
      <c r="C1671" s="179" t="s">
        <v>7321</v>
      </c>
    </row>
    <row r="1672" spans="1:3">
      <c r="A1672" s="177">
        <v>962000396</v>
      </c>
      <c r="B1672" s="116" t="str">
        <f t="shared" si="26"/>
        <v>96-962000396</v>
      </c>
      <c r="C1672" s="179" t="s">
        <v>12184</v>
      </c>
    </row>
    <row r="1673" spans="1:3">
      <c r="A1673" s="177">
        <v>961100111</v>
      </c>
      <c r="B1673" s="116" t="str">
        <f t="shared" si="26"/>
        <v>96-961100111</v>
      </c>
      <c r="C1673" s="179" t="s">
        <v>12433</v>
      </c>
    </row>
    <row r="1674" spans="1:3">
      <c r="A1674" s="177">
        <v>951100135</v>
      </c>
      <c r="B1674" s="116" t="str">
        <f t="shared" si="26"/>
        <v>95-951100135</v>
      </c>
      <c r="C1674" s="179" t="s">
        <v>7803</v>
      </c>
    </row>
    <row r="1675" spans="1:3">
      <c r="A1675" s="177">
        <v>952000303</v>
      </c>
      <c r="B1675" s="116" t="str">
        <f t="shared" si="26"/>
        <v>95-952000303</v>
      </c>
      <c r="C1675" s="179" t="s">
        <v>7329</v>
      </c>
    </row>
    <row r="1676" spans="1:3">
      <c r="A1676" s="177">
        <v>962000260</v>
      </c>
      <c r="B1676" s="116" t="str">
        <f t="shared" si="26"/>
        <v>96-962000260</v>
      </c>
      <c r="C1676" s="179" t="s">
        <v>7112</v>
      </c>
    </row>
    <row r="1677" spans="1:3">
      <c r="A1677" s="177">
        <v>956200024</v>
      </c>
      <c r="B1677" s="116" t="str">
        <f t="shared" si="26"/>
        <v>95-956200024</v>
      </c>
      <c r="C1677" s="179" t="s">
        <v>7399</v>
      </c>
    </row>
    <row r="1678" spans="1:3">
      <c r="A1678" s="177">
        <v>951100020</v>
      </c>
      <c r="B1678" s="116" t="str">
        <f t="shared" si="26"/>
        <v>95-951100020</v>
      </c>
      <c r="C1678" s="179" t="s">
        <v>7400</v>
      </c>
    </row>
    <row r="1679" spans="1:3">
      <c r="A1679" s="177">
        <v>966300015</v>
      </c>
      <c r="B1679" s="116" t="str">
        <f t="shared" si="26"/>
        <v>96-966300015</v>
      </c>
      <c r="C1679" s="179" t="s">
        <v>12273</v>
      </c>
    </row>
    <row r="1680" spans="1:3">
      <c r="A1680" s="177">
        <v>966200215</v>
      </c>
      <c r="B1680" s="116" t="str">
        <f t="shared" si="26"/>
        <v>96-966200215</v>
      </c>
      <c r="C1680" s="179" t="s">
        <v>7479</v>
      </c>
    </row>
    <row r="1681" spans="1:3">
      <c r="A1681" s="177">
        <v>966200506</v>
      </c>
      <c r="B1681" s="116" t="str">
        <f t="shared" si="26"/>
        <v>96-966200506</v>
      </c>
      <c r="C1681" s="179" t="s">
        <v>12434</v>
      </c>
    </row>
    <row r="1682" spans="1:3">
      <c r="A1682" s="177">
        <v>951100012</v>
      </c>
      <c r="B1682" s="116" t="str">
        <f t="shared" si="26"/>
        <v>95-951100012</v>
      </c>
      <c r="C1682" s="179" t="s">
        <v>7402</v>
      </c>
    </row>
    <row r="1683" spans="1:3">
      <c r="A1683" s="177">
        <v>962000243</v>
      </c>
      <c r="B1683" s="116" t="str">
        <f t="shared" si="26"/>
        <v>96-962000243</v>
      </c>
      <c r="C1683" s="179" t="s">
        <v>7112</v>
      </c>
    </row>
    <row r="1684" spans="1:3">
      <c r="A1684" s="177">
        <v>952000060</v>
      </c>
      <c r="B1684" s="116" t="str">
        <f t="shared" si="26"/>
        <v>95-952000060</v>
      </c>
      <c r="C1684" s="179" t="s">
        <v>7431</v>
      </c>
    </row>
    <row r="1685" spans="1:3">
      <c r="A1685" s="177">
        <v>966200536</v>
      </c>
      <c r="B1685" s="116" t="str">
        <f t="shared" si="26"/>
        <v>96-966200536</v>
      </c>
      <c r="C1685" s="179" t="s">
        <v>12412</v>
      </c>
    </row>
    <row r="1686" spans="1:3">
      <c r="A1686" s="177">
        <v>956200034</v>
      </c>
      <c r="B1686" s="116" t="str">
        <f t="shared" si="26"/>
        <v>95-956200034</v>
      </c>
      <c r="C1686" s="179" t="s">
        <v>7388</v>
      </c>
    </row>
    <row r="1687" spans="1:3">
      <c r="A1687" s="177">
        <v>962000394</v>
      </c>
      <c r="B1687" s="116" t="str">
        <f t="shared" si="26"/>
        <v>96-962000394</v>
      </c>
      <c r="C1687" s="179" t="s">
        <v>12184</v>
      </c>
    </row>
    <row r="1688" spans="1:3">
      <c r="A1688" s="177">
        <v>962000128</v>
      </c>
      <c r="B1688" s="116" t="str">
        <f t="shared" si="26"/>
        <v>96-962000128</v>
      </c>
      <c r="C1688" s="179" t="s">
        <v>7112</v>
      </c>
    </row>
    <row r="1689" spans="1:3">
      <c r="A1689" s="177">
        <v>956200072</v>
      </c>
      <c r="B1689" s="116" t="str">
        <f t="shared" si="26"/>
        <v>95-956200072</v>
      </c>
      <c r="C1689" s="179" t="s">
        <v>7410</v>
      </c>
    </row>
    <row r="1690" spans="1:3">
      <c r="A1690" s="177">
        <v>962000450</v>
      </c>
      <c r="B1690" s="116" t="str">
        <f t="shared" si="26"/>
        <v>96-962000450</v>
      </c>
      <c r="C1690" s="179" t="s">
        <v>12184</v>
      </c>
    </row>
    <row r="1691" spans="1:3">
      <c r="A1691" s="177">
        <v>961100087</v>
      </c>
      <c r="B1691" s="116" t="str">
        <f t="shared" si="26"/>
        <v>96-961100087</v>
      </c>
      <c r="C1691" s="179" t="s">
        <v>12280</v>
      </c>
    </row>
    <row r="1692" spans="1:3">
      <c r="A1692" s="177">
        <v>966200104</v>
      </c>
      <c r="B1692" s="116" t="str">
        <f t="shared" si="26"/>
        <v>96-966200104</v>
      </c>
      <c r="C1692" s="179" t="s">
        <v>7270</v>
      </c>
    </row>
    <row r="1693" spans="1:3">
      <c r="A1693" s="177">
        <v>966200463</v>
      </c>
      <c r="B1693" s="116" t="str">
        <f t="shared" si="26"/>
        <v>96-966200463</v>
      </c>
      <c r="C1693" s="179" t="s">
        <v>12185</v>
      </c>
    </row>
    <row r="1694" spans="1:3">
      <c r="A1694" s="177">
        <v>956200399</v>
      </c>
      <c r="B1694" s="116" t="str">
        <f t="shared" si="26"/>
        <v>95-956200399</v>
      </c>
      <c r="C1694" s="179" t="s">
        <v>7269</v>
      </c>
    </row>
    <row r="1695" spans="1:3">
      <c r="A1695" s="177">
        <v>966200040</v>
      </c>
      <c r="B1695" s="116" t="str">
        <f t="shared" si="26"/>
        <v>96-966200040</v>
      </c>
      <c r="C1695" s="179" t="s">
        <v>7414</v>
      </c>
    </row>
    <row r="1696" spans="1:3">
      <c r="A1696" s="177">
        <v>966200423</v>
      </c>
      <c r="B1696" s="116" t="str">
        <f t="shared" si="26"/>
        <v>96-966200423</v>
      </c>
      <c r="C1696" s="179" t="s">
        <v>12236</v>
      </c>
    </row>
    <row r="1697" spans="1:3">
      <c r="A1697" s="177">
        <v>951100156</v>
      </c>
      <c r="B1697" s="116" t="str">
        <f t="shared" si="26"/>
        <v>95-951100156</v>
      </c>
      <c r="C1697" s="179" t="s">
        <v>7415</v>
      </c>
    </row>
    <row r="1698" spans="1:3">
      <c r="A1698" s="177">
        <v>962000477</v>
      </c>
      <c r="B1698" s="116" t="str">
        <f t="shared" si="26"/>
        <v>96-962000477</v>
      </c>
      <c r="C1698" s="179" t="s">
        <v>12184</v>
      </c>
    </row>
    <row r="1699" spans="1:3">
      <c r="A1699" s="177">
        <v>956200392</v>
      </c>
      <c r="B1699" s="116" t="str">
        <f t="shared" si="26"/>
        <v>95-956200392</v>
      </c>
      <c r="C1699" s="179" t="s">
        <v>7393</v>
      </c>
    </row>
    <row r="1700" spans="1:3">
      <c r="A1700" s="177">
        <v>966200151</v>
      </c>
      <c r="B1700" s="116" t="str">
        <f t="shared" si="26"/>
        <v>96-966200151</v>
      </c>
      <c r="C1700" s="179" t="s">
        <v>7394</v>
      </c>
    </row>
    <row r="1701" spans="1:3">
      <c r="A1701" s="177">
        <v>962000143</v>
      </c>
      <c r="B1701" s="116" t="str">
        <f t="shared" si="26"/>
        <v>96-962000143</v>
      </c>
      <c r="C1701" s="179" t="s">
        <v>7112</v>
      </c>
    </row>
    <row r="1702" spans="1:3">
      <c r="A1702" s="177">
        <v>956200286</v>
      </c>
      <c r="B1702" s="116" t="str">
        <f t="shared" si="26"/>
        <v>95-956200286</v>
      </c>
      <c r="C1702" s="179" t="s">
        <v>7284</v>
      </c>
    </row>
    <row r="1703" spans="1:3">
      <c r="A1703" s="177">
        <v>966200497</v>
      </c>
      <c r="B1703" s="116" t="str">
        <f t="shared" si="26"/>
        <v>96-966200497</v>
      </c>
      <c r="C1703" s="179" t="s">
        <v>12281</v>
      </c>
    </row>
    <row r="1704" spans="1:3">
      <c r="A1704" s="177">
        <v>952000237</v>
      </c>
      <c r="B1704" s="116" t="str">
        <f t="shared" si="26"/>
        <v>95-952000237</v>
      </c>
      <c r="C1704" s="179" t="s">
        <v>7248</v>
      </c>
    </row>
    <row r="1705" spans="1:3">
      <c r="A1705" s="177">
        <v>962000239</v>
      </c>
      <c r="B1705" s="116" t="str">
        <f t="shared" si="26"/>
        <v>96-962000239</v>
      </c>
      <c r="C1705" s="179" t="s">
        <v>7112</v>
      </c>
    </row>
    <row r="1706" spans="1:3">
      <c r="A1706" s="177">
        <v>962000047</v>
      </c>
      <c r="B1706" s="116" t="str">
        <f t="shared" si="26"/>
        <v>96-962000047</v>
      </c>
      <c r="C1706" s="179" t="s">
        <v>7112</v>
      </c>
    </row>
    <row r="1707" spans="1:3">
      <c r="A1707" s="177">
        <v>952000102</v>
      </c>
      <c r="B1707" s="116" t="str">
        <f t="shared" si="26"/>
        <v>95-952000102</v>
      </c>
      <c r="C1707" s="179" t="s">
        <v>7321</v>
      </c>
    </row>
    <row r="1708" spans="1:3">
      <c r="A1708" s="177">
        <v>962000024</v>
      </c>
      <c r="B1708" s="116" t="str">
        <f t="shared" si="26"/>
        <v>96-962000024</v>
      </c>
      <c r="C1708" s="179" t="s">
        <v>7112</v>
      </c>
    </row>
    <row r="1709" spans="1:3">
      <c r="A1709" s="177">
        <v>952000142</v>
      </c>
      <c r="B1709" s="116" t="str">
        <f t="shared" si="26"/>
        <v>95-952000142</v>
      </c>
      <c r="C1709" s="179" t="s">
        <v>7332</v>
      </c>
    </row>
    <row r="1710" spans="1:3">
      <c r="A1710" s="177">
        <v>962000095</v>
      </c>
      <c r="B1710" s="116" t="str">
        <f t="shared" si="26"/>
        <v>96-962000095</v>
      </c>
      <c r="C1710" s="179" t="s">
        <v>7112</v>
      </c>
    </row>
    <row r="1711" spans="1:3">
      <c r="A1711" s="177">
        <v>962000054</v>
      </c>
      <c r="B1711" s="116" t="str">
        <f t="shared" si="26"/>
        <v>96-962000054</v>
      </c>
      <c r="C1711" s="179" t="s">
        <v>7112</v>
      </c>
    </row>
    <row r="1712" spans="1:3">
      <c r="A1712" s="177">
        <v>952000175</v>
      </c>
      <c r="B1712" s="116" t="str">
        <f t="shared" si="26"/>
        <v>95-952000175</v>
      </c>
      <c r="C1712" s="179" t="s">
        <v>7392</v>
      </c>
    </row>
    <row r="1713" spans="1:3">
      <c r="A1713" s="177">
        <v>952000299</v>
      </c>
      <c r="B1713" s="116" t="str">
        <f t="shared" si="26"/>
        <v>95-952000299</v>
      </c>
      <c r="C1713" s="179" t="s">
        <v>7329</v>
      </c>
    </row>
    <row r="1714" spans="1:3">
      <c r="A1714" s="177">
        <v>952000146</v>
      </c>
      <c r="B1714" s="116" t="str">
        <f t="shared" si="26"/>
        <v>95-952000146</v>
      </c>
      <c r="C1714" s="179" t="s">
        <v>7332</v>
      </c>
    </row>
    <row r="1715" spans="1:3">
      <c r="A1715" s="177">
        <v>952000316</v>
      </c>
      <c r="B1715" s="116" t="str">
        <f t="shared" si="26"/>
        <v>95-952000316</v>
      </c>
      <c r="C1715" s="179" t="s">
        <v>7420</v>
      </c>
    </row>
    <row r="1716" spans="1:3">
      <c r="A1716" s="177">
        <v>962000060</v>
      </c>
      <c r="B1716" s="116" t="str">
        <f t="shared" si="26"/>
        <v>96-962000060</v>
      </c>
      <c r="C1716" s="179" t="s">
        <v>7112</v>
      </c>
    </row>
    <row r="1717" spans="1:3">
      <c r="A1717" s="177">
        <v>962000076</v>
      </c>
      <c r="B1717" s="116" t="str">
        <f t="shared" si="26"/>
        <v>96-962000076</v>
      </c>
      <c r="C1717" s="179" t="s">
        <v>7112</v>
      </c>
    </row>
    <row r="1718" spans="1:3">
      <c r="A1718" s="177">
        <v>962000050</v>
      </c>
      <c r="B1718" s="116" t="str">
        <f t="shared" si="26"/>
        <v>96-962000050</v>
      </c>
      <c r="C1718" s="179" t="s">
        <v>7112</v>
      </c>
    </row>
    <row r="1719" spans="1:3">
      <c r="A1719" s="177">
        <v>952000104</v>
      </c>
      <c r="B1719" s="116" t="str">
        <f t="shared" si="26"/>
        <v>95-952000104</v>
      </c>
      <c r="C1719" s="179" t="s">
        <v>7321</v>
      </c>
    </row>
    <row r="1720" spans="1:3">
      <c r="A1720" s="177">
        <v>952000250</v>
      </c>
      <c r="B1720" s="116" t="str">
        <f t="shared" si="26"/>
        <v>95-952000250</v>
      </c>
      <c r="C1720" s="179" t="s">
        <v>7327</v>
      </c>
    </row>
    <row r="1721" spans="1:3">
      <c r="A1721" s="177">
        <v>962000420</v>
      </c>
      <c r="B1721" s="116" t="str">
        <f t="shared" si="26"/>
        <v>96-962000420</v>
      </c>
      <c r="C1721" s="179" t="s">
        <v>12184</v>
      </c>
    </row>
    <row r="1722" spans="1:3">
      <c r="A1722" s="177">
        <v>962000097</v>
      </c>
      <c r="B1722" s="116" t="str">
        <f t="shared" si="26"/>
        <v>96-962000097</v>
      </c>
      <c r="C1722" s="179" t="s">
        <v>7112</v>
      </c>
    </row>
    <row r="1723" spans="1:3">
      <c r="A1723" s="177">
        <v>952000141</v>
      </c>
      <c r="B1723" s="116" t="str">
        <f t="shared" si="26"/>
        <v>95-952000141</v>
      </c>
      <c r="C1723" s="179" t="s">
        <v>7332</v>
      </c>
    </row>
    <row r="1724" spans="1:3">
      <c r="A1724" s="177">
        <v>962000152</v>
      </c>
      <c r="B1724" s="116" t="str">
        <f t="shared" si="26"/>
        <v>96-962000152</v>
      </c>
      <c r="C1724" s="179" t="s">
        <v>7112</v>
      </c>
    </row>
    <row r="1725" spans="1:3">
      <c r="A1725" s="177">
        <v>962000270</v>
      </c>
      <c r="B1725" s="116" t="str">
        <f t="shared" si="26"/>
        <v>96-962000270</v>
      </c>
      <c r="C1725" s="179" t="s">
        <v>7112</v>
      </c>
    </row>
    <row r="1726" spans="1:3">
      <c r="A1726" s="177">
        <v>962000064</v>
      </c>
      <c r="B1726" s="116" t="str">
        <f t="shared" si="26"/>
        <v>96-962000064</v>
      </c>
      <c r="C1726" s="179" t="s">
        <v>7112</v>
      </c>
    </row>
    <row r="1727" spans="1:3">
      <c r="A1727" s="177">
        <v>962000072</v>
      </c>
      <c r="B1727" s="116" t="str">
        <f t="shared" si="26"/>
        <v>96-962000072</v>
      </c>
      <c r="C1727" s="179" t="s">
        <v>7112</v>
      </c>
    </row>
    <row r="1728" spans="1:3">
      <c r="A1728" s="177">
        <v>962000031</v>
      </c>
      <c r="B1728" s="116" t="str">
        <f t="shared" si="26"/>
        <v>96-962000031</v>
      </c>
      <c r="C1728" s="179" t="s">
        <v>7112</v>
      </c>
    </row>
    <row r="1729" spans="1:3">
      <c r="A1729" s="177">
        <v>962000225</v>
      </c>
      <c r="B1729" s="116" t="str">
        <f t="shared" si="26"/>
        <v>96-962000225</v>
      </c>
      <c r="C1729" s="179" t="s">
        <v>7112</v>
      </c>
    </row>
    <row r="1730" spans="1:3">
      <c r="A1730" s="177">
        <v>962000240</v>
      </c>
      <c r="B1730" s="116" t="str">
        <f t="shared" si="26"/>
        <v>96-962000240</v>
      </c>
      <c r="C1730" s="179" t="s">
        <v>7112</v>
      </c>
    </row>
    <row r="1731" spans="1:3">
      <c r="A1731" s="177">
        <v>962000130</v>
      </c>
      <c r="B1731" s="116" t="str">
        <f t="shared" ref="B1731:B1794" si="27">MID(A1731,1,2)&amp;"-"&amp;A1731</f>
        <v>96-962000130</v>
      </c>
      <c r="C1731" s="179" t="s">
        <v>7112</v>
      </c>
    </row>
    <row r="1732" spans="1:3">
      <c r="A1732" s="177">
        <v>962000141</v>
      </c>
      <c r="B1732" s="116" t="str">
        <f t="shared" si="27"/>
        <v>96-962000141</v>
      </c>
      <c r="C1732" s="179" t="s">
        <v>7112</v>
      </c>
    </row>
    <row r="1733" spans="1:3">
      <c r="A1733" s="177">
        <v>952000155</v>
      </c>
      <c r="B1733" s="116" t="str">
        <f t="shared" si="27"/>
        <v>95-952000155</v>
      </c>
      <c r="C1733" s="179" t="s">
        <v>7332</v>
      </c>
    </row>
    <row r="1734" spans="1:3">
      <c r="A1734" s="177">
        <v>962000226</v>
      </c>
      <c r="B1734" s="116" t="str">
        <f t="shared" si="27"/>
        <v>96-962000226</v>
      </c>
      <c r="C1734" s="179" t="s">
        <v>7112</v>
      </c>
    </row>
    <row r="1735" spans="1:3">
      <c r="A1735" s="177">
        <v>962000029</v>
      </c>
      <c r="B1735" s="116" t="str">
        <f t="shared" si="27"/>
        <v>96-962000029</v>
      </c>
      <c r="C1735" s="179" t="s">
        <v>7112</v>
      </c>
    </row>
    <row r="1736" spans="1:3">
      <c r="A1736" s="177">
        <v>962000414</v>
      </c>
      <c r="B1736" s="116" t="str">
        <f t="shared" si="27"/>
        <v>96-962000414</v>
      </c>
      <c r="C1736" s="179" t="s">
        <v>12184</v>
      </c>
    </row>
    <row r="1737" spans="1:3">
      <c r="A1737" s="177">
        <v>952000066</v>
      </c>
      <c r="B1737" s="116" t="str">
        <f t="shared" si="27"/>
        <v>95-952000066</v>
      </c>
      <c r="C1737" s="179" t="s">
        <v>7421</v>
      </c>
    </row>
    <row r="1738" spans="1:3">
      <c r="A1738" s="177">
        <v>952000201</v>
      </c>
      <c r="B1738" s="116" t="str">
        <f t="shared" si="27"/>
        <v>95-952000201</v>
      </c>
      <c r="C1738" s="179" t="s">
        <v>7342</v>
      </c>
    </row>
    <row r="1739" spans="1:3">
      <c r="A1739" s="177">
        <v>956200369</v>
      </c>
      <c r="B1739" s="116" t="str">
        <f t="shared" si="27"/>
        <v>95-956200369</v>
      </c>
      <c r="C1739" s="179" t="s">
        <v>7393</v>
      </c>
    </row>
    <row r="1740" spans="1:3">
      <c r="A1740" s="177">
        <v>952000103</v>
      </c>
      <c r="B1740" s="116" t="str">
        <f t="shared" si="27"/>
        <v>95-952000103</v>
      </c>
      <c r="C1740" s="179" t="s">
        <v>7321</v>
      </c>
    </row>
    <row r="1741" spans="1:3">
      <c r="A1741" s="177">
        <v>962000352</v>
      </c>
      <c r="B1741" s="116" t="str">
        <f t="shared" si="27"/>
        <v>96-962000352</v>
      </c>
      <c r="C1741" s="179" t="s">
        <v>12184</v>
      </c>
    </row>
    <row r="1742" spans="1:3">
      <c r="A1742" s="177">
        <v>952000202</v>
      </c>
      <c r="B1742" s="116" t="str">
        <f t="shared" si="27"/>
        <v>95-952000202</v>
      </c>
      <c r="C1742" s="179" t="s">
        <v>7342</v>
      </c>
    </row>
    <row r="1743" spans="1:3">
      <c r="A1743" s="177">
        <v>952000067</v>
      </c>
      <c r="B1743" s="116" t="str">
        <f t="shared" si="27"/>
        <v>95-952000067</v>
      </c>
      <c r="C1743" s="179" t="s">
        <v>7421</v>
      </c>
    </row>
    <row r="1744" spans="1:3">
      <c r="A1744" s="177">
        <v>952000177</v>
      </c>
      <c r="B1744" s="116" t="str">
        <f t="shared" si="27"/>
        <v>95-952000177</v>
      </c>
      <c r="C1744" s="179" t="s">
        <v>7392</v>
      </c>
    </row>
    <row r="1745" spans="1:3">
      <c r="A1745" s="177">
        <v>962000198</v>
      </c>
      <c r="B1745" s="116" t="str">
        <f t="shared" si="27"/>
        <v>96-962000198</v>
      </c>
      <c r="C1745" s="179" t="s">
        <v>7112</v>
      </c>
    </row>
    <row r="1746" spans="1:3">
      <c r="A1746" s="177">
        <v>962000200</v>
      </c>
      <c r="B1746" s="116" t="str">
        <f t="shared" si="27"/>
        <v>96-962000200</v>
      </c>
      <c r="C1746" s="179" t="s">
        <v>7112</v>
      </c>
    </row>
    <row r="1747" spans="1:3">
      <c r="A1747" s="177">
        <v>952000173</v>
      </c>
      <c r="B1747" s="116" t="str">
        <f t="shared" si="27"/>
        <v>95-952000173</v>
      </c>
      <c r="C1747" s="179" t="s">
        <v>7392</v>
      </c>
    </row>
    <row r="1748" spans="1:3">
      <c r="A1748" s="177">
        <v>962000286</v>
      </c>
      <c r="B1748" s="116" t="str">
        <f t="shared" si="27"/>
        <v>96-962000286</v>
      </c>
      <c r="C1748" s="179" t="s">
        <v>7112</v>
      </c>
    </row>
    <row r="1749" spans="1:3">
      <c r="A1749" s="177">
        <v>956200330</v>
      </c>
      <c r="B1749" s="116" t="str">
        <f t="shared" si="27"/>
        <v>95-956200330</v>
      </c>
      <c r="C1749" s="179" t="s">
        <v>7289</v>
      </c>
    </row>
    <row r="1750" spans="1:3">
      <c r="A1750" s="177">
        <v>952000063</v>
      </c>
      <c r="B1750" s="116" t="str">
        <f t="shared" si="27"/>
        <v>95-952000063</v>
      </c>
      <c r="C1750" s="179" t="s">
        <v>7421</v>
      </c>
    </row>
    <row r="1751" spans="1:3">
      <c r="A1751" s="177">
        <v>962000107</v>
      </c>
      <c r="B1751" s="116" t="str">
        <f t="shared" si="27"/>
        <v>96-962000107</v>
      </c>
      <c r="C1751" s="179" t="s">
        <v>7112</v>
      </c>
    </row>
    <row r="1752" spans="1:3">
      <c r="A1752" s="177">
        <v>952000197</v>
      </c>
      <c r="B1752" s="116" t="str">
        <f t="shared" si="27"/>
        <v>95-952000197</v>
      </c>
      <c r="C1752" s="179" t="s">
        <v>7342</v>
      </c>
    </row>
    <row r="1753" spans="1:3">
      <c r="A1753" s="177">
        <v>966200006</v>
      </c>
      <c r="B1753" s="116" t="str">
        <f t="shared" si="27"/>
        <v>96-966200006</v>
      </c>
      <c r="C1753" s="179" t="s">
        <v>7370</v>
      </c>
    </row>
    <row r="1754" spans="1:3">
      <c r="A1754" s="177">
        <v>951100064</v>
      </c>
      <c r="B1754" s="116" t="str">
        <f t="shared" si="27"/>
        <v>95-951100064</v>
      </c>
      <c r="C1754" s="179" t="s">
        <v>7422</v>
      </c>
    </row>
    <row r="1755" spans="1:3">
      <c r="A1755" s="177">
        <v>956200176</v>
      </c>
      <c r="B1755" s="116" t="str">
        <f t="shared" si="27"/>
        <v>95-956200176</v>
      </c>
      <c r="C1755" s="179" t="s">
        <v>7369</v>
      </c>
    </row>
    <row r="1756" spans="1:3">
      <c r="A1756" s="177">
        <v>956200150</v>
      </c>
      <c r="B1756" s="116" t="str">
        <f t="shared" si="27"/>
        <v>95-956200150</v>
      </c>
      <c r="C1756" s="179" t="s">
        <v>7268</v>
      </c>
    </row>
    <row r="1757" spans="1:3">
      <c r="A1757" s="177">
        <v>956200423</v>
      </c>
      <c r="B1757" s="116" t="str">
        <f t="shared" si="27"/>
        <v>95-956200423</v>
      </c>
      <c r="C1757" s="179" t="s">
        <v>7423</v>
      </c>
    </row>
    <row r="1758" spans="1:3">
      <c r="A1758" s="177">
        <v>966200441</v>
      </c>
      <c r="B1758" s="116" t="str">
        <f t="shared" si="27"/>
        <v>96-966200441</v>
      </c>
      <c r="C1758" s="179" t="s">
        <v>12187</v>
      </c>
    </row>
    <row r="1759" spans="1:3">
      <c r="A1759" s="177">
        <v>962000228</v>
      </c>
      <c r="B1759" s="116" t="str">
        <f t="shared" si="27"/>
        <v>96-962000228</v>
      </c>
      <c r="C1759" s="179" t="s">
        <v>7112</v>
      </c>
    </row>
    <row r="1760" spans="1:3">
      <c r="A1760" s="177">
        <v>962000353</v>
      </c>
      <c r="B1760" s="116" t="str">
        <f t="shared" si="27"/>
        <v>96-962000353</v>
      </c>
      <c r="C1760" s="179" t="s">
        <v>12184</v>
      </c>
    </row>
    <row r="1761" spans="1:3">
      <c r="A1761" s="177">
        <v>966200465</v>
      </c>
      <c r="B1761" s="116" t="str">
        <f t="shared" si="27"/>
        <v>96-966200465</v>
      </c>
      <c r="C1761" s="179" t="s">
        <v>12185</v>
      </c>
    </row>
    <row r="1762" spans="1:3">
      <c r="A1762" s="177">
        <v>956200396</v>
      </c>
      <c r="B1762" s="116" t="str">
        <f t="shared" si="27"/>
        <v>95-956200396</v>
      </c>
      <c r="C1762" s="179" t="s">
        <v>7269</v>
      </c>
    </row>
    <row r="1763" spans="1:3">
      <c r="A1763" s="177">
        <v>966200510</v>
      </c>
      <c r="B1763" s="116" t="str">
        <f t="shared" si="27"/>
        <v>96-966200510</v>
      </c>
      <c r="C1763" s="179" t="s">
        <v>12415</v>
      </c>
    </row>
    <row r="1764" spans="1:3">
      <c r="A1764" s="177">
        <v>956200066</v>
      </c>
      <c r="B1764" s="116" t="str">
        <f t="shared" si="27"/>
        <v>95-956200066</v>
      </c>
      <c r="C1764" s="179" t="s">
        <v>7424</v>
      </c>
    </row>
    <row r="1765" spans="1:3">
      <c r="A1765" s="177">
        <v>966200055</v>
      </c>
      <c r="B1765" s="116" t="str">
        <f t="shared" si="27"/>
        <v>96-966200055</v>
      </c>
      <c r="C1765" s="179" t="s">
        <v>7345</v>
      </c>
    </row>
    <row r="1766" spans="1:3">
      <c r="A1766" s="177">
        <v>951100032</v>
      </c>
      <c r="B1766" s="116" t="str">
        <f t="shared" si="27"/>
        <v>95-951100032</v>
      </c>
      <c r="C1766" s="179" t="s">
        <v>7425</v>
      </c>
    </row>
    <row r="1767" spans="1:3">
      <c r="A1767" s="177">
        <v>951100049</v>
      </c>
      <c r="B1767" s="116" t="str">
        <f t="shared" si="27"/>
        <v>95-951100049</v>
      </c>
      <c r="C1767" s="179" t="s">
        <v>7426</v>
      </c>
    </row>
    <row r="1768" spans="1:3">
      <c r="A1768" s="177">
        <v>956300026</v>
      </c>
      <c r="B1768" s="116" t="str">
        <f t="shared" si="27"/>
        <v>95-956300026</v>
      </c>
      <c r="C1768" s="179" t="s">
        <v>7427</v>
      </c>
    </row>
    <row r="1769" spans="1:3">
      <c r="A1769" s="177">
        <v>956300031</v>
      </c>
      <c r="B1769" s="116" t="str">
        <f t="shared" si="27"/>
        <v>95-956300031</v>
      </c>
      <c r="C1769" s="179" t="s">
        <v>7427</v>
      </c>
    </row>
    <row r="1770" spans="1:3">
      <c r="A1770" s="177">
        <v>966300003</v>
      </c>
      <c r="B1770" s="116" t="str">
        <f t="shared" si="27"/>
        <v>96-966300003</v>
      </c>
      <c r="C1770" s="179" t="s">
        <v>8734</v>
      </c>
    </row>
    <row r="1771" spans="1:3">
      <c r="A1771" s="177">
        <v>962000111</v>
      </c>
      <c r="B1771" s="116" t="str">
        <f t="shared" si="27"/>
        <v>96-962000111</v>
      </c>
      <c r="C1771" s="179" t="s">
        <v>7112</v>
      </c>
    </row>
    <row r="1772" spans="1:3">
      <c r="A1772" s="177">
        <v>961200024</v>
      </c>
      <c r="B1772" s="116" t="str">
        <f t="shared" si="27"/>
        <v>96-961200024</v>
      </c>
      <c r="C1772" s="179" t="s">
        <v>7403</v>
      </c>
    </row>
    <row r="1773" spans="1:3">
      <c r="A1773" s="177">
        <v>961200031</v>
      </c>
      <c r="B1773" s="116" t="str">
        <f t="shared" si="27"/>
        <v>96-961200031</v>
      </c>
      <c r="C1773" s="179" t="s">
        <v>7387</v>
      </c>
    </row>
    <row r="1774" spans="1:3">
      <c r="A1774" s="177">
        <v>961200034</v>
      </c>
      <c r="B1774" s="116" t="str">
        <f t="shared" si="27"/>
        <v>96-961200034</v>
      </c>
      <c r="C1774" s="179" t="s">
        <v>7403</v>
      </c>
    </row>
    <row r="1775" spans="1:3">
      <c r="A1775" s="177">
        <v>961200048</v>
      </c>
      <c r="B1775" s="116" t="str">
        <f t="shared" si="27"/>
        <v>96-961200048</v>
      </c>
      <c r="C1775" s="179" t="s">
        <v>7404</v>
      </c>
    </row>
    <row r="1776" spans="1:3">
      <c r="A1776" s="177">
        <v>961200071</v>
      </c>
      <c r="B1776" s="116" t="str">
        <f t="shared" si="27"/>
        <v>96-961200071</v>
      </c>
      <c r="C1776" s="179" t="s">
        <v>7117</v>
      </c>
    </row>
    <row r="1777" spans="1:3">
      <c r="A1777" s="177">
        <v>961200096</v>
      </c>
      <c r="B1777" s="116" t="str">
        <f t="shared" si="27"/>
        <v>96-961200096</v>
      </c>
      <c r="C1777" s="179" t="s">
        <v>9782</v>
      </c>
    </row>
    <row r="1778" spans="1:3">
      <c r="A1778" s="177">
        <v>961200146</v>
      </c>
      <c r="B1778" s="116" t="str">
        <f t="shared" si="27"/>
        <v>96-961200146</v>
      </c>
      <c r="C1778" s="179" t="s">
        <v>12231</v>
      </c>
    </row>
    <row r="1779" spans="1:3">
      <c r="A1779" s="177">
        <v>966300010</v>
      </c>
      <c r="B1779" s="116" t="str">
        <f t="shared" si="27"/>
        <v>96-966300010</v>
      </c>
      <c r="C1779" s="179" t="s">
        <v>12242</v>
      </c>
    </row>
    <row r="1780" spans="1:3">
      <c r="A1780" s="177">
        <v>956200059</v>
      </c>
      <c r="B1780" s="116" t="str">
        <f t="shared" si="27"/>
        <v>95-956200059</v>
      </c>
      <c r="C1780" s="179" t="s">
        <v>7306</v>
      </c>
    </row>
    <row r="1781" spans="1:3">
      <c r="A1781" s="177">
        <v>956200041</v>
      </c>
      <c r="B1781" s="116" t="str">
        <f t="shared" si="27"/>
        <v>95-956200041</v>
      </c>
      <c r="C1781" s="179" t="s">
        <v>7429</v>
      </c>
    </row>
    <row r="1782" spans="1:3">
      <c r="A1782" s="177">
        <v>956200048</v>
      </c>
      <c r="B1782" s="116" t="str">
        <f t="shared" si="27"/>
        <v>95-956200048</v>
      </c>
      <c r="C1782" s="179" t="s">
        <v>7418</v>
      </c>
    </row>
    <row r="1783" spans="1:3">
      <c r="A1783" s="177">
        <v>956200070</v>
      </c>
      <c r="B1783" s="116" t="str">
        <f t="shared" si="27"/>
        <v>95-956200070</v>
      </c>
      <c r="C1783" s="179" t="s">
        <v>7430</v>
      </c>
    </row>
    <row r="1784" spans="1:3">
      <c r="A1784" s="177">
        <v>952000061</v>
      </c>
      <c r="B1784" s="116" t="str">
        <f t="shared" si="27"/>
        <v>95-952000061</v>
      </c>
      <c r="C1784" s="179" t="s">
        <v>7431</v>
      </c>
    </row>
    <row r="1785" spans="1:3">
      <c r="A1785" s="177">
        <v>952000194</v>
      </c>
      <c r="B1785" s="116" t="str">
        <f t="shared" si="27"/>
        <v>95-952000194</v>
      </c>
      <c r="C1785" s="179" t="s">
        <v>7342</v>
      </c>
    </row>
    <row r="1786" spans="1:3">
      <c r="A1786" s="177">
        <v>952000195</v>
      </c>
      <c r="B1786" s="116" t="str">
        <f t="shared" si="27"/>
        <v>95-952000195</v>
      </c>
      <c r="C1786" s="179" t="s">
        <v>7342</v>
      </c>
    </row>
    <row r="1787" spans="1:3">
      <c r="A1787" s="177">
        <v>952000189</v>
      </c>
      <c r="B1787" s="116" t="str">
        <f t="shared" si="27"/>
        <v>95-952000189</v>
      </c>
      <c r="C1787" s="179" t="s">
        <v>7342</v>
      </c>
    </row>
    <row r="1788" spans="1:3">
      <c r="A1788" s="177">
        <v>952000272</v>
      </c>
      <c r="B1788" s="116" t="str">
        <f t="shared" si="27"/>
        <v>95-952000272</v>
      </c>
      <c r="C1788" s="179" t="s">
        <v>7280</v>
      </c>
    </row>
    <row r="1789" spans="1:3">
      <c r="A1789" s="177">
        <v>952000133</v>
      </c>
      <c r="B1789" s="116" t="str">
        <f t="shared" si="27"/>
        <v>95-952000133</v>
      </c>
      <c r="C1789" s="179" t="s">
        <v>7405</v>
      </c>
    </row>
    <row r="1790" spans="1:3">
      <c r="A1790" s="177">
        <v>952000245</v>
      </c>
      <c r="B1790" s="116" t="str">
        <f t="shared" si="27"/>
        <v>95-952000245</v>
      </c>
      <c r="C1790" s="179" t="s">
        <v>7327</v>
      </c>
    </row>
    <row r="1791" spans="1:3">
      <c r="A1791" s="177">
        <v>952000136</v>
      </c>
      <c r="B1791" s="116" t="str">
        <f t="shared" si="27"/>
        <v>95-952000136</v>
      </c>
      <c r="C1791" s="179" t="s">
        <v>7432</v>
      </c>
    </row>
    <row r="1792" spans="1:3">
      <c r="A1792" s="177">
        <v>951100053</v>
      </c>
      <c r="B1792" s="116" t="str">
        <f t="shared" si="27"/>
        <v>95-951100053</v>
      </c>
      <c r="C1792" s="179" t="s">
        <v>7406</v>
      </c>
    </row>
    <row r="1793" spans="1:3">
      <c r="A1793" s="177">
        <v>951100069</v>
      </c>
      <c r="B1793" s="116" t="str">
        <f t="shared" si="27"/>
        <v>95-951100069</v>
      </c>
      <c r="C1793" s="179" t="s">
        <v>7407</v>
      </c>
    </row>
    <row r="1794" spans="1:3">
      <c r="A1794" s="177">
        <v>951100173</v>
      </c>
      <c r="B1794" s="116" t="str">
        <f t="shared" si="27"/>
        <v>95-951100173</v>
      </c>
      <c r="C1794" s="179" t="s">
        <v>7408</v>
      </c>
    </row>
    <row r="1795" spans="1:3">
      <c r="A1795" s="177">
        <v>951100177</v>
      </c>
      <c r="B1795" s="116" t="str">
        <f t="shared" ref="B1795:B1858" si="28">MID(A1795,1,2)&amp;"-"&amp;A1795</f>
        <v>95-951100177</v>
      </c>
      <c r="C1795" s="179" t="s">
        <v>7409</v>
      </c>
    </row>
    <row r="1796" spans="1:3">
      <c r="A1796" s="177">
        <v>952000138</v>
      </c>
      <c r="B1796" s="116" t="str">
        <f t="shared" si="28"/>
        <v>95-952000138</v>
      </c>
      <c r="C1796" s="179" t="s">
        <v>7433</v>
      </c>
    </row>
    <row r="1797" spans="1:3">
      <c r="A1797" s="177">
        <v>962000233</v>
      </c>
      <c r="B1797" s="116" t="str">
        <f t="shared" si="28"/>
        <v>96-962000233</v>
      </c>
      <c r="C1797" s="179" t="s">
        <v>7112</v>
      </c>
    </row>
    <row r="1798" spans="1:3">
      <c r="A1798" s="177">
        <v>962000244</v>
      </c>
      <c r="B1798" s="116" t="str">
        <f t="shared" si="28"/>
        <v>96-962000244</v>
      </c>
      <c r="C1798" s="179" t="s">
        <v>7112</v>
      </c>
    </row>
    <row r="1799" spans="1:3">
      <c r="A1799" s="177">
        <v>956200178</v>
      </c>
      <c r="B1799" s="116" t="str">
        <f t="shared" si="28"/>
        <v>95-956200178</v>
      </c>
      <c r="C1799" s="179" t="s">
        <v>7369</v>
      </c>
    </row>
    <row r="1800" spans="1:3">
      <c r="A1800" s="177">
        <v>966200025</v>
      </c>
      <c r="B1800" s="116" t="str">
        <f t="shared" si="28"/>
        <v>96-966200025</v>
      </c>
      <c r="C1800" s="179" t="s">
        <v>7360</v>
      </c>
    </row>
    <row r="1801" spans="1:3">
      <c r="A1801" s="177">
        <v>956200211</v>
      </c>
      <c r="B1801" s="116" t="str">
        <f t="shared" si="28"/>
        <v>95-956200211</v>
      </c>
      <c r="C1801" s="179" t="s">
        <v>7357</v>
      </c>
    </row>
    <row r="1802" spans="1:3">
      <c r="A1802" s="177">
        <v>956200212</v>
      </c>
      <c r="B1802" s="116" t="str">
        <f t="shared" si="28"/>
        <v>95-956200212</v>
      </c>
      <c r="C1802" s="179" t="s">
        <v>7357</v>
      </c>
    </row>
    <row r="1803" spans="1:3">
      <c r="A1803" s="177">
        <v>956200260</v>
      </c>
      <c r="B1803" s="116" t="str">
        <f t="shared" si="28"/>
        <v>95-956200260</v>
      </c>
      <c r="C1803" s="179" t="s">
        <v>7347</v>
      </c>
    </row>
    <row r="1804" spans="1:3">
      <c r="A1804" s="177">
        <v>956200255</v>
      </c>
      <c r="B1804" s="116" t="str">
        <f t="shared" si="28"/>
        <v>95-956200255</v>
      </c>
      <c r="C1804" s="179" t="s">
        <v>7434</v>
      </c>
    </row>
    <row r="1805" spans="1:3">
      <c r="A1805" s="177">
        <v>956200241</v>
      </c>
      <c r="B1805" s="116" t="str">
        <f t="shared" si="28"/>
        <v>95-956200241</v>
      </c>
      <c r="C1805" s="179" t="s">
        <v>7435</v>
      </c>
    </row>
    <row r="1806" spans="1:3">
      <c r="A1806" s="177">
        <v>956200313</v>
      </c>
      <c r="B1806" s="116" t="str">
        <f t="shared" si="28"/>
        <v>95-956200313</v>
      </c>
      <c r="C1806" s="179" t="s">
        <v>7436</v>
      </c>
    </row>
    <row r="1807" spans="1:3">
      <c r="A1807" s="177">
        <v>966200122</v>
      </c>
      <c r="B1807" s="116" t="str">
        <f t="shared" si="28"/>
        <v>96-966200122</v>
      </c>
      <c r="C1807" s="179" t="s">
        <v>7437</v>
      </c>
    </row>
    <row r="1808" spans="1:3">
      <c r="A1808" s="177">
        <v>956200251</v>
      </c>
      <c r="B1808" s="116" t="str">
        <f t="shared" si="28"/>
        <v>95-956200251</v>
      </c>
      <c r="C1808" s="179" t="s">
        <v>7428</v>
      </c>
    </row>
    <row r="1809" spans="1:3">
      <c r="A1809" s="177">
        <v>966200124</v>
      </c>
      <c r="B1809" s="116" t="str">
        <f t="shared" si="28"/>
        <v>96-966200124</v>
      </c>
      <c r="C1809" s="179" t="s">
        <v>7293</v>
      </c>
    </row>
    <row r="1810" spans="1:3">
      <c r="A1810" s="177">
        <v>956200282</v>
      </c>
      <c r="B1810" s="116" t="str">
        <f t="shared" si="28"/>
        <v>95-956200282</v>
      </c>
      <c r="C1810" s="179" t="s">
        <v>7347</v>
      </c>
    </row>
    <row r="1811" spans="1:3">
      <c r="A1811" s="177">
        <v>956200296</v>
      </c>
      <c r="B1811" s="116" t="str">
        <f t="shared" si="28"/>
        <v>95-956200296</v>
      </c>
      <c r="C1811" s="179" t="s">
        <v>7438</v>
      </c>
    </row>
    <row r="1812" spans="1:3">
      <c r="A1812" s="177">
        <v>966200356</v>
      </c>
      <c r="B1812" s="116" t="str">
        <f t="shared" si="28"/>
        <v>96-966200356</v>
      </c>
      <c r="C1812" s="179" t="s">
        <v>12284</v>
      </c>
    </row>
    <row r="1813" spans="1:3">
      <c r="A1813" s="177">
        <v>966200449</v>
      </c>
      <c r="B1813" s="116" t="str">
        <f t="shared" si="28"/>
        <v>96-966200449</v>
      </c>
      <c r="C1813" s="179" t="s">
        <v>12188</v>
      </c>
    </row>
    <row r="1814" spans="1:3">
      <c r="A1814" s="177">
        <v>956200292</v>
      </c>
      <c r="B1814" s="116" t="str">
        <f t="shared" si="28"/>
        <v>95-956200292</v>
      </c>
      <c r="C1814" s="179" t="s">
        <v>7438</v>
      </c>
    </row>
    <row r="1815" spans="1:3">
      <c r="A1815" s="177">
        <v>956200362</v>
      </c>
      <c r="B1815" s="116" t="str">
        <f t="shared" si="28"/>
        <v>95-956200362</v>
      </c>
      <c r="C1815" s="179" t="s">
        <v>7292</v>
      </c>
    </row>
    <row r="1816" spans="1:3">
      <c r="A1816" s="177">
        <v>956200359</v>
      </c>
      <c r="B1816" s="116" t="str">
        <f t="shared" si="28"/>
        <v>95-956200359</v>
      </c>
      <c r="C1816" s="179" t="s">
        <v>7292</v>
      </c>
    </row>
    <row r="1817" spans="1:3">
      <c r="A1817" s="177">
        <v>956200435</v>
      </c>
      <c r="B1817" s="116" t="str">
        <f t="shared" si="28"/>
        <v>95-956200435</v>
      </c>
      <c r="C1817" s="179" t="s">
        <v>7423</v>
      </c>
    </row>
    <row r="1818" spans="1:3">
      <c r="A1818" s="177">
        <v>966200044</v>
      </c>
      <c r="B1818" s="116" t="str">
        <f t="shared" si="28"/>
        <v>96-966200044</v>
      </c>
      <c r="C1818" s="179" t="s">
        <v>7414</v>
      </c>
    </row>
    <row r="1819" spans="1:3">
      <c r="A1819" s="177">
        <v>966200067</v>
      </c>
      <c r="B1819" s="116" t="str">
        <f t="shared" si="28"/>
        <v>96-966200067</v>
      </c>
      <c r="C1819" s="179" t="s">
        <v>7441</v>
      </c>
    </row>
    <row r="1820" spans="1:3">
      <c r="A1820" s="177">
        <v>966200200</v>
      </c>
      <c r="B1820" s="116" t="str">
        <f t="shared" si="28"/>
        <v>96-966200200</v>
      </c>
      <c r="C1820" s="179" t="s">
        <v>7120</v>
      </c>
    </row>
    <row r="1821" spans="1:3">
      <c r="A1821" s="177">
        <v>966200318</v>
      </c>
      <c r="B1821" s="116" t="str">
        <f t="shared" si="28"/>
        <v>96-966200318</v>
      </c>
      <c r="C1821" s="179" t="s">
        <v>8697</v>
      </c>
    </row>
    <row r="1822" spans="1:3">
      <c r="A1822" s="177">
        <v>952000286</v>
      </c>
      <c r="B1822" s="116" t="str">
        <f t="shared" si="28"/>
        <v>95-952000286</v>
      </c>
      <c r="C1822" s="179" t="s">
        <v>7280</v>
      </c>
    </row>
    <row r="1823" spans="1:3">
      <c r="A1823" s="177">
        <v>966200148</v>
      </c>
      <c r="B1823" s="116" t="str">
        <f t="shared" si="28"/>
        <v>96-966200148</v>
      </c>
      <c r="C1823" s="179" t="s">
        <v>7343</v>
      </c>
    </row>
    <row r="1824" spans="1:3">
      <c r="A1824" s="177">
        <v>966200236</v>
      </c>
      <c r="B1824" s="116" t="str">
        <f t="shared" si="28"/>
        <v>96-966200236</v>
      </c>
      <c r="C1824" s="179" t="s">
        <v>7442</v>
      </c>
    </row>
    <row r="1825" spans="1:3">
      <c r="A1825" s="177">
        <v>966200224</v>
      </c>
      <c r="B1825" s="116" t="str">
        <f t="shared" si="28"/>
        <v>96-966200224</v>
      </c>
      <c r="C1825" s="179" t="s">
        <v>7443</v>
      </c>
    </row>
    <row r="1826" spans="1:3">
      <c r="A1826" s="177">
        <v>962000257</v>
      </c>
      <c r="B1826" s="116" t="str">
        <f t="shared" si="28"/>
        <v>96-962000257</v>
      </c>
      <c r="C1826" s="179" t="s">
        <v>7112</v>
      </c>
    </row>
    <row r="1827" spans="1:3">
      <c r="A1827" s="177">
        <v>962000278</v>
      </c>
      <c r="B1827" s="116" t="str">
        <f t="shared" si="28"/>
        <v>96-962000278</v>
      </c>
      <c r="C1827" s="179" t="s">
        <v>7112</v>
      </c>
    </row>
    <row r="1828" spans="1:3">
      <c r="A1828" s="177">
        <v>962000167</v>
      </c>
      <c r="B1828" s="116" t="str">
        <f t="shared" si="28"/>
        <v>96-962000167</v>
      </c>
      <c r="C1828" s="179" t="s">
        <v>7112</v>
      </c>
    </row>
    <row r="1829" spans="1:3">
      <c r="A1829" s="177">
        <v>962000298</v>
      </c>
      <c r="B1829" s="116" t="str">
        <f t="shared" si="28"/>
        <v>96-962000298</v>
      </c>
      <c r="C1829" s="179" t="s">
        <v>7112</v>
      </c>
    </row>
    <row r="1830" spans="1:3">
      <c r="A1830" s="177">
        <v>962000324</v>
      </c>
      <c r="B1830" s="116" t="str">
        <f t="shared" si="28"/>
        <v>96-962000324</v>
      </c>
      <c r="C1830" s="179" t="s">
        <v>7936</v>
      </c>
    </row>
    <row r="1831" spans="1:3">
      <c r="A1831" s="177">
        <v>962000179</v>
      </c>
      <c r="B1831" s="116" t="str">
        <f t="shared" si="28"/>
        <v>96-962000179</v>
      </c>
      <c r="C1831" s="179" t="s">
        <v>7112</v>
      </c>
    </row>
    <row r="1832" spans="1:3">
      <c r="A1832" s="177">
        <v>962000190</v>
      </c>
      <c r="B1832" s="116" t="str">
        <f t="shared" si="28"/>
        <v>96-962000190</v>
      </c>
      <c r="C1832" s="179" t="s">
        <v>7112</v>
      </c>
    </row>
    <row r="1833" spans="1:3">
      <c r="A1833" s="177">
        <v>966300023</v>
      </c>
      <c r="B1833" s="116" t="str">
        <f t="shared" si="28"/>
        <v>96-966300023</v>
      </c>
      <c r="C1833" s="179" t="s">
        <v>12286</v>
      </c>
    </row>
    <row r="1834" spans="1:3">
      <c r="A1834" s="177">
        <v>966300027</v>
      </c>
      <c r="B1834" s="116" t="str">
        <f t="shared" si="28"/>
        <v>96-966300027</v>
      </c>
      <c r="C1834" s="179" t="s">
        <v>12287</v>
      </c>
    </row>
    <row r="1835" spans="1:3">
      <c r="A1835" s="177">
        <v>962000292</v>
      </c>
      <c r="B1835" s="116" t="str">
        <f t="shared" si="28"/>
        <v>96-962000292</v>
      </c>
      <c r="C1835" s="179" t="s">
        <v>7112</v>
      </c>
    </row>
    <row r="1836" spans="1:3">
      <c r="A1836" s="177">
        <v>962000422</v>
      </c>
      <c r="B1836" s="116" t="str">
        <f t="shared" si="28"/>
        <v>96-962000422</v>
      </c>
      <c r="C1836" s="179" t="s">
        <v>12184</v>
      </c>
    </row>
    <row r="1837" spans="1:3">
      <c r="A1837" s="177">
        <v>952000345</v>
      </c>
      <c r="B1837" s="116" t="str">
        <f t="shared" si="28"/>
        <v>95-952000345</v>
      </c>
      <c r="C1837" s="179" t="s">
        <v>7413</v>
      </c>
    </row>
    <row r="1838" spans="1:3">
      <c r="A1838" s="177">
        <v>962000206</v>
      </c>
      <c r="B1838" s="116" t="str">
        <f t="shared" si="28"/>
        <v>96-962000206</v>
      </c>
      <c r="C1838" s="179" t="s">
        <v>7112</v>
      </c>
    </row>
    <row r="1839" spans="1:3">
      <c r="A1839" s="177">
        <v>962000084</v>
      </c>
      <c r="B1839" s="116" t="str">
        <f t="shared" si="28"/>
        <v>96-962000084</v>
      </c>
      <c r="C1839" s="179" t="s">
        <v>7112</v>
      </c>
    </row>
    <row r="1840" spans="1:3">
      <c r="A1840" s="177">
        <v>956200044</v>
      </c>
      <c r="B1840" s="116" t="str">
        <f t="shared" si="28"/>
        <v>95-956200044</v>
      </c>
      <c r="C1840" s="179" t="s">
        <v>7418</v>
      </c>
    </row>
    <row r="1841" spans="1:3">
      <c r="A1841" s="177">
        <v>956200411</v>
      </c>
      <c r="B1841" s="116" t="str">
        <f t="shared" si="28"/>
        <v>95-956200411</v>
      </c>
      <c r="C1841" s="179" t="s">
        <v>7419</v>
      </c>
    </row>
    <row r="1842" spans="1:3">
      <c r="A1842" s="177">
        <v>966300036</v>
      </c>
      <c r="B1842" s="116" t="str">
        <f t="shared" si="28"/>
        <v>96-966300036</v>
      </c>
      <c r="C1842" s="179" t="s">
        <v>12241</v>
      </c>
    </row>
    <row r="1843" spans="1:3">
      <c r="A1843" s="177">
        <v>954100021</v>
      </c>
      <c r="B1843" s="116" t="str">
        <f t="shared" si="28"/>
        <v>95-954100021</v>
      </c>
      <c r="C1843" s="179" t="s">
        <v>5691</v>
      </c>
    </row>
    <row r="1844" spans="1:3">
      <c r="A1844" s="177">
        <v>954100027</v>
      </c>
      <c r="B1844" s="116" t="str">
        <f t="shared" si="28"/>
        <v>95-954100027</v>
      </c>
      <c r="C1844" s="179" t="s">
        <v>5626</v>
      </c>
    </row>
    <row r="1845" spans="1:3">
      <c r="A1845" s="177">
        <v>954100034</v>
      </c>
      <c r="B1845" s="116" t="str">
        <f t="shared" si="28"/>
        <v>95-954100034</v>
      </c>
      <c r="C1845" s="179" t="s">
        <v>5749</v>
      </c>
    </row>
    <row r="1846" spans="1:3">
      <c r="A1846" s="177">
        <v>954100038</v>
      </c>
      <c r="B1846" s="116" t="str">
        <f t="shared" si="28"/>
        <v>95-954100038</v>
      </c>
      <c r="C1846" s="179" t="s">
        <v>5760</v>
      </c>
    </row>
    <row r="1847" spans="1:3">
      <c r="A1847" s="177">
        <v>954100041</v>
      </c>
      <c r="B1847" s="116" t="str">
        <f t="shared" si="28"/>
        <v>95-954100041</v>
      </c>
      <c r="C1847" s="179" t="s">
        <v>5761</v>
      </c>
    </row>
    <row r="1848" spans="1:3">
      <c r="A1848" s="177">
        <v>954100042</v>
      </c>
      <c r="B1848" s="116" t="str">
        <f t="shared" si="28"/>
        <v>95-954100042</v>
      </c>
      <c r="C1848" s="179" t="s">
        <v>5761</v>
      </c>
    </row>
    <row r="1849" spans="1:3">
      <c r="A1849" s="177">
        <v>964100001</v>
      </c>
      <c r="B1849" s="116" t="str">
        <f t="shared" si="28"/>
        <v>96-964100001</v>
      </c>
      <c r="C1849" s="179" t="s">
        <v>5761</v>
      </c>
    </row>
    <row r="1850" spans="1:3">
      <c r="A1850" s="177">
        <v>964100003</v>
      </c>
      <c r="B1850" s="116" t="str">
        <f t="shared" si="28"/>
        <v>96-964100003</v>
      </c>
      <c r="C1850" s="179" t="s">
        <v>5760</v>
      </c>
    </row>
    <row r="1851" spans="1:3">
      <c r="A1851" s="177">
        <v>964100035</v>
      </c>
      <c r="B1851" s="116" t="str">
        <f t="shared" si="28"/>
        <v>96-964100035</v>
      </c>
      <c r="C1851" s="179" t="s">
        <v>5824</v>
      </c>
    </row>
    <row r="1852" spans="1:3">
      <c r="A1852" s="177">
        <v>964100013</v>
      </c>
      <c r="B1852" s="116" t="str">
        <f t="shared" si="28"/>
        <v>96-964100013</v>
      </c>
      <c r="C1852" s="179" t="s">
        <v>5797</v>
      </c>
    </row>
    <row r="1853" spans="1:3">
      <c r="A1853" s="177">
        <v>964100014</v>
      </c>
      <c r="B1853" s="116" t="str">
        <f t="shared" si="28"/>
        <v>96-964100014</v>
      </c>
      <c r="C1853" s="179" t="s">
        <v>5797</v>
      </c>
    </row>
    <row r="1854" spans="1:3">
      <c r="A1854" s="177">
        <v>964100015</v>
      </c>
      <c r="B1854" s="116" t="str">
        <f t="shared" si="28"/>
        <v>96-964100015</v>
      </c>
      <c r="C1854" s="179" t="s">
        <v>5797</v>
      </c>
    </row>
    <row r="1855" spans="1:3">
      <c r="A1855" s="177">
        <v>964100016</v>
      </c>
      <c r="B1855" s="116" t="str">
        <f t="shared" si="28"/>
        <v>96-964100016</v>
      </c>
      <c r="C1855" s="179" t="s">
        <v>5804</v>
      </c>
    </row>
    <row r="1856" spans="1:3">
      <c r="A1856" s="177">
        <v>964100022</v>
      </c>
      <c r="B1856" s="116" t="str">
        <f t="shared" si="28"/>
        <v>96-964100022</v>
      </c>
      <c r="C1856" s="179" t="s">
        <v>5783</v>
      </c>
    </row>
    <row r="1857" spans="1:3">
      <c r="A1857" s="177">
        <v>964100028</v>
      </c>
      <c r="B1857" s="116" t="str">
        <f t="shared" si="28"/>
        <v>96-964100028</v>
      </c>
      <c r="C1857" s="179" t="s">
        <v>5782</v>
      </c>
    </row>
    <row r="1858" spans="1:3">
      <c r="A1858" s="177">
        <v>964100031</v>
      </c>
      <c r="B1858" s="116" t="str">
        <f t="shared" si="28"/>
        <v>96-964100031</v>
      </c>
      <c r="C1858" s="179" t="s">
        <v>5817</v>
      </c>
    </row>
    <row r="1859" spans="1:3">
      <c r="A1859" s="177">
        <v>964100030</v>
      </c>
      <c r="B1859" s="116" t="str">
        <f t="shared" ref="B1859:B1922" si="29">MID(A1859,1,2)&amp;"-"&amp;A1859</f>
        <v>96-964100030</v>
      </c>
      <c r="C1859" s="179" t="s">
        <v>5817</v>
      </c>
    </row>
    <row r="1860" spans="1:3">
      <c r="A1860" s="177">
        <v>964100039</v>
      </c>
      <c r="B1860" s="116" t="str">
        <f t="shared" si="29"/>
        <v>96-964100039</v>
      </c>
      <c r="C1860" s="179" t="s">
        <v>5817</v>
      </c>
    </row>
    <row r="1861" spans="1:3">
      <c r="A1861" s="177">
        <v>964100043</v>
      </c>
      <c r="B1861" s="116" t="str">
        <f t="shared" si="29"/>
        <v>96-964100043</v>
      </c>
      <c r="C1861" s="179" t="s">
        <v>5844</v>
      </c>
    </row>
    <row r="1862" spans="1:3">
      <c r="A1862" s="177">
        <v>964100061</v>
      </c>
      <c r="B1862" s="116" t="str">
        <f t="shared" si="29"/>
        <v>96-964100061</v>
      </c>
      <c r="C1862" s="179" t="s">
        <v>7124</v>
      </c>
    </row>
    <row r="1863" spans="1:3">
      <c r="A1863" s="177">
        <v>964100058</v>
      </c>
      <c r="B1863" s="116" t="str">
        <f t="shared" si="29"/>
        <v>96-964100058</v>
      </c>
      <c r="C1863" s="179" t="s">
        <v>7124</v>
      </c>
    </row>
    <row r="1864" spans="1:3">
      <c r="A1864" s="177">
        <v>964100064</v>
      </c>
      <c r="B1864" s="116" t="str">
        <f t="shared" si="29"/>
        <v>96-964100064</v>
      </c>
      <c r="C1864" s="179" t="s">
        <v>8706</v>
      </c>
    </row>
    <row r="1865" spans="1:3">
      <c r="A1865" s="177">
        <v>964100066</v>
      </c>
      <c r="B1865" s="116" t="str">
        <f t="shared" si="29"/>
        <v>96-964100066</v>
      </c>
      <c r="C1865" s="179" t="s">
        <v>8706</v>
      </c>
    </row>
    <row r="1866" spans="1:3">
      <c r="A1866" s="177">
        <v>964100075</v>
      </c>
      <c r="B1866" s="116" t="str">
        <f t="shared" si="29"/>
        <v>96-964100075</v>
      </c>
      <c r="C1866" s="179" t="s">
        <v>7124</v>
      </c>
    </row>
    <row r="1867" spans="1:3">
      <c r="A1867" s="177">
        <v>964100079</v>
      </c>
      <c r="B1867" s="116" t="str">
        <f t="shared" si="29"/>
        <v>96-964100079</v>
      </c>
      <c r="C1867" s="179" t="s">
        <v>9911</v>
      </c>
    </row>
    <row r="1868" spans="1:3">
      <c r="A1868" s="177">
        <v>964100083</v>
      </c>
      <c r="B1868" s="116" t="str">
        <f t="shared" si="29"/>
        <v>96-964100083</v>
      </c>
      <c r="C1868" s="179" t="s">
        <v>9779</v>
      </c>
    </row>
    <row r="1869" spans="1:3">
      <c r="A1869" s="177">
        <v>964300003</v>
      </c>
      <c r="B1869" s="116" t="str">
        <f t="shared" si="29"/>
        <v>96-964300003</v>
      </c>
      <c r="C1869" s="179" t="s">
        <v>7483</v>
      </c>
    </row>
    <row r="1870" spans="1:3">
      <c r="A1870" s="177">
        <v>964300010</v>
      </c>
      <c r="B1870" s="116" t="str">
        <f t="shared" si="29"/>
        <v>96-964300010</v>
      </c>
      <c r="C1870" s="179" t="s">
        <v>7125</v>
      </c>
    </row>
    <row r="1871" spans="1:3">
      <c r="A1871" s="177">
        <v>964300014</v>
      </c>
      <c r="B1871" s="116" t="str">
        <f t="shared" si="29"/>
        <v>96-964300014</v>
      </c>
      <c r="C1871" s="179" t="s">
        <v>7125</v>
      </c>
    </row>
    <row r="1872" spans="1:3">
      <c r="A1872" s="177">
        <v>964300020</v>
      </c>
      <c r="B1872" s="116" t="str">
        <f t="shared" si="29"/>
        <v>96-964300020</v>
      </c>
      <c r="C1872" s="179" t="s">
        <v>8702</v>
      </c>
    </row>
    <row r="1873" spans="1:3">
      <c r="A1873" s="177">
        <v>964300021</v>
      </c>
      <c r="B1873" s="116" t="str">
        <f t="shared" si="29"/>
        <v>96-964300021</v>
      </c>
      <c r="C1873" s="179" t="s">
        <v>8702</v>
      </c>
    </row>
    <row r="1874" spans="1:3">
      <c r="A1874" s="177">
        <v>964300024</v>
      </c>
      <c r="B1874" s="116" t="str">
        <f t="shared" si="29"/>
        <v>96-964300024</v>
      </c>
      <c r="C1874" s="179" t="s">
        <v>8702</v>
      </c>
    </row>
    <row r="1875" spans="1:3">
      <c r="A1875" s="177">
        <v>966200061</v>
      </c>
      <c r="B1875" s="116" t="str">
        <f t="shared" si="29"/>
        <v>96-966200061</v>
      </c>
      <c r="C1875" s="179" t="s">
        <v>7345</v>
      </c>
    </row>
    <row r="1876" spans="1:3">
      <c r="A1876" s="177">
        <v>952000332</v>
      </c>
      <c r="B1876" s="116" t="str">
        <f t="shared" si="29"/>
        <v>95-952000332</v>
      </c>
      <c r="C1876" s="179" t="s">
        <v>7420</v>
      </c>
    </row>
    <row r="1877" spans="1:3">
      <c r="A1877" s="177">
        <v>956200153</v>
      </c>
      <c r="B1877" s="116" t="str">
        <f t="shared" si="29"/>
        <v>95-956200153</v>
      </c>
      <c r="C1877" s="179" t="s">
        <v>7268</v>
      </c>
    </row>
    <row r="1878" spans="1:3">
      <c r="A1878" s="177">
        <v>956200243</v>
      </c>
      <c r="B1878" s="116" t="str">
        <f t="shared" si="29"/>
        <v>95-956200243</v>
      </c>
      <c r="C1878" s="179" t="s">
        <v>7428</v>
      </c>
    </row>
    <row r="1879" spans="1:3">
      <c r="A1879" s="177">
        <v>961100032</v>
      </c>
      <c r="B1879" s="116" t="str">
        <f t="shared" si="29"/>
        <v>96-961100032</v>
      </c>
      <c r="C1879" s="179" t="s">
        <v>7439</v>
      </c>
    </row>
    <row r="1880" spans="1:3">
      <c r="A1880" s="177">
        <v>951100185</v>
      </c>
      <c r="B1880" s="116" t="str">
        <f t="shared" si="29"/>
        <v>95-951100185</v>
      </c>
      <c r="C1880" s="179" t="s">
        <v>7906</v>
      </c>
    </row>
    <row r="1881" spans="1:3">
      <c r="A1881" s="177">
        <v>966200196</v>
      </c>
      <c r="B1881" s="116" t="str">
        <f t="shared" si="29"/>
        <v>96-966200196</v>
      </c>
      <c r="C1881" s="179" t="s">
        <v>7440</v>
      </c>
    </row>
    <row r="1882" spans="1:3">
      <c r="A1882" s="177">
        <v>956200338</v>
      </c>
      <c r="B1882" s="116" t="str">
        <f t="shared" si="29"/>
        <v>95-956200338</v>
      </c>
      <c r="C1882" s="179" t="s">
        <v>7447</v>
      </c>
    </row>
    <row r="1883" spans="1:3">
      <c r="A1883" s="177">
        <v>952200009</v>
      </c>
      <c r="B1883" s="116" t="str">
        <f t="shared" si="29"/>
        <v>95-952200009</v>
      </c>
      <c r="C1883" s="179" t="s">
        <v>7131</v>
      </c>
    </row>
    <row r="1884" spans="1:3">
      <c r="A1884" s="177">
        <v>952200038</v>
      </c>
      <c r="B1884" s="116" t="str">
        <f t="shared" si="29"/>
        <v>95-952200038</v>
      </c>
      <c r="C1884" s="179" t="s">
        <v>7126</v>
      </c>
    </row>
    <row r="1885" spans="1:3">
      <c r="A1885" s="177">
        <v>952200061</v>
      </c>
      <c r="B1885" s="116" t="str">
        <f t="shared" si="29"/>
        <v>95-952200061</v>
      </c>
      <c r="C1885" s="179" t="s">
        <v>7243</v>
      </c>
    </row>
    <row r="1886" spans="1:3">
      <c r="A1886" s="177">
        <v>952200062</v>
      </c>
      <c r="B1886" s="116" t="str">
        <f t="shared" si="29"/>
        <v>95-952200062</v>
      </c>
      <c r="C1886" s="179" t="s">
        <v>7510</v>
      </c>
    </row>
    <row r="1887" spans="1:3">
      <c r="A1887" s="177">
        <v>952200085</v>
      </c>
      <c r="B1887" s="116" t="str">
        <f t="shared" si="29"/>
        <v>95-952200085</v>
      </c>
      <c r="C1887" s="179" t="s">
        <v>7239</v>
      </c>
    </row>
    <row r="1888" spans="1:3">
      <c r="A1888" s="177">
        <v>962200004</v>
      </c>
      <c r="B1888" s="116" t="str">
        <f t="shared" si="29"/>
        <v>96-962200004</v>
      </c>
      <c r="C1888" s="179" t="s">
        <v>7218</v>
      </c>
    </row>
    <row r="1889" spans="1:3">
      <c r="A1889" s="177">
        <v>962200005</v>
      </c>
      <c r="B1889" s="116" t="str">
        <f t="shared" si="29"/>
        <v>96-962200005</v>
      </c>
      <c r="C1889" s="179" t="s">
        <v>7236</v>
      </c>
    </row>
    <row r="1890" spans="1:3">
      <c r="A1890" s="177">
        <v>962200009</v>
      </c>
      <c r="B1890" s="116" t="str">
        <f t="shared" si="29"/>
        <v>96-962200009</v>
      </c>
      <c r="C1890" s="179" t="s">
        <v>7151</v>
      </c>
    </row>
    <row r="1891" spans="1:3">
      <c r="A1891" s="177">
        <v>962200010</v>
      </c>
      <c r="B1891" s="116" t="str">
        <f t="shared" si="29"/>
        <v>96-962200010</v>
      </c>
      <c r="C1891" s="179" t="s">
        <v>7451</v>
      </c>
    </row>
    <row r="1892" spans="1:3">
      <c r="A1892" s="177">
        <v>962200015</v>
      </c>
      <c r="B1892" s="116" t="str">
        <f t="shared" si="29"/>
        <v>96-962200015</v>
      </c>
      <c r="C1892" s="179" t="s">
        <v>7484</v>
      </c>
    </row>
    <row r="1893" spans="1:3">
      <c r="A1893" s="177">
        <v>962200041</v>
      </c>
      <c r="B1893" s="116" t="str">
        <f t="shared" si="29"/>
        <v>96-962200041</v>
      </c>
      <c r="C1893" s="179" t="s">
        <v>7173</v>
      </c>
    </row>
    <row r="1894" spans="1:3">
      <c r="A1894" s="177">
        <v>962200044</v>
      </c>
      <c r="B1894" s="116" t="str">
        <f t="shared" si="29"/>
        <v>96-962200044</v>
      </c>
      <c r="C1894" s="179" t="s">
        <v>7228</v>
      </c>
    </row>
    <row r="1895" spans="1:3">
      <c r="A1895" s="177">
        <v>962200050</v>
      </c>
      <c r="B1895" s="116" t="str">
        <f t="shared" si="29"/>
        <v>96-962200050</v>
      </c>
      <c r="C1895" s="179" t="s">
        <v>7450</v>
      </c>
    </row>
    <row r="1896" spans="1:3">
      <c r="A1896" s="177">
        <v>962200056</v>
      </c>
      <c r="B1896" s="116" t="str">
        <f t="shared" si="29"/>
        <v>96-962200056</v>
      </c>
      <c r="C1896" s="179" t="s">
        <v>7452</v>
      </c>
    </row>
    <row r="1897" spans="1:3">
      <c r="A1897" s="177">
        <v>962200057</v>
      </c>
      <c r="B1897" s="116" t="str">
        <f t="shared" si="29"/>
        <v>96-962200057</v>
      </c>
      <c r="C1897" s="179" t="s">
        <v>7450</v>
      </c>
    </row>
    <row r="1898" spans="1:3">
      <c r="A1898" s="177">
        <v>962200076</v>
      </c>
      <c r="B1898" s="116" t="str">
        <f t="shared" si="29"/>
        <v>96-962200076</v>
      </c>
      <c r="C1898" s="179" t="s">
        <v>8721</v>
      </c>
    </row>
    <row r="1899" spans="1:3">
      <c r="A1899" s="177">
        <v>962200081</v>
      </c>
      <c r="B1899" s="116" t="str">
        <f t="shared" si="29"/>
        <v>96-962200081</v>
      </c>
      <c r="C1899" s="179" t="s">
        <v>7125</v>
      </c>
    </row>
    <row r="1900" spans="1:3">
      <c r="A1900" s="177">
        <v>956200135</v>
      </c>
      <c r="B1900" s="116" t="str">
        <f t="shared" si="29"/>
        <v>95-956200135</v>
      </c>
      <c r="C1900" s="179" t="s">
        <v>7382</v>
      </c>
    </row>
    <row r="1901" spans="1:3">
      <c r="A1901" s="177">
        <v>966200262</v>
      </c>
      <c r="B1901" s="116" t="str">
        <f t="shared" si="29"/>
        <v>96-966200262</v>
      </c>
      <c r="C1901" s="179" t="s">
        <v>7113</v>
      </c>
    </row>
    <row r="1902" spans="1:3">
      <c r="A1902" s="177">
        <v>962500015</v>
      </c>
      <c r="B1902" s="116" t="str">
        <f t="shared" si="29"/>
        <v>96-962500015</v>
      </c>
      <c r="C1902" s="179" t="s">
        <v>5781</v>
      </c>
    </row>
    <row r="1903" spans="1:3">
      <c r="A1903" s="177">
        <v>962500020</v>
      </c>
      <c r="B1903" s="116" t="str">
        <f t="shared" si="29"/>
        <v>96-962500020</v>
      </c>
      <c r="C1903" s="179" t="s">
        <v>5781</v>
      </c>
    </row>
    <row r="1904" spans="1:3">
      <c r="A1904" s="177">
        <v>952500054</v>
      </c>
      <c r="B1904" s="116" t="str">
        <f t="shared" si="29"/>
        <v>95-952500054</v>
      </c>
      <c r="C1904" s="179" t="s">
        <v>5649</v>
      </c>
    </row>
    <row r="1905" spans="1:3">
      <c r="A1905" s="177">
        <v>952500078</v>
      </c>
      <c r="B1905" s="116" t="str">
        <f t="shared" si="29"/>
        <v>95-952500078</v>
      </c>
      <c r="C1905" s="179" t="s">
        <v>5740</v>
      </c>
    </row>
    <row r="1906" spans="1:3">
      <c r="A1906" s="177">
        <v>952500025</v>
      </c>
      <c r="B1906" s="116" t="str">
        <f t="shared" si="29"/>
        <v>95-952500025</v>
      </c>
      <c r="C1906" s="179" t="s">
        <v>5630</v>
      </c>
    </row>
    <row r="1907" spans="1:3">
      <c r="A1907" s="177">
        <v>952500050</v>
      </c>
      <c r="B1907" s="116" t="str">
        <f t="shared" si="29"/>
        <v>95-952500050</v>
      </c>
      <c r="C1907" s="179" t="s">
        <v>5675</v>
      </c>
    </row>
    <row r="1908" spans="1:3">
      <c r="A1908" s="177">
        <v>952500056</v>
      </c>
      <c r="B1908" s="116" t="str">
        <f t="shared" si="29"/>
        <v>95-952500056</v>
      </c>
      <c r="C1908" s="179" t="s">
        <v>5675</v>
      </c>
    </row>
    <row r="1909" spans="1:3">
      <c r="A1909" s="177">
        <v>962500040</v>
      </c>
      <c r="B1909" s="116" t="str">
        <f t="shared" si="29"/>
        <v>96-962500040</v>
      </c>
      <c r="C1909" s="179" t="s">
        <v>5814</v>
      </c>
    </row>
    <row r="1910" spans="1:3">
      <c r="A1910" s="177">
        <v>962500109</v>
      </c>
      <c r="B1910" s="116" t="str">
        <f t="shared" si="29"/>
        <v>96-962500109</v>
      </c>
      <c r="C1910" s="179" t="s">
        <v>7175</v>
      </c>
    </row>
    <row r="1911" spans="1:3">
      <c r="A1911" s="177">
        <v>962500119</v>
      </c>
      <c r="B1911" s="116" t="str">
        <f t="shared" si="29"/>
        <v>96-962500119</v>
      </c>
      <c r="C1911" s="179" t="s">
        <v>7175</v>
      </c>
    </row>
    <row r="1912" spans="1:3">
      <c r="A1912" s="177">
        <v>962500156</v>
      </c>
      <c r="B1912" s="116" t="str">
        <f t="shared" si="29"/>
        <v>96-962500156</v>
      </c>
      <c r="C1912" s="179" t="s">
        <v>9784</v>
      </c>
    </row>
    <row r="1913" spans="1:3">
      <c r="A1913" s="177">
        <v>962500073</v>
      </c>
      <c r="B1913" s="116" t="str">
        <f t="shared" si="29"/>
        <v>96-962500073</v>
      </c>
      <c r="C1913" s="179" t="s">
        <v>5842</v>
      </c>
    </row>
    <row r="1914" spans="1:3">
      <c r="A1914" s="177">
        <v>962500120</v>
      </c>
      <c r="B1914" s="116" t="str">
        <f t="shared" si="29"/>
        <v>96-962500120</v>
      </c>
      <c r="C1914" s="179" t="s">
        <v>7145</v>
      </c>
    </row>
    <row r="1915" spans="1:3">
      <c r="A1915" s="177">
        <v>962500165</v>
      </c>
      <c r="B1915" s="116" t="str">
        <f t="shared" si="29"/>
        <v>96-962500165</v>
      </c>
      <c r="C1915" s="179" t="s">
        <v>8753</v>
      </c>
    </row>
    <row r="1916" spans="1:3">
      <c r="A1916" s="177">
        <v>962500010</v>
      </c>
      <c r="B1916" s="116" t="str">
        <f t="shared" si="29"/>
        <v>96-962500010</v>
      </c>
      <c r="C1916" s="179" t="s">
        <v>5778</v>
      </c>
    </row>
    <row r="1917" spans="1:3">
      <c r="A1917" s="177">
        <v>962500023</v>
      </c>
      <c r="B1917" s="116" t="str">
        <f t="shared" si="29"/>
        <v>96-962500023</v>
      </c>
      <c r="C1917" s="179" t="s">
        <v>5780</v>
      </c>
    </row>
    <row r="1918" spans="1:3">
      <c r="A1918" s="177">
        <v>962500026</v>
      </c>
      <c r="B1918" s="116" t="str">
        <f t="shared" si="29"/>
        <v>96-962500026</v>
      </c>
      <c r="C1918" s="179" t="s">
        <v>5780</v>
      </c>
    </row>
    <row r="1919" spans="1:3">
      <c r="A1919" s="177">
        <v>962500027</v>
      </c>
      <c r="B1919" s="116" t="str">
        <f t="shared" si="29"/>
        <v>96-962500027</v>
      </c>
      <c r="C1919" s="179" t="s">
        <v>5780</v>
      </c>
    </row>
    <row r="1920" spans="1:3">
      <c r="A1920" s="177">
        <v>962500034</v>
      </c>
      <c r="B1920" s="116" t="str">
        <f t="shared" si="29"/>
        <v>96-962500034</v>
      </c>
      <c r="C1920" s="179" t="s">
        <v>5780</v>
      </c>
    </row>
    <row r="1921" spans="1:3">
      <c r="A1921" s="177">
        <v>962500068</v>
      </c>
      <c r="B1921" s="116" t="str">
        <f t="shared" si="29"/>
        <v>96-962500068</v>
      </c>
      <c r="C1921" s="179" t="s">
        <v>5841</v>
      </c>
    </row>
    <row r="1922" spans="1:3">
      <c r="A1922" s="177">
        <v>962500189</v>
      </c>
      <c r="B1922" s="116" t="str">
        <f t="shared" si="29"/>
        <v>96-962500189</v>
      </c>
      <c r="C1922" s="179" t="s">
        <v>12195</v>
      </c>
    </row>
    <row r="1923" spans="1:3">
      <c r="A1923" s="177">
        <v>962500175</v>
      </c>
      <c r="B1923" s="116" t="str">
        <f t="shared" ref="B1923:B1986" si="30">MID(A1923,1,2)&amp;"-"&amp;A1923</f>
        <v>96-962500175</v>
      </c>
      <c r="C1923" s="179" t="s">
        <v>12119</v>
      </c>
    </row>
    <row r="1924" spans="1:3">
      <c r="A1924" s="177">
        <v>962000480</v>
      </c>
      <c r="B1924" s="116" t="str">
        <f t="shared" si="30"/>
        <v>96-962000480</v>
      </c>
      <c r="C1924" s="179" t="s">
        <v>12184</v>
      </c>
    </row>
    <row r="1925" spans="1:3">
      <c r="A1925" s="177">
        <v>952000128</v>
      </c>
      <c r="B1925" s="116" t="str">
        <f t="shared" si="30"/>
        <v>95-952000128</v>
      </c>
      <c r="C1925" s="179" t="s">
        <v>7405</v>
      </c>
    </row>
    <row r="1926" spans="1:3">
      <c r="A1926" s="177">
        <v>952000290</v>
      </c>
      <c r="B1926" s="116" t="str">
        <f t="shared" si="30"/>
        <v>95-952000290</v>
      </c>
      <c r="C1926" s="179" t="s">
        <v>7280</v>
      </c>
    </row>
    <row r="1927" spans="1:3">
      <c r="A1927" s="177">
        <v>962000471</v>
      </c>
      <c r="B1927" s="116" t="str">
        <f t="shared" si="30"/>
        <v>96-962000471</v>
      </c>
      <c r="C1927" s="179" t="s">
        <v>12184</v>
      </c>
    </row>
    <row r="1928" spans="1:3">
      <c r="A1928" s="177">
        <v>952000229</v>
      </c>
      <c r="B1928" s="116" t="str">
        <f t="shared" si="30"/>
        <v>95-952000229</v>
      </c>
      <c r="C1928" s="179" t="s">
        <v>7385</v>
      </c>
    </row>
    <row r="1929" spans="1:3">
      <c r="A1929" s="177">
        <v>952000277</v>
      </c>
      <c r="B1929" s="116" t="str">
        <f t="shared" si="30"/>
        <v>95-952000277</v>
      </c>
      <c r="C1929" s="179" t="s">
        <v>7280</v>
      </c>
    </row>
    <row r="1930" spans="1:3">
      <c r="A1930" s="177">
        <v>962000423</v>
      </c>
      <c r="B1930" s="116" t="str">
        <f t="shared" si="30"/>
        <v>96-962000423</v>
      </c>
      <c r="C1930" s="179" t="s">
        <v>12184</v>
      </c>
    </row>
    <row r="1931" spans="1:3">
      <c r="A1931" s="177">
        <v>952000045</v>
      </c>
      <c r="B1931" s="116" t="str">
        <f t="shared" si="30"/>
        <v>95-952000045</v>
      </c>
      <c r="C1931" s="179" t="s">
        <v>7331</v>
      </c>
    </row>
    <row r="1932" spans="1:3">
      <c r="A1932" s="177">
        <v>962000421</v>
      </c>
      <c r="B1932" s="116" t="str">
        <f t="shared" si="30"/>
        <v>96-962000421</v>
      </c>
      <c r="C1932" s="179" t="s">
        <v>12184</v>
      </c>
    </row>
    <row r="1933" spans="1:3">
      <c r="A1933" s="177">
        <v>954200007</v>
      </c>
      <c r="B1933" s="116" t="str">
        <f t="shared" si="30"/>
        <v>95-954200007</v>
      </c>
      <c r="C1933" s="179" t="s">
        <v>5637</v>
      </c>
    </row>
    <row r="1934" spans="1:3">
      <c r="A1934" s="177">
        <v>954200031</v>
      </c>
      <c r="B1934" s="116" t="str">
        <f t="shared" si="30"/>
        <v>95-954200031</v>
      </c>
      <c r="C1934" s="179" t="s">
        <v>5641</v>
      </c>
    </row>
    <row r="1935" spans="1:3">
      <c r="A1935" s="177">
        <v>952000308</v>
      </c>
      <c r="B1935" s="116" t="str">
        <f t="shared" si="30"/>
        <v>95-952000308</v>
      </c>
      <c r="C1935" s="179" t="s">
        <v>7420</v>
      </c>
    </row>
    <row r="1936" spans="1:3">
      <c r="A1936" s="177">
        <v>962000442</v>
      </c>
      <c r="B1936" s="116" t="str">
        <f t="shared" si="30"/>
        <v>96-962000442</v>
      </c>
      <c r="C1936" s="179" t="s">
        <v>12184</v>
      </c>
    </row>
    <row r="1937" spans="1:3">
      <c r="A1937" s="177">
        <v>952000185</v>
      </c>
      <c r="B1937" s="116" t="str">
        <f t="shared" si="30"/>
        <v>95-952000185</v>
      </c>
      <c r="C1937" s="179" t="s">
        <v>7453</v>
      </c>
    </row>
    <row r="1938" spans="1:3">
      <c r="A1938" s="177">
        <v>952000113</v>
      </c>
      <c r="B1938" s="116" t="str">
        <f t="shared" si="30"/>
        <v>95-952000113</v>
      </c>
      <c r="C1938" s="179" t="s">
        <v>7411</v>
      </c>
    </row>
    <row r="1939" spans="1:3">
      <c r="A1939" s="177">
        <v>962000472</v>
      </c>
      <c r="B1939" s="116" t="str">
        <f t="shared" si="30"/>
        <v>96-962000472</v>
      </c>
      <c r="C1939" s="179" t="s">
        <v>12184</v>
      </c>
    </row>
    <row r="1940" spans="1:3">
      <c r="A1940" s="177">
        <v>962000077</v>
      </c>
      <c r="B1940" s="116" t="str">
        <f t="shared" si="30"/>
        <v>96-962000077</v>
      </c>
      <c r="C1940" s="179" t="s">
        <v>7112</v>
      </c>
    </row>
    <row r="1941" spans="1:3">
      <c r="A1941" s="177">
        <v>951100165</v>
      </c>
      <c r="B1941" s="116" t="str">
        <f t="shared" si="30"/>
        <v>95-951100165</v>
      </c>
      <c r="C1941" s="179" t="s">
        <v>7454</v>
      </c>
    </row>
    <row r="1942" spans="1:3">
      <c r="A1942" s="177">
        <v>961100007</v>
      </c>
      <c r="B1942" s="116" t="str">
        <f t="shared" si="30"/>
        <v>96-961100007</v>
      </c>
      <c r="C1942" s="179" t="s">
        <v>7455</v>
      </c>
    </row>
    <row r="1943" spans="1:3">
      <c r="A1943" s="177">
        <v>952000054</v>
      </c>
      <c r="B1943" s="116" t="str">
        <f t="shared" si="30"/>
        <v>95-952000054</v>
      </c>
      <c r="C1943" s="179" t="s">
        <v>7278</v>
      </c>
    </row>
    <row r="1944" spans="1:3">
      <c r="A1944" s="177">
        <v>962000172</v>
      </c>
      <c r="B1944" s="116" t="str">
        <f t="shared" si="30"/>
        <v>96-962000172</v>
      </c>
      <c r="C1944" s="179" t="s">
        <v>7112</v>
      </c>
    </row>
    <row r="1945" spans="1:3">
      <c r="A1945" s="177">
        <v>954200005</v>
      </c>
      <c r="B1945" s="116" t="str">
        <f t="shared" si="30"/>
        <v>95-954200005</v>
      </c>
      <c r="C1945" s="179" t="s">
        <v>5628</v>
      </c>
    </row>
    <row r="1946" spans="1:3">
      <c r="A1946" s="177">
        <v>954200026</v>
      </c>
      <c r="B1946" s="116" t="str">
        <f t="shared" si="30"/>
        <v>95-954200026</v>
      </c>
      <c r="C1946" s="179" t="s">
        <v>5643</v>
      </c>
    </row>
    <row r="1947" spans="1:3">
      <c r="A1947" s="177">
        <v>954200004</v>
      </c>
      <c r="B1947" s="116" t="str">
        <f t="shared" si="30"/>
        <v>95-954200004</v>
      </c>
      <c r="C1947" s="179" t="s">
        <v>5629</v>
      </c>
    </row>
    <row r="1948" spans="1:3">
      <c r="A1948" s="177">
        <v>964200008</v>
      </c>
      <c r="B1948" s="116" t="str">
        <f t="shared" si="30"/>
        <v>96-964200008</v>
      </c>
      <c r="C1948" s="179" t="s">
        <v>9912</v>
      </c>
    </row>
    <row r="1949" spans="1:3">
      <c r="A1949" s="177">
        <v>964200009</v>
      </c>
      <c r="B1949" s="116" t="str">
        <f t="shared" si="30"/>
        <v>96-964200009</v>
      </c>
      <c r="C1949" s="179" t="s">
        <v>9912</v>
      </c>
    </row>
    <row r="1950" spans="1:3">
      <c r="A1950" s="177">
        <v>964200003</v>
      </c>
      <c r="B1950" s="116" t="str">
        <f t="shared" si="30"/>
        <v>96-964200003</v>
      </c>
      <c r="C1950" s="179" t="s">
        <v>5798</v>
      </c>
    </row>
    <row r="1951" spans="1:3">
      <c r="A1951" s="177">
        <v>964200004</v>
      </c>
      <c r="B1951" s="116" t="str">
        <f t="shared" si="30"/>
        <v>96-964200004</v>
      </c>
      <c r="C1951" s="179" t="s">
        <v>5778</v>
      </c>
    </row>
    <row r="1952" spans="1:3">
      <c r="A1952" s="177">
        <v>962000022</v>
      </c>
      <c r="B1952" s="116" t="str">
        <f t="shared" si="30"/>
        <v>96-962000022</v>
      </c>
      <c r="C1952" s="179" t="s">
        <v>7112</v>
      </c>
    </row>
    <row r="1953" spans="1:3">
      <c r="A1953" s="177">
        <v>952000036</v>
      </c>
      <c r="B1953" s="116" t="str">
        <f t="shared" si="30"/>
        <v>95-952000036</v>
      </c>
      <c r="C1953" s="179" t="s">
        <v>7331</v>
      </c>
    </row>
    <row r="1954" spans="1:3">
      <c r="A1954" s="177">
        <v>962000411</v>
      </c>
      <c r="B1954" s="116" t="str">
        <f t="shared" si="30"/>
        <v>96-962000411</v>
      </c>
      <c r="C1954" s="179" t="s">
        <v>12184</v>
      </c>
    </row>
    <row r="1955" spans="1:3">
      <c r="A1955" s="177">
        <v>952000313</v>
      </c>
      <c r="B1955" s="116" t="str">
        <f t="shared" si="30"/>
        <v>95-952000313</v>
      </c>
      <c r="C1955" s="179" t="s">
        <v>7420</v>
      </c>
    </row>
    <row r="1956" spans="1:3">
      <c r="A1956" s="177">
        <v>962000089</v>
      </c>
      <c r="B1956" s="116" t="str">
        <f t="shared" si="30"/>
        <v>96-962000089</v>
      </c>
      <c r="C1956" s="179" t="s">
        <v>7112</v>
      </c>
    </row>
    <row r="1957" spans="1:3">
      <c r="A1957" s="177">
        <v>962000464</v>
      </c>
      <c r="B1957" s="116" t="str">
        <f t="shared" si="30"/>
        <v>96-962000464</v>
      </c>
      <c r="C1957" s="179" t="s">
        <v>12184</v>
      </c>
    </row>
    <row r="1958" spans="1:3">
      <c r="A1958" s="177">
        <v>962000459</v>
      </c>
      <c r="B1958" s="116" t="str">
        <f t="shared" si="30"/>
        <v>96-962000459</v>
      </c>
      <c r="C1958" s="179" t="s">
        <v>12184</v>
      </c>
    </row>
    <row r="1959" spans="1:3">
      <c r="A1959" s="177">
        <v>952000265</v>
      </c>
      <c r="B1959" s="116" t="str">
        <f t="shared" si="30"/>
        <v>95-952000265</v>
      </c>
      <c r="C1959" s="179" t="s">
        <v>7280</v>
      </c>
    </row>
    <row r="1960" spans="1:3">
      <c r="A1960" s="177">
        <v>952000343</v>
      </c>
      <c r="B1960" s="116" t="str">
        <f t="shared" si="30"/>
        <v>95-952000343</v>
      </c>
      <c r="C1960" s="179" t="s">
        <v>7413</v>
      </c>
    </row>
    <row r="1961" spans="1:3">
      <c r="A1961" s="177">
        <v>956000003</v>
      </c>
      <c r="B1961" s="116" t="str">
        <f t="shared" si="30"/>
        <v>95-956000003</v>
      </c>
      <c r="C1961" s="179" t="s">
        <v>7146</v>
      </c>
    </row>
    <row r="1962" spans="1:3">
      <c r="A1962" s="177">
        <v>959000001</v>
      </c>
      <c r="B1962" s="116" t="str">
        <f t="shared" si="30"/>
        <v>95-959000001</v>
      </c>
      <c r="C1962" s="179" t="s">
        <v>5625</v>
      </c>
    </row>
    <row r="1963" spans="1:3">
      <c r="A1963" s="177">
        <v>959000007</v>
      </c>
      <c r="B1963" s="116" t="str">
        <f t="shared" si="30"/>
        <v>95-959000007</v>
      </c>
      <c r="C1963" s="179" t="s">
        <v>5763</v>
      </c>
    </row>
    <row r="1964" spans="1:3">
      <c r="A1964" s="177">
        <v>962000039</v>
      </c>
      <c r="B1964" s="116" t="str">
        <f t="shared" si="30"/>
        <v>96-962000039</v>
      </c>
      <c r="C1964" s="179" t="s">
        <v>7112</v>
      </c>
    </row>
    <row r="1965" spans="1:3">
      <c r="A1965" s="177">
        <v>962000290</v>
      </c>
      <c r="B1965" s="116" t="str">
        <f t="shared" si="30"/>
        <v>96-962000290</v>
      </c>
      <c r="C1965" s="179" t="s">
        <v>7112</v>
      </c>
    </row>
    <row r="1966" spans="1:3">
      <c r="A1966" s="177">
        <v>962000287</v>
      </c>
      <c r="B1966" s="116" t="str">
        <f t="shared" si="30"/>
        <v>96-962000287</v>
      </c>
      <c r="C1966" s="179" t="s">
        <v>7112</v>
      </c>
    </row>
    <row r="1967" spans="1:3">
      <c r="A1967" s="177">
        <v>956200337</v>
      </c>
      <c r="B1967" s="116" t="str">
        <f t="shared" si="30"/>
        <v>95-956200337</v>
      </c>
      <c r="C1967" s="179" t="s">
        <v>7457</v>
      </c>
    </row>
    <row r="1968" spans="1:3">
      <c r="A1968" s="177">
        <v>956200372</v>
      </c>
      <c r="B1968" s="116" t="str">
        <f t="shared" si="30"/>
        <v>95-956200372</v>
      </c>
      <c r="C1968" s="179" t="s">
        <v>7393</v>
      </c>
    </row>
    <row r="1969" spans="1:3">
      <c r="A1969" s="177">
        <v>961900081</v>
      </c>
      <c r="B1969" s="116" t="str">
        <f t="shared" si="30"/>
        <v>96-961900081</v>
      </c>
      <c r="C1969" s="179" t="s">
        <v>7471</v>
      </c>
    </row>
    <row r="1970" spans="1:3">
      <c r="A1970" s="177">
        <v>951700164</v>
      </c>
      <c r="B1970" s="116" t="str">
        <f t="shared" si="30"/>
        <v>95-951700164</v>
      </c>
      <c r="C1970" s="179" t="s">
        <v>7472</v>
      </c>
    </row>
    <row r="1971" spans="1:3">
      <c r="A1971" s="177">
        <v>951800034</v>
      </c>
      <c r="B1971" s="116" t="str">
        <f t="shared" si="30"/>
        <v>95-951800034</v>
      </c>
      <c r="C1971" s="179" t="s">
        <v>7473</v>
      </c>
    </row>
    <row r="1972" spans="1:3">
      <c r="A1972" s="177">
        <v>961100040</v>
      </c>
      <c r="B1972" s="116" t="str">
        <f t="shared" si="30"/>
        <v>96-961100040</v>
      </c>
      <c r="C1972" s="179" t="s">
        <v>7474</v>
      </c>
    </row>
    <row r="1973" spans="1:3">
      <c r="A1973" s="177">
        <v>951700319</v>
      </c>
      <c r="B1973" s="116" t="str">
        <f t="shared" si="30"/>
        <v>95-951700319</v>
      </c>
      <c r="C1973" s="179" t="s">
        <v>7481</v>
      </c>
    </row>
    <row r="1974" spans="1:3">
      <c r="A1974" s="177">
        <v>951700364</v>
      </c>
      <c r="B1974" s="116" t="str">
        <f t="shared" si="30"/>
        <v>95-951700364</v>
      </c>
      <c r="C1974" s="179" t="s">
        <v>7481</v>
      </c>
    </row>
    <row r="1975" spans="1:3">
      <c r="A1975" s="177">
        <v>956200376</v>
      </c>
      <c r="B1975" s="116" t="str">
        <f t="shared" si="30"/>
        <v>95-956200376</v>
      </c>
      <c r="C1975" s="179" t="s">
        <v>7393</v>
      </c>
    </row>
    <row r="1976" spans="1:3">
      <c r="A1976" s="177">
        <v>956200378</v>
      </c>
      <c r="B1976" s="116" t="str">
        <f t="shared" si="30"/>
        <v>95-956200378</v>
      </c>
      <c r="C1976" s="179" t="s">
        <v>7393</v>
      </c>
    </row>
    <row r="1977" spans="1:3">
      <c r="A1977" s="177">
        <v>952000321</v>
      </c>
      <c r="B1977" s="116" t="str">
        <f t="shared" si="30"/>
        <v>95-952000321</v>
      </c>
      <c r="C1977" s="179" t="s">
        <v>7420</v>
      </c>
    </row>
    <row r="1978" spans="1:3">
      <c r="A1978" s="177">
        <v>962000294</v>
      </c>
      <c r="B1978" s="116" t="str">
        <f t="shared" si="30"/>
        <v>96-962000294</v>
      </c>
      <c r="C1978" s="179" t="s">
        <v>7112</v>
      </c>
    </row>
    <row r="1979" spans="1:3">
      <c r="A1979" s="177">
        <v>952000145</v>
      </c>
      <c r="B1979" s="116" t="str">
        <f t="shared" si="30"/>
        <v>95-952000145</v>
      </c>
      <c r="C1979" s="179" t="s">
        <v>7332</v>
      </c>
    </row>
    <row r="1980" spans="1:3">
      <c r="A1980" s="177">
        <v>962000212</v>
      </c>
      <c r="B1980" s="116" t="str">
        <f t="shared" si="30"/>
        <v>96-962000212</v>
      </c>
      <c r="C1980" s="179" t="s">
        <v>7112</v>
      </c>
    </row>
    <row r="1981" spans="1:3">
      <c r="A1981" s="177">
        <v>952000065</v>
      </c>
      <c r="B1981" s="116" t="str">
        <f t="shared" si="30"/>
        <v>95-952000065</v>
      </c>
      <c r="C1981" s="179" t="s">
        <v>7421</v>
      </c>
    </row>
    <row r="1982" spans="1:3">
      <c r="A1982" s="177">
        <v>952000190</v>
      </c>
      <c r="B1982" s="116" t="str">
        <f t="shared" si="30"/>
        <v>95-952000190</v>
      </c>
      <c r="C1982" s="179" t="s">
        <v>7342</v>
      </c>
    </row>
    <row r="1983" spans="1:3">
      <c r="A1983" s="177">
        <v>951600048</v>
      </c>
      <c r="B1983" s="116" t="str">
        <f t="shared" si="30"/>
        <v>95-951600048</v>
      </c>
      <c r="C1983" s="179" t="s">
        <v>7482</v>
      </c>
    </row>
    <row r="1984" spans="1:3">
      <c r="A1984" s="177">
        <v>961800068</v>
      </c>
      <c r="B1984" s="116" t="str">
        <f t="shared" si="30"/>
        <v>96-961800068</v>
      </c>
      <c r="C1984" s="179" t="s">
        <v>8749</v>
      </c>
    </row>
    <row r="1985" spans="1:3">
      <c r="A1985" s="177">
        <v>951400179</v>
      </c>
      <c r="B1985" s="116" t="str">
        <f t="shared" si="30"/>
        <v>95-951400179</v>
      </c>
      <c r="C1985" s="179" t="s">
        <v>7485</v>
      </c>
    </row>
    <row r="1986" spans="1:3">
      <c r="A1986" s="177">
        <v>952000249</v>
      </c>
      <c r="B1986" s="116" t="str">
        <f t="shared" si="30"/>
        <v>95-952000249</v>
      </c>
      <c r="C1986" s="179" t="s">
        <v>7327</v>
      </c>
    </row>
    <row r="1987" spans="1:3">
      <c r="A1987" s="177">
        <v>952000334</v>
      </c>
      <c r="B1987" s="116" t="str">
        <f t="shared" ref="B1987:B2050" si="31">MID(A1987,1,2)&amp;"-"&amp;A1987</f>
        <v>95-952000334</v>
      </c>
      <c r="C1987" s="179" t="s">
        <v>7420</v>
      </c>
    </row>
    <row r="1988" spans="1:3">
      <c r="A1988" s="177">
        <v>962000382</v>
      </c>
      <c r="B1988" s="116" t="str">
        <f t="shared" si="31"/>
        <v>96-962000382</v>
      </c>
      <c r="C1988" s="179" t="s">
        <v>12184</v>
      </c>
    </row>
    <row r="1989" spans="1:3">
      <c r="A1989" s="177">
        <v>962000205</v>
      </c>
      <c r="B1989" s="116" t="str">
        <f t="shared" si="31"/>
        <v>96-962000205</v>
      </c>
      <c r="C1989" s="179" t="s">
        <v>7112</v>
      </c>
    </row>
    <row r="1990" spans="1:3">
      <c r="A1990" s="177">
        <v>951700353</v>
      </c>
      <c r="B1990" s="116" t="str">
        <f t="shared" si="31"/>
        <v>95-951700353</v>
      </c>
      <c r="C1990" s="179" t="s">
        <v>7486</v>
      </c>
    </row>
    <row r="1991" spans="1:3">
      <c r="A1991" s="177">
        <v>951800030</v>
      </c>
      <c r="B1991" s="116" t="str">
        <f t="shared" si="31"/>
        <v>95-951800030</v>
      </c>
      <c r="C1991" s="179" t="s">
        <v>7487</v>
      </c>
    </row>
    <row r="1992" spans="1:3">
      <c r="A1992" s="177">
        <v>956100021</v>
      </c>
      <c r="B1992" s="116" t="str">
        <f t="shared" si="31"/>
        <v>95-956100021</v>
      </c>
      <c r="C1992" s="179" t="s">
        <v>7488</v>
      </c>
    </row>
    <row r="1993" spans="1:3">
      <c r="A1993" s="177">
        <v>951400094</v>
      </c>
      <c r="B1993" s="116" t="str">
        <f t="shared" si="31"/>
        <v>95-951400094</v>
      </c>
      <c r="C1993" s="179" t="s">
        <v>7492</v>
      </c>
    </row>
    <row r="1994" spans="1:3">
      <c r="A1994" s="177">
        <v>962000415</v>
      </c>
      <c r="B1994" s="116" t="str">
        <f t="shared" si="31"/>
        <v>96-962000415</v>
      </c>
      <c r="C1994" s="179" t="s">
        <v>12184</v>
      </c>
    </row>
    <row r="1995" spans="1:3">
      <c r="A1995" s="177">
        <v>951100044</v>
      </c>
      <c r="B1995" s="116" t="str">
        <f t="shared" si="31"/>
        <v>95-951100044</v>
      </c>
      <c r="C1995" s="179" t="s">
        <v>7458</v>
      </c>
    </row>
    <row r="1996" spans="1:3">
      <c r="A1996" s="177">
        <v>956200131</v>
      </c>
      <c r="B1996" s="116" t="str">
        <f t="shared" si="31"/>
        <v>95-956200131</v>
      </c>
      <c r="C1996" s="179" t="s">
        <v>7382</v>
      </c>
    </row>
    <row r="1997" spans="1:3">
      <c r="A1997" s="177">
        <v>966200422</v>
      </c>
      <c r="B1997" s="116" t="str">
        <f t="shared" si="31"/>
        <v>96-966200422</v>
      </c>
      <c r="C1997" s="179" t="s">
        <v>12236</v>
      </c>
    </row>
    <row r="1998" spans="1:3">
      <c r="A1998" s="177">
        <v>956200006</v>
      </c>
      <c r="B1998" s="116" t="str">
        <f t="shared" si="31"/>
        <v>95-956200006</v>
      </c>
      <c r="C1998" s="179" t="s">
        <v>7267</v>
      </c>
    </row>
    <row r="1999" spans="1:3">
      <c r="A1999" s="177">
        <v>956200075</v>
      </c>
      <c r="B1999" s="116" t="str">
        <f t="shared" si="31"/>
        <v>95-956200075</v>
      </c>
      <c r="C1999" s="179" t="s">
        <v>7459</v>
      </c>
    </row>
    <row r="2000" spans="1:3">
      <c r="A2000" s="177">
        <v>966200115</v>
      </c>
      <c r="B2000" s="116" t="str">
        <f t="shared" si="31"/>
        <v>96-966200115</v>
      </c>
      <c r="C2000" s="179" t="s">
        <v>7460</v>
      </c>
    </row>
    <row r="2001" spans="1:3">
      <c r="A2001" s="177">
        <v>966200430</v>
      </c>
      <c r="B2001" s="116" t="str">
        <f t="shared" si="31"/>
        <v>96-966200430</v>
      </c>
      <c r="C2001" s="179" t="s">
        <v>12236</v>
      </c>
    </row>
    <row r="2002" spans="1:3">
      <c r="A2002" s="177">
        <v>966200477</v>
      </c>
      <c r="B2002" s="116" t="str">
        <f t="shared" si="31"/>
        <v>96-966200477</v>
      </c>
      <c r="C2002" s="179" t="s">
        <v>12185</v>
      </c>
    </row>
    <row r="2003" spans="1:3">
      <c r="A2003" s="177">
        <v>951700165</v>
      </c>
      <c r="B2003" s="116" t="str">
        <f t="shared" si="31"/>
        <v>95-951700165</v>
      </c>
      <c r="C2003" s="179" t="s">
        <v>7493</v>
      </c>
    </row>
    <row r="2004" spans="1:3">
      <c r="A2004" s="177">
        <v>951400034</v>
      </c>
      <c r="B2004" s="116" t="str">
        <f t="shared" si="31"/>
        <v>95-951400034</v>
      </c>
      <c r="C2004" s="179" t="s">
        <v>7494</v>
      </c>
    </row>
    <row r="2005" spans="1:3">
      <c r="A2005" s="177">
        <v>956200236</v>
      </c>
      <c r="B2005" s="116" t="str">
        <f t="shared" si="31"/>
        <v>95-956200236</v>
      </c>
      <c r="C2005" s="179" t="s">
        <v>7495</v>
      </c>
    </row>
    <row r="2006" spans="1:3">
      <c r="A2006" s="177">
        <v>966200445</v>
      </c>
      <c r="B2006" s="116" t="str">
        <f t="shared" si="31"/>
        <v>96-966200445</v>
      </c>
      <c r="C2006" s="179" t="s">
        <v>12187</v>
      </c>
    </row>
    <row r="2007" spans="1:3">
      <c r="A2007" s="177">
        <v>966200461</v>
      </c>
      <c r="B2007" s="116" t="str">
        <f t="shared" si="31"/>
        <v>96-966200461</v>
      </c>
      <c r="C2007" s="179" t="s">
        <v>12185</v>
      </c>
    </row>
    <row r="2008" spans="1:3">
      <c r="A2008" s="177">
        <v>966200339</v>
      </c>
      <c r="B2008" s="116" t="str">
        <f t="shared" si="31"/>
        <v>96-966200339</v>
      </c>
      <c r="C2008" s="179" t="s">
        <v>8704</v>
      </c>
    </row>
    <row r="2009" spans="1:3">
      <c r="A2009" s="177">
        <v>956200069</v>
      </c>
      <c r="B2009" s="116" t="str">
        <f t="shared" si="31"/>
        <v>95-956200069</v>
      </c>
      <c r="C2009" s="179" t="s">
        <v>7430</v>
      </c>
    </row>
    <row r="2010" spans="1:3">
      <c r="A2010" s="177">
        <v>951100036</v>
      </c>
      <c r="B2010" s="116" t="str">
        <f t="shared" si="31"/>
        <v>95-951100036</v>
      </c>
      <c r="C2010" s="179" t="s">
        <v>7461</v>
      </c>
    </row>
    <row r="2011" spans="1:3">
      <c r="A2011" s="177">
        <v>956300013</v>
      </c>
      <c r="B2011" s="116" t="str">
        <f t="shared" si="31"/>
        <v>95-956300013</v>
      </c>
      <c r="C2011" s="179" t="s">
        <v>7462</v>
      </c>
    </row>
    <row r="2012" spans="1:3">
      <c r="A2012" s="177">
        <v>956300021</v>
      </c>
      <c r="B2012" s="116" t="str">
        <f t="shared" si="31"/>
        <v>95-956300021</v>
      </c>
      <c r="C2012" s="179" t="s">
        <v>7463</v>
      </c>
    </row>
    <row r="2013" spans="1:3">
      <c r="A2013" s="177">
        <v>966300012</v>
      </c>
      <c r="B2013" s="116" t="str">
        <f t="shared" si="31"/>
        <v>96-966300012</v>
      </c>
      <c r="C2013" s="179" t="s">
        <v>12242</v>
      </c>
    </row>
    <row r="2014" spans="1:3">
      <c r="A2014" s="177">
        <v>966300025</v>
      </c>
      <c r="B2014" s="116" t="str">
        <f t="shared" si="31"/>
        <v>96-966300025</v>
      </c>
      <c r="C2014" s="179" t="s">
        <v>12243</v>
      </c>
    </row>
    <row r="2015" spans="1:3">
      <c r="A2015" s="177">
        <v>966300055</v>
      </c>
      <c r="B2015" s="116" t="str">
        <f t="shared" si="31"/>
        <v>96-966300055</v>
      </c>
      <c r="C2015" s="179" t="s">
        <v>12435</v>
      </c>
    </row>
    <row r="2016" spans="1:3">
      <c r="A2016" s="177">
        <v>956200421</v>
      </c>
      <c r="B2016" s="116" t="str">
        <f t="shared" si="31"/>
        <v>95-956200421</v>
      </c>
      <c r="C2016" s="179" t="s">
        <v>7419</v>
      </c>
    </row>
    <row r="2017" spans="1:3">
      <c r="A2017" s="177">
        <v>956200121</v>
      </c>
      <c r="B2017" s="116" t="str">
        <f t="shared" si="31"/>
        <v>95-956200121</v>
      </c>
      <c r="C2017" s="179" t="s">
        <v>7464</v>
      </c>
    </row>
    <row r="2018" spans="1:3">
      <c r="A2018" s="177">
        <v>956200035</v>
      </c>
      <c r="B2018" s="116" t="str">
        <f t="shared" si="31"/>
        <v>95-956200035</v>
      </c>
      <c r="C2018" s="179" t="s">
        <v>7388</v>
      </c>
    </row>
    <row r="2019" spans="1:3">
      <c r="A2019" s="177">
        <v>951800143</v>
      </c>
      <c r="B2019" s="116" t="str">
        <f t="shared" si="31"/>
        <v>95-951800143</v>
      </c>
      <c r="C2019" s="179" t="s">
        <v>7496</v>
      </c>
    </row>
    <row r="2020" spans="1:3">
      <c r="A2020" s="177">
        <v>951900203</v>
      </c>
      <c r="B2020" s="116" t="str">
        <f t="shared" si="31"/>
        <v>95-951900203</v>
      </c>
      <c r="C2020" s="179" t="s">
        <v>7176</v>
      </c>
    </row>
    <row r="2021" spans="1:3">
      <c r="A2021" s="177">
        <v>966200533</v>
      </c>
      <c r="B2021" s="116" t="str">
        <f t="shared" si="31"/>
        <v>96-966200533</v>
      </c>
      <c r="C2021" s="179" t="s">
        <v>12412</v>
      </c>
    </row>
    <row r="2022" spans="1:3">
      <c r="A2022" s="177">
        <v>966200485</v>
      </c>
      <c r="B2022" s="116" t="str">
        <f t="shared" si="31"/>
        <v>96-966200485</v>
      </c>
      <c r="C2022" s="179" t="s">
        <v>12185</v>
      </c>
    </row>
    <row r="2023" spans="1:3">
      <c r="A2023" s="177">
        <v>952000005</v>
      </c>
      <c r="B2023" s="116" t="str">
        <f t="shared" si="31"/>
        <v>95-952000005</v>
      </c>
      <c r="C2023" s="179" t="s">
        <v>7384</v>
      </c>
    </row>
    <row r="2024" spans="1:3">
      <c r="A2024" s="177">
        <v>962000358</v>
      </c>
      <c r="B2024" s="116" t="str">
        <f t="shared" si="31"/>
        <v>96-962000358</v>
      </c>
      <c r="C2024" s="179" t="s">
        <v>12184</v>
      </c>
    </row>
    <row r="2025" spans="1:3">
      <c r="A2025" s="177">
        <v>952000074</v>
      </c>
      <c r="B2025" s="116" t="str">
        <f t="shared" si="31"/>
        <v>95-952000074</v>
      </c>
      <c r="C2025" s="179" t="s">
        <v>7465</v>
      </c>
    </row>
    <row r="2026" spans="1:3">
      <c r="A2026" s="177">
        <v>952000311</v>
      </c>
      <c r="B2026" s="116" t="str">
        <f t="shared" si="31"/>
        <v>95-952000311</v>
      </c>
      <c r="C2026" s="179" t="s">
        <v>7420</v>
      </c>
    </row>
    <row r="2027" spans="1:3">
      <c r="A2027" s="177">
        <v>962000211</v>
      </c>
      <c r="B2027" s="116" t="str">
        <f t="shared" si="31"/>
        <v>96-962000211</v>
      </c>
      <c r="C2027" s="179" t="s">
        <v>7112</v>
      </c>
    </row>
    <row r="2028" spans="1:3">
      <c r="A2028" s="177">
        <v>952000349</v>
      </c>
      <c r="B2028" s="116" t="str">
        <f t="shared" si="31"/>
        <v>95-952000349</v>
      </c>
      <c r="C2028" s="179" t="s">
        <v>7466</v>
      </c>
    </row>
    <row r="2029" spans="1:3">
      <c r="A2029" s="177">
        <v>966200361</v>
      </c>
      <c r="B2029" s="116" t="str">
        <f t="shared" si="31"/>
        <v>96-966200361</v>
      </c>
      <c r="C2029" s="179" t="s">
        <v>12240</v>
      </c>
    </row>
    <row r="2030" spans="1:3">
      <c r="A2030" s="177">
        <v>952000153</v>
      </c>
      <c r="B2030" s="116" t="str">
        <f t="shared" si="31"/>
        <v>95-952000153</v>
      </c>
      <c r="C2030" s="179" t="s">
        <v>7332</v>
      </c>
    </row>
    <row r="2031" spans="1:3">
      <c r="A2031" s="177">
        <v>952000156</v>
      </c>
      <c r="B2031" s="116" t="str">
        <f t="shared" si="31"/>
        <v>95-952000156</v>
      </c>
      <c r="C2031" s="179" t="s">
        <v>7332</v>
      </c>
    </row>
    <row r="2032" spans="1:3">
      <c r="A2032" s="177">
        <v>966200100</v>
      </c>
      <c r="B2032" s="116" t="str">
        <f t="shared" si="31"/>
        <v>96-966200100</v>
      </c>
      <c r="C2032" s="179" t="s">
        <v>7270</v>
      </c>
    </row>
    <row r="2033" spans="1:3">
      <c r="A2033" s="177">
        <v>952000172</v>
      </c>
      <c r="B2033" s="116" t="str">
        <f t="shared" si="31"/>
        <v>95-952000172</v>
      </c>
      <c r="C2033" s="179" t="s">
        <v>7392</v>
      </c>
    </row>
    <row r="2034" spans="1:3">
      <c r="A2034" s="177">
        <v>952000347</v>
      </c>
      <c r="B2034" s="116" t="str">
        <f t="shared" si="31"/>
        <v>95-952000347</v>
      </c>
      <c r="C2034" s="179" t="s">
        <v>7413</v>
      </c>
    </row>
    <row r="2035" spans="1:3">
      <c r="A2035" s="177">
        <v>962000217</v>
      </c>
      <c r="B2035" s="116" t="str">
        <f t="shared" si="31"/>
        <v>96-962000217</v>
      </c>
      <c r="C2035" s="179" t="s">
        <v>7112</v>
      </c>
    </row>
    <row r="2036" spans="1:3">
      <c r="A2036" s="177">
        <v>956200101</v>
      </c>
      <c r="B2036" s="116" t="str">
        <f t="shared" si="31"/>
        <v>95-956200101</v>
      </c>
      <c r="C2036" s="179" t="s">
        <v>7467</v>
      </c>
    </row>
    <row r="2037" spans="1:3">
      <c r="A2037" s="177">
        <v>966300018</v>
      </c>
      <c r="B2037" s="116" t="str">
        <f t="shared" si="31"/>
        <v>96-966300018</v>
      </c>
      <c r="C2037" s="179" t="s">
        <v>12244</v>
      </c>
    </row>
    <row r="2038" spans="1:3">
      <c r="A2038" s="177">
        <v>966300019</v>
      </c>
      <c r="B2038" s="116" t="str">
        <f t="shared" si="31"/>
        <v>96-966300019</v>
      </c>
      <c r="C2038" s="179" t="s">
        <v>12244</v>
      </c>
    </row>
    <row r="2039" spans="1:3">
      <c r="A2039" s="177">
        <v>966300020</v>
      </c>
      <c r="B2039" s="116" t="str">
        <f t="shared" si="31"/>
        <v>96-966300020</v>
      </c>
      <c r="C2039" s="179" t="s">
        <v>12244</v>
      </c>
    </row>
    <row r="2040" spans="1:3">
      <c r="A2040" s="177">
        <v>956200263</v>
      </c>
      <c r="B2040" s="116" t="str">
        <f t="shared" si="31"/>
        <v>95-956200263</v>
      </c>
      <c r="C2040" s="179" t="s">
        <v>7347</v>
      </c>
    </row>
    <row r="2041" spans="1:3">
      <c r="A2041" s="177">
        <v>966200102</v>
      </c>
      <c r="B2041" s="116" t="str">
        <f t="shared" si="31"/>
        <v>96-966200102</v>
      </c>
      <c r="C2041" s="179" t="s">
        <v>7270</v>
      </c>
    </row>
    <row r="2042" spans="1:3">
      <c r="A2042" s="177">
        <v>966200178</v>
      </c>
      <c r="B2042" s="116" t="str">
        <f t="shared" si="31"/>
        <v>96-966200178</v>
      </c>
      <c r="C2042" s="179" t="s">
        <v>7363</v>
      </c>
    </row>
    <row r="2043" spans="1:3">
      <c r="A2043" s="177">
        <v>966200077</v>
      </c>
      <c r="B2043" s="116" t="str">
        <f t="shared" si="31"/>
        <v>96-966200077</v>
      </c>
      <c r="C2043" s="179" t="s">
        <v>7448</v>
      </c>
    </row>
    <row r="2044" spans="1:3">
      <c r="A2044" s="177">
        <v>956200209</v>
      </c>
      <c r="B2044" s="116" t="str">
        <f t="shared" si="31"/>
        <v>95-956200209</v>
      </c>
      <c r="C2044" s="179" t="s">
        <v>7357</v>
      </c>
    </row>
    <row r="2045" spans="1:3">
      <c r="A2045" s="177">
        <v>956200246</v>
      </c>
      <c r="B2045" s="116" t="str">
        <f t="shared" si="31"/>
        <v>95-956200246</v>
      </c>
      <c r="C2045" s="179" t="s">
        <v>7428</v>
      </c>
    </row>
    <row r="2046" spans="1:3">
      <c r="A2046" s="177">
        <v>956200262</v>
      </c>
      <c r="B2046" s="116" t="str">
        <f t="shared" si="31"/>
        <v>95-956200262</v>
      </c>
      <c r="C2046" s="179" t="s">
        <v>7347</v>
      </c>
    </row>
    <row r="2047" spans="1:3">
      <c r="A2047" s="177">
        <v>951900197</v>
      </c>
      <c r="B2047" s="116" t="str">
        <f t="shared" si="31"/>
        <v>95-951900197</v>
      </c>
      <c r="C2047" s="179" t="s">
        <v>7497</v>
      </c>
    </row>
    <row r="2048" spans="1:3">
      <c r="A2048" s="177">
        <v>961400001</v>
      </c>
      <c r="B2048" s="116" t="str">
        <f t="shared" si="31"/>
        <v>96-961400001</v>
      </c>
      <c r="C2048" s="179" t="s">
        <v>7500</v>
      </c>
    </row>
    <row r="2049" spans="1:3">
      <c r="A2049" s="177">
        <v>961400015</v>
      </c>
      <c r="B2049" s="116" t="str">
        <f t="shared" si="31"/>
        <v>96-961400015</v>
      </c>
      <c r="C2049" s="179" t="s">
        <v>7501</v>
      </c>
    </row>
    <row r="2050" spans="1:3">
      <c r="A2050" s="177">
        <v>966100019</v>
      </c>
      <c r="B2050" s="116" t="str">
        <f t="shared" si="31"/>
        <v>96-966100019</v>
      </c>
      <c r="C2050" s="179" t="s">
        <v>7128</v>
      </c>
    </row>
    <row r="2051" spans="1:3">
      <c r="A2051" s="177">
        <v>951900164</v>
      </c>
      <c r="B2051" s="116" t="str">
        <f t="shared" ref="B2051:B2114" si="32">MID(A2051,1,2)&amp;"-"&amp;A2051</f>
        <v>95-951900164</v>
      </c>
      <c r="C2051" s="179" t="s">
        <v>7502</v>
      </c>
    </row>
    <row r="2052" spans="1:3">
      <c r="A2052" s="177">
        <v>956200264</v>
      </c>
      <c r="B2052" s="116" t="str">
        <f t="shared" si="32"/>
        <v>95-956200264</v>
      </c>
      <c r="C2052" s="179" t="s">
        <v>7347</v>
      </c>
    </row>
    <row r="2053" spans="1:3">
      <c r="A2053" s="177">
        <v>966200503</v>
      </c>
      <c r="B2053" s="116" t="str">
        <f t="shared" si="32"/>
        <v>96-966200503</v>
      </c>
      <c r="C2053" s="179" t="s">
        <v>12415</v>
      </c>
    </row>
    <row r="2054" spans="1:3">
      <c r="A2054" s="177">
        <v>956200281</v>
      </c>
      <c r="B2054" s="116" t="str">
        <f t="shared" si="32"/>
        <v>95-956200281</v>
      </c>
      <c r="C2054" s="179" t="s">
        <v>7347</v>
      </c>
    </row>
    <row r="2055" spans="1:3">
      <c r="A2055" s="177">
        <v>956200289</v>
      </c>
      <c r="B2055" s="116" t="str">
        <f t="shared" si="32"/>
        <v>95-956200289</v>
      </c>
      <c r="C2055" s="179" t="s">
        <v>7438</v>
      </c>
    </row>
    <row r="2056" spans="1:3">
      <c r="A2056" s="177">
        <v>956200293</v>
      </c>
      <c r="B2056" s="116" t="str">
        <f t="shared" si="32"/>
        <v>95-956200293</v>
      </c>
      <c r="C2056" s="179" t="s">
        <v>7438</v>
      </c>
    </row>
    <row r="2057" spans="1:3">
      <c r="A2057" s="177">
        <v>956200335</v>
      </c>
      <c r="B2057" s="116" t="str">
        <f t="shared" si="32"/>
        <v>95-956200335</v>
      </c>
      <c r="C2057" s="179" t="s">
        <v>7468</v>
      </c>
    </row>
    <row r="2058" spans="1:3">
      <c r="A2058" s="177">
        <v>956200356</v>
      </c>
      <c r="B2058" s="116" t="str">
        <f t="shared" si="32"/>
        <v>95-956200356</v>
      </c>
      <c r="C2058" s="179" t="s">
        <v>7447</v>
      </c>
    </row>
    <row r="2059" spans="1:3">
      <c r="A2059" s="177">
        <v>956200381</v>
      </c>
      <c r="B2059" s="116" t="str">
        <f t="shared" si="32"/>
        <v>95-956200381</v>
      </c>
      <c r="C2059" s="179" t="s">
        <v>7393</v>
      </c>
    </row>
    <row r="2060" spans="1:3">
      <c r="A2060" s="177">
        <v>956200385</v>
      </c>
      <c r="B2060" s="116" t="str">
        <f t="shared" si="32"/>
        <v>95-956200385</v>
      </c>
      <c r="C2060" s="179" t="s">
        <v>7393</v>
      </c>
    </row>
    <row r="2061" spans="1:3">
      <c r="A2061" s="177">
        <v>956200390</v>
      </c>
      <c r="B2061" s="116" t="str">
        <f t="shared" si="32"/>
        <v>95-956200390</v>
      </c>
      <c r="C2061" s="179" t="s">
        <v>7393</v>
      </c>
    </row>
    <row r="2062" spans="1:3">
      <c r="A2062" s="177">
        <v>956200403</v>
      </c>
      <c r="B2062" s="116" t="str">
        <f t="shared" si="32"/>
        <v>95-956200403</v>
      </c>
      <c r="C2062" s="179" t="s">
        <v>7269</v>
      </c>
    </row>
    <row r="2063" spans="1:3">
      <c r="A2063" s="177">
        <v>966200004</v>
      </c>
      <c r="B2063" s="116" t="str">
        <f t="shared" si="32"/>
        <v>96-966200004</v>
      </c>
      <c r="C2063" s="179" t="s">
        <v>7475</v>
      </c>
    </row>
    <row r="2064" spans="1:3">
      <c r="A2064" s="177">
        <v>966200084</v>
      </c>
      <c r="B2064" s="116" t="str">
        <f t="shared" si="32"/>
        <v>96-966200084</v>
      </c>
      <c r="C2064" s="179" t="s">
        <v>7476</v>
      </c>
    </row>
    <row r="2065" spans="1:3">
      <c r="A2065" s="177">
        <v>951900214</v>
      </c>
      <c r="B2065" s="116" t="str">
        <f t="shared" si="32"/>
        <v>95-951900214</v>
      </c>
      <c r="C2065" s="179" t="s">
        <v>7503</v>
      </c>
    </row>
    <row r="2066" spans="1:3">
      <c r="A2066" s="177">
        <v>951700029</v>
      </c>
      <c r="B2066" s="116" t="str">
        <f t="shared" si="32"/>
        <v>95-951700029</v>
      </c>
      <c r="C2066" s="179" t="s">
        <v>7504</v>
      </c>
    </row>
    <row r="2067" spans="1:3">
      <c r="A2067" s="177">
        <v>951700148</v>
      </c>
      <c r="B2067" s="116" t="str">
        <f t="shared" si="32"/>
        <v>95-951700148</v>
      </c>
      <c r="C2067" s="179" t="s">
        <v>7505</v>
      </c>
    </row>
    <row r="2068" spans="1:3">
      <c r="A2068" s="177">
        <v>951700149</v>
      </c>
      <c r="B2068" s="116" t="str">
        <f t="shared" si="32"/>
        <v>95-951700149</v>
      </c>
      <c r="C2068" s="179" t="s">
        <v>7505</v>
      </c>
    </row>
    <row r="2069" spans="1:3">
      <c r="A2069" s="177">
        <v>951700161</v>
      </c>
      <c r="B2069" s="116" t="str">
        <f t="shared" si="32"/>
        <v>95-951700161</v>
      </c>
      <c r="C2069" s="179" t="s">
        <v>7506</v>
      </c>
    </row>
    <row r="2070" spans="1:3">
      <c r="A2070" s="177">
        <v>951700213</v>
      </c>
      <c r="B2070" s="116" t="str">
        <f t="shared" si="32"/>
        <v>95-951700213</v>
      </c>
      <c r="C2070" s="179" t="s">
        <v>7507</v>
      </c>
    </row>
    <row r="2071" spans="1:3">
      <c r="A2071" s="177">
        <v>951700241</v>
      </c>
      <c r="B2071" s="116" t="str">
        <f t="shared" si="32"/>
        <v>95-951700241</v>
      </c>
      <c r="C2071" s="179" t="s">
        <v>7508</v>
      </c>
    </row>
    <row r="2072" spans="1:3">
      <c r="A2072" s="177">
        <v>951700273</v>
      </c>
      <c r="B2072" s="116" t="str">
        <f t="shared" si="32"/>
        <v>95-951700273</v>
      </c>
      <c r="C2072" s="179" t="s">
        <v>7507</v>
      </c>
    </row>
    <row r="2073" spans="1:3">
      <c r="A2073" s="177">
        <v>951400183</v>
      </c>
      <c r="B2073" s="116" t="str">
        <f t="shared" si="32"/>
        <v>95-951400183</v>
      </c>
      <c r="C2073" s="179" t="s">
        <v>7514</v>
      </c>
    </row>
    <row r="2074" spans="1:3">
      <c r="A2074" s="177">
        <v>961400002</v>
      </c>
      <c r="B2074" s="116" t="str">
        <f t="shared" si="32"/>
        <v>96-961400002</v>
      </c>
      <c r="C2074" s="179" t="s">
        <v>7515</v>
      </c>
    </row>
    <row r="2075" spans="1:3">
      <c r="A2075" s="177">
        <v>961700150</v>
      </c>
      <c r="B2075" s="116" t="str">
        <f t="shared" si="32"/>
        <v>96-961700150</v>
      </c>
      <c r="C2075" s="179" t="s">
        <v>12276</v>
      </c>
    </row>
    <row r="2076" spans="1:3">
      <c r="A2076" s="177">
        <v>966200085</v>
      </c>
      <c r="B2076" s="116" t="str">
        <f t="shared" si="32"/>
        <v>96-966200085</v>
      </c>
      <c r="C2076" s="179" t="s">
        <v>7476</v>
      </c>
    </row>
    <row r="2077" spans="1:3">
      <c r="A2077" s="177">
        <v>966200087</v>
      </c>
      <c r="B2077" s="116" t="str">
        <f t="shared" si="32"/>
        <v>96-966200087</v>
      </c>
      <c r="C2077" s="179" t="s">
        <v>7476</v>
      </c>
    </row>
    <row r="2078" spans="1:3">
      <c r="A2078" s="177">
        <v>966200112</v>
      </c>
      <c r="B2078" s="116" t="str">
        <f t="shared" si="32"/>
        <v>96-966200112</v>
      </c>
      <c r="C2078" s="179" t="s">
        <v>7477</v>
      </c>
    </row>
    <row r="2079" spans="1:3">
      <c r="A2079" s="177">
        <v>966200213</v>
      </c>
      <c r="B2079" s="116" t="str">
        <f t="shared" si="32"/>
        <v>96-966200213</v>
      </c>
      <c r="C2079" s="179" t="s">
        <v>7478</v>
      </c>
    </row>
    <row r="2080" spans="1:3">
      <c r="A2080" s="177">
        <v>966200216</v>
      </c>
      <c r="B2080" s="116" t="str">
        <f t="shared" si="32"/>
        <v>96-966200216</v>
      </c>
      <c r="C2080" s="179" t="s">
        <v>7479</v>
      </c>
    </row>
    <row r="2081" spans="1:3">
      <c r="A2081" s="177">
        <v>966200234</v>
      </c>
      <c r="B2081" s="116" t="str">
        <f t="shared" si="32"/>
        <v>96-966200234</v>
      </c>
      <c r="C2081" s="179" t="s">
        <v>7442</v>
      </c>
    </row>
    <row r="2082" spans="1:3">
      <c r="A2082" s="177">
        <v>962000100</v>
      </c>
      <c r="B2082" s="116" t="str">
        <f t="shared" si="32"/>
        <v>96-962000100</v>
      </c>
      <c r="C2082" s="179" t="s">
        <v>7112</v>
      </c>
    </row>
    <row r="2083" spans="1:3">
      <c r="A2083" s="177">
        <v>962000116</v>
      </c>
      <c r="B2083" s="116" t="str">
        <f t="shared" si="32"/>
        <v>96-962000116</v>
      </c>
      <c r="C2083" s="179" t="s">
        <v>7112</v>
      </c>
    </row>
    <row r="2084" spans="1:3">
      <c r="A2084" s="177">
        <v>962000154</v>
      </c>
      <c r="B2084" s="116" t="str">
        <f t="shared" si="32"/>
        <v>96-962000154</v>
      </c>
      <c r="C2084" s="179" t="s">
        <v>7112</v>
      </c>
    </row>
    <row r="2085" spans="1:3">
      <c r="A2085" s="177">
        <v>962000155</v>
      </c>
      <c r="B2085" s="116" t="str">
        <f t="shared" si="32"/>
        <v>96-962000155</v>
      </c>
      <c r="C2085" s="179" t="s">
        <v>7112</v>
      </c>
    </row>
    <row r="2086" spans="1:3">
      <c r="A2086" s="177">
        <v>962000156</v>
      </c>
      <c r="B2086" s="116" t="str">
        <f t="shared" si="32"/>
        <v>96-962000156</v>
      </c>
      <c r="C2086" s="179" t="s">
        <v>7112</v>
      </c>
    </row>
    <row r="2087" spans="1:3">
      <c r="A2087" s="177">
        <v>962000158</v>
      </c>
      <c r="B2087" s="116" t="str">
        <f t="shared" si="32"/>
        <v>96-962000158</v>
      </c>
      <c r="C2087" s="179" t="s">
        <v>7112</v>
      </c>
    </row>
    <row r="2088" spans="1:3">
      <c r="A2088" s="177">
        <v>962000165</v>
      </c>
      <c r="B2088" s="116" t="str">
        <f t="shared" si="32"/>
        <v>96-962000165</v>
      </c>
      <c r="C2088" s="179" t="s">
        <v>7112</v>
      </c>
    </row>
    <row r="2089" spans="1:3">
      <c r="A2089" s="177">
        <v>962000171</v>
      </c>
      <c r="B2089" s="116" t="str">
        <f t="shared" si="32"/>
        <v>96-962000171</v>
      </c>
      <c r="C2089" s="179" t="s">
        <v>7112</v>
      </c>
    </row>
    <row r="2090" spans="1:3">
      <c r="A2090" s="177">
        <v>962000186</v>
      </c>
      <c r="B2090" s="116" t="str">
        <f t="shared" si="32"/>
        <v>96-962000186</v>
      </c>
      <c r="C2090" s="179" t="s">
        <v>7112</v>
      </c>
    </row>
    <row r="2091" spans="1:3">
      <c r="A2091" s="177">
        <v>962000295</v>
      </c>
      <c r="B2091" s="116" t="str">
        <f t="shared" si="32"/>
        <v>96-962000295</v>
      </c>
      <c r="C2091" s="179" t="s">
        <v>7112</v>
      </c>
    </row>
    <row r="2092" spans="1:3">
      <c r="A2092" s="177">
        <v>966200293</v>
      </c>
      <c r="B2092" s="116" t="str">
        <f t="shared" si="32"/>
        <v>96-966200293</v>
      </c>
      <c r="C2092" s="179" t="s">
        <v>7130</v>
      </c>
    </row>
    <row r="2093" spans="1:3">
      <c r="A2093" s="177">
        <v>966200311</v>
      </c>
      <c r="B2093" s="116" t="str">
        <f t="shared" si="32"/>
        <v>96-966200311</v>
      </c>
      <c r="C2093" s="179" t="s">
        <v>8700</v>
      </c>
    </row>
    <row r="2094" spans="1:3">
      <c r="A2094" s="177">
        <v>966200420</v>
      </c>
      <c r="B2094" s="116" t="str">
        <f t="shared" si="32"/>
        <v>96-966200420</v>
      </c>
      <c r="C2094" s="179" t="s">
        <v>12224</v>
      </c>
    </row>
    <row r="2095" spans="1:3">
      <c r="A2095" s="177">
        <v>966300039</v>
      </c>
      <c r="B2095" s="116" t="str">
        <f t="shared" si="32"/>
        <v>96-966300039</v>
      </c>
      <c r="C2095" s="179" t="s">
        <v>12246</v>
      </c>
    </row>
    <row r="2096" spans="1:3">
      <c r="A2096" s="177">
        <v>966300041</v>
      </c>
      <c r="B2096" s="116" t="str">
        <f t="shared" si="32"/>
        <v>96-966300041</v>
      </c>
      <c r="C2096" s="179" t="s">
        <v>12246</v>
      </c>
    </row>
    <row r="2097" spans="1:3">
      <c r="A2097" s="177">
        <v>966300053</v>
      </c>
      <c r="B2097" s="116" t="str">
        <f t="shared" si="32"/>
        <v>96-966300053</v>
      </c>
      <c r="C2097" s="179" t="s">
        <v>12436</v>
      </c>
    </row>
    <row r="2098" spans="1:3">
      <c r="A2098" s="177">
        <v>954100005</v>
      </c>
      <c r="B2098" s="116" t="str">
        <f t="shared" si="32"/>
        <v>95-954100005</v>
      </c>
      <c r="C2098" s="179" t="s">
        <v>5615</v>
      </c>
    </row>
    <row r="2099" spans="1:3">
      <c r="A2099" s="177">
        <v>954100044</v>
      </c>
      <c r="B2099" s="116" t="str">
        <f t="shared" si="32"/>
        <v>95-954100044</v>
      </c>
      <c r="C2099" s="179" t="s">
        <v>5761</v>
      </c>
    </row>
    <row r="2100" spans="1:3">
      <c r="A2100" s="177">
        <v>964100005</v>
      </c>
      <c r="B2100" s="116" t="str">
        <f t="shared" si="32"/>
        <v>96-964100005</v>
      </c>
      <c r="C2100" s="179" t="s">
        <v>5761</v>
      </c>
    </row>
    <row r="2101" spans="1:3">
      <c r="A2101" s="177">
        <v>964100026</v>
      </c>
      <c r="B2101" s="116" t="str">
        <f t="shared" si="32"/>
        <v>96-964100026</v>
      </c>
      <c r="C2101" s="179" t="s">
        <v>5809</v>
      </c>
    </row>
    <row r="2102" spans="1:3">
      <c r="A2102" s="177">
        <v>964100029</v>
      </c>
      <c r="B2102" s="116" t="str">
        <f t="shared" si="32"/>
        <v>96-964100029</v>
      </c>
      <c r="C2102" s="179" t="s">
        <v>5817</v>
      </c>
    </row>
    <row r="2103" spans="1:3">
      <c r="A2103" s="177">
        <v>964100060</v>
      </c>
      <c r="B2103" s="116" t="str">
        <f t="shared" si="32"/>
        <v>96-964100060</v>
      </c>
      <c r="C2103" s="179" t="s">
        <v>7144</v>
      </c>
    </row>
    <row r="2104" spans="1:3">
      <c r="A2104" s="177">
        <v>964100070</v>
      </c>
      <c r="B2104" s="116" t="str">
        <f t="shared" si="32"/>
        <v>96-964100070</v>
      </c>
      <c r="C2104" s="179" t="s">
        <v>8706</v>
      </c>
    </row>
    <row r="2105" spans="1:3">
      <c r="A2105" s="177">
        <v>964100073</v>
      </c>
      <c r="B2105" s="116" t="str">
        <f t="shared" si="32"/>
        <v>96-964100073</v>
      </c>
      <c r="C2105" s="179" t="s">
        <v>7124</v>
      </c>
    </row>
    <row r="2106" spans="1:3">
      <c r="A2106" s="177">
        <v>964100087</v>
      </c>
      <c r="B2106" s="116" t="str">
        <f t="shared" si="32"/>
        <v>96-964100087</v>
      </c>
      <c r="C2106" s="179" t="s">
        <v>9911</v>
      </c>
    </row>
    <row r="2107" spans="1:3">
      <c r="A2107" s="177">
        <v>964100068</v>
      </c>
      <c r="B2107" s="116" t="str">
        <f t="shared" si="32"/>
        <v>96-964100068</v>
      </c>
      <c r="C2107" s="179" t="s">
        <v>9779</v>
      </c>
    </row>
    <row r="2108" spans="1:3">
      <c r="A2108" s="177">
        <v>954300001</v>
      </c>
      <c r="B2108" s="116" t="str">
        <f t="shared" si="32"/>
        <v>95-954300001</v>
      </c>
      <c r="C2108" s="179" t="s">
        <v>7218</v>
      </c>
    </row>
    <row r="2109" spans="1:3">
      <c r="A2109" s="177">
        <v>964300006</v>
      </c>
      <c r="B2109" s="116" t="str">
        <f t="shared" si="32"/>
        <v>96-964300006</v>
      </c>
      <c r="C2109" s="179" t="s">
        <v>7484</v>
      </c>
    </row>
    <row r="2110" spans="1:3">
      <c r="A2110" s="177">
        <v>964300025</v>
      </c>
      <c r="B2110" s="116" t="str">
        <f t="shared" si="32"/>
        <v>96-964300025</v>
      </c>
      <c r="C2110" s="179" t="s">
        <v>8702</v>
      </c>
    </row>
    <row r="2111" spans="1:3">
      <c r="A2111" s="177">
        <v>964300035</v>
      </c>
      <c r="B2111" s="116" t="str">
        <f t="shared" si="32"/>
        <v>96-964300035</v>
      </c>
      <c r="C2111" s="179" t="s">
        <v>12413</v>
      </c>
    </row>
    <row r="2112" spans="1:3">
      <c r="A2112" s="177">
        <v>951400013</v>
      </c>
      <c r="B2112" s="116" t="str">
        <f t="shared" si="32"/>
        <v>95-951400013</v>
      </c>
      <c r="C2112" s="179" t="s">
        <v>7517</v>
      </c>
    </row>
    <row r="2113" spans="1:3">
      <c r="A2113" s="177">
        <v>951700012</v>
      </c>
      <c r="B2113" s="116" t="str">
        <f t="shared" si="32"/>
        <v>95-951700012</v>
      </c>
      <c r="C2113" s="179" t="s">
        <v>7517</v>
      </c>
    </row>
    <row r="2114" spans="1:3">
      <c r="A2114" s="177">
        <v>951700016</v>
      </c>
      <c r="B2114" s="116" t="str">
        <f t="shared" si="32"/>
        <v>95-951700016</v>
      </c>
      <c r="C2114" s="179" t="s">
        <v>7517</v>
      </c>
    </row>
    <row r="2115" spans="1:3">
      <c r="A2115" s="177">
        <v>951700018</v>
      </c>
      <c r="B2115" s="116" t="str">
        <f t="shared" ref="B2115:B2178" si="33">MID(A2115,1,2)&amp;"-"&amp;A2115</f>
        <v>95-951700018</v>
      </c>
      <c r="C2115" s="179" t="s">
        <v>7517</v>
      </c>
    </row>
    <row r="2116" spans="1:3">
      <c r="A2116" s="177">
        <v>951700020</v>
      </c>
      <c r="B2116" s="116" t="str">
        <f t="shared" si="33"/>
        <v>95-951700020</v>
      </c>
      <c r="C2116" s="179" t="s">
        <v>7517</v>
      </c>
    </row>
    <row r="2117" spans="1:3">
      <c r="A2117" s="177">
        <v>951700066</v>
      </c>
      <c r="B2117" s="116" t="str">
        <f t="shared" si="33"/>
        <v>95-951700066</v>
      </c>
      <c r="C2117" s="179" t="s">
        <v>7518</v>
      </c>
    </row>
    <row r="2118" spans="1:3">
      <c r="A2118" s="177">
        <v>951400035</v>
      </c>
      <c r="B2118" s="116" t="str">
        <f t="shared" si="33"/>
        <v>95-951400035</v>
      </c>
      <c r="C2118" s="179" t="s">
        <v>7519</v>
      </c>
    </row>
    <row r="2119" spans="1:3">
      <c r="A2119" s="177">
        <v>951400036</v>
      </c>
      <c r="B2119" s="116" t="str">
        <f t="shared" si="33"/>
        <v>95-951400036</v>
      </c>
      <c r="C2119" s="179" t="s">
        <v>7519</v>
      </c>
    </row>
    <row r="2120" spans="1:3">
      <c r="A2120" s="177">
        <v>951700097</v>
      </c>
      <c r="B2120" s="116" t="str">
        <f t="shared" si="33"/>
        <v>95-951700097</v>
      </c>
      <c r="C2120" s="179" t="s">
        <v>7520</v>
      </c>
    </row>
    <row r="2121" spans="1:3">
      <c r="A2121" s="177">
        <v>951700101</v>
      </c>
      <c r="B2121" s="116" t="str">
        <f t="shared" si="33"/>
        <v>95-951700101</v>
      </c>
      <c r="C2121" s="179" t="s">
        <v>7521</v>
      </c>
    </row>
    <row r="2122" spans="1:3">
      <c r="A2122" s="177">
        <v>951700109</v>
      </c>
      <c r="B2122" s="116" t="str">
        <f t="shared" si="33"/>
        <v>95-951700109</v>
      </c>
      <c r="C2122" s="179" t="s">
        <v>7524</v>
      </c>
    </row>
    <row r="2123" spans="1:3">
      <c r="A2123" s="177">
        <v>951700125</v>
      </c>
      <c r="B2123" s="116" t="str">
        <f t="shared" si="33"/>
        <v>95-951700125</v>
      </c>
      <c r="C2123" s="179" t="s">
        <v>7525</v>
      </c>
    </row>
    <row r="2124" spans="1:3">
      <c r="A2124" s="177">
        <v>951700141</v>
      </c>
      <c r="B2124" s="116" t="str">
        <f t="shared" si="33"/>
        <v>95-951700141</v>
      </c>
      <c r="C2124" s="179" t="s">
        <v>7526</v>
      </c>
    </row>
    <row r="2125" spans="1:3">
      <c r="A2125" s="177">
        <v>951700176</v>
      </c>
      <c r="B2125" s="116" t="str">
        <f t="shared" si="33"/>
        <v>95-951700176</v>
      </c>
      <c r="C2125" s="179" t="s">
        <v>7527</v>
      </c>
    </row>
    <row r="2126" spans="1:3">
      <c r="A2126" s="177">
        <v>951700179</v>
      </c>
      <c r="B2126" s="116" t="str">
        <f t="shared" si="33"/>
        <v>95-951700179</v>
      </c>
      <c r="C2126" s="179" t="s">
        <v>7528</v>
      </c>
    </row>
    <row r="2127" spans="1:3">
      <c r="A2127" s="177">
        <v>951700116</v>
      </c>
      <c r="B2127" s="116" t="str">
        <f t="shared" si="33"/>
        <v>95-951700116</v>
      </c>
      <c r="C2127" s="179" t="s">
        <v>7525</v>
      </c>
    </row>
    <row r="2128" spans="1:3">
      <c r="A2128" s="177">
        <v>951400071</v>
      </c>
      <c r="B2128" s="116" t="str">
        <f t="shared" si="33"/>
        <v>95-951400071</v>
      </c>
      <c r="C2128" s="179" t="s">
        <v>7185</v>
      </c>
    </row>
    <row r="2129" spans="1:3">
      <c r="A2129" s="177">
        <v>951700229</v>
      </c>
      <c r="B2129" s="116" t="str">
        <f t="shared" si="33"/>
        <v>95-951700229</v>
      </c>
      <c r="C2129" s="179" t="s">
        <v>7153</v>
      </c>
    </row>
    <row r="2130" spans="1:3">
      <c r="A2130" s="177">
        <v>951400089</v>
      </c>
      <c r="B2130" s="116" t="str">
        <f t="shared" si="33"/>
        <v>95-951400089</v>
      </c>
      <c r="C2130" s="179" t="s">
        <v>7185</v>
      </c>
    </row>
    <row r="2131" spans="1:3">
      <c r="A2131" s="177">
        <v>951700281</v>
      </c>
      <c r="B2131" s="116" t="str">
        <f t="shared" si="33"/>
        <v>95-951700281</v>
      </c>
      <c r="C2131" s="179" t="s">
        <v>7528</v>
      </c>
    </row>
    <row r="2132" spans="1:3">
      <c r="A2132" s="177">
        <v>961700062</v>
      </c>
      <c r="B2132" s="116" t="str">
        <f t="shared" si="33"/>
        <v>96-961700062</v>
      </c>
      <c r="C2132" s="179" t="s">
        <v>7529</v>
      </c>
    </row>
    <row r="2133" spans="1:3">
      <c r="A2133" s="177">
        <v>951800007</v>
      </c>
      <c r="B2133" s="116" t="str">
        <f t="shared" si="33"/>
        <v>95-951800007</v>
      </c>
      <c r="C2133" s="179" t="s">
        <v>7530</v>
      </c>
    </row>
    <row r="2134" spans="1:3">
      <c r="A2134" s="177">
        <v>951100136</v>
      </c>
      <c r="B2134" s="116" t="str">
        <f t="shared" si="33"/>
        <v>95-951100136</v>
      </c>
      <c r="C2134" s="179" t="s">
        <v>7531</v>
      </c>
    </row>
    <row r="2135" spans="1:3">
      <c r="A2135" s="177">
        <v>961900148</v>
      </c>
      <c r="B2135" s="116" t="str">
        <f t="shared" si="33"/>
        <v>96-961900148</v>
      </c>
      <c r="C2135" s="179" t="s">
        <v>7532</v>
      </c>
    </row>
    <row r="2136" spans="1:3">
      <c r="A2136" s="177">
        <v>951400029</v>
      </c>
      <c r="B2136" s="116" t="str">
        <f t="shared" si="33"/>
        <v>95-951400029</v>
      </c>
      <c r="C2136" s="179" t="s">
        <v>7533</v>
      </c>
    </row>
    <row r="2137" spans="1:3">
      <c r="A2137" s="177">
        <v>951700162</v>
      </c>
      <c r="B2137" s="116" t="str">
        <f t="shared" si="33"/>
        <v>95-951700162</v>
      </c>
      <c r="C2137" s="179" t="s">
        <v>7534</v>
      </c>
    </row>
    <row r="2138" spans="1:3">
      <c r="A2138" s="177">
        <v>951400152</v>
      </c>
      <c r="B2138" s="116" t="str">
        <f t="shared" si="33"/>
        <v>95-951400152</v>
      </c>
      <c r="C2138" s="179" t="s">
        <v>7535</v>
      </c>
    </row>
    <row r="2139" spans="1:3">
      <c r="A2139" s="177">
        <v>951400153</v>
      </c>
      <c r="B2139" s="116" t="str">
        <f t="shared" si="33"/>
        <v>95-951400153</v>
      </c>
      <c r="C2139" s="179" t="s">
        <v>7535</v>
      </c>
    </row>
    <row r="2140" spans="1:3">
      <c r="A2140" s="177">
        <v>951400159</v>
      </c>
      <c r="B2140" s="116" t="str">
        <f t="shared" si="33"/>
        <v>95-951400159</v>
      </c>
      <c r="C2140" s="179" t="s">
        <v>7535</v>
      </c>
    </row>
    <row r="2141" spans="1:3">
      <c r="A2141" s="177">
        <v>951400163</v>
      </c>
      <c r="B2141" s="116" t="str">
        <f t="shared" si="33"/>
        <v>95-951400163</v>
      </c>
      <c r="C2141" s="179" t="s">
        <v>7535</v>
      </c>
    </row>
    <row r="2142" spans="1:3">
      <c r="A2142" s="177">
        <v>951400166</v>
      </c>
      <c r="B2142" s="116" t="str">
        <f t="shared" si="33"/>
        <v>95-951400166</v>
      </c>
      <c r="C2142" s="179" t="s">
        <v>7535</v>
      </c>
    </row>
    <row r="2143" spans="1:3">
      <c r="A2143" s="177">
        <v>966100004</v>
      </c>
      <c r="B2143" s="116" t="str">
        <f t="shared" si="33"/>
        <v>96-966100004</v>
      </c>
      <c r="C2143" s="179" t="s">
        <v>7536</v>
      </c>
    </row>
    <row r="2144" spans="1:3">
      <c r="A2144" s="177">
        <v>951100138</v>
      </c>
      <c r="B2144" s="116" t="str">
        <f t="shared" si="33"/>
        <v>95-951100138</v>
      </c>
      <c r="C2144" s="179" t="s">
        <v>7925</v>
      </c>
    </row>
    <row r="2145" spans="1:3">
      <c r="A2145" s="177">
        <v>951100162</v>
      </c>
      <c r="B2145" s="116" t="str">
        <f t="shared" si="33"/>
        <v>95-951100162</v>
      </c>
      <c r="C2145" s="179" t="s">
        <v>7329</v>
      </c>
    </row>
    <row r="2146" spans="1:3">
      <c r="A2146" s="177">
        <v>956300012</v>
      </c>
      <c r="B2146" s="116" t="str">
        <f t="shared" si="33"/>
        <v>95-956300012</v>
      </c>
      <c r="C2146" s="179" t="s">
        <v>7926</v>
      </c>
    </row>
    <row r="2147" spans="1:3">
      <c r="A2147" s="177">
        <v>951700129</v>
      </c>
      <c r="B2147" s="116" t="str">
        <f t="shared" si="33"/>
        <v>95-951700129</v>
      </c>
      <c r="C2147" s="179" t="s">
        <v>7537</v>
      </c>
    </row>
    <row r="2148" spans="1:3">
      <c r="A2148" s="177">
        <v>951700272</v>
      </c>
      <c r="B2148" s="116" t="str">
        <f t="shared" si="33"/>
        <v>95-951700272</v>
      </c>
      <c r="C2148" s="179" t="s">
        <v>7538</v>
      </c>
    </row>
    <row r="2149" spans="1:3">
      <c r="A2149" s="177">
        <v>951700309</v>
      </c>
      <c r="B2149" s="116" t="str">
        <f t="shared" si="33"/>
        <v>95-951700309</v>
      </c>
      <c r="C2149" s="179" t="s">
        <v>7539</v>
      </c>
    </row>
    <row r="2150" spans="1:3">
      <c r="A2150" s="177">
        <v>961700005</v>
      </c>
      <c r="B2150" s="116" t="str">
        <f t="shared" si="33"/>
        <v>96-961700005</v>
      </c>
      <c r="C2150" s="179" t="s">
        <v>7540</v>
      </c>
    </row>
    <row r="2151" spans="1:3">
      <c r="A2151" s="177">
        <v>961700006</v>
      </c>
      <c r="B2151" s="116" t="str">
        <f t="shared" si="33"/>
        <v>96-961700006</v>
      </c>
      <c r="C2151" s="179" t="s">
        <v>7540</v>
      </c>
    </row>
    <row r="2152" spans="1:3">
      <c r="A2152" s="177">
        <v>961700007</v>
      </c>
      <c r="B2152" s="116" t="str">
        <f t="shared" si="33"/>
        <v>96-961700007</v>
      </c>
      <c r="C2152" s="179" t="s">
        <v>7540</v>
      </c>
    </row>
    <row r="2153" spans="1:3">
      <c r="A2153" s="177">
        <v>961700019</v>
      </c>
      <c r="B2153" s="116" t="str">
        <f t="shared" si="33"/>
        <v>96-961700019</v>
      </c>
      <c r="C2153" s="179" t="s">
        <v>7541</v>
      </c>
    </row>
    <row r="2154" spans="1:3">
      <c r="A2154" s="177">
        <v>961700098</v>
      </c>
      <c r="B2154" s="116" t="str">
        <f t="shared" si="33"/>
        <v>96-961700098</v>
      </c>
      <c r="C2154" s="179" t="s">
        <v>7542</v>
      </c>
    </row>
    <row r="2155" spans="1:3">
      <c r="A2155" s="177">
        <v>961800046</v>
      </c>
      <c r="B2155" s="116" t="str">
        <f t="shared" si="33"/>
        <v>96-961800046</v>
      </c>
      <c r="C2155" s="179" t="s">
        <v>8204</v>
      </c>
    </row>
    <row r="2156" spans="1:3">
      <c r="A2156" s="177">
        <v>951900105</v>
      </c>
      <c r="B2156" s="116" t="str">
        <f t="shared" si="33"/>
        <v>95-951900105</v>
      </c>
      <c r="C2156" s="179" t="s">
        <v>7543</v>
      </c>
    </row>
    <row r="2157" spans="1:3">
      <c r="A2157" s="177">
        <v>952200010</v>
      </c>
      <c r="B2157" s="116" t="str">
        <f t="shared" si="33"/>
        <v>95-952200010</v>
      </c>
      <c r="C2157" s="179" t="s">
        <v>7131</v>
      </c>
    </row>
    <row r="2158" spans="1:3">
      <c r="A2158" s="177">
        <v>952200012</v>
      </c>
      <c r="B2158" s="116" t="str">
        <f t="shared" si="33"/>
        <v>95-952200012</v>
      </c>
      <c r="C2158" s="179" t="s">
        <v>7172</v>
      </c>
    </row>
    <row r="2159" spans="1:3">
      <c r="A2159" s="177">
        <v>952200026</v>
      </c>
      <c r="B2159" s="116" t="str">
        <f t="shared" si="33"/>
        <v>95-952200026</v>
      </c>
      <c r="C2159" s="179" t="s">
        <v>7174</v>
      </c>
    </row>
    <row r="2160" spans="1:3">
      <c r="A2160" s="177">
        <v>952200049</v>
      </c>
      <c r="B2160" s="116" t="str">
        <f t="shared" si="33"/>
        <v>95-952200049</v>
      </c>
      <c r="C2160" s="179" t="s">
        <v>7561</v>
      </c>
    </row>
    <row r="2161" spans="1:3">
      <c r="A2161" s="177">
        <v>952200073</v>
      </c>
      <c r="B2161" s="116" t="str">
        <f t="shared" si="33"/>
        <v>95-952200073</v>
      </c>
      <c r="C2161" s="179" t="s">
        <v>7151</v>
      </c>
    </row>
    <row r="2162" spans="1:3">
      <c r="A2162" s="177">
        <v>952200082</v>
      </c>
      <c r="B2162" s="116" t="str">
        <f t="shared" si="33"/>
        <v>95-952200082</v>
      </c>
      <c r="C2162" s="179" t="s">
        <v>7236</v>
      </c>
    </row>
    <row r="2163" spans="1:3">
      <c r="A2163" s="177">
        <v>962200008</v>
      </c>
      <c r="B2163" s="116" t="str">
        <f t="shared" si="33"/>
        <v>96-962200008</v>
      </c>
      <c r="C2163" s="179" t="s">
        <v>7218</v>
      </c>
    </row>
    <row r="2164" spans="1:3">
      <c r="A2164" s="177">
        <v>962200012</v>
      </c>
      <c r="B2164" s="116" t="str">
        <f t="shared" si="33"/>
        <v>96-962200012</v>
      </c>
      <c r="C2164" s="179" t="s">
        <v>7484</v>
      </c>
    </row>
    <row r="2165" spans="1:3">
      <c r="A2165" s="177">
        <v>962200027</v>
      </c>
      <c r="B2165" s="116" t="str">
        <f t="shared" si="33"/>
        <v>96-962200027</v>
      </c>
      <c r="C2165" s="179" t="s">
        <v>7230</v>
      </c>
    </row>
    <row r="2166" spans="1:3">
      <c r="A2166" s="177">
        <v>962200029</v>
      </c>
      <c r="B2166" s="116" t="str">
        <f t="shared" si="33"/>
        <v>96-962200029</v>
      </c>
      <c r="C2166" s="179" t="s">
        <v>7230</v>
      </c>
    </row>
    <row r="2167" spans="1:3">
      <c r="A2167" s="177">
        <v>962200033</v>
      </c>
      <c r="B2167" s="116" t="str">
        <f t="shared" si="33"/>
        <v>96-962200033</v>
      </c>
      <c r="C2167" s="179" t="s">
        <v>7228</v>
      </c>
    </row>
    <row r="2168" spans="1:3">
      <c r="A2168" s="177">
        <v>962200046</v>
      </c>
      <c r="B2168" s="116" t="str">
        <f t="shared" si="33"/>
        <v>96-962200046</v>
      </c>
      <c r="C2168" s="179" t="s">
        <v>7173</v>
      </c>
    </row>
    <row r="2169" spans="1:3">
      <c r="A2169" s="177">
        <v>962200059</v>
      </c>
      <c r="B2169" s="116" t="str">
        <f t="shared" si="33"/>
        <v>96-962200059</v>
      </c>
      <c r="C2169" s="179" t="s">
        <v>7450</v>
      </c>
    </row>
    <row r="2170" spans="1:3">
      <c r="A2170" s="177">
        <v>962200079</v>
      </c>
      <c r="B2170" s="116" t="str">
        <f t="shared" si="33"/>
        <v>96-962200079</v>
      </c>
      <c r="C2170" s="179" t="s">
        <v>7173</v>
      </c>
    </row>
    <row r="2171" spans="1:3">
      <c r="A2171" s="177">
        <v>962200083</v>
      </c>
      <c r="B2171" s="116" t="str">
        <f t="shared" si="33"/>
        <v>96-962200083</v>
      </c>
      <c r="C2171" s="179" t="s">
        <v>7125</v>
      </c>
    </row>
    <row r="2172" spans="1:3">
      <c r="A2172" s="177">
        <v>962200087</v>
      </c>
      <c r="B2172" s="116" t="str">
        <f t="shared" si="33"/>
        <v>96-962200087</v>
      </c>
      <c r="C2172" s="179" t="s">
        <v>9765</v>
      </c>
    </row>
    <row r="2173" spans="1:3">
      <c r="A2173" s="177">
        <v>961900134</v>
      </c>
      <c r="B2173" s="116" t="str">
        <f t="shared" si="33"/>
        <v>96-961900134</v>
      </c>
      <c r="C2173" s="179" t="s">
        <v>7544</v>
      </c>
    </row>
    <row r="2174" spans="1:3">
      <c r="A2174" s="177">
        <v>951600056</v>
      </c>
      <c r="B2174" s="116" t="str">
        <f t="shared" si="33"/>
        <v>95-951600056</v>
      </c>
      <c r="C2174" s="179" t="s">
        <v>7545</v>
      </c>
    </row>
    <row r="2175" spans="1:3">
      <c r="A2175" s="177">
        <v>951600078</v>
      </c>
      <c r="B2175" s="116" t="str">
        <f t="shared" si="33"/>
        <v>95-951600078</v>
      </c>
      <c r="C2175" s="179" t="s">
        <v>7545</v>
      </c>
    </row>
    <row r="2176" spans="1:3">
      <c r="A2176" s="177">
        <v>951800092</v>
      </c>
      <c r="B2176" s="116" t="str">
        <f t="shared" si="33"/>
        <v>95-951800092</v>
      </c>
      <c r="C2176" s="179" t="s">
        <v>7546</v>
      </c>
    </row>
    <row r="2177" spans="1:3">
      <c r="A2177" s="177">
        <v>961800013</v>
      </c>
      <c r="B2177" s="116" t="str">
        <f t="shared" si="33"/>
        <v>96-961800013</v>
      </c>
      <c r="C2177" s="179" t="s">
        <v>7547</v>
      </c>
    </row>
    <row r="2178" spans="1:3">
      <c r="A2178" s="177">
        <v>951900228</v>
      </c>
      <c r="B2178" s="116" t="str">
        <f t="shared" si="33"/>
        <v>95-951900228</v>
      </c>
      <c r="C2178" s="179" t="s">
        <v>7548</v>
      </c>
    </row>
    <row r="2179" spans="1:3">
      <c r="A2179" s="177">
        <v>951900250</v>
      </c>
      <c r="B2179" s="116" t="str">
        <f t="shared" ref="B2179:B2242" si="34">MID(A2179,1,2)&amp;"-"&amp;A2179</f>
        <v>95-951900250</v>
      </c>
      <c r="C2179" s="179" t="s">
        <v>7548</v>
      </c>
    </row>
    <row r="2180" spans="1:3">
      <c r="A2180" s="177">
        <v>951700219</v>
      </c>
      <c r="B2180" s="116" t="str">
        <f t="shared" si="34"/>
        <v>95-951700219</v>
      </c>
      <c r="C2180" s="179" t="s">
        <v>7549</v>
      </c>
    </row>
    <row r="2181" spans="1:3">
      <c r="A2181" s="177">
        <v>951700270</v>
      </c>
      <c r="B2181" s="116" t="str">
        <f t="shared" si="34"/>
        <v>95-951700270</v>
      </c>
      <c r="C2181" s="179" t="s">
        <v>7549</v>
      </c>
    </row>
    <row r="2182" spans="1:3">
      <c r="A2182" s="177">
        <v>951100088</v>
      </c>
      <c r="B2182" s="116" t="str">
        <f t="shared" si="34"/>
        <v>95-951100088</v>
      </c>
      <c r="C2182" s="179" t="s">
        <v>7555</v>
      </c>
    </row>
    <row r="2183" spans="1:3">
      <c r="A2183" s="177">
        <v>962200089</v>
      </c>
      <c r="B2183" s="116" t="str">
        <f t="shared" si="34"/>
        <v>96-962200089</v>
      </c>
      <c r="C2183" s="179" t="s">
        <v>9765</v>
      </c>
    </row>
    <row r="2184" spans="1:3">
      <c r="A2184" s="177">
        <v>962200093</v>
      </c>
      <c r="B2184" s="116" t="str">
        <f t="shared" si="34"/>
        <v>96-962200093</v>
      </c>
      <c r="C2184" s="179" t="s">
        <v>12197</v>
      </c>
    </row>
    <row r="2185" spans="1:3">
      <c r="A2185" s="177">
        <v>962200096</v>
      </c>
      <c r="B2185" s="116" t="str">
        <f t="shared" si="34"/>
        <v>96-962200096</v>
      </c>
      <c r="C2185" s="179" t="s">
        <v>12423</v>
      </c>
    </row>
    <row r="2186" spans="1:3">
      <c r="A2186" s="177">
        <v>962200099</v>
      </c>
      <c r="B2186" s="116" t="str">
        <f t="shared" si="34"/>
        <v>96-962200099</v>
      </c>
      <c r="C2186" s="179" t="s">
        <v>12423</v>
      </c>
    </row>
    <row r="2187" spans="1:3">
      <c r="A2187" s="177">
        <v>962200101</v>
      </c>
      <c r="B2187" s="116" t="str">
        <f t="shared" si="34"/>
        <v>96-962200101</v>
      </c>
      <c r="C2187" s="179" t="s">
        <v>12423</v>
      </c>
    </row>
    <row r="2188" spans="1:3">
      <c r="A2188" s="177">
        <v>951600087</v>
      </c>
      <c r="B2188" s="116" t="str">
        <f t="shared" si="34"/>
        <v>95-951600087</v>
      </c>
      <c r="C2188" s="179" t="s">
        <v>7556</v>
      </c>
    </row>
    <row r="2189" spans="1:3">
      <c r="A2189" s="177">
        <v>961100059</v>
      </c>
      <c r="B2189" s="116" t="str">
        <f t="shared" si="34"/>
        <v>96-961100059</v>
      </c>
      <c r="C2189" s="179" t="s">
        <v>7557</v>
      </c>
    </row>
    <row r="2190" spans="1:3">
      <c r="A2190" s="177">
        <v>951700085</v>
      </c>
      <c r="B2190" s="116" t="str">
        <f t="shared" si="34"/>
        <v>95-951700085</v>
      </c>
      <c r="C2190" s="179" t="s">
        <v>7558</v>
      </c>
    </row>
    <row r="2191" spans="1:3">
      <c r="A2191" s="177">
        <v>961700035</v>
      </c>
      <c r="B2191" s="116" t="str">
        <f t="shared" si="34"/>
        <v>96-961700035</v>
      </c>
      <c r="C2191" s="179" t="s">
        <v>7562</v>
      </c>
    </row>
    <row r="2192" spans="1:3">
      <c r="A2192" s="177">
        <v>962000272</v>
      </c>
      <c r="B2192" s="116" t="str">
        <f t="shared" si="34"/>
        <v>96-962000272</v>
      </c>
      <c r="C2192" s="179" t="s">
        <v>7112</v>
      </c>
    </row>
    <row r="2193" spans="1:3">
      <c r="A2193" s="177">
        <v>951100018</v>
      </c>
      <c r="B2193" s="116" t="str">
        <f t="shared" si="34"/>
        <v>95-951100018</v>
      </c>
      <c r="C2193" s="179" t="s">
        <v>7563</v>
      </c>
    </row>
    <row r="2194" spans="1:3">
      <c r="A2194" s="177">
        <v>951900140</v>
      </c>
      <c r="B2194" s="116" t="str">
        <f t="shared" si="34"/>
        <v>95-951900140</v>
      </c>
      <c r="C2194" s="179" t="s">
        <v>7564</v>
      </c>
    </row>
    <row r="2195" spans="1:3">
      <c r="A2195" s="177">
        <v>951800042</v>
      </c>
      <c r="B2195" s="116" t="str">
        <f t="shared" si="34"/>
        <v>95-951800042</v>
      </c>
      <c r="C2195" s="179" t="s">
        <v>7568</v>
      </c>
    </row>
    <row r="2196" spans="1:3">
      <c r="A2196" s="177">
        <v>961900137</v>
      </c>
      <c r="B2196" s="116" t="str">
        <f t="shared" si="34"/>
        <v>96-961900137</v>
      </c>
      <c r="C2196" s="179" t="s">
        <v>7572</v>
      </c>
    </row>
    <row r="2197" spans="1:3">
      <c r="A2197" s="177">
        <v>961900181</v>
      </c>
      <c r="B2197" s="116" t="str">
        <f t="shared" si="34"/>
        <v>96-961900181</v>
      </c>
      <c r="C2197" s="179" t="s">
        <v>12291</v>
      </c>
    </row>
    <row r="2198" spans="1:3">
      <c r="A2198" s="177">
        <v>961800016</v>
      </c>
      <c r="B2198" s="116" t="str">
        <f t="shared" si="34"/>
        <v>96-961800016</v>
      </c>
      <c r="C2198" s="179" t="s">
        <v>8201</v>
      </c>
    </row>
    <row r="2199" spans="1:3">
      <c r="A2199" s="177">
        <v>952500046</v>
      </c>
      <c r="B2199" s="116" t="str">
        <f t="shared" si="34"/>
        <v>95-952500046</v>
      </c>
      <c r="C2199" s="179" t="s">
        <v>5661</v>
      </c>
    </row>
    <row r="2200" spans="1:3">
      <c r="A2200" s="177">
        <v>951900058</v>
      </c>
      <c r="B2200" s="116" t="str">
        <f t="shared" si="34"/>
        <v>95-951900058</v>
      </c>
      <c r="C2200" s="179" t="s">
        <v>8202</v>
      </c>
    </row>
    <row r="2201" spans="1:3">
      <c r="A2201" s="177">
        <v>951900276</v>
      </c>
      <c r="B2201" s="116" t="str">
        <f t="shared" si="34"/>
        <v>95-951900276</v>
      </c>
      <c r="C2201" s="179" t="s">
        <v>7578</v>
      </c>
    </row>
    <row r="2202" spans="1:3">
      <c r="A2202" s="177">
        <v>951600042</v>
      </c>
      <c r="B2202" s="116" t="str">
        <f t="shared" si="34"/>
        <v>95-951600042</v>
      </c>
      <c r="C2202" s="179" t="s">
        <v>7579</v>
      </c>
    </row>
    <row r="2203" spans="1:3">
      <c r="A2203" s="177">
        <v>961900183</v>
      </c>
      <c r="B2203" s="116" t="str">
        <f t="shared" si="34"/>
        <v>96-961900183</v>
      </c>
      <c r="C2203" s="179" t="s">
        <v>12201</v>
      </c>
    </row>
    <row r="2204" spans="1:3">
      <c r="A2204" s="177">
        <v>961800035</v>
      </c>
      <c r="B2204" s="116" t="str">
        <f t="shared" si="34"/>
        <v>96-961800035</v>
      </c>
      <c r="C2204" s="179" t="s">
        <v>7585</v>
      </c>
    </row>
    <row r="2205" spans="1:3">
      <c r="A2205" s="177">
        <v>951900007</v>
      </c>
      <c r="B2205" s="116" t="str">
        <f t="shared" si="34"/>
        <v>95-951900007</v>
      </c>
      <c r="C2205" s="179" t="s">
        <v>7586</v>
      </c>
    </row>
    <row r="2206" spans="1:3">
      <c r="A2206" s="177">
        <v>952500017</v>
      </c>
      <c r="B2206" s="116" t="str">
        <f t="shared" si="34"/>
        <v>95-952500017</v>
      </c>
      <c r="C2206" s="179" t="s">
        <v>5618</v>
      </c>
    </row>
    <row r="2207" spans="1:3">
      <c r="A2207" s="177">
        <v>952500023</v>
      </c>
      <c r="B2207" s="116" t="str">
        <f t="shared" si="34"/>
        <v>95-952500023</v>
      </c>
      <c r="C2207" s="179" t="s">
        <v>5618</v>
      </c>
    </row>
    <row r="2208" spans="1:3">
      <c r="A2208" s="177">
        <v>952500082</v>
      </c>
      <c r="B2208" s="116" t="str">
        <f t="shared" si="34"/>
        <v>95-952500082</v>
      </c>
      <c r="C2208" s="179" t="s">
        <v>5726</v>
      </c>
    </row>
    <row r="2209" spans="1:3">
      <c r="A2209" s="177">
        <v>962500074</v>
      </c>
      <c r="B2209" s="116" t="str">
        <f t="shared" si="34"/>
        <v>96-962500074</v>
      </c>
      <c r="C2209" s="179" t="s">
        <v>7231</v>
      </c>
    </row>
    <row r="2210" spans="1:3">
      <c r="A2210" s="177">
        <v>962500143</v>
      </c>
      <c r="B2210" s="116" t="str">
        <f t="shared" si="34"/>
        <v>96-962500143</v>
      </c>
      <c r="C2210" s="179" t="s">
        <v>8698</v>
      </c>
    </row>
    <row r="2211" spans="1:3">
      <c r="A2211" s="177">
        <v>962500180</v>
      </c>
      <c r="B2211" s="116" t="str">
        <f t="shared" si="34"/>
        <v>96-962500180</v>
      </c>
      <c r="C2211" s="179" t="s">
        <v>9763</v>
      </c>
    </row>
    <row r="2212" spans="1:3">
      <c r="A2212" s="177">
        <v>962500141</v>
      </c>
      <c r="B2212" s="116" t="str">
        <f t="shared" si="34"/>
        <v>96-962500141</v>
      </c>
      <c r="C2212" s="179" t="s">
        <v>9767</v>
      </c>
    </row>
    <row r="2213" spans="1:3">
      <c r="A2213" s="177">
        <v>962500178</v>
      </c>
      <c r="B2213" s="116" t="str">
        <f t="shared" si="34"/>
        <v>96-962500178</v>
      </c>
      <c r="C2213" s="179" t="s">
        <v>9797</v>
      </c>
    </row>
    <row r="2214" spans="1:3">
      <c r="A2214" s="177">
        <v>952500037</v>
      </c>
      <c r="B2214" s="116" t="str">
        <f t="shared" si="34"/>
        <v>95-952500037</v>
      </c>
      <c r="C2214" s="179" t="s">
        <v>5677</v>
      </c>
    </row>
    <row r="2215" spans="1:3">
      <c r="A2215" s="177">
        <v>962500102</v>
      </c>
      <c r="B2215" s="116" t="str">
        <f t="shared" si="34"/>
        <v>96-962500102</v>
      </c>
      <c r="C2215" s="179" t="s">
        <v>5842</v>
      </c>
    </row>
    <row r="2216" spans="1:3">
      <c r="A2216" s="177">
        <v>962500164</v>
      </c>
      <c r="B2216" s="116" t="str">
        <f t="shared" si="34"/>
        <v>96-962500164</v>
      </c>
      <c r="C2216" s="179" t="s">
        <v>8753</v>
      </c>
    </row>
    <row r="2217" spans="1:3">
      <c r="A2217" s="177">
        <v>962500166</v>
      </c>
      <c r="B2217" s="116" t="str">
        <f t="shared" si="34"/>
        <v>96-962500166</v>
      </c>
      <c r="C2217" s="179" t="s">
        <v>8753</v>
      </c>
    </row>
    <row r="2218" spans="1:3">
      <c r="A2218" s="177">
        <v>962500167</v>
      </c>
      <c r="B2218" s="116" t="str">
        <f t="shared" si="34"/>
        <v>96-962500167</v>
      </c>
      <c r="C2218" s="179" t="s">
        <v>8753</v>
      </c>
    </row>
    <row r="2219" spans="1:3">
      <c r="A2219" s="177">
        <v>962500057</v>
      </c>
      <c r="B2219" s="116" t="str">
        <f t="shared" si="34"/>
        <v>96-962500057</v>
      </c>
      <c r="C2219" s="179" t="s">
        <v>5778</v>
      </c>
    </row>
    <row r="2220" spans="1:3">
      <c r="A2220" s="177">
        <v>951600083</v>
      </c>
      <c r="B2220" s="116" t="str">
        <f t="shared" si="34"/>
        <v>95-951600083</v>
      </c>
      <c r="C2220" s="179" t="s">
        <v>7587</v>
      </c>
    </row>
    <row r="2221" spans="1:3">
      <c r="A2221" s="177">
        <v>951900077</v>
      </c>
      <c r="B2221" s="116" t="str">
        <f t="shared" si="34"/>
        <v>95-951900077</v>
      </c>
      <c r="C2221" s="179" t="s">
        <v>7588</v>
      </c>
    </row>
    <row r="2222" spans="1:3">
      <c r="A2222" s="177">
        <v>961700010</v>
      </c>
      <c r="B2222" s="116" t="str">
        <f t="shared" si="34"/>
        <v>96-961700010</v>
      </c>
      <c r="C2222" s="179" t="s">
        <v>7594</v>
      </c>
    </row>
    <row r="2223" spans="1:3">
      <c r="A2223" s="177">
        <v>962500013</v>
      </c>
      <c r="B2223" s="116" t="str">
        <f t="shared" si="34"/>
        <v>96-962500013</v>
      </c>
      <c r="C2223" s="179" t="s">
        <v>5780</v>
      </c>
    </row>
    <row r="2224" spans="1:3">
      <c r="A2224" s="177">
        <v>962500185</v>
      </c>
      <c r="B2224" s="116" t="str">
        <f t="shared" si="34"/>
        <v>96-962500185</v>
      </c>
      <c r="C2224" s="179" t="s">
        <v>9761</v>
      </c>
    </row>
    <row r="2225" spans="1:3">
      <c r="A2225" s="177">
        <v>962200042</v>
      </c>
      <c r="B2225" s="116" t="str">
        <f t="shared" si="34"/>
        <v>96-962200042</v>
      </c>
      <c r="C2225" s="179" t="s">
        <v>7182</v>
      </c>
    </row>
    <row r="2226" spans="1:3">
      <c r="A2226" s="177">
        <v>962500079</v>
      </c>
      <c r="B2226" s="116" t="str">
        <f t="shared" si="34"/>
        <v>96-962500079</v>
      </c>
      <c r="C2226" s="179" t="s">
        <v>5856</v>
      </c>
    </row>
    <row r="2227" spans="1:3">
      <c r="A2227" s="177">
        <v>961700026</v>
      </c>
      <c r="B2227" s="116" t="str">
        <f t="shared" si="34"/>
        <v>96-961700026</v>
      </c>
      <c r="C2227" s="179" t="s">
        <v>7595</v>
      </c>
    </row>
    <row r="2228" spans="1:3">
      <c r="A2228" s="177">
        <v>961900153</v>
      </c>
      <c r="B2228" s="116" t="str">
        <f t="shared" si="34"/>
        <v>96-961900153</v>
      </c>
      <c r="C2228" s="179" t="s">
        <v>7596</v>
      </c>
    </row>
    <row r="2229" spans="1:3">
      <c r="A2229" s="177">
        <v>961900122</v>
      </c>
      <c r="B2229" s="116" t="str">
        <f t="shared" si="34"/>
        <v>96-961900122</v>
      </c>
      <c r="C2229" s="179" t="s">
        <v>7597</v>
      </c>
    </row>
    <row r="2230" spans="1:3">
      <c r="A2230" s="177">
        <v>961600019</v>
      </c>
      <c r="B2230" s="116" t="str">
        <f t="shared" si="34"/>
        <v>96-961600019</v>
      </c>
      <c r="C2230" s="179" t="s">
        <v>12295</v>
      </c>
    </row>
    <row r="2231" spans="1:3">
      <c r="A2231" s="177">
        <v>961900040</v>
      </c>
      <c r="B2231" s="116" t="str">
        <f t="shared" si="34"/>
        <v>96-961900040</v>
      </c>
      <c r="C2231" s="179" t="s">
        <v>7598</v>
      </c>
    </row>
    <row r="2232" spans="1:3">
      <c r="A2232" s="177">
        <v>954200036</v>
      </c>
      <c r="B2232" s="116" t="str">
        <f t="shared" si="34"/>
        <v>95-954200036</v>
      </c>
      <c r="C2232" s="179" t="s">
        <v>5635</v>
      </c>
    </row>
    <row r="2233" spans="1:3">
      <c r="A2233" s="177">
        <v>954200046</v>
      </c>
      <c r="B2233" s="116" t="str">
        <f t="shared" si="34"/>
        <v>95-954200046</v>
      </c>
      <c r="C2233" s="179" t="s">
        <v>5733</v>
      </c>
    </row>
    <row r="2234" spans="1:3">
      <c r="A2234" s="177">
        <v>964200002</v>
      </c>
      <c r="B2234" s="116" t="str">
        <f t="shared" si="34"/>
        <v>96-964200002</v>
      </c>
      <c r="C2234" s="179" t="s">
        <v>5762</v>
      </c>
    </row>
    <row r="2235" spans="1:3">
      <c r="A2235" s="177">
        <v>951400063</v>
      </c>
      <c r="B2235" s="116" t="str">
        <f t="shared" si="34"/>
        <v>95-951400063</v>
      </c>
      <c r="C2235" s="179" t="s">
        <v>7601</v>
      </c>
    </row>
    <row r="2236" spans="1:3">
      <c r="A2236" s="177">
        <v>951700240</v>
      </c>
      <c r="B2236" s="116" t="str">
        <f t="shared" si="34"/>
        <v>95-951700240</v>
      </c>
      <c r="C2236" s="179" t="s">
        <v>7601</v>
      </c>
    </row>
    <row r="2237" spans="1:3">
      <c r="A2237" s="177">
        <v>951600053</v>
      </c>
      <c r="B2237" s="116" t="str">
        <f t="shared" si="34"/>
        <v>95-951600053</v>
      </c>
      <c r="C2237" s="179" t="s">
        <v>7137</v>
      </c>
    </row>
    <row r="2238" spans="1:3">
      <c r="A2238" s="177">
        <v>961900179</v>
      </c>
      <c r="B2238" s="116" t="str">
        <f t="shared" si="34"/>
        <v>96-961900179</v>
      </c>
      <c r="C2238" s="179" t="s">
        <v>8711</v>
      </c>
    </row>
    <row r="2239" spans="1:3">
      <c r="A2239" s="177">
        <v>951900308</v>
      </c>
      <c r="B2239" s="116" t="str">
        <f t="shared" si="34"/>
        <v>95-951900308</v>
      </c>
      <c r="C2239" s="179" t="s">
        <v>7605</v>
      </c>
    </row>
    <row r="2240" spans="1:3">
      <c r="A2240" s="177">
        <v>951700035</v>
      </c>
      <c r="B2240" s="116" t="str">
        <f t="shared" si="34"/>
        <v>95-951700035</v>
      </c>
      <c r="C2240" s="179" t="s">
        <v>7606</v>
      </c>
    </row>
    <row r="2241" spans="1:3">
      <c r="A2241" s="177">
        <v>961900146</v>
      </c>
      <c r="B2241" s="116" t="str">
        <f t="shared" si="34"/>
        <v>96-961900146</v>
      </c>
      <c r="C2241" s="179" t="s">
        <v>7607</v>
      </c>
    </row>
    <row r="2242" spans="1:3">
      <c r="A2242" s="177">
        <v>951400023</v>
      </c>
      <c r="B2242" s="116" t="str">
        <f t="shared" si="34"/>
        <v>95-951400023</v>
      </c>
      <c r="C2242" s="179" t="s">
        <v>7608</v>
      </c>
    </row>
    <row r="2243" spans="1:3">
      <c r="A2243" s="177">
        <v>951400081</v>
      </c>
      <c r="B2243" s="116" t="str">
        <f t="shared" ref="B2243:B2306" si="35">MID(A2243,1,2)&amp;"-"&amp;A2243</f>
        <v>95-951400081</v>
      </c>
      <c r="C2243" s="179" t="s">
        <v>7206</v>
      </c>
    </row>
    <row r="2244" spans="1:3">
      <c r="A2244" s="177">
        <v>951800108</v>
      </c>
      <c r="B2244" s="116" t="str">
        <f t="shared" si="35"/>
        <v>95-951800108</v>
      </c>
      <c r="C2244" s="179" t="s">
        <v>7609</v>
      </c>
    </row>
    <row r="2245" spans="1:3">
      <c r="A2245" s="177">
        <v>951900269</v>
      </c>
      <c r="B2245" s="116" t="str">
        <f t="shared" si="35"/>
        <v>95-951900269</v>
      </c>
      <c r="C2245" s="179" t="s">
        <v>7610</v>
      </c>
    </row>
    <row r="2246" spans="1:3">
      <c r="A2246" s="177">
        <v>951900281</v>
      </c>
      <c r="B2246" s="116" t="str">
        <f t="shared" si="35"/>
        <v>95-951900281</v>
      </c>
      <c r="C2246" s="179" t="s">
        <v>7611</v>
      </c>
    </row>
    <row r="2247" spans="1:3">
      <c r="A2247" s="177">
        <v>951900291</v>
      </c>
      <c r="B2247" s="116" t="str">
        <f t="shared" si="35"/>
        <v>95-951900291</v>
      </c>
      <c r="C2247" s="179" t="s">
        <v>7612</v>
      </c>
    </row>
    <row r="2248" spans="1:3">
      <c r="A2248" s="177">
        <v>961900017</v>
      </c>
      <c r="B2248" s="116" t="str">
        <f t="shared" si="35"/>
        <v>96-961900017</v>
      </c>
      <c r="C2248" s="179" t="s">
        <v>7613</v>
      </c>
    </row>
    <row r="2249" spans="1:3">
      <c r="A2249" s="177">
        <v>961900033</v>
      </c>
      <c r="B2249" s="116" t="str">
        <f t="shared" si="35"/>
        <v>96-961900033</v>
      </c>
      <c r="C2249" s="179" t="s">
        <v>7614</v>
      </c>
    </row>
    <row r="2250" spans="1:3">
      <c r="A2250" s="177">
        <v>961900051</v>
      </c>
      <c r="B2250" s="116" t="str">
        <f t="shared" si="35"/>
        <v>96-961900051</v>
      </c>
      <c r="C2250" s="179" t="s">
        <v>7615</v>
      </c>
    </row>
    <row r="2251" spans="1:3">
      <c r="A2251" s="177">
        <v>966000011</v>
      </c>
      <c r="B2251" s="116" t="str">
        <f t="shared" si="35"/>
        <v>96-966000011</v>
      </c>
      <c r="C2251" s="179" t="s">
        <v>7146</v>
      </c>
    </row>
    <row r="2252" spans="1:3">
      <c r="A2252" s="177">
        <v>956000001</v>
      </c>
      <c r="B2252" s="116" t="str">
        <f t="shared" si="35"/>
        <v>95-956000001</v>
      </c>
      <c r="C2252" s="179" t="s">
        <v>7146</v>
      </c>
    </row>
    <row r="2253" spans="1:3">
      <c r="A2253" s="177">
        <v>951800062</v>
      </c>
      <c r="B2253" s="116" t="str">
        <f t="shared" si="35"/>
        <v>95-951800062</v>
      </c>
      <c r="C2253" s="179" t="s">
        <v>7551</v>
      </c>
    </row>
    <row r="2254" spans="1:3">
      <c r="A2254" s="177">
        <v>951800087</v>
      </c>
      <c r="B2254" s="116" t="str">
        <f t="shared" si="35"/>
        <v>95-951800087</v>
      </c>
      <c r="C2254" s="179" t="s">
        <v>7551</v>
      </c>
    </row>
    <row r="2255" spans="1:3">
      <c r="A2255" s="177">
        <v>951800117</v>
      </c>
      <c r="B2255" s="116" t="str">
        <f t="shared" si="35"/>
        <v>95-951800117</v>
      </c>
      <c r="C2255" s="179" t="s">
        <v>7552</v>
      </c>
    </row>
    <row r="2256" spans="1:3">
      <c r="A2256" s="177">
        <v>961900082</v>
      </c>
      <c r="B2256" s="116" t="str">
        <f t="shared" si="35"/>
        <v>96-961900082</v>
      </c>
      <c r="C2256" s="179" t="s">
        <v>7471</v>
      </c>
    </row>
    <row r="2257" spans="1:3">
      <c r="A2257" s="177">
        <v>951100143</v>
      </c>
      <c r="B2257" s="116" t="str">
        <f t="shared" si="35"/>
        <v>95-951100143</v>
      </c>
      <c r="C2257" s="179" t="s">
        <v>7559</v>
      </c>
    </row>
    <row r="2258" spans="1:3">
      <c r="A2258" s="177">
        <v>961900066</v>
      </c>
      <c r="B2258" s="116" t="str">
        <f t="shared" si="35"/>
        <v>96-961900066</v>
      </c>
      <c r="C2258" s="179" t="s">
        <v>7616</v>
      </c>
    </row>
    <row r="2259" spans="1:3">
      <c r="A2259" s="177">
        <v>951800058</v>
      </c>
      <c r="B2259" s="116" t="str">
        <f t="shared" si="35"/>
        <v>95-951800058</v>
      </c>
      <c r="C2259" s="179" t="s">
        <v>7617</v>
      </c>
    </row>
    <row r="2260" spans="1:3">
      <c r="A2260" s="177">
        <v>951700160</v>
      </c>
      <c r="B2260" s="116" t="str">
        <f t="shared" si="35"/>
        <v>95-951700160</v>
      </c>
      <c r="C2260" s="179" t="s">
        <v>7618</v>
      </c>
    </row>
    <row r="2261" spans="1:3">
      <c r="A2261" s="177">
        <v>951700312</v>
      </c>
      <c r="B2261" s="116" t="str">
        <f t="shared" si="35"/>
        <v>95-951700312</v>
      </c>
      <c r="C2261" s="179" t="s">
        <v>7202</v>
      </c>
    </row>
    <row r="2262" spans="1:3">
      <c r="A2262" s="177">
        <v>951800035</v>
      </c>
      <c r="B2262" s="116" t="str">
        <f t="shared" si="35"/>
        <v>95-951800035</v>
      </c>
      <c r="C2262" s="179" t="s">
        <v>7619</v>
      </c>
    </row>
    <row r="2263" spans="1:3">
      <c r="A2263" s="177">
        <v>961100005</v>
      </c>
      <c r="B2263" s="116" t="str">
        <f t="shared" si="35"/>
        <v>96-961100005</v>
      </c>
      <c r="C2263" s="179" t="s">
        <v>7560</v>
      </c>
    </row>
    <row r="2264" spans="1:3">
      <c r="A2264" s="177">
        <v>951700003</v>
      </c>
      <c r="B2264" s="116" t="str">
        <f t="shared" si="35"/>
        <v>95-951700003</v>
      </c>
      <c r="C2264" s="179" t="s">
        <v>7565</v>
      </c>
    </row>
    <row r="2265" spans="1:3">
      <c r="A2265" s="177">
        <v>951700057</v>
      </c>
      <c r="B2265" s="116" t="str">
        <f t="shared" si="35"/>
        <v>95-951700057</v>
      </c>
      <c r="C2265" s="179" t="s">
        <v>7566</v>
      </c>
    </row>
    <row r="2266" spans="1:3">
      <c r="A2266" s="177">
        <v>951700061</v>
      </c>
      <c r="B2266" s="116" t="str">
        <f t="shared" si="35"/>
        <v>95-951700061</v>
      </c>
      <c r="C2266" s="179" t="s">
        <v>7566</v>
      </c>
    </row>
    <row r="2267" spans="1:3">
      <c r="A2267" s="177">
        <v>951700303</v>
      </c>
      <c r="B2267" s="116" t="str">
        <f t="shared" si="35"/>
        <v>95-951700303</v>
      </c>
      <c r="C2267" s="179" t="s">
        <v>7161</v>
      </c>
    </row>
    <row r="2268" spans="1:3">
      <c r="A2268" s="177">
        <v>951700328</v>
      </c>
      <c r="B2268" s="116" t="str">
        <f t="shared" si="35"/>
        <v>95-951700328</v>
      </c>
      <c r="C2268" s="179" t="s">
        <v>7481</v>
      </c>
    </row>
    <row r="2269" spans="1:3">
      <c r="A2269" s="177">
        <v>951700332</v>
      </c>
      <c r="B2269" s="116" t="str">
        <f t="shared" si="35"/>
        <v>95-951700332</v>
      </c>
      <c r="C2269" s="179" t="s">
        <v>7481</v>
      </c>
    </row>
    <row r="2270" spans="1:3">
      <c r="A2270" s="177">
        <v>951700333</v>
      </c>
      <c r="B2270" s="116" t="str">
        <f t="shared" si="35"/>
        <v>95-951700333</v>
      </c>
      <c r="C2270" s="179" t="s">
        <v>7481</v>
      </c>
    </row>
    <row r="2271" spans="1:3">
      <c r="A2271" s="177">
        <v>951700338</v>
      </c>
      <c r="B2271" s="116" t="str">
        <f t="shared" si="35"/>
        <v>95-951700338</v>
      </c>
      <c r="C2271" s="179" t="s">
        <v>7567</v>
      </c>
    </row>
    <row r="2272" spans="1:3">
      <c r="A2272" s="177">
        <v>961700067</v>
      </c>
      <c r="B2272" s="116" t="str">
        <f t="shared" si="35"/>
        <v>96-961700067</v>
      </c>
      <c r="C2272" s="179" t="s">
        <v>7147</v>
      </c>
    </row>
    <row r="2273" spans="1:3">
      <c r="A2273" s="177">
        <v>961700069</v>
      </c>
      <c r="B2273" s="116" t="str">
        <f t="shared" si="35"/>
        <v>96-961700069</v>
      </c>
      <c r="C2273" s="179" t="s">
        <v>7147</v>
      </c>
    </row>
    <row r="2274" spans="1:3">
      <c r="A2274" s="177">
        <v>951700182</v>
      </c>
      <c r="B2274" s="116" t="str">
        <f t="shared" si="35"/>
        <v>95-951700182</v>
      </c>
      <c r="C2274" s="179" t="s">
        <v>7573</v>
      </c>
    </row>
    <row r="2275" spans="1:3">
      <c r="A2275" s="177">
        <v>956100012</v>
      </c>
      <c r="B2275" s="116" t="str">
        <f t="shared" si="35"/>
        <v>95-956100012</v>
      </c>
      <c r="C2275" s="179" t="s">
        <v>7574</v>
      </c>
    </row>
    <row r="2276" spans="1:3">
      <c r="A2276" s="177">
        <v>951800123</v>
      </c>
      <c r="B2276" s="116" t="str">
        <f t="shared" si="35"/>
        <v>95-951800123</v>
      </c>
      <c r="C2276" s="179" t="s">
        <v>7626</v>
      </c>
    </row>
    <row r="2277" spans="1:3">
      <c r="A2277" s="177">
        <v>951800068</v>
      </c>
      <c r="B2277" s="116" t="str">
        <f t="shared" si="35"/>
        <v>95-951800068</v>
      </c>
      <c r="C2277" s="179" t="s">
        <v>7627</v>
      </c>
    </row>
    <row r="2278" spans="1:3">
      <c r="A2278" s="177">
        <v>961800059</v>
      </c>
      <c r="B2278" s="116" t="str">
        <f t="shared" si="35"/>
        <v>96-961800059</v>
      </c>
      <c r="C2278" s="179" t="s">
        <v>7628</v>
      </c>
    </row>
    <row r="2279" spans="1:3">
      <c r="A2279" s="177">
        <v>951900127</v>
      </c>
      <c r="B2279" s="116" t="str">
        <f t="shared" si="35"/>
        <v>95-951900127</v>
      </c>
      <c r="C2279" s="179" t="s">
        <v>7629</v>
      </c>
    </row>
    <row r="2280" spans="1:3">
      <c r="A2280" s="177">
        <v>951900247</v>
      </c>
      <c r="B2280" s="116" t="str">
        <f t="shared" si="35"/>
        <v>95-951900247</v>
      </c>
      <c r="C2280" s="179" t="s">
        <v>7630</v>
      </c>
    </row>
    <row r="2281" spans="1:3">
      <c r="A2281" s="177">
        <v>961900079</v>
      </c>
      <c r="B2281" s="116" t="str">
        <f t="shared" si="35"/>
        <v>96-961900079</v>
      </c>
      <c r="C2281" s="179" t="s">
        <v>7575</v>
      </c>
    </row>
    <row r="2282" spans="1:3">
      <c r="A2282" s="177">
        <v>961800024</v>
      </c>
      <c r="B2282" s="116" t="str">
        <f t="shared" si="35"/>
        <v>96-961800024</v>
      </c>
      <c r="C2282" s="179" t="s">
        <v>7576</v>
      </c>
    </row>
    <row r="2283" spans="1:3">
      <c r="A2283" s="177">
        <v>951400055</v>
      </c>
      <c r="B2283" s="116" t="str">
        <f t="shared" si="35"/>
        <v>95-951400055</v>
      </c>
      <c r="C2283" s="179" t="s">
        <v>7577</v>
      </c>
    </row>
    <row r="2284" spans="1:3">
      <c r="A2284" s="177">
        <v>951000003</v>
      </c>
      <c r="B2284" s="116" t="str">
        <f t="shared" si="35"/>
        <v>95-951000003</v>
      </c>
      <c r="C2284" s="179" t="s">
        <v>7580</v>
      </c>
    </row>
    <row r="2285" spans="1:3">
      <c r="A2285" s="177">
        <v>951000005</v>
      </c>
      <c r="B2285" s="116" t="str">
        <f t="shared" si="35"/>
        <v>95-951000005</v>
      </c>
      <c r="C2285" s="179" t="s">
        <v>7580</v>
      </c>
    </row>
    <row r="2286" spans="1:3">
      <c r="A2286" s="177">
        <v>961400007</v>
      </c>
      <c r="B2286" s="116" t="str">
        <f t="shared" si="35"/>
        <v>96-961400007</v>
      </c>
      <c r="C2286" s="179" t="s">
        <v>7581</v>
      </c>
    </row>
    <row r="2287" spans="1:3">
      <c r="A2287" s="177">
        <v>951800086</v>
      </c>
      <c r="B2287" s="116" t="str">
        <f t="shared" si="35"/>
        <v>95-951800086</v>
      </c>
      <c r="C2287" s="179" t="s">
        <v>7631</v>
      </c>
    </row>
    <row r="2288" spans="1:3">
      <c r="A2288" s="177">
        <v>961800036</v>
      </c>
      <c r="B2288" s="116" t="str">
        <f t="shared" si="35"/>
        <v>96-961800036</v>
      </c>
      <c r="C2288" s="179" t="s">
        <v>7632</v>
      </c>
    </row>
    <row r="2289" spans="1:3">
      <c r="A2289" s="177">
        <v>951700197</v>
      </c>
      <c r="B2289" s="116" t="str">
        <f t="shared" si="35"/>
        <v>95-951700197</v>
      </c>
      <c r="C2289" s="179" t="s">
        <v>7642</v>
      </c>
    </row>
    <row r="2290" spans="1:3">
      <c r="A2290" s="177">
        <v>956100018</v>
      </c>
      <c r="B2290" s="116" t="str">
        <f t="shared" si="35"/>
        <v>95-956100018</v>
      </c>
      <c r="C2290" s="179" t="s">
        <v>7488</v>
      </c>
    </row>
    <row r="2291" spans="1:3">
      <c r="A2291" s="177">
        <v>951600015</v>
      </c>
      <c r="B2291" s="116" t="str">
        <f t="shared" si="35"/>
        <v>95-951600015</v>
      </c>
      <c r="C2291" s="179" t="s">
        <v>7582</v>
      </c>
    </row>
    <row r="2292" spans="1:3">
      <c r="A2292" s="177">
        <v>951800119</v>
      </c>
      <c r="B2292" s="116" t="str">
        <f t="shared" si="35"/>
        <v>95-951800119</v>
      </c>
      <c r="C2292" s="179" t="s">
        <v>7583</v>
      </c>
    </row>
    <row r="2293" spans="1:3">
      <c r="A2293" s="177">
        <v>951800014</v>
      </c>
      <c r="B2293" s="116" t="str">
        <f t="shared" si="35"/>
        <v>95-951800014</v>
      </c>
      <c r="C2293" s="179" t="s">
        <v>7584</v>
      </c>
    </row>
    <row r="2294" spans="1:3">
      <c r="A2294" s="177">
        <v>951900068</v>
      </c>
      <c r="B2294" s="116" t="str">
        <f t="shared" si="35"/>
        <v>95-951900068</v>
      </c>
      <c r="C2294" s="179" t="s">
        <v>7589</v>
      </c>
    </row>
    <row r="2295" spans="1:3">
      <c r="A2295" s="177">
        <v>951800134</v>
      </c>
      <c r="B2295" s="116" t="str">
        <f t="shared" si="35"/>
        <v>95-951800134</v>
      </c>
      <c r="C2295" s="179" t="s">
        <v>7590</v>
      </c>
    </row>
    <row r="2296" spans="1:3">
      <c r="A2296" s="177">
        <v>956200235</v>
      </c>
      <c r="B2296" s="116" t="str">
        <f t="shared" si="35"/>
        <v>95-956200235</v>
      </c>
      <c r="C2296" s="179" t="s">
        <v>7495</v>
      </c>
    </row>
    <row r="2297" spans="1:3">
      <c r="A2297" s="177">
        <v>951400181</v>
      </c>
      <c r="B2297" s="116" t="str">
        <f t="shared" si="35"/>
        <v>95-951400181</v>
      </c>
      <c r="C2297" s="179" t="s">
        <v>7591</v>
      </c>
    </row>
    <row r="2298" spans="1:3">
      <c r="A2298" s="177">
        <v>961800004</v>
      </c>
      <c r="B2298" s="116" t="str">
        <f t="shared" si="35"/>
        <v>96-961800004</v>
      </c>
      <c r="C2298" s="179" t="s">
        <v>7592</v>
      </c>
    </row>
    <row r="2299" spans="1:3">
      <c r="A2299" s="177">
        <v>951700280</v>
      </c>
      <c r="B2299" s="116" t="str">
        <f t="shared" si="35"/>
        <v>95-951700280</v>
      </c>
      <c r="C2299" s="179" t="s">
        <v>7643</v>
      </c>
    </row>
    <row r="2300" spans="1:3">
      <c r="A2300" s="177">
        <v>966100007</v>
      </c>
      <c r="B2300" s="116" t="str">
        <f t="shared" si="35"/>
        <v>96-966100007</v>
      </c>
      <c r="C2300" s="179" t="s">
        <v>7644</v>
      </c>
    </row>
    <row r="2301" spans="1:3">
      <c r="A2301" s="177">
        <v>951900256</v>
      </c>
      <c r="B2301" s="116" t="str">
        <f t="shared" si="35"/>
        <v>95-951900256</v>
      </c>
      <c r="C2301" s="179" t="s">
        <v>7645</v>
      </c>
    </row>
    <row r="2302" spans="1:3">
      <c r="A2302" s="177">
        <v>951900304</v>
      </c>
      <c r="B2302" s="116" t="str">
        <f t="shared" si="35"/>
        <v>95-951900304</v>
      </c>
      <c r="C2302" s="179" t="s">
        <v>7646</v>
      </c>
    </row>
    <row r="2303" spans="1:3">
      <c r="A2303" s="177">
        <v>961800017</v>
      </c>
      <c r="B2303" s="116" t="str">
        <f t="shared" si="35"/>
        <v>96-961800017</v>
      </c>
      <c r="C2303" s="179" t="s">
        <v>7647</v>
      </c>
    </row>
    <row r="2304" spans="1:3">
      <c r="A2304" s="177">
        <v>966200014</v>
      </c>
      <c r="B2304" s="116" t="str">
        <f t="shared" si="35"/>
        <v>96-966200014</v>
      </c>
      <c r="C2304" s="179" t="s">
        <v>7370</v>
      </c>
    </row>
    <row r="2305" spans="1:3">
      <c r="A2305" s="177">
        <v>951900099</v>
      </c>
      <c r="B2305" s="116" t="str">
        <f t="shared" si="35"/>
        <v>95-951900099</v>
      </c>
      <c r="C2305" s="179" t="s">
        <v>7593</v>
      </c>
    </row>
    <row r="2306" spans="1:3">
      <c r="A2306" s="177">
        <v>951900286</v>
      </c>
      <c r="B2306" s="116" t="str">
        <f t="shared" si="35"/>
        <v>95-951900286</v>
      </c>
      <c r="C2306" s="179" t="s">
        <v>7652</v>
      </c>
    </row>
    <row r="2307" spans="1:3">
      <c r="A2307" s="177">
        <v>951900036</v>
      </c>
      <c r="B2307" s="116" t="str">
        <f t="shared" ref="B2307:B2370" si="36">MID(A2307,1,2)&amp;"-"&amp;A2307</f>
        <v>95-951900036</v>
      </c>
      <c r="C2307" s="179" t="s">
        <v>7653</v>
      </c>
    </row>
    <row r="2308" spans="1:3">
      <c r="A2308" s="177">
        <v>951900261</v>
      </c>
      <c r="B2308" s="116" t="str">
        <f t="shared" si="36"/>
        <v>95-951900261</v>
      </c>
      <c r="C2308" s="179" t="s">
        <v>7654</v>
      </c>
    </row>
    <row r="2309" spans="1:3">
      <c r="A2309" s="177">
        <v>961700046</v>
      </c>
      <c r="B2309" s="116" t="str">
        <f t="shared" si="36"/>
        <v>96-961700046</v>
      </c>
      <c r="C2309" s="179" t="s">
        <v>7655</v>
      </c>
    </row>
    <row r="2310" spans="1:3">
      <c r="A2310" s="177">
        <v>951900270</v>
      </c>
      <c r="B2310" s="116" t="str">
        <f t="shared" si="36"/>
        <v>95-951900270</v>
      </c>
      <c r="C2310" s="179" t="s">
        <v>7661</v>
      </c>
    </row>
    <row r="2311" spans="1:3">
      <c r="A2311" s="177">
        <v>951700244</v>
      </c>
      <c r="B2311" s="116" t="str">
        <f t="shared" si="36"/>
        <v>95-951700244</v>
      </c>
      <c r="C2311" s="179" t="s">
        <v>7600</v>
      </c>
    </row>
    <row r="2312" spans="1:3">
      <c r="A2312" s="177">
        <v>961700051</v>
      </c>
      <c r="B2312" s="116" t="str">
        <f t="shared" si="36"/>
        <v>96-961700051</v>
      </c>
      <c r="C2312" s="179" t="s">
        <v>7698</v>
      </c>
    </row>
    <row r="2313" spans="1:3">
      <c r="A2313" s="177">
        <v>961700155</v>
      </c>
      <c r="B2313" s="116" t="str">
        <f t="shared" si="36"/>
        <v>96-961700155</v>
      </c>
      <c r="C2313" s="179" t="s">
        <v>12200</v>
      </c>
    </row>
    <row r="2314" spans="1:3">
      <c r="A2314" s="177">
        <v>961800032</v>
      </c>
      <c r="B2314" s="116" t="str">
        <f t="shared" si="36"/>
        <v>96-961800032</v>
      </c>
      <c r="C2314" s="179" t="s">
        <v>7544</v>
      </c>
    </row>
    <row r="2315" spans="1:3">
      <c r="A2315" s="177">
        <v>951600095</v>
      </c>
      <c r="B2315" s="116" t="str">
        <f t="shared" si="36"/>
        <v>95-951600095</v>
      </c>
      <c r="C2315" s="179" t="s">
        <v>7652</v>
      </c>
    </row>
    <row r="2316" spans="1:3">
      <c r="A2316" s="177">
        <v>951900081</v>
      </c>
      <c r="B2316" s="116" t="str">
        <f t="shared" si="36"/>
        <v>95-951900081</v>
      </c>
      <c r="C2316" s="179" t="s">
        <v>7662</v>
      </c>
    </row>
    <row r="2317" spans="1:3">
      <c r="A2317" s="177">
        <v>951900193</v>
      </c>
      <c r="B2317" s="116" t="str">
        <f t="shared" si="36"/>
        <v>95-951900193</v>
      </c>
      <c r="C2317" s="179" t="s">
        <v>7663</v>
      </c>
    </row>
    <row r="2318" spans="1:3">
      <c r="A2318" s="177">
        <v>951800064</v>
      </c>
      <c r="B2318" s="116" t="str">
        <f t="shared" si="36"/>
        <v>95-951800064</v>
      </c>
      <c r="C2318" s="179" t="s">
        <v>7664</v>
      </c>
    </row>
    <row r="2319" spans="1:3">
      <c r="A2319" s="177">
        <v>951300031</v>
      </c>
      <c r="B2319" s="116" t="str">
        <f t="shared" si="36"/>
        <v>95-951300031</v>
      </c>
      <c r="C2319" s="179" t="s">
        <v>7665</v>
      </c>
    </row>
    <row r="2320" spans="1:3">
      <c r="A2320" s="177">
        <v>961700112</v>
      </c>
      <c r="B2320" s="116" t="str">
        <f t="shared" si="36"/>
        <v>96-961700112</v>
      </c>
      <c r="C2320" s="179" t="s">
        <v>7215</v>
      </c>
    </row>
    <row r="2321" spans="1:3">
      <c r="A2321" s="177">
        <v>951400018</v>
      </c>
      <c r="B2321" s="116" t="str">
        <f t="shared" si="36"/>
        <v>95-951400018</v>
      </c>
      <c r="C2321" s="179" t="s">
        <v>7667</v>
      </c>
    </row>
    <row r="2322" spans="1:3">
      <c r="A2322" s="177">
        <v>966100005</v>
      </c>
      <c r="B2322" s="116" t="str">
        <f t="shared" si="36"/>
        <v>96-966100005</v>
      </c>
      <c r="C2322" s="179" t="s">
        <v>7668</v>
      </c>
    </row>
    <row r="2323" spans="1:3">
      <c r="A2323" s="177">
        <v>951900039</v>
      </c>
      <c r="B2323" s="116" t="str">
        <f t="shared" si="36"/>
        <v>95-951900039</v>
      </c>
      <c r="C2323" s="179" t="s">
        <v>7669</v>
      </c>
    </row>
    <row r="2324" spans="1:3">
      <c r="A2324" s="177">
        <v>951900262</v>
      </c>
      <c r="B2324" s="116" t="str">
        <f t="shared" si="36"/>
        <v>95-951900262</v>
      </c>
      <c r="C2324" s="179" t="s">
        <v>7670</v>
      </c>
    </row>
    <row r="2325" spans="1:3">
      <c r="A2325" s="177">
        <v>951900042</v>
      </c>
      <c r="B2325" s="116" t="str">
        <f t="shared" si="36"/>
        <v>95-951900042</v>
      </c>
      <c r="C2325" s="179" t="s">
        <v>7502</v>
      </c>
    </row>
    <row r="2326" spans="1:3">
      <c r="A2326" s="177">
        <v>951900220</v>
      </c>
      <c r="B2326" s="116" t="str">
        <f t="shared" si="36"/>
        <v>95-951900220</v>
      </c>
      <c r="C2326" s="179" t="s">
        <v>7149</v>
      </c>
    </row>
    <row r="2327" spans="1:3">
      <c r="A2327" s="177">
        <v>951900321</v>
      </c>
      <c r="B2327" s="116" t="str">
        <f t="shared" si="36"/>
        <v>95-951900321</v>
      </c>
      <c r="C2327" s="179" t="s">
        <v>7604</v>
      </c>
    </row>
    <row r="2328" spans="1:3">
      <c r="A2328" s="177">
        <v>966300013</v>
      </c>
      <c r="B2328" s="116" t="str">
        <f t="shared" si="36"/>
        <v>96-966300013</v>
      </c>
      <c r="C2328" s="179" t="s">
        <v>12252</v>
      </c>
    </row>
    <row r="2329" spans="1:3">
      <c r="A2329" s="177">
        <v>951900309</v>
      </c>
      <c r="B2329" s="116" t="str">
        <f t="shared" si="36"/>
        <v>95-951900309</v>
      </c>
      <c r="C2329" s="179" t="s">
        <v>7676</v>
      </c>
    </row>
    <row r="2330" spans="1:3">
      <c r="A2330" s="177">
        <v>951900313</v>
      </c>
      <c r="B2330" s="116" t="str">
        <f t="shared" si="36"/>
        <v>95-951900313</v>
      </c>
      <c r="C2330" s="179" t="s">
        <v>7677</v>
      </c>
    </row>
    <row r="2331" spans="1:3">
      <c r="A2331" s="177">
        <v>961700089</v>
      </c>
      <c r="B2331" s="116" t="str">
        <f t="shared" si="36"/>
        <v>96-961700089</v>
      </c>
      <c r="C2331" s="179" t="s">
        <v>7678</v>
      </c>
    </row>
    <row r="2332" spans="1:3">
      <c r="A2332" s="177">
        <v>951900198</v>
      </c>
      <c r="B2332" s="116" t="str">
        <f t="shared" si="36"/>
        <v>95-951900198</v>
      </c>
      <c r="C2332" s="179" t="s">
        <v>7679</v>
      </c>
    </row>
    <row r="2333" spans="1:3">
      <c r="A2333" s="177">
        <v>951300009</v>
      </c>
      <c r="B2333" s="116" t="str">
        <f t="shared" si="36"/>
        <v>95-951300009</v>
      </c>
      <c r="C2333" s="179" t="s">
        <v>7680</v>
      </c>
    </row>
    <row r="2334" spans="1:3">
      <c r="A2334" s="177">
        <v>951900027</v>
      </c>
      <c r="B2334" s="116" t="str">
        <f t="shared" si="36"/>
        <v>95-951900027</v>
      </c>
      <c r="C2334" s="179" t="s">
        <v>7681</v>
      </c>
    </row>
    <row r="2335" spans="1:3">
      <c r="A2335" s="177">
        <v>951700345</v>
      </c>
      <c r="B2335" s="116" t="str">
        <f t="shared" si="36"/>
        <v>95-951700345</v>
      </c>
      <c r="C2335" s="179" t="s">
        <v>7682</v>
      </c>
    </row>
    <row r="2336" spans="1:3">
      <c r="A2336" s="177">
        <v>951400129</v>
      </c>
      <c r="B2336" s="116" t="str">
        <f t="shared" si="36"/>
        <v>95-951400129</v>
      </c>
      <c r="C2336" s="179" t="s">
        <v>7164</v>
      </c>
    </row>
    <row r="2337" spans="1:3">
      <c r="A2337" s="177">
        <v>951900153</v>
      </c>
      <c r="B2337" s="116" t="str">
        <f t="shared" si="36"/>
        <v>95-951900153</v>
      </c>
      <c r="C2337" s="179" t="s">
        <v>7683</v>
      </c>
    </row>
    <row r="2338" spans="1:3">
      <c r="A2338" s="177">
        <v>951100067</v>
      </c>
      <c r="B2338" s="116" t="str">
        <f t="shared" si="36"/>
        <v>95-951100067</v>
      </c>
      <c r="C2338" s="179" t="s">
        <v>7364</v>
      </c>
    </row>
    <row r="2339" spans="1:3">
      <c r="A2339" s="177">
        <v>966200434</v>
      </c>
      <c r="B2339" s="116" t="str">
        <f t="shared" si="36"/>
        <v>96-966200434</v>
      </c>
      <c r="C2339" s="179" t="s">
        <v>12236</v>
      </c>
    </row>
    <row r="2340" spans="1:3">
      <c r="A2340" s="177">
        <v>951900012</v>
      </c>
      <c r="B2340" s="116" t="str">
        <f t="shared" si="36"/>
        <v>95-951900012</v>
      </c>
      <c r="C2340" s="179" t="s">
        <v>7620</v>
      </c>
    </row>
    <row r="2341" spans="1:3">
      <c r="A2341" s="177">
        <v>951700006</v>
      </c>
      <c r="B2341" s="116" t="str">
        <f t="shared" si="36"/>
        <v>95-951700006</v>
      </c>
      <c r="C2341" s="179" t="s">
        <v>7620</v>
      </c>
    </row>
    <row r="2342" spans="1:3">
      <c r="A2342" s="177">
        <v>951400017</v>
      </c>
      <c r="B2342" s="116" t="str">
        <f t="shared" si="36"/>
        <v>95-951400017</v>
      </c>
      <c r="C2342" s="179" t="s">
        <v>7621</v>
      </c>
    </row>
    <row r="2343" spans="1:3">
      <c r="A2343" s="177">
        <v>951700040</v>
      </c>
      <c r="B2343" s="116" t="str">
        <f t="shared" si="36"/>
        <v>95-951700040</v>
      </c>
      <c r="C2343" s="179" t="s">
        <v>7622</v>
      </c>
    </row>
    <row r="2344" spans="1:3">
      <c r="A2344" s="177">
        <v>951400032</v>
      </c>
      <c r="B2344" s="116" t="str">
        <f t="shared" si="36"/>
        <v>95-951400032</v>
      </c>
      <c r="C2344" s="179" t="s">
        <v>7508</v>
      </c>
    </row>
    <row r="2345" spans="1:3">
      <c r="A2345" s="177">
        <v>951700132</v>
      </c>
      <c r="B2345" s="116" t="str">
        <f t="shared" si="36"/>
        <v>95-951700132</v>
      </c>
      <c r="C2345" s="179" t="s">
        <v>7623</v>
      </c>
    </row>
    <row r="2346" spans="1:3">
      <c r="A2346" s="177">
        <v>951700282</v>
      </c>
      <c r="B2346" s="116" t="str">
        <f t="shared" si="36"/>
        <v>95-951700282</v>
      </c>
      <c r="C2346" s="179" t="s">
        <v>7624</v>
      </c>
    </row>
    <row r="2347" spans="1:3">
      <c r="A2347" s="177">
        <v>951400116</v>
      </c>
      <c r="B2347" s="116" t="str">
        <f t="shared" si="36"/>
        <v>95-951400116</v>
      </c>
      <c r="C2347" s="179" t="s">
        <v>7150</v>
      </c>
    </row>
    <row r="2348" spans="1:3">
      <c r="A2348" s="177">
        <v>961400006</v>
      </c>
      <c r="B2348" s="116" t="str">
        <f t="shared" si="36"/>
        <v>96-961400006</v>
      </c>
      <c r="C2348" s="179" t="s">
        <v>7625</v>
      </c>
    </row>
    <row r="2349" spans="1:3">
      <c r="A2349" s="177">
        <v>961700012</v>
      </c>
      <c r="B2349" s="116" t="str">
        <f t="shared" si="36"/>
        <v>96-961700012</v>
      </c>
      <c r="C2349" s="179" t="s">
        <v>7625</v>
      </c>
    </row>
    <row r="2350" spans="1:3">
      <c r="A2350" s="177">
        <v>951400185</v>
      </c>
      <c r="B2350" s="116" t="str">
        <f t="shared" si="36"/>
        <v>95-951400185</v>
      </c>
      <c r="C2350" s="179" t="s">
        <v>7514</v>
      </c>
    </row>
    <row r="2351" spans="1:3">
      <c r="A2351" s="177">
        <v>951400186</v>
      </c>
      <c r="B2351" s="116" t="str">
        <f t="shared" si="36"/>
        <v>95-951400186</v>
      </c>
      <c r="C2351" s="179" t="s">
        <v>7514</v>
      </c>
    </row>
    <row r="2352" spans="1:3">
      <c r="A2352" s="177">
        <v>961700059</v>
      </c>
      <c r="B2352" s="116" t="str">
        <f t="shared" si="36"/>
        <v>96-961700059</v>
      </c>
      <c r="C2352" s="179" t="s">
        <v>7705</v>
      </c>
    </row>
    <row r="2353" spans="1:3">
      <c r="A2353" s="177">
        <v>961600006</v>
      </c>
      <c r="B2353" s="116" t="str">
        <f t="shared" si="36"/>
        <v>96-961600006</v>
      </c>
      <c r="C2353" s="179" t="s">
        <v>7690</v>
      </c>
    </row>
    <row r="2354" spans="1:3">
      <c r="A2354" s="177">
        <v>951400091</v>
      </c>
      <c r="B2354" s="116" t="str">
        <f t="shared" si="36"/>
        <v>95-951400091</v>
      </c>
      <c r="C2354" s="179" t="s">
        <v>7165</v>
      </c>
    </row>
    <row r="2355" spans="1:3">
      <c r="A2355" s="177">
        <v>961900098</v>
      </c>
      <c r="B2355" s="116" t="str">
        <f t="shared" si="36"/>
        <v>96-961900098</v>
      </c>
      <c r="C2355" s="179" t="s">
        <v>7691</v>
      </c>
    </row>
    <row r="2356" spans="1:3">
      <c r="A2356" s="177">
        <v>961900173</v>
      </c>
      <c r="B2356" s="116" t="str">
        <f t="shared" si="36"/>
        <v>96-961900173</v>
      </c>
      <c r="C2356" s="179" t="s">
        <v>8735</v>
      </c>
    </row>
    <row r="2357" spans="1:3">
      <c r="A2357" s="177">
        <v>951000002</v>
      </c>
      <c r="B2357" s="116" t="str">
        <f t="shared" si="36"/>
        <v>95-951000002</v>
      </c>
      <c r="C2357" s="179" t="s">
        <v>7692</v>
      </c>
    </row>
    <row r="2358" spans="1:3">
      <c r="A2358" s="177">
        <v>951800082</v>
      </c>
      <c r="B2358" s="116" t="str">
        <f t="shared" si="36"/>
        <v>95-951800082</v>
      </c>
      <c r="C2358" s="179" t="s">
        <v>7619</v>
      </c>
    </row>
    <row r="2359" spans="1:3">
      <c r="A2359" s="177">
        <v>961800009</v>
      </c>
      <c r="B2359" s="116" t="str">
        <f t="shared" si="36"/>
        <v>96-961800009</v>
      </c>
      <c r="C2359" s="179" t="s">
        <v>7690</v>
      </c>
    </row>
    <row r="2360" spans="1:3">
      <c r="A2360" s="177">
        <v>951600054</v>
      </c>
      <c r="B2360" s="116" t="str">
        <f t="shared" si="36"/>
        <v>95-951600054</v>
      </c>
      <c r="C2360" s="179" t="s">
        <v>7693</v>
      </c>
    </row>
    <row r="2361" spans="1:3">
      <c r="A2361" s="177">
        <v>961700127</v>
      </c>
      <c r="B2361" s="116" t="str">
        <f t="shared" si="36"/>
        <v>96-961700127</v>
      </c>
      <c r="C2361" s="179" t="s">
        <v>7163</v>
      </c>
    </row>
    <row r="2362" spans="1:3">
      <c r="A2362" s="177">
        <v>951700008</v>
      </c>
      <c r="B2362" s="116" t="str">
        <f t="shared" si="36"/>
        <v>95-951700008</v>
      </c>
      <c r="C2362" s="179" t="s">
        <v>7517</v>
      </c>
    </row>
    <row r="2363" spans="1:3">
      <c r="A2363" s="177">
        <v>951400012</v>
      </c>
      <c r="B2363" s="116" t="str">
        <f t="shared" si="36"/>
        <v>95-951400012</v>
      </c>
      <c r="C2363" s="179" t="s">
        <v>7517</v>
      </c>
    </row>
    <row r="2364" spans="1:3">
      <c r="A2364" s="177">
        <v>951700010</v>
      </c>
      <c r="B2364" s="116" t="str">
        <f t="shared" si="36"/>
        <v>95-951700010</v>
      </c>
      <c r="C2364" s="179" t="s">
        <v>7517</v>
      </c>
    </row>
    <row r="2365" spans="1:3">
      <c r="A2365" s="177">
        <v>951700090</v>
      </c>
      <c r="B2365" s="116" t="str">
        <f t="shared" si="36"/>
        <v>95-951700090</v>
      </c>
      <c r="C2365" s="179" t="s">
        <v>7633</v>
      </c>
    </row>
    <row r="2366" spans="1:3">
      <c r="A2366" s="177">
        <v>951700119</v>
      </c>
      <c r="B2366" s="116" t="str">
        <f t="shared" si="36"/>
        <v>95-951700119</v>
      </c>
      <c r="C2366" s="179" t="s">
        <v>7525</v>
      </c>
    </row>
    <row r="2367" spans="1:3">
      <c r="A2367" s="177">
        <v>951700124</v>
      </c>
      <c r="B2367" s="116" t="str">
        <f t="shared" si="36"/>
        <v>95-951700124</v>
      </c>
      <c r="C2367" s="179" t="s">
        <v>7525</v>
      </c>
    </row>
    <row r="2368" spans="1:3">
      <c r="A2368" s="177">
        <v>961100102</v>
      </c>
      <c r="B2368" s="116" t="str">
        <f t="shared" si="36"/>
        <v>96-961100102</v>
      </c>
      <c r="C2368" s="179" t="s">
        <v>12268</v>
      </c>
    </row>
    <row r="2369" spans="1:3">
      <c r="A2369" s="177">
        <v>951600074</v>
      </c>
      <c r="B2369" s="116" t="str">
        <f t="shared" si="36"/>
        <v>95-951600074</v>
      </c>
      <c r="C2369" s="179" t="s">
        <v>7694</v>
      </c>
    </row>
    <row r="2370" spans="1:3">
      <c r="A2370" s="177">
        <v>951400114</v>
      </c>
      <c r="B2370" s="116" t="str">
        <f t="shared" si="36"/>
        <v>95-951400114</v>
      </c>
      <c r="C2370" s="179" t="s">
        <v>7695</v>
      </c>
    </row>
    <row r="2371" spans="1:3">
      <c r="A2371" s="177">
        <v>951400124</v>
      </c>
      <c r="B2371" s="116" t="str">
        <f t="shared" ref="B2371:B2434" si="37">MID(A2371,1,2)&amp;"-"&amp;A2371</f>
        <v>95-951400124</v>
      </c>
      <c r="C2371" s="179" t="s">
        <v>7587</v>
      </c>
    </row>
    <row r="2372" spans="1:3">
      <c r="A2372" s="177">
        <v>961700057</v>
      </c>
      <c r="B2372" s="116" t="str">
        <f t="shared" si="37"/>
        <v>96-961700057</v>
      </c>
      <c r="C2372" s="179" t="s">
        <v>7706</v>
      </c>
    </row>
    <row r="2373" spans="1:3">
      <c r="A2373" s="177">
        <v>966200225</v>
      </c>
      <c r="B2373" s="116" t="str">
        <f t="shared" si="37"/>
        <v>96-966200225</v>
      </c>
      <c r="C2373" s="179" t="s">
        <v>7707</v>
      </c>
    </row>
    <row r="2374" spans="1:3">
      <c r="A2374" s="177">
        <v>966200307</v>
      </c>
      <c r="B2374" s="116" t="str">
        <f t="shared" si="37"/>
        <v>96-966200307</v>
      </c>
      <c r="C2374" s="179" t="s">
        <v>8736</v>
      </c>
    </row>
    <row r="2375" spans="1:3">
      <c r="A2375" s="177">
        <v>951700154</v>
      </c>
      <c r="B2375" s="116" t="str">
        <f t="shared" si="37"/>
        <v>95-951700154</v>
      </c>
      <c r="C2375" s="179" t="s">
        <v>7639</v>
      </c>
    </row>
    <row r="2376" spans="1:3">
      <c r="A2376" s="177">
        <v>951700178</v>
      </c>
      <c r="B2376" s="116" t="str">
        <f t="shared" si="37"/>
        <v>95-951700178</v>
      </c>
      <c r="C2376" s="179" t="s">
        <v>7528</v>
      </c>
    </row>
    <row r="2377" spans="1:3">
      <c r="A2377" s="177">
        <v>951700187</v>
      </c>
      <c r="B2377" s="116" t="str">
        <f t="shared" si="37"/>
        <v>95-951700187</v>
      </c>
      <c r="C2377" s="179" t="s">
        <v>7528</v>
      </c>
    </row>
    <row r="2378" spans="1:3">
      <c r="A2378" s="177">
        <v>951700194</v>
      </c>
      <c r="B2378" s="116" t="str">
        <f t="shared" si="37"/>
        <v>95-951700194</v>
      </c>
      <c r="C2378" s="179" t="s">
        <v>7640</v>
      </c>
    </row>
    <row r="2379" spans="1:3">
      <c r="A2379" s="177">
        <v>951700192</v>
      </c>
      <c r="B2379" s="116" t="str">
        <f t="shared" si="37"/>
        <v>95-951700192</v>
      </c>
      <c r="C2379" s="179" t="s">
        <v>7528</v>
      </c>
    </row>
    <row r="2380" spans="1:3">
      <c r="A2380" s="177">
        <v>951700253</v>
      </c>
      <c r="B2380" s="116" t="str">
        <f t="shared" si="37"/>
        <v>95-951700253</v>
      </c>
      <c r="C2380" s="179" t="s">
        <v>7153</v>
      </c>
    </row>
    <row r="2381" spans="1:3">
      <c r="A2381" s="177">
        <v>961700063</v>
      </c>
      <c r="B2381" s="116" t="str">
        <f t="shared" si="37"/>
        <v>96-961700063</v>
      </c>
      <c r="C2381" s="179" t="s">
        <v>7529</v>
      </c>
    </row>
    <row r="2382" spans="1:3">
      <c r="A2382" s="177">
        <v>951900005</v>
      </c>
      <c r="B2382" s="116" t="str">
        <f t="shared" si="37"/>
        <v>95-951900005</v>
      </c>
      <c r="C2382" s="179" t="s">
        <v>7641</v>
      </c>
    </row>
    <row r="2383" spans="1:3">
      <c r="A2383" s="177">
        <v>956200398</v>
      </c>
      <c r="B2383" s="116" t="str">
        <f t="shared" si="37"/>
        <v>95-956200398</v>
      </c>
      <c r="C2383" s="179" t="s">
        <v>7269</v>
      </c>
    </row>
    <row r="2384" spans="1:3">
      <c r="A2384" s="177">
        <v>966200286</v>
      </c>
      <c r="B2384" s="116" t="str">
        <f t="shared" si="37"/>
        <v>96-966200286</v>
      </c>
      <c r="C2384" s="179" t="s">
        <v>7210</v>
      </c>
    </row>
    <row r="2385" spans="1:3">
      <c r="A2385" s="177">
        <v>951300028</v>
      </c>
      <c r="B2385" s="116" t="str">
        <f t="shared" si="37"/>
        <v>95-951300028</v>
      </c>
      <c r="C2385" s="179" t="s">
        <v>7708</v>
      </c>
    </row>
    <row r="2386" spans="1:3">
      <c r="A2386" s="177">
        <v>966200070</v>
      </c>
      <c r="B2386" s="116" t="str">
        <f t="shared" si="37"/>
        <v>96-966200070</v>
      </c>
      <c r="C2386" s="179" t="s">
        <v>7709</v>
      </c>
    </row>
    <row r="2387" spans="1:3">
      <c r="A2387" s="177">
        <v>966200250</v>
      </c>
      <c r="B2387" s="116" t="str">
        <f t="shared" si="37"/>
        <v>96-966200250</v>
      </c>
      <c r="C2387" s="179" t="s">
        <v>7715</v>
      </c>
    </row>
    <row r="2388" spans="1:3">
      <c r="A2388" s="177">
        <v>966200272</v>
      </c>
      <c r="B2388" s="116" t="str">
        <f t="shared" si="37"/>
        <v>96-966200272</v>
      </c>
      <c r="C2388" s="179" t="s">
        <v>7167</v>
      </c>
    </row>
    <row r="2389" spans="1:3">
      <c r="A2389" s="177">
        <v>966200167</v>
      </c>
      <c r="B2389" s="116" t="str">
        <f t="shared" si="37"/>
        <v>96-966200167</v>
      </c>
      <c r="C2389" s="179" t="s">
        <v>7716</v>
      </c>
    </row>
    <row r="2390" spans="1:3">
      <c r="A2390" s="177">
        <v>961700054</v>
      </c>
      <c r="B2390" s="116" t="str">
        <f t="shared" si="37"/>
        <v>96-961700054</v>
      </c>
      <c r="C2390" s="179" t="s">
        <v>7717</v>
      </c>
    </row>
    <row r="2391" spans="1:3">
      <c r="A2391" s="177">
        <v>951700167</v>
      </c>
      <c r="B2391" s="116" t="str">
        <f t="shared" si="37"/>
        <v>95-951700167</v>
      </c>
      <c r="C2391" s="179" t="s">
        <v>7718</v>
      </c>
    </row>
    <row r="2392" spans="1:3">
      <c r="A2392" s="177">
        <v>966200071</v>
      </c>
      <c r="B2392" s="116" t="str">
        <f t="shared" si="37"/>
        <v>96-966200071</v>
      </c>
      <c r="C2392" s="179" t="s">
        <v>7709</v>
      </c>
    </row>
    <row r="2393" spans="1:3">
      <c r="A2393" s="177">
        <v>951600005</v>
      </c>
      <c r="B2393" s="116" t="str">
        <f t="shared" si="37"/>
        <v>95-951600005</v>
      </c>
      <c r="C2393" s="179" t="s">
        <v>7650</v>
      </c>
    </row>
    <row r="2394" spans="1:3">
      <c r="A2394" s="177">
        <v>951400098</v>
      </c>
      <c r="B2394" s="116" t="str">
        <f t="shared" si="37"/>
        <v>95-951400098</v>
      </c>
      <c r="C2394" s="179" t="s">
        <v>7533</v>
      </c>
    </row>
    <row r="2395" spans="1:3">
      <c r="A2395" s="177">
        <v>951400154</v>
      </c>
      <c r="B2395" s="116" t="str">
        <f t="shared" si="37"/>
        <v>95-951400154</v>
      </c>
      <c r="C2395" s="179" t="s">
        <v>7535</v>
      </c>
    </row>
    <row r="2396" spans="1:3">
      <c r="A2396" s="177">
        <v>951400157</v>
      </c>
      <c r="B2396" s="116" t="str">
        <f t="shared" si="37"/>
        <v>95-951400157</v>
      </c>
      <c r="C2396" s="179" t="s">
        <v>7535</v>
      </c>
    </row>
    <row r="2397" spans="1:3">
      <c r="A2397" s="177">
        <v>951400165</v>
      </c>
      <c r="B2397" s="116" t="str">
        <f t="shared" si="37"/>
        <v>95-951400165</v>
      </c>
      <c r="C2397" s="179" t="s">
        <v>7535</v>
      </c>
    </row>
    <row r="2398" spans="1:3">
      <c r="A2398" s="177">
        <v>951700126</v>
      </c>
      <c r="B2398" s="116" t="str">
        <f t="shared" si="37"/>
        <v>95-951700126</v>
      </c>
      <c r="C2398" s="179" t="s">
        <v>7537</v>
      </c>
    </row>
    <row r="2399" spans="1:3">
      <c r="A2399" s="177">
        <v>951700263</v>
      </c>
      <c r="B2399" s="116" t="str">
        <f t="shared" si="37"/>
        <v>95-951700263</v>
      </c>
      <c r="C2399" s="179" t="s">
        <v>7539</v>
      </c>
    </row>
    <row r="2400" spans="1:3">
      <c r="A2400" s="177">
        <v>951700271</v>
      </c>
      <c r="B2400" s="116" t="str">
        <f t="shared" si="37"/>
        <v>95-951700271</v>
      </c>
      <c r="C2400" s="179" t="s">
        <v>7651</v>
      </c>
    </row>
    <row r="2401" spans="1:3">
      <c r="A2401" s="177">
        <v>951700284</v>
      </c>
      <c r="B2401" s="116" t="str">
        <f t="shared" si="37"/>
        <v>95-951700284</v>
      </c>
      <c r="C2401" s="179" t="s">
        <v>7204</v>
      </c>
    </row>
    <row r="2402" spans="1:3">
      <c r="A2402" s="177">
        <v>951100137</v>
      </c>
      <c r="B2402" s="116" t="str">
        <f t="shared" si="37"/>
        <v>95-951100137</v>
      </c>
      <c r="C2402" s="179" t="s">
        <v>7930</v>
      </c>
    </row>
    <row r="2403" spans="1:3">
      <c r="A2403" s="177">
        <v>951100170</v>
      </c>
      <c r="B2403" s="116" t="str">
        <f t="shared" si="37"/>
        <v>95-951100170</v>
      </c>
      <c r="C2403" s="179" t="s">
        <v>7931</v>
      </c>
    </row>
    <row r="2404" spans="1:3">
      <c r="A2404" s="177">
        <v>951600040</v>
      </c>
      <c r="B2404" s="116" t="str">
        <f t="shared" si="37"/>
        <v>95-951600040</v>
      </c>
      <c r="C2404" s="179" t="s">
        <v>7719</v>
      </c>
    </row>
    <row r="2405" spans="1:3">
      <c r="A2405" s="177">
        <v>951600038</v>
      </c>
      <c r="B2405" s="116" t="str">
        <f t="shared" si="37"/>
        <v>95-951600038</v>
      </c>
      <c r="C2405" s="179" t="s">
        <v>7720</v>
      </c>
    </row>
    <row r="2406" spans="1:3">
      <c r="A2406" s="177">
        <v>951600011</v>
      </c>
      <c r="B2406" s="116" t="str">
        <f t="shared" si="37"/>
        <v>95-951600011</v>
      </c>
      <c r="C2406" s="179" t="s">
        <v>7721</v>
      </c>
    </row>
    <row r="2407" spans="1:3">
      <c r="A2407" s="177">
        <v>951900128</v>
      </c>
      <c r="B2407" s="116" t="str">
        <f t="shared" si="37"/>
        <v>95-951900128</v>
      </c>
      <c r="C2407" s="179" t="s">
        <v>7722</v>
      </c>
    </row>
    <row r="2408" spans="1:3">
      <c r="A2408" s="177">
        <v>956200437</v>
      </c>
      <c r="B2408" s="116" t="str">
        <f t="shared" si="37"/>
        <v>95-956200437</v>
      </c>
      <c r="C2408" s="179" t="s">
        <v>7723</v>
      </c>
    </row>
    <row r="2409" spans="1:3">
      <c r="A2409" s="177">
        <v>966200314</v>
      </c>
      <c r="B2409" s="116" t="str">
        <f t="shared" si="37"/>
        <v>96-966200314</v>
      </c>
      <c r="C2409" s="179" t="s">
        <v>8712</v>
      </c>
    </row>
    <row r="2410" spans="1:3">
      <c r="A2410" s="177">
        <v>966200517</v>
      </c>
      <c r="B2410" s="116" t="str">
        <f t="shared" si="37"/>
        <v>96-966200517</v>
      </c>
      <c r="C2410" s="179" t="s">
        <v>12418</v>
      </c>
    </row>
    <row r="2411" spans="1:3">
      <c r="A2411" s="177">
        <v>966200269</v>
      </c>
      <c r="B2411" s="116" t="str">
        <f t="shared" si="37"/>
        <v>96-966200269</v>
      </c>
      <c r="C2411" s="179" t="s">
        <v>7730</v>
      </c>
    </row>
    <row r="2412" spans="1:3">
      <c r="A2412" s="177">
        <v>966200521</v>
      </c>
      <c r="B2412" s="116" t="str">
        <f t="shared" si="37"/>
        <v>96-966200521</v>
      </c>
      <c r="C2412" s="179" t="s">
        <v>12418</v>
      </c>
    </row>
    <row r="2413" spans="1:3">
      <c r="A2413" s="177">
        <v>966200266</v>
      </c>
      <c r="B2413" s="116" t="str">
        <f t="shared" si="37"/>
        <v>96-966200266</v>
      </c>
      <c r="C2413" s="179" t="s">
        <v>7208</v>
      </c>
    </row>
    <row r="2414" spans="1:3">
      <c r="A2414" s="177">
        <v>966200289</v>
      </c>
      <c r="B2414" s="116" t="str">
        <f t="shared" si="37"/>
        <v>96-966200289</v>
      </c>
      <c r="C2414" s="179" t="s">
        <v>7210</v>
      </c>
    </row>
    <row r="2415" spans="1:3">
      <c r="A2415" s="177">
        <v>961900112</v>
      </c>
      <c r="B2415" s="116" t="str">
        <f t="shared" si="37"/>
        <v>96-961900112</v>
      </c>
      <c r="C2415" s="179" t="s">
        <v>7731</v>
      </c>
    </row>
    <row r="2416" spans="1:3">
      <c r="A2416" s="177">
        <v>961700008</v>
      </c>
      <c r="B2416" s="116" t="str">
        <f t="shared" si="37"/>
        <v>96-961700008</v>
      </c>
      <c r="C2416" s="179" t="s">
        <v>7540</v>
      </c>
    </row>
    <row r="2417" spans="1:3">
      <c r="A2417" s="177">
        <v>961700021</v>
      </c>
      <c r="B2417" s="116" t="str">
        <f t="shared" si="37"/>
        <v>96-961700021</v>
      </c>
      <c r="C2417" s="179" t="s">
        <v>7541</v>
      </c>
    </row>
    <row r="2418" spans="1:3">
      <c r="A2418" s="177">
        <v>951900225</v>
      </c>
      <c r="B2418" s="116" t="str">
        <f t="shared" si="37"/>
        <v>95-951900225</v>
      </c>
      <c r="C2418" s="179" t="s">
        <v>7657</v>
      </c>
    </row>
    <row r="2419" spans="1:3">
      <c r="A2419" s="177">
        <v>951800078</v>
      </c>
      <c r="B2419" s="116" t="str">
        <f t="shared" si="37"/>
        <v>95-951800078</v>
      </c>
      <c r="C2419" s="179" t="s">
        <v>7658</v>
      </c>
    </row>
    <row r="2420" spans="1:3">
      <c r="A2420" s="177">
        <v>951800074</v>
      </c>
      <c r="B2420" s="116" t="str">
        <f t="shared" si="37"/>
        <v>95-951800074</v>
      </c>
      <c r="C2420" s="179" t="s">
        <v>7659</v>
      </c>
    </row>
    <row r="2421" spans="1:3">
      <c r="A2421" s="177">
        <v>961900171</v>
      </c>
      <c r="B2421" s="116" t="str">
        <f t="shared" si="37"/>
        <v>96-961900171</v>
      </c>
      <c r="C2421" s="179" t="s">
        <v>7181</v>
      </c>
    </row>
    <row r="2422" spans="1:3">
      <c r="A2422" s="177">
        <v>951900124</v>
      </c>
      <c r="B2422" s="116" t="str">
        <f t="shared" si="37"/>
        <v>95-951900124</v>
      </c>
      <c r="C2422" s="179" t="s">
        <v>7660</v>
      </c>
    </row>
    <row r="2423" spans="1:3">
      <c r="A2423" s="177">
        <v>951100164</v>
      </c>
      <c r="B2423" s="116" t="str">
        <f t="shared" si="37"/>
        <v>95-951100164</v>
      </c>
      <c r="C2423" s="179" t="s">
        <v>7950</v>
      </c>
    </row>
    <row r="2424" spans="1:3">
      <c r="A2424" s="177">
        <v>956200261</v>
      </c>
      <c r="B2424" s="116" t="str">
        <f t="shared" si="37"/>
        <v>95-956200261</v>
      </c>
      <c r="C2424" s="179" t="s">
        <v>7347</v>
      </c>
    </row>
    <row r="2425" spans="1:3">
      <c r="A2425" s="177">
        <v>951700342</v>
      </c>
      <c r="B2425" s="116" t="str">
        <f t="shared" si="37"/>
        <v>95-951700342</v>
      </c>
      <c r="C2425" s="179" t="s">
        <v>7732</v>
      </c>
    </row>
    <row r="2426" spans="1:3">
      <c r="A2426" s="177">
        <v>951900087</v>
      </c>
      <c r="B2426" s="116" t="str">
        <f t="shared" si="37"/>
        <v>95-951900087</v>
      </c>
      <c r="C2426" s="179" t="s">
        <v>7733</v>
      </c>
    </row>
    <row r="2427" spans="1:3">
      <c r="A2427" s="177">
        <v>951900146</v>
      </c>
      <c r="B2427" s="116" t="str">
        <f t="shared" si="37"/>
        <v>95-951900146</v>
      </c>
      <c r="C2427" s="179" t="s">
        <v>7734</v>
      </c>
    </row>
    <row r="2428" spans="1:3">
      <c r="A2428" s="177">
        <v>961700096</v>
      </c>
      <c r="B2428" s="116" t="str">
        <f t="shared" si="37"/>
        <v>96-961700096</v>
      </c>
      <c r="C2428" s="179" t="s">
        <v>7735</v>
      </c>
    </row>
    <row r="2429" spans="1:3">
      <c r="A2429" s="177">
        <v>966000022</v>
      </c>
      <c r="B2429" s="116" t="str">
        <f t="shared" si="37"/>
        <v>96-966000022</v>
      </c>
      <c r="C2429" s="179" t="s">
        <v>7146</v>
      </c>
    </row>
    <row r="2430" spans="1:3">
      <c r="A2430" s="177">
        <v>951200069</v>
      </c>
      <c r="B2430" s="116" t="str">
        <f t="shared" si="37"/>
        <v>95-951200069</v>
      </c>
      <c r="C2430" s="179" t="s">
        <v>7866</v>
      </c>
    </row>
    <row r="2431" spans="1:3">
      <c r="A2431" s="177">
        <v>951200082</v>
      </c>
      <c r="B2431" s="116" t="str">
        <f t="shared" si="37"/>
        <v>95-951200082</v>
      </c>
      <c r="C2431" s="179" t="s">
        <v>7511</v>
      </c>
    </row>
    <row r="2432" spans="1:3">
      <c r="A2432" s="177">
        <v>952200014</v>
      </c>
      <c r="B2432" s="116" t="str">
        <f t="shared" si="37"/>
        <v>95-952200014</v>
      </c>
      <c r="C2432" s="179" t="s">
        <v>7172</v>
      </c>
    </row>
    <row r="2433" spans="1:3">
      <c r="A2433" s="177">
        <v>962200013</v>
      </c>
      <c r="B2433" s="116" t="str">
        <f t="shared" si="37"/>
        <v>96-962200013</v>
      </c>
      <c r="C2433" s="179" t="s">
        <v>7229</v>
      </c>
    </row>
    <row r="2434" spans="1:3">
      <c r="A2434" s="177">
        <v>962200037</v>
      </c>
      <c r="B2434" s="116" t="str">
        <f t="shared" si="37"/>
        <v>96-962200037</v>
      </c>
      <c r="C2434" s="179" t="s">
        <v>7173</v>
      </c>
    </row>
    <row r="2435" spans="1:3">
      <c r="A2435" s="177">
        <v>951200027</v>
      </c>
      <c r="B2435" s="116" t="str">
        <f t="shared" ref="B2435:B2498" si="38">MID(A2435,1,2)&amp;"-"&amp;A2435</f>
        <v>95-951200027</v>
      </c>
      <c r="C2435" s="179" t="s">
        <v>7172</v>
      </c>
    </row>
    <row r="2436" spans="1:3">
      <c r="A2436" s="177">
        <v>951600013</v>
      </c>
      <c r="B2436" s="116" t="str">
        <f t="shared" si="38"/>
        <v>95-951600013</v>
      </c>
      <c r="C2436" s="179" t="s">
        <v>7671</v>
      </c>
    </row>
    <row r="2437" spans="1:3">
      <c r="A2437" s="177">
        <v>951600065</v>
      </c>
      <c r="B2437" s="116" t="str">
        <f t="shared" si="38"/>
        <v>95-951600065</v>
      </c>
      <c r="C2437" s="179" t="s">
        <v>7545</v>
      </c>
    </row>
    <row r="2438" spans="1:3">
      <c r="A2438" s="177">
        <v>951800099</v>
      </c>
      <c r="B2438" s="116" t="str">
        <f t="shared" si="38"/>
        <v>95-951800099</v>
      </c>
      <c r="C2438" s="179" t="s">
        <v>7672</v>
      </c>
    </row>
    <row r="2439" spans="1:3">
      <c r="A2439" s="177">
        <v>951700094</v>
      </c>
      <c r="B2439" s="116" t="str">
        <f t="shared" si="38"/>
        <v>95-951700094</v>
      </c>
      <c r="C2439" s="179" t="s">
        <v>7673</v>
      </c>
    </row>
    <row r="2440" spans="1:3">
      <c r="A2440" s="177">
        <v>951700209</v>
      </c>
      <c r="B2440" s="116" t="str">
        <f t="shared" si="38"/>
        <v>95-951700209</v>
      </c>
      <c r="C2440" s="179" t="s">
        <v>7674</v>
      </c>
    </row>
    <row r="2441" spans="1:3">
      <c r="A2441" s="177">
        <v>952000041</v>
      </c>
      <c r="B2441" s="116" t="str">
        <f t="shared" si="38"/>
        <v>95-952000041</v>
      </c>
      <c r="C2441" s="179" t="s">
        <v>7331</v>
      </c>
    </row>
    <row r="2442" spans="1:3">
      <c r="A2442" s="177">
        <v>952000183</v>
      </c>
      <c r="B2442" s="116" t="str">
        <f t="shared" si="38"/>
        <v>95-952000183</v>
      </c>
      <c r="C2442" s="179" t="s">
        <v>7392</v>
      </c>
    </row>
    <row r="2443" spans="1:3">
      <c r="A2443" s="177">
        <v>962000132</v>
      </c>
      <c r="B2443" s="116" t="str">
        <f t="shared" si="38"/>
        <v>96-962000132</v>
      </c>
      <c r="C2443" s="179" t="s">
        <v>7112</v>
      </c>
    </row>
    <row r="2444" spans="1:3">
      <c r="A2444" s="177">
        <v>951200029</v>
      </c>
      <c r="B2444" s="116" t="str">
        <f t="shared" si="38"/>
        <v>95-951200029</v>
      </c>
      <c r="C2444" s="179" t="s">
        <v>7172</v>
      </c>
    </row>
    <row r="2445" spans="1:3">
      <c r="A2445" s="177">
        <v>951200065</v>
      </c>
      <c r="B2445" s="116" t="str">
        <f t="shared" si="38"/>
        <v>95-951200065</v>
      </c>
      <c r="C2445" s="179" t="s">
        <v>7235</v>
      </c>
    </row>
    <row r="2446" spans="1:3">
      <c r="A2446" s="177">
        <v>951200072</v>
      </c>
      <c r="B2446" s="116" t="str">
        <f t="shared" si="38"/>
        <v>95-951200072</v>
      </c>
      <c r="C2446" s="179" t="s">
        <v>7226</v>
      </c>
    </row>
    <row r="2447" spans="1:3">
      <c r="A2447" s="177">
        <v>951200077</v>
      </c>
      <c r="B2447" s="116" t="str">
        <f t="shared" si="38"/>
        <v>95-951200077</v>
      </c>
      <c r="C2447" s="179" t="s">
        <v>7243</v>
      </c>
    </row>
    <row r="2448" spans="1:3">
      <c r="A2448" s="177">
        <v>952200084</v>
      </c>
      <c r="B2448" s="116" t="str">
        <f t="shared" si="38"/>
        <v>95-952200084</v>
      </c>
      <c r="C2448" s="179" t="s">
        <v>7239</v>
      </c>
    </row>
    <row r="2449" spans="1:3">
      <c r="A2449" s="177">
        <v>952500057</v>
      </c>
      <c r="B2449" s="116" t="str">
        <f t="shared" si="38"/>
        <v>95-952500057</v>
      </c>
      <c r="C2449" s="179" t="s">
        <v>5697</v>
      </c>
    </row>
    <row r="2450" spans="1:3">
      <c r="A2450" s="177">
        <v>951900022</v>
      </c>
      <c r="B2450" s="116" t="str">
        <f t="shared" si="38"/>
        <v>95-951900022</v>
      </c>
      <c r="C2450" s="179" t="s">
        <v>7675</v>
      </c>
    </row>
    <row r="2451" spans="1:3">
      <c r="A2451" s="177">
        <v>951100084</v>
      </c>
      <c r="B2451" s="116" t="str">
        <f t="shared" si="38"/>
        <v>95-951100084</v>
      </c>
      <c r="C2451" s="179" t="s">
        <v>7684</v>
      </c>
    </row>
    <row r="2452" spans="1:3">
      <c r="A2452" s="177">
        <v>951100142</v>
      </c>
      <c r="B2452" s="116" t="str">
        <f t="shared" si="38"/>
        <v>95-951100142</v>
      </c>
      <c r="C2452" s="179" t="s">
        <v>7685</v>
      </c>
    </row>
    <row r="2453" spans="1:3">
      <c r="A2453" s="177">
        <v>951900109</v>
      </c>
      <c r="B2453" s="116" t="str">
        <f t="shared" si="38"/>
        <v>95-951900109</v>
      </c>
      <c r="C2453" s="179" t="s">
        <v>7686</v>
      </c>
    </row>
    <row r="2454" spans="1:3">
      <c r="A2454" s="177">
        <v>951100179</v>
      </c>
      <c r="B2454" s="116" t="str">
        <f t="shared" si="38"/>
        <v>95-951100179</v>
      </c>
      <c r="C2454" s="179" t="s">
        <v>7687</v>
      </c>
    </row>
    <row r="2455" spans="1:3">
      <c r="A2455" s="177">
        <v>962000311</v>
      </c>
      <c r="B2455" s="116" t="str">
        <f t="shared" si="38"/>
        <v>96-962000311</v>
      </c>
      <c r="C2455" s="179" t="s">
        <v>7112</v>
      </c>
    </row>
    <row r="2456" spans="1:3">
      <c r="A2456" s="177">
        <v>962200016</v>
      </c>
      <c r="B2456" s="116" t="str">
        <f t="shared" si="38"/>
        <v>96-962200016</v>
      </c>
      <c r="C2456" s="179" t="s">
        <v>7229</v>
      </c>
    </row>
    <row r="2457" spans="1:3">
      <c r="A2457" s="177">
        <v>962200038</v>
      </c>
      <c r="B2457" s="116" t="str">
        <f t="shared" si="38"/>
        <v>96-962200038</v>
      </c>
      <c r="C2457" s="179" t="s">
        <v>7173</v>
      </c>
    </row>
    <row r="2458" spans="1:3">
      <c r="A2458" s="177">
        <v>962200068</v>
      </c>
      <c r="B2458" s="116" t="str">
        <f t="shared" si="38"/>
        <v>96-962200068</v>
      </c>
      <c r="C2458" s="179" t="s">
        <v>7125</v>
      </c>
    </row>
    <row r="2459" spans="1:3">
      <c r="A2459" s="177">
        <v>962500050</v>
      </c>
      <c r="B2459" s="116" t="str">
        <f t="shared" si="38"/>
        <v>96-962500050</v>
      </c>
      <c r="C2459" s="179" t="s">
        <v>5814</v>
      </c>
    </row>
    <row r="2460" spans="1:3">
      <c r="A2460" s="177">
        <v>962500065</v>
      </c>
      <c r="B2460" s="116" t="str">
        <f t="shared" si="38"/>
        <v>96-962500065</v>
      </c>
      <c r="C2460" s="179" t="s">
        <v>5841</v>
      </c>
    </row>
    <row r="2461" spans="1:3">
      <c r="A2461" s="177">
        <v>951800120</v>
      </c>
      <c r="B2461" s="116" t="str">
        <f t="shared" si="38"/>
        <v>95-951800120</v>
      </c>
      <c r="C2461" s="179" t="s">
        <v>7688</v>
      </c>
    </row>
    <row r="2462" spans="1:3">
      <c r="A2462" s="177">
        <v>961800061</v>
      </c>
      <c r="B2462" s="116" t="str">
        <f t="shared" si="38"/>
        <v>96-961800061</v>
      </c>
      <c r="C2462" s="179" t="s">
        <v>7139</v>
      </c>
    </row>
    <row r="2463" spans="1:3">
      <c r="A2463" s="177">
        <v>961900172</v>
      </c>
      <c r="B2463" s="116" t="str">
        <f t="shared" si="38"/>
        <v>96-961900172</v>
      </c>
      <c r="C2463" s="179" t="s">
        <v>8707</v>
      </c>
    </row>
    <row r="2464" spans="1:3">
      <c r="A2464" s="177">
        <v>962500110</v>
      </c>
      <c r="B2464" s="116" t="str">
        <f t="shared" si="38"/>
        <v>96-962500110</v>
      </c>
      <c r="C2464" s="179" t="s">
        <v>7211</v>
      </c>
    </row>
    <row r="2465" spans="1:3">
      <c r="A2465" s="177">
        <v>962500117</v>
      </c>
      <c r="B2465" s="116" t="str">
        <f t="shared" si="38"/>
        <v>96-962500117</v>
      </c>
      <c r="C2465" s="179" t="s">
        <v>7211</v>
      </c>
    </row>
    <row r="2466" spans="1:3">
      <c r="A2466" s="177">
        <v>962500168</v>
      </c>
      <c r="B2466" s="116" t="str">
        <f t="shared" si="38"/>
        <v>96-962500168</v>
      </c>
      <c r="C2466" s="179" t="s">
        <v>9761</v>
      </c>
    </row>
    <row r="2467" spans="1:3">
      <c r="A2467" s="177">
        <v>954200028</v>
      </c>
      <c r="B2467" s="116" t="str">
        <f t="shared" si="38"/>
        <v>95-954200028</v>
      </c>
      <c r="C2467" s="179" t="s">
        <v>5642</v>
      </c>
    </row>
    <row r="2468" spans="1:3">
      <c r="A2468" s="177">
        <v>956200180</v>
      </c>
      <c r="B2468" s="116" t="str">
        <f t="shared" si="38"/>
        <v>95-956200180</v>
      </c>
      <c r="C2468" s="179" t="s">
        <v>7369</v>
      </c>
    </row>
    <row r="2469" spans="1:3">
      <c r="A2469" s="177">
        <v>951400104</v>
      </c>
      <c r="B2469" s="116" t="str">
        <f t="shared" si="38"/>
        <v>95-951400104</v>
      </c>
      <c r="C2469" s="179" t="s">
        <v>7711</v>
      </c>
    </row>
    <row r="2470" spans="1:3">
      <c r="A2470" s="177">
        <v>951800027</v>
      </c>
      <c r="B2470" s="116" t="str">
        <f t="shared" si="38"/>
        <v>95-951800027</v>
      </c>
      <c r="C2470" s="179" t="s">
        <v>7712</v>
      </c>
    </row>
    <row r="2471" spans="1:3">
      <c r="A2471" s="177">
        <v>961900094</v>
      </c>
      <c r="B2471" s="116" t="str">
        <f t="shared" si="38"/>
        <v>96-961900094</v>
      </c>
      <c r="C2471" s="179" t="s">
        <v>7713</v>
      </c>
    </row>
    <row r="2472" spans="1:3">
      <c r="A2472" s="177">
        <v>951700362</v>
      </c>
      <c r="B2472" s="116" t="str">
        <f t="shared" si="38"/>
        <v>95-951700362</v>
      </c>
      <c r="C2472" s="179" t="s">
        <v>7714</v>
      </c>
    </row>
    <row r="2473" spans="1:3">
      <c r="A2473" s="177">
        <v>951400062</v>
      </c>
      <c r="B2473" s="116" t="str">
        <f t="shared" si="38"/>
        <v>95-951400062</v>
      </c>
      <c r="C2473" s="179" t="s">
        <v>7725</v>
      </c>
    </row>
    <row r="2474" spans="1:3">
      <c r="A2474" s="177">
        <v>951800008</v>
      </c>
      <c r="B2474" s="116" t="str">
        <f t="shared" si="38"/>
        <v>95-951800008</v>
      </c>
      <c r="C2474" s="179" t="s">
        <v>7726</v>
      </c>
    </row>
    <row r="2475" spans="1:3">
      <c r="A2475" s="177">
        <v>951800016</v>
      </c>
      <c r="B2475" s="116" t="str">
        <f t="shared" si="38"/>
        <v>95-951800016</v>
      </c>
      <c r="C2475" s="179" t="s">
        <v>7727</v>
      </c>
    </row>
    <row r="2476" spans="1:3">
      <c r="A2476" s="177">
        <v>951800097</v>
      </c>
      <c r="B2476" s="116" t="str">
        <f t="shared" si="38"/>
        <v>95-951800097</v>
      </c>
      <c r="C2476" s="179" t="s">
        <v>7728</v>
      </c>
    </row>
    <row r="2477" spans="1:3">
      <c r="A2477" s="177">
        <v>951800094</v>
      </c>
      <c r="B2477" s="116" t="str">
        <f t="shared" si="38"/>
        <v>95-951800094</v>
      </c>
      <c r="C2477" s="179" t="s">
        <v>7729</v>
      </c>
    </row>
    <row r="2478" spans="1:3">
      <c r="A2478" s="177">
        <v>951100009</v>
      </c>
      <c r="B2478" s="116" t="str">
        <f t="shared" si="38"/>
        <v>95-951100009</v>
      </c>
      <c r="C2478" s="179" t="s">
        <v>7977</v>
      </c>
    </row>
    <row r="2479" spans="1:3">
      <c r="A2479" s="177">
        <v>951800095</v>
      </c>
      <c r="B2479" s="116" t="str">
        <f t="shared" si="38"/>
        <v>95-951800095</v>
      </c>
      <c r="C2479" s="179" t="s">
        <v>7140</v>
      </c>
    </row>
    <row r="2480" spans="1:3">
      <c r="A2480" s="177">
        <v>951600051</v>
      </c>
      <c r="B2480" s="116" t="str">
        <f t="shared" si="38"/>
        <v>95-951600051</v>
      </c>
      <c r="C2480" s="179" t="s">
        <v>7748</v>
      </c>
    </row>
    <row r="2481" spans="1:3">
      <c r="A2481" s="177">
        <v>951800002</v>
      </c>
      <c r="B2481" s="116" t="str">
        <f t="shared" si="38"/>
        <v>95-951800002</v>
      </c>
      <c r="C2481" s="179" t="s">
        <v>7749</v>
      </c>
    </row>
    <row r="2482" spans="1:3">
      <c r="A2482" s="177">
        <v>951400123</v>
      </c>
      <c r="B2482" s="116" t="str">
        <f t="shared" si="38"/>
        <v>95-951400123</v>
      </c>
      <c r="C2482" s="179" t="s">
        <v>7750</v>
      </c>
    </row>
    <row r="2483" spans="1:3">
      <c r="A2483" s="177">
        <v>951900033</v>
      </c>
      <c r="B2483" s="116" t="str">
        <f t="shared" si="38"/>
        <v>95-951900033</v>
      </c>
      <c r="C2483" s="179" t="s">
        <v>7712</v>
      </c>
    </row>
    <row r="2484" spans="1:3">
      <c r="A2484" s="177">
        <v>961900147</v>
      </c>
      <c r="B2484" s="116" t="str">
        <f t="shared" si="38"/>
        <v>96-961900147</v>
      </c>
      <c r="C2484" s="179" t="s">
        <v>7754</v>
      </c>
    </row>
    <row r="2485" spans="1:3">
      <c r="A2485" s="177">
        <v>966200083</v>
      </c>
      <c r="B2485" s="116" t="str">
        <f t="shared" si="38"/>
        <v>96-966200083</v>
      </c>
      <c r="C2485" s="179" t="s">
        <v>7448</v>
      </c>
    </row>
    <row r="2486" spans="1:3">
      <c r="A2486" s="177">
        <v>951900094</v>
      </c>
      <c r="B2486" s="116" t="str">
        <f t="shared" si="38"/>
        <v>95-951900094</v>
      </c>
      <c r="C2486" s="179" t="s">
        <v>7755</v>
      </c>
    </row>
    <row r="2487" spans="1:3">
      <c r="A2487" s="177">
        <v>951900211</v>
      </c>
      <c r="B2487" s="116" t="str">
        <f t="shared" si="38"/>
        <v>95-951900211</v>
      </c>
      <c r="C2487" s="179" t="s">
        <v>7760</v>
      </c>
    </row>
    <row r="2488" spans="1:3">
      <c r="A2488" s="177">
        <v>951900249</v>
      </c>
      <c r="B2488" s="116" t="str">
        <f t="shared" si="38"/>
        <v>95-951900249</v>
      </c>
      <c r="C2488" s="179" t="s">
        <v>7186</v>
      </c>
    </row>
    <row r="2489" spans="1:3">
      <c r="A2489" s="177">
        <v>951800028</v>
      </c>
      <c r="B2489" s="116" t="str">
        <f t="shared" si="38"/>
        <v>95-951800028</v>
      </c>
      <c r="C2489" s="179" t="s">
        <v>7765</v>
      </c>
    </row>
    <row r="2490" spans="1:3">
      <c r="A2490" s="177">
        <v>962000249</v>
      </c>
      <c r="B2490" s="116" t="str">
        <f t="shared" si="38"/>
        <v>96-962000249</v>
      </c>
      <c r="C2490" s="179" t="s">
        <v>7112</v>
      </c>
    </row>
    <row r="2491" spans="1:3">
      <c r="A2491" s="177">
        <v>956200108</v>
      </c>
      <c r="B2491" s="116" t="str">
        <f t="shared" si="38"/>
        <v>95-956200108</v>
      </c>
      <c r="C2491" s="179" t="s">
        <v>7984</v>
      </c>
    </row>
    <row r="2492" spans="1:3">
      <c r="A2492" s="177">
        <v>951400051</v>
      </c>
      <c r="B2492" s="116" t="str">
        <f t="shared" si="38"/>
        <v>95-951400051</v>
      </c>
      <c r="C2492" s="179" t="s">
        <v>7766</v>
      </c>
    </row>
    <row r="2493" spans="1:3">
      <c r="A2493" s="177">
        <v>951700195</v>
      </c>
      <c r="B2493" s="116" t="str">
        <f t="shared" si="38"/>
        <v>95-951700195</v>
      </c>
      <c r="C2493" s="179" t="s">
        <v>7601</v>
      </c>
    </row>
    <row r="2494" spans="1:3">
      <c r="A2494" s="177">
        <v>961900152</v>
      </c>
      <c r="B2494" s="116" t="str">
        <f t="shared" si="38"/>
        <v>96-961900152</v>
      </c>
      <c r="C2494" s="179" t="s">
        <v>7767</v>
      </c>
    </row>
    <row r="2495" spans="1:3">
      <c r="A2495" s="177">
        <v>951700143</v>
      </c>
      <c r="B2495" s="116" t="str">
        <f t="shared" si="38"/>
        <v>95-951700143</v>
      </c>
      <c r="C2495" s="179" t="s">
        <v>7755</v>
      </c>
    </row>
    <row r="2496" spans="1:3">
      <c r="A2496" s="177">
        <v>951900093</v>
      </c>
      <c r="B2496" s="116" t="str">
        <f t="shared" si="38"/>
        <v>95-951900093</v>
      </c>
      <c r="C2496" s="179" t="s">
        <v>7755</v>
      </c>
    </row>
    <row r="2497" spans="1:3">
      <c r="A2497" s="177">
        <v>951400014</v>
      </c>
      <c r="B2497" s="116" t="str">
        <f t="shared" si="38"/>
        <v>95-951400014</v>
      </c>
      <c r="C2497" s="179" t="s">
        <v>7773</v>
      </c>
    </row>
    <row r="2498" spans="1:3">
      <c r="A2498" s="177">
        <v>961900091</v>
      </c>
      <c r="B2498" s="116" t="str">
        <f t="shared" si="38"/>
        <v>96-961900091</v>
      </c>
      <c r="C2498" s="179" t="s">
        <v>7774</v>
      </c>
    </row>
    <row r="2499" spans="1:3">
      <c r="A2499" s="177">
        <v>951400041</v>
      </c>
      <c r="B2499" s="116" t="str">
        <f t="shared" ref="B2499:B2562" si="39">MID(A2499,1,2)&amp;"-"&amp;A2499</f>
        <v>95-951400041</v>
      </c>
      <c r="C2499" s="179" t="s">
        <v>7775</v>
      </c>
    </row>
    <row r="2500" spans="1:3">
      <c r="A2500" s="177">
        <v>951900095</v>
      </c>
      <c r="B2500" s="116" t="str">
        <f t="shared" si="39"/>
        <v>95-951900095</v>
      </c>
      <c r="C2500" s="179" t="s">
        <v>7776</v>
      </c>
    </row>
    <row r="2501" spans="1:3">
      <c r="A2501" s="177">
        <v>951900221</v>
      </c>
      <c r="B2501" s="116" t="str">
        <f t="shared" si="39"/>
        <v>95-951900221</v>
      </c>
      <c r="C2501" s="179" t="s">
        <v>7693</v>
      </c>
    </row>
    <row r="2502" spans="1:3">
      <c r="A2502" s="177">
        <v>951800067</v>
      </c>
      <c r="B2502" s="116" t="str">
        <f t="shared" si="39"/>
        <v>95-951800067</v>
      </c>
      <c r="C2502" s="179" t="s">
        <v>7777</v>
      </c>
    </row>
    <row r="2503" spans="1:3">
      <c r="A2503" s="177">
        <v>962000341</v>
      </c>
      <c r="B2503" s="116" t="str">
        <f t="shared" si="39"/>
        <v>96-962000341</v>
      </c>
      <c r="C2503" s="179" t="s">
        <v>12184</v>
      </c>
    </row>
    <row r="2504" spans="1:3">
      <c r="A2504" s="177">
        <v>956100008</v>
      </c>
      <c r="B2504" s="116" t="str">
        <f t="shared" si="39"/>
        <v>95-956100008</v>
      </c>
      <c r="C2504" s="179" t="s">
        <v>7778</v>
      </c>
    </row>
    <row r="2505" spans="1:3">
      <c r="A2505" s="177">
        <v>951700335</v>
      </c>
      <c r="B2505" s="116" t="str">
        <f t="shared" si="39"/>
        <v>95-951700335</v>
      </c>
      <c r="C2505" s="179" t="s">
        <v>7779</v>
      </c>
    </row>
    <row r="2506" spans="1:3">
      <c r="A2506" s="177">
        <v>951900264</v>
      </c>
      <c r="B2506" s="116" t="str">
        <f t="shared" si="39"/>
        <v>95-951900264</v>
      </c>
      <c r="C2506" s="179" t="s">
        <v>7780</v>
      </c>
    </row>
    <row r="2507" spans="1:3">
      <c r="A2507" s="177">
        <v>961900015</v>
      </c>
      <c r="B2507" s="116" t="str">
        <f t="shared" si="39"/>
        <v>96-961900015</v>
      </c>
      <c r="C2507" s="179" t="s">
        <v>7613</v>
      </c>
    </row>
    <row r="2508" spans="1:3">
      <c r="A2508" s="177">
        <v>961900016</v>
      </c>
      <c r="B2508" s="116" t="str">
        <f t="shared" si="39"/>
        <v>96-961900016</v>
      </c>
      <c r="C2508" s="179" t="s">
        <v>7613</v>
      </c>
    </row>
    <row r="2509" spans="1:3">
      <c r="A2509" s="177">
        <v>961900028</v>
      </c>
      <c r="B2509" s="116" t="str">
        <f t="shared" si="39"/>
        <v>96-961900028</v>
      </c>
      <c r="C2509" s="179" t="s">
        <v>7786</v>
      </c>
    </row>
    <row r="2510" spans="1:3">
      <c r="A2510" s="177">
        <v>961900032</v>
      </c>
      <c r="B2510" s="116" t="str">
        <f t="shared" si="39"/>
        <v>96-961900032</v>
      </c>
      <c r="C2510" s="179" t="s">
        <v>7614</v>
      </c>
    </row>
    <row r="2511" spans="1:3">
      <c r="A2511" s="177">
        <v>961900053</v>
      </c>
      <c r="B2511" s="116" t="str">
        <f t="shared" si="39"/>
        <v>96-961900053</v>
      </c>
      <c r="C2511" s="179" t="s">
        <v>7615</v>
      </c>
    </row>
    <row r="2512" spans="1:3">
      <c r="A2512" s="177">
        <v>961800002</v>
      </c>
      <c r="B2512" s="116" t="str">
        <f t="shared" si="39"/>
        <v>96-961800002</v>
      </c>
      <c r="C2512" s="179" t="s">
        <v>7788</v>
      </c>
    </row>
    <row r="2513" spans="1:3">
      <c r="A2513" s="177">
        <v>961900190</v>
      </c>
      <c r="B2513" s="116" t="str">
        <f t="shared" si="39"/>
        <v>96-961900190</v>
      </c>
      <c r="C2513" s="179" t="s">
        <v>12437</v>
      </c>
    </row>
    <row r="2514" spans="1:3">
      <c r="A2514" s="177">
        <v>956100013</v>
      </c>
      <c r="B2514" s="116" t="str">
        <f t="shared" si="39"/>
        <v>95-956100013</v>
      </c>
      <c r="C2514" s="179" t="s">
        <v>7789</v>
      </c>
    </row>
    <row r="2515" spans="1:3">
      <c r="A2515" s="177">
        <v>961700076</v>
      </c>
      <c r="B2515" s="116" t="str">
        <f t="shared" si="39"/>
        <v>96-961700076</v>
      </c>
      <c r="C2515" s="179" t="s">
        <v>7159</v>
      </c>
    </row>
    <row r="2516" spans="1:3">
      <c r="A2516" s="177">
        <v>951400076</v>
      </c>
      <c r="B2516" s="116" t="str">
        <f t="shared" si="39"/>
        <v>95-951400076</v>
      </c>
      <c r="C2516" s="179" t="s">
        <v>7793</v>
      </c>
    </row>
    <row r="2517" spans="1:3">
      <c r="A2517" s="177">
        <v>951800106</v>
      </c>
      <c r="B2517" s="116" t="str">
        <f t="shared" si="39"/>
        <v>95-951800106</v>
      </c>
      <c r="C2517" s="179" t="s">
        <v>7626</v>
      </c>
    </row>
    <row r="2518" spans="1:3">
      <c r="A2518" s="177">
        <v>961900151</v>
      </c>
      <c r="B2518" s="116" t="str">
        <f t="shared" si="39"/>
        <v>96-961900151</v>
      </c>
      <c r="C2518" s="179" t="s">
        <v>7794</v>
      </c>
    </row>
    <row r="2519" spans="1:3">
      <c r="A2519" s="177">
        <v>951100070</v>
      </c>
      <c r="B2519" s="116" t="str">
        <f t="shared" si="39"/>
        <v>95-951100070</v>
      </c>
      <c r="C2519" s="179" t="s">
        <v>7374</v>
      </c>
    </row>
    <row r="2520" spans="1:3">
      <c r="A2520" s="177">
        <v>951100121</v>
      </c>
      <c r="B2520" s="116" t="str">
        <f t="shared" si="39"/>
        <v>95-951100121</v>
      </c>
      <c r="C2520" s="179" t="s">
        <v>7375</v>
      </c>
    </row>
    <row r="2521" spans="1:3">
      <c r="A2521" s="177">
        <v>961200068</v>
      </c>
      <c r="B2521" s="116" t="str">
        <f t="shared" si="39"/>
        <v>96-961200068</v>
      </c>
      <c r="C2521" s="179" t="s">
        <v>8743</v>
      </c>
    </row>
    <row r="2522" spans="1:3">
      <c r="A2522" s="177">
        <v>961200069</v>
      </c>
      <c r="B2522" s="116" t="str">
        <f t="shared" si="39"/>
        <v>96-961200069</v>
      </c>
      <c r="C2522" s="179" t="s">
        <v>8744</v>
      </c>
    </row>
    <row r="2523" spans="1:3">
      <c r="A2523" s="177">
        <v>961200080</v>
      </c>
      <c r="B2523" s="116" t="str">
        <f t="shared" si="39"/>
        <v>96-961200080</v>
      </c>
      <c r="C2523" s="179" t="s">
        <v>8699</v>
      </c>
    </row>
    <row r="2524" spans="1:3">
      <c r="A2524" s="177">
        <v>961200095</v>
      </c>
      <c r="B2524" s="116" t="str">
        <f t="shared" si="39"/>
        <v>96-961200095</v>
      </c>
      <c r="C2524" s="179" t="s">
        <v>9788</v>
      </c>
    </row>
    <row r="2525" spans="1:3">
      <c r="A2525" s="177">
        <v>961200175</v>
      </c>
      <c r="B2525" s="116" t="str">
        <f t="shared" si="39"/>
        <v>96-961200175</v>
      </c>
      <c r="C2525" s="179" t="s">
        <v>12438</v>
      </c>
    </row>
    <row r="2526" spans="1:3">
      <c r="A2526" s="177">
        <v>951700025</v>
      </c>
      <c r="B2526" s="116" t="str">
        <f t="shared" si="39"/>
        <v>95-951700025</v>
      </c>
      <c r="C2526" s="179" t="s">
        <v>7795</v>
      </c>
    </row>
    <row r="2527" spans="1:3">
      <c r="A2527" s="177">
        <v>951700048</v>
      </c>
      <c r="B2527" s="116" t="str">
        <f t="shared" si="39"/>
        <v>95-951700048</v>
      </c>
      <c r="C2527" s="179" t="s">
        <v>7796</v>
      </c>
    </row>
    <row r="2528" spans="1:3">
      <c r="A2528" s="177">
        <v>961800007</v>
      </c>
      <c r="B2528" s="116" t="str">
        <f t="shared" si="39"/>
        <v>96-961800007</v>
      </c>
      <c r="C2528" s="179" t="s">
        <v>7753</v>
      </c>
    </row>
    <row r="2529" spans="1:3">
      <c r="A2529" s="177">
        <v>951800047</v>
      </c>
      <c r="B2529" s="116" t="str">
        <f t="shared" si="39"/>
        <v>95-951800047</v>
      </c>
      <c r="C2529" s="179" t="s">
        <v>7802</v>
      </c>
    </row>
    <row r="2530" spans="1:3">
      <c r="A2530" s="177">
        <v>951200020</v>
      </c>
      <c r="B2530" s="116" t="str">
        <f t="shared" si="39"/>
        <v>95-951200020</v>
      </c>
      <c r="C2530" s="179" t="s">
        <v>7172</v>
      </c>
    </row>
    <row r="2531" spans="1:3">
      <c r="A2531" s="177">
        <v>951200060</v>
      </c>
      <c r="B2531" s="116" t="str">
        <f t="shared" si="39"/>
        <v>95-951200060</v>
      </c>
      <c r="C2531" s="179" t="s">
        <v>7226</v>
      </c>
    </row>
    <row r="2532" spans="1:3">
      <c r="A2532" s="177">
        <v>951700184</v>
      </c>
      <c r="B2532" s="116" t="str">
        <f t="shared" si="39"/>
        <v>95-951700184</v>
      </c>
      <c r="C2532" s="179" t="s">
        <v>7643</v>
      </c>
    </row>
    <row r="2533" spans="1:3">
      <c r="A2533" s="177">
        <v>951700278</v>
      </c>
      <c r="B2533" s="116" t="str">
        <f t="shared" si="39"/>
        <v>95-951700278</v>
      </c>
      <c r="C2533" s="179" t="s">
        <v>7643</v>
      </c>
    </row>
    <row r="2534" spans="1:3">
      <c r="A2534" s="177">
        <v>966100006</v>
      </c>
      <c r="B2534" s="116" t="str">
        <f t="shared" si="39"/>
        <v>96-966100006</v>
      </c>
      <c r="C2534" s="179" t="s">
        <v>7644</v>
      </c>
    </row>
    <row r="2535" spans="1:3">
      <c r="A2535" s="177">
        <v>966100010</v>
      </c>
      <c r="B2535" s="116" t="str">
        <f t="shared" si="39"/>
        <v>96-966100010</v>
      </c>
      <c r="C2535" s="179" t="s">
        <v>7644</v>
      </c>
    </row>
    <row r="2536" spans="1:3">
      <c r="A2536" s="177">
        <v>951800012</v>
      </c>
      <c r="B2536" s="116" t="str">
        <f t="shared" si="39"/>
        <v>95-951800012</v>
      </c>
      <c r="C2536" s="179" t="s">
        <v>7807</v>
      </c>
    </row>
    <row r="2537" spans="1:3">
      <c r="A2537" s="177">
        <v>951900242</v>
      </c>
      <c r="B2537" s="116" t="str">
        <f t="shared" si="39"/>
        <v>95-951900242</v>
      </c>
      <c r="C2537" s="179" t="s">
        <v>7645</v>
      </c>
    </row>
    <row r="2538" spans="1:3">
      <c r="A2538" s="177">
        <v>951600018</v>
      </c>
      <c r="B2538" s="116" t="str">
        <f t="shared" si="39"/>
        <v>95-951600018</v>
      </c>
      <c r="C2538" s="179" t="s">
        <v>7808</v>
      </c>
    </row>
    <row r="2539" spans="1:3">
      <c r="A2539" s="177">
        <v>951700139</v>
      </c>
      <c r="B2539" s="116" t="str">
        <f t="shared" si="39"/>
        <v>95-951700139</v>
      </c>
      <c r="C2539" s="179" t="s">
        <v>7809</v>
      </c>
    </row>
    <row r="2540" spans="1:3">
      <c r="A2540" s="177">
        <v>966100003</v>
      </c>
      <c r="B2540" s="116" t="str">
        <f t="shared" si="39"/>
        <v>96-966100003</v>
      </c>
      <c r="C2540" s="179" t="s">
        <v>7810</v>
      </c>
    </row>
    <row r="2541" spans="1:3">
      <c r="A2541" s="177">
        <v>951900283</v>
      </c>
      <c r="B2541" s="116" t="str">
        <f t="shared" si="39"/>
        <v>95-951900283</v>
      </c>
      <c r="C2541" s="179" t="s">
        <v>7811</v>
      </c>
    </row>
    <row r="2542" spans="1:3">
      <c r="A2542" s="177">
        <v>951800032</v>
      </c>
      <c r="B2542" s="116" t="str">
        <f t="shared" si="39"/>
        <v>95-951800032</v>
      </c>
      <c r="C2542" s="179" t="s">
        <v>7814</v>
      </c>
    </row>
    <row r="2543" spans="1:3">
      <c r="A2543" s="177">
        <v>961800003</v>
      </c>
      <c r="B2543" s="116" t="str">
        <f t="shared" si="39"/>
        <v>96-961800003</v>
      </c>
      <c r="C2543" s="179" t="s">
        <v>7815</v>
      </c>
    </row>
    <row r="2544" spans="1:3">
      <c r="A2544" s="177">
        <v>961800010</v>
      </c>
      <c r="B2544" s="116" t="str">
        <f t="shared" si="39"/>
        <v>96-961800010</v>
      </c>
      <c r="C2544" s="179" t="s">
        <v>7690</v>
      </c>
    </row>
    <row r="2545" spans="1:3">
      <c r="A2545" s="177">
        <v>961700055</v>
      </c>
      <c r="B2545" s="116" t="str">
        <f t="shared" si="39"/>
        <v>96-961700055</v>
      </c>
      <c r="C2545" s="179" t="s">
        <v>7717</v>
      </c>
    </row>
    <row r="2546" spans="1:3">
      <c r="A2546" s="177">
        <v>951700158</v>
      </c>
      <c r="B2546" s="116" t="str">
        <f t="shared" si="39"/>
        <v>95-951700158</v>
      </c>
      <c r="C2546" s="179" t="s">
        <v>7808</v>
      </c>
    </row>
    <row r="2547" spans="1:3">
      <c r="A2547" s="177">
        <v>966200265</v>
      </c>
      <c r="B2547" s="116" t="str">
        <f t="shared" si="39"/>
        <v>96-966200265</v>
      </c>
      <c r="C2547" s="179" t="s">
        <v>7113</v>
      </c>
    </row>
    <row r="2548" spans="1:3">
      <c r="A2548" s="177">
        <v>951400015</v>
      </c>
      <c r="B2548" s="116" t="str">
        <f t="shared" si="39"/>
        <v>95-951400015</v>
      </c>
      <c r="C2548" s="179" t="s">
        <v>7816</v>
      </c>
    </row>
    <row r="2549" spans="1:3">
      <c r="A2549" s="177">
        <v>951800069</v>
      </c>
      <c r="B2549" s="116" t="str">
        <f t="shared" si="39"/>
        <v>95-951800069</v>
      </c>
      <c r="C2549" s="179" t="s">
        <v>7817</v>
      </c>
    </row>
    <row r="2550" spans="1:3">
      <c r="A2550" s="177">
        <v>951300012</v>
      </c>
      <c r="B2550" s="116" t="str">
        <f t="shared" si="39"/>
        <v>95-951300012</v>
      </c>
      <c r="C2550" s="179" t="s">
        <v>7680</v>
      </c>
    </row>
    <row r="2551" spans="1:3">
      <c r="A2551" s="177">
        <v>951300023</v>
      </c>
      <c r="B2551" s="116" t="str">
        <f t="shared" si="39"/>
        <v>95-951300023</v>
      </c>
      <c r="C2551" s="179" t="s">
        <v>7818</v>
      </c>
    </row>
    <row r="2552" spans="1:3">
      <c r="A2552" s="177">
        <v>952000079</v>
      </c>
      <c r="B2552" s="116" t="str">
        <f t="shared" si="39"/>
        <v>95-952000079</v>
      </c>
      <c r="C2552" s="179" t="s">
        <v>7152</v>
      </c>
    </row>
    <row r="2553" spans="1:3">
      <c r="A2553" s="177">
        <v>951300030</v>
      </c>
      <c r="B2553" s="116" t="str">
        <f t="shared" si="39"/>
        <v>95-951300030</v>
      </c>
      <c r="C2553" s="179" t="s">
        <v>7819</v>
      </c>
    </row>
    <row r="2554" spans="1:3">
      <c r="A2554" s="177">
        <v>951900181</v>
      </c>
      <c r="B2554" s="116" t="str">
        <f t="shared" si="39"/>
        <v>95-951900181</v>
      </c>
      <c r="C2554" s="179" t="s">
        <v>7825</v>
      </c>
    </row>
    <row r="2555" spans="1:3">
      <c r="A2555" s="177">
        <v>951400027</v>
      </c>
      <c r="B2555" s="116" t="str">
        <f t="shared" si="39"/>
        <v>95-951400027</v>
      </c>
      <c r="C2555" s="179" t="s">
        <v>7826</v>
      </c>
    </row>
    <row r="2556" spans="1:3">
      <c r="A2556" s="177">
        <v>951600067</v>
      </c>
      <c r="B2556" s="116" t="str">
        <f t="shared" si="39"/>
        <v>95-951600067</v>
      </c>
      <c r="C2556" s="179" t="s">
        <v>7829</v>
      </c>
    </row>
    <row r="2557" spans="1:3">
      <c r="A2557" s="177">
        <v>951600079</v>
      </c>
      <c r="B2557" s="116" t="str">
        <f t="shared" si="39"/>
        <v>95-951600079</v>
      </c>
      <c r="C2557" s="179" t="s">
        <v>7829</v>
      </c>
    </row>
    <row r="2558" spans="1:3">
      <c r="A2558" s="177">
        <v>951600085</v>
      </c>
      <c r="B2558" s="116" t="str">
        <f t="shared" si="39"/>
        <v>95-951600085</v>
      </c>
      <c r="C2558" s="179" t="s">
        <v>7830</v>
      </c>
    </row>
    <row r="2559" spans="1:3">
      <c r="A2559" s="177">
        <v>951600094</v>
      </c>
      <c r="B2559" s="116" t="str">
        <f t="shared" si="39"/>
        <v>95-951600094</v>
      </c>
      <c r="C2559" s="179" t="s">
        <v>7831</v>
      </c>
    </row>
    <row r="2560" spans="1:3">
      <c r="A2560" s="177">
        <v>961700113</v>
      </c>
      <c r="B2560" s="116" t="str">
        <f t="shared" si="39"/>
        <v>96-961700113</v>
      </c>
      <c r="C2560" s="179" t="s">
        <v>7160</v>
      </c>
    </row>
    <row r="2561" spans="1:3">
      <c r="A2561" s="177">
        <v>961900175</v>
      </c>
      <c r="B2561" s="116" t="str">
        <f t="shared" si="39"/>
        <v>96-961900175</v>
      </c>
      <c r="C2561" s="179" t="s">
        <v>8759</v>
      </c>
    </row>
    <row r="2562" spans="1:3">
      <c r="A2562" s="177">
        <v>961600018</v>
      </c>
      <c r="B2562" s="116" t="str">
        <f t="shared" si="39"/>
        <v>96-961600018</v>
      </c>
      <c r="C2562" s="179" t="s">
        <v>12255</v>
      </c>
    </row>
    <row r="2563" spans="1:3">
      <c r="A2563" s="177">
        <v>951700346</v>
      </c>
      <c r="B2563" s="116" t="str">
        <f t="shared" ref="B2563:B2626" si="40">MID(A2563,1,2)&amp;"-"&amp;A2563</f>
        <v>95-951700346</v>
      </c>
      <c r="C2563" s="179" t="s">
        <v>7682</v>
      </c>
    </row>
    <row r="2564" spans="1:3">
      <c r="A2564" s="177">
        <v>951400095</v>
      </c>
      <c r="B2564" s="116" t="str">
        <f t="shared" si="40"/>
        <v>95-951400095</v>
      </c>
      <c r="C2564" s="179" t="s">
        <v>7188</v>
      </c>
    </row>
    <row r="2565" spans="1:3">
      <c r="A2565" s="177">
        <v>951400150</v>
      </c>
      <c r="B2565" s="116" t="str">
        <f t="shared" si="40"/>
        <v>95-951400150</v>
      </c>
      <c r="C2565" s="179" t="s">
        <v>7832</v>
      </c>
    </row>
    <row r="2566" spans="1:3">
      <c r="A2566" s="177">
        <v>951300017</v>
      </c>
      <c r="B2566" s="116" t="str">
        <f t="shared" si="40"/>
        <v>95-951300017</v>
      </c>
      <c r="C2566" s="179" t="s">
        <v>7833</v>
      </c>
    </row>
    <row r="2567" spans="1:3">
      <c r="A2567" s="177">
        <v>951900070</v>
      </c>
      <c r="B2567" s="116" t="str">
        <f t="shared" si="40"/>
        <v>95-951900070</v>
      </c>
      <c r="C2567" s="179" t="s">
        <v>7837</v>
      </c>
    </row>
    <row r="2568" spans="1:3">
      <c r="A2568" s="177">
        <v>961900042</v>
      </c>
      <c r="B2568" s="116" t="str">
        <f t="shared" si="40"/>
        <v>96-961900042</v>
      </c>
      <c r="C2568" s="179" t="s">
        <v>7838</v>
      </c>
    </row>
    <row r="2569" spans="1:3">
      <c r="A2569" s="177">
        <v>956200071</v>
      </c>
      <c r="B2569" s="116" t="str">
        <f t="shared" si="40"/>
        <v>95-956200071</v>
      </c>
      <c r="C2569" s="179" t="s">
        <v>7430</v>
      </c>
    </row>
    <row r="2570" spans="1:3">
      <c r="A2570" s="177">
        <v>951500167</v>
      </c>
      <c r="B2570" s="116" t="str">
        <f t="shared" si="40"/>
        <v>95-951500167</v>
      </c>
      <c r="C2570" s="179" t="s">
        <v>5617</v>
      </c>
    </row>
    <row r="2571" spans="1:3">
      <c r="A2571" s="177">
        <v>951600082</v>
      </c>
      <c r="B2571" s="116" t="str">
        <f t="shared" si="40"/>
        <v>95-951600082</v>
      </c>
      <c r="C2571" s="179" t="s">
        <v>7839</v>
      </c>
    </row>
    <row r="2572" spans="1:3">
      <c r="A2572" s="177">
        <v>951900063</v>
      </c>
      <c r="B2572" s="116" t="str">
        <f t="shared" si="40"/>
        <v>95-951900063</v>
      </c>
      <c r="C2572" s="179" t="s">
        <v>7840</v>
      </c>
    </row>
    <row r="2573" spans="1:3">
      <c r="A2573" s="177">
        <v>951900273</v>
      </c>
      <c r="B2573" s="116" t="str">
        <f t="shared" si="40"/>
        <v>95-951900273</v>
      </c>
      <c r="C2573" s="179" t="s">
        <v>7611</v>
      </c>
    </row>
    <row r="2574" spans="1:3">
      <c r="A2574" s="177">
        <v>951600098</v>
      </c>
      <c r="B2574" s="116" t="str">
        <f t="shared" si="40"/>
        <v>95-951600098</v>
      </c>
      <c r="C2574" s="179" t="s">
        <v>7800</v>
      </c>
    </row>
    <row r="2575" spans="1:3">
      <c r="A2575" s="177">
        <v>961800021</v>
      </c>
      <c r="B2575" s="116" t="str">
        <f t="shared" si="40"/>
        <v>96-961800021</v>
      </c>
      <c r="C2575" s="179" t="s">
        <v>7845</v>
      </c>
    </row>
    <row r="2576" spans="1:3">
      <c r="A2576" s="177">
        <v>956100024</v>
      </c>
      <c r="B2576" s="116" t="str">
        <f t="shared" si="40"/>
        <v>95-956100024</v>
      </c>
      <c r="C2576" s="179" t="s">
        <v>7610</v>
      </c>
    </row>
    <row r="2577" spans="1:3">
      <c r="A2577" s="177">
        <v>951900295</v>
      </c>
      <c r="B2577" s="116" t="str">
        <f t="shared" si="40"/>
        <v>95-951900295</v>
      </c>
      <c r="C2577" s="179" t="s">
        <v>7612</v>
      </c>
    </row>
    <row r="2578" spans="1:3">
      <c r="A2578" s="177">
        <v>961900168</v>
      </c>
      <c r="B2578" s="116" t="str">
        <f t="shared" si="40"/>
        <v>96-961900168</v>
      </c>
      <c r="C2578" s="179" t="s">
        <v>7193</v>
      </c>
    </row>
    <row r="2579" spans="1:3">
      <c r="A2579" s="177">
        <v>961700024</v>
      </c>
      <c r="B2579" s="116" t="str">
        <f t="shared" si="40"/>
        <v>96-961700024</v>
      </c>
      <c r="C2579" s="179" t="s">
        <v>7846</v>
      </c>
    </row>
    <row r="2580" spans="1:3">
      <c r="A2580" s="177">
        <v>961700056</v>
      </c>
      <c r="B2580" s="116" t="str">
        <f t="shared" si="40"/>
        <v>96-961700056</v>
      </c>
      <c r="C2580" s="179" t="s">
        <v>7706</v>
      </c>
    </row>
    <row r="2581" spans="1:3">
      <c r="A2581" s="177">
        <v>961700110</v>
      </c>
      <c r="B2581" s="116" t="str">
        <f t="shared" si="40"/>
        <v>96-961700110</v>
      </c>
      <c r="C2581" s="179" t="s">
        <v>7189</v>
      </c>
    </row>
    <row r="2582" spans="1:3">
      <c r="A2582" s="177">
        <v>962000183</v>
      </c>
      <c r="B2582" s="116" t="str">
        <f t="shared" si="40"/>
        <v>96-962000183</v>
      </c>
      <c r="C2582" s="179" t="s">
        <v>7112</v>
      </c>
    </row>
    <row r="2583" spans="1:3">
      <c r="A2583" s="177">
        <v>962000327</v>
      </c>
      <c r="B2583" s="116" t="str">
        <f t="shared" si="40"/>
        <v>96-962000327</v>
      </c>
      <c r="C2583" s="179" t="s">
        <v>7112</v>
      </c>
    </row>
    <row r="2584" spans="1:3">
      <c r="A2584" s="177">
        <v>956200112</v>
      </c>
      <c r="B2584" s="116" t="str">
        <f t="shared" si="40"/>
        <v>95-956200112</v>
      </c>
      <c r="C2584" s="179" t="s">
        <v>7358</v>
      </c>
    </row>
    <row r="2585" spans="1:3">
      <c r="A2585" s="177">
        <v>966200171</v>
      </c>
      <c r="B2585" s="116" t="str">
        <f t="shared" si="40"/>
        <v>96-966200171</v>
      </c>
      <c r="C2585" s="179" t="s">
        <v>7363</v>
      </c>
    </row>
    <row r="2586" spans="1:3">
      <c r="A2586" s="177">
        <v>966200175</v>
      </c>
      <c r="B2586" s="116" t="str">
        <f t="shared" si="40"/>
        <v>96-966200175</v>
      </c>
      <c r="C2586" s="179" t="s">
        <v>7363</v>
      </c>
    </row>
    <row r="2587" spans="1:3">
      <c r="A2587" s="177">
        <v>966200488</v>
      </c>
      <c r="B2587" s="116" t="str">
        <f t="shared" si="40"/>
        <v>96-966200488</v>
      </c>
      <c r="C2587" s="179" t="s">
        <v>12186</v>
      </c>
    </row>
    <row r="2588" spans="1:3">
      <c r="A2588" s="177">
        <v>966200489</v>
      </c>
      <c r="B2588" s="116" t="str">
        <f t="shared" si="40"/>
        <v>96-966200489</v>
      </c>
      <c r="C2588" s="179" t="s">
        <v>12186</v>
      </c>
    </row>
    <row r="2589" spans="1:3">
      <c r="A2589" s="177">
        <v>951100188</v>
      </c>
      <c r="B2589" s="116" t="str">
        <f t="shared" si="40"/>
        <v>95-951100188</v>
      </c>
      <c r="C2589" s="179" t="s">
        <v>7985</v>
      </c>
    </row>
    <row r="2590" spans="1:3">
      <c r="A2590" s="177">
        <v>961100074</v>
      </c>
      <c r="B2590" s="116" t="str">
        <f t="shared" si="40"/>
        <v>96-961100074</v>
      </c>
      <c r="C2590" s="179" t="s">
        <v>8732</v>
      </c>
    </row>
    <row r="2591" spans="1:3">
      <c r="A2591" s="177">
        <v>951500002</v>
      </c>
      <c r="B2591" s="116" t="str">
        <f t="shared" si="40"/>
        <v>95-951500002</v>
      </c>
      <c r="C2591" s="179" t="s">
        <v>5605</v>
      </c>
    </row>
    <row r="2592" spans="1:3">
      <c r="A2592" s="177">
        <v>951900314</v>
      </c>
      <c r="B2592" s="116" t="str">
        <f t="shared" si="40"/>
        <v>95-951900314</v>
      </c>
      <c r="C2592" s="179" t="s">
        <v>7847</v>
      </c>
    </row>
    <row r="2593" spans="1:3">
      <c r="A2593" s="177">
        <v>966200069</v>
      </c>
      <c r="B2593" s="116" t="str">
        <f t="shared" si="40"/>
        <v>96-966200069</v>
      </c>
      <c r="C2593" s="179" t="s">
        <v>7709</v>
      </c>
    </row>
    <row r="2594" spans="1:3">
      <c r="A2594" s="177">
        <v>966200288</v>
      </c>
      <c r="B2594" s="116" t="str">
        <f t="shared" si="40"/>
        <v>96-966200288</v>
      </c>
      <c r="C2594" s="179" t="s">
        <v>7210</v>
      </c>
    </row>
    <row r="2595" spans="1:3">
      <c r="A2595" s="177">
        <v>956200189</v>
      </c>
      <c r="B2595" s="116" t="str">
        <f t="shared" si="40"/>
        <v>95-956200189</v>
      </c>
      <c r="C2595" s="179" t="s">
        <v>7852</v>
      </c>
    </row>
    <row r="2596" spans="1:3">
      <c r="A2596" s="177">
        <v>966200283</v>
      </c>
      <c r="B2596" s="116" t="str">
        <f t="shared" si="40"/>
        <v>96-966200283</v>
      </c>
      <c r="C2596" s="179" t="s">
        <v>7210</v>
      </c>
    </row>
    <row r="2597" spans="1:3">
      <c r="A2597" s="177">
        <v>956200207</v>
      </c>
      <c r="B2597" s="116" t="str">
        <f t="shared" si="40"/>
        <v>95-956200207</v>
      </c>
      <c r="C2597" s="179" t="s">
        <v>7357</v>
      </c>
    </row>
    <row r="2598" spans="1:3">
      <c r="A2598" s="177">
        <v>951500251</v>
      </c>
      <c r="B2598" s="116" t="str">
        <f t="shared" si="40"/>
        <v>95-951500251</v>
      </c>
      <c r="C2598" s="179" t="s">
        <v>5635</v>
      </c>
    </row>
    <row r="2599" spans="1:3">
      <c r="A2599" s="177">
        <v>951500299</v>
      </c>
      <c r="B2599" s="116" t="str">
        <f t="shared" si="40"/>
        <v>95-951500299</v>
      </c>
      <c r="C2599" s="179" t="s">
        <v>5659</v>
      </c>
    </row>
    <row r="2600" spans="1:3">
      <c r="A2600" s="177">
        <v>961500086</v>
      </c>
      <c r="B2600" s="116" t="str">
        <f t="shared" si="40"/>
        <v>96-961500086</v>
      </c>
      <c r="C2600" s="179" t="s">
        <v>5762</v>
      </c>
    </row>
    <row r="2601" spans="1:3">
      <c r="A2601" s="177">
        <v>961500093</v>
      </c>
      <c r="B2601" s="116" t="str">
        <f t="shared" si="40"/>
        <v>96-961500093</v>
      </c>
      <c r="C2601" s="179" t="s">
        <v>5762</v>
      </c>
    </row>
    <row r="2602" spans="1:3">
      <c r="A2602" s="177">
        <v>961500092</v>
      </c>
      <c r="B2602" s="116" t="str">
        <f t="shared" si="40"/>
        <v>96-961500092</v>
      </c>
      <c r="C2602" s="179" t="s">
        <v>5762</v>
      </c>
    </row>
    <row r="2603" spans="1:3">
      <c r="A2603" s="177">
        <v>961500636</v>
      </c>
      <c r="B2603" s="116" t="str">
        <f t="shared" si="40"/>
        <v>96-961500636</v>
      </c>
      <c r="C2603" s="179" t="s">
        <v>8698</v>
      </c>
    </row>
    <row r="2604" spans="1:3">
      <c r="A2604" s="177">
        <v>961800065</v>
      </c>
      <c r="B2604" s="116" t="str">
        <f t="shared" si="40"/>
        <v>96-961800065</v>
      </c>
      <c r="C2604" s="179" t="s">
        <v>7166</v>
      </c>
    </row>
    <row r="2605" spans="1:3">
      <c r="A2605" s="177">
        <v>966200317</v>
      </c>
      <c r="B2605" s="116" t="str">
        <f t="shared" si="40"/>
        <v>96-966200317</v>
      </c>
      <c r="C2605" s="179" t="s">
        <v>8712</v>
      </c>
    </row>
    <row r="2606" spans="1:3">
      <c r="A2606" s="177">
        <v>951400064</v>
      </c>
      <c r="B2606" s="116" t="str">
        <f t="shared" si="40"/>
        <v>95-951400064</v>
      </c>
      <c r="C2606" s="179" t="s">
        <v>7853</v>
      </c>
    </row>
    <row r="2607" spans="1:3">
      <c r="A2607" s="177">
        <v>961400008</v>
      </c>
      <c r="B2607" s="116" t="str">
        <f t="shared" si="40"/>
        <v>96-961400008</v>
      </c>
      <c r="C2607" s="179" t="s">
        <v>7854</v>
      </c>
    </row>
    <row r="2608" spans="1:3">
      <c r="A2608" s="177">
        <v>951400048</v>
      </c>
      <c r="B2608" s="116" t="str">
        <f t="shared" si="40"/>
        <v>95-951400048</v>
      </c>
      <c r="C2608" s="179" t="s">
        <v>7856</v>
      </c>
    </row>
    <row r="2609" spans="1:3">
      <c r="A2609" s="177">
        <v>951400171</v>
      </c>
      <c r="B2609" s="116" t="str">
        <f t="shared" si="40"/>
        <v>95-951400171</v>
      </c>
      <c r="C2609" s="179" t="s">
        <v>7857</v>
      </c>
    </row>
    <row r="2610" spans="1:3">
      <c r="A2610" s="177">
        <v>951900051</v>
      </c>
      <c r="B2610" s="116" t="str">
        <f t="shared" si="40"/>
        <v>95-951900051</v>
      </c>
      <c r="C2610" s="179" t="s">
        <v>7858</v>
      </c>
    </row>
    <row r="2611" spans="1:3">
      <c r="A2611" s="177">
        <v>966200255</v>
      </c>
      <c r="B2611" s="116" t="str">
        <f t="shared" si="40"/>
        <v>96-966200255</v>
      </c>
      <c r="C2611" s="179" t="s">
        <v>7730</v>
      </c>
    </row>
    <row r="2612" spans="1:3">
      <c r="A2612" s="177">
        <v>951500067</v>
      </c>
      <c r="B2612" s="116" t="str">
        <f t="shared" si="40"/>
        <v>95-951500067</v>
      </c>
      <c r="C2612" s="179" t="s">
        <v>5608</v>
      </c>
    </row>
    <row r="2613" spans="1:3">
      <c r="A2613" s="177">
        <v>951500461</v>
      </c>
      <c r="B2613" s="116" t="str">
        <f t="shared" si="40"/>
        <v>95-951500461</v>
      </c>
      <c r="C2613" s="179" t="s">
        <v>5690</v>
      </c>
    </row>
    <row r="2614" spans="1:3">
      <c r="A2614" s="177">
        <v>951500499</v>
      </c>
      <c r="B2614" s="116" t="str">
        <f t="shared" si="40"/>
        <v>95-951500499</v>
      </c>
      <c r="C2614" s="179" t="s">
        <v>5690</v>
      </c>
    </row>
    <row r="2615" spans="1:3">
      <c r="A2615" s="177">
        <v>961500427</v>
      </c>
      <c r="B2615" s="116" t="str">
        <f t="shared" si="40"/>
        <v>96-961500427</v>
      </c>
      <c r="C2615" s="179" t="s">
        <v>7233</v>
      </c>
    </row>
    <row r="2616" spans="1:3">
      <c r="A2616" s="177">
        <v>961500552</v>
      </c>
      <c r="B2616" s="116" t="str">
        <f t="shared" si="40"/>
        <v>96-961500552</v>
      </c>
      <c r="C2616" s="179" t="s">
        <v>8497</v>
      </c>
    </row>
    <row r="2617" spans="1:3">
      <c r="A2617" s="177">
        <v>961500648</v>
      </c>
      <c r="B2617" s="116" t="str">
        <f t="shared" si="40"/>
        <v>96-961500648</v>
      </c>
      <c r="C2617" s="179" t="s">
        <v>9767</v>
      </c>
    </row>
    <row r="2618" spans="1:3">
      <c r="A2618" s="177">
        <v>961500655</v>
      </c>
      <c r="B2618" s="116" t="str">
        <f t="shared" si="40"/>
        <v>96-961500655</v>
      </c>
      <c r="C2618" s="179" t="s">
        <v>9770</v>
      </c>
    </row>
    <row r="2619" spans="1:3">
      <c r="A2619" s="177">
        <v>961500401</v>
      </c>
      <c r="B2619" s="116" t="str">
        <f t="shared" si="40"/>
        <v>96-961500401</v>
      </c>
      <c r="C2619" s="179" t="s">
        <v>5852</v>
      </c>
    </row>
    <row r="2620" spans="1:3">
      <c r="A2620" s="177">
        <v>961500499</v>
      </c>
      <c r="B2620" s="116" t="str">
        <f t="shared" si="40"/>
        <v>96-961500499</v>
      </c>
      <c r="C2620" s="179" t="s">
        <v>7121</v>
      </c>
    </row>
    <row r="2621" spans="1:3">
      <c r="A2621" s="177">
        <v>961500631</v>
      </c>
      <c r="B2621" s="116" t="str">
        <f t="shared" si="40"/>
        <v>96-961500631</v>
      </c>
      <c r="C2621" s="179" t="s">
        <v>9796</v>
      </c>
    </row>
    <row r="2622" spans="1:3">
      <c r="A2622" s="177">
        <v>966200163</v>
      </c>
      <c r="B2622" s="116" t="str">
        <f t="shared" si="40"/>
        <v>96-966200163</v>
      </c>
      <c r="C2622" s="179" t="s">
        <v>7859</v>
      </c>
    </row>
    <row r="2623" spans="1:3">
      <c r="A2623" s="177">
        <v>961700087</v>
      </c>
      <c r="B2623" s="116" t="str">
        <f t="shared" si="40"/>
        <v>96-961700087</v>
      </c>
      <c r="C2623" s="179" t="s">
        <v>7860</v>
      </c>
    </row>
    <row r="2624" spans="1:3">
      <c r="A2624" s="177">
        <v>966200279</v>
      </c>
      <c r="B2624" s="116" t="str">
        <f t="shared" si="40"/>
        <v>96-966200279</v>
      </c>
      <c r="C2624" s="179" t="s">
        <v>7167</v>
      </c>
    </row>
    <row r="2625" spans="1:3">
      <c r="A2625" s="177">
        <v>966200280</v>
      </c>
      <c r="B2625" s="116" t="str">
        <f t="shared" si="40"/>
        <v>96-966200280</v>
      </c>
      <c r="C2625" s="179" t="s">
        <v>7167</v>
      </c>
    </row>
    <row r="2626" spans="1:3">
      <c r="A2626" s="177">
        <v>966200278</v>
      </c>
      <c r="B2626" s="116" t="str">
        <f t="shared" si="40"/>
        <v>96-966200278</v>
      </c>
      <c r="C2626" s="179" t="s">
        <v>7167</v>
      </c>
    </row>
    <row r="2627" spans="1:3">
      <c r="A2627" s="177">
        <v>966200316</v>
      </c>
      <c r="B2627" s="116" t="str">
        <f t="shared" ref="B2627:B2690" si="41">MID(A2627,1,2)&amp;"-"&amp;A2627</f>
        <v>96-966200316</v>
      </c>
      <c r="C2627" s="179" t="s">
        <v>8712</v>
      </c>
    </row>
    <row r="2628" spans="1:3">
      <c r="A2628" s="177">
        <v>951900171</v>
      </c>
      <c r="B2628" s="116" t="str">
        <f t="shared" si="41"/>
        <v>95-951900171</v>
      </c>
      <c r="C2628" s="179" t="s">
        <v>7861</v>
      </c>
    </row>
    <row r="2629" spans="1:3">
      <c r="A2629" s="177">
        <v>951800144</v>
      </c>
      <c r="B2629" s="116" t="str">
        <f t="shared" si="41"/>
        <v>95-951800144</v>
      </c>
      <c r="C2629" s="179" t="s">
        <v>7862</v>
      </c>
    </row>
    <row r="2630" spans="1:3">
      <c r="A2630" s="177">
        <v>961800033</v>
      </c>
      <c r="B2630" s="116" t="str">
        <f t="shared" si="41"/>
        <v>96-961800033</v>
      </c>
      <c r="C2630" s="179" t="s">
        <v>8337</v>
      </c>
    </row>
    <row r="2631" spans="1:3">
      <c r="A2631" s="177">
        <v>966200428</v>
      </c>
      <c r="B2631" s="116" t="str">
        <f t="shared" si="41"/>
        <v>96-966200428</v>
      </c>
      <c r="C2631" s="179" t="s">
        <v>12256</v>
      </c>
    </row>
    <row r="2632" spans="1:3">
      <c r="A2632" s="177">
        <v>966200263</v>
      </c>
      <c r="B2632" s="116" t="str">
        <f t="shared" si="41"/>
        <v>96-966200263</v>
      </c>
      <c r="C2632" s="179" t="s">
        <v>7864</v>
      </c>
    </row>
    <row r="2633" spans="1:3">
      <c r="A2633" s="177">
        <v>966200456</v>
      </c>
      <c r="B2633" s="116" t="str">
        <f t="shared" si="41"/>
        <v>96-966200456</v>
      </c>
      <c r="C2633" s="179" t="s">
        <v>12257</v>
      </c>
    </row>
    <row r="2634" spans="1:3">
      <c r="A2634" s="177">
        <v>951600055</v>
      </c>
      <c r="B2634" s="116" t="str">
        <f t="shared" si="41"/>
        <v>95-951600055</v>
      </c>
      <c r="C2634" s="179" t="s">
        <v>7865</v>
      </c>
    </row>
    <row r="2635" spans="1:3">
      <c r="A2635" s="177">
        <v>961500804</v>
      </c>
      <c r="B2635" s="116" t="str">
        <f t="shared" si="41"/>
        <v>96-961500804</v>
      </c>
      <c r="C2635" s="179" t="s">
        <v>12221</v>
      </c>
    </row>
    <row r="2636" spans="1:3">
      <c r="A2636" s="177">
        <v>951500521</v>
      </c>
      <c r="B2636" s="116" t="str">
        <f t="shared" si="41"/>
        <v>95-951500521</v>
      </c>
      <c r="C2636" s="179" t="s">
        <v>5712</v>
      </c>
    </row>
    <row r="2637" spans="1:3">
      <c r="A2637" s="177">
        <v>966200295</v>
      </c>
      <c r="B2637" s="116" t="str">
        <f t="shared" si="41"/>
        <v>96-966200295</v>
      </c>
      <c r="C2637" s="179" t="s">
        <v>7171</v>
      </c>
    </row>
    <row r="2638" spans="1:3">
      <c r="A2638" s="177">
        <v>961700165</v>
      </c>
      <c r="B2638" s="116" t="str">
        <f t="shared" si="41"/>
        <v>96-961700165</v>
      </c>
      <c r="C2638" s="179" t="s">
        <v>12258</v>
      </c>
    </row>
    <row r="2639" spans="1:3">
      <c r="A2639" s="177">
        <v>956000010</v>
      </c>
      <c r="B2639" s="116" t="str">
        <f t="shared" si="41"/>
        <v>95-956000010</v>
      </c>
      <c r="C2639" s="179" t="s">
        <v>7146</v>
      </c>
    </row>
    <row r="2640" spans="1:3">
      <c r="A2640" s="177">
        <v>951200048</v>
      </c>
      <c r="B2640" s="116" t="str">
        <f t="shared" si="41"/>
        <v>95-951200048</v>
      </c>
      <c r="C2640" s="179" t="s">
        <v>7174</v>
      </c>
    </row>
    <row r="2641" spans="1:3">
      <c r="A2641" s="177">
        <v>951200086</v>
      </c>
      <c r="B2641" s="116" t="str">
        <f t="shared" si="41"/>
        <v>95-951200086</v>
      </c>
      <c r="C2641" s="179" t="s">
        <v>7172</v>
      </c>
    </row>
    <row r="2642" spans="1:3">
      <c r="A2642" s="177">
        <v>951200096</v>
      </c>
      <c r="B2642" s="116" t="str">
        <f t="shared" si="41"/>
        <v>95-951200096</v>
      </c>
      <c r="C2642" s="179" t="s">
        <v>7218</v>
      </c>
    </row>
    <row r="2643" spans="1:3">
      <c r="A2643" s="177">
        <v>952200037</v>
      </c>
      <c r="B2643" s="116" t="str">
        <f t="shared" si="41"/>
        <v>95-952200037</v>
      </c>
      <c r="C2643" s="179" t="s">
        <v>7174</v>
      </c>
    </row>
    <row r="2644" spans="1:3">
      <c r="A2644" s="177">
        <v>962200034</v>
      </c>
      <c r="B2644" s="116" t="str">
        <f t="shared" si="41"/>
        <v>96-962200034</v>
      </c>
      <c r="C2644" s="179" t="s">
        <v>7173</v>
      </c>
    </row>
    <row r="2645" spans="1:3">
      <c r="A2645" s="177">
        <v>952200072</v>
      </c>
      <c r="B2645" s="116" t="str">
        <f t="shared" si="41"/>
        <v>95-952200072</v>
      </c>
      <c r="C2645" s="179" t="s">
        <v>7151</v>
      </c>
    </row>
    <row r="2646" spans="1:3">
      <c r="A2646" s="177">
        <v>962200035</v>
      </c>
      <c r="B2646" s="116" t="str">
        <f t="shared" si="41"/>
        <v>96-962200035</v>
      </c>
      <c r="C2646" s="179" t="s">
        <v>7173</v>
      </c>
    </row>
    <row r="2647" spans="1:3">
      <c r="A2647" s="177">
        <v>952200020</v>
      </c>
      <c r="B2647" s="116" t="str">
        <f t="shared" si="41"/>
        <v>95-952200020</v>
      </c>
      <c r="C2647" s="179" t="s">
        <v>7174</v>
      </c>
    </row>
    <row r="2648" spans="1:3">
      <c r="A2648" s="177">
        <v>952200024</v>
      </c>
      <c r="B2648" s="116" t="str">
        <f t="shared" si="41"/>
        <v>95-952200024</v>
      </c>
      <c r="C2648" s="179" t="s">
        <v>7126</v>
      </c>
    </row>
    <row r="2649" spans="1:3">
      <c r="A2649" s="177">
        <v>952200063</v>
      </c>
      <c r="B2649" s="116" t="str">
        <f t="shared" si="41"/>
        <v>95-952200063</v>
      </c>
      <c r="C2649" s="179" t="s">
        <v>7174</v>
      </c>
    </row>
    <row r="2650" spans="1:3">
      <c r="A2650" s="177">
        <v>962200030</v>
      </c>
      <c r="B2650" s="116" t="str">
        <f t="shared" si="41"/>
        <v>96-962200030</v>
      </c>
      <c r="C2650" s="179" t="s">
        <v>7230</v>
      </c>
    </row>
    <row r="2651" spans="1:3">
      <c r="A2651" s="177">
        <v>962200040</v>
      </c>
      <c r="B2651" s="116" t="str">
        <f t="shared" si="41"/>
        <v>96-962200040</v>
      </c>
      <c r="C2651" s="179" t="s">
        <v>7173</v>
      </c>
    </row>
    <row r="2652" spans="1:3">
      <c r="A2652" s="177">
        <v>962200061</v>
      </c>
      <c r="B2652" s="116" t="str">
        <f t="shared" si="41"/>
        <v>96-962200061</v>
      </c>
      <c r="C2652" s="179" t="s">
        <v>7452</v>
      </c>
    </row>
    <row r="2653" spans="1:3">
      <c r="A2653" s="177">
        <v>962200064</v>
      </c>
      <c r="B2653" s="116" t="str">
        <f t="shared" si="41"/>
        <v>96-962200064</v>
      </c>
      <c r="C2653" s="179" t="s">
        <v>7450</v>
      </c>
    </row>
    <row r="2654" spans="1:3">
      <c r="A2654" s="177">
        <v>956200194</v>
      </c>
      <c r="B2654" s="116" t="str">
        <f t="shared" si="41"/>
        <v>95-956200194</v>
      </c>
      <c r="C2654" s="179" t="s">
        <v>7879</v>
      </c>
    </row>
    <row r="2655" spans="1:3">
      <c r="A2655" s="177">
        <v>956200318</v>
      </c>
      <c r="B2655" s="116" t="str">
        <f t="shared" si="41"/>
        <v>95-956200318</v>
      </c>
      <c r="C2655" s="179" t="s">
        <v>7880</v>
      </c>
    </row>
    <row r="2656" spans="1:3">
      <c r="A2656" s="177">
        <v>951100011</v>
      </c>
      <c r="B2656" s="116" t="str">
        <f t="shared" si="41"/>
        <v>95-951100011</v>
      </c>
      <c r="C2656" s="179" t="s">
        <v>7967</v>
      </c>
    </row>
    <row r="2657" spans="1:3">
      <c r="A2657" s="177">
        <v>956200225</v>
      </c>
      <c r="B2657" s="116" t="str">
        <f t="shared" si="41"/>
        <v>95-956200225</v>
      </c>
      <c r="C2657" s="179" t="s">
        <v>7987</v>
      </c>
    </row>
    <row r="2658" spans="1:3">
      <c r="A2658" s="177">
        <v>962200065</v>
      </c>
      <c r="B2658" s="116" t="str">
        <f t="shared" si="41"/>
        <v>96-962200065</v>
      </c>
      <c r="C2658" s="179" t="s">
        <v>7450</v>
      </c>
    </row>
    <row r="2659" spans="1:3">
      <c r="A2659" s="177">
        <v>952500047</v>
      </c>
      <c r="B2659" s="116" t="str">
        <f t="shared" si="41"/>
        <v>95-952500047</v>
      </c>
      <c r="C2659" s="179" t="s">
        <v>5661</v>
      </c>
    </row>
    <row r="2660" spans="1:3">
      <c r="A2660" s="177">
        <v>952500035</v>
      </c>
      <c r="B2660" s="116" t="str">
        <f t="shared" si="41"/>
        <v>95-952500035</v>
      </c>
      <c r="C2660" s="179" t="s">
        <v>5658</v>
      </c>
    </row>
    <row r="2661" spans="1:3">
      <c r="A2661" s="177">
        <v>962500063</v>
      </c>
      <c r="B2661" s="116" t="str">
        <f t="shared" si="41"/>
        <v>96-962500063</v>
      </c>
      <c r="C2661" s="179" t="s">
        <v>5842</v>
      </c>
    </row>
    <row r="2662" spans="1:3">
      <c r="A2662" s="177">
        <v>962500070</v>
      </c>
      <c r="B2662" s="116" t="str">
        <f t="shared" si="41"/>
        <v>96-962500070</v>
      </c>
      <c r="C2662" s="179" t="s">
        <v>5842</v>
      </c>
    </row>
    <row r="2663" spans="1:3">
      <c r="A2663" s="177">
        <v>962500096</v>
      </c>
      <c r="B2663" s="116" t="str">
        <f t="shared" si="41"/>
        <v>96-962500096</v>
      </c>
      <c r="C2663" s="179" t="s">
        <v>5842</v>
      </c>
    </row>
    <row r="2664" spans="1:3">
      <c r="A2664" s="177">
        <v>962500146</v>
      </c>
      <c r="B2664" s="116" t="str">
        <f t="shared" si="41"/>
        <v>96-962500146</v>
      </c>
      <c r="C2664" s="179" t="s">
        <v>9795</v>
      </c>
    </row>
    <row r="2665" spans="1:3">
      <c r="A2665" s="177">
        <v>952500074</v>
      </c>
      <c r="B2665" s="116" t="str">
        <f t="shared" si="41"/>
        <v>95-952500074</v>
      </c>
      <c r="C2665" s="179" t="s">
        <v>5731</v>
      </c>
    </row>
    <row r="2666" spans="1:3">
      <c r="A2666" s="177">
        <v>952500101</v>
      </c>
      <c r="B2666" s="116" t="str">
        <f t="shared" si="41"/>
        <v>95-952500101</v>
      </c>
      <c r="C2666" s="179" t="s">
        <v>5757</v>
      </c>
    </row>
    <row r="2667" spans="1:3">
      <c r="A2667" s="177">
        <v>954200040</v>
      </c>
      <c r="B2667" s="116" t="str">
        <f t="shared" si="41"/>
        <v>95-954200040</v>
      </c>
      <c r="C2667" s="179" t="s">
        <v>5676</v>
      </c>
    </row>
    <row r="2668" spans="1:3">
      <c r="A2668" s="177">
        <v>951100113</v>
      </c>
      <c r="B2668" s="116" t="str">
        <f t="shared" si="41"/>
        <v>95-951100113</v>
      </c>
      <c r="C2668" s="179" t="s">
        <v>8007</v>
      </c>
    </row>
    <row r="2669" spans="1:3">
      <c r="A2669" s="177">
        <v>966200019</v>
      </c>
      <c r="B2669" s="116" t="str">
        <f t="shared" si="41"/>
        <v>96-966200019</v>
      </c>
      <c r="C2669" s="179" t="s">
        <v>7370</v>
      </c>
    </row>
    <row r="2670" spans="1:3">
      <c r="A2670" s="177">
        <v>956200126</v>
      </c>
      <c r="B2670" s="116" t="str">
        <f t="shared" si="41"/>
        <v>95-956200126</v>
      </c>
      <c r="C2670" s="179" t="s">
        <v>7390</v>
      </c>
    </row>
    <row r="2671" spans="1:3">
      <c r="A2671" s="177">
        <v>951100026</v>
      </c>
      <c r="B2671" s="116" t="str">
        <f t="shared" si="41"/>
        <v>95-951100026</v>
      </c>
      <c r="C2671" s="179" t="s">
        <v>7971</v>
      </c>
    </row>
    <row r="2672" spans="1:3">
      <c r="A2672" s="177">
        <v>961200006</v>
      </c>
      <c r="B2672" s="116" t="str">
        <f t="shared" si="41"/>
        <v>96-961200006</v>
      </c>
      <c r="C2672" s="179" t="s">
        <v>7972</v>
      </c>
    </row>
    <row r="2673" spans="1:3">
      <c r="A2673" s="177">
        <v>961100016</v>
      </c>
      <c r="B2673" s="116" t="str">
        <f t="shared" si="41"/>
        <v>96-961100016</v>
      </c>
      <c r="C2673" s="179" t="s">
        <v>7973</v>
      </c>
    </row>
    <row r="2674" spans="1:3">
      <c r="A2674" s="177">
        <v>961200035</v>
      </c>
      <c r="B2674" s="116" t="str">
        <f t="shared" si="41"/>
        <v>96-961200035</v>
      </c>
      <c r="C2674" s="179" t="s">
        <v>7974</v>
      </c>
    </row>
    <row r="2675" spans="1:3">
      <c r="A2675" s="177">
        <v>961200039</v>
      </c>
      <c r="B2675" s="116" t="str">
        <f t="shared" si="41"/>
        <v>96-961200039</v>
      </c>
      <c r="C2675" s="179" t="s">
        <v>7975</v>
      </c>
    </row>
    <row r="2676" spans="1:3">
      <c r="A2676" s="177">
        <v>961200055</v>
      </c>
      <c r="B2676" s="116" t="str">
        <f t="shared" si="41"/>
        <v>96-961200055</v>
      </c>
      <c r="C2676" s="179" t="s">
        <v>7976</v>
      </c>
    </row>
    <row r="2677" spans="1:3">
      <c r="A2677" s="177">
        <v>961200075</v>
      </c>
      <c r="B2677" s="116" t="str">
        <f t="shared" si="41"/>
        <v>96-961200075</v>
      </c>
      <c r="C2677" s="179" t="s">
        <v>8737</v>
      </c>
    </row>
    <row r="2678" spans="1:3">
      <c r="A2678" s="177">
        <v>961200106</v>
      </c>
      <c r="B2678" s="116" t="str">
        <f t="shared" si="41"/>
        <v>96-961200106</v>
      </c>
      <c r="C2678" s="179" t="s">
        <v>9781</v>
      </c>
    </row>
    <row r="2679" spans="1:3">
      <c r="A2679" s="177">
        <v>961100086</v>
      </c>
      <c r="B2679" s="116" t="str">
        <f t="shared" si="41"/>
        <v>96-961100086</v>
      </c>
      <c r="C2679" s="179" t="s">
        <v>12271</v>
      </c>
    </row>
    <row r="2680" spans="1:3">
      <c r="A2680" s="177">
        <v>952000164</v>
      </c>
      <c r="B2680" s="116" t="str">
        <f t="shared" si="41"/>
        <v>95-952000164</v>
      </c>
      <c r="C2680" s="179" t="s">
        <v>7386</v>
      </c>
    </row>
    <row r="2681" spans="1:3">
      <c r="A2681" s="177">
        <v>962000237</v>
      </c>
      <c r="B2681" s="116" t="str">
        <f t="shared" si="41"/>
        <v>96-962000237</v>
      </c>
      <c r="C2681" s="179" t="s">
        <v>7112</v>
      </c>
    </row>
    <row r="2682" spans="1:3">
      <c r="A2682" s="177">
        <v>966200108</v>
      </c>
      <c r="B2682" s="116" t="str">
        <f t="shared" si="41"/>
        <v>96-966200108</v>
      </c>
      <c r="C2682" s="179" t="s">
        <v>7361</v>
      </c>
    </row>
    <row r="2683" spans="1:3">
      <c r="A2683" s="177">
        <v>966200172</v>
      </c>
      <c r="B2683" s="116" t="str">
        <f t="shared" si="41"/>
        <v>96-966200172</v>
      </c>
      <c r="C2683" s="179" t="s">
        <v>7363</v>
      </c>
    </row>
    <row r="2684" spans="1:3">
      <c r="A2684" s="177">
        <v>951100119</v>
      </c>
      <c r="B2684" s="116" t="str">
        <f t="shared" si="41"/>
        <v>95-951100119</v>
      </c>
      <c r="C2684" s="179" t="s">
        <v>7897</v>
      </c>
    </row>
    <row r="2685" spans="1:3">
      <c r="A2685" s="177">
        <v>966200161</v>
      </c>
      <c r="B2685" s="116" t="str">
        <f t="shared" si="41"/>
        <v>96-966200161</v>
      </c>
      <c r="C2685" s="179" t="s">
        <v>7362</v>
      </c>
    </row>
    <row r="2686" spans="1:3">
      <c r="A2686" s="177">
        <v>966200180</v>
      </c>
      <c r="B2686" s="116" t="str">
        <f t="shared" si="41"/>
        <v>96-966200180</v>
      </c>
      <c r="C2686" s="179" t="s">
        <v>7986</v>
      </c>
    </row>
    <row r="2687" spans="1:3">
      <c r="A2687" s="177">
        <v>966200228</v>
      </c>
      <c r="B2687" s="116" t="str">
        <f t="shared" si="41"/>
        <v>96-966200228</v>
      </c>
      <c r="C2687" s="179" t="s">
        <v>7116</v>
      </c>
    </row>
    <row r="2688" spans="1:3">
      <c r="A2688" s="177">
        <v>961100107</v>
      </c>
      <c r="B2688" s="116" t="str">
        <f t="shared" si="41"/>
        <v>96-961100107</v>
      </c>
      <c r="C2688" s="179" t="s">
        <v>12439</v>
      </c>
    </row>
    <row r="2689" spans="1:3">
      <c r="A2689" s="177">
        <v>966200229</v>
      </c>
      <c r="B2689" s="116" t="str">
        <f t="shared" si="41"/>
        <v>96-966200229</v>
      </c>
      <c r="C2689" s="179" t="s">
        <v>7116</v>
      </c>
    </row>
    <row r="2690" spans="1:3">
      <c r="A2690" s="177">
        <v>956200216</v>
      </c>
      <c r="B2690" s="116" t="str">
        <f t="shared" si="41"/>
        <v>95-956200216</v>
      </c>
      <c r="C2690" s="179" t="s">
        <v>7357</v>
      </c>
    </row>
    <row r="2691" spans="1:3">
      <c r="A2691" s="177">
        <v>956200139</v>
      </c>
      <c r="B2691" s="116" t="str">
        <f t="shared" ref="B2691:B2754" si="42">MID(A2691,1,2)&amp;"-"&amp;A2691</f>
        <v>95-956200139</v>
      </c>
      <c r="C2691" s="179" t="s">
        <v>7978</v>
      </c>
    </row>
    <row r="2692" spans="1:3">
      <c r="A2692" s="177">
        <v>966200057</v>
      </c>
      <c r="B2692" s="116" t="str">
        <f t="shared" si="42"/>
        <v>96-966200057</v>
      </c>
      <c r="C2692" s="179" t="s">
        <v>7345</v>
      </c>
    </row>
    <row r="2693" spans="1:3">
      <c r="A2693" s="177">
        <v>956200420</v>
      </c>
      <c r="B2693" s="116" t="str">
        <f t="shared" si="42"/>
        <v>95-956200420</v>
      </c>
      <c r="C2693" s="179" t="s">
        <v>7419</v>
      </c>
    </row>
    <row r="2694" spans="1:3">
      <c r="A2694" s="177">
        <v>952000058</v>
      </c>
      <c r="B2694" s="116" t="str">
        <f t="shared" si="42"/>
        <v>95-952000058</v>
      </c>
      <c r="C2694" s="179" t="s">
        <v>7278</v>
      </c>
    </row>
    <row r="2695" spans="1:3">
      <c r="A2695" s="177">
        <v>961200037</v>
      </c>
      <c r="B2695" s="116" t="str">
        <f t="shared" si="42"/>
        <v>96-961200037</v>
      </c>
      <c r="C2695" s="179" t="s">
        <v>7989</v>
      </c>
    </row>
    <row r="2696" spans="1:3">
      <c r="A2696" s="177">
        <v>961200091</v>
      </c>
      <c r="B2696" s="116" t="str">
        <f t="shared" si="42"/>
        <v>96-961200091</v>
      </c>
      <c r="C2696" s="179" t="s">
        <v>9792</v>
      </c>
    </row>
    <row r="2697" spans="1:3">
      <c r="A2697" s="177">
        <v>961200092</v>
      </c>
      <c r="B2697" s="116" t="str">
        <f t="shared" si="42"/>
        <v>96-961200092</v>
      </c>
      <c r="C2697" s="179" t="s">
        <v>9793</v>
      </c>
    </row>
    <row r="2698" spans="1:3">
      <c r="A2698" s="177">
        <v>961200157</v>
      </c>
      <c r="B2698" s="116" t="str">
        <f t="shared" si="42"/>
        <v>96-961200157</v>
      </c>
      <c r="C2698" s="179" t="s">
        <v>12440</v>
      </c>
    </row>
    <row r="2699" spans="1:3">
      <c r="A2699" s="177">
        <v>951100157</v>
      </c>
      <c r="B2699" s="116" t="str">
        <f t="shared" si="42"/>
        <v>95-951100157</v>
      </c>
      <c r="C2699" s="179" t="s">
        <v>7395</v>
      </c>
    </row>
    <row r="2700" spans="1:3">
      <c r="A2700" s="177">
        <v>956200165</v>
      </c>
      <c r="B2700" s="116" t="str">
        <f t="shared" si="42"/>
        <v>95-956200165</v>
      </c>
      <c r="C2700" s="179" t="s">
        <v>7268</v>
      </c>
    </row>
    <row r="2701" spans="1:3">
      <c r="A2701" s="177">
        <v>952000252</v>
      </c>
      <c r="B2701" s="116" t="str">
        <f t="shared" si="42"/>
        <v>95-952000252</v>
      </c>
      <c r="C2701" s="179" t="s">
        <v>7327</v>
      </c>
    </row>
    <row r="2702" spans="1:3">
      <c r="A2702" s="177">
        <v>962000037</v>
      </c>
      <c r="B2702" s="116" t="str">
        <f t="shared" si="42"/>
        <v>96-962000037</v>
      </c>
      <c r="C2702" s="179" t="s">
        <v>7112</v>
      </c>
    </row>
    <row r="2703" spans="1:3">
      <c r="A2703" s="177">
        <v>966200024</v>
      </c>
      <c r="B2703" s="116" t="str">
        <f t="shared" si="42"/>
        <v>96-966200024</v>
      </c>
      <c r="C2703" s="179" t="s">
        <v>7360</v>
      </c>
    </row>
    <row r="2704" spans="1:3">
      <c r="A2704" s="177">
        <v>966200230</v>
      </c>
      <c r="B2704" s="116" t="str">
        <f t="shared" si="42"/>
        <v>96-966200230</v>
      </c>
      <c r="C2704" s="179" t="s">
        <v>7116</v>
      </c>
    </row>
    <row r="2705" spans="1:3">
      <c r="A2705" s="177">
        <v>951100151</v>
      </c>
      <c r="B2705" s="116" t="str">
        <f t="shared" si="42"/>
        <v>95-951100151</v>
      </c>
      <c r="C2705" s="179" t="s">
        <v>7401</v>
      </c>
    </row>
    <row r="2706" spans="1:3">
      <c r="A2706" s="177">
        <v>962000088</v>
      </c>
      <c r="B2706" s="116" t="str">
        <f t="shared" si="42"/>
        <v>96-962000088</v>
      </c>
      <c r="C2706" s="179" t="s">
        <v>7112</v>
      </c>
    </row>
    <row r="2707" spans="1:3">
      <c r="A2707" s="177">
        <v>962000426</v>
      </c>
      <c r="B2707" s="116" t="str">
        <f t="shared" si="42"/>
        <v>96-962000426</v>
      </c>
      <c r="C2707" s="179" t="s">
        <v>12184</v>
      </c>
    </row>
    <row r="2708" spans="1:3">
      <c r="A2708" s="177">
        <v>962000438</v>
      </c>
      <c r="B2708" s="116" t="str">
        <f t="shared" si="42"/>
        <v>96-962000438</v>
      </c>
      <c r="C2708" s="179" t="s">
        <v>12184</v>
      </c>
    </row>
    <row r="2709" spans="1:3">
      <c r="A2709" s="177">
        <v>952000234</v>
      </c>
      <c r="B2709" s="116" t="str">
        <f t="shared" si="42"/>
        <v>95-952000234</v>
      </c>
      <c r="C2709" s="179" t="s">
        <v>7903</v>
      </c>
    </row>
    <row r="2710" spans="1:3">
      <c r="A2710" s="177">
        <v>962000375</v>
      </c>
      <c r="B2710" s="116" t="str">
        <f t="shared" si="42"/>
        <v>96-962000375</v>
      </c>
      <c r="C2710" s="179" t="s">
        <v>12208</v>
      </c>
    </row>
    <row r="2711" spans="1:3">
      <c r="A2711" s="177">
        <v>952000014</v>
      </c>
      <c r="B2711" s="116" t="str">
        <f t="shared" si="42"/>
        <v>95-952000014</v>
      </c>
      <c r="C2711" s="179" t="s">
        <v>7904</v>
      </c>
    </row>
    <row r="2712" spans="1:3">
      <c r="A2712" s="177">
        <v>952000217</v>
      </c>
      <c r="B2712" s="116" t="str">
        <f t="shared" si="42"/>
        <v>95-952000217</v>
      </c>
      <c r="C2712" s="179" t="s">
        <v>7905</v>
      </c>
    </row>
    <row r="2713" spans="1:3">
      <c r="A2713" s="177">
        <v>951100006</v>
      </c>
      <c r="B2713" s="116" t="str">
        <f t="shared" si="42"/>
        <v>95-951100006</v>
      </c>
      <c r="C2713" s="179" t="s">
        <v>8020</v>
      </c>
    </row>
    <row r="2714" spans="1:3">
      <c r="A2714" s="177">
        <v>951500114</v>
      </c>
      <c r="B2714" s="116" t="str">
        <f t="shared" si="42"/>
        <v>95-951500114</v>
      </c>
      <c r="C2714" s="179" t="s">
        <v>5617</v>
      </c>
    </row>
    <row r="2715" spans="1:3">
      <c r="A2715" s="177">
        <v>951500158</v>
      </c>
      <c r="B2715" s="116" t="str">
        <f t="shared" si="42"/>
        <v>95-951500158</v>
      </c>
      <c r="C2715" s="179" t="s">
        <v>5617</v>
      </c>
    </row>
    <row r="2716" spans="1:3">
      <c r="A2716" s="177">
        <v>956200011</v>
      </c>
      <c r="B2716" s="116" t="str">
        <f t="shared" si="42"/>
        <v>95-956200011</v>
      </c>
      <c r="C2716" s="179" t="s">
        <v>7376</v>
      </c>
    </row>
    <row r="2717" spans="1:3">
      <c r="A2717" s="177">
        <v>952000336</v>
      </c>
      <c r="B2717" s="116" t="str">
        <f t="shared" si="42"/>
        <v>95-952000336</v>
      </c>
      <c r="C2717" s="179" t="s">
        <v>7420</v>
      </c>
    </row>
    <row r="2718" spans="1:3">
      <c r="A2718" s="177">
        <v>956300009</v>
      </c>
      <c r="B2718" s="116" t="str">
        <f t="shared" si="42"/>
        <v>95-956300009</v>
      </c>
      <c r="C2718" s="179" t="s">
        <v>8021</v>
      </c>
    </row>
    <row r="2719" spans="1:3">
      <c r="A2719" s="177">
        <v>951500203</v>
      </c>
      <c r="B2719" s="116" t="str">
        <f t="shared" si="42"/>
        <v>95-951500203</v>
      </c>
      <c r="C2719" s="179" t="s">
        <v>5618</v>
      </c>
    </row>
    <row r="2720" spans="1:3">
      <c r="A2720" s="177">
        <v>951500303</v>
      </c>
      <c r="B2720" s="116" t="str">
        <f t="shared" si="42"/>
        <v>95-951500303</v>
      </c>
      <c r="C2720" s="179" t="s">
        <v>5618</v>
      </c>
    </row>
    <row r="2721" spans="1:3">
      <c r="A2721" s="177">
        <v>951500135</v>
      </c>
      <c r="B2721" s="116" t="str">
        <f t="shared" si="42"/>
        <v>95-951500135</v>
      </c>
      <c r="C2721" s="179" t="s">
        <v>5612</v>
      </c>
    </row>
    <row r="2722" spans="1:3">
      <c r="A2722" s="177">
        <v>951500212</v>
      </c>
      <c r="B2722" s="116" t="str">
        <f t="shared" si="42"/>
        <v>95-951500212</v>
      </c>
      <c r="C2722" s="179" t="s">
        <v>5630</v>
      </c>
    </row>
    <row r="2723" spans="1:3">
      <c r="A2723" s="177">
        <v>951500234</v>
      </c>
      <c r="B2723" s="116" t="str">
        <f t="shared" si="42"/>
        <v>95-951500234</v>
      </c>
      <c r="C2723" s="179" t="s">
        <v>5630</v>
      </c>
    </row>
    <row r="2724" spans="1:3">
      <c r="A2724" s="177">
        <v>951500264</v>
      </c>
      <c r="B2724" s="116" t="str">
        <f t="shared" si="42"/>
        <v>95-951500264</v>
      </c>
      <c r="C2724" s="179" t="s">
        <v>5645</v>
      </c>
    </row>
    <row r="2725" spans="1:3">
      <c r="A2725" s="177">
        <v>961500073</v>
      </c>
      <c r="B2725" s="116" t="str">
        <f t="shared" si="42"/>
        <v>96-961500073</v>
      </c>
      <c r="C2725" s="179" t="s">
        <v>5762</v>
      </c>
    </row>
    <row r="2726" spans="1:3">
      <c r="A2726" s="177">
        <v>961500074</v>
      </c>
      <c r="B2726" s="116" t="str">
        <f t="shared" si="42"/>
        <v>96-961500074</v>
      </c>
      <c r="C2726" s="179" t="s">
        <v>5762</v>
      </c>
    </row>
    <row r="2727" spans="1:3">
      <c r="A2727" s="177">
        <v>961500091</v>
      </c>
      <c r="B2727" s="116" t="str">
        <f t="shared" si="42"/>
        <v>96-961500091</v>
      </c>
      <c r="C2727" s="179" t="s">
        <v>5762</v>
      </c>
    </row>
    <row r="2728" spans="1:3">
      <c r="A2728" s="177">
        <v>961500786</v>
      </c>
      <c r="B2728" s="116" t="str">
        <f t="shared" si="42"/>
        <v>96-961500786</v>
      </c>
      <c r="C2728" s="179" t="s">
        <v>12260</v>
      </c>
    </row>
    <row r="2729" spans="1:3">
      <c r="A2729" s="177">
        <v>952000125</v>
      </c>
      <c r="B2729" s="116" t="str">
        <f t="shared" si="42"/>
        <v>95-952000125</v>
      </c>
      <c r="C2729" s="179" t="s">
        <v>7405</v>
      </c>
    </row>
    <row r="2730" spans="1:3">
      <c r="A2730" s="177">
        <v>951500115</v>
      </c>
      <c r="B2730" s="116" t="str">
        <f t="shared" si="42"/>
        <v>95-951500115</v>
      </c>
      <c r="C2730" s="179" t="s">
        <v>5608</v>
      </c>
    </row>
    <row r="2731" spans="1:3">
      <c r="A2731" s="177">
        <v>951500088</v>
      </c>
      <c r="B2731" s="116" t="str">
        <f t="shared" si="42"/>
        <v>95-951500088</v>
      </c>
      <c r="C2731" s="179" t="s">
        <v>5608</v>
      </c>
    </row>
    <row r="2732" spans="1:3">
      <c r="A2732" s="177">
        <v>951500089</v>
      </c>
      <c r="B2732" s="116" t="str">
        <f t="shared" si="42"/>
        <v>95-951500089</v>
      </c>
      <c r="C2732" s="179" t="s">
        <v>5608</v>
      </c>
    </row>
    <row r="2733" spans="1:3">
      <c r="A2733" s="177">
        <v>951500176</v>
      </c>
      <c r="B2733" s="116" t="str">
        <f t="shared" si="42"/>
        <v>95-951500176</v>
      </c>
      <c r="C2733" s="179" t="s">
        <v>5622</v>
      </c>
    </row>
    <row r="2734" spans="1:3">
      <c r="A2734" s="177">
        <v>951500460</v>
      </c>
      <c r="B2734" s="116" t="str">
        <f t="shared" si="42"/>
        <v>95-951500460</v>
      </c>
      <c r="C2734" s="179" t="s">
        <v>5690</v>
      </c>
    </row>
    <row r="2735" spans="1:3">
      <c r="A2735" s="177">
        <v>951500464</v>
      </c>
      <c r="B2735" s="116" t="str">
        <f t="shared" si="42"/>
        <v>95-951500464</v>
      </c>
      <c r="C2735" s="179" t="s">
        <v>5690</v>
      </c>
    </row>
    <row r="2736" spans="1:3">
      <c r="A2736" s="177">
        <v>951500466</v>
      </c>
      <c r="B2736" s="116" t="str">
        <f t="shared" si="42"/>
        <v>95-951500466</v>
      </c>
      <c r="C2736" s="179" t="s">
        <v>5690</v>
      </c>
    </row>
    <row r="2737" spans="1:3">
      <c r="A2737" s="177">
        <v>951500500</v>
      </c>
      <c r="B2737" s="116" t="str">
        <f t="shared" si="42"/>
        <v>95-951500500</v>
      </c>
      <c r="C2737" s="179" t="s">
        <v>5690</v>
      </c>
    </row>
    <row r="2738" spans="1:3">
      <c r="A2738" s="177">
        <v>952000129</v>
      </c>
      <c r="B2738" s="116" t="str">
        <f t="shared" si="42"/>
        <v>95-952000129</v>
      </c>
      <c r="C2738" s="179" t="s">
        <v>7405</v>
      </c>
    </row>
    <row r="2739" spans="1:3">
      <c r="A2739" s="177">
        <v>962000454</v>
      </c>
      <c r="B2739" s="116" t="str">
        <f t="shared" si="42"/>
        <v>96-962000454</v>
      </c>
      <c r="C2739" s="179" t="s">
        <v>12184</v>
      </c>
    </row>
    <row r="2740" spans="1:3">
      <c r="A2740" s="177">
        <v>951100045</v>
      </c>
      <c r="B2740" s="116" t="str">
        <f t="shared" si="42"/>
        <v>95-951100045</v>
      </c>
      <c r="C2740" s="179" t="s">
        <v>8004</v>
      </c>
    </row>
    <row r="2741" spans="1:3">
      <c r="A2741" s="177">
        <v>951500533</v>
      </c>
      <c r="B2741" s="116" t="str">
        <f t="shared" si="42"/>
        <v>95-951500533</v>
      </c>
      <c r="C2741" s="179" t="s">
        <v>5690</v>
      </c>
    </row>
    <row r="2742" spans="1:3">
      <c r="A2742" s="177">
        <v>961500572</v>
      </c>
      <c r="B2742" s="116" t="str">
        <f t="shared" si="42"/>
        <v>96-961500572</v>
      </c>
      <c r="C2742" s="179" t="s">
        <v>8497</v>
      </c>
    </row>
    <row r="2743" spans="1:3">
      <c r="A2743" s="177">
        <v>961500667</v>
      </c>
      <c r="B2743" s="116" t="str">
        <f t="shared" si="42"/>
        <v>96-961500667</v>
      </c>
      <c r="C2743" s="179" t="s">
        <v>9797</v>
      </c>
    </row>
    <row r="2744" spans="1:3">
      <c r="A2744" s="177">
        <v>961500030</v>
      </c>
      <c r="B2744" s="116" t="str">
        <f t="shared" si="42"/>
        <v>96-961500030</v>
      </c>
      <c r="C2744" s="179" t="s">
        <v>5775</v>
      </c>
    </row>
    <row r="2745" spans="1:3">
      <c r="A2745" s="177">
        <v>951500310</v>
      </c>
      <c r="B2745" s="116" t="str">
        <f t="shared" si="42"/>
        <v>95-951500310</v>
      </c>
      <c r="C2745" s="179" t="s">
        <v>5653</v>
      </c>
    </row>
    <row r="2746" spans="1:3">
      <c r="A2746" s="177">
        <v>961500765</v>
      </c>
      <c r="B2746" s="116" t="str">
        <f t="shared" si="42"/>
        <v>96-961500765</v>
      </c>
      <c r="C2746" s="179" t="s">
        <v>12261</v>
      </c>
    </row>
    <row r="2747" spans="1:3">
      <c r="A2747" s="177">
        <v>952000115</v>
      </c>
      <c r="B2747" s="116" t="str">
        <f t="shared" si="42"/>
        <v>95-952000115</v>
      </c>
      <c r="C2747" s="179" t="s">
        <v>7411</v>
      </c>
    </row>
    <row r="2748" spans="1:3">
      <c r="A2748" s="177">
        <v>952000086</v>
      </c>
      <c r="B2748" s="116" t="str">
        <f t="shared" si="42"/>
        <v>95-952000086</v>
      </c>
      <c r="C2748" s="179" t="s">
        <v>8011</v>
      </c>
    </row>
    <row r="2749" spans="1:3">
      <c r="A2749" s="177">
        <v>952000002</v>
      </c>
      <c r="B2749" s="116" t="str">
        <f t="shared" si="42"/>
        <v>95-952000002</v>
      </c>
      <c r="C2749" s="179" t="s">
        <v>7904</v>
      </c>
    </row>
    <row r="2750" spans="1:3">
      <c r="A2750" s="177">
        <v>951100042</v>
      </c>
      <c r="B2750" s="116" t="str">
        <f t="shared" si="42"/>
        <v>95-951100042</v>
      </c>
      <c r="C2750" s="179" t="s">
        <v>7412</v>
      </c>
    </row>
    <row r="2751" spans="1:3">
      <c r="A2751" s="177">
        <v>951100101</v>
      </c>
      <c r="B2751" s="116" t="str">
        <f t="shared" si="42"/>
        <v>95-951100101</v>
      </c>
      <c r="C2751" s="179" t="s">
        <v>7416</v>
      </c>
    </row>
    <row r="2752" spans="1:3">
      <c r="A2752" s="177">
        <v>966300001</v>
      </c>
      <c r="B2752" s="116" t="str">
        <f t="shared" si="42"/>
        <v>96-966300001</v>
      </c>
      <c r="C2752" s="179" t="s">
        <v>7417</v>
      </c>
    </row>
    <row r="2753" spans="1:3">
      <c r="A2753" s="177">
        <v>962000234</v>
      </c>
      <c r="B2753" s="116" t="str">
        <f t="shared" si="42"/>
        <v>96-962000234</v>
      </c>
      <c r="C2753" s="179" t="s">
        <v>7112</v>
      </c>
    </row>
    <row r="2754" spans="1:3">
      <c r="A2754" s="177">
        <v>951100180</v>
      </c>
      <c r="B2754" s="116" t="str">
        <f t="shared" si="42"/>
        <v>95-951100180</v>
      </c>
      <c r="C2754" s="179" t="s">
        <v>8022</v>
      </c>
    </row>
    <row r="2755" spans="1:3">
      <c r="A2755" s="177">
        <v>961100033</v>
      </c>
      <c r="B2755" s="116" t="str">
        <f t="shared" ref="B2755:B2818" si="43">MID(A2755,1,2)&amp;"-"&amp;A2755</f>
        <v>96-961100033</v>
      </c>
      <c r="C2755" s="179" t="s">
        <v>8023</v>
      </c>
    </row>
    <row r="2756" spans="1:3">
      <c r="A2756" s="177">
        <v>952000297</v>
      </c>
      <c r="B2756" s="116" t="str">
        <f t="shared" si="43"/>
        <v>95-952000297</v>
      </c>
      <c r="C2756" s="179" t="s">
        <v>7329</v>
      </c>
    </row>
    <row r="2757" spans="1:3">
      <c r="A2757" s="177">
        <v>961100058</v>
      </c>
      <c r="B2757" s="116" t="str">
        <f t="shared" si="43"/>
        <v>96-961100058</v>
      </c>
      <c r="C2757" s="179" t="s">
        <v>8012</v>
      </c>
    </row>
    <row r="2758" spans="1:3">
      <c r="A2758" s="177">
        <v>952000150</v>
      </c>
      <c r="B2758" s="116" t="str">
        <f t="shared" si="43"/>
        <v>95-952000150</v>
      </c>
      <c r="C2758" s="179" t="s">
        <v>7332</v>
      </c>
    </row>
    <row r="2759" spans="1:3">
      <c r="A2759" s="177">
        <v>952000300</v>
      </c>
      <c r="B2759" s="116" t="str">
        <f t="shared" si="43"/>
        <v>95-952000300</v>
      </c>
      <c r="C2759" s="179" t="s">
        <v>7329</v>
      </c>
    </row>
    <row r="2760" spans="1:3">
      <c r="A2760" s="177">
        <v>962000473</v>
      </c>
      <c r="B2760" s="116" t="str">
        <f t="shared" si="43"/>
        <v>96-962000473</v>
      </c>
      <c r="C2760" s="179" t="s">
        <v>12184</v>
      </c>
    </row>
    <row r="2761" spans="1:3">
      <c r="A2761" s="177">
        <v>962000203</v>
      </c>
      <c r="B2761" s="116" t="str">
        <f t="shared" si="43"/>
        <v>96-962000203</v>
      </c>
      <c r="C2761" s="179" t="s">
        <v>7112</v>
      </c>
    </row>
    <row r="2762" spans="1:3">
      <c r="A2762" s="177">
        <v>962000351</v>
      </c>
      <c r="B2762" s="116" t="str">
        <f t="shared" si="43"/>
        <v>96-962000351</v>
      </c>
      <c r="C2762" s="179" t="s">
        <v>12184</v>
      </c>
    </row>
    <row r="2763" spans="1:3">
      <c r="A2763" s="177">
        <v>962000142</v>
      </c>
      <c r="B2763" s="116" t="str">
        <f t="shared" si="43"/>
        <v>96-962000142</v>
      </c>
      <c r="C2763" s="179" t="s">
        <v>7112</v>
      </c>
    </row>
    <row r="2764" spans="1:3">
      <c r="A2764" s="177">
        <v>961100001</v>
      </c>
      <c r="B2764" s="116" t="str">
        <f t="shared" si="43"/>
        <v>96-961100001</v>
      </c>
      <c r="C2764" s="179" t="s">
        <v>7907</v>
      </c>
    </row>
    <row r="2765" spans="1:3">
      <c r="A2765" s="177">
        <v>952000095</v>
      </c>
      <c r="B2765" s="116" t="str">
        <f t="shared" si="43"/>
        <v>95-952000095</v>
      </c>
      <c r="C2765" s="179" t="s">
        <v>7321</v>
      </c>
    </row>
    <row r="2766" spans="1:3">
      <c r="A2766" s="177">
        <v>956200226</v>
      </c>
      <c r="B2766" s="116" t="str">
        <f t="shared" si="43"/>
        <v>95-956200226</v>
      </c>
      <c r="C2766" s="179" t="s">
        <v>7987</v>
      </c>
    </row>
    <row r="2767" spans="1:3">
      <c r="A2767" s="177">
        <v>962000288</v>
      </c>
      <c r="B2767" s="116" t="str">
        <f t="shared" si="43"/>
        <v>96-962000288</v>
      </c>
      <c r="C2767" s="179" t="s">
        <v>7112</v>
      </c>
    </row>
    <row r="2768" spans="1:3">
      <c r="A2768" s="177">
        <v>951100017</v>
      </c>
      <c r="B2768" s="116" t="str">
        <f t="shared" si="43"/>
        <v>95-951100017</v>
      </c>
      <c r="C2768" s="179" t="s">
        <v>8016</v>
      </c>
    </row>
    <row r="2769" spans="1:3">
      <c r="A2769" s="177">
        <v>956200063</v>
      </c>
      <c r="B2769" s="116" t="str">
        <f t="shared" si="43"/>
        <v>95-956200063</v>
      </c>
      <c r="C2769" s="179" t="s">
        <v>8017</v>
      </c>
    </row>
    <row r="2770" spans="1:3">
      <c r="A2770" s="177">
        <v>966200150</v>
      </c>
      <c r="B2770" s="116" t="str">
        <f t="shared" si="43"/>
        <v>96-966200150</v>
      </c>
      <c r="C2770" s="179" t="s">
        <v>7394</v>
      </c>
    </row>
    <row r="2771" spans="1:3">
      <c r="A2771" s="177">
        <v>962000354</v>
      </c>
      <c r="B2771" s="116" t="str">
        <f t="shared" si="43"/>
        <v>96-962000354</v>
      </c>
      <c r="C2771" s="179" t="s">
        <v>12184</v>
      </c>
    </row>
    <row r="2772" spans="1:3">
      <c r="A2772" s="177">
        <v>962000342</v>
      </c>
      <c r="B2772" s="116" t="str">
        <f t="shared" si="43"/>
        <v>96-962000342</v>
      </c>
      <c r="C2772" s="179" t="s">
        <v>12184</v>
      </c>
    </row>
    <row r="2773" spans="1:3">
      <c r="A2773" s="177">
        <v>961200115</v>
      </c>
      <c r="B2773" s="116" t="str">
        <f t="shared" si="43"/>
        <v>96-961200115</v>
      </c>
      <c r="C2773" s="179" t="s">
        <v>9764</v>
      </c>
    </row>
    <row r="2774" spans="1:3">
      <c r="A2774" s="177">
        <v>956200407</v>
      </c>
      <c r="B2774" s="116" t="str">
        <f t="shared" si="43"/>
        <v>95-956200407</v>
      </c>
      <c r="C2774" s="179" t="s">
        <v>7269</v>
      </c>
    </row>
    <row r="2775" spans="1:3">
      <c r="A2775" s="177">
        <v>952000312</v>
      </c>
      <c r="B2775" s="116" t="str">
        <f t="shared" si="43"/>
        <v>95-952000312</v>
      </c>
      <c r="C2775" s="179" t="s">
        <v>7420</v>
      </c>
    </row>
    <row r="2776" spans="1:3">
      <c r="A2776" s="177">
        <v>952000246</v>
      </c>
      <c r="B2776" s="116" t="str">
        <f t="shared" si="43"/>
        <v>95-952000246</v>
      </c>
      <c r="C2776" s="179" t="s">
        <v>7327</v>
      </c>
    </row>
    <row r="2777" spans="1:3">
      <c r="A2777" s="177">
        <v>961200143</v>
      </c>
      <c r="B2777" s="116" t="str">
        <f t="shared" si="43"/>
        <v>96-961200143</v>
      </c>
      <c r="C2777" s="179" t="s">
        <v>12232</v>
      </c>
    </row>
    <row r="2778" spans="1:3">
      <c r="A2778" s="177">
        <v>961200159</v>
      </c>
      <c r="B2778" s="116" t="str">
        <f t="shared" si="43"/>
        <v>96-961200159</v>
      </c>
      <c r="C2778" s="179" t="s">
        <v>12441</v>
      </c>
    </row>
    <row r="2779" spans="1:3">
      <c r="A2779" s="177">
        <v>961200170</v>
      </c>
      <c r="B2779" s="116" t="str">
        <f t="shared" si="43"/>
        <v>96-961200170</v>
      </c>
      <c r="C2779" s="179" t="s">
        <v>12441</v>
      </c>
    </row>
    <row r="2780" spans="1:3">
      <c r="A2780" s="177">
        <v>966200145</v>
      </c>
      <c r="B2780" s="116" t="str">
        <f t="shared" si="43"/>
        <v>96-966200145</v>
      </c>
      <c r="C2780" s="179" t="s">
        <v>7343</v>
      </c>
    </row>
    <row r="2781" spans="1:3">
      <c r="A2781" s="177">
        <v>951100056</v>
      </c>
      <c r="B2781" s="116" t="str">
        <f t="shared" si="43"/>
        <v>95-951100056</v>
      </c>
      <c r="C2781" s="179" t="s">
        <v>8013</v>
      </c>
    </row>
    <row r="2782" spans="1:3">
      <c r="A2782" s="177">
        <v>951100058</v>
      </c>
      <c r="B2782" s="116" t="str">
        <f t="shared" si="43"/>
        <v>95-951100058</v>
      </c>
      <c r="C2782" s="179" t="s">
        <v>8014</v>
      </c>
    </row>
    <row r="2783" spans="1:3">
      <c r="A2783" s="177">
        <v>952000093</v>
      </c>
      <c r="B2783" s="116" t="str">
        <f t="shared" si="43"/>
        <v>95-952000093</v>
      </c>
      <c r="C2783" s="179" t="s">
        <v>8015</v>
      </c>
    </row>
    <row r="2784" spans="1:3">
      <c r="A2784" s="177">
        <v>962000028</v>
      </c>
      <c r="B2784" s="116" t="str">
        <f t="shared" si="43"/>
        <v>96-962000028</v>
      </c>
      <c r="C2784" s="179" t="s">
        <v>7112</v>
      </c>
    </row>
    <row r="2785" spans="1:3">
      <c r="A2785" s="177">
        <v>951100093</v>
      </c>
      <c r="B2785" s="116" t="str">
        <f t="shared" si="43"/>
        <v>95-951100093</v>
      </c>
      <c r="C2785" s="179" t="s">
        <v>7444</v>
      </c>
    </row>
    <row r="2786" spans="1:3">
      <c r="A2786" s="177">
        <v>961100030</v>
      </c>
      <c r="B2786" s="116" t="str">
        <f t="shared" si="43"/>
        <v>96-961100030</v>
      </c>
      <c r="C2786" s="179" t="s">
        <v>7445</v>
      </c>
    </row>
    <row r="2787" spans="1:3">
      <c r="A2787" s="177">
        <v>961100048</v>
      </c>
      <c r="B2787" s="116" t="str">
        <f t="shared" si="43"/>
        <v>96-961100048</v>
      </c>
      <c r="C2787" s="179" t="s">
        <v>7446</v>
      </c>
    </row>
    <row r="2788" spans="1:3">
      <c r="A2788" s="177">
        <v>952000108</v>
      </c>
      <c r="B2788" s="116" t="str">
        <f t="shared" si="43"/>
        <v>95-952000108</v>
      </c>
      <c r="C2788" s="179" t="s">
        <v>7321</v>
      </c>
    </row>
    <row r="2789" spans="1:3">
      <c r="A2789" s="177">
        <v>952000301</v>
      </c>
      <c r="B2789" s="116" t="str">
        <f t="shared" si="43"/>
        <v>95-952000301</v>
      </c>
      <c r="C2789" s="179" t="s">
        <v>7329</v>
      </c>
    </row>
    <row r="2790" spans="1:3">
      <c r="A2790" s="177">
        <v>966200080</v>
      </c>
      <c r="B2790" s="116" t="str">
        <f t="shared" si="43"/>
        <v>96-966200080</v>
      </c>
      <c r="C2790" s="179" t="s">
        <v>7448</v>
      </c>
    </row>
    <row r="2791" spans="1:3">
      <c r="A2791" s="177">
        <v>951100146</v>
      </c>
      <c r="B2791" s="116" t="str">
        <f t="shared" si="43"/>
        <v>95-951100146</v>
      </c>
      <c r="C2791" s="179" t="s">
        <v>7449</v>
      </c>
    </row>
    <row r="2792" spans="1:3">
      <c r="A2792" s="177">
        <v>966200141</v>
      </c>
      <c r="B2792" s="116" t="str">
        <f t="shared" si="43"/>
        <v>96-966200141</v>
      </c>
      <c r="C2792" s="179" t="s">
        <v>7343</v>
      </c>
    </row>
    <row r="2793" spans="1:3">
      <c r="A2793" s="177">
        <v>952000275</v>
      </c>
      <c r="B2793" s="116" t="str">
        <f t="shared" si="43"/>
        <v>95-952000275</v>
      </c>
      <c r="C2793" s="179" t="s">
        <v>7280</v>
      </c>
    </row>
    <row r="2794" spans="1:3">
      <c r="A2794" s="177">
        <v>962000486</v>
      </c>
      <c r="B2794" s="116" t="str">
        <f t="shared" si="43"/>
        <v>96-962000486</v>
      </c>
      <c r="C2794" s="179" t="s">
        <v>12184</v>
      </c>
    </row>
    <row r="2795" spans="1:3">
      <c r="A2795" s="177">
        <v>962000021</v>
      </c>
      <c r="B2795" s="116" t="str">
        <f t="shared" si="43"/>
        <v>96-962000021</v>
      </c>
      <c r="C2795" s="179" t="s">
        <v>7112</v>
      </c>
    </row>
    <row r="2796" spans="1:3">
      <c r="A2796" s="177">
        <v>952000276</v>
      </c>
      <c r="B2796" s="116" t="str">
        <f t="shared" si="43"/>
        <v>95-952000276</v>
      </c>
      <c r="C2796" s="179" t="s">
        <v>7280</v>
      </c>
    </row>
    <row r="2797" spans="1:3">
      <c r="A2797" s="177">
        <v>952000240</v>
      </c>
      <c r="B2797" s="116" t="str">
        <f t="shared" si="43"/>
        <v>95-952000240</v>
      </c>
      <c r="C2797" s="179" t="s">
        <v>7327</v>
      </c>
    </row>
    <row r="2798" spans="1:3">
      <c r="A2798" s="177">
        <v>962000007</v>
      </c>
      <c r="B2798" s="116" t="str">
        <f t="shared" si="43"/>
        <v>96-962000007</v>
      </c>
      <c r="C2798" s="179" t="s">
        <v>7112</v>
      </c>
    </row>
    <row r="2799" spans="1:3">
      <c r="A2799" s="177">
        <v>962000406</v>
      </c>
      <c r="B2799" s="116" t="str">
        <f t="shared" si="43"/>
        <v>96-962000406</v>
      </c>
      <c r="C2799" s="179" t="s">
        <v>12184</v>
      </c>
    </row>
    <row r="2800" spans="1:3">
      <c r="A2800" s="177">
        <v>952000304</v>
      </c>
      <c r="B2800" s="116" t="str">
        <f t="shared" si="43"/>
        <v>95-952000304</v>
      </c>
      <c r="C2800" s="179" t="s">
        <v>7329</v>
      </c>
    </row>
    <row r="2801" spans="1:3">
      <c r="A2801" s="177">
        <v>962000059</v>
      </c>
      <c r="B2801" s="116" t="str">
        <f t="shared" si="43"/>
        <v>96-962000059</v>
      </c>
      <c r="C2801" s="179" t="s">
        <v>7112</v>
      </c>
    </row>
    <row r="2802" spans="1:3">
      <c r="A2802" s="177">
        <v>952000130</v>
      </c>
      <c r="B2802" s="116" t="str">
        <f t="shared" si="43"/>
        <v>95-952000130</v>
      </c>
      <c r="C2802" s="179" t="s">
        <v>7405</v>
      </c>
    </row>
    <row r="2803" spans="1:3">
      <c r="A2803" s="177">
        <v>962000020</v>
      </c>
      <c r="B2803" s="116" t="str">
        <f t="shared" si="43"/>
        <v>96-962000020</v>
      </c>
      <c r="C2803" s="179" t="s">
        <v>7112</v>
      </c>
    </row>
    <row r="2804" spans="1:3">
      <c r="A2804" s="177">
        <v>962000220</v>
      </c>
      <c r="B2804" s="116" t="str">
        <f t="shared" si="43"/>
        <v>96-962000220</v>
      </c>
      <c r="C2804" s="179" t="s">
        <v>7112</v>
      </c>
    </row>
    <row r="2805" spans="1:3">
      <c r="A2805" s="177">
        <v>952000140</v>
      </c>
      <c r="B2805" s="116" t="str">
        <f t="shared" si="43"/>
        <v>95-952000140</v>
      </c>
      <c r="C2805" s="179" t="s">
        <v>7332</v>
      </c>
    </row>
    <row r="2806" spans="1:3">
      <c r="A2806" s="177">
        <v>952000162</v>
      </c>
      <c r="B2806" s="116" t="str">
        <f t="shared" si="43"/>
        <v>95-952000162</v>
      </c>
      <c r="C2806" s="179" t="s">
        <v>7386</v>
      </c>
    </row>
    <row r="2807" spans="1:3">
      <c r="A2807" s="177">
        <v>952000180</v>
      </c>
      <c r="B2807" s="116" t="str">
        <f t="shared" si="43"/>
        <v>95-952000180</v>
      </c>
      <c r="C2807" s="179" t="s">
        <v>7392</v>
      </c>
    </row>
    <row r="2808" spans="1:3">
      <c r="A2808" s="177">
        <v>952000314</v>
      </c>
      <c r="B2808" s="116" t="str">
        <f t="shared" si="43"/>
        <v>95-952000314</v>
      </c>
      <c r="C2808" s="179" t="s">
        <v>7420</v>
      </c>
    </row>
    <row r="2809" spans="1:3">
      <c r="A2809" s="177">
        <v>952000158</v>
      </c>
      <c r="B2809" s="116" t="str">
        <f t="shared" si="43"/>
        <v>95-952000158</v>
      </c>
      <c r="C2809" s="179" t="s">
        <v>8026</v>
      </c>
    </row>
    <row r="2810" spans="1:3">
      <c r="A2810" s="177">
        <v>962000229</v>
      </c>
      <c r="B2810" s="116" t="str">
        <f t="shared" si="43"/>
        <v>96-962000229</v>
      </c>
      <c r="C2810" s="179" t="s">
        <v>7112</v>
      </c>
    </row>
    <row r="2811" spans="1:3">
      <c r="A2811" s="177">
        <v>951100033</v>
      </c>
      <c r="B2811" s="116" t="str">
        <f t="shared" si="43"/>
        <v>95-951100033</v>
      </c>
      <c r="C2811" s="179" t="s">
        <v>8018</v>
      </c>
    </row>
    <row r="2812" spans="1:3">
      <c r="A2812" s="177">
        <v>962000230</v>
      </c>
      <c r="B2812" s="116" t="str">
        <f t="shared" si="43"/>
        <v>96-962000230</v>
      </c>
      <c r="C2812" s="179" t="s">
        <v>7112</v>
      </c>
    </row>
    <row r="2813" spans="1:3">
      <c r="A2813" s="177">
        <v>956200055</v>
      </c>
      <c r="B2813" s="116" t="str">
        <f t="shared" si="43"/>
        <v>95-956200055</v>
      </c>
      <c r="C2813" s="179" t="s">
        <v>8019</v>
      </c>
    </row>
    <row r="2814" spans="1:3">
      <c r="A2814" s="177">
        <v>952000047</v>
      </c>
      <c r="B2814" s="116" t="str">
        <f t="shared" si="43"/>
        <v>95-952000047</v>
      </c>
      <c r="C2814" s="179" t="s">
        <v>7331</v>
      </c>
    </row>
    <row r="2815" spans="1:3">
      <c r="A2815" s="177">
        <v>962000195</v>
      </c>
      <c r="B2815" s="116" t="str">
        <f t="shared" si="43"/>
        <v>96-962000195</v>
      </c>
      <c r="C2815" s="179" t="s">
        <v>7112</v>
      </c>
    </row>
    <row r="2816" spans="1:3">
      <c r="A2816" s="177">
        <v>966200386</v>
      </c>
      <c r="B2816" s="116" t="str">
        <f t="shared" si="43"/>
        <v>96-966200386</v>
      </c>
      <c r="C2816" s="179" t="s">
        <v>12239</v>
      </c>
    </row>
    <row r="2817" spans="1:3">
      <c r="A2817" s="177">
        <v>952000288</v>
      </c>
      <c r="B2817" s="116" t="str">
        <f t="shared" si="43"/>
        <v>95-952000288</v>
      </c>
      <c r="C2817" s="179" t="s">
        <v>7280</v>
      </c>
    </row>
    <row r="2818" spans="1:3">
      <c r="A2818" s="177">
        <v>966200505</v>
      </c>
      <c r="B2818" s="116" t="str">
        <f t="shared" si="43"/>
        <v>96-966200505</v>
      </c>
      <c r="C2818" s="179" t="s">
        <v>12415</v>
      </c>
    </row>
    <row r="2819" spans="1:3">
      <c r="A2819" s="177">
        <v>961200064</v>
      </c>
      <c r="B2819" s="116" t="str">
        <f t="shared" ref="B2819:B2882" si="44">MID(A2819,1,2)&amp;"-"&amp;A2819</f>
        <v>96-961200064</v>
      </c>
      <c r="C2819" s="179" t="s">
        <v>7117</v>
      </c>
    </row>
    <row r="2820" spans="1:3">
      <c r="A2820" s="177">
        <v>961200084</v>
      </c>
      <c r="B2820" s="116" t="str">
        <f t="shared" si="44"/>
        <v>96-961200084</v>
      </c>
      <c r="C2820" s="179" t="s">
        <v>9782</v>
      </c>
    </row>
    <row r="2821" spans="1:3">
      <c r="A2821" s="177">
        <v>961200111</v>
      </c>
      <c r="B2821" s="116" t="str">
        <f t="shared" si="44"/>
        <v>96-961200111</v>
      </c>
      <c r="C2821" s="179" t="s">
        <v>9764</v>
      </c>
    </row>
    <row r="2822" spans="1:3">
      <c r="A2822" s="177">
        <v>961200127</v>
      </c>
      <c r="B2822" s="116" t="str">
        <f t="shared" si="44"/>
        <v>96-961200127</v>
      </c>
      <c r="C2822" s="179" t="s">
        <v>9764</v>
      </c>
    </row>
    <row r="2823" spans="1:3">
      <c r="A2823" s="177">
        <v>961200162</v>
      </c>
      <c r="B2823" s="116" t="str">
        <f t="shared" si="44"/>
        <v>96-961200162</v>
      </c>
      <c r="C2823" s="179" t="s">
        <v>12441</v>
      </c>
    </row>
    <row r="2824" spans="1:3">
      <c r="A2824" s="177">
        <v>961200165</v>
      </c>
      <c r="B2824" s="116" t="str">
        <f t="shared" si="44"/>
        <v>96-961200165</v>
      </c>
      <c r="C2824" s="179" t="s">
        <v>12441</v>
      </c>
    </row>
    <row r="2825" spans="1:3">
      <c r="A2825" s="177">
        <v>952000147</v>
      </c>
      <c r="B2825" s="116" t="str">
        <f t="shared" si="44"/>
        <v>95-952000147</v>
      </c>
      <c r="C2825" s="179" t="s">
        <v>7332</v>
      </c>
    </row>
    <row r="2826" spans="1:3">
      <c r="A2826" s="177">
        <v>962000227</v>
      </c>
      <c r="B2826" s="116" t="str">
        <f t="shared" si="44"/>
        <v>96-962000227</v>
      </c>
      <c r="C2826" s="179" t="s">
        <v>7112</v>
      </c>
    </row>
    <row r="2827" spans="1:3">
      <c r="A2827" s="177">
        <v>952000084</v>
      </c>
      <c r="B2827" s="116" t="str">
        <f t="shared" si="44"/>
        <v>95-952000084</v>
      </c>
      <c r="C2827" s="179" t="s">
        <v>8011</v>
      </c>
    </row>
    <row r="2828" spans="1:3">
      <c r="A2828" s="177">
        <v>962000063</v>
      </c>
      <c r="B2828" s="116" t="str">
        <f t="shared" si="44"/>
        <v>96-962000063</v>
      </c>
      <c r="C2828" s="179" t="s">
        <v>7112</v>
      </c>
    </row>
    <row r="2829" spans="1:3">
      <c r="A2829" s="177">
        <v>952000262</v>
      </c>
      <c r="B2829" s="116" t="str">
        <f t="shared" si="44"/>
        <v>95-952000262</v>
      </c>
      <c r="C2829" s="179" t="s">
        <v>7280</v>
      </c>
    </row>
    <row r="2830" spans="1:3">
      <c r="A2830" s="177">
        <v>952000085</v>
      </c>
      <c r="B2830" s="116" t="str">
        <f t="shared" si="44"/>
        <v>95-952000085</v>
      </c>
      <c r="C2830" s="179" t="s">
        <v>8011</v>
      </c>
    </row>
    <row r="2831" spans="1:3">
      <c r="A2831" s="177">
        <v>952000298</v>
      </c>
      <c r="B2831" s="116" t="str">
        <f t="shared" si="44"/>
        <v>95-952000298</v>
      </c>
      <c r="C2831" s="179" t="s">
        <v>7329</v>
      </c>
    </row>
    <row r="2832" spans="1:3">
      <c r="A2832" s="177">
        <v>956200179</v>
      </c>
      <c r="B2832" s="116" t="str">
        <f t="shared" si="44"/>
        <v>95-956200179</v>
      </c>
      <c r="C2832" s="179" t="s">
        <v>7369</v>
      </c>
    </row>
    <row r="2833" spans="1:3">
      <c r="A2833" s="177">
        <v>951100039</v>
      </c>
      <c r="B2833" s="116" t="str">
        <f t="shared" si="44"/>
        <v>95-951100039</v>
      </c>
      <c r="C2833" s="179" t="s">
        <v>8029</v>
      </c>
    </row>
    <row r="2834" spans="1:3">
      <c r="A2834" s="177">
        <v>951100028</v>
      </c>
      <c r="B2834" s="116" t="str">
        <f t="shared" si="44"/>
        <v>95-951100028</v>
      </c>
      <c r="C2834" s="179" t="s">
        <v>8031</v>
      </c>
    </row>
    <row r="2835" spans="1:3">
      <c r="A2835" s="177">
        <v>956200058</v>
      </c>
      <c r="B2835" s="116" t="str">
        <f t="shared" si="44"/>
        <v>95-956200058</v>
      </c>
      <c r="C2835" s="179" t="s">
        <v>7306</v>
      </c>
    </row>
    <row r="2836" spans="1:3">
      <c r="A2836" s="177">
        <v>952000096</v>
      </c>
      <c r="B2836" s="116" t="str">
        <f t="shared" si="44"/>
        <v>95-952000096</v>
      </c>
      <c r="C2836" s="179" t="s">
        <v>7321</v>
      </c>
    </row>
    <row r="2837" spans="1:3">
      <c r="A2837" s="177">
        <v>951100149</v>
      </c>
      <c r="B2837" s="116" t="str">
        <f t="shared" si="44"/>
        <v>95-951100149</v>
      </c>
      <c r="C2837" s="179" t="s">
        <v>8024</v>
      </c>
    </row>
    <row r="2838" spans="1:3">
      <c r="A2838" s="177">
        <v>956300001</v>
      </c>
      <c r="B2838" s="116" t="str">
        <f t="shared" si="44"/>
        <v>95-956300001</v>
      </c>
      <c r="C2838" s="179" t="s">
        <v>8025</v>
      </c>
    </row>
    <row r="2839" spans="1:3">
      <c r="A2839" s="177">
        <v>962000224</v>
      </c>
      <c r="B2839" s="116" t="str">
        <f t="shared" si="44"/>
        <v>96-962000224</v>
      </c>
      <c r="C2839" s="179" t="s">
        <v>7112</v>
      </c>
    </row>
    <row r="2840" spans="1:3">
      <c r="A2840" s="177">
        <v>956200208</v>
      </c>
      <c r="B2840" s="116" t="str">
        <f t="shared" si="44"/>
        <v>95-956200208</v>
      </c>
      <c r="C2840" s="179" t="s">
        <v>7357</v>
      </c>
    </row>
    <row r="2841" spans="1:3">
      <c r="A2841" s="177">
        <v>966200321</v>
      </c>
      <c r="B2841" s="116" t="str">
        <f t="shared" si="44"/>
        <v>96-966200321</v>
      </c>
      <c r="C2841" s="179" t="s">
        <v>8697</v>
      </c>
    </row>
    <row r="2842" spans="1:3">
      <c r="A2842" s="177">
        <v>956200256</v>
      </c>
      <c r="B2842" s="116" t="str">
        <f t="shared" si="44"/>
        <v>95-956200256</v>
      </c>
      <c r="C2842" s="179" t="s">
        <v>8027</v>
      </c>
    </row>
    <row r="2843" spans="1:3">
      <c r="A2843" s="177">
        <v>962000263</v>
      </c>
      <c r="B2843" s="116" t="str">
        <f t="shared" si="44"/>
        <v>96-962000263</v>
      </c>
      <c r="C2843" s="179" t="s">
        <v>7112</v>
      </c>
    </row>
    <row r="2844" spans="1:3">
      <c r="A2844" s="177">
        <v>962000400</v>
      </c>
      <c r="B2844" s="116" t="str">
        <f t="shared" si="44"/>
        <v>96-962000400</v>
      </c>
      <c r="C2844" s="179" t="s">
        <v>12184</v>
      </c>
    </row>
    <row r="2845" spans="1:3">
      <c r="A2845" s="177">
        <v>962000395</v>
      </c>
      <c r="B2845" s="116" t="str">
        <f t="shared" si="44"/>
        <v>96-962000395</v>
      </c>
      <c r="C2845" s="179" t="s">
        <v>12184</v>
      </c>
    </row>
    <row r="2846" spans="1:3">
      <c r="A2846" s="177">
        <v>952000266</v>
      </c>
      <c r="B2846" s="116" t="str">
        <f t="shared" si="44"/>
        <v>95-952000266</v>
      </c>
      <c r="C2846" s="179" t="s">
        <v>7280</v>
      </c>
    </row>
    <row r="2847" spans="1:3">
      <c r="A2847" s="177">
        <v>952000049</v>
      </c>
      <c r="B2847" s="116" t="str">
        <f t="shared" si="44"/>
        <v>95-952000049</v>
      </c>
      <c r="C2847" s="179" t="s">
        <v>7331</v>
      </c>
    </row>
    <row r="2848" spans="1:3">
      <c r="A2848" s="177">
        <v>952000118</v>
      </c>
      <c r="B2848" s="116" t="str">
        <f t="shared" si="44"/>
        <v>95-952000118</v>
      </c>
      <c r="C2848" s="179" t="s">
        <v>7274</v>
      </c>
    </row>
    <row r="2849" spans="1:3">
      <c r="A2849" s="177">
        <v>966200010</v>
      </c>
      <c r="B2849" s="116" t="str">
        <f t="shared" si="44"/>
        <v>96-966200010</v>
      </c>
      <c r="C2849" s="179" t="s">
        <v>7370</v>
      </c>
    </row>
    <row r="2850" spans="1:3">
      <c r="A2850" s="177">
        <v>966200310</v>
      </c>
      <c r="B2850" s="116" t="str">
        <f t="shared" si="44"/>
        <v>96-966200310</v>
      </c>
      <c r="C2850" s="179" t="s">
        <v>8700</v>
      </c>
    </row>
    <row r="2851" spans="1:3">
      <c r="A2851" s="177">
        <v>956200350</v>
      </c>
      <c r="B2851" s="116" t="str">
        <f t="shared" si="44"/>
        <v>95-956200350</v>
      </c>
      <c r="C2851" s="179" t="s">
        <v>7292</v>
      </c>
    </row>
    <row r="2852" spans="1:3">
      <c r="A2852" s="177">
        <v>956200008</v>
      </c>
      <c r="B2852" s="116" t="str">
        <f t="shared" si="44"/>
        <v>95-956200008</v>
      </c>
      <c r="C2852" s="179" t="s">
        <v>7469</v>
      </c>
    </row>
    <row r="2853" spans="1:3">
      <c r="A2853" s="177">
        <v>966200390</v>
      </c>
      <c r="B2853" s="116" t="str">
        <f t="shared" si="44"/>
        <v>96-966200390</v>
      </c>
      <c r="C2853" s="179" t="s">
        <v>12239</v>
      </c>
    </row>
    <row r="2854" spans="1:3">
      <c r="A2854" s="177">
        <v>951100130</v>
      </c>
      <c r="B2854" s="116" t="str">
        <f t="shared" si="44"/>
        <v>95-951100130</v>
      </c>
      <c r="C2854" s="179" t="s">
        <v>7470</v>
      </c>
    </row>
    <row r="2855" spans="1:3">
      <c r="A2855" s="177">
        <v>952000283</v>
      </c>
      <c r="B2855" s="116" t="str">
        <f t="shared" si="44"/>
        <v>95-952000283</v>
      </c>
      <c r="C2855" s="179" t="s">
        <v>7280</v>
      </c>
    </row>
    <row r="2856" spans="1:3">
      <c r="A2856" s="177">
        <v>952000352</v>
      </c>
      <c r="B2856" s="116" t="str">
        <f t="shared" si="44"/>
        <v>95-952000352</v>
      </c>
      <c r="C2856" s="179" t="s">
        <v>7122</v>
      </c>
    </row>
    <row r="2857" spans="1:3">
      <c r="A2857" s="177">
        <v>962000140</v>
      </c>
      <c r="B2857" s="116" t="str">
        <f t="shared" si="44"/>
        <v>96-962000140</v>
      </c>
      <c r="C2857" s="179" t="s">
        <v>7112</v>
      </c>
    </row>
    <row r="2858" spans="1:3">
      <c r="A2858" s="177">
        <v>956200054</v>
      </c>
      <c r="B2858" s="116" t="str">
        <f t="shared" si="44"/>
        <v>95-956200054</v>
      </c>
      <c r="C2858" s="179" t="s">
        <v>8019</v>
      </c>
    </row>
    <row r="2859" spans="1:3">
      <c r="A2859" s="177">
        <v>962000253</v>
      </c>
      <c r="B2859" s="116" t="str">
        <f t="shared" si="44"/>
        <v>96-962000253</v>
      </c>
      <c r="C2859" s="179" t="s">
        <v>7112</v>
      </c>
    </row>
    <row r="2860" spans="1:3">
      <c r="A2860" s="177">
        <v>956200287</v>
      </c>
      <c r="B2860" s="116" t="str">
        <f t="shared" si="44"/>
        <v>95-956200287</v>
      </c>
      <c r="C2860" s="179" t="s">
        <v>7284</v>
      </c>
    </row>
    <row r="2861" spans="1:3">
      <c r="A2861" s="177">
        <v>962000085</v>
      </c>
      <c r="B2861" s="116" t="str">
        <f t="shared" si="44"/>
        <v>96-962000085</v>
      </c>
      <c r="C2861" s="179" t="s">
        <v>7112</v>
      </c>
    </row>
    <row r="2862" spans="1:3">
      <c r="A2862" s="177">
        <v>962000443</v>
      </c>
      <c r="B2862" s="116" t="str">
        <f t="shared" si="44"/>
        <v>96-962000443</v>
      </c>
      <c r="C2862" s="179" t="s">
        <v>12184</v>
      </c>
    </row>
    <row r="2863" spans="1:3">
      <c r="A2863" s="177">
        <v>952000171</v>
      </c>
      <c r="B2863" s="116" t="str">
        <f t="shared" si="44"/>
        <v>95-952000171</v>
      </c>
      <c r="C2863" s="179" t="s">
        <v>7392</v>
      </c>
    </row>
    <row r="2864" spans="1:3">
      <c r="A2864" s="177">
        <v>962000469</v>
      </c>
      <c r="B2864" s="116" t="str">
        <f t="shared" si="44"/>
        <v>96-962000469</v>
      </c>
      <c r="C2864" s="179" t="s">
        <v>12184</v>
      </c>
    </row>
    <row r="2865" spans="1:3">
      <c r="A2865" s="177">
        <v>952000055</v>
      </c>
      <c r="B2865" s="116" t="str">
        <f t="shared" si="44"/>
        <v>95-952000055</v>
      </c>
      <c r="C2865" s="179" t="s">
        <v>7278</v>
      </c>
    </row>
    <row r="2866" spans="1:3">
      <c r="A2866" s="177">
        <v>962000457</v>
      </c>
      <c r="B2866" s="116" t="str">
        <f t="shared" si="44"/>
        <v>96-962000457</v>
      </c>
      <c r="C2866" s="179" t="s">
        <v>12184</v>
      </c>
    </row>
    <row r="2867" spans="1:3">
      <c r="A2867" s="177">
        <v>961200047</v>
      </c>
      <c r="B2867" s="116" t="str">
        <f t="shared" si="44"/>
        <v>96-961200047</v>
      </c>
      <c r="C2867" s="179" t="s">
        <v>7404</v>
      </c>
    </row>
    <row r="2868" spans="1:3">
      <c r="A2868" s="177">
        <v>961200062</v>
      </c>
      <c r="B2868" s="116" t="str">
        <f t="shared" si="44"/>
        <v>96-961200062</v>
      </c>
      <c r="C2868" s="179" t="s">
        <v>7404</v>
      </c>
    </row>
    <row r="2869" spans="1:3">
      <c r="A2869" s="177">
        <v>961200107</v>
      </c>
      <c r="B2869" s="116" t="str">
        <f t="shared" si="44"/>
        <v>96-961200107</v>
      </c>
      <c r="C2869" s="179" t="s">
        <v>9764</v>
      </c>
    </row>
    <row r="2870" spans="1:3">
      <c r="A2870" s="177">
        <v>961200129</v>
      </c>
      <c r="B2870" s="116" t="str">
        <f t="shared" si="44"/>
        <v>96-961200129</v>
      </c>
      <c r="C2870" s="179" t="s">
        <v>9764</v>
      </c>
    </row>
    <row r="2871" spans="1:3">
      <c r="A2871" s="177">
        <v>961200173</v>
      </c>
      <c r="B2871" s="116" t="str">
        <f t="shared" si="44"/>
        <v>96-961200173</v>
      </c>
      <c r="C2871" s="179" t="s">
        <v>12441</v>
      </c>
    </row>
    <row r="2872" spans="1:3">
      <c r="A2872" s="177">
        <v>966200144</v>
      </c>
      <c r="B2872" s="116" t="str">
        <f t="shared" si="44"/>
        <v>96-966200144</v>
      </c>
      <c r="C2872" s="179" t="s">
        <v>7343</v>
      </c>
    </row>
    <row r="2873" spans="1:3">
      <c r="A2873" s="177">
        <v>962000416</v>
      </c>
      <c r="B2873" s="116" t="str">
        <f t="shared" si="44"/>
        <v>96-962000416</v>
      </c>
      <c r="C2873" s="179" t="s">
        <v>12184</v>
      </c>
    </row>
    <row r="2874" spans="1:3">
      <c r="A2874" s="177">
        <v>952000040</v>
      </c>
      <c r="B2874" s="116" t="str">
        <f t="shared" si="44"/>
        <v>95-952000040</v>
      </c>
      <c r="C2874" s="179" t="s">
        <v>7331</v>
      </c>
    </row>
    <row r="2875" spans="1:3">
      <c r="A2875" s="177">
        <v>962000078</v>
      </c>
      <c r="B2875" s="116" t="str">
        <f t="shared" si="44"/>
        <v>96-962000078</v>
      </c>
      <c r="C2875" s="179" t="s">
        <v>7112</v>
      </c>
    </row>
    <row r="2876" spans="1:3">
      <c r="A2876" s="177">
        <v>952000056</v>
      </c>
      <c r="B2876" s="116" t="str">
        <f t="shared" si="44"/>
        <v>95-952000056</v>
      </c>
      <c r="C2876" s="179" t="s">
        <v>7278</v>
      </c>
    </row>
    <row r="2877" spans="1:3">
      <c r="A2877" s="177">
        <v>952000326</v>
      </c>
      <c r="B2877" s="116" t="str">
        <f t="shared" si="44"/>
        <v>95-952000326</v>
      </c>
      <c r="C2877" s="179" t="s">
        <v>7420</v>
      </c>
    </row>
    <row r="2878" spans="1:3">
      <c r="A2878" s="177">
        <v>962000086</v>
      </c>
      <c r="B2878" s="116" t="str">
        <f t="shared" si="44"/>
        <v>96-962000086</v>
      </c>
      <c r="C2878" s="179" t="s">
        <v>7112</v>
      </c>
    </row>
    <row r="2879" spans="1:3">
      <c r="A2879" s="177">
        <v>952000050</v>
      </c>
      <c r="B2879" s="116" t="str">
        <f t="shared" si="44"/>
        <v>95-952000050</v>
      </c>
      <c r="C2879" s="179" t="s">
        <v>7331</v>
      </c>
    </row>
    <row r="2880" spans="1:3">
      <c r="A2880" s="177">
        <v>951100094</v>
      </c>
      <c r="B2880" s="116" t="str">
        <f t="shared" si="44"/>
        <v>95-951100094</v>
      </c>
      <c r="C2880" s="179" t="s">
        <v>7489</v>
      </c>
    </row>
    <row r="2881" spans="1:3">
      <c r="A2881" s="177">
        <v>951100117</v>
      </c>
      <c r="B2881" s="116" t="str">
        <f t="shared" si="44"/>
        <v>95-951100117</v>
      </c>
      <c r="C2881" s="179" t="s">
        <v>7490</v>
      </c>
    </row>
    <row r="2882" spans="1:3">
      <c r="A2882" s="177">
        <v>962000485</v>
      </c>
      <c r="B2882" s="116" t="str">
        <f t="shared" si="44"/>
        <v>96-962000485</v>
      </c>
      <c r="C2882" s="179" t="s">
        <v>12184</v>
      </c>
    </row>
    <row r="2883" spans="1:3">
      <c r="A2883" s="177">
        <v>952000285</v>
      </c>
      <c r="B2883" s="116" t="str">
        <f t="shared" ref="B2883:B2946" si="45">MID(A2883,1,2)&amp;"-"&amp;A2883</f>
        <v>95-952000285</v>
      </c>
      <c r="C2883" s="179" t="s">
        <v>7280</v>
      </c>
    </row>
    <row r="2884" spans="1:3">
      <c r="A2884" s="177">
        <v>962000008</v>
      </c>
      <c r="B2884" s="116" t="str">
        <f t="shared" si="45"/>
        <v>96-962000008</v>
      </c>
      <c r="C2884" s="179" t="s">
        <v>7112</v>
      </c>
    </row>
    <row r="2885" spans="1:3">
      <c r="A2885" s="177">
        <v>962000425</v>
      </c>
      <c r="B2885" s="116" t="str">
        <f t="shared" si="45"/>
        <v>96-962000425</v>
      </c>
      <c r="C2885" s="179" t="s">
        <v>12184</v>
      </c>
    </row>
    <row r="2886" spans="1:3">
      <c r="A2886" s="177">
        <v>962000408</v>
      </c>
      <c r="B2886" s="116" t="str">
        <f t="shared" si="45"/>
        <v>96-962000408</v>
      </c>
      <c r="C2886" s="179" t="s">
        <v>12184</v>
      </c>
    </row>
    <row r="2887" spans="1:3">
      <c r="A2887" s="177">
        <v>952000117</v>
      </c>
      <c r="B2887" s="116" t="str">
        <f t="shared" si="45"/>
        <v>95-952000117</v>
      </c>
      <c r="C2887" s="179" t="s">
        <v>7491</v>
      </c>
    </row>
    <row r="2888" spans="1:3">
      <c r="A2888" s="177">
        <v>952000320</v>
      </c>
      <c r="B2888" s="116" t="str">
        <f t="shared" si="45"/>
        <v>95-952000320</v>
      </c>
      <c r="C2888" s="179" t="s">
        <v>7420</v>
      </c>
    </row>
    <row r="2889" spans="1:3">
      <c r="A2889" s="177">
        <v>951100129</v>
      </c>
      <c r="B2889" s="116" t="str">
        <f t="shared" si="45"/>
        <v>95-951100129</v>
      </c>
      <c r="C2889" s="179" t="s">
        <v>8030</v>
      </c>
    </row>
    <row r="2890" spans="1:3">
      <c r="A2890" s="177">
        <v>962000502</v>
      </c>
      <c r="B2890" s="116" t="str">
        <f t="shared" si="45"/>
        <v>96-962000502</v>
      </c>
      <c r="C2890" s="179" t="s">
        <v>12184</v>
      </c>
    </row>
    <row r="2891" spans="1:3">
      <c r="A2891" s="177">
        <v>962000067</v>
      </c>
      <c r="B2891" s="116" t="str">
        <f t="shared" si="45"/>
        <v>96-962000067</v>
      </c>
      <c r="C2891" s="179" t="s">
        <v>7112</v>
      </c>
    </row>
    <row r="2892" spans="1:3">
      <c r="A2892" s="177">
        <v>952000134</v>
      </c>
      <c r="B2892" s="116" t="str">
        <f t="shared" si="45"/>
        <v>95-952000134</v>
      </c>
      <c r="C2892" s="179" t="s">
        <v>7432</v>
      </c>
    </row>
    <row r="2893" spans="1:3">
      <c r="A2893" s="177">
        <v>952000116</v>
      </c>
      <c r="B2893" s="116" t="str">
        <f t="shared" si="45"/>
        <v>95-952000116</v>
      </c>
      <c r="C2893" s="179" t="s">
        <v>7491</v>
      </c>
    </row>
    <row r="2894" spans="1:3">
      <c r="A2894" s="177">
        <v>952000227</v>
      </c>
      <c r="B2894" s="116" t="str">
        <f t="shared" si="45"/>
        <v>95-952000227</v>
      </c>
      <c r="C2894" s="179" t="s">
        <v>7385</v>
      </c>
    </row>
    <row r="2895" spans="1:3">
      <c r="A2895" s="177">
        <v>952000043</v>
      </c>
      <c r="B2895" s="116" t="str">
        <f t="shared" si="45"/>
        <v>95-952000043</v>
      </c>
      <c r="C2895" s="179" t="s">
        <v>7331</v>
      </c>
    </row>
    <row r="2896" spans="1:3">
      <c r="A2896" s="177">
        <v>962000169</v>
      </c>
      <c r="B2896" s="116" t="str">
        <f t="shared" si="45"/>
        <v>96-962000169</v>
      </c>
      <c r="C2896" s="179" t="s">
        <v>7112</v>
      </c>
    </row>
    <row r="2897" spans="1:3">
      <c r="A2897" s="177">
        <v>956200142</v>
      </c>
      <c r="B2897" s="116" t="str">
        <f t="shared" si="45"/>
        <v>95-956200142</v>
      </c>
      <c r="C2897" s="179" t="s">
        <v>7978</v>
      </c>
    </row>
    <row r="2898" spans="1:3">
      <c r="A2898" s="177">
        <v>956200169</v>
      </c>
      <c r="B2898" s="116" t="str">
        <f t="shared" si="45"/>
        <v>95-956200169</v>
      </c>
      <c r="C2898" s="179" t="s">
        <v>7369</v>
      </c>
    </row>
    <row r="2899" spans="1:3">
      <c r="A2899" s="177">
        <v>951100023</v>
      </c>
      <c r="B2899" s="116" t="str">
        <f t="shared" si="45"/>
        <v>95-951100023</v>
      </c>
      <c r="C2899" s="179" t="s">
        <v>8036</v>
      </c>
    </row>
    <row r="2900" spans="1:3">
      <c r="A2900" s="177">
        <v>966200012</v>
      </c>
      <c r="B2900" s="116" t="str">
        <f t="shared" si="45"/>
        <v>96-966200012</v>
      </c>
      <c r="C2900" s="179" t="s">
        <v>7370</v>
      </c>
    </row>
    <row r="2901" spans="1:3">
      <c r="A2901" s="177">
        <v>962000009</v>
      </c>
      <c r="B2901" s="116" t="str">
        <f t="shared" si="45"/>
        <v>96-962000009</v>
      </c>
      <c r="C2901" s="179" t="s">
        <v>7112</v>
      </c>
    </row>
    <row r="2902" spans="1:3">
      <c r="A2902" s="177">
        <v>962000410</v>
      </c>
      <c r="B2902" s="116" t="str">
        <f t="shared" si="45"/>
        <v>96-962000410</v>
      </c>
      <c r="C2902" s="179" t="s">
        <v>12184</v>
      </c>
    </row>
    <row r="2903" spans="1:3">
      <c r="A2903" s="177">
        <v>962000093</v>
      </c>
      <c r="B2903" s="116" t="str">
        <f t="shared" si="45"/>
        <v>96-962000093</v>
      </c>
      <c r="C2903" s="179" t="s">
        <v>7112</v>
      </c>
    </row>
    <row r="2904" spans="1:3">
      <c r="A2904" s="177">
        <v>952000127</v>
      </c>
      <c r="B2904" s="116" t="str">
        <f t="shared" si="45"/>
        <v>95-952000127</v>
      </c>
      <c r="C2904" s="179" t="s">
        <v>7405</v>
      </c>
    </row>
    <row r="2905" spans="1:3">
      <c r="A2905" s="177">
        <v>952000323</v>
      </c>
      <c r="B2905" s="116" t="str">
        <f t="shared" si="45"/>
        <v>95-952000323</v>
      </c>
      <c r="C2905" s="179" t="s">
        <v>7420</v>
      </c>
    </row>
    <row r="2906" spans="1:3">
      <c r="A2906" s="177">
        <v>962000065</v>
      </c>
      <c r="B2906" s="116" t="str">
        <f t="shared" si="45"/>
        <v>96-962000065</v>
      </c>
      <c r="C2906" s="179" t="s">
        <v>7112</v>
      </c>
    </row>
    <row r="2907" spans="1:3">
      <c r="A2907" s="177">
        <v>962000082</v>
      </c>
      <c r="B2907" s="116" t="str">
        <f t="shared" si="45"/>
        <v>96-962000082</v>
      </c>
      <c r="C2907" s="179" t="s">
        <v>7112</v>
      </c>
    </row>
    <row r="2908" spans="1:3">
      <c r="A2908" s="177">
        <v>956200229</v>
      </c>
      <c r="B2908" s="116" t="str">
        <f t="shared" si="45"/>
        <v>95-956200229</v>
      </c>
      <c r="C2908" s="179" t="s">
        <v>8032</v>
      </c>
    </row>
    <row r="2909" spans="1:3">
      <c r="A2909" s="177">
        <v>962000164</v>
      </c>
      <c r="B2909" s="116" t="str">
        <f t="shared" si="45"/>
        <v>96-962000164</v>
      </c>
      <c r="C2909" s="179" t="s">
        <v>7112</v>
      </c>
    </row>
    <row r="2910" spans="1:3">
      <c r="A2910" s="177">
        <v>952000199</v>
      </c>
      <c r="B2910" s="116" t="str">
        <f t="shared" si="45"/>
        <v>95-952000199</v>
      </c>
      <c r="C2910" s="179" t="s">
        <v>7342</v>
      </c>
    </row>
    <row r="2911" spans="1:3">
      <c r="A2911" s="177">
        <v>962000498</v>
      </c>
      <c r="B2911" s="116" t="str">
        <f t="shared" si="45"/>
        <v>96-962000498</v>
      </c>
      <c r="C2911" s="179" t="s">
        <v>12184</v>
      </c>
    </row>
    <row r="2912" spans="1:3">
      <c r="A2912" s="177">
        <v>952000003</v>
      </c>
      <c r="B2912" s="116" t="str">
        <f t="shared" si="45"/>
        <v>95-952000003</v>
      </c>
      <c r="C2912" s="179" t="s">
        <v>7384</v>
      </c>
    </row>
    <row r="2913" spans="1:3">
      <c r="A2913" s="177">
        <v>962000340</v>
      </c>
      <c r="B2913" s="116" t="str">
        <f t="shared" si="45"/>
        <v>96-962000340</v>
      </c>
      <c r="C2913" s="179" t="s">
        <v>12184</v>
      </c>
    </row>
    <row r="2914" spans="1:3">
      <c r="A2914" s="177">
        <v>966200239</v>
      </c>
      <c r="B2914" s="116" t="str">
        <f t="shared" si="45"/>
        <v>96-966200239</v>
      </c>
      <c r="C2914" s="179" t="s">
        <v>7116</v>
      </c>
    </row>
    <row r="2915" spans="1:3">
      <c r="A2915" s="177">
        <v>956200016</v>
      </c>
      <c r="B2915" s="116" t="str">
        <f t="shared" si="45"/>
        <v>95-956200016</v>
      </c>
      <c r="C2915" s="179" t="s">
        <v>7372</v>
      </c>
    </row>
    <row r="2916" spans="1:3">
      <c r="A2916" s="177">
        <v>956200119</v>
      </c>
      <c r="B2916" s="116" t="str">
        <f t="shared" si="45"/>
        <v>95-956200119</v>
      </c>
      <c r="C2916" s="179" t="s">
        <v>7359</v>
      </c>
    </row>
    <row r="2917" spans="1:3">
      <c r="A2917" s="177">
        <v>956200133</v>
      </c>
      <c r="B2917" s="116" t="str">
        <f t="shared" si="45"/>
        <v>95-956200133</v>
      </c>
      <c r="C2917" s="179" t="s">
        <v>7382</v>
      </c>
    </row>
    <row r="2918" spans="1:3">
      <c r="A2918" s="177">
        <v>966200388</v>
      </c>
      <c r="B2918" s="116" t="str">
        <f t="shared" si="45"/>
        <v>96-966200388</v>
      </c>
      <c r="C2918" s="179" t="s">
        <v>12239</v>
      </c>
    </row>
    <row r="2919" spans="1:3">
      <c r="A2919" s="177">
        <v>966200411</v>
      </c>
      <c r="B2919" s="116" t="str">
        <f t="shared" si="45"/>
        <v>96-966200411</v>
      </c>
      <c r="C2919" s="179" t="s">
        <v>12224</v>
      </c>
    </row>
    <row r="2920" spans="1:3">
      <c r="A2920" s="177">
        <v>961100023</v>
      </c>
      <c r="B2920" s="116" t="str">
        <f t="shared" si="45"/>
        <v>96-961100023</v>
      </c>
      <c r="C2920" s="179" t="s">
        <v>7498</v>
      </c>
    </row>
    <row r="2921" spans="1:3">
      <c r="A2921" s="177">
        <v>956200017</v>
      </c>
      <c r="B2921" s="116" t="str">
        <f t="shared" si="45"/>
        <v>95-956200017</v>
      </c>
      <c r="C2921" s="179" t="s">
        <v>7499</v>
      </c>
    </row>
    <row r="2922" spans="1:3">
      <c r="A2922" s="177">
        <v>966200464</v>
      </c>
      <c r="B2922" s="116" t="str">
        <f t="shared" si="45"/>
        <v>96-966200464</v>
      </c>
      <c r="C2922" s="179" t="s">
        <v>12185</v>
      </c>
    </row>
    <row r="2923" spans="1:3">
      <c r="A2923" s="177">
        <v>966200101</v>
      </c>
      <c r="B2923" s="116" t="str">
        <f t="shared" si="45"/>
        <v>96-966200101</v>
      </c>
      <c r="C2923" s="179" t="s">
        <v>7270</v>
      </c>
    </row>
    <row r="2924" spans="1:3">
      <c r="A2924" s="177">
        <v>956200074</v>
      </c>
      <c r="B2924" s="116" t="str">
        <f t="shared" si="45"/>
        <v>95-956200074</v>
      </c>
      <c r="C2924" s="179" t="s">
        <v>7459</v>
      </c>
    </row>
    <row r="2925" spans="1:3">
      <c r="A2925" s="177">
        <v>966200446</v>
      </c>
      <c r="B2925" s="116" t="str">
        <f t="shared" si="45"/>
        <v>96-966200446</v>
      </c>
      <c r="C2925" s="179" t="s">
        <v>12187</v>
      </c>
    </row>
    <row r="2926" spans="1:3">
      <c r="A2926" s="177">
        <v>956300030</v>
      </c>
      <c r="B2926" s="116" t="str">
        <f t="shared" si="45"/>
        <v>95-956300030</v>
      </c>
      <c r="C2926" s="179" t="s">
        <v>7427</v>
      </c>
    </row>
    <row r="2927" spans="1:3">
      <c r="A2927" s="177">
        <v>956300037</v>
      </c>
      <c r="B2927" s="116" t="str">
        <f t="shared" si="45"/>
        <v>95-956300037</v>
      </c>
      <c r="C2927" s="179" t="s">
        <v>7512</v>
      </c>
    </row>
    <row r="2928" spans="1:3">
      <c r="A2928" s="177">
        <v>966300007</v>
      </c>
      <c r="B2928" s="116" t="str">
        <f t="shared" si="45"/>
        <v>96-966300007</v>
      </c>
      <c r="C2928" s="179" t="s">
        <v>12278</v>
      </c>
    </row>
    <row r="2929" spans="1:3">
      <c r="A2929" s="177">
        <v>966300042</v>
      </c>
      <c r="B2929" s="116" t="str">
        <f t="shared" si="45"/>
        <v>96-966300042</v>
      </c>
      <c r="C2929" s="179" t="s">
        <v>12283</v>
      </c>
    </row>
    <row r="2930" spans="1:3">
      <c r="A2930" s="177">
        <v>956200025</v>
      </c>
      <c r="B2930" s="116" t="str">
        <f t="shared" si="45"/>
        <v>95-956200025</v>
      </c>
      <c r="C2930" s="179" t="s">
        <v>7399</v>
      </c>
    </row>
    <row r="2931" spans="1:3">
      <c r="A2931" s="177">
        <v>961100068</v>
      </c>
      <c r="B2931" s="116" t="str">
        <f t="shared" si="45"/>
        <v>96-961100068</v>
      </c>
      <c r="C2931" s="179" t="s">
        <v>8028</v>
      </c>
    </row>
    <row r="2932" spans="1:3">
      <c r="A2932" s="177">
        <v>966300043</v>
      </c>
      <c r="B2932" s="116" t="str">
        <f t="shared" si="45"/>
        <v>96-966300043</v>
      </c>
      <c r="C2932" s="179" t="s">
        <v>12283</v>
      </c>
    </row>
    <row r="2933" spans="1:3">
      <c r="A2933" s="177">
        <v>966300047</v>
      </c>
      <c r="B2933" s="116" t="str">
        <f t="shared" si="45"/>
        <v>96-966300047</v>
      </c>
      <c r="C2933" s="179" t="s">
        <v>12196</v>
      </c>
    </row>
    <row r="2934" spans="1:3">
      <c r="A2934" s="177">
        <v>966300050</v>
      </c>
      <c r="B2934" s="116" t="str">
        <f t="shared" si="45"/>
        <v>96-966300050</v>
      </c>
      <c r="C2934" s="179" t="s">
        <v>12191</v>
      </c>
    </row>
    <row r="2935" spans="1:3">
      <c r="A2935" s="177">
        <v>956200245</v>
      </c>
      <c r="B2935" s="116" t="str">
        <f t="shared" si="45"/>
        <v>95-956200245</v>
      </c>
      <c r="C2935" s="179" t="s">
        <v>7428</v>
      </c>
    </row>
    <row r="2936" spans="1:3">
      <c r="A2936" s="177">
        <v>952000200</v>
      </c>
      <c r="B2936" s="116" t="str">
        <f t="shared" si="45"/>
        <v>95-952000200</v>
      </c>
      <c r="C2936" s="179" t="s">
        <v>7342</v>
      </c>
    </row>
    <row r="2937" spans="1:3">
      <c r="A2937" s="177">
        <v>962000487</v>
      </c>
      <c r="B2937" s="116" t="str">
        <f t="shared" si="45"/>
        <v>96-962000487</v>
      </c>
      <c r="C2937" s="179" t="s">
        <v>12184</v>
      </c>
    </row>
    <row r="2938" spans="1:3">
      <c r="A2938" s="177">
        <v>952000110</v>
      </c>
      <c r="B2938" s="116" t="str">
        <f t="shared" si="45"/>
        <v>95-952000110</v>
      </c>
      <c r="C2938" s="179" t="s">
        <v>7321</v>
      </c>
    </row>
    <row r="2939" spans="1:3">
      <c r="A2939" s="177">
        <v>956200078</v>
      </c>
      <c r="B2939" s="116" t="str">
        <f t="shared" si="45"/>
        <v>95-956200078</v>
      </c>
      <c r="C2939" s="179" t="s">
        <v>7513</v>
      </c>
    </row>
    <row r="2940" spans="1:3">
      <c r="A2940" s="177">
        <v>962000445</v>
      </c>
      <c r="B2940" s="116" t="str">
        <f t="shared" si="45"/>
        <v>96-962000445</v>
      </c>
      <c r="C2940" s="179" t="s">
        <v>12184</v>
      </c>
    </row>
    <row r="2941" spans="1:3">
      <c r="A2941" s="177">
        <v>962000500</v>
      </c>
      <c r="B2941" s="116" t="str">
        <f t="shared" si="45"/>
        <v>96-962000500</v>
      </c>
      <c r="C2941" s="179" t="s">
        <v>12184</v>
      </c>
    </row>
    <row r="2942" spans="1:3">
      <c r="A2942" s="177">
        <v>962000453</v>
      </c>
      <c r="B2942" s="116" t="str">
        <f t="shared" si="45"/>
        <v>96-962000453</v>
      </c>
      <c r="C2942" s="179" t="s">
        <v>12184</v>
      </c>
    </row>
    <row r="2943" spans="1:3">
      <c r="A2943" s="177">
        <v>962000027</v>
      </c>
      <c r="B2943" s="116" t="str">
        <f t="shared" si="45"/>
        <v>96-962000027</v>
      </c>
      <c r="C2943" s="179" t="s">
        <v>7112</v>
      </c>
    </row>
    <row r="2944" spans="1:3">
      <c r="A2944" s="177">
        <v>962000245</v>
      </c>
      <c r="B2944" s="116" t="str">
        <f t="shared" si="45"/>
        <v>96-962000245</v>
      </c>
      <c r="C2944" s="179" t="s">
        <v>7112</v>
      </c>
    </row>
    <row r="2945" spans="1:3">
      <c r="A2945" s="177">
        <v>956200136</v>
      </c>
      <c r="B2945" s="116" t="str">
        <f t="shared" si="45"/>
        <v>95-956200136</v>
      </c>
      <c r="C2945" s="179" t="s">
        <v>7382</v>
      </c>
    </row>
    <row r="2946" spans="1:3">
      <c r="A2946" s="177">
        <v>962000010</v>
      </c>
      <c r="B2946" s="116" t="str">
        <f t="shared" si="45"/>
        <v>96-962000010</v>
      </c>
      <c r="C2946" s="179" t="s">
        <v>7112</v>
      </c>
    </row>
    <row r="2947" spans="1:3">
      <c r="A2947" s="177">
        <v>962000495</v>
      </c>
      <c r="B2947" s="116" t="str">
        <f t="shared" ref="B2947:B3010" si="46">MID(A2947,1,2)&amp;"-"&amp;A2947</f>
        <v>96-962000495</v>
      </c>
      <c r="C2947" s="179" t="s">
        <v>12184</v>
      </c>
    </row>
    <row r="2948" spans="1:3">
      <c r="A2948" s="177">
        <v>962000496</v>
      </c>
      <c r="B2948" s="116" t="str">
        <f t="shared" si="46"/>
        <v>96-962000496</v>
      </c>
      <c r="C2948" s="179" t="s">
        <v>12184</v>
      </c>
    </row>
    <row r="2949" spans="1:3">
      <c r="A2949" s="177">
        <v>962000216</v>
      </c>
      <c r="B2949" s="116" t="str">
        <f t="shared" si="46"/>
        <v>96-962000216</v>
      </c>
      <c r="C2949" s="179" t="s">
        <v>7112</v>
      </c>
    </row>
    <row r="2950" spans="1:3">
      <c r="A2950" s="177">
        <v>966200034</v>
      </c>
      <c r="B2950" s="116" t="str">
        <f t="shared" si="46"/>
        <v>96-966200034</v>
      </c>
      <c r="C2950" s="179" t="s">
        <v>7288</v>
      </c>
    </row>
    <row r="2951" spans="1:3">
      <c r="A2951" s="177">
        <v>966200035</v>
      </c>
      <c r="B2951" s="116" t="str">
        <f t="shared" si="46"/>
        <v>96-966200035</v>
      </c>
      <c r="C2951" s="179" t="s">
        <v>7288</v>
      </c>
    </row>
    <row r="2952" spans="1:3">
      <c r="A2952" s="177">
        <v>966200073</v>
      </c>
      <c r="B2952" s="116" t="str">
        <f t="shared" si="46"/>
        <v>96-966200073</v>
      </c>
      <c r="C2952" s="179" t="s">
        <v>7448</v>
      </c>
    </row>
    <row r="2953" spans="1:3">
      <c r="A2953" s="177">
        <v>956300017</v>
      </c>
      <c r="B2953" s="116" t="str">
        <f t="shared" si="46"/>
        <v>95-956300017</v>
      </c>
      <c r="C2953" s="179" t="s">
        <v>7516</v>
      </c>
    </row>
    <row r="2954" spans="1:3">
      <c r="A2954" s="177">
        <v>956200109</v>
      </c>
      <c r="B2954" s="116" t="str">
        <f t="shared" si="46"/>
        <v>95-956200109</v>
      </c>
      <c r="C2954" s="179" t="s">
        <v>7358</v>
      </c>
    </row>
    <row r="2955" spans="1:3">
      <c r="A2955" s="177">
        <v>956200254</v>
      </c>
      <c r="B2955" s="116" t="str">
        <f t="shared" si="46"/>
        <v>95-956200254</v>
      </c>
      <c r="C2955" s="179" t="s">
        <v>7428</v>
      </c>
    </row>
    <row r="2956" spans="1:3">
      <c r="A2956" s="177">
        <v>956200248</v>
      </c>
      <c r="B2956" s="116" t="str">
        <f t="shared" si="46"/>
        <v>95-956200248</v>
      </c>
      <c r="C2956" s="179" t="s">
        <v>7428</v>
      </c>
    </row>
    <row r="2957" spans="1:3">
      <c r="A2957" s="177">
        <v>956200279</v>
      </c>
      <c r="B2957" s="116" t="str">
        <f t="shared" si="46"/>
        <v>95-956200279</v>
      </c>
      <c r="C2957" s="179" t="s">
        <v>7347</v>
      </c>
    </row>
    <row r="2958" spans="1:3">
      <c r="A2958" s="177">
        <v>966200401</v>
      </c>
      <c r="B2958" s="116" t="str">
        <f t="shared" si="46"/>
        <v>96-966200401</v>
      </c>
      <c r="C2958" s="179" t="s">
        <v>12239</v>
      </c>
    </row>
    <row r="2959" spans="1:3">
      <c r="A2959" s="177">
        <v>956200397</v>
      </c>
      <c r="B2959" s="116" t="str">
        <f t="shared" si="46"/>
        <v>95-956200397</v>
      </c>
      <c r="C2959" s="179" t="s">
        <v>7269</v>
      </c>
    </row>
    <row r="2960" spans="1:3">
      <c r="A2960" s="177">
        <v>956200354</v>
      </c>
      <c r="B2960" s="116" t="str">
        <f t="shared" si="46"/>
        <v>95-956200354</v>
      </c>
      <c r="C2960" s="179" t="s">
        <v>7447</v>
      </c>
    </row>
    <row r="2961" spans="1:3">
      <c r="A2961" s="177">
        <v>956200357</v>
      </c>
      <c r="B2961" s="116" t="str">
        <f t="shared" si="46"/>
        <v>95-956200357</v>
      </c>
      <c r="C2961" s="179" t="s">
        <v>7447</v>
      </c>
    </row>
    <row r="2962" spans="1:3">
      <c r="A2962" s="177">
        <v>956200360</v>
      </c>
      <c r="B2962" s="116" t="str">
        <f t="shared" si="46"/>
        <v>95-956200360</v>
      </c>
      <c r="C2962" s="179" t="s">
        <v>7292</v>
      </c>
    </row>
    <row r="2963" spans="1:3">
      <c r="A2963" s="177">
        <v>956200388</v>
      </c>
      <c r="B2963" s="116" t="str">
        <f t="shared" si="46"/>
        <v>95-956200388</v>
      </c>
      <c r="C2963" s="179" t="s">
        <v>7393</v>
      </c>
    </row>
    <row r="2964" spans="1:3">
      <c r="A2964" s="177">
        <v>956200391</v>
      </c>
      <c r="B2964" s="116" t="str">
        <f t="shared" si="46"/>
        <v>95-956200391</v>
      </c>
      <c r="C2964" s="179" t="s">
        <v>7393</v>
      </c>
    </row>
    <row r="2965" spans="1:3">
      <c r="A2965" s="177">
        <v>956200436</v>
      </c>
      <c r="B2965" s="116" t="str">
        <f t="shared" si="46"/>
        <v>95-956200436</v>
      </c>
      <c r="C2965" s="179" t="s">
        <v>7423</v>
      </c>
    </row>
    <row r="2966" spans="1:3">
      <c r="A2966" s="177">
        <v>966200429</v>
      </c>
      <c r="B2966" s="116" t="str">
        <f t="shared" si="46"/>
        <v>96-966200429</v>
      </c>
      <c r="C2966" s="179" t="s">
        <v>12236</v>
      </c>
    </row>
    <row r="2967" spans="1:3">
      <c r="A2967" s="177">
        <v>956200434</v>
      </c>
      <c r="B2967" s="116" t="str">
        <f t="shared" si="46"/>
        <v>95-956200434</v>
      </c>
      <c r="C2967" s="179" t="s">
        <v>7419</v>
      </c>
    </row>
    <row r="2968" spans="1:3">
      <c r="A2968" s="177">
        <v>966200053</v>
      </c>
      <c r="B2968" s="116" t="str">
        <f t="shared" si="46"/>
        <v>96-966200053</v>
      </c>
      <c r="C2968" s="179" t="s">
        <v>7414</v>
      </c>
    </row>
    <row r="2969" spans="1:3">
      <c r="A2969" s="177">
        <v>961100020</v>
      </c>
      <c r="B2969" s="116" t="str">
        <f t="shared" si="46"/>
        <v>96-961100020</v>
      </c>
      <c r="C2969" s="179" t="s">
        <v>7522</v>
      </c>
    </row>
    <row r="2970" spans="1:3">
      <c r="A2970" s="177">
        <v>966200063</v>
      </c>
      <c r="B2970" s="116" t="str">
        <f t="shared" si="46"/>
        <v>96-966200063</v>
      </c>
      <c r="C2970" s="179" t="s">
        <v>7345</v>
      </c>
    </row>
    <row r="2971" spans="1:3">
      <c r="A2971" s="177">
        <v>966200086</v>
      </c>
      <c r="B2971" s="116" t="str">
        <f t="shared" si="46"/>
        <v>96-966200086</v>
      </c>
      <c r="C2971" s="179" t="s">
        <v>7476</v>
      </c>
    </row>
    <row r="2972" spans="1:3">
      <c r="A2972" s="177">
        <v>966200202</v>
      </c>
      <c r="B2972" s="116" t="str">
        <f t="shared" si="46"/>
        <v>96-966200202</v>
      </c>
      <c r="C2972" s="179" t="s">
        <v>7120</v>
      </c>
    </row>
    <row r="2973" spans="1:3">
      <c r="A2973" s="177">
        <v>966200082</v>
      </c>
      <c r="B2973" s="116" t="str">
        <f t="shared" si="46"/>
        <v>96-966200082</v>
      </c>
      <c r="C2973" s="179" t="s">
        <v>7448</v>
      </c>
    </row>
    <row r="2974" spans="1:3">
      <c r="A2974" s="177">
        <v>961100078</v>
      </c>
      <c r="B2974" s="116" t="str">
        <f t="shared" si="46"/>
        <v>96-961100078</v>
      </c>
      <c r="C2974" s="179" t="s">
        <v>8739</v>
      </c>
    </row>
    <row r="2975" spans="1:3">
      <c r="A2975" s="177">
        <v>956200294</v>
      </c>
      <c r="B2975" s="116" t="str">
        <f t="shared" si="46"/>
        <v>95-956200294</v>
      </c>
      <c r="C2975" s="179" t="s">
        <v>7438</v>
      </c>
    </row>
    <row r="2976" spans="1:3">
      <c r="A2976" s="177">
        <v>956200305</v>
      </c>
      <c r="B2976" s="116" t="str">
        <f t="shared" si="46"/>
        <v>95-956200305</v>
      </c>
      <c r="C2976" s="179" t="s">
        <v>8039</v>
      </c>
    </row>
    <row r="2977" spans="1:3">
      <c r="A2977" s="177">
        <v>956200163</v>
      </c>
      <c r="B2977" s="116" t="str">
        <f t="shared" si="46"/>
        <v>95-956200163</v>
      </c>
      <c r="C2977" s="179" t="s">
        <v>7268</v>
      </c>
    </row>
    <row r="2978" spans="1:3">
      <c r="A2978" s="177">
        <v>966300009</v>
      </c>
      <c r="B2978" s="116" t="str">
        <f t="shared" si="46"/>
        <v>96-966300009</v>
      </c>
      <c r="C2978" s="179" t="s">
        <v>12274</v>
      </c>
    </row>
    <row r="2979" spans="1:3">
      <c r="A2979" s="177">
        <v>966300024</v>
      </c>
      <c r="B2979" s="116" t="str">
        <f t="shared" si="46"/>
        <v>96-966300024</v>
      </c>
      <c r="C2979" s="179" t="s">
        <v>12275</v>
      </c>
    </row>
    <row r="2980" spans="1:3">
      <c r="A2980" s="177">
        <v>956200422</v>
      </c>
      <c r="B2980" s="116" t="str">
        <f t="shared" si="46"/>
        <v>95-956200422</v>
      </c>
      <c r="C2980" s="179" t="s">
        <v>7423</v>
      </c>
    </row>
    <row r="2981" spans="1:3">
      <c r="A2981" s="177">
        <v>966200093</v>
      </c>
      <c r="B2981" s="116" t="str">
        <f t="shared" si="46"/>
        <v>96-966200093</v>
      </c>
      <c r="C2981" s="179" t="s">
        <v>7476</v>
      </c>
    </row>
    <row r="2982" spans="1:3">
      <c r="A2982" s="177">
        <v>966200097</v>
      </c>
      <c r="B2982" s="116" t="str">
        <f t="shared" si="46"/>
        <v>96-966200097</v>
      </c>
      <c r="C2982" s="179" t="s">
        <v>7476</v>
      </c>
    </row>
    <row r="2983" spans="1:3">
      <c r="A2983" s="177">
        <v>966200136</v>
      </c>
      <c r="B2983" s="116" t="str">
        <f t="shared" si="46"/>
        <v>96-966200136</v>
      </c>
      <c r="C2983" s="179" t="s">
        <v>7523</v>
      </c>
    </row>
    <row r="2984" spans="1:3">
      <c r="A2984" s="177">
        <v>966200459</v>
      </c>
      <c r="B2984" s="116" t="str">
        <f t="shared" si="46"/>
        <v>96-966200459</v>
      </c>
      <c r="C2984" s="179" t="s">
        <v>12192</v>
      </c>
    </row>
    <row r="2985" spans="1:3">
      <c r="A2985" s="177">
        <v>962000104</v>
      </c>
      <c r="B2985" s="116" t="str">
        <f t="shared" si="46"/>
        <v>96-962000104</v>
      </c>
      <c r="C2985" s="179" t="s">
        <v>7112</v>
      </c>
    </row>
    <row r="2986" spans="1:3">
      <c r="A2986" s="177">
        <v>962000322</v>
      </c>
      <c r="B2986" s="116" t="str">
        <f t="shared" si="46"/>
        <v>96-962000322</v>
      </c>
      <c r="C2986" s="179" t="s">
        <v>7112</v>
      </c>
    </row>
    <row r="2987" spans="1:3">
      <c r="A2987" s="177">
        <v>962000157</v>
      </c>
      <c r="B2987" s="116" t="str">
        <f t="shared" si="46"/>
        <v>96-962000157</v>
      </c>
      <c r="C2987" s="179" t="s">
        <v>7112</v>
      </c>
    </row>
    <row r="2988" spans="1:3">
      <c r="A2988" s="177">
        <v>962000162</v>
      </c>
      <c r="B2988" s="116" t="str">
        <f t="shared" si="46"/>
        <v>96-962000162</v>
      </c>
      <c r="C2988" s="179" t="s">
        <v>7112</v>
      </c>
    </row>
    <row r="2989" spans="1:3">
      <c r="A2989" s="177">
        <v>962000281</v>
      </c>
      <c r="B2989" s="116" t="str">
        <f t="shared" si="46"/>
        <v>96-962000281</v>
      </c>
      <c r="C2989" s="179" t="s">
        <v>7112</v>
      </c>
    </row>
    <row r="2990" spans="1:3">
      <c r="A2990" s="177">
        <v>962000325</v>
      </c>
      <c r="B2990" s="116" t="str">
        <f t="shared" si="46"/>
        <v>96-962000325</v>
      </c>
      <c r="C2990" s="179" t="s">
        <v>7112</v>
      </c>
    </row>
    <row r="2991" spans="1:3">
      <c r="A2991" s="177">
        <v>962000308</v>
      </c>
      <c r="B2991" s="116" t="str">
        <f t="shared" si="46"/>
        <v>96-962000308</v>
      </c>
      <c r="C2991" s="179" t="s">
        <v>7112</v>
      </c>
    </row>
    <row r="2992" spans="1:3">
      <c r="A2992" s="177">
        <v>962000197</v>
      </c>
      <c r="B2992" s="116" t="str">
        <f t="shared" si="46"/>
        <v>96-962000197</v>
      </c>
      <c r="C2992" s="179" t="s">
        <v>7112</v>
      </c>
    </row>
    <row r="2993" spans="1:3">
      <c r="A2993" s="177">
        <v>966200300</v>
      </c>
      <c r="B2993" s="116" t="str">
        <f t="shared" si="46"/>
        <v>96-966200300</v>
      </c>
      <c r="C2993" s="179" t="s">
        <v>7119</v>
      </c>
    </row>
    <row r="2994" spans="1:3">
      <c r="A2994" s="177">
        <v>966200329</v>
      </c>
      <c r="B2994" s="116" t="str">
        <f t="shared" si="46"/>
        <v>96-966200329</v>
      </c>
      <c r="C2994" s="179" t="s">
        <v>8697</v>
      </c>
    </row>
    <row r="2995" spans="1:3">
      <c r="A2995" s="177">
        <v>962000255</v>
      </c>
      <c r="B2995" s="116" t="str">
        <f t="shared" si="46"/>
        <v>96-962000255</v>
      </c>
      <c r="C2995" s="179" t="s">
        <v>7112</v>
      </c>
    </row>
    <row r="2996" spans="1:3">
      <c r="A2996" s="177">
        <v>952000259</v>
      </c>
      <c r="B2996" s="116" t="str">
        <f t="shared" si="46"/>
        <v>95-952000259</v>
      </c>
      <c r="C2996" s="179" t="s">
        <v>7280</v>
      </c>
    </row>
    <row r="2997" spans="1:3">
      <c r="A2997" s="177">
        <v>962000051</v>
      </c>
      <c r="B2997" s="116" t="str">
        <f t="shared" si="46"/>
        <v>96-962000051</v>
      </c>
      <c r="C2997" s="179" t="s">
        <v>7112</v>
      </c>
    </row>
    <row r="2998" spans="1:3">
      <c r="A2998" s="177">
        <v>962000470</v>
      </c>
      <c r="B2998" s="116" t="str">
        <f t="shared" si="46"/>
        <v>96-962000470</v>
      </c>
      <c r="C2998" s="179" t="s">
        <v>12184</v>
      </c>
    </row>
    <row r="2999" spans="1:3">
      <c r="A2999" s="177">
        <v>962000026</v>
      </c>
      <c r="B2999" s="116" t="str">
        <f t="shared" si="46"/>
        <v>96-962000026</v>
      </c>
      <c r="C2999" s="179" t="s">
        <v>7112</v>
      </c>
    </row>
    <row r="3000" spans="1:3">
      <c r="A3000" s="177">
        <v>966200395</v>
      </c>
      <c r="B3000" s="116" t="str">
        <f t="shared" si="46"/>
        <v>96-966200395</v>
      </c>
      <c r="C3000" s="179" t="s">
        <v>12239</v>
      </c>
    </row>
    <row r="3001" spans="1:3">
      <c r="A3001" s="177">
        <v>966200350</v>
      </c>
      <c r="B3001" s="116" t="str">
        <f t="shared" si="46"/>
        <v>96-966200350</v>
      </c>
      <c r="C3001" s="179" t="s">
        <v>8696</v>
      </c>
    </row>
    <row r="3002" spans="1:3">
      <c r="A3002" s="177">
        <v>966200397</v>
      </c>
      <c r="B3002" s="116" t="str">
        <f t="shared" si="46"/>
        <v>96-966200397</v>
      </c>
      <c r="C3002" s="179" t="s">
        <v>12239</v>
      </c>
    </row>
    <row r="3003" spans="1:3">
      <c r="A3003" s="177">
        <v>966200366</v>
      </c>
      <c r="B3003" s="116" t="str">
        <f t="shared" si="46"/>
        <v>96-966200366</v>
      </c>
      <c r="C3003" s="179" t="s">
        <v>12288</v>
      </c>
    </row>
    <row r="3004" spans="1:3">
      <c r="A3004" s="177">
        <v>966300028</v>
      </c>
      <c r="B3004" s="116" t="str">
        <f t="shared" si="46"/>
        <v>96-966300028</v>
      </c>
      <c r="C3004" s="179" t="s">
        <v>12287</v>
      </c>
    </row>
    <row r="3005" spans="1:3">
      <c r="A3005" s="177">
        <v>962000313</v>
      </c>
      <c r="B3005" s="116" t="str">
        <f t="shared" si="46"/>
        <v>96-962000313</v>
      </c>
      <c r="C3005" s="179" t="s">
        <v>7112</v>
      </c>
    </row>
    <row r="3006" spans="1:3">
      <c r="A3006" s="177">
        <v>962000331</v>
      </c>
      <c r="B3006" s="116" t="str">
        <f t="shared" si="46"/>
        <v>96-962000331</v>
      </c>
      <c r="C3006" s="179" t="s">
        <v>7112</v>
      </c>
    </row>
    <row r="3007" spans="1:3">
      <c r="A3007" s="177">
        <v>966200526</v>
      </c>
      <c r="B3007" s="116" t="str">
        <f t="shared" si="46"/>
        <v>96-966200526</v>
      </c>
      <c r="C3007" s="179" t="s">
        <v>12410</v>
      </c>
    </row>
    <row r="3008" spans="1:3">
      <c r="A3008" s="177">
        <v>954100004</v>
      </c>
      <c r="B3008" s="116" t="str">
        <f t="shared" si="46"/>
        <v>95-954100004</v>
      </c>
      <c r="C3008" s="179" t="s">
        <v>5615</v>
      </c>
    </row>
    <row r="3009" spans="1:3">
      <c r="A3009" s="177">
        <v>954100012</v>
      </c>
      <c r="B3009" s="116" t="str">
        <f t="shared" si="46"/>
        <v>95-954100012</v>
      </c>
      <c r="C3009" s="179" t="s">
        <v>5623</v>
      </c>
    </row>
    <row r="3010" spans="1:3">
      <c r="A3010" s="177">
        <v>956200049</v>
      </c>
      <c r="B3010" s="116" t="str">
        <f t="shared" si="46"/>
        <v>95-956200049</v>
      </c>
      <c r="C3010" s="179" t="s">
        <v>7418</v>
      </c>
    </row>
    <row r="3011" spans="1:3">
      <c r="A3011" s="177">
        <v>954100024</v>
      </c>
      <c r="B3011" s="116" t="str">
        <f t="shared" ref="B3011:B3074" si="47">MID(A3011,1,2)&amp;"-"&amp;A3011</f>
        <v>95-954100024</v>
      </c>
      <c r="C3011" s="179" t="s">
        <v>5737</v>
      </c>
    </row>
    <row r="3012" spans="1:3">
      <c r="A3012" s="177">
        <v>954100029</v>
      </c>
      <c r="B3012" s="116" t="str">
        <f t="shared" si="47"/>
        <v>95-954100029</v>
      </c>
      <c r="C3012" s="179" t="s">
        <v>5749</v>
      </c>
    </row>
    <row r="3013" spans="1:3">
      <c r="A3013" s="177">
        <v>954100035</v>
      </c>
      <c r="B3013" s="116" t="str">
        <f t="shared" si="47"/>
        <v>95-954100035</v>
      </c>
      <c r="C3013" s="179" t="s">
        <v>5749</v>
      </c>
    </row>
    <row r="3014" spans="1:3">
      <c r="A3014" s="177">
        <v>964100002</v>
      </c>
      <c r="B3014" s="116" t="str">
        <f t="shared" si="47"/>
        <v>96-964100002</v>
      </c>
      <c r="C3014" s="179" t="s">
        <v>5761</v>
      </c>
    </row>
    <row r="3015" spans="1:3">
      <c r="A3015" s="177">
        <v>964100004</v>
      </c>
      <c r="B3015" s="116" t="str">
        <f t="shared" si="47"/>
        <v>96-964100004</v>
      </c>
      <c r="C3015" s="179" t="s">
        <v>5760</v>
      </c>
    </row>
    <row r="3016" spans="1:3">
      <c r="A3016" s="177">
        <v>964100007</v>
      </c>
      <c r="B3016" s="116" t="str">
        <f t="shared" si="47"/>
        <v>96-964100007</v>
      </c>
      <c r="C3016" s="179" t="s">
        <v>5782</v>
      </c>
    </row>
    <row r="3017" spans="1:3">
      <c r="A3017" s="177">
        <v>964100018</v>
      </c>
      <c r="B3017" s="116" t="str">
        <f t="shared" si="47"/>
        <v>96-964100018</v>
      </c>
      <c r="C3017" s="179" t="s">
        <v>5804</v>
      </c>
    </row>
    <row r="3018" spans="1:3">
      <c r="A3018" s="177">
        <v>964100042</v>
      </c>
      <c r="B3018" s="116" t="str">
        <f t="shared" si="47"/>
        <v>96-964100042</v>
      </c>
      <c r="C3018" s="179" t="s">
        <v>5844</v>
      </c>
    </row>
    <row r="3019" spans="1:3">
      <c r="A3019" s="177">
        <v>964100053</v>
      </c>
      <c r="B3019" s="116" t="str">
        <f t="shared" si="47"/>
        <v>96-964100053</v>
      </c>
      <c r="C3019" s="179" t="s">
        <v>7138</v>
      </c>
    </row>
    <row r="3020" spans="1:3">
      <c r="A3020" s="177">
        <v>964100056</v>
      </c>
      <c r="B3020" s="116" t="str">
        <f t="shared" si="47"/>
        <v>96-964100056</v>
      </c>
      <c r="C3020" s="179" t="s">
        <v>7144</v>
      </c>
    </row>
    <row r="3021" spans="1:3">
      <c r="A3021" s="177">
        <v>964100057</v>
      </c>
      <c r="B3021" s="116" t="str">
        <f t="shared" si="47"/>
        <v>96-964100057</v>
      </c>
      <c r="C3021" s="179" t="s">
        <v>7138</v>
      </c>
    </row>
    <row r="3022" spans="1:3">
      <c r="A3022" s="177">
        <v>964100062</v>
      </c>
      <c r="B3022" s="116" t="str">
        <f t="shared" si="47"/>
        <v>96-964100062</v>
      </c>
      <c r="C3022" s="179" t="s">
        <v>7124</v>
      </c>
    </row>
    <row r="3023" spans="1:3">
      <c r="A3023" s="177">
        <v>964100077</v>
      </c>
      <c r="B3023" s="116" t="str">
        <f t="shared" si="47"/>
        <v>96-964100077</v>
      </c>
      <c r="C3023" s="179" t="s">
        <v>8706</v>
      </c>
    </row>
    <row r="3024" spans="1:3">
      <c r="A3024" s="177">
        <v>964100080</v>
      </c>
      <c r="B3024" s="116" t="str">
        <f t="shared" si="47"/>
        <v>96-964100080</v>
      </c>
      <c r="C3024" s="179" t="s">
        <v>9911</v>
      </c>
    </row>
    <row r="3025" spans="1:3">
      <c r="A3025" s="177">
        <v>964100091</v>
      </c>
      <c r="B3025" s="116" t="str">
        <f t="shared" si="47"/>
        <v>96-964100091</v>
      </c>
      <c r="C3025" s="179" t="s">
        <v>12442</v>
      </c>
    </row>
    <row r="3026" spans="1:3">
      <c r="A3026" s="177">
        <v>954300002</v>
      </c>
      <c r="B3026" s="116" t="str">
        <f t="shared" si="47"/>
        <v>95-954300002</v>
      </c>
      <c r="C3026" s="179" t="s">
        <v>7218</v>
      </c>
    </row>
    <row r="3027" spans="1:3">
      <c r="A3027" s="177">
        <v>952000132</v>
      </c>
      <c r="B3027" s="116" t="str">
        <f t="shared" si="47"/>
        <v>95-952000132</v>
      </c>
      <c r="C3027" s="179" t="s">
        <v>7405</v>
      </c>
    </row>
    <row r="3028" spans="1:3">
      <c r="A3028" s="177">
        <v>962000069</v>
      </c>
      <c r="B3028" s="116" t="str">
        <f t="shared" si="47"/>
        <v>96-962000069</v>
      </c>
      <c r="C3028" s="179" t="s">
        <v>7112</v>
      </c>
    </row>
    <row r="3029" spans="1:3">
      <c r="A3029" s="177">
        <v>962000456</v>
      </c>
      <c r="B3029" s="116" t="str">
        <f t="shared" si="47"/>
        <v>96-962000456</v>
      </c>
      <c r="C3029" s="179" t="s">
        <v>12184</v>
      </c>
    </row>
    <row r="3030" spans="1:3">
      <c r="A3030" s="177">
        <v>962000413</v>
      </c>
      <c r="B3030" s="116" t="str">
        <f t="shared" si="47"/>
        <v>96-962000413</v>
      </c>
      <c r="C3030" s="179" t="s">
        <v>12184</v>
      </c>
    </row>
    <row r="3031" spans="1:3">
      <c r="A3031" s="177">
        <v>952000160</v>
      </c>
      <c r="B3031" s="116" t="str">
        <f t="shared" si="47"/>
        <v>95-952000160</v>
      </c>
      <c r="C3031" s="179" t="s">
        <v>8026</v>
      </c>
    </row>
    <row r="3032" spans="1:3">
      <c r="A3032" s="177">
        <v>962000398</v>
      </c>
      <c r="B3032" s="116" t="str">
        <f t="shared" si="47"/>
        <v>96-962000398</v>
      </c>
      <c r="C3032" s="179" t="s">
        <v>12184</v>
      </c>
    </row>
    <row r="3033" spans="1:3">
      <c r="A3033" s="177">
        <v>962000482</v>
      </c>
      <c r="B3033" s="116" t="str">
        <f t="shared" si="47"/>
        <v>96-962000482</v>
      </c>
      <c r="C3033" s="179" t="s">
        <v>12184</v>
      </c>
    </row>
    <row r="3034" spans="1:3">
      <c r="A3034" s="177">
        <v>962000439</v>
      </c>
      <c r="B3034" s="116" t="str">
        <f t="shared" si="47"/>
        <v>96-962000439</v>
      </c>
      <c r="C3034" s="179" t="s">
        <v>12184</v>
      </c>
    </row>
    <row r="3035" spans="1:3">
      <c r="A3035" s="177">
        <v>952000273</v>
      </c>
      <c r="B3035" s="116" t="str">
        <f t="shared" si="47"/>
        <v>95-952000273</v>
      </c>
      <c r="C3035" s="179" t="s">
        <v>7280</v>
      </c>
    </row>
    <row r="3036" spans="1:3">
      <c r="A3036" s="177">
        <v>952000309</v>
      </c>
      <c r="B3036" s="116" t="str">
        <f t="shared" si="47"/>
        <v>95-952000309</v>
      </c>
      <c r="C3036" s="179" t="s">
        <v>7420</v>
      </c>
    </row>
    <row r="3037" spans="1:3">
      <c r="A3037" s="177">
        <v>951100063</v>
      </c>
      <c r="B3037" s="116" t="str">
        <f t="shared" si="47"/>
        <v>95-951100063</v>
      </c>
      <c r="C3037" s="179" t="s">
        <v>8043</v>
      </c>
    </row>
    <row r="3038" spans="1:3">
      <c r="A3038" s="177">
        <v>964300001</v>
      </c>
      <c r="B3038" s="116" t="str">
        <f t="shared" si="47"/>
        <v>96-964300001</v>
      </c>
      <c r="C3038" s="179" t="s">
        <v>7483</v>
      </c>
    </row>
    <row r="3039" spans="1:3">
      <c r="A3039" s="177">
        <v>964300005</v>
      </c>
      <c r="B3039" s="116" t="str">
        <f t="shared" si="47"/>
        <v>96-964300005</v>
      </c>
      <c r="C3039" s="179" t="s">
        <v>7230</v>
      </c>
    </row>
    <row r="3040" spans="1:3">
      <c r="A3040" s="177">
        <v>964300016</v>
      </c>
      <c r="B3040" s="116" t="str">
        <f t="shared" si="47"/>
        <v>96-964300016</v>
      </c>
      <c r="C3040" s="179" t="s">
        <v>7125</v>
      </c>
    </row>
    <row r="3041" spans="1:3">
      <c r="A3041" s="177">
        <v>964300029</v>
      </c>
      <c r="B3041" s="116" t="str">
        <f t="shared" si="47"/>
        <v>96-964300029</v>
      </c>
      <c r="C3041" s="179" t="s">
        <v>9765</v>
      </c>
    </row>
    <row r="3042" spans="1:3">
      <c r="A3042" s="177">
        <v>956200047</v>
      </c>
      <c r="B3042" s="116" t="str">
        <f t="shared" si="47"/>
        <v>95-956200047</v>
      </c>
      <c r="C3042" s="179" t="s">
        <v>7418</v>
      </c>
    </row>
    <row r="3043" spans="1:3">
      <c r="A3043" s="177">
        <v>961200090</v>
      </c>
      <c r="B3043" s="116" t="str">
        <f t="shared" si="47"/>
        <v>96-961200090</v>
      </c>
      <c r="C3043" s="179" t="s">
        <v>9787</v>
      </c>
    </row>
    <row r="3044" spans="1:3">
      <c r="A3044" s="177">
        <v>961200153</v>
      </c>
      <c r="B3044" s="116" t="str">
        <f t="shared" si="47"/>
        <v>96-961200153</v>
      </c>
      <c r="C3044" s="179" t="s">
        <v>12443</v>
      </c>
    </row>
    <row r="3045" spans="1:3">
      <c r="A3045" s="177">
        <v>966200455</v>
      </c>
      <c r="B3045" s="116" t="str">
        <f t="shared" si="47"/>
        <v>96-966200455</v>
      </c>
      <c r="C3045" s="179" t="s">
        <v>12192</v>
      </c>
    </row>
    <row r="3046" spans="1:3">
      <c r="A3046" s="177">
        <v>952000161</v>
      </c>
      <c r="B3046" s="116" t="str">
        <f t="shared" si="47"/>
        <v>95-952000161</v>
      </c>
      <c r="C3046" s="179" t="s">
        <v>8026</v>
      </c>
    </row>
    <row r="3047" spans="1:3">
      <c r="A3047" s="177">
        <v>951100150</v>
      </c>
      <c r="B3047" s="116" t="str">
        <f t="shared" si="47"/>
        <v>95-951100150</v>
      </c>
      <c r="C3047" s="179" t="s">
        <v>8044</v>
      </c>
    </row>
    <row r="3048" spans="1:3">
      <c r="A3048" s="177">
        <v>961100070</v>
      </c>
      <c r="B3048" s="116" t="str">
        <f t="shared" si="47"/>
        <v>96-961100070</v>
      </c>
      <c r="C3048" s="179" t="s">
        <v>8045</v>
      </c>
    </row>
    <row r="3049" spans="1:3">
      <c r="A3049" s="177">
        <v>961100083</v>
      </c>
      <c r="B3049" s="116" t="str">
        <f t="shared" si="47"/>
        <v>96-961100083</v>
      </c>
      <c r="C3049" s="179" t="s">
        <v>8701</v>
      </c>
    </row>
    <row r="3050" spans="1:3">
      <c r="A3050" s="177">
        <v>962000017</v>
      </c>
      <c r="B3050" s="116" t="str">
        <f t="shared" si="47"/>
        <v>96-962000017</v>
      </c>
      <c r="C3050" s="179" t="s">
        <v>7112</v>
      </c>
    </row>
    <row r="3051" spans="1:3">
      <c r="A3051" s="177">
        <v>962000458</v>
      </c>
      <c r="B3051" s="116" t="str">
        <f t="shared" si="47"/>
        <v>96-962000458</v>
      </c>
      <c r="C3051" s="179" t="s">
        <v>12184</v>
      </c>
    </row>
    <row r="3052" spans="1:3">
      <c r="A3052" s="177">
        <v>962000330</v>
      </c>
      <c r="B3052" s="116" t="str">
        <f t="shared" si="47"/>
        <v>96-962000330</v>
      </c>
      <c r="C3052" s="179" t="s">
        <v>7112</v>
      </c>
    </row>
    <row r="3053" spans="1:3">
      <c r="A3053" s="177">
        <v>952000139</v>
      </c>
      <c r="B3053" s="116" t="str">
        <f t="shared" si="47"/>
        <v>95-952000139</v>
      </c>
      <c r="C3053" s="179" t="s">
        <v>7433</v>
      </c>
    </row>
    <row r="3054" spans="1:3">
      <c r="A3054" s="177">
        <v>952000319</v>
      </c>
      <c r="B3054" s="116" t="str">
        <f t="shared" si="47"/>
        <v>95-952000319</v>
      </c>
      <c r="C3054" s="179" t="s">
        <v>7420</v>
      </c>
    </row>
    <row r="3055" spans="1:3">
      <c r="A3055" s="177">
        <v>962000460</v>
      </c>
      <c r="B3055" s="116" t="str">
        <f t="shared" si="47"/>
        <v>96-962000460</v>
      </c>
      <c r="C3055" s="179" t="s">
        <v>12184</v>
      </c>
    </row>
    <row r="3056" spans="1:3">
      <c r="A3056" s="177">
        <v>962000129</v>
      </c>
      <c r="B3056" s="116" t="str">
        <f t="shared" si="47"/>
        <v>96-962000129</v>
      </c>
      <c r="C3056" s="179" t="s">
        <v>7112</v>
      </c>
    </row>
    <row r="3057" spans="1:3">
      <c r="A3057" s="177">
        <v>962000264</v>
      </c>
      <c r="B3057" s="116" t="str">
        <f t="shared" si="47"/>
        <v>96-962000264</v>
      </c>
      <c r="C3057" s="179" t="s">
        <v>7112</v>
      </c>
    </row>
    <row r="3058" spans="1:3">
      <c r="A3058" s="177">
        <v>961100096</v>
      </c>
      <c r="B3058" s="116" t="str">
        <f t="shared" si="47"/>
        <v>96-961100096</v>
      </c>
      <c r="C3058" s="179" t="s">
        <v>12234</v>
      </c>
    </row>
    <row r="3059" spans="1:3">
      <c r="A3059" s="177">
        <v>952200018</v>
      </c>
      <c r="B3059" s="116" t="str">
        <f t="shared" si="47"/>
        <v>95-952200018</v>
      </c>
      <c r="C3059" s="179" t="s">
        <v>7172</v>
      </c>
    </row>
    <row r="3060" spans="1:3">
      <c r="A3060" s="177">
        <v>952200039</v>
      </c>
      <c r="B3060" s="116" t="str">
        <f t="shared" si="47"/>
        <v>95-952200039</v>
      </c>
      <c r="C3060" s="179" t="s">
        <v>7126</v>
      </c>
    </row>
    <row r="3061" spans="1:3">
      <c r="A3061" s="177">
        <v>952200041</v>
      </c>
      <c r="B3061" s="116" t="str">
        <f t="shared" si="47"/>
        <v>95-952200041</v>
      </c>
      <c r="C3061" s="179" t="s">
        <v>7126</v>
      </c>
    </row>
    <row r="3062" spans="1:3">
      <c r="A3062" s="177">
        <v>952200047</v>
      </c>
      <c r="B3062" s="116" t="str">
        <f t="shared" si="47"/>
        <v>95-952200047</v>
      </c>
      <c r="C3062" s="179" t="s">
        <v>7174</v>
      </c>
    </row>
    <row r="3063" spans="1:3">
      <c r="A3063" s="177">
        <v>952200054</v>
      </c>
      <c r="B3063" s="116" t="str">
        <f t="shared" si="47"/>
        <v>95-952200054</v>
      </c>
      <c r="C3063" s="179" t="s">
        <v>7126</v>
      </c>
    </row>
    <row r="3064" spans="1:3">
      <c r="A3064" s="177">
        <v>952200057</v>
      </c>
      <c r="B3064" s="116" t="str">
        <f t="shared" si="47"/>
        <v>95-952200057</v>
      </c>
      <c r="C3064" s="179" t="s">
        <v>7866</v>
      </c>
    </row>
    <row r="3065" spans="1:3">
      <c r="A3065" s="177">
        <v>952200067</v>
      </c>
      <c r="B3065" s="116" t="str">
        <f t="shared" si="47"/>
        <v>95-952200067</v>
      </c>
      <c r="C3065" s="179" t="s">
        <v>7561</v>
      </c>
    </row>
    <row r="3066" spans="1:3">
      <c r="A3066" s="177">
        <v>952200069</v>
      </c>
      <c r="B3066" s="116" t="str">
        <f t="shared" si="47"/>
        <v>95-952200069</v>
      </c>
      <c r="C3066" s="179" t="s">
        <v>7151</v>
      </c>
    </row>
    <row r="3067" spans="1:3">
      <c r="A3067" s="177">
        <v>952200070</v>
      </c>
      <c r="B3067" s="116" t="str">
        <f t="shared" si="47"/>
        <v>95-952200070</v>
      </c>
      <c r="C3067" s="179" t="s">
        <v>7226</v>
      </c>
    </row>
    <row r="3068" spans="1:3">
      <c r="A3068" s="177">
        <v>962200032</v>
      </c>
      <c r="B3068" s="116" t="str">
        <f t="shared" si="47"/>
        <v>96-962200032</v>
      </c>
      <c r="C3068" s="179" t="s">
        <v>7228</v>
      </c>
    </row>
    <row r="3069" spans="1:3">
      <c r="A3069" s="177">
        <v>962200045</v>
      </c>
      <c r="B3069" s="116" t="str">
        <f t="shared" si="47"/>
        <v>96-962200045</v>
      </c>
      <c r="C3069" s="179" t="s">
        <v>7452</v>
      </c>
    </row>
    <row r="3070" spans="1:3">
      <c r="A3070" s="177">
        <v>956200299</v>
      </c>
      <c r="B3070" s="116" t="str">
        <f t="shared" si="47"/>
        <v>95-956200299</v>
      </c>
      <c r="C3070" s="179" t="s">
        <v>7344</v>
      </c>
    </row>
    <row r="3071" spans="1:3">
      <c r="A3071" s="177">
        <v>966300002</v>
      </c>
      <c r="B3071" s="116" t="str">
        <f t="shared" si="47"/>
        <v>96-966300002</v>
      </c>
      <c r="C3071" s="179" t="s">
        <v>8041</v>
      </c>
    </row>
    <row r="3072" spans="1:3">
      <c r="A3072" s="177">
        <v>956200309</v>
      </c>
      <c r="B3072" s="116" t="str">
        <f t="shared" si="47"/>
        <v>95-956200309</v>
      </c>
      <c r="C3072" s="179" t="s">
        <v>8042</v>
      </c>
    </row>
    <row r="3073" spans="1:3">
      <c r="A3073" s="177">
        <v>966200480</v>
      </c>
      <c r="B3073" s="116" t="str">
        <f t="shared" si="47"/>
        <v>96-966200480</v>
      </c>
      <c r="C3073" s="179" t="s">
        <v>12185</v>
      </c>
    </row>
    <row r="3074" spans="1:3">
      <c r="A3074" s="177">
        <v>952000092</v>
      </c>
      <c r="B3074" s="116" t="str">
        <f t="shared" si="47"/>
        <v>95-952000092</v>
      </c>
      <c r="C3074" s="179" t="s">
        <v>7326</v>
      </c>
    </row>
    <row r="3075" spans="1:3">
      <c r="A3075" s="177">
        <v>962000367</v>
      </c>
      <c r="B3075" s="116" t="str">
        <f t="shared" ref="B3075:B3138" si="48">MID(A3075,1,2)&amp;"-"&amp;A3075</f>
        <v>96-962000367</v>
      </c>
      <c r="C3075" s="179" t="s">
        <v>12208</v>
      </c>
    </row>
    <row r="3076" spans="1:3">
      <c r="A3076" s="177">
        <v>961100090</v>
      </c>
      <c r="B3076" s="116" t="str">
        <f t="shared" si="48"/>
        <v>96-961100090</v>
      </c>
      <c r="C3076" s="179" t="s">
        <v>12267</v>
      </c>
    </row>
    <row r="3077" spans="1:3">
      <c r="A3077" s="177">
        <v>952000287</v>
      </c>
      <c r="B3077" s="116" t="str">
        <f t="shared" si="48"/>
        <v>95-952000287</v>
      </c>
      <c r="C3077" s="179" t="s">
        <v>7280</v>
      </c>
    </row>
    <row r="3078" spans="1:3">
      <c r="A3078" s="177">
        <v>962000397</v>
      </c>
      <c r="B3078" s="116" t="str">
        <f t="shared" si="48"/>
        <v>96-962000397</v>
      </c>
      <c r="C3078" s="179" t="s">
        <v>12184</v>
      </c>
    </row>
    <row r="3079" spans="1:3">
      <c r="A3079" s="177">
        <v>962000474</v>
      </c>
      <c r="B3079" s="116" t="str">
        <f t="shared" si="48"/>
        <v>96-962000474</v>
      </c>
      <c r="C3079" s="179" t="s">
        <v>12184</v>
      </c>
    </row>
    <row r="3080" spans="1:3">
      <c r="A3080" s="177">
        <v>952000327</v>
      </c>
      <c r="B3080" s="116" t="str">
        <f t="shared" si="48"/>
        <v>95-952000327</v>
      </c>
      <c r="C3080" s="179" t="s">
        <v>7420</v>
      </c>
    </row>
    <row r="3081" spans="1:3">
      <c r="A3081" s="177">
        <v>962000418</v>
      </c>
      <c r="B3081" s="116" t="str">
        <f t="shared" si="48"/>
        <v>96-962000418</v>
      </c>
      <c r="C3081" s="179" t="s">
        <v>12184</v>
      </c>
    </row>
    <row r="3082" spans="1:3">
      <c r="A3082" s="177">
        <v>952000111</v>
      </c>
      <c r="B3082" s="116" t="str">
        <f t="shared" si="48"/>
        <v>95-952000111</v>
      </c>
      <c r="C3082" s="179" t="s">
        <v>7321</v>
      </c>
    </row>
    <row r="3083" spans="1:3">
      <c r="A3083" s="177">
        <v>952000329</v>
      </c>
      <c r="B3083" s="116" t="str">
        <f t="shared" si="48"/>
        <v>95-952000329</v>
      </c>
      <c r="C3083" s="179" t="s">
        <v>7420</v>
      </c>
    </row>
    <row r="3084" spans="1:3">
      <c r="A3084" s="177">
        <v>952000244</v>
      </c>
      <c r="B3084" s="116" t="str">
        <f t="shared" si="48"/>
        <v>95-952000244</v>
      </c>
      <c r="C3084" s="179" t="s">
        <v>7327</v>
      </c>
    </row>
    <row r="3085" spans="1:3">
      <c r="A3085" s="177">
        <v>962000035</v>
      </c>
      <c r="B3085" s="116" t="str">
        <f t="shared" si="48"/>
        <v>96-962000035</v>
      </c>
      <c r="C3085" s="179" t="s">
        <v>7112</v>
      </c>
    </row>
    <row r="3086" spans="1:3">
      <c r="A3086" s="177">
        <v>962000074</v>
      </c>
      <c r="B3086" s="116" t="str">
        <f t="shared" si="48"/>
        <v>96-962000074</v>
      </c>
      <c r="C3086" s="179" t="s">
        <v>7112</v>
      </c>
    </row>
    <row r="3087" spans="1:3">
      <c r="A3087" s="177">
        <v>962200053</v>
      </c>
      <c r="B3087" s="116" t="str">
        <f t="shared" si="48"/>
        <v>96-962200053</v>
      </c>
      <c r="C3087" s="179" t="s">
        <v>7452</v>
      </c>
    </row>
    <row r="3088" spans="1:3">
      <c r="A3088" s="177">
        <v>962200070</v>
      </c>
      <c r="B3088" s="116" t="str">
        <f t="shared" si="48"/>
        <v>96-962200070</v>
      </c>
      <c r="C3088" s="179" t="s">
        <v>7452</v>
      </c>
    </row>
    <row r="3089" spans="1:3">
      <c r="A3089" s="177">
        <v>962200072</v>
      </c>
      <c r="B3089" s="116" t="str">
        <f t="shared" si="48"/>
        <v>96-962200072</v>
      </c>
      <c r="C3089" s="179" t="s">
        <v>7125</v>
      </c>
    </row>
    <row r="3090" spans="1:3">
      <c r="A3090" s="177">
        <v>962200075</v>
      </c>
      <c r="B3090" s="116" t="str">
        <f t="shared" si="48"/>
        <v>96-962200075</v>
      </c>
      <c r="C3090" s="179" t="s">
        <v>7244</v>
      </c>
    </row>
    <row r="3091" spans="1:3">
      <c r="A3091" s="177">
        <v>962200084</v>
      </c>
      <c r="B3091" s="116" t="str">
        <f t="shared" si="48"/>
        <v>96-962200084</v>
      </c>
      <c r="C3091" s="179" t="s">
        <v>8721</v>
      </c>
    </row>
    <row r="3092" spans="1:3">
      <c r="A3092" s="177">
        <v>962200085</v>
      </c>
      <c r="B3092" s="116" t="str">
        <f t="shared" si="48"/>
        <v>96-962200085</v>
      </c>
      <c r="C3092" s="179" t="s">
        <v>9765</v>
      </c>
    </row>
    <row r="3093" spans="1:3">
      <c r="A3093" s="177">
        <v>966200218</v>
      </c>
      <c r="B3093" s="116" t="str">
        <f t="shared" si="48"/>
        <v>96-966200218</v>
      </c>
      <c r="C3093" s="179" t="s">
        <v>7479</v>
      </c>
    </row>
    <row r="3094" spans="1:3">
      <c r="A3094" s="177">
        <v>966200156</v>
      </c>
      <c r="B3094" s="116" t="str">
        <f t="shared" si="48"/>
        <v>96-966200156</v>
      </c>
      <c r="C3094" s="179" t="s">
        <v>7362</v>
      </c>
    </row>
    <row r="3095" spans="1:3">
      <c r="A3095" s="177">
        <v>966200176</v>
      </c>
      <c r="B3095" s="116" t="str">
        <f t="shared" si="48"/>
        <v>96-966200176</v>
      </c>
      <c r="C3095" s="179" t="s">
        <v>7363</v>
      </c>
    </row>
    <row r="3096" spans="1:3">
      <c r="A3096" s="177">
        <v>966200227</v>
      </c>
      <c r="B3096" s="116" t="str">
        <f t="shared" si="48"/>
        <v>96-966200227</v>
      </c>
      <c r="C3096" s="179" t="s">
        <v>7116</v>
      </c>
    </row>
    <row r="3097" spans="1:3">
      <c r="A3097" s="177">
        <v>966200522</v>
      </c>
      <c r="B3097" s="116" t="str">
        <f t="shared" si="48"/>
        <v>96-966200522</v>
      </c>
      <c r="C3097" s="179" t="s">
        <v>12411</v>
      </c>
    </row>
    <row r="3098" spans="1:3">
      <c r="A3098" s="177">
        <v>962000015</v>
      </c>
      <c r="B3098" s="116" t="str">
        <f t="shared" si="48"/>
        <v>96-962000015</v>
      </c>
      <c r="C3098" s="179" t="s">
        <v>7112</v>
      </c>
    </row>
    <row r="3099" spans="1:3">
      <c r="A3099" s="177">
        <v>962000478</v>
      </c>
      <c r="B3099" s="116" t="str">
        <f t="shared" si="48"/>
        <v>96-962000478</v>
      </c>
      <c r="C3099" s="179" t="s">
        <v>12184</v>
      </c>
    </row>
    <row r="3100" spans="1:3">
      <c r="A3100" s="177">
        <v>952000264</v>
      </c>
      <c r="B3100" s="116" t="str">
        <f t="shared" si="48"/>
        <v>95-952000264</v>
      </c>
      <c r="C3100" s="179" t="s">
        <v>7280</v>
      </c>
    </row>
    <row r="3101" spans="1:3">
      <c r="A3101" s="177">
        <v>951100080</v>
      </c>
      <c r="B3101" s="116" t="str">
        <f t="shared" si="48"/>
        <v>95-951100080</v>
      </c>
      <c r="C3101" s="179" t="s">
        <v>8046</v>
      </c>
    </row>
    <row r="3102" spans="1:3">
      <c r="A3102" s="177">
        <v>962000049</v>
      </c>
      <c r="B3102" s="116" t="str">
        <f t="shared" si="48"/>
        <v>96-962000049</v>
      </c>
      <c r="C3102" s="179" t="s">
        <v>7112</v>
      </c>
    </row>
    <row r="3103" spans="1:3">
      <c r="A3103" s="177">
        <v>952000107</v>
      </c>
      <c r="B3103" s="116" t="str">
        <f t="shared" si="48"/>
        <v>95-952000107</v>
      </c>
      <c r="C3103" s="179" t="s">
        <v>7321</v>
      </c>
    </row>
    <row r="3104" spans="1:3">
      <c r="A3104" s="177">
        <v>962000323</v>
      </c>
      <c r="B3104" s="116" t="str">
        <f t="shared" si="48"/>
        <v>96-962000323</v>
      </c>
      <c r="C3104" s="179" t="s">
        <v>7112</v>
      </c>
    </row>
    <row r="3105" spans="1:3">
      <c r="A3105" s="177">
        <v>952000106</v>
      </c>
      <c r="B3105" s="116" t="str">
        <f t="shared" si="48"/>
        <v>95-952000106</v>
      </c>
      <c r="C3105" s="179" t="s">
        <v>7321</v>
      </c>
    </row>
    <row r="3106" spans="1:3">
      <c r="A3106" s="177">
        <v>962000080</v>
      </c>
      <c r="B3106" s="116" t="str">
        <f t="shared" si="48"/>
        <v>96-962000080</v>
      </c>
      <c r="C3106" s="179" t="s">
        <v>7112</v>
      </c>
    </row>
    <row r="3107" spans="1:3">
      <c r="A3107" s="177">
        <v>962000056</v>
      </c>
      <c r="B3107" s="116" t="str">
        <f t="shared" si="48"/>
        <v>96-962000056</v>
      </c>
      <c r="C3107" s="179" t="s">
        <v>7112</v>
      </c>
    </row>
    <row r="3108" spans="1:3">
      <c r="A3108" s="177">
        <v>962000427</v>
      </c>
      <c r="B3108" s="116" t="str">
        <f t="shared" si="48"/>
        <v>96-962000427</v>
      </c>
      <c r="C3108" s="179" t="s">
        <v>12184</v>
      </c>
    </row>
    <row r="3109" spans="1:3">
      <c r="A3109" s="177">
        <v>962000071</v>
      </c>
      <c r="B3109" s="116" t="str">
        <f t="shared" si="48"/>
        <v>96-962000071</v>
      </c>
      <c r="C3109" s="179" t="s">
        <v>7112</v>
      </c>
    </row>
    <row r="3110" spans="1:3">
      <c r="A3110" s="177">
        <v>962000430</v>
      </c>
      <c r="B3110" s="116" t="str">
        <f t="shared" si="48"/>
        <v>96-962000430</v>
      </c>
      <c r="C3110" s="179" t="s">
        <v>12184</v>
      </c>
    </row>
    <row r="3111" spans="1:3">
      <c r="A3111" s="177">
        <v>952000187</v>
      </c>
      <c r="B3111" s="116" t="str">
        <f t="shared" si="48"/>
        <v>95-952000187</v>
      </c>
      <c r="C3111" s="179" t="s">
        <v>7342</v>
      </c>
    </row>
    <row r="3112" spans="1:3">
      <c r="A3112" s="177">
        <v>952000051</v>
      </c>
      <c r="B3112" s="116" t="str">
        <f t="shared" si="48"/>
        <v>95-952000051</v>
      </c>
      <c r="C3112" s="179" t="s">
        <v>7908</v>
      </c>
    </row>
    <row r="3113" spans="1:3">
      <c r="A3113" s="177">
        <v>952000212</v>
      </c>
      <c r="B3113" s="116" t="str">
        <f t="shared" si="48"/>
        <v>95-952000212</v>
      </c>
      <c r="C3113" s="179" t="s">
        <v>7909</v>
      </c>
    </row>
    <row r="3114" spans="1:3">
      <c r="A3114" s="177">
        <v>952000279</v>
      </c>
      <c r="B3114" s="116" t="str">
        <f t="shared" si="48"/>
        <v>95-952000279</v>
      </c>
      <c r="C3114" s="179" t="s">
        <v>7280</v>
      </c>
    </row>
    <row r="3115" spans="1:3">
      <c r="A3115" s="177">
        <v>952000179</v>
      </c>
      <c r="B3115" s="116" t="str">
        <f t="shared" si="48"/>
        <v>95-952000179</v>
      </c>
      <c r="C3115" s="179" t="s">
        <v>7392</v>
      </c>
    </row>
    <row r="3116" spans="1:3">
      <c r="A3116" s="177">
        <v>952000274</v>
      </c>
      <c r="B3116" s="116" t="str">
        <f t="shared" si="48"/>
        <v>95-952000274</v>
      </c>
      <c r="C3116" s="179" t="s">
        <v>7280</v>
      </c>
    </row>
    <row r="3117" spans="1:3">
      <c r="A3117" s="177">
        <v>962000481</v>
      </c>
      <c r="B3117" s="116" t="str">
        <f t="shared" si="48"/>
        <v>96-962000481</v>
      </c>
      <c r="C3117" s="179" t="s">
        <v>12184</v>
      </c>
    </row>
    <row r="3118" spans="1:3">
      <c r="A3118" s="177">
        <v>962000404</v>
      </c>
      <c r="B3118" s="116" t="str">
        <f t="shared" si="48"/>
        <v>96-962000404</v>
      </c>
      <c r="C3118" s="179" t="s">
        <v>12184</v>
      </c>
    </row>
    <row r="3119" spans="1:3">
      <c r="A3119" s="177">
        <v>952000302</v>
      </c>
      <c r="B3119" s="116" t="str">
        <f t="shared" si="48"/>
        <v>95-952000302</v>
      </c>
      <c r="C3119" s="179" t="s">
        <v>7329</v>
      </c>
    </row>
    <row r="3120" spans="1:3">
      <c r="A3120" s="177">
        <v>962000436</v>
      </c>
      <c r="B3120" s="116" t="str">
        <f t="shared" si="48"/>
        <v>96-962000436</v>
      </c>
      <c r="C3120" s="179" t="s">
        <v>12184</v>
      </c>
    </row>
    <row r="3121" spans="1:3">
      <c r="A3121" s="177">
        <v>952000214</v>
      </c>
      <c r="B3121" s="116" t="str">
        <f t="shared" si="48"/>
        <v>95-952000214</v>
      </c>
      <c r="C3121" s="179" t="s">
        <v>7342</v>
      </c>
    </row>
    <row r="3122" spans="1:3">
      <c r="A3122" s="177">
        <v>962000434</v>
      </c>
      <c r="B3122" s="116" t="str">
        <f t="shared" si="48"/>
        <v>96-962000434</v>
      </c>
      <c r="C3122" s="179" t="s">
        <v>12184</v>
      </c>
    </row>
    <row r="3123" spans="1:3">
      <c r="A3123" s="177">
        <v>952500068</v>
      </c>
      <c r="B3123" s="116" t="str">
        <f t="shared" si="48"/>
        <v>95-952500068</v>
      </c>
      <c r="C3123" s="179" t="s">
        <v>5716</v>
      </c>
    </row>
    <row r="3124" spans="1:3">
      <c r="A3124" s="177">
        <v>952500089</v>
      </c>
      <c r="B3124" s="116" t="str">
        <f t="shared" si="48"/>
        <v>95-952500089</v>
      </c>
      <c r="C3124" s="179" t="s">
        <v>5753</v>
      </c>
    </row>
    <row r="3125" spans="1:3">
      <c r="A3125" s="177">
        <v>962500132</v>
      </c>
      <c r="B3125" s="116" t="str">
        <f t="shared" si="48"/>
        <v>96-962500132</v>
      </c>
      <c r="C3125" s="179" t="s">
        <v>8717</v>
      </c>
    </row>
    <row r="3126" spans="1:3">
      <c r="A3126" s="177">
        <v>952000325</v>
      </c>
      <c r="B3126" s="116" t="str">
        <f t="shared" si="48"/>
        <v>95-952000325</v>
      </c>
      <c r="C3126" s="179" t="s">
        <v>7420</v>
      </c>
    </row>
    <row r="3127" spans="1:3">
      <c r="A3127" s="177">
        <v>962000266</v>
      </c>
      <c r="B3127" s="116" t="str">
        <f t="shared" si="48"/>
        <v>96-962000266</v>
      </c>
      <c r="C3127" s="179" t="s">
        <v>7112</v>
      </c>
    </row>
    <row r="3128" spans="1:3">
      <c r="A3128" s="177">
        <v>952000174</v>
      </c>
      <c r="B3128" s="116" t="str">
        <f t="shared" si="48"/>
        <v>95-952000174</v>
      </c>
      <c r="C3128" s="179" t="s">
        <v>7392</v>
      </c>
    </row>
    <row r="3129" spans="1:3">
      <c r="A3129" s="177">
        <v>962000207</v>
      </c>
      <c r="B3129" s="116" t="str">
        <f t="shared" si="48"/>
        <v>96-962000207</v>
      </c>
      <c r="C3129" s="179" t="s">
        <v>7112</v>
      </c>
    </row>
    <row r="3130" spans="1:3">
      <c r="A3130" s="177">
        <v>952500003</v>
      </c>
      <c r="B3130" s="116" t="str">
        <f t="shared" si="48"/>
        <v>95-952500003</v>
      </c>
      <c r="C3130" s="179" t="s">
        <v>5605</v>
      </c>
    </row>
    <row r="3131" spans="1:3">
      <c r="A3131" s="177">
        <v>952500022</v>
      </c>
      <c r="B3131" s="116" t="str">
        <f t="shared" si="48"/>
        <v>95-952500022</v>
      </c>
      <c r="C3131" s="179" t="s">
        <v>5618</v>
      </c>
    </row>
    <row r="3132" spans="1:3">
      <c r="A3132" s="177">
        <v>952500026</v>
      </c>
      <c r="B3132" s="116" t="str">
        <f t="shared" si="48"/>
        <v>95-952500026</v>
      </c>
      <c r="C3132" s="179" t="s">
        <v>5618</v>
      </c>
    </row>
    <row r="3133" spans="1:3">
      <c r="A3133" s="177">
        <v>956200340</v>
      </c>
      <c r="B3133" s="116" t="str">
        <f t="shared" si="48"/>
        <v>95-956200340</v>
      </c>
      <c r="C3133" s="179" t="s">
        <v>7292</v>
      </c>
    </row>
    <row r="3134" spans="1:3">
      <c r="A3134" s="177">
        <v>956200366</v>
      </c>
      <c r="B3134" s="116" t="str">
        <f t="shared" si="48"/>
        <v>95-956200366</v>
      </c>
      <c r="C3134" s="179" t="s">
        <v>7393</v>
      </c>
    </row>
    <row r="3135" spans="1:3">
      <c r="A3135" s="177">
        <v>956200368</v>
      </c>
      <c r="B3135" s="116" t="str">
        <f t="shared" si="48"/>
        <v>95-956200368</v>
      </c>
      <c r="C3135" s="179" t="s">
        <v>7393</v>
      </c>
    </row>
    <row r="3136" spans="1:3">
      <c r="A3136" s="177">
        <v>956200373</v>
      </c>
      <c r="B3136" s="116" t="str">
        <f t="shared" si="48"/>
        <v>95-956200373</v>
      </c>
      <c r="C3136" s="179" t="s">
        <v>7393</v>
      </c>
    </row>
    <row r="3137" spans="1:3">
      <c r="A3137" s="177">
        <v>952000006</v>
      </c>
      <c r="B3137" s="116" t="str">
        <f t="shared" si="48"/>
        <v>95-952000006</v>
      </c>
      <c r="C3137" s="179" t="s">
        <v>7384</v>
      </c>
    </row>
    <row r="3138" spans="1:3">
      <c r="A3138" s="177">
        <v>952500077</v>
      </c>
      <c r="B3138" s="116" t="str">
        <f t="shared" si="48"/>
        <v>95-952500077</v>
      </c>
      <c r="C3138" s="179" t="s">
        <v>5740</v>
      </c>
    </row>
    <row r="3139" spans="1:3">
      <c r="A3139" s="177">
        <v>952500088</v>
      </c>
      <c r="B3139" s="116" t="str">
        <f t="shared" ref="B3139:B3202" si="49">MID(A3139,1,2)&amp;"-"&amp;A3139</f>
        <v>95-952500088</v>
      </c>
      <c r="C3139" s="179" t="s">
        <v>5710</v>
      </c>
    </row>
    <row r="3140" spans="1:3">
      <c r="A3140" s="177">
        <v>962500104</v>
      </c>
      <c r="B3140" s="116" t="str">
        <f t="shared" si="49"/>
        <v>96-962500104</v>
      </c>
      <c r="C3140" s="179" t="s">
        <v>5824</v>
      </c>
    </row>
    <row r="3141" spans="1:3">
      <c r="A3141" s="177">
        <v>952500030</v>
      </c>
      <c r="B3141" s="116" t="str">
        <f t="shared" si="49"/>
        <v>95-952500030</v>
      </c>
      <c r="C3141" s="179" t="s">
        <v>5629</v>
      </c>
    </row>
    <row r="3142" spans="1:3">
      <c r="A3142" s="177">
        <v>952500055</v>
      </c>
      <c r="B3142" s="116" t="str">
        <f t="shared" si="49"/>
        <v>95-952500055</v>
      </c>
      <c r="C3142" s="179" t="s">
        <v>5675</v>
      </c>
    </row>
    <row r="3143" spans="1:3">
      <c r="A3143" s="177">
        <v>952500072</v>
      </c>
      <c r="B3143" s="116" t="str">
        <f t="shared" si="49"/>
        <v>95-952500072</v>
      </c>
      <c r="C3143" s="179" t="s">
        <v>5726</v>
      </c>
    </row>
    <row r="3144" spans="1:3">
      <c r="A3144" s="177">
        <v>962500035</v>
      </c>
      <c r="B3144" s="116" t="str">
        <f t="shared" si="49"/>
        <v>96-962500035</v>
      </c>
      <c r="C3144" s="179" t="s">
        <v>5814</v>
      </c>
    </row>
    <row r="3145" spans="1:3">
      <c r="A3145" s="177">
        <v>962500041</v>
      </c>
      <c r="B3145" s="116" t="str">
        <f t="shared" si="49"/>
        <v>96-962500041</v>
      </c>
      <c r="C3145" s="179" t="s">
        <v>5814</v>
      </c>
    </row>
    <row r="3146" spans="1:3">
      <c r="A3146" s="177">
        <v>962500044</v>
      </c>
      <c r="B3146" s="116" t="str">
        <f t="shared" si="49"/>
        <v>96-962500044</v>
      </c>
      <c r="C3146" s="179" t="s">
        <v>5814</v>
      </c>
    </row>
    <row r="3147" spans="1:3">
      <c r="A3147" s="177">
        <v>962500060</v>
      </c>
      <c r="B3147" s="116" t="str">
        <f t="shared" si="49"/>
        <v>96-962500060</v>
      </c>
      <c r="C3147" s="179" t="s">
        <v>5814</v>
      </c>
    </row>
    <row r="3148" spans="1:3">
      <c r="A3148" s="177">
        <v>962500080</v>
      </c>
      <c r="B3148" s="116" t="str">
        <f t="shared" si="49"/>
        <v>96-962500080</v>
      </c>
      <c r="C3148" s="179" t="s">
        <v>7231</v>
      </c>
    </row>
    <row r="3149" spans="1:3">
      <c r="A3149" s="177">
        <v>962500083</v>
      </c>
      <c r="B3149" s="116" t="str">
        <f t="shared" si="49"/>
        <v>96-962500083</v>
      </c>
      <c r="C3149" s="179" t="s">
        <v>7175</v>
      </c>
    </row>
    <row r="3150" spans="1:3">
      <c r="A3150" s="177">
        <v>962500092</v>
      </c>
      <c r="B3150" s="116" t="str">
        <f t="shared" si="49"/>
        <v>96-962500092</v>
      </c>
      <c r="C3150" s="179" t="s">
        <v>7231</v>
      </c>
    </row>
    <row r="3151" spans="1:3">
      <c r="A3151" s="177">
        <v>962500115</v>
      </c>
      <c r="B3151" s="116" t="str">
        <f t="shared" si="49"/>
        <v>96-962500115</v>
      </c>
      <c r="C3151" s="179" t="s">
        <v>7175</v>
      </c>
    </row>
    <row r="3152" spans="1:3">
      <c r="A3152" s="177">
        <v>962500099</v>
      </c>
      <c r="B3152" s="116" t="str">
        <f t="shared" si="49"/>
        <v>96-962500099</v>
      </c>
      <c r="C3152" s="179" t="s">
        <v>7603</v>
      </c>
    </row>
    <row r="3153" spans="1:3">
      <c r="A3153" s="177">
        <v>956200370</v>
      </c>
      <c r="B3153" s="116" t="str">
        <f t="shared" si="49"/>
        <v>95-956200370</v>
      </c>
      <c r="C3153" s="179" t="s">
        <v>7393</v>
      </c>
    </row>
    <row r="3154" spans="1:3">
      <c r="A3154" s="177">
        <v>956200371</v>
      </c>
      <c r="B3154" s="116" t="str">
        <f t="shared" si="49"/>
        <v>95-956200371</v>
      </c>
      <c r="C3154" s="179" t="s">
        <v>7393</v>
      </c>
    </row>
    <row r="3155" spans="1:3">
      <c r="A3155" s="177">
        <v>962000346</v>
      </c>
      <c r="B3155" s="116" t="str">
        <f t="shared" si="49"/>
        <v>96-962000346</v>
      </c>
      <c r="C3155" s="179" t="s">
        <v>12184</v>
      </c>
    </row>
    <row r="3156" spans="1:3">
      <c r="A3156" s="177">
        <v>962000068</v>
      </c>
      <c r="B3156" s="116" t="str">
        <f t="shared" si="49"/>
        <v>96-962000068</v>
      </c>
      <c r="C3156" s="179" t="s">
        <v>7112</v>
      </c>
    </row>
    <row r="3157" spans="1:3">
      <c r="A3157" s="177">
        <v>962000204</v>
      </c>
      <c r="B3157" s="116" t="str">
        <f t="shared" si="49"/>
        <v>96-962000204</v>
      </c>
      <c r="C3157" s="179" t="s">
        <v>7112</v>
      </c>
    </row>
    <row r="3158" spans="1:3">
      <c r="A3158" s="177">
        <v>962000348</v>
      </c>
      <c r="B3158" s="116" t="str">
        <f t="shared" si="49"/>
        <v>96-962000348</v>
      </c>
      <c r="C3158" s="179" t="s">
        <v>12184</v>
      </c>
    </row>
    <row r="3159" spans="1:3">
      <c r="A3159" s="177">
        <v>952000196</v>
      </c>
      <c r="B3159" s="116" t="str">
        <f t="shared" si="49"/>
        <v>95-952000196</v>
      </c>
      <c r="C3159" s="179" t="s">
        <v>7342</v>
      </c>
    </row>
    <row r="3160" spans="1:3">
      <c r="A3160" s="177">
        <v>952000191</v>
      </c>
      <c r="B3160" s="116" t="str">
        <f t="shared" si="49"/>
        <v>95-952000191</v>
      </c>
      <c r="C3160" s="179" t="s">
        <v>7342</v>
      </c>
    </row>
    <row r="3161" spans="1:3">
      <c r="A3161" s="177">
        <v>966200473</v>
      </c>
      <c r="B3161" s="116" t="str">
        <f t="shared" si="49"/>
        <v>96-966200473</v>
      </c>
      <c r="C3161" s="179" t="s">
        <v>12185</v>
      </c>
    </row>
    <row r="3162" spans="1:3">
      <c r="A3162" s="177">
        <v>956200045</v>
      </c>
      <c r="B3162" s="116" t="str">
        <f t="shared" si="49"/>
        <v>95-956200045</v>
      </c>
      <c r="C3162" s="179" t="s">
        <v>7418</v>
      </c>
    </row>
    <row r="3163" spans="1:3">
      <c r="A3163" s="177">
        <v>962000040</v>
      </c>
      <c r="B3163" s="116" t="str">
        <f t="shared" si="49"/>
        <v>96-962000040</v>
      </c>
      <c r="C3163" s="179" t="s">
        <v>7112</v>
      </c>
    </row>
    <row r="3164" spans="1:3">
      <c r="A3164" s="177">
        <v>966200474</v>
      </c>
      <c r="B3164" s="116" t="str">
        <f t="shared" si="49"/>
        <v>96-966200474</v>
      </c>
      <c r="C3164" s="179" t="s">
        <v>12185</v>
      </c>
    </row>
    <row r="3165" spans="1:3">
      <c r="A3165" s="177">
        <v>966200008</v>
      </c>
      <c r="B3165" s="116" t="str">
        <f t="shared" si="49"/>
        <v>96-966200008</v>
      </c>
      <c r="C3165" s="179" t="s">
        <v>7370</v>
      </c>
    </row>
    <row r="3166" spans="1:3">
      <c r="A3166" s="177">
        <v>962500193</v>
      </c>
      <c r="B3166" s="116" t="str">
        <f t="shared" si="49"/>
        <v>96-962500193</v>
      </c>
      <c r="C3166" s="179" t="s">
        <v>12444</v>
      </c>
    </row>
    <row r="3167" spans="1:3">
      <c r="A3167" s="177">
        <v>952500076</v>
      </c>
      <c r="B3167" s="116" t="str">
        <f t="shared" si="49"/>
        <v>95-952500076</v>
      </c>
      <c r="C3167" s="179" t="s">
        <v>5736</v>
      </c>
    </row>
    <row r="3168" spans="1:3">
      <c r="A3168" s="177">
        <v>962500051</v>
      </c>
      <c r="B3168" s="116" t="str">
        <f t="shared" si="49"/>
        <v>96-962500051</v>
      </c>
      <c r="C3168" s="179" t="s">
        <v>5842</v>
      </c>
    </row>
    <row r="3169" spans="1:3">
      <c r="A3169" s="177">
        <v>962500081</v>
      </c>
      <c r="B3169" s="116" t="str">
        <f t="shared" si="49"/>
        <v>96-962500081</v>
      </c>
      <c r="C3169" s="179" t="s">
        <v>5842</v>
      </c>
    </row>
    <row r="3170" spans="1:3">
      <c r="A3170" s="177">
        <v>962500100</v>
      </c>
      <c r="B3170" s="116" t="str">
        <f t="shared" si="49"/>
        <v>96-962500100</v>
      </c>
      <c r="C3170" s="179" t="s">
        <v>5842</v>
      </c>
    </row>
    <row r="3171" spans="1:3">
      <c r="A3171" s="177">
        <v>962500127</v>
      </c>
      <c r="B3171" s="116" t="str">
        <f t="shared" si="49"/>
        <v>96-962500127</v>
      </c>
      <c r="C3171" s="179" t="s">
        <v>8080</v>
      </c>
    </row>
    <row r="3172" spans="1:3">
      <c r="A3172" s="177">
        <v>962500177</v>
      </c>
      <c r="B3172" s="116" t="str">
        <f t="shared" si="49"/>
        <v>96-962500177</v>
      </c>
      <c r="C3172" s="179" t="s">
        <v>9794</v>
      </c>
    </row>
    <row r="3173" spans="1:3">
      <c r="A3173" s="177">
        <v>952500067</v>
      </c>
      <c r="B3173" s="116" t="str">
        <f t="shared" si="49"/>
        <v>95-952500067</v>
      </c>
      <c r="C3173" s="179" t="s">
        <v>5709</v>
      </c>
    </row>
    <row r="3174" spans="1:3">
      <c r="A3174" s="177">
        <v>962500056</v>
      </c>
      <c r="B3174" s="116" t="str">
        <f t="shared" si="49"/>
        <v>96-962500056</v>
      </c>
      <c r="C3174" s="179" t="s">
        <v>5798</v>
      </c>
    </row>
    <row r="3175" spans="1:3">
      <c r="A3175" s="177">
        <v>962500019</v>
      </c>
      <c r="B3175" s="116" t="str">
        <f t="shared" si="49"/>
        <v>96-962500019</v>
      </c>
      <c r="C3175" s="179" t="s">
        <v>5792</v>
      </c>
    </row>
    <row r="3176" spans="1:3">
      <c r="A3176" s="177">
        <v>962500112</v>
      </c>
      <c r="B3176" s="116" t="str">
        <f t="shared" si="49"/>
        <v>96-962500112</v>
      </c>
      <c r="C3176" s="179" t="s">
        <v>7211</v>
      </c>
    </row>
    <row r="3177" spans="1:3">
      <c r="A3177" s="177">
        <v>962500116</v>
      </c>
      <c r="B3177" s="116" t="str">
        <f t="shared" si="49"/>
        <v>96-962500116</v>
      </c>
      <c r="C3177" s="179" t="s">
        <v>8081</v>
      </c>
    </row>
    <row r="3178" spans="1:3">
      <c r="A3178" s="177">
        <v>962000003</v>
      </c>
      <c r="B3178" s="116" t="str">
        <f t="shared" si="49"/>
        <v>96-962000003</v>
      </c>
      <c r="C3178" s="179" t="s">
        <v>8033</v>
      </c>
    </row>
    <row r="3179" spans="1:3">
      <c r="A3179" s="177">
        <v>952000149</v>
      </c>
      <c r="B3179" s="116" t="str">
        <f t="shared" si="49"/>
        <v>95-952000149</v>
      </c>
      <c r="C3179" s="179" t="s">
        <v>7332</v>
      </c>
    </row>
    <row r="3180" spans="1:3">
      <c r="A3180" s="177">
        <v>966200001</v>
      </c>
      <c r="B3180" s="116" t="str">
        <f t="shared" si="49"/>
        <v>96-966200001</v>
      </c>
      <c r="C3180" s="179" t="s">
        <v>7475</v>
      </c>
    </row>
    <row r="3181" spans="1:3">
      <c r="A3181" s="177">
        <v>951100019</v>
      </c>
      <c r="B3181" s="116" t="str">
        <f t="shared" si="49"/>
        <v>95-951100019</v>
      </c>
      <c r="C3181" s="179" t="s">
        <v>8051</v>
      </c>
    </row>
    <row r="3182" spans="1:3">
      <c r="A3182" s="177">
        <v>966200416</v>
      </c>
      <c r="B3182" s="116" t="str">
        <f t="shared" si="49"/>
        <v>96-966200416</v>
      </c>
      <c r="C3182" s="179" t="s">
        <v>12224</v>
      </c>
    </row>
    <row r="3183" spans="1:3">
      <c r="A3183" s="177">
        <v>966200118</v>
      </c>
      <c r="B3183" s="116" t="str">
        <f t="shared" si="49"/>
        <v>96-966200118</v>
      </c>
      <c r="C3183" s="179" t="s">
        <v>8052</v>
      </c>
    </row>
    <row r="3184" spans="1:3">
      <c r="A3184" s="177">
        <v>966200462</v>
      </c>
      <c r="B3184" s="116" t="str">
        <f t="shared" si="49"/>
        <v>96-966200462</v>
      </c>
      <c r="C3184" s="179" t="s">
        <v>12185</v>
      </c>
    </row>
    <row r="3185" spans="1:3">
      <c r="A3185" s="177">
        <v>966200475</v>
      </c>
      <c r="B3185" s="116" t="str">
        <f t="shared" si="49"/>
        <v>96-966200475</v>
      </c>
      <c r="C3185" s="179" t="s">
        <v>12185</v>
      </c>
    </row>
    <row r="3186" spans="1:3">
      <c r="A3186" s="177">
        <v>956200122</v>
      </c>
      <c r="B3186" s="116" t="str">
        <f t="shared" si="49"/>
        <v>95-956200122</v>
      </c>
      <c r="C3186" s="179" t="s">
        <v>7464</v>
      </c>
    </row>
    <row r="3187" spans="1:3">
      <c r="A3187" s="177">
        <v>951100095</v>
      </c>
      <c r="B3187" s="116" t="str">
        <f t="shared" si="49"/>
        <v>95-951100095</v>
      </c>
      <c r="C3187" s="179" t="s">
        <v>8048</v>
      </c>
    </row>
    <row r="3188" spans="1:3">
      <c r="A3188" s="177">
        <v>951100112</v>
      </c>
      <c r="B3188" s="116" t="str">
        <f t="shared" si="49"/>
        <v>95-951100112</v>
      </c>
      <c r="C3188" s="179" t="s">
        <v>8049</v>
      </c>
    </row>
    <row r="3189" spans="1:3">
      <c r="A3189" s="177">
        <v>961100018</v>
      </c>
      <c r="B3189" s="116" t="str">
        <f t="shared" si="49"/>
        <v>96-961100018</v>
      </c>
      <c r="C3189" s="179" t="s">
        <v>8050</v>
      </c>
    </row>
    <row r="3190" spans="1:3">
      <c r="A3190" s="177">
        <v>966200472</v>
      </c>
      <c r="B3190" s="116" t="str">
        <f t="shared" si="49"/>
        <v>96-966200472</v>
      </c>
      <c r="C3190" s="179" t="s">
        <v>12185</v>
      </c>
    </row>
    <row r="3191" spans="1:3">
      <c r="A3191" s="177">
        <v>966200466</v>
      </c>
      <c r="B3191" s="116" t="str">
        <f t="shared" si="49"/>
        <v>96-966200466</v>
      </c>
      <c r="C3191" s="179" t="s">
        <v>12185</v>
      </c>
    </row>
    <row r="3192" spans="1:3">
      <c r="A3192" s="177">
        <v>966200432</v>
      </c>
      <c r="B3192" s="116" t="str">
        <f t="shared" si="49"/>
        <v>96-966200432</v>
      </c>
      <c r="C3192" s="179" t="s">
        <v>12236</v>
      </c>
    </row>
    <row r="3193" spans="1:3">
      <c r="A3193" s="177">
        <v>956200082</v>
      </c>
      <c r="B3193" s="116" t="str">
        <f t="shared" si="49"/>
        <v>95-956200082</v>
      </c>
      <c r="C3193" s="179" t="s">
        <v>8053</v>
      </c>
    </row>
    <row r="3194" spans="1:3">
      <c r="A3194" s="177">
        <v>966200192</v>
      </c>
      <c r="B3194" s="116" t="str">
        <f t="shared" si="49"/>
        <v>96-966200192</v>
      </c>
      <c r="C3194" s="179" t="s">
        <v>7440</v>
      </c>
    </row>
    <row r="3195" spans="1:3">
      <c r="A3195" s="177">
        <v>956300029</v>
      </c>
      <c r="B3195" s="116" t="str">
        <f t="shared" si="49"/>
        <v>95-956300029</v>
      </c>
      <c r="C3195" s="179" t="s">
        <v>7427</v>
      </c>
    </row>
    <row r="3196" spans="1:3">
      <c r="A3196" s="177">
        <v>966300031</v>
      </c>
      <c r="B3196" s="116" t="str">
        <f t="shared" si="49"/>
        <v>96-966300031</v>
      </c>
      <c r="C3196" s="179" t="s">
        <v>12237</v>
      </c>
    </row>
    <row r="3197" spans="1:3">
      <c r="A3197" s="177">
        <v>966300049</v>
      </c>
      <c r="B3197" s="116" t="str">
        <f t="shared" si="49"/>
        <v>96-966300049</v>
      </c>
      <c r="C3197" s="179" t="s">
        <v>12191</v>
      </c>
    </row>
    <row r="3198" spans="1:3">
      <c r="A3198" s="177">
        <v>966300052</v>
      </c>
      <c r="B3198" s="116" t="str">
        <f t="shared" si="49"/>
        <v>96-966300052</v>
      </c>
      <c r="C3198" s="179" t="s">
        <v>12445</v>
      </c>
    </row>
    <row r="3199" spans="1:3">
      <c r="A3199" s="177">
        <v>956200040</v>
      </c>
      <c r="B3199" s="116" t="str">
        <f t="shared" si="49"/>
        <v>95-956200040</v>
      </c>
      <c r="C3199" s="179" t="s">
        <v>7429</v>
      </c>
    </row>
    <row r="3200" spans="1:3">
      <c r="A3200" s="177">
        <v>966200377</v>
      </c>
      <c r="B3200" s="116" t="str">
        <f t="shared" si="49"/>
        <v>96-966200377</v>
      </c>
      <c r="C3200" s="179" t="s">
        <v>12238</v>
      </c>
    </row>
    <row r="3201" spans="1:3">
      <c r="A3201" s="177">
        <v>962000083</v>
      </c>
      <c r="B3201" s="116" t="str">
        <f t="shared" si="49"/>
        <v>96-962000083</v>
      </c>
      <c r="C3201" s="179" t="s">
        <v>7112</v>
      </c>
    </row>
    <row r="3202" spans="1:3">
      <c r="A3202" s="177">
        <v>962000476</v>
      </c>
      <c r="B3202" s="116" t="str">
        <f t="shared" si="49"/>
        <v>96-962000476</v>
      </c>
      <c r="C3202" s="179" t="s">
        <v>12184</v>
      </c>
    </row>
    <row r="3203" spans="1:3">
      <c r="A3203" s="177">
        <v>954200016</v>
      </c>
      <c r="B3203" s="116" t="str">
        <f t="shared" ref="B3203:B3266" si="50">MID(A3203,1,2)&amp;"-"&amp;A3203</f>
        <v>95-954200016</v>
      </c>
      <c r="C3203" s="179" t="s">
        <v>5630</v>
      </c>
    </row>
    <row r="3204" spans="1:3">
      <c r="A3204" s="177">
        <v>954200021</v>
      </c>
      <c r="B3204" s="116" t="str">
        <f t="shared" si="50"/>
        <v>95-954200021</v>
      </c>
      <c r="C3204" s="179" t="s">
        <v>5630</v>
      </c>
    </row>
    <row r="3205" spans="1:3">
      <c r="A3205" s="177">
        <v>954200047</v>
      </c>
      <c r="B3205" s="116" t="str">
        <f t="shared" si="50"/>
        <v>95-954200047</v>
      </c>
      <c r="C3205" s="179" t="s">
        <v>5733</v>
      </c>
    </row>
    <row r="3206" spans="1:3">
      <c r="A3206" s="177">
        <v>954200044</v>
      </c>
      <c r="B3206" s="116" t="str">
        <f t="shared" si="50"/>
        <v>95-954200044</v>
      </c>
      <c r="C3206" s="179" t="s">
        <v>5734</v>
      </c>
    </row>
    <row r="3207" spans="1:3">
      <c r="A3207" s="177">
        <v>954200045</v>
      </c>
      <c r="B3207" s="116" t="str">
        <f t="shared" si="50"/>
        <v>95-954200045</v>
      </c>
      <c r="C3207" s="179" t="s">
        <v>5735</v>
      </c>
    </row>
    <row r="3208" spans="1:3">
      <c r="A3208" s="177">
        <v>964200007</v>
      </c>
      <c r="B3208" s="116" t="str">
        <f t="shared" si="50"/>
        <v>96-964200007</v>
      </c>
      <c r="C3208" s="179" t="s">
        <v>5798</v>
      </c>
    </row>
    <row r="3209" spans="1:3">
      <c r="A3209" s="177">
        <v>952000069</v>
      </c>
      <c r="B3209" s="116" t="str">
        <f t="shared" si="50"/>
        <v>95-952000069</v>
      </c>
      <c r="C3209" s="179" t="s">
        <v>7465</v>
      </c>
    </row>
    <row r="3210" spans="1:3">
      <c r="A3210" s="177">
        <v>956200076</v>
      </c>
      <c r="B3210" s="116" t="str">
        <f t="shared" si="50"/>
        <v>95-956200076</v>
      </c>
      <c r="C3210" s="179" t="s">
        <v>7459</v>
      </c>
    </row>
    <row r="3211" spans="1:3">
      <c r="A3211" s="177">
        <v>952000260</v>
      </c>
      <c r="B3211" s="116" t="str">
        <f t="shared" si="50"/>
        <v>95-952000260</v>
      </c>
      <c r="C3211" s="179" t="s">
        <v>7280</v>
      </c>
    </row>
    <row r="3212" spans="1:3">
      <c r="A3212" s="177">
        <v>966200470</v>
      </c>
      <c r="B3212" s="116" t="str">
        <f t="shared" si="50"/>
        <v>96-966200470</v>
      </c>
      <c r="C3212" s="179" t="s">
        <v>12185</v>
      </c>
    </row>
    <row r="3213" spans="1:3">
      <c r="A3213" s="177">
        <v>952000122</v>
      </c>
      <c r="B3213" s="116" t="str">
        <f t="shared" si="50"/>
        <v>95-952000122</v>
      </c>
      <c r="C3213" s="179" t="s">
        <v>7274</v>
      </c>
    </row>
    <row r="3214" spans="1:3">
      <c r="A3214" s="177">
        <v>962000467</v>
      </c>
      <c r="B3214" s="116" t="str">
        <f t="shared" si="50"/>
        <v>96-962000467</v>
      </c>
      <c r="C3214" s="179" t="s">
        <v>12184</v>
      </c>
    </row>
    <row r="3215" spans="1:3">
      <c r="A3215" s="177">
        <v>956200087</v>
      </c>
      <c r="B3215" s="116" t="str">
        <f t="shared" si="50"/>
        <v>95-956200087</v>
      </c>
      <c r="C3215" s="179" t="s">
        <v>8056</v>
      </c>
    </row>
    <row r="3216" spans="1:3">
      <c r="A3216" s="177">
        <v>956200088</v>
      </c>
      <c r="B3216" s="116" t="str">
        <f t="shared" si="50"/>
        <v>95-956200088</v>
      </c>
      <c r="C3216" s="179" t="s">
        <v>8057</v>
      </c>
    </row>
    <row r="3217" spans="1:3">
      <c r="A3217" s="177">
        <v>966200444</v>
      </c>
      <c r="B3217" s="116" t="str">
        <f t="shared" si="50"/>
        <v>96-966200444</v>
      </c>
      <c r="C3217" s="179" t="s">
        <v>12187</v>
      </c>
    </row>
    <row r="3218" spans="1:3">
      <c r="A3218" s="177">
        <v>962000218</v>
      </c>
      <c r="B3218" s="116" t="str">
        <f t="shared" si="50"/>
        <v>96-962000218</v>
      </c>
      <c r="C3218" s="179" t="s">
        <v>7112</v>
      </c>
    </row>
    <row r="3219" spans="1:3">
      <c r="A3219" s="177">
        <v>962000493</v>
      </c>
      <c r="B3219" s="116" t="str">
        <f t="shared" si="50"/>
        <v>96-962000493</v>
      </c>
      <c r="C3219" s="179" t="s">
        <v>12184</v>
      </c>
    </row>
    <row r="3220" spans="1:3">
      <c r="A3220" s="177">
        <v>956200094</v>
      </c>
      <c r="B3220" s="116" t="str">
        <f t="shared" si="50"/>
        <v>95-956200094</v>
      </c>
      <c r="C3220" s="179" t="s">
        <v>8060</v>
      </c>
    </row>
    <row r="3221" spans="1:3">
      <c r="A3221" s="177">
        <v>962000492</v>
      </c>
      <c r="B3221" s="116" t="str">
        <f t="shared" si="50"/>
        <v>96-962000492</v>
      </c>
      <c r="C3221" s="179" t="s">
        <v>12184</v>
      </c>
    </row>
    <row r="3222" spans="1:3">
      <c r="A3222" s="177">
        <v>966200483</v>
      </c>
      <c r="B3222" s="116" t="str">
        <f t="shared" si="50"/>
        <v>96-966200483</v>
      </c>
      <c r="C3222" s="179" t="s">
        <v>12185</v>
      </c>
    </row>
    <row r="3223" spans="1:3">
      <c r="A3223" s="177">
        <v>966200447</v>
      </c>
      <c r="B3223" s="116" t="str">
        <f t="shared" si="50"/>
        <v>96-966200447</v>
      </c>
      <c r="C3223" s="179" t="s">
        <v>12187</v>
      </c>
    </row>
    <row r="3224" spans="1:3">
      <c r="A3224" s="177">
        <v>956300027</v>
      </c>
      <c r="B3224" s="116" t="str">
        <f t="shared" si="50"/>
        <v>95-956300027</v>
      </c>
      <c r="C3224" s="179" t="s">
        <v>7427</v>
      </c>
    </row>
    <row r="3225" spans="1:3">
      <c r="A3225" s="177">
        <v>956300036</v>
      </c>
      <c r="B3225" s="116" t="str">
        <f t="shared" si="50"/>
        <v>95-956300036</v>
      </c>
      <c r="C3225" s="179" t="s">
        <v>7512</v>
      </c>
    </row>
    <row r="3226" spans="1:3">
      <c r="A3226" s="177">
        <v>956300038</v>
      </c>
      <c r="B3226" s="116" t="str">
        <f t="shared" si="50"/>
        <v>95-956300038</v>
      </c>
      <c r="C3226" s="179" t="s">
        <v>7512</v>
      </c>
    </row>
    <row r="3227" spans="1:3">
      <c r="A3227" s="177">
        <v>966300006</v>
      </c>
      <c r="B3227" s="116" t="str">
        <f t="shared" si="50"/>
        <v>96-966300006</v>
      </c>
      <c r="C3227" s="179" t="s">
        <v>12278</v>
      </c>
    </row>
    <row r="3228" spans="1:3">
      <c r="A3228" s="177">
        <v>966300011</v>
      </c>
      <c r="B3228" s="116" t="str">
        <f t="shared" si="50"/>
        <v>96-966300011</v>
      </c>
      <c r="C3228" s="179" t="s">
        <v>12242</v>
      </c>
    </row>
    <row r="3229" spans="1:3">
      <c r="A3229" s="177">
        <v>956200021</v>
      </c>
      <c r="B3229" s="116" t="str">
        <f t="shared" si="50"/>
        <v>95-956200021</v>
      </c>
      <c r="C3229" s="179" t="s">
        <v>7372</v>
      </c>
    </row>
    <row r="3230" spans="1:3">
      <c r="A3230" s="177">
        <v>956200026</v>
      </c>
      <c r="B3230" s="116" t="str">
        <f t="shared" si="50"/>
        <v>95-956200026</v>
      </c>
      <c r="C3230" s="179" t="s">
        <v>7399</v>
      </c>
    </row>
    <row r="3231" spans="1:3">
      <c r="A3231" s="177">
        <v>956200117</v>
      </c>
      <c r="B3231" s="116" t="str">
        <f t="shared" si="50"/>
        <v>95-956200117</v>
      </c>
      <c r="C3231" s="179" t="s">
        <v>7359</v>
      </c>
    </row>
    <row r="3232" spans="1:3">
      <c r="A3232" s="177">
        <v>966000032</v>
      </c>
      <c r="B3232" s="116" t="str">
        <f t="shared" si="50"/>
        <v>96-966000032</v>
      </c>
      <c r="C3232" s="179" t="s">
        <v>7146</v>
      </c>
    </row>
    <row r="3233" spans="1:3">
      <c r="A3233" s="177">
        <v>966000027</v>
      </c>
      <c r="B3233" s="116" t="str">
        <f t="shared" si="50"/>
        <v>96-966000027</v>
      </c>
      <c r="C3233" s="179" t="s">
        <v>7146</v>
      </c>
    </row>
    <row r="3234" spans="1:3">
      <c r="A3234" s="177">
        <v>956000005</v>
      </c>
      <c r="B3234" s="116" t="str">
        <f t="shared" si="50"/>
        <v>95-956000005</v>
      </c>
      <c r="C3234" s="179" t="s">
        <v>7146</v>
      </c>
    </row>
    <row r="3235" spans="1:3">
      <c r="A3235" s="177">
        <v>959000008</v>
      </c>
      <c r="B3235" s="116" t="str">
        <f t="shared" si="50"/>
        <v>95-959000008</v>
      </c>
      <c r="C3235" s="179" t="s">
        <v>5763</v>
      </c>
    </row>
    <row r="3236" spans="1:3">
      <c r="A3236" s="177">
        <v>951900190</v>
      </c>
      <c r="B3236" s="116" t="str">
        <f t="shared" si="50"/>
        <v>95-951900190</v>
      </c>
      <c r="C3236" s="179" t="s">
        <v>7634</v>
      </c>
    </row>
    <row r="3237" spans="1:3">
      <c r="A3237" s="177">
        <v>952000339</v>
      </c>
      <c r="B3237" s="116" t="str">
        <f t="shared" si="50"/>
        <v>95-952000339</v>
      </c>
      <c r="C3237" s="179" t="s">
        <v>7912</v>
      </c>
    </row>
    <row r="3238" spans="1:3">
      <c r="A3238" s="177">
        <v>956300032</v>
      </c>
      <c r="B3238" s="116" t="str">
        <f t="shared" si="50"/>
        <v>95-956300032</v>
      </c>
      <c r="C3238" s="179" t="s">
        <v>8061</v>
      </c>
    </row>
    <row r="3239" spans="1:3">
      <c r="A3239" s="177">
        <v>956300033</v>
      </c>
      <c r="B3239" s="116" t="str">
        <f t="shared" si="50"/>
        <v>95-956300033</v>
      </c>
      <c r="C3239" s="179" t="s">
        <v>8061</v>
      </c>
    </row>
    <row r="3240" spans="1:3">
      <c r="A3240" s="177">
        <v>956300034</v>
      </c>
      <c r="B3240" s="116" t="str">
        <f t="shared" si="50"/>
        <v>95-956300034</v>
      </c>
      <c r="C3240" s="179" t="s">
        <v>8061</v>
      </c>
    </row>
    <row r="3241" spans="1:3">
      <c r="A3241" s="177">
        <v>956300007</v>
      </c>
      <c r="B3241" s="116" t="str">
        <f t="shared" si="50"/>
        <v>95-956300007</v>
      </c>
      <c r="C3241" s="179" t="s">
        <v>8062</v>
      </c>
    </row>
    <row r="3242" spans="1:3">
      <c r="A3242" s="177">
        <v>956200145</v>
      </c>
      <c r="B3242" s="116" t="str">
        <f t="shared" si="50"/>
        <v>95-956200145</v>
      </c>
      <c r="C3242" s="179" t="s">
        <v>8040</v>
      </c>
    </row>
    <row r="3243" spans="1:3">
      <c r="A3243" s="177">
        <v>956200213</v>
      </c>
      <c r="B3243" s="116" t="str">
        <f t="shared" si="50"/>
        <v>95-956200213</v>
      </c>
      <c r="C3243" s="179" t="s">
        <v>7357</v>
      </c>
    </row>
    <row r="3244" spans="1:3">
      <c r="A3244" s="177">
        <v>956200240</v>
      </c>
      <c r="B3244" s="116" t="str">
        <f t="shared" si="50"/>
        <v>95-956200240</v>
      </c>
      <c r="C3244" s="179" t="s">
        <v>7435</v>
      </c>
    </row>
    <row r="3245" spans="1:3">
      <c r="A3245" s="177">
        <v>956200249</v>
      </c>
      <c r="B3245" s="116" t="str">
        <f t="shared" si="50"/>
        <v>95-956200249</v>
      </c>
      <c r="C3245" s="179" t="s">
        <v>7428</v>
      </c>
    </row>
    <row r="3246" spans="1:3">
      <c r="A3246" s="177">
        <v>956200278</v>
      </c>
      <c r="B3246" s="116" t="str">
        <f t="shared" si="50"/>
        <v>95-956200278</v>
      </c>
      <c r="C3246" s="179" t="s">
        <v>7347</v>
      </c>
    </row>
    <row r="3247" spans="1:3">
      <c r="A3247" s="177">
        <v>956300025</v>
      </c>
      <c r="B3247" s="116" t="str">
        <f t="shared" si="50"/>
        <v>95-956300025</v>
      </c>
      <c r="C3247" s="179" t="s">
        <v>8063</v>
      </c>
    </row>
    <row r="3248" spans="1:3">
      <c r="A3248" s="177">
        <v>956200315</v>
      </c>
      <c r="B3248" s="116" t="str">
        <f t="shared" si="50"/>
        <v>95-956200315</v>
      </c>
      <c r="C3248" s="179" t="s">
        <v>7436</v>
      </c>
    </row>
    <row r="3249" spans="1:3">
      <c r="A3249" s="177">
        <v>956200290</v>
      </c>
      <c r="B3249" s="116" t="str">
        <f t="shared" si="50"/>
        <v>95-956200290</v>
      </c>
      <c r="C3249" s="179" t="s">
        <v>7438</v>
      </c>
    </row>
    <row r="3250" spans="1:3">
      <c r="A3250" s="177">
        <v>956200307</v>
      </c>
      <c r="B3250" s="116" t="str">
        <f t="shared" si="50"/>
        <v>95-956200307</v>
      </c>
      <c r="C3250" s="179" t="s">
        <v>8039</v>
      </c>
    </row>
    <row r="3251" spans="1:3">
      <c r="A3251" s="177">
        <v>956200118</v>
      </c>
      <c r="B3251" s="116" t="str">
        <f t="shared" si="50"/>
        <v>95-956200118</v>
      </c>
      <c r="C3251" s="179" t="s">
        <v>7359</v>
      </c>
    </row>
    <row r="3252" spans="1:3">
      <c r="A3252" s="177">
        <v>952000310</v>
      </c>
      <c r="B3252" s="116" t="str">
        <f t="shared" si="50"/>
        <v>95-952000310</v>
      </c>
      <c r="C3252" s="179" t="s">
        <v>7420</v>
      </c>
    </row>
    <row r="3253" spans="1:3">
      <c r="A3253" s="177">
        <v>952000193</v>
      </c>
      <c r="B3253" s="116" t="str">
        <f t="shared" si="50"/>
        <v>95-952000193</v>
      </c>
      <c r="C3253" s="179" t="s">
        <v>7342</v>
      </c>
    </row>
    <row r="3254" spans="1:3">
      <c r="A3254" s="177">
        <v>952000070</v>
      </c>
      <c r="B3254" s="116" t="str">
        <f t="shared" si="50"/>
        <v>95-952000070</v>
      </c>
      <c r="C3254" s="179" t="s">
        <v>7465</v>
      </c>
    </row>
    <row r="3255" spans="1:3">
      <c r="A3255" s="177">
        <v>952000094</v>
      </c>
      <c r="B3255" s="116" t="str">
        <f t="shared" si="50"/>
        <v>95-952000094</v>
      </c>
      <c r="C3255" s="179" t="s">
        <v>8015</v>
      </c>
    </row>
    <row r="3256" spans="1:3">
      <c r="A3256" s="177">
        <v>962000058</v>
      </c>
      <c r="B3256" s="116" t="str">
        <f t="shared" si="50"/>
        <v>96-962000058</v>
      </c>
      <c r="C3256" s="179" t="s">
        <v>7112</v>
      </c>
    </row>
    <row r="3257" spans="1:3">
      <c r="A3257" s="177">
        <v>962000044</v>
      </c>
      <c r="B3257" s="116" t="str">
        <f t="shared" si="50"/>
        <v>96-962000044</v>
      </c>
      <c r="C3257" s="179" t="s">
        <v>7112</v>
      </c>
    </row>
    <row r="3258" spans="1:3">
      <c r="A3258" s="177">
        <v>952000270</v>
      </c>
      <c r="B3258" s="116" t="str">
        <f t="shared" si="50"/>
        <v>95-952000270</v>
      </c>
      <c r="C3258" s="179" t="s">
        <v>7280</v>
      </c>
    </row>
    <row r="3259" spans="1:3">
      <c r="A3259" s="177">
        <v>962000046</v>
      </c>
      <c r="B3259" s="116" t="str">
        <f t="shared" si="50"/>
        <v>96-962000046</v>
      </c>
      <c r="C3259" s="179" t="s">
        <v>7112</v>
      </c>
    </row>
    <row r="3260" spans="1:3">
      <c r="A3260" s="177">
        <v>952000137</v>
      </c>
      <c r="B3260" s="116" t="str">
        <f t="shared" si="50"/>
        <v>95-952000137</v>
      </c>
      <c r="C3260" s="179" t="s">
        <v>7433</v>
      </c>
    </row>
    <row r="3261" spans="1:3">
      <c r="A3261" s="177">
        <v>962000013</v>
      </c>
      <c r="B3261" s="116" t="str">
        <f t="shared" si="50"/>
        <v>96-962000013</v>
      </c>
      <c r="C3261" s="179" t="s">
        <v>7112</v>
      </c>
    </row>
    <row r="3262" spans="1:3">
      <c r="A3262" s="177">
        <v>956200349</v>
      </c>
      <c r="B3262" s="116" t="str">
        <f t="shared" si="50"/>
        <v>95-956200349</v>
      </c>
      <c r="C3262" s="179" t="s">
        <v>7292</v>
      </c>
    </row>
    <row r="3263" spans="1:3">
      <c r="A3263" s="177">
        <v>952000165</v>
      </c>
      <c r="B3263" s="116" t="str">
        <f t="shared" si="50"/>
        <v>95-952000165</v>
      </c>
      <c r="C3263" s="179" t="s">
        <v>7386</v>
      </c>
    </row>
    <row r="3264" spans="1:3">
      <c r="A3264" s="177">
        <v>956200364</v>
      </c>
      <c r="B3264" s="116" t="str">
        <f t="shared" si="50"/>
        <v>95-956200364</v>
      </c>
      <c r="C3264" s="179" t="s">
        <v>7292</v>
      </c>
    </row>
    <row r="3265" spans="1:3">
      <c r="A3265" s="177">
        <v>956200379</v>
      </c>
      <c r="B3265" s="116" t="str">
        <f t="shared" si="50"/>
        <v>95-956200379</v>
      </c>
      <c r="C3265" s="179" t="s">
        <v>7393</v>
      </c>
    </row>
    <row r="3266" spans="1:3">
      <c r="A3266" s="177">
        <v>956200380</v>
      </c>
      <c r="B3266" s="116" t="str">
        <f t="shared" si="50"/>
        <v>95-956200380</v>
      </c>
      <c r="C3266" s="179" t="s">
        <v>7393</v>
      </c>
    </row>
    <row r="3267" spans="1:3">
      <c r="A3267" s="177">
        <v>956200384</v>
      </c>
      <c r="B3267" s="116" t="str">
        <f t="shared" ref="B3267:B3330" si="51">MID(A3267,1,2)&amp;"-"&amp;A3267</f>
        <v>95-956200384</v>
      </c>
      <c r="C3267" s="179" t="s">
        <v>7393</v>
      </c>
    </row>
    <row r="3268" spans="1:3">
      <c r="A3268" s="177">
        <v>956200386</v>
      </c>
      <c r="B3268" s="116" t="str">
        <f t="shared" si="51"/>
        <v>95-956200386</v>
      </c>
      <c r="C3268" s="179" t="s">
        <v>7393</v>
      </c>
    </row>
    <row r="3269" spans="1:3">
      <c r="A3269" s="177">
        <v>956200394</v>
      </c>
      <c r="B3269" s="116" t="str">
        <f t="shared" si="51"/>
        <v>95-956200394</v>
      </c>
      <c r="C3269" s="179" t="s">
        <v>7269</v>
      </c>
    </row>
    <row r="3270" spans="1:3">
      <c r="A3270" s="177">
        <v>956200395</v>
      </c>
      <c r="B3270" s="116" t="str">
        <f t="shared" si="51"/>
        <v>95-956200395</v>
      </c>
      <c r="C3270" s="179" t="s">
        <v>7269</v>
      </c>
    </row>
    <row r="3271" spans="1:3">
      <c r="A3271" s="177">
        <v>956200431</v>
      </c>
      <c r="B3271" s="116" t="str">
        <f t="shared" si="51"/>
        <v>95-956200431</v>
      </c>
      <c r="C3271" s="179" t="s">
        <v>7419</v>
      </c>
    </row>
    <row r="3272" spans="1:3">
      <c r="A3272" s="177">
        <v>956200425</v>
      </c>
      <c r="B3272" s="116" t="str">
        <f t="shared" si="51"/>
        <v>95-956200425</v>
      </c>
      <c r="C3272" s="179" t="s">
        <v>7419</v>
      </c>
    </row>
    <row r="3273" spans="1:3">
      <c r="A3273" s="177">
        <v>966200046</v>
      </c>
      <c r="B3273" s="116" t="str">
        <f t="shared" si="51"/>
        <v>96-966200046</v>
      </c>
      <c r="C3273" s="179" t="s">
        <v>7414</v>
      </c>
    </row>
    <row r="3274" spans="1:3">
      <c r="A3274" s="177">
        <v>966200050</v>
      </c>
      <c r="B3274" s="116" t="str">
        <f t="shared" si="51"/>
        <v>96-966200050</v>
      </c>
      <c r="C3274" s="179" t="s">
        <v>7414</v>
      </c>
    </row>
    <row r="3275" spans="1:3">
      <c r="A3275" s="177">
        <v>966200352</v>
      </c>
      <c r="B3275" s="116" t="str">
        <f t="shared" si="51"/>
        <v>96-966200352</v>
      </c>
      <c r="C3275" s="179" t="s">
        <v>8696</v>
      </c>
    </row>
    <row r="3276" spans="1:3">
      <c r="A3276" s="177">
        <v>966200324</v>
      </c>
      <c r="B3276" s="116" t="str">
        <f t="shared" si="51"/>
        <v>96-966200324</v>
      </c>
      <c r="C3276" s="179" t="s">
        <v>8697</v>
      </c>
    </row>
    <row r="3277" spans="1:3">
      <c r="A3277" s="177">
        <v>951800131</v>
      </c>
      <c r="B3277" s="116" t="str">
        <f t="shared" si="51"/>
        <v>95-951800131</v>
      </c>
      <c r="C3277" s="179" t="s">
        <v>7552</v>
      </c>
    </row>
    <row r="3278" spans="1:3">
      <c r="A3278" s="177">
        <v>961800042</v>
      </c>
      <c r="B3278" s="116" t="str">
        <f t="shared" si="51"/>
        <v>96-961800042</v>
      </c>
      <c r="C3278" s="179" t="s">
        <v>7635</v>
      </c>
    </row>
    <row r="3279" spans="1:3">
      <c r="A3279" s="177">
        <v>961800020</v>
      </c>
      <c r="B3279" s="116" t="str">
        <f t="shared" si="51"/>
        <v>96-961800020</v>
      </c>
      <c r="C3279" s="179" t="s">
        <v>7636</v>
      </c>
    </row>
    <row r="3280" spans="1:3">
      <c r="A3280" s="177">
        <v>961100017</v>
      </c>
      <c r="B3280" s="116" t="str">
        <f t="shared" si="51"/>
        <v>96-961100017</v>
      </c>
      <c r="C3280" s="179" t="s">
        <v>7637</v>
      </c>
    </row>
    <row r="3281" spans="1:3">
      <c r="A3281" s="177">
        <v>961900080</v>
      </c>
      <c r="B3281" s="116" t="str">
        <f t="shared" si="51"/>
        <v>96-961900080</v>
      </c>
      <c r="C3281" s="179" t="s">
        <v>7638</v>
      </c>
    </row>
    <row r="3282" spans="1:3">
      <c r="A3282" s="177">
        <v>951700055</v>
      </c>
      <c r="B3282" s="116" t="str">
        <f t="shared" si="51"/>
        <v>95-951700055</v>
      </c>
      <c r="C3282" s="179" t="s">
        <v>7566</v>
      </c>
    </row>
    <row r="3283" spans="1:3">
      <c r="A3283" s="177">
        <v>951700302</v>
      </c>
      <c r="B3283" s="116" t="str">
        <f t="shared" si="51"/>
        <v>95-951700302</v>
      </c>
      <c r="C3283" s="179" t="s">
        <v>7161</v>
      </c>
    </row>
    <row r="3284" spans="1:3">
      <c r="A3284" s="177">
        <v>951700323</v>
      </c>
      <c r="B3284" s="116" t="str">
        <f t="shared" si="51"/>
        <v>95-951700323</v>
      </c>
      <c r="C3284" s="179" t="s">
        <v>7481</v>
      </c>
    </row>
    <row r="3285" spans="1:3">
      <c r="A3285" s="177">
        <v>951400146</v>
      </c>
      <c r="B3285" s="116" t="str">
        <f t="shared" si="51"/>
        <v>95-951400146</v>
      </c>
      <c r="C3285" s="179" t="s">
        <v>7567</v>
      </c>
    </row>
    <row r="3286" spans="1:3">
      <c r="A3286" s="177">
        <v>952000213</v>
      </c>
      <c r="B3286" s="116" t="str">
        <f t="shared" si="51"/>
        <v>95-952000213</v>
      </c>
      <c r="C3286" s="179" t="s">
        <v>7342</v>
      </c>
    </row>
    <row r="3287" spans="1:3">
      <c r="A3287" s="177">
        <v>966200142</v>
      </c>
      <c r="B3287" s="116" t="str">
        <f t="shared" si="51"/>
        <v>96-966200142</v>
      </c>
      <c r="C3287" s="179" t="s">
        <v>7343</v>
      </c>
    </row>
    <row r="3288" spans="1:3">
      <c r="A3288" s="177">
        <v>966200439</v>
      </c>
      <c r="B3288" s="116" t="str">
        <f t="shared" si="51"/>
        <v>96-966200439</v>
      </c>
      <c r="C3288" s="179" t="s">
        <v>12187</v>
      </c>
    </row>
    <row r="3289" spans="1:3">
      <c r="A3289" s="177">
        <v>956300016</v>
      </c>
      <c r="B3289" s="116" t="str">
        <f t="shared" si="51"/>
        <v>95-956300016</v>
      </c>
      <c r="C3289" s="179" t="s">
        <v>7516</v>
      </c>
    </row>
    <row r="3290" spans="1:3">
      <c r="A3290" s="177">
        <v>966200414</v>
      </c>
      <c r="B3290" s="116" t="str">
        <f t="shared" si="51"/>
        <v>96-966200414</v>
      </c>
      <c r="C3290" s="179" t="s">
        <v>12224</v>
      </c>
    </row>
    <row r="3291" spans="1:3">
      <c r="A3291" s="177">
        <v>966200384</v>
      </c>
      <c r="B3291" s="116" t="str">
        <f t="shared" si="51"/>
        <v>96-966200384</v>
      </c>
      <c r="C3291" s="179" t="s">
        <v>12239</v>
      </c>
    </row>
    <row r="3292" spans="1:3">
      <c r="A3292" s="177">
        <v>956200259</v>
      </c>
      <c r="B3292" s="116" t="str">
        <f t="shared" si="51"/>
        <v>95-956200259</v>
      </c>
      <c r="C3292" s="179" t="s">
        <v>7347</v>
      </c>
    </row>
    <row r="3293" spans="1:3">
      <c r="A3293" s="177">
        <v>956200323</v>
      </c>
      <c r="B3293" s="116" t="str">
        <f t="shared" si="51"/>
        <v>95-956200323</v>
      </c>
      <c r="C3293" s="179" t="s">
        <v>7289</v>
      </c>
    </row>
    <row r="3294" spans="1:3">
      <c r="A3294" s="177">
        <v>956200280</v>
      </c>
      <c r="B3294" s="116" t="str">
        <f t="shared" si="51"/>
        <v>95-956200280</v>
      </c>
      <c r="C3294" s="179" t="s">
        <v>7347</v>
      </c>
    </row>
    <row r="3295" spans="1:3">
      <c r="A3295" s="177">
        <v>956200291</v>
      </c>
      <c r="B3295" s="116" t="str">
        <f t="shared" si="51"/>
        <v>95-956200291</v>
      </c>
      <c r="C3295" s="179" t="s">
        <v>7438</v>
      </c>
    </row>
    <row r="3296" spans="1:3">
      <c r="A3296" s="177">
        <v>966200246</v>
      </c>
      <c r="B3296" s="116" t="str">
        <f t="shared" si="51"/>
        <v>96-966200246</v>
      </c>
      <c r="C3296" s="179" t="s">
        <v>8058</v>
      </c>
    </row>
    <row r="3297" spans="1:3">
      <c r="A3297" s="177">
        <v>966200374</v>
      </c>
      <c r="B3297" s="116" t="str">
        <f t="shared" si="51"/>
        <v>96-966200374</v>
      </c>
      <c r="C3297" s="179" t="s">
        <v>12238</v>
      </c>
    </row>
    <row r="3298" spans="1:3">
      <c r="A3298" s="177">
        <v>966200491</v>
      </c>
      <c r="B3298" s="116" t="str">
        <f t="shared" si="51"/>
        <v>96-966200491</v>
      </c>
      <c r="C3298" s="179" t="s">
        <v>12186</v>
      </c>
    </row>
    <row r="3299" spans="1:3">
      <c r="A3299" s="177">
        <v>966200147</v>
      </c>
      <c r="B3299" s="116" t="str">
        <f t="shared" si="51"/>
        <v>96-966200147</v>
      </c>
      <c r="C3299" s="179" t="s">
        <v>7343</v>
      </c>
    </row>
    <row r="3300" spans="1:3">
      <c r="A3300" s="177">
        <v>966200400</v>
      </c>
      <c r="B3300" s="116" t="str">
        <f t="shared" si="51"/>
        <v>96-966200400</v>
      </c>
      <c r="C3300" s="179" t="s">
        <v>12239</v>
      </c>
    </row>
    <row r="3301" spans="1:3">
      <c r="A3301" s="177">
        <v>966200513</v>
      </c>
      <c r="B3301" s="116" t="str">
        <f t="shared" si="51"/>
        <v>96-966200513</v>
      </c>
      <c r="C3301" s="179" t="s">
        <v>12446</v>
      </c>
    </row>
    <row r="3302" spans="1:3">
      <c r="A3302" s="177">
        <v>966200242</v>
      </c>
      <c r="B3302" s="116" t="str">
        <f t="shared" si="51"/>
        <v>96-966200242</v>
      </c>
      <c r="C3302" s="179" t="s">
        <v>7116</v>
      </c>
    </row>
    <row r="3303" spans="1:3">
      <c r="A3303" s="177">
        <v>962000101</v>
      </c>
      <c r="B3303" s="116" t="str">
        <f t="shared" si="51"/>
        <v>96-962000101</v>
      </c>
      <c r="C3303" s="179" t="s">
        <v>7112</v>
      </c>
    </row>
    <row r="3304" spans="1:3">
      <c r="A3304" s="177">
        <v>962000105</v>
      </c>
      <c r="B3304" s="116" t="str">
        <f t="shared" si="51"/>
        <v>96-962000105</v>
      </c>
      <c r="C3304" s="179" t="s">
        <v>7112</v>
      </c>
    </row>
    <row r="3305" spans="1:3">
      <c r="A3305" s="177">
        <v>962000126</v>
      </c>
      <c r="B3305" s="116" t="str">
        <f t="shared" si="51"/>
        <v>96-962000126</v>
      </c>
      <c r="C3305" s="179" t="s">
        <v>7112</v>
      </c>
    </row>
    <row r="3306" spans="1:3">
      <c r="A3306" s="177">
        <v>962000251</v>
      </c>
      <c r="B3306" s="116" t="str">
        <f t="shared" si="51"/>
        <v>96-962000251</v>
      </c>
      <c r="C3306" s="179" t="s">
        <v>7112</v>
      </c>
    </row>
    <row r="3307" spans="1:3">
      <c r="A3307" s="177">
        <v>962000250</v>
      </c>
      <c r="B3307" s="116" t="str">
        <f t="shared" si="51"/>
        <v>96-962000250</v>
      </c>
      <c r="C3307" s="179" t="s">
        <v>7112</v>
      </c>
    </row>
    <row r="3308" spans="1:3">
      <c r="A3308" s="177">
        <v>962000275</v>
      </c>
      <c r="B3308" s="116" t="str">
        <f t="shared" si="51"/>
        <v>96-962000275</v>
      </c>
      <c r="C3308" s="179" t="s">
        <v>7112</v>
      </c>
    </row>
    <row r="3309" spans="1:3">
      <c r="A3309" s="177">
        <v>962000160</v>
      </c>
      <c r="B3309" s="116" t="str">
        <f t="shared" si="51"/>
        <v>96-962000160</v>
      </c>
      <c r="C3309" s="179" t="s">
        <v>7112</v>
      </c>
    </row>
    <row r="3310" spans="1:3">
      <c r="A3310" s="177">
        <v>962000305</v>
      </c>
      <c r="B3310" s="116" t="str">
        <f t="shared" si="51"/>
        <v>96-962000305</v>
      </c>
      <c r="C3310" s="179" t="s">
        <v>7112</v>
      </c>
    </row>
    <row r="3311" spans="1:3">
      <c r="A3311" s="177">
        <v>962000166</v>
      </c>
      <c r="B3311" s="116" t="str">
        <f t="shared" si="51"/>
        <v>96-962000166</v>
      </c>
      <c r="C3311" s="179" t="s">
        <v>7112</v>
      </c>
    </row>
    <row r="3312" spans="1:3">
      <c r="A3312" s="177">
        <v>956200331</v>
      </c>
      <c r="B3312" s="116" t="str">
        <f t="shared" si="51"/>
        <v>95-956200331</v>
      </c>
      <c r="C3312" s="179" t="s">
        <v>7289</v>
      </c>
    </row>
    <row r="3313" spans="1:3">
      <c r="A3313" s="177">
        <v>956200363</v>
      </c>
      <c r="B3313" s="116" t="str">
        <f t="shared" si="51"/>
        <v>95-956200363</v>
      </c>
      <c r="C3313" s="179" t="s">
        <v>7447</v>
      </c>
    </row>
    <row r="3314" spans="1:3">
      <c r="A3314" s="177">
        <v>966200003</v>
      </c>
      <c r="B3314" s="116" t="str">
        <f t="shared" si="51"/>
        <v>96-966200003</v>
      </c>
      <c r="C3314" s="179" t="s">
        <v>7475</v>
      </c>
    </row>
    <row r="3315" spans="1:3">
      <c r="A3315" s="177">
        <v>956200358</v>
      </c>
      <c r="B3315" s="116" t="str">
        <f t="shared" si="51"/>
        <v>95-956200358</v>
      </c>
      <c r="C3315" s="179" t="s">
        <v>7292</v>
      </c>
    </row>
    <row r="3316" spans="1:3">
      <c r="A3316" s="177">
        <v>956200383</v>
      </c>
      <c r="B3316" s="116" t="str">
        <f t="shared" si="51"/>
        <v>95-956200383</v>
      </c>
      <c r="C3316" s="179" t="s">
        <v>7393</v>
      </c>
    </row>
    <row r="3317" spans="1:3">
      <c r="A3317" s="177">
        <v>966200501</v>
      </c>
      <c r="B3317" s="116" t="str">
        <f t="shared" si="51"/>
        <v>96-966200501</v>
      </c>
      <c r="C3317" s="179" t="s">
        <v>12415</v>
      </c>
    </row>
    <row r="3318" spans="1:3">
      <c r="A3318" s="177">
        <v>956200428</v>
      </c>
      <c r="B3318" s="116" t="str">
        <f t="shared" si="51"/>
        <v>95-956200428</v>
      </c>
      <c r="C3318" s="179" t="s">
        <v>7419</v>
      </c>
    </row>
    <row r="3319" spans="1:3">
      <c r="A3319" s="177">
        <v>956200429</v>
      </c>
      <c r="B3319" s="116" t="str">
        <f t="shared" si="51"/>
        <v>95-956200429</v>
      </c>
      <c r="C3319" s="179" t="s">
        <v>7419</v>
      </c>
    </row>
    <row r="3320" spans="1:3">
      <c r="A3320" s="177">
        <v>961100019</v>
      </c>
      <c r="B3320" s="116" t="str">
        <f t="shared" si="51"/>
        <v>96-961100019</v>
      </c>
      <c r="C3320" s="179" t="s">
        <v>8059</v>
      </c>
    </row>
    <row r="3321" spans="1:3">
      <c r="A3321" s="177">
        <v>966200088</v>
      </c>
      <c r="B3321" s="116" t="str">
        <f t="shared" si="51"/>
        <v>96-966200088</v>
      </c>
      <c r="C3321" s="179" t="s">
        <v>7476</v>
      </c>
    </row>
    <row r="3322" spans="1:3">
      <c r="A3322" s="177">
        <v>966200205</v>
      </c>
      <c r="B3322" s="116" t="str">
        <f t="shared" si="51"/>
        <v>96-966200205</v>
      </c>
      <c r="C3322" s="179" t="s">
        <v>7120</v>
      </c>
    </row>
    <row r="3323" spans="1:3">
      <c r="A3323" s="177">
        <v>966200453</v>
      </c>
      <c r="B3323" s="116" t="str">
        <f t="shared" si="51"/>
        <v>96-966200453</v>
      </c>
      <c r="C3323" s="179" t="s">
        <v>12192</v>
      </c>
    </row>
    <row r="3324" spans="1:3">
      <c r="A3324" s="177">
        <v>966200396</v>
      </c>
      <c r="B3324" s="116" t="str">
        <f t="shared" si="51"/>
        <v>96-966200396</v>
      </c>
      <c r="C3324" s="179" t="s">
        <v>12239</v>
      </c>
    </row>
    <row r="3325" spans="1:3">
      <c r="A3325" s="177">
        <v>951400069</v>
      </c>
      <c r="B3325" s="116" t="str">
        <f t="shared" si="51"/>
        <v>95-951400069</v>
      </c>
      <c r="C3325" s="179" t="s">
        <v>7648</v>
      </c>
    </row>
    <row r="3326" spans="1:3">
      <c r="A3326" s="177">
        <v>951700279</v>
      </c>
      <c r="B3326" s="116" t="str">
        <f t="shared" si="51"/>
        <v>95-951700279</v>
      </c>
      <c r="C3326" s="179" t="s">
        <v>7573</v>
      </c>
    </row>
    <row r="3327" spans="1:3">
      <c r="A3327" s="177">
        <v>951800053</v>
      </c>
      <c r="B3327" s="116" t="str">
        <f t="shared" si="51"/>
        <v>95-951800053</v>
      </c>
      <c r="C3327" s="179" t="s">
        <v>7649</v>
      </c>
    </row>
    <row r="3328" spans="1:3">
      <c r="A3328" s="177">
        <v>962000173</v>
      </c>
      <c r="B3328" s="116" t="str">
        <f t="shared" si="51"/>
        <v>96-962000173</v>
      </c>
      <c r="C3328" s="179" t="s">
        <v>7112</v>
      </c>
    </row>
    <row r="3329" spans="1:3">
      <c r="A3329" s="177">
        <v>962000174</v>
      </c>
      <c r="B3329" s="116" t="str">
        <f t="shared" si="51"/>
        <v>96-962000174</v>
      </c>
      <c r="C3329" s="179" t="s">
        <v>7112</v>
      </c>
    </row>
    <row r="3330" spans="1:3">
      <c r="A3330" s="177">
        <v>962000176</v>
      </c>
      <c r="B3330" s="116" t="str">
        <f t="shared" si="51"/>
        <v>96-962000176</v>
      </c>
      <c r="C3330" s="179" t="s">
        <v>7112</v>
      </c>
    </row>
    <row r="3331" spans="1:3">
      <c r="A3331" s="177">
        <v>962000320</v>
      </c>
      <c r="B3331" s="116" t="str">
        <f t="shared" ref="B3331:B3394" si="52">MID(A3331,1,2)&amp;"-"&amp;A3331</f>
        <v>96-962000320</v>
      </c>
      <c r="C3331" s="179" t="s">
        <v>7112</v>
      </c>
    </row>
    <row r="3332" spans="1:3">
      <c r="A3332" s="177">
        <v>962000284</v>
      </c>
      <c r="B3332" s="116" t="str">
        <f t="shared" si="52"/>
        <v>96-962000284</v>
      </c>
      <c r="C3332" s="179" t="s">
        <v>7112</v>
      </c>
    </row>
    <row r="3333" spans="1:3">
      <c r="A3333" s="177">
        <v>962000302</v>
      </c>
      <c r="B3333" s="116" t="str">
        <f t="shared" si="52"/>
        <v>96-962000302</v>
      </c>
      <c r="C3333" s="179" t="s">
        <v>7112</v>
      </c>
    </row>
    <row r="3334" spans="1:3">
      <c r="A3334" s="177">
        <v>962000321</v>
      </c>
      <c r="B3334" s="116" t="str">
        <f t="shared" si="52"/>
        <v>96-962000321</v>
      </c>
      <c r="C3334" s="179" t="s">
        <v>7112</v>
      </c>
    </row>
    <row r="3335" spans="1:3">
      <c r="A3335" s="177">
        <v>962000277</v>
      </c>
      <c r="B3335" s="116" t="str">
        <f t="shared" si="52"/>
        <v>96-962000277</v>
      </c>
      <c r="C3335" s="179" t="s">
        <v>7112</v>
      </c>
    </row>
    <row r="3336" spans="1:3">
      <c r="A3336" s="177">
        <v>966200351</v>
      </c>
      <c r="B3336" s="116" t="str">
        <f t="shared" si="52"/>
        <v>96-966200351</v>
      </c>
      <c r="C3336" s="179" t="s">
        <v>8696</v>
      </c>
    </row>
    <row r="3337" spans="1:3">
      <c r="A3337" s="177">
        <v>962000282</v>
      </c>
      <c r="B3337" s="116" t="str">
        <f t="shared" si="52"/>
        <v>96-962000282</v>
      </c>
      <c r="C3337" s="179" t="s">
        <v>7112</v>
      </c>
    </row>
    <row r="3338" spans="1:3">
      <c r="A3338" s="177">
        <v>962000301</v>
      </c>
      <c r="B3338" s="116" t="str">
        <f t="shared" si="52"/>
        <v>96-962000301</v>
      </c>
      <c r="C3338" s="179" t="s">
        <v>7112</v>
      </c>
    </row>
    <row r="3339" spans="1:3">
      <c r="A3339" s="177">
        <v>962000316</v>
      </c>
      <c r="B3339" s="116" t="str">
        <f t="shared" si="52"/>
        <v>96-962000316</v>
      </c>
      <c r="C3339" s="179" t="s">
        <v>7112</v>
      </c>
    </row>
    <row r="3340" spans="1:3">
      <c r="A3340" s="177">
        <v>962000344</v>
      </c>
      <c r="B3340" s="116" t="str">
        <f t="shared" si="52"/>
        <v>96-962000344</v>
      </c>
      <c r="C3340" s="179" t="s">
        <v>12184</v>
      </c>
    </row>
    <row r="3341" spans="1:3">
      <c r="A3341" s="177">
        <v>966200130</v>
      </c>
      <c r="B3341" s="116" t="str">
        <f t="shared" si="52"/>
        <v>96-966200130</v>
      </c>
      <c r="C3341" s="179" t="s">
        <v>7293</v>
      </c>
    </row>
    <row r="3342" spans="1:3">
      <c r="A3342" s="177">
        <v>966200496</v>
      </c>
      <c r="B3342" s="116" t="str">
        <f t="shared" si="52"/>
        <v>96-966200496</v>
      </c>
      <c r="C3342" s="179" t="s">
        <v>12189</v>
      </c>
    </row>
    <row r="3343" spans="1:3">
      <c r="A3343" s="177">
        <v>966200182</v>
      </c>
      <c r="B3343" s="116" t="str">
        <f t="shared" si="52"/>
        <v>96-966200182</v>
      </c>
      <c r="C3343" s="179" t="s">
        <v>7986</v>
      </c>
    </row>
    <row r="3344" spans="1:3">
      <c r="A3344" s="177">
        <v>966200237</v>
      </c>
      <c r="B3344" s="116" t="str">
        <f t="shared" si="52"/>
        <v>96-966200237</v>
      </c>
      <c r="C3344" s="179" t="s">
        <v>7116</v>
      </c>
    </row>
    <row r="3345" spans="1:3">
      <c r="A3345" s="177">
        <v>966200238</v>
      </c>
      <c r="B3345" s="116" t="str">
        <f t="shared" si="52"/>
        <v>96-966200238</v>
      </c>
      <c r="C3345" s="179" t="s">
        <v>7116</v>
      </c>
    </row>
    <row r="3346" spans="1:3">
      <c r="A3346" s="177">
        <v>962000099</v>
      </c>
      <c r="B3346" s="116" t="str">
        <f t="shared" si="52"/>
        <v>96-962000099</v>
      </c>
      <c r="C3346" s="179" t="s">
        <v>7112</v>
      </c>
    </row>
    <row r="3347" spans="1:3">
      <c r="A3347" s="177">
        <v>962000103</v>
      </c>
      <c r="B3347" s="116" t="str">
        <f t="shared" si="52"/>
        <v>96-962000103</v>
      </c>
      <c r="C3347" s="179" t="s">
        <v>7112</v>
      </c>
    </row>
    <row r="3348" spans="1:3">
      <c r="A3348" s="177">
        <v>962000113</v>
      </c>
      <c r="B3348" s="116" t="str">
        <f t="shared" si="52"/>
        <v>96-962000113</v>
      </c>
      <c r="C3348" s="179" t="s">
        <v>7112</v>
      </c>
    </row>
    <row r="3349" spans="1:3">
      <c r="A3349" s="177">
        <v>962000114</v>
      </c>
      <c r="B3349" s="116" t="str">
        <f t="shared" si="52"/>
        <v>96-962000114</v>
      </c>
      <c r="C3349" s="179" t="s">
        <v>7112</v>
      </c>
    </row>
    <row r="3350" spans="1:3">
      <c r="A3350" s="177">
        <v>962000115</v>
      </c>
      <c r="B3350" s="116" t="str">
        <f t="shared" si="52"/>
        <v>96-962000115</v>
      </c>
      <c r="C3350" s="179" t="s">
        <v>7112</v>
      </c>
    </row>
    <row r="3351" spans="1:3">
      <c r="A3351" s="177">
        <v>962000333</v>
      </c>
      <c r="B3351" s="116" t="str">
        <f t="shared" si="52"/>
        <v>96-962000333</v>
      </c>
      <c r="C3351" s="179" t="s">
        <v>7112</v>
      </c>
    </row>
    <row r="3352" spans="1:3">
      <c r="A3352" s="177">
        <v>962000335</v>
      </c>
      <c r="B3352" s="116" t="str">
        <f t="shared" si="52"/>
        <v>96-962000335</v>
      </c>
      <c r="C3352" s="179" t="s">
        <v>7112</v>
      </c>
    </row>
    <row r="3353" spans="1:3">
      <c r="A3353" s="177">
        <v>962000329</v>
      </c>
      <c r="B3353" s="116" t="str">
        <f t="shared" si="52"/>
        <v>96-962000329</v>
      </c>
      <c r="C3353" s="179" t="s">
        <v>7112</v>
      </c>
    </row>
    <row r="3354" spans="1:3">
      <c r="A3354" s="177">
        <v>966300038</v>
      </c>
      <c r="B3354" s="116" t="str">
        <f t="shared" si="52"/>
        <v>96-966300038</v>
      </c>
      <c r="C3354" s="179" t="s">
        <v>12241</v>
      </c>
    </row>
    <row r="3355" spans="1:3">
      <c r="A3355" s="177">
        <v>966200460</v>
      </c>
      <c r="B3355" s="116" t="str">
        <f t="shared" si="52"/>
        <v>96-966200460</v>
      </c>
      <c r="C3355" s="179" t="s">
        <v>12192</v>
      </c>
    </row>
    <row r="3356" spans="1:3">
      <c r="A3356" s="177">
        <v>966000001</v>
      </c>
      <c r="B3356" s="116" t="str">
        <f t="shared" si="52"/>
        <v>96-966000001</v>
      </c>
      <c r="C3356" s="179" t="s">
        <v>7146</v>
      </c>
    </row>
    <row r="3357" spans="1:3">
      <c r="A3357" s="177">
        <v>954100006</v>
      </c>
      <c r="B3357" s="116" t="str">
        <f t="shared" si="52"/>
        <v>95-954100006</v>
      </c>
      <c r="C3357" s="179" t="s">
        <v>5615</v>
      </c>
    </row>
    <row r="3358" spans="1:3">
      <c r="A3358" s="177">
        <v>954100011</v>
      </c>
      <c r="B3358" s="116" t="str">
        <f t="shared" si="52"/>
        <v>95-954100011</v>
      </c>
      <c r="C3358" s="179" t="s">
        <v>5626</v>
      </c>
    </row>
    <row r="3359" spans="1:3">
      <c r="A3359" s="177">
        <v>954100015</v>
      </c>
      <c r="B3359" s="116" t="str">
        <f t="shared" si="52"/>
        <v>95-954100015</v>
      </c>
      <c r="C3359" s="179" t="s">
        <v>5626</v>
      </c>
    </row>
    <row r="3360" spans="1:3">
      <c r="A3360" s="177">
        <v>954100023</v>
      </c>
      <c r="B3360" s="116" t="str">
        <f t="shared" si="52"/>
        <v>95-954100023</v>
      </c>
      <c r="C3360" s="179" t="s">
        <v>5737</v>
      </c>
    </row>
    <row r="3361" spans="1:3">
      <c r="A3361" s="177">
        <v>954100031</v>
      </c>
      <c r="B3361" s="116" t="str">
        <f t="shared" si="52"/>
        <v>95-954100031</v>
      </c>
      <c r="C3361" s="179" t="s">
        <v>5749</v>
      </c>
    </row>
    <row r="3362" spans="1:3">
      <c r="A3362" s="177">
        <v>964100010</v>
      </c>
      <c r="B3362" s="116" t="str">
        <f t="shared" si="52"/>
        <v>96-964100010</v>
      </c>
      <c r="C3362" s="179" t="s">
        <v>5783</v>
      </c>
    </row>
    <row r="3363" spans="1:3">
      <c r="A3363" s="177">
        <v>964100011</v>
      </c>
      <c r="B3363" s="116" t="str">
        <f t="shared" si="52"/>
        <v>96-964100011</v>
      </c>
      <c r="C3363" s="179" t="s">
        <v>5783</v>
      </c>
    </row>
    <row r="3364" spans="1:3">
      <c r="A3364" s="177">
        <v>961800030</v>
      </c>
      <c r="B3364" s="116" t="str">
        <f t="shared" si="52"/>
        <v>96-961800030</v>
      </c>
      <c r="C3364" s="179" t="s">
        <v>7656</v>
      </c>
    </row>
    <row r="3365" spans="1:3">
      <c r="A3365" s="177">
        <v>951900201</v>
      </c>
      <c r="B3365" s="116" t="str">
        <f t="shared" si="52"/>
        <v>95-951900201</v>
      </c>
      <c r="C3365" s="179" t="s">
        <v>7666</v>
      </c>
    </row>
    <row r="3366" spans="1:3">
      <c r="A3366" s="177">
        <v>956100017</v>
      </c>
      <c r="B3366" s="116" t="str">
        <f t="shared" si="52"/>
        <v>95-956100017</v>
      </c>
      <c r="C3366" s="179" t="s">
        <v>7488</v>
      </c>
    </row>
    <row r="3367" spans="1:3">
      <c r="A3367" s="177">
        <v>961700139</v>
      </c>
      <c r="B3367" s="116" t="str">
        <f t="shared" si="52"/>
        <v>96-961700139</v>
      </c>
      <c r="C3367" s="179" t="s">
        <v>8733</v>
      </c>
    </row>
    <row r="3368" spans="1:3">
      <c r="A3368" s="177">
        <v>962000280</v>
      </c>
      <c r="B3368" s="116" t="str">
        <f t="shared" si="52"/>
        <v>96-962000280</v>
      </c>
      <c r="C3368" s="179" t="s">
        <v>7112</v>
      </c>
    </row>
    <row r="3369" spans="1:3">
      <c r="A3369" s="177">
        <v>962000291</v>
      </c>
      <c r="B3369" s="116" t="str">
        <f t="shared" si="52"/>
        <v>96-962000291</v>
      </c>
      <c r="C3369" s="179" t="s">
        <v>7112</v>
      </c>
    </row>
    <row r="3370" spans="1:3">
      <c r="A3370" s="177">
        <v>962000185</v>
      </c>
      <c r="B3370" s="116" t="str">
        <f t="shared" si="52"/>
        <v>96-962000185</v>
      </c>
      <c r="C3370" s="179" t="s">
        <v>7112</v>
      </c>
    </row>
    <row r="3371" spans="1:3">
      <c r="A3371" s="177">
        <v>962000293</v>
      </c>
      <c r="B3371" s="116" t="str">
        <f t="shared" si="52"/>
        <v>96-962000293</v>
      </c>
      <c r="C3371" s="179" t="s">
        <v>7112</v>
      </c>
    </row>
    <row r="3372" spans="1:3">
      <c r="A3372" s="177">
        <v>966200353</v>
      </c>
      <c r="B3372" s="116" t="str">
        <f t="shared" si="52"/>
        <v>96-966200353</v>
      </c>
      <c r="C3372" s="179" t="s">
        <v>12282</v>
      </c>
    </row>
    <row r="3373" spans="1:3">
      <c r="A3373" s="177">
        <v>962000306</v>
      </c>
      <c r="B3373" s="116" t="str">
        <f t="shared" si="52"/>
        <v>96-962000306</v>
      </c>
      <c r="C3373" s="179" t="s">
        <v>7112</v>
      </c>
    </row>
    <row r="3374" spans="1:3">
      <c r="A3374" s="177">
        <v>962000315</v>
      </c>
      <c r="B3374" s="116" t="str">
        <f t="shared" si="52"/>
        <v>96-962000315</v>
      </c>
      <c r="C3374" s="179" t="s">
        <v>7112</v>
      </c>
    </row>
    <row r="3375" spans="1:3">
      <c r="A3375" s="177">
        <v>954100008</v>
      </c>
      <c r="B3375" s="116" t="str">
        <f t="shared" si="52"/>
        <v>95-954100008</v>
      </c>
      <c r="C3375" s="179" t="s">
        <v>5615</v>
      </c>
    </row>
    <row r="3376" spans="1:3">
      <c r="A3376" s="177">
        <v>954100017</v>
      </c>
      <c r="B3376" s="116" t="str">
        <f t="shared" si="52"/>
        <v>95-954100017</v>
      </c>
      <c r="C3376" s="179" t="s">
        <v>5626</v>
      </c>
    </row>
    <row r="3377" spans="1:3">
      <c r="A3377" s="177">
        <v>954100033</v>
      </c>
      <c r="B3377" s="116" t="str">
        <f t="shared" si="52"/>
        <v>95-954100033</v>
      </c>
      <c r="C3377" s="179" t="s">
        <v>5756</v>
      </c>
    </row>
    <row r="3378" spans="1:3">
      <c r="A3378" s="177">
        <v>962000168</v>
      </c>
      <c r="B3378" s="116" t="str">
        <f t="shared" si="52"/>
        <v>96-962000168</v>
      </c>
      <c r="C3378" s="179" t="s">
        <v>7112</v>
      </c>
    </row>
    <row r="3379" spans="1:3">
      <c r="A3379" s="177">
        <v>962000246</v>
      </c>
      <c r="B3379" s="116" t="str">
        <f t="shared" si="52"/>
        <v>96-962000246</v>
      </c>
      <c r="C3379" s="179" t="s">
        <v>7112</v>
      </c>
    </row>
    <row r="3380" spans="1:3">
      <c r="A3380" s="177">
        <v>964100019</v>
      </c>
      <c r="B3380" s="116" t="str">
        <f t="shared" si="52"/>
        <v>96-964100019</v>
      </c>
      <c r="C3380" s="179" t="s">
        <v>5804</v>
      </c>
    </row>
    <row r="3381" spans="1:3">
      <c r="A3381" s="177">
        <v>964100044</v>
      </c>
      <c r="B3381" s="116" t="str">
        <f t="shared" si="52"/>
        <v>96-964100044</v>
      </c>
      <c r="C3381" s="179" t="s">
        <v>5844</v>
      </c>
    </row>
    <row r="3382" spans="1:3">
      <c r="A3382" s="177">
        <v>964100045</v>
      </c>
      <c r="B3382" s="116" t="str">
        <f t="shared" si="52"/>
        <v>96-964100045</v>
      </c>
      <c r="C3382" s="179" t="s">
        <v>5817</v>
      </c>
    </row>
    <row r="3383" spans="1:3">
      <c r="A3383" s="177">
        <v>964100046</v>
      </c>
      <c r="B3383" s="116" t="str">
        <f t="shared" si="52"/>
        <v>96-964100046</v>
      </c>
      <c r="C3383" s="179" t="s">
        <v>5844</v>
      </c>
    </row>
    <row r="3384" spans="1:3">
      <c r="A3384" s="177">
        <v>964100050</v>
      </c>
      <c r="B3384" s="116" t="str">
        <f t="shared" si="52"/>
        <v>96-964100050</v>
      </c>
      <c r="C3384" s="179" t="s">
        <v>7138</v>
      </c>
    </row>
    <row r="3385" spans="1:3">
      <c r="A3385" s="177">
        <v>964100051</v>
      </c>
      <c r="B3385" s="116" t="str">
        <f t="shared" si="52"/>
        <v>96-964100051</v>
      </c>
      <c r="C3385" s="179" t="s">
        <v>7138</v>
      </c>
    </row>
    <row r="3386" spans="1:3">
      <c r="A3386" s="177">
        <v>964100074</v>
      </c>
      <c r="B3386" s="116" t="str">
        <f t="shared" si="52"/>
        <v>96-964100074</v>
      </c>
      <c r="C3386" s="179" t="s">
        <v>5844</v>
      </c>
    </row>
    <row r="3387" spans="1:3">
      <c r="A3387" s="177">
        <v>964300011</v>
      </c>
      <c r="B3387" s="116" t="str">
        <f t="shared" si="52"/>
        <v>96-964300011</v>
      </c>
      <c r="C3387" s="179" t="s">
        <v>7125</v>
      </c>
    </row>
    <row r="3388" spans="1:3">
      <c r="A3388" s="177">
        <v>964300018</v>
      </c>
      <c r="B3388" s="116" t="str">
        <f t="shared" si="52"/>
        <v>96-964300018</v>
      </c>
      <c r="C3388" s="179" t="s">
        <v>7125</v>
      </c>
    </row>
    <row r="3389" spans="1:3">
      <c r="A3389" s="177">
        <v>964300034</v>
      </c>
      <c r="B3389" s="116" t="str">
        <f t="shared" si="52"/>
        <v>96-964300034</v>
      </c>
      <c r="C3389" s="179" t="s">
        <v>12413</v>
      </c>
    </row>
    <row r="3390" spans="1:3">
      <c r="A3390" s="177">
        <v>964100049</v>
      </c>
      <c r="B3390" s="116" t="str">
        <f t="shared" si="52"/>
        <v>96-964100049</v>
      </c>
      <c r="C3390" s="179" t="s">
        <v>7138</v>
      </c>
    </row>
    <row r="3391" spans="1:3">
      <c r="A3391" s="177">
        <v>951000006</v>
      </c>
      <c r="B3391" s="116" t="str">
        <f t="shared" si="52"/>
        <v>95-951000006</v>
      </c>
      <c r="C3391" s="179" t="s">
        <v>7580</v>
      </c>
    </row>
    <row r="3392" spans="1:3">
      <c r="A3392" s="177">
        <v>951800070</v>
      </c>
      <c r="B3392" s="116" t="str">
        <f t="shared" si="52"/>
        <v>95-951800070</v>
      </c>
      <c r="C3392" s="179" t="s">
        <v>7132</v>
      </c>
    </row>
    <row r="3393" spans="1:3">
      <c r="A3393" s="177">
        <v>954100037</v>
      </c>
      <c r="B3393" s="116" t="str">
        <f t="shared" si="52"/>
        <v>95-954100037</v>
      </c>
      <c r="C3393" s="179" t="s">
        <v>5749</v>
      </c>
    </row>
    <row r="3394" spans="1:3">
      <c r="A3394" s="177">
        <v>964100009</v>
      </c>
      <c r="B3394" s="116" t="str">
        <f t="shared" si="52"/>
        <v>96-964100009</v>
      </c>
      <c r="C3394" s="179" t="s">
        <v>5783</v>
      </c>
    </row>
    <row r="3395" spans="1:3">
      <c r="A3395" s="177">
        <v>964100012</v>
      </c>
      <c r="B3395" s="116" t="str">
        <f t="shared" ref="B3395:B3458" si="53">MID(A3395,1,2)&amp;"-"&amp;A3395</f>
        <v>96-964100012</v>
      </c>
      <c r="C3395" s="179" t="s">
        <v>5797</v>
      </c>
    </row>
    <row r="3396" spans="1:3">
      <c r="A3396" s="177">
        <v>964100033</v>
      </c>
      <c r="B3396" s="116" t="str">
        <f t="shared" si="53"/>
        <v>96-964100033</v>
      </c>
      <c r="C3396" s="179" t="s">
        <v>5817</v>
      </c>
    </row>
    <row r="3397" spans="1:3">
      <c r="A3397" s="177">
        <v>964100037</v>
      </c>
      <c r="B3397" s="116" t="str">
        <f t="shared" si="53"/>
        <v>96-964100037</v>
      </c>
      <c r="C3397" s="179" t="s">
        <v>5783</v>
      </c>
    </row>
    <row r="3398" spans="1:3">
      <c r="A3398" s="177">
        <v>964100040</v>
      </c>
      <c r="B3398" s="116" t="str">
        <f t="shared" si="53"/>
        <v>96-964100040</v>
      </c>
      <c r="C3398" s="179" t="s">
        <v>5844</v>
      </c>
    </row>
    <row r="3399" spans="1:3">
      <c r="A3399" s="177">
        <v>964100047</v>
      </c>
      <c r="B3399" s="116" t="str">
        <f t="shared" si="53"/>
        <v>96-964100047</v>
      </c>
      <c r="C3399" s="179" t="s">
        <v>5797</v>
      </c>
    </row>
    <row r="3400" spans="1:3">
      <c r="A3400" s="177">
        <v>964100048</v>
      </c>
      <c r="B3400" s="116" t="str">
        <f t="shared" si="53"/>
        <v>96-964100048</v>
      </c>
      <c r="C3400" s="179" t="s">
        <v>5834</v>
      </c>
    </row>
    <row r="3401" spans="1:3">
      <c r="A3401" s="177">
        <v>964100069</v>
      </c>
      <c r="B3401" s="116" t="str">
        <f t="shared" si="53"/>
        <v>96-964100069</v>
      </c>
      <c r="C3401" s="179" t="s">
        <v>9766</v>
      </c>
    </row>
    <row r="3402" spans="1:3">
      <c r="A3402" s="177">
        <v>964100084</v>
      </c>
      <c r="B3402" s="116" t="str">
        <f t="shared" si="53"/>
        <v>96-964100084</v>
      </c>
      <c r="C3402" s="179" t="s">
        <v>9911</v>
      </c>
    </row>
    <row r="3403" spans="1:3">
      <c r="A3403" s="177">
        <v>964100086</v>
      </c>
      <c r="B3403" s="116" t="str">
        <f t="shared" si="53"/>
        <v>96-964100086</v>
      </c>
      <c r="C3403" s="179" t="s">
        <v>9911</v>
      </c>
    </row>
    <row r="3404" spans="1:3">
      <c r="A3404" s="177">
        <v>964300002</v>
      </c>
      <c r="B3404" s="116" t="str">
        <f t="shared" si="53"/>
        <v>96-964300002</v>
      </c>
      <c r="C3404" s="179" t="s">
        <v>7483</v>
      </c>
    </row>
    <row r="3405" spans="1:3">
      <c r="A3405" s="177">
        <v>964300004</v>
      </c>
      <c r="B3405" s="116" t="str">
        <f t="shared" si="53"/>
        <v>96-964300004</v>
      </c>
      <c r="C3405" s="179" t="s">
        <v>7230</v>
      </c>
    </row>
    <row r="3406" spans="1:3">
      <c r="A3406" s="177">
        <v>964300013</v>
      </c>
      <c r="B3406" s="116" t="str">
        <f t="shared" si="53"/>
        <v>96-964300013</v>
      </c>
      <c r="C3406" s="179" t="s">
        <v>7125</v>
      </c>
    </row>
    <row r="3407" spans="1:3">
      <c r="A3407" s="177">
        <v>964300022</v>
      </c>
      <c r="B3407" s="116" t="str">
        <f t="shared" si="53"/>
        <v>96-964300022</v>
      </c>
      <c r="C3407" s="179" t="s">
        <v>8702</v>
      </c>
    </row>
    <row r="3408" spans="1:3">
      <c r="A3408" s="177">
        <v>962000362</v>
      </c>
      <c r="B3408" s="116" t="str">
        <f t="shared" si="53"/>
        <v>96-962000362</v>
      </c>
      <c r="C3408" s="179" t="s">
        <v>12208</v>
      </c>
    </row>
    <row r="3409" spans="1:3">
      <c r="A3409" s="177">
        <v>951900251</v>
      </c>
      <c r="B3409" s="116" t="str">
        <f t="shared" si="53"/>
        <v>95-951900251</v>
      </c>
      <c r="C3409" s="179" t="s">
        <v>7176</v>
      </c>
    </row>
    <row r="3410" spans="1:3">
      <c r="A3410" s="177">
        <v>956200037</v>
      </c>
      <c r="B3410" s="116" t="str">
        <f t="shared" si="53"/>
        <v>95-956200037</v>
      </c>
      <c r="C3410" s="179" t="s">
        <v>7910</v>
      </c>
    </row>
    <row r="3411" spans="1:3">
      <c r="A3411" s="177">
        <v>956200327</v>
      </c>
      <c r="B3411" s="116" t="str">
        <f t="shared" si="53"/>
        <v>95-956200327</v>
      </c>
      <c r="C3411" s="179" t="s">
        <v>7911</v>
      </c>
    </row>
    <row r="3412" spans="1:3">
      <c r="A3412" s="177">
        <v>951800139</v>
      </c>
      <c r="B3412" s="116" t="str">
        <f t="shared" si="53"/>
        <v>95-951800139</v>
      </c>
      <c r="C3412" s="179" t="s">
        <v>7689</v>
      </c>
    </row>
    <row r="3413" spans="1:3">
      <c r="A3413" s="177">
        <v>951900002</v>
      </c>
      <c r="B3413" s="116" t="str">
        <f t="shared" si="53"/>
        <v>95-951900002</v>
      </c>
      <c r="C3413" s="179" t="s">
        <v>7696</v>
      </c>
    </row>
    <row r="3414" spans="1:3">
      <c r="A3414" s="177">
        <v>951400187</v>
      </c>
      <c r="B3414" s="116" t="str">
        <f t="shared" si="53"/>
        <v>95-951400187</v>
      </c>
      <c r="C3414" s="179" t="s">
        <v>7697</v>
      </c>
    </row>
    <row r="3415" spans="1:3">
      <c r="A3415" s="177">
        <v>961800001</v>
      </c>
      <c r="B3415" s="116" t="str">
        <f t="shared" si="53"/>
        <v>96-961800001</v>
      </c>
      <c r="C3415" s="179" t="s">
        <v>7700</v>
      </c>
    </row>
    <row r="3416" spans="1:3">
      <c r="A3416" s="177">
        <v>961800055</v>
      </c>
      <c r="B3416" s="116" t="str">
        <f t="shared" si="53"/>
        <v>96-961800055</v>
      </c>
      <c r="C3416" s="179" t="s">
        <v>7135</v>
      </c>
    </row>
    <row r="3417" spans="1:3">
      <c r="A3417" s="177">
        <v>961800060</v>
      </c>
      <c r="B3417" s="116" t="str">
        <f t="shared" si="53"/>
        <v>96-961800060</v>
      </c>
      <c r="C3417" s="179" t="s">
        <v>7129</v>
      </c>
    </row>
    <row r="3418" spans="1:3">
      <c r="A3418" s="177">
        <v>952200001</v>
      </c>
      <c r="B3418" s="116" t="str">
        <f t="shared" si="53"/>
        <v>95-952200001</v>
      </c>
      <c r="C3418" s="179" t="s">
        <v>7227</v>
      </c>
    </row>
    <row r="3419" spans="1:3">
      <c r="A3419" s="177">
        <v>951700099</v>
      </c>
      <c r="B3419" s="116" t="str">
        <f t="shared" si="53"/>
        <v>95-951700099</v>
      </c>
      <c r="C3419" s="179" t="s">
        <v>7701</v>
      </c>
    </row>
    <row r="3420" spans="1:3">
      <c r="A3420" s="177">
        <v>951700103</v>
      </c>
      <c r="B3420" s="116" t="str">
        <f t="shared" si="53"/>
        <v>95-951700103</v>
      </c>
      <c r="C3420" s="179" t="s">
        <v>7702</v>
      </c>
    </row>
    <row r="3421" spans="1:3">
      <c r="A3421" s="177">
        <v>951700233</v>
      </c>
      <c r="B3421" s="116" t="str">
        <f t="shared" si="53"/>
        <v>95-951700233</v>
      </c>
      <c r="C3421" s="179" t="s">
        <v>7703</v>
      </c>
    </row>
    <row r="3422" spans="1:3">
      <c r="A3422" s="177">
        <v>951700260</v>
      </c>
      <c r="B3422" s="116" t="str">
        <f t="shared" si="53"/>
        <v>95-951700260</v>
      </c>
      <c r="C3422" s="179" t="s">
        <v>7703</v>
      </c>
    </row>
    <row r="3423" spans="1:3">
      <c r="A3423" s="177">
        <v>951400138</v>
      </c>
      <c r="B3423" s="116" t="str">
        <f t="shared" si="53"/>
        <v>95-951400138</v>
      </c>
      <c r="C3423" s="179" t="s">
        <v>7150</v>
      </c>
    </row>
    <row r="3424" spans="1:3">
      <c r="A3424" s="177">
        <v>951400169</v>
      </c>
      <c r="B3424" s="116" t="str">
        <f t="shared" si="53"/>
        <v>95-951400169</v>
      </c>
      <c r="C3424" s="179" t="s">
        <v>7704</v>
      </c>
    </row>
    <row r="3425" spans="1:3">
      <c r="A3425" s="177">
        <v>961400013</v>
      </c>
      <c r="B3425" s="116" t="str">
        <f t="shared" si="53"/>
        <v>96-961400013</v>
      </c>
      <c r="C3425" s="179" t="s">
        <v>7150</v>
      </c>
    </row>
    <row r="3426" spans="1:3">
      <c r="A3426" s="177">
        <v>961700092</v>
      </c>
      <c r="B3426" s="116" t="str">
        <f t="shared" si="53"/>
        <v>96-961700092</v>
      </c>
      <c r="C3426" s="179" t="s">
        <v>8130</v>
      </c>
    </row>
    <row r="3427" spans="1:3">
      <c r="A3427" s="177">
        <v>961700149</v>
      </c>
      <c r="B3427" s="116" t="str">
        <f t="shared" si="53"/>
        <v>96-961700149</v>
      </c>
      <c r="C3427" s="179" t="s">
        <v>12276</v>
      </c>
    </row>
    <row r="3428" spans="1:3">
      <c r="A3428" s="177">
        <v>961200049</v>
      </c>
      <c r="B3428" s="116" t="str">
        <f t="shared" si="53"/>
        <v>96-961200049</v>
      </c>
      <c r="C3428" s="179" t="s">
        <v>7404</v>
      </c>
    </row>
    <row r="3429" spans="1:3">
      <c r="A3429" s="177">
        <v>961200059</v>
      </c>
      <c r="B3429" s="116" t="str">
        <f t="shared" si="53"/>
        <v>96-961200059</v>
      </c>
      <c r="C3429" s="179" t="s">
        <v>7404</v>
      </c>
    </row>
    <row r="3430" spans="1:3">
      <c r="A3430" s="177">
        <v>961200077</v>
      </c>
      <c r="B3430" s="116" t="str">
        <f t="shared" si="53"/>
        <v>96-961200077</v>
      </c>
      <c r="C3430" s="179" t="s">
        <v>7117</v>
      </c>
    </row>
    <row r="3431" spans="1:3">
      <c r="A3431" s="177">
        <v>961200082</v>
      </c>
      <c r="B3431" s="116" t="str">
        <f t="shared" si="53"/>
        <v>96-961200082</v>
      </c>
      <c r="C3431" s="179" t="s">
        <v>9782</v>
      </c>
    </row>
    <row r="3432" spans="1:3">
      <c r="A3432" s="177">
        <v>961200150</v>
      </c>
      <c r="B3432" s="116" t="str">
        <f t="shared" si="53"/>
        <v>96-961200150</v>
      </c>
      <c r="C3432" s="179" t="s">
        <v>12231</v>
      </c>
    </row>
    <row r="3433" spans="1:3">
      <c r="A3433" s="177">
        <v>952200003</v>
      </c>
      <c r="B3433" s="116" t="str">
        <f t="shared" si="53"/>
        <v>95-952200003</v>
      </c>
      <c r="C3433" s="179" t="s">
        <v>7227</v>
      </c>
    </row>
    <row r="3434" spans="1:3">
      <c r="A3434" s="177">
        <v>952200008</v>
      </c>
      <c r="B3434" s="116" t="str">
        <f t="shared" si="53"/>
        <v>95-952200008</v>
      </c>
      <c r="C3434" s="179" t="s">
        <v>7131</v>
      </c>
    </row>
    <row r="3435" spans="1:3">
      <c r="A3435" s="177">
        <v>952200022</v>
      </c>
      <c r="B3435" s="116" t="str">
        <f t="shared" si="53"/>
        <v>95-952200022</v>
      </c>
      <c r="C3435" s="179" t="s">
        <v>7174</v>
      </c>
    </row>
    <row r="3436" spans="1:3">
      <c r="A3436" s="177">
        <v>952200050</v>
      </c>
      <c r="B3436" s="116" t="str">
        <f t="shared" si="53"/>
        <v>95-952200050</v>
      </c>
      <c r="C3436" s="179" t="s">
        <v>7561</v>
      </c>
    </row>
    <row r="3437" spans="1:3">
      <c r="A3437" s="177">
        <v>952200059</v>
      </c>
      <c r="B3437" s="116" t="str">
        <f t="shared" si="53"/>
        <v>95-952200059</v>
      </c>
      <c r="C3437" s="179" t="s">
        <v>7243</v>
      </c>
    </row>
    <row r="3438" spans="1:3">
      <c r="A3438" s="177">
        <v>952200064</v>
      </c>
      <c r="B3438" s="116" t="str">
        <f t="shared" si="53"/>
        <v>95-952200064</v>
      </c>
      <c r="C3438" s="179" t="s">
        <v>7451</v>
      </c>
    </row>
    <row r="3439" spans="1:3">
      <c r="A3439" s="177">
        <v>952200079</v>
      </c>
      <c r="B3439" s="116" t="str">
        <f t="shared" si="53"/>
        <v>95-952200079</v>
      </c>
      <c r="C3439" s="179" t="s">
        <v>7236</v>
      </c>
    </row>
    <row r="3440" spans="1:3">
      <c r="A3440" s="177">
        <v>962200001</v>
      </c>
      <c r="B3440" s="116" t="str">
        <f t="shared" si="53"/>
        <v>96-962200001</v>
      </c>
      <c r="C3440" s="179" t="s">
        <v>7239</v>
      </c>
    </row>
    <row r="3441" spans="1:3">
      <c r="A3441" s="177">
        <v>962200006</v>
      </c>
      <c r="B3441" s="116" t="str">
        <f t="shared" si="53"/>
        <v>96-962200006</v>
      </c>
      <c r="C3441" s="179" t="s">
        <v>7239</v>
      </c>
    </row>
    <row r="3442" spans="1:3">
      <c r="A3442" s="177">
        <v>962200007</v>
      </c>
      <c r="B3442" s="116" t="str">
        <f t="shared" si="53"/>
        <v>96-962200007</v>
      </c>
      <c r="C3442" s="179" t="s">
        <v>7236</v>
      </c>
    </row>
    <row r="3443" spans="1:3">
      <c r="A3443" s="177">
        <v>962200014</v>
      </c>
      <c r="B3443" s="116" t="str">
        <f t="shared" si="53"/>
        <v>96-962200014</v>
      </c>
      <c r="C3443" s="179" t="s">
        <v>7484</v>
      </c>
    </row>
    <row r="3444" spans="1:3">
      <c r="A3444" s="177">
        <v>962200023</v>
      </c>
      <c r="B3444" s="116" t="str">
        <f t="shared" si="53"/>
        <v>96-962200023</v>
      </c>
      <c r="C3444" s="179" t="s">
        <v>7230</v>
      </c>
    </row>
    <row r="3445" spans="1:3">
      <c r="A3445" s="177">
        <v>962200028</v>
      </c>
      <c r="B3445" s="116" t="str">
        <f t="shared" si="53"/>
        <v>96-962200028</v>
      </c>
      <c r="C3445" s="179" t="s">
        <v>7230</v>
      </c>
    </row>
    <row r="3446" spans="1:3">
      <c r="A3446" s="177">
        <v>962200049</v>
      </c>
      <c r="B3446" s="116" t="str">
        <f t="shared" si="53"/>
        <v>96-962200049</v>
      </c>
      <c r="C3446" s="179" t="s">
        <v>7452</v>
      </c>
    </row>
    <row r="3447" spans="1:3">
      <c r="A3447" s="177">
        <v>962200051</v>
      </c>
      <c r="B3447" s="116" t="str">
        <f t="shared" si="53"/>
        <v>96-962200051</v>
      </c>
      <c r="C3447" s="179" t="s">
        <v>7173</v>
      </c>
    </row>
    <row r="3448" spans="1:3">
      <c r="A3448" s="177">
        <v>962200060</v>
      </c>
      <c r="B3448" s="116" t="str">
        <f t="shared" si="53"/>
        <v>96-962200060</v>
      </c>
      <c r="C3448" s="179" t="s">
        <v>7452</v>
      </c>
    </row>
    <row r="3449" spans="1:3">
      <c r="A3449" s="177">
        <v>952200004</v>
      </c>
      <c r="B3449" s="116" t="str">
        <f t="shared" si="53"/>
        <v>95-952200004</v>
      </c>
      <c r="C3449" s="179" t="s">
        <v>7227</v>
      </c>
    </row>
    <row r="3450" spans="1:3">
      <c r="A3450" s="177">
        <v>952200005</v>
      </c>
      <c r="B3450" s="116" t="str">
        <f t="shared" si="53"/>
        <v>95-952200005</v>
      </c>
      <c r="C3450" s="179" t="s">
        <v>7131</v>
      </c>
    </row>
    <row r="3451" spans="1:3">
      <c r="A3451" s="177">
        <v>952200040</v>
      </c>
      <c r="B3451" s="116" t="str">
        <f t="shared" si="53"/>
        <v>95-952200040</v>
      </c>
      <c r="C3451" s="179" t="s">
        <v>7126</v>
      </c>
    </row>
    <row r="3452" spans="1:3">
      <c r="A3452" s="177">
        <v>952200042</v>
      </c>
      <c r="B3452" s="116" t="str">
        <f t="shared" si="53"/>
        <v>95-952200042</v>
      </c>
      <c r="C3452" s="179" t="s">
        <v>7126</v>
      </c>
    </row>
    <row r="3453" spans="1:3">
      <c r="A3453" s="177">
        <v>952200045</v>
      </c>
      <c r="B3453" s="116" t="str">
        <f t="shared" si="53"/>
        <v>95-952200045</v>
      </c>
      <c r="C3453" s="179" t="s">
        <v>7174</v>
      </c>
    </row>
    <row r="3454" spans="1:3">
      <c r="A3454" s="177">
        <v>952200046</v>
      </c>
      <c r="B3454" s="116" t="str">
        <f t="shared" si="53"/>
        <v>95-952200046</v>
      </c>
      <c r="C3454" s="179" t="s">
        <v>7174</v>
      </c>
    </row>
    <row r="3455" spans="1:3">
      <c r="A3455" s="177">
        <v>952200066</v>
      </c>
      <c r="B3455" s="116" t="str">
        <f t="shared" si="53"/>
        <v>95-952200066</v>
      </c>
      <c r="C3455" s="179" t="s">
        <v>7451</v>
      </c>
    </row>
    <row r="3456" spans="1:3">
      <c r="A3456" s="177">
        <v>962200022</v>
      </c>
      <c r="B3456" s="116" t="str">
        <f t="shared" si="53"/>
        <v>96-962200022</v>
      </c>
      <c r="C3456" s="179" t="s">
        <v>7230</v>
      </c>
    </row>
    <row r="3457" spans="1:3">
      <c r="A3457" s="177">
        <v>962200058</v>
      </c>
      <c r="B3457" s="116" t="str">
        <f t="shared" si="53"/>
        <v>96-962200058</v>
      </c>
      <c r="C3457" s="179" t="s">
        <v>7450</v>
      </c>
    </row>
    <row r="3458" spans="1:3">
      <c r="A3458" s="177">
        <v>962200069</v>
      </c>
      <c r="B3458" s="116" t="str">
        <f t="shared" si="53"/>
        <v>96-962200069</v>
      </c>
      <c r="C3458" s="179" t="s">
        <v>7450</v>
      </c>
    </row>
    <row r="3459" spans="1:3">
      <c r="A3459" s="177">
        <v>962200088</v>
      </c>
      <c r="B3459" s="116" t="str">
        <f t="shared" ref="B3459:B3522" si="54">MID(A3459,1,2)&amp;"-"&amp;A3459</f>
        <v>96-962200088</v>
      </c>
      <c r="C3459" s="179" t="s">
        <v>9765</v>
      </c>
    </row>
    <row r="3460" spans="1:3">
      <c r="A3460" s="177">
        <v>962200094</v>
      </c>
      <c r="B3460" s="116" t="str">
        <f t="shared" si="54"/>
        <v>96-962200094</v>
      </c>
      <c r="C3460" s="179" t="s">
        <v>9765</v>
      </c>
    </row>
    <row r="3461" spans="1:3">
      <c r="A3461" s="177">
        <v>951900090</v>
      </c>
      <c r="B3461" s="116" t="str">
        <f t="shared" si="54"/>
        <v>95-951900090</v>
      </c>
      <c r="C3461" s="179" t="s">
        <v>7710</v>
      </c>
    </row>
    <row r="3462" spans="1:3">
      <c r="A3462" s="177">
        <v>962200071</v>
      </c>
      <c r="B3462" s="116" t="str">
        <f t="shared" si="54"/>
        <v>96-962200071</v>
      </c>
      <c r="C3462" s="179" t="s">
        <v>7244</v>
      </c>
    </row>
    <row r="3463" spans="1:3">
      <c r="A3463" s="177">
        <v>962200080</v>
      </c>
      <c r="B3463" s="116" t="str">
        <f t="shared" si="54"/>
        <v>96-962200080</v>
      </c>
      <c r="C3463" s="179" t="s">
        <v>7450</v>
      </c>
    </row>
    <row r="3464" spans="1:3">
      <c r="A3464" s="177">
        <v>951700011</v>
      </c>
      <c r="B3464" s="116" t="str">
        <f t="shared" si="54"/>
        <v>95-951700011</v>
      </c>
      <c r="C3464" s="179" t="s">
        <v>7517</v>
      </c>
    </row>
    <row r="3465" spans="1:3">
      <c r="A3465" s="177">
        <v>951700014</v>
      </c>
      <c r="B3465" s="116" t="str">
        <f t="shared" si="54"/>
        <v>95-951700014</v>
      </c>
      <c r="C3465" s="179" t="s">
        <v>7517</v>
      </c>
    </row>
    <row r="3466" spans="1:3">
      <c r="A3466" s="177">
        <v>951700068</v>
      </c>
      <c r="B3466" s="116" t="str">
        <f t="shared" si="54"/>
        <v>95-951700068</v>
      </c>
      <c r="C3466" s="179" t="s">
        <v>7518</v>
      </c>
    </row>
    <row r="3467" spans="1:3">
      <c r="A3467" s="177">
        <v>951700077</v>
      </c>
      <c r="B3467" s="116" t="str">
        <f t="shared" si="54"/>
        <v>95-951700077</v>
      </c>
      <c r="C3467" s="179" t="s">
        <v>7724</v>
      </c>
    </row>
    <row r="3468" spans="1:3">
      <c r="A3468" s="177">
        <v>951700118</v>
      </c>
      <c r="B3468" s="116" t="str">
        <f t="shared" si="54"/>
        <v>95-951700118</v>
      </c>
      <c r="C3468" s="179" t="s">
        <v>7525</v>
      </c>
    </row>
    <row r="3469" spans="1:3">
      <c r="A3469" s="177">
        <v>951700123</v>
      </c>
      <c r="B3469" s="116" t="str">
        <f t="shared" si="54"/>
        <v>95-951700123</v>
      </c>
      <c r="C3469" s="179" t="s">
        <v>7525</v>
      </c>
    </row>
    <row r="3470" spans="1:3">
      <c r="A3470" s="177">
        <v>951700173</v>
      </c>
      <c r="B3470" s="116" t="str">
        <f t="shared" si="54"/>
        <v>95-951700173</v>
      </c>
      <c r="C3470" s="179" t="s">
        <v>7527</v>
      </c>
    </row>
    <row r="3471" spans="1:3">
      <c r="A3471" s="177">
        <v>951400072</v>
      </c>
      <c r="B3471" s="116" t="str">
        <f t="shared" si="54"/>
        <v>95-951400072</v>
      </c>
      <c r="C3471" s="179" t="s">
        <v>7185</v>
      </c>
    </row>
    <row r="3472" spans="1:3">
      <c r="A3472" s="177">
        <v>951700246</v>
      </c>
      <c r="B3472" s="116" t="str">
        <f t="shared" si="54"/>
        <v>95-951700246</v>
      </c>
      <c r="C3472" s="179" t="s">
        <v>7525</v>
      </c>
    </row>
    <row r="3473" spans="1:3">
      <c r="A3473" s="177">
        <v>961800052</v>
      </c>
      <c r="B3473" s="116" t="str">
        <f t="shared" si="54"/>
        <v>96-961800052</v>
      </c>
      <c r="C3473" s="179" t="s">
        <v>7532</v>
      </c>
    </row>
    <row r="3474" spans="1:3">
      <c r="A3474" s="177">
        <v>951100174</v>
      </c>
      <c r="B3474" s="116" t="str">
        <f t="shared" si="54"/>
        <v>95-951100174</v>
      </c>
      <c r="C3474" s="179" t="s">
        <v>8037</v>
      </c>
    </row>
    <row r="3475" spans="1:3">
      <c r="A3475" s="177">
        <v>952500001</v>
      </c>
      <c r="B3475" s="116" t="str">
        <f t="shared" si="54"/>
        <v>95-952500001</v>
      </c>
      <c r="C3475" s="179" t="s">
        <v>5605</v>
      </c>
    </row>
    <row r="3476" spans="1:3">
      <c r="A3476" s="177">
        <v>951600091</v>
      </c>
      <c r="B3476" s="116" t="str">
        <f t="shared" si="54"/>
        <v>95-951600091</v>
      </c>
      <c r="C3476" s="179" t="s">
        <v>7737</v>
      </c>
    </row>
    <row r="3477" spans="1:3">
      <c r="A3477" s="177">
        <v>951600077</v>
      </c>
      <c r="B3477" s="116" t="str">
        <f t="shared" si="54"/>
        <v>95-951600077</v>
      </c>
      <c r="C3477" s="179" t="s">
        <v>7738</v>
      </c>
    </row>
    <row r="3478" spans="1:3">
      <c r="A3478" s="177">
        <v>961600001</v>
      </c>
      <c r="B3478" s="116" t="str">
        <f t="shared" si="54"/>
        <v>96-961600001</v>
      </c>
      <c r="C3478" s="179" t="s">
        <v>7598</v>
      </c>
    </row>
    <row r="3479" spans="1:3">
      <c r="A3479" s="177">
        <v>951700044</v>
      </c>
      <c r="B3479" s="116" t="str">
        <f t="shared" si="54"/>
        <v>95-951700044</v>
      </c>
      <c r="C3479" s="179" t="s">
        <v>7739</v>
      </c>
    </row>
    <row r="3480" spans="1:3">
      <c r="A3480" s="177">
        <v>951700114</v>
      </c>
      <c r="B3480" s="116" t="str">
        <f t="shared" si="54"/>
        <v>95-951700114</v>
      </c>
      <c r="C3480" s="179" t="s">
        <v>7739</v>
      </c>
    </row>
    <row r="3481" spans="1:3">
      <c r="A3481" s="177">
        <v>951900001</v>
      </c>
      <c r="B3481" s="116" t="str">
        <f t="shared" si="54"/>
        <v>95-951900001</v>
      </c>
      <c r="C3481" s="179" t="s">
        <v>7740</v>
      </c>
    </row>
    <row r="3482" spans="1:3">
      <c r="A3482" s="177">
        <v>951900104</v>
      </c>
      <c r="B3482" s="116" t="str">
        <f t="shared" si="54"/>
        <v>95-951900104</v>
      </c>
      <c r="C3482" s="179" t="s">
        <v>7741</v>
      </c>
    </row>
    <row r="3483" spans="1:3">
      <c r="A3483" s="177">
        <v>951700170</v>
      </c>
      <c r="B3483" s="116" t="str">
        <f t="shared" si="54"/>
        <v>95-951700170</v>
      </c>
      <c r="C3483" s="179" t="s">
        <v>7742</v>
      </c>
    </row>
    <row r="3484" spans="1:3">
      <c r="A3484" s="177">
        <v>951100118</v>
      </c>
      <c r="B3484" s="116" t="str">
        <f t="shared" si="54"/>
        <v>95-951100118</v>
      </c>
      <c r="C3484" s="179" t="s">
        <v>8038</v>
      </c>
    </row>
    <row r="3485" spans="1:3">
      <c r="A3485" s="177">
        <v>952500002</v>
      </c>
      <c r="B3485" s="116" t="str">
        <f t="shared" si="54"/>
        <v>95-952500002</v>
      </c>
      <c r="C3485" s="179" t="s">
        <v>5605</v>
      </c>
    </row>
    <row r="3486" spans="1:3">
      <c r="A3486" s="177">
        <v>952500008</v>
      </c>
      <c r="B3486" s="116" t="str">
        <f t="shared" si="54"/>
        <v>95-952500008</v>
      </c>
      <c r="C3486" s="179" t="s">
        <v>5618</v>
      </c>
    </row>
    <row r="3487" spans="1:3">
      <c r="A3487" s="177">
        <v>952500009</v>
      </c>
      <c r="B3487" s="116" t="str">
        <f t="shared" si="54"/>
        <v>95-952500009</v>
      </c>
      <c r="C3487" s="179" t="s">
        <v>5618</v>
      </c>
    </row>
    <row r="3488" spans="1:3">
      <c r="A3488" s="177">
        <v>952500010</v>
      </c>
      <c r="B3488" s="116" t="str">
        <f t="shared" si="54"/>
        <v>95-952500010</v>
      </c>
      <c r="C3488" s="179" t="s">
        <v>5613</v>
      </c>
    </row>
    <row r="3489" spans="1:3">
      <c r="A3489" s="177">
        <v>952500019</v>
      </c>
      <c r="B3489" s="116" t="str">
        <f t="shared" si="54"/>
        <v>95-952500019</v>
      </c>
      <c r="C3489" s="179" t="s">
        <v>5618</v>
      </c>
    </row>
    <row r="3490" spans="1:3">
      <c r="A3490" s="177">
        <v>956200001</v>
      </c>
      <c r="B3490" s="116" t="str">
        <f t="shared" si="54"/>
        <v>95-956200001</v>
      </c>
      <c r="C3490" s="179" t="s">
        <v>7267</v>
      </c>
    </row>
    <row r="3491" spans="1:3">
      <c r="A3491" s="177">
        <v>951700216</v>
      </c>
      <c r="B3491" s="116" t="str">
        <f t="shared" si="54"/>
        <v>95-951700216</v>
      </c>
      <c r="C3491" s="179" t="s">
        <v>7651</v>
      </c>
    </row>
    <row r="3492" spans="1:3">
      <c r="A3492" s="177">
        <v>951700217</v>
      </c>
      <c r="B3492" s="116" t="str">
        <f t="shared" si="54"/>
        <v>95-951700217</v>
      </c>
      <c r="C3492" s="179" t="s">
        <v>7651</v>
      </c>
    </row>
    <row r="3493" spans="1:3">
      <c r="A3493" s="177">
        <v>951700238</v>
      </c>
      <c r="B3493" s="116" t="str">
        <f t="shared" si="54"/>
        <v>95-951700238</v>
      </c>
      <c r="C3493" s="179" t="s">
        <v>7539</v>
      </c>
    </row>
    <row r="3494" spans="1:3">
      <c r="A3494" s="177">
        <v>951700252</v>
      </c>
      <c r="B3494" s="116" t="str">
        <f t="shared" si="54"/>
        <v>95-951700252</v>
      </c>
      <c r="C3494" s="179" t="s">
        <v>7743</v>
      </c>
    </row>
    <row r="3495" spans="1:3">
      <c r="A3495" s="177">
        <v>961700002</v>
      </c>
      <c r="B3495" s="116" t="str">
        <f t="shared" si="54"/>
        <v>96-961700002</v>
      </c>
      <c r="C3495" s="179" t="s">
        <v>7540</v>
      </c>
    </row>
    <row r="3496" spans="1:3">
      <c r="A3496" s="177">
        <v>961700003</v>
      </c>
      <c r="B3496" s="116" t="str">
        <f t="shared" si="54"/>
        <v>96-961700003</v>
      </c>
      <c r="C3496" s="179" t="s">
        <v>7540</v>
      </c>
    </row>
    <row r="3497" spans="1:3">
      <c r="A3497" s="177">
        <v>961700013</v>
      </c>
      <c r="B3497" s="116" t="str">
        <f t="shared" si="54"/>
        <v>96-961700013</v>
      </c>
      <c r="C3497" s="179" t="s">
        <v>7744</v>
      </c>
    </row>
    <row r="3498" spans="1:3">
      <c r="A3498" s="177">
        <v>951900210</v>
      </c>
      <c r="B3498" s="116" t="str">
        <f t="shared" si="54"/>
        <v>95-951900210</v>
      </c>
      <c r="C3498" s="179" t="s">
        <v>7657</v>
      </c>
    </row>
    <row r="3499" spans="1:3">
      <c r="A3499" s="177">
        <v>951800096</v>
      </c>
      <c r="B3499" s="116" t="str">
        <f t="shared" si="54"/>
        <v>95-951800096</v>
      </c>
      <c r="C3499" s="179" t="s">
        <v>7746</v>
      </c>
    </row>
    <row r="3500" spans="1:3">
      <c r="A3500" s="177">
        <v>951800114</v>
      </c>
      <c r="B3500" s="116" t="str">
        <f t="shared" si="54"/>
        <v>95-951800114</v>
      </c>
      <c r="C3500" s="179" t="s">
        <v>7658</v>
      </c>
    </row>
    <row r="3501" spans="1:3">
      <c r="A3501" s="177">
        <v>961800043</v>
      </c>
      <c r="B3501" s="116" t="str">
        <f t="shared" si="54"/>
        <v>96-961800043</v>
      </c>
      <c r="C3501" s="179" t="s">
        <v>7747</v>
      </c>
    </row>
    <row r="3502" spans="1:3">
      <c r="A3502" s="177">
        <v>952500004</v>
      </c>
      <c r="B3502" s="116" t="str">
        <f t="shared" si="54"/>
        <v>95-952500004</v>
      </c>
      <c r="C3502" s="179" t="s">
        <v>5605</v>
      </c>
    </row>
    <row r="3503" spans="1:3">
      <c r="A3503" s="177">
        <v>952500007</v>
      </c>
      <c r="B3503" s="116" t="str">
        <f t="shared" si="54"/>
        <v>95-952500007</v>
      </c>
      <c r="C3503" s="179" t="s">
        <v>5618</v>
      </c>
    </row>
    <row r="3504" spans="1:3">
      <c r="A3504" s="177">
        <v>952500011</v>
      </c>
      <c r="B3504" s="116" t="str">
        <f t="shared" si="54"/>
        <v>95-952500011</v>
      </c>
      <c r="C3504" s="179" t="s">
        <v>5613</v>
      </c>
    </row>
    <row r="3505" spans="1:3">
      <c r="A3505" s="177">
        <v>952500012</v>
      </c>
      <c r="B3505" s="116" t="str">
        <f t="shared" si="54"/>
        <v>95-952500012</v>
      </c>
      <c r="C3505" s="179" t="s">
        <v>5618</v>
      </c>
    </row>
    <row r="3506" spans="1:3">
      <c r="A3506" s="177">
        <v>952500013</v>
      </c>
      <c r="B3506" s="116" t="str">
        <f t="shared" si="54"/>
        <v>95-952500013</v>
      </c>
      <c r="C3506" s="179" t="s">
        <v>5613</v>
      </c>
    </row>
    <row r="3507" spans="1:3">
      <c r="A3507" s="177">
        <v>952500014</v>
      </c>
      <c r="B3507" s="116" t="str">
        <f t="shared" si="54"/>
        <v>95-952500014</v>
      </c>
      <c r="C3507" s="179" t="s">
        <v>5618</v>
      </c>
    </row>
    <row r="3508" spans="1:3">
      <c r="A3508" s="177">
        <v>952500016</v>
      </c>
      <c r="B3508" s="116" t="str">
        <f t="shared" si="54"/>
        <v>95-952500016</v>
      </c>
      <c r="C3508" s="179" t="s">
        <v>5618</v>
      </c>
    </row>
    <row r="3509" spans="1:3">
      <c r="A3509" s="177">
        <v>952500038</v>
      </c>
      <c r="B3509" s="116" t="str">
        <f t="shared" si="54"/>
        <v>95-952500038</v>
      </c>
      <c r="C3509" s="179" t="s">
        <v>5675</v>
      </c>
    </row>
    <row r="3510" spans="1:3">
      <c r="A3510" s="177">
        <v>952500061</v>
      </c>
      <c r="B3510" s="116" t="str">
        <f t="shared" si="54"/>
        <v>95-952500061</v>
      </c>
      <c r="C3510" s="179" t="s">
        <v>5675</v>
      </c>
    </row>
    <row r="3511" spans="1:3">
      <c r="A3511" s="177">
        <v>952500085</v>
      </c>
      <c r="B3511" s="116" t="str">
        <f t="shared" si="54"/>
        <v>95-952500085</v>
      </c>
      <c r="C3511" s="179" t="s">
        <v>5733</v>
      </c>
    </row>
    <row r="3512" spans="1:3">
      <c r="A3512" s="177">
        <v>952500093</v>
      </c>
      <c r="B3512" s="116" t="str">
        <f t="shared" si="54"/>
        <v>95-952500093</v>
      </c>
      <c r="C3512" s="179" t="s">
        <v>5733</v>
      </c>
    </row>
    <row r="3513" spans="1:3">
      <c r="A3513" s="177">
        <v>952500105</v>
      </c>
      <c r="B3513" s="116" t="str">
        <f t="shared" si="54"/>
        <v>95-952500105</v>
      </c>
      <c r="C3513" s="179" t="s">
        <v>5752</v>
      </c>
    </row>
    <row r="3514" spans="1:3">
      <c r="A3514" s="177">
        <v>962500001</v>
      </c>
      <c r="B3514" s="116" t="str">
        <f t="shared" si="54"/>
        <v>96-962500001</v>
      </c>
      <c r="C3514" s="179" t="s">
        <v>5752</v>
      </c>
    </row>
    <row r="3515" spans="1:3">
      <c r="A3515" s="177">
        <v>962500049</v>
      </c>
      <c r="B3515" s="116" t="str">
        <f t="shared" si="54"/>
        <v>96-962500049</v>
      </c>
      <c r="C3515" s="179" t="s">
        <v>5814</v>
      </c>
    </row>
    <row r="3516" spans="1:3">
      <c r="A3516" s="177">
        <v>962500053</v>
      </c>
      <c r="B3516" s="116" t="str">
        <f t="shared" si="54"/>
        <v>96-962500053</v>
      </c>
      <c r="C3516" s="179" t="s">
        <v>5814</v>
      </c>
    </row>
    <row r="3517" spans="1:3">
      <c r="A3517" s="177">
        <v>962500101</v>
      </c>
      <c r="B3517" s="116" t="str">
        <f t="shared" si="54"/>
        <v>96-962500101</v>
      </c>
      <c r="C3517" s="179" t="s">
        <v>7231</v>
      </c>
    </row>
    <row r="3518" spans="1:3">
      <c r="A3518" s="177">
        <v>952500033</v>
      </c>
      <c r="B3518" s="116" t="str">
        <f t="shared" si="54"/>
        <v>95-952500033</v>
      </c>
      <c r="C3518" s="179" t="s">
        <v>5618</v>
      </c>
    </row>
    <row r="3519" spans="1:3">
      <c r="A3519" s="177">
        <v>952500051</v>
      </c>
      <c r="B3519" s="116" t="str">
        <f t="shared" si="54"/>
        <v>95-952500051</v>
      </c>
      <c r="C3519" s="179" t="s">
        <v>5675</v>
      </c>
    </row>
    <row r="3520" spans="1:3">
      <c r="A3520" s="177">
        <v>952500059</v>
      </c>
      <c r="B3520" s="116" t="str">
        <f t="shared" si="54"/>
        <v>95-952500059</v>
      </c>
      <c r="C3520" s="179" t="s">
        <v>5675</v>
      </c>
    </row>
    <row r="3521" spans="1:3">
      <c r="A3521" s="177">
        <v>962500006</v>
      </c>
      <c r="B3521" s="116" t="str">
        <f t="shared" si="54"/>
        <v>96-962500006</v>
      </c>
      <c r="C3521" s="179" t="s">
        <v>5758</v>
      </c>
    </row>
    <row r="3522" spans="1:3">
      <c r="A3522" s="177">
        <v>962500042</v>
      </c>
      <c r="B3522" s="116" t="str">
        <f t="shared" si="54"/>
        <v>96-962500042</v>
      </c>
      <c r="C3522" s="179" t="s">
        <v>5814</v>
      </c>
    </row>
    <row r="3523" spans="1:3">
      <c r="A3523" s="177">
        <v>962500082</v>
      </c>
      <c r="B3523" s="116" t="str">
        <f t="shared" ref="B3523:B3586" si="55">MID(A3523,1,2)&amp;"-"&amp;A3523</f>
        <v>96-962500082</v>
      </c>
      <c r="C3523" s="179" t="s">
        <v>7231</v>
      </c>
    </row>
    <row r="3524" spans="1:3">
      <c r="A3524" s="177">
        <v>962500087</v>
      </c>
      <c r="B3524" s="116" t="str">
        <f t="shared" si="55"/>
        <v>96-962500087</v>
      </c>
      <c r="C3524" s="179" t="s">
        <v>7231</v>
      </c>
    </row>
    <row r="3525" spans="1:3">
      <c r="A3525" s="177">
        <v>962500121</v>
      </c>
      <c r="B3525" s="116" t="str">
        <f t="shared" si="55"/>
        <v>96-962500121</v>
      </c>
      <c r="C3525" s="179" t="s">
        <v>7175</v>
      </c>
    </row>
    <row r="3526" spans="1:3">
      <c r="A3526" s="177">
        <v>962500137</v>
      </c>
      <c r="B3526" s="116" t="str">
        <f t="shared" si="55"/>
        <v>96-962500137</v>
      </c>
      <c r="C3526" s="179" t="s">
        <v>9783</v>
      </c>
    </row>
    <row r="3527" spans="1:3">
      <c r="A3527" s="177">
        <v>962500182</v>
      </c>
      <c r="B3527" s="116" t="str">
        <f t="shared" si="55"/>
        <v>96-962500182</v>
      </c>
      <c r="C3527" s="179" t="s">
        <v>9763</v>
      </c>
    </row>
    <row r="3528" spans="1:3">
      <c r="A3528" s="177">
        <v>962500196</v>
      </c>
      <c r="B3528" s="116" t="str">
        <f t="shared" si="55"/>
        <v>96-962500196</v>
      </c>
      <c r="C3528" s="179" t="s">
        <v>12260</v>
      </c>
    </row>
    <row r="3529" spans="1:3">
      <c r="A3529" s="177">
        <v>962500097</v>
      </c>
      <c r="B3529" s="116" t="str">
        <f t="shared" si="55"/>
        <v>96-962500097</v>
      </c>
      <c r="C3529" s="179" t="s">
        <v>7603</v>
      </c>
    </row>
    <row r="3530" spans="1:3">
      <c r="A3530" s="177">
        <v>952500062</v>
      </c>
      <c r="B3530" s="116" t="str">
        <f t="shared" si="55"/>
        <v>95-952500062</v>
      </c>
      <c r="C3530" s="179" t="s">
        <v>5706</v>
      </c>
    </row>
    <row r="3531" spans="1:3">
      <c r="A3531" s="177">
        <v>962500069</v>
      </c>
      <c r="B3531" s="116" t="str">
        <f t="shared" si="55"/>
        <v>96-962500069</v>
      </c>
      <c r="C3531" s="179" t="s">
        <v>5842</v>
      </c>
    </row>
    <row r="3532" spans="1:3">
      <c r="A3532" s="177">
        <v>962500108</v>
      </c>
      <c r="B3532" s="116" t="str">
        <f t="shared" si="55"/>
        <v>96-962500108</v>
      </c>
      <c r="C3532" s="179" t="s">
        <v>7145</v>
      </c>
    </row>
    <row r="3533" spans="1:3">
      <c r="A3533" s="177">
        <v>962500122</v>
      </c>
      <c r="B3533" s="116" t="str">
        <f t="shared" si="55"/>
        <v>96-962500122</v>
      </c>
      <c r="C3533" s="179" t="s">
        <v>7145</v>
      </c>
    </row>
    <row r="3534" spans="1:3">
      <c r="A3534" s="177">
        <v>951800011</v>
      </c>
      <c r="B3534" s="116" t="str">
        <f t="shared" si="55"/>
        <v>95-951800011</v>
      </c>
      <c r="C3534" s="179" t="s">
        <v>7751</v>
      </c>
    </row>
    <row r="3535" spans="1:3">
      <c r="A3535" s="177">
        <v>961900007</v>
      </c>
      <c r="B3535" s="116" t="str">
        <f t="shared" si="55"/>
        <v>96-961900007</v>
      </c>
      <c r="C3535" s="179" t="s">
        <v>7752</v>
      </c>
    </row>
    <row r="3536" spans="1:3">
      <c r="A3536" s="177">
        <v>961800008</v>
      </c>
      <c r="B3536" s="116" t="str">
        <f t="shared" si="55"/>
        <v>96-961800008</v>
      </c>
      <c r="C3536" s="179" t="s">
        <v>7753</v>
      </c>
    </row>
    <row r="3537" spans="1:3">
      <c r="A3537" s="177">
        <v>961800069</v>
      </c>
      <c r="B3537" s="116" t="str">
        <f t="shared" si="55"/>
        <v>96-961800069</v>
      </c>
      <c r="C3537" s="179" t="s">
        <v>8705</v>
      </c>
    </row>
    <row r="3538" spans="1:3">
      <c r="A3538" s="177">
        <v>961700102</v>
      </c>
      <c r="B3538" s="116" t="str">
        <f t="shared" si="55"/>
        <v>96-961700102</v>
      </c>
      <c r="C3538" s="179" t="s">
        <v>7553</v>
      </c>
    </row>
    <row r="3539" spans="1:3">
      <c r="A3539" s="177">
        <v>962500126</v>
      </c>
      <c r="B3539" s="116" t="str">
        <f t="shared" si="55"/>
        <v>96-962500126</v>
      </c>
      <c r="C3539" s="179" t="s">
        <v>7175</v>
      </c>
    </row>
    <row r="3540" spans="1:3">
      <c r="A3540" s="177">
        <v>962500142</v>
      </c>
      <c r="B3540" s="116" t="str">
        <f t="shared" si="55"/>
        <v>96-962500142</v>
      </c>
      <c r="C3540" s="179" t="s">
        <v>8698</v>
      </c>
    </row>
    <row r="3541" spans="1:3">
      <c r="A3541" s="177">
        <v>962500157</v>
      </c>
      <c r="B3541" s="116" t="str">
        <f t="shared" si="55"/>
        <v>96-962500157</v>
      </c>
      <c r="C3541" s="179" t="s">
        <v>8698</v>
      </c>
    </row>
    <row r="3542" spans="1:3">
      <c r="A3542" s="177">
        <v>962500170</v>
      </c>
      <c r="B3542" s="116" t="str">
        <f t="shared" si="55"/>
        <v>96-962500170</v>
      </c>
      <c r="C3542" s="179" t="s">
        <v>9769</v>
      </c>
    </row>
    <row r="3543" spans="1:3">
      <c r="A3543" s="177">
        <v>962500183</v>
      </c>
      <c r="B3543" s="116" t="str">
        <f t="shared" si="55"/>
        <v>96-962500183</v>
      </c>
      <c r="C3543" s="179" t="s">
        <v>9763</v>
      </c>
    </row>
    <row r="3544" spans="1:3">
      <c r="A3544" s="177">
        <v>962500005</v>
      </c>
      <c r="B3544" s="116" t="str">
        <f t="shared" si="55"/>
        <v>96-962500005</v>
      </c>
      <c r="C3544" s="179" t="s">
        <v>5771</v>
      </c>
    </row>
    <row r="3545" spans="1:3">
      <c r="A3545" s="177">
        <v>962500128</v>
      </c>
      <c r="B3545" s="116" t="str">
        <f t="shared" si="55"/>
        <v>96-962500128</v>
      </c>
      <c r="C3545" s="179" t="s">
        <v>8748</v>
      </c>
    </row>
    <row r="3546" spans="1:3">
      <c r="A3546" s="177">
        <v>962500198</v>
      </c>
      <c r="B3546" s="116" t="str">
        <f t="shared" si="55"/>
        <v>96-962500198</v>
      </c>
      <c r="C3546" s="179" t="s">
        <v>12444</v>
      </c>
    </row>
    <row r="3547" spans="1:3">
      <c r="A3547" s="177">
        <v>952500034</v>
      </c>
      <c r="B3547" s="116" t="str">
        <f t="shared" si="55"/>
        <v>95-952500034</v>
      </c>
      <c r="C3547" s="179" t="s">
        <v>5650</v>
      </c>
    </row>
    <row r="3548" spans="1:3">
      <c r="A3548" s="177">
        <v>962500107</v>
      </c>
      <c r="B3548" s="116" t="str">
        <f t="shared" si="55"/>
        <v>96-962500107</v>
      </c>
      <c r="C3548" s="179" t="s">
        <v>8080</v>
      </c>
    </row>
    <row r="3549" spans="1:3">
      <c r="A3549" s="177">
        <v>962500071</v>
      </c>
      <c r="B3549" s="116" t="str">
        <f t="shared" si="55"/>
        <v>96-962500071</v>
      </c>
      <c r="C3549" s="179" t="s">
        <v>5858</v>
      </c>
    </row>
    <row r="3550" spans="1:3">
      <c r="A3550" s="177">
        <v>962500140</v>
      </c>
      <c r="B3550" s="116" t="str">
        <f t="shared" si="55"/>
        <v>96-962500140</v>
      </c>
      <c r="C3550" s="179" t="s">
        <v>5858</v>
      </c>
    </row>
    <row r="3551" spans="1:3">
      <c r="A3551" s="177">
        <v>962500159</v>
      </c>
      <c r="B3551" s="116" t="str">
        <f t="shared" si="55"/>
        <v>96-962500159</v>
      </c>
      <c r="C3551" s="179" t="s">
        <v>5858</v>
      </c>
    </row>
    <row r="3552" spans="1:3">
      <c r="A3552" s="177">
        <v>962500030</v>
      </c>
      <c r="B3552" s="116" t="str">
        <f t="shared" si="55"/>
        <v>96-962500030</v>
      </c>
      <c r="C3552" s="179" t="s">
        <v>5811</v>
      </c>
    </row>
    <row r="3553" spans="1:3">
      <c r="A3553" s="177">
        <v>962500012</v>
      </c>
      <c r="B3553" s="116" t="str">
        <f t="shared" si="55"/>
        <v>96-962500012</v>
      </c>
      <c r="C3553" s="179" t="s">
        <v>5780</v>
      </c>
    </row>
    <row r="3554" spans="1:3">
      <c r="A3554" s="177">
        <v>962500179</v>
      </c>
      <c r="B3554" s="116" t="str">
        <f t="shared" si="55"/>
        <v>96-962500179</v>
      </c>
      <c r="C3554" s="179" t="s">
        <v>7211</v>
      </c>
    </row>
    <row r="3555" spans="1:3">
      <c r="A3555" s="177">
        <v>962500184</v>
      </c>
      <c r="B3555" s="116" t="str">
        <f t="shared" si="55"/>
        <v>96-962500184</v>
      </c>
      <c r="C3555" s="179" t="s">
        <v>7211</v>
      </c>
    </row>
    <row r="3556" spans="1:3">
      <c r="A3556" s="177">
        <v>962500191</v>
      </c>
      <c r="B3556" s="116" t="str">
        <f t="shared" si="55"/>
        <v>96-962500191</v>
      </c>
      <c r="C3556" s="179" t="s">
        <v>12195</v>
      </c>
    </row>
    <row r="3557" spans="1:3">
      <c r="A3557" s="177">
        <v>962200091</v>
      </c>
      <c r="B3557" s="116" t="str">
        <f t="shared" si="55"/>
        <v>96-962200091</v>
      </c>
      <c r="C3557" s="179" t="s">
        <v>12447</v>
      </c>
    </row>
    <row r="3558" spans="1:3">
      <c r="A3558" s="177">
        <v>962500172</v>
      </c>
      <c r="B3558" s="116" t="str">
        <f t="shared" si="55"/>
        <v>96-962500172</v>
      </c>
      <c r="C3558" s="179" t="s">
        <v>12119</v>
      </c>
    </row>
    <row r="3559" spans="1:3">
      <c r="A3559" s="177">
        <v>954200022</v>
      </c>
      <c r="B3559" s="116" t="str">
        <f t="shared" si="55"/>
        <v>95-954200022</v>
      </c>
      <c r="C3559" s="179" t="s">
        <v>5641</v>
      </c>
    </row>
    <row r="3560" spans="1:3">
      <c r="A3560" s="177">
        <v>951100079</v>
      </c>
      <c r="B3560" s="116" t="str">
        <f t="shared" si="55"/>
        <v>95-951100079</v>
      </c>
      <c r="C3560" s="179" t="s">
        <v>7756</v>
      </c>
    </row>
    <row r="3561" spans="1:3">
      <c r="A3561" s="177">
        <v>961100069</v>
      </c>
      <c r="B3561" s="116" t="str">
        <f t="shared" si="55"/>
        <v>96-961100069</v>
      </c>
      <c r="C3561" s="179" t="s">
        <v>7757</v>
      </c>
    </row>
    <row r="3562" spans="1:3">
      <c r="A3562" s="177">
        <v>961100064</v>
      </c>
      <c r="B3562" s="116" t="str">
        <f t="shared" si="55"/>
        <v>96-961100064</v>
      </c>
      <c r="C3562" s="179" t="s">
        <v>7200</v>
      </c>
    </row>
    <row r="3563" spans="1:3">
      <c r="A3563" s="177">
        <v>951600049</v>
      </c>
      <c r="B3563" s="116" t="str">
        <f t="shared" si="55"/>
        <v>95-951600049</v>
      </c>
      <c r="C3563" s="179" t="s">
        <v>7758</v>
      </c>
    </row>
    <row r="3564" spans="1:3">
      <c r="A3564" s="177">
        <v>954200015</v>
      </c>
      <c r="B3564" s="116" t="str">
        <f t="shared" si="55"/>
        <v>95-954200015</v>
      </c>
      <c r="C3564" s="179" t="s">
        <v>5641</v>
      </c>
    </row>
    <row r="3565" spans="1:3">
      <c r="A3565" s="177">
        <v>952000042</v>
      </c>
      <c r="B3565" s="116" t="str">
        <f t="shared" si="55"/>
        <v>95-952000042</v>
      </c>
      <c r="C3565" s="179" t="s">
        <v>7331</v>
      </c>
    </row>
    <row r="3566" spans="1:3">
      <c r="A3566" s="177">
        <v>962000401</v>
      </c>
      <c r="B3566" s="116" t="str">
        <f t="shared" si="55"/>
        <v>96-962000401</v>
      </c>
      <c r="C3566" s="179" t="s">
        <v>12184</v>
      </c>
    </row>
    <row r="3567" spans="1:3">
      <c r="A3567" s="177">
        <v>962000094</v>
      </c>
      <c r="B3567" s="116" t="str">
        <f t="shared" si="55"/>
        <v>96-962000094</v>
      </c>
      <c r="C3567" s="179" t="s">
        <v>7112</v>
      </c>
    </row>
    <row r="3568" spans="1:3">
      <c r="A3568" s="177">
        <v>962000409</v>
      </c>
      <c r="B3568" s="116" t="str">
        <f t="shared" si="55"/>
        <v>96-962000409</v>
      </c>
      <c r="C3568" s="179" t="s">
        <v>12184</v>
      </c>
    </row>
    <row r="3569" spans="1:3">
      <c r="A3569" s="177">
        <v>952000120</v>
      </c>
      <c r="B3569" s="116" t="str">
        <f t="shared" si="55"/>
        <v>95-952000120</v>
      </c>
      <c r="C3569" s="179" t="s">
        <v>7274</v>
      </c>
    </row>
    <row r="3570" spans="1:3">
      <c r="A3570" s="177">
        <v>962000052</v>
      </c>
      <c r="B3570" s="116" t="str">
        <f t="shared" si="55"/>
        <v>96-962000052</v>
      </c>
      <c r="C3570" s="179" t="s">
        <v>7112</v>
      </c>
    </row>
    <row r="3571" spans="1:3">
      <c r="A3571" s="177">
        <v>954200023</v>
      </c>
      <c r="B3571" s="116" t="str">
        <f t="shared" si="55"/>
        <v>95-954200023</v>
      </c>
      <c r="C3571" s="179" t="s">
        <v>5643</v>
      </c>
    </row>
    <row r="3572" spans="1:3">
      <c r="A3572" s="177">
        <v>954200039</v>
      </c>
      <c r="B3572" s="116" t="str">
        <f t="shared" si="55"/>
        <v>95-954200039</v>
      </c>
      <c r="C3572" s="179" t="s">
        <v>5654</v>
      </c>
    </row>
    <row r="3573" spans="1:3">
      <c r="A3573" s="177">
        <v>954200035</v>
      </c>
      <c r="B3573" s="116" t="str">
        <f t="shared" si="55"/>
        <v>95-954200035</v>
      </c>
      <c r="C3573" s="179" t="s">
        <v>5649</v>
      </c>
    </row>
    <row r="3574" spans="1:3">
      <c r="A3574" s="177">
        <v>954200002</v>
      </c>
      <c r="B3574" s="116" t="str">
        <f t="shared" si="55"/>
        <v>95-954200002</v>
      </c>
      <c r="C3574" s="179" t="s">
        <v>5629</v>
      </c>
    </row>
    <row r="3575" spans="1:3">
      <c r="A3575" s="177">
        <v>954200003</v>
      </c>
      <c r="B3575" s="116" t="str">
        <f t="shared" si="55"/>
        <v>95-954200003</v>
      </c>
      <c r="C3575" s="179" t="s">
        <v>5629</v>
      </c>
    </row>
    <row r="3576" spans="1:3">
      <c r="A3576" s="177">
        <v>956000002</v>
      </c>
      <c r="B3576" s="116" t="str">
        <f t="shared" si="55"/>
        <v>95-956000002</v>
      </c>
      <c r="C3576" s="179" t="s">
        <v>8086</v>
      </c>
    </row>
    <row r="3577" spans="1:3">
      <c r="A3577" s="177">
        <v>956000014</v>
      </c>
      <c r="B3577" s="116" t="str">
        <f t="shared" si="55"/>
        <v>95-956000014</v>
      </c>
      <c r="C3577" s="179" t="s">
        <v>8087</v>
      </c>
    </row>
    <row r="3578" spans="1:3">
      <c r="A3578" s="177">
        <v>961900111</v>
      </c>
      <c r="B3578" s="116" t="str">
        <f t="shared" si="55"/>
        <v>96-961900111</v>
      </c>
      <c r="C3578" s="179" t="s">
        <v>7759</v>
      </c>
    </row>
    <row r="3579" spans="1:3">
      <c r="A3579" s="177">
        <v>961900178</v>
      </c>
      <c r="B3579" s="116" t="str">
        <f t="shared" si="55"/>
        <v>96-961900178</v>
      </c>
      <c r="C3579" s="179" t="s">
        <v>8714</v>
      </c>
    </row>
    <row r="3580" spans="1:3">
      <c r="A3580" s="177">
        <v>951900142</v>
      </c>
      <c r="B3580" s="116" t="str">
        <f t="shared" si="55"/>
        <v>95-951900142</v>
      </c>
      <c r="C3580" s="179" t="s">
        <v>7761</v>
      </c>
    </row>
    <row r="3581" spans="1:3">
      <c r="A3581" s="177">
        <v>961900002</v>
      </c>
      <c r="B3581" s="116" t="str">
        <f t="shared" si="55"/>
        <v>96-961900002</v>
      </c>
      <c r="C3581" s="179" t="s">
        <v>7762</v>
      </c>
    </row>
    <row r="3582" spans="1:3">
      <c r="A3582" s="177">
        <v>961900003</v>
      </c>
      <c r="B3582" s="116" t="str">
        <f t="shared" si="55"/>
        <v>96-961900003</v>
      </c>
      <c r="C3582" s="179" t="s">
        <v>7763</v>
      </c>
    </row>
    <row r="3583" spans="1:3">
      <c r="A3583" s="177">
        <v>951900102</v>
      </c>
      <c r="B3583" s="116" t="str">
        <f t="shared" si="55"/>
        <v>95-951900102</v>
      </c>
      <c r="C3583" s="179" t="s">
        <v>7192</v>
      </c>
    </row>
    <row r="3584" spans="1:3">
      <c r="A3584" s="177">
        <v>959000004</v>
      </c>
      <c r="B3584" s="116" t="str">
        <f t="shared" si="55"/>
        <v>95-959000004</v>
      </c>
      <c r="C3584" s="179" t="s">
        <v>5672</v>
      </c>
    </row>
    <row r="3585" spans="1:3">
      <c r="A3585" s="177">
        <v>959000006</v>
      </c>
      <c r="B3585" s="116" t="str">
        <f t="shared" si="55"/>
        <v>95-959000006</v>
      </c>
      <c r="C3585" s="179" t="s">
        <v>5672</v>
      </c>
    </row>
    <row r="3586" spans="1:3">
      <c r="A3586" s="177">
        <v>951800025</v>
      </c>
      <c r="B3586" s="116" t="str">
        <f t="shared" si="55"/>
        <v>95-951800025</v>
      </c>
      <c r="C3586" s="179" t="s">
        <v>8082</v>
      </c>
    </row>
    <row r="3587" spans="1:3">
      <c r="A3587" s="177">
        <v>961800040</v>
      </c>
      <c r="B3587" s="116" t="str">
        <f t="shared" ref="B3587:B3650" si="56">MID(A3587,1,2)&amp;"-"&amp;A3587</f>
        <v>96-961800040</v>
      </c>
      <c r="C3587" s="179" t="s">
        <v>8134</v>
      </c>
    </row>
    <row r="3588" spans="1:3">
      <c r="A3588" s="177">
        <v>951900066</v>
      </c>
      <c r="B3588" s="116" t="str">
        <f t="shared" si="56"/>
        <v>95-951900066</v>
      </c>
      <c r="C3588" s="179" t="s">
        <v>8083</v>
      </c>
    </row>
    <row r="3589" spans="1:3">
      <c r="A3589" s="177">
        <v>951900196</v>
      </c>
      <c r="B3589" s="116" t="str">
        <f t="shared" si="56"/>
        <v>95-951900196</v>
      </c>
      <c r="C3589" s="179" t="s">
        <v>8084</v>
      </c>
    </row>
    <row r="3590" spans="1:3">
      <c r="A3590" s="177">
        <v>951900017</v>
      </c>
      <c r="B3590" s="116" t="str">
        <f t="shared" si="56"/>
        <v>95-951900017</v>
      </c>
      <c r="C3590" s="179" t="s">
        <v>8085</v>
      </c>
    </row>
    <row r="3591" spans="1:3">
      <c r="A3591" s="177">
        <v>959000005</v>
      </c>
      <c r="B3591" s="116" t="str">
        <f t="shared" si="56"/>
        <v>95-959000005</v>
      </c>
      <c r="C3591" s="179" t="s">
        <v>5672</v>
      </c>
    </row>
    <row r="3592" spans="1:3">
      <c r="A3592" s="177">
        <v>951100061</v>
      </c>
      <c r="B3592" s="116" t="str">
        <f t="shared" si="56"/>
        <v>95-951100061</v>
      </c>
      <c r="C3592" s="179" t="s">
        <v>8088</v>
      </c>
    </row>
    <row r="3593" spans="1:3">
      <c r="A3593" s="177">
        <v>951900053</v>
      </c>
      <c r="B3593" s="116" t="str">
        <f t="shared" si="56"/>
        <v>95-951900053</v>
      </c>
      <c r="C3593" s="179" t="s">
        <v>8097</v>
      </c>
    </row>
    <row r="3594" spans="1:3">
      <c r="A3594" s="177">
        <v>961900083</v>
      </c>
      <c r="B3594" s="116" t="str">
        <f t="shared" si="56"/>
        <v>96-961900083</v>
      </c>
      <c r="C3594" s="179" t="s">
        <v>8098</v>
      </c>
    </row>
    <row r="3595" spans="1:3">
      <c r="A3595" s="177">
        <v>966300029</v>
      </c>
      <c r="B3595" s="116" t="str">
        <f t="shared" si="56"/>
        <v>96-966300029</v>
      </c>
      <c r="C3595" s="179" t="s">
        <v>12293</v>
      </c>
    </row>
    <row r="3596" spans="1:3">
      <c r="A3596" s="177">
        <v>956100003</v>
      </c>
      <c r="B3596" s="116" t="str">
        <f t="shared" si="56"/>
        <v>95-956100003</v>
      </c>
      <c r="C3596" s="179" t="s">
        <v>7764</v>
      </c>
    </row>
    <row r="3597" spans="1:3">
      <c r="A3597" s="177">
        <v>951100123</v>
      </c>
      <c r="B3597" s="116" t="str">
        <f t="shared" si="56"/>
        <v>95-951100123</v>
      </c>
      <c r="C3597" s="179" t="s">
        <v>7768</v>
      </c>
    </row>
    <row r="3598" spans="1:3">
      <c r="A3598" s="177">
        <v>951900315</v>
      </c>
      <c r="B3598" s="116" t="str">
        <f t="shared" si="56"/>
        <v>95-951900315</v>
      </c>
      <c r="C3598" s="179" t="s">
        <v>7769</v>
      </c>
    </row>
    <row r="3599" spans="1:3">
      <c r="A3599" s="177">
        <v>951600062</v>
      </c>
      <c r="B3599" s="116" t="str">
        <f t="shared" si="56"/>
        <v>95-951600062</v>
      </c>
      <c r="C3599" s="179" t="s">
        <v>7770</v>
      </c>
    </row>
    <row r="3600" spans="1:3">
      <c r="A3600" s="177">
        <v>951900132</v>
      </c>
      <c r="B3600" s="116" t="str">
        <f t="shared" si="56"/>
        <v>95-951900132</v>
      </c>
      <c r="C3600" s="179" t="s">
        <v>7771</v>
      </c>
    </row>
    <row r="3601" spans="1:3">
      <c r="A3601" s="177">
        <v>951900179</v>
      </c>
      <c r="B3601" s="116" t="str">
        <f t="shared" si="56"/>
        <v>95-951900179</v>
      </c>
      <c r="C3601" s="179" t="s">
        <v>7729</v>
      </c>
    </row>
    <row r="3602" spans="1:3">
      <c r="A3602" s="177">
        <v>951700083</v>
      </c>
      <c r="B3602" s="116" t="str">
        <f t="shared" si="56"/>
        <v>95-951700083</v>
      </c>
      <c r="C3602" s="179" t="s">
        <v>8089</v>
      </c>
    </row>
    <row r="3603" spans="1:3">
      <c r="A3603" s="177">
        <v>951900055</v>
      </c>
      <c r="B3603" s="116" t="str">
        <f t="shared" si="56"/>
        <v>95-951900055</v>
      </c>
      <c r="C3603" s="179" t="s">
        <v>8090</v>
      </c>
    </row>
    <row r="3604" spans="1:3">
      <c r="A3604" s="177">
        <v>951700322</v>
      </c>
      <c r="B3604" s="116" t="str">
        <f t="shared" si="56"/>
        <v>95-951700322</v>
      </c>
      <c r="C3604" s="179" t="s">
        <v>7481</v>
      </c>
    </row>
    <row r="3605" spans="1:3">
      <c r="A3605" s="177">
        <v>951700330</v>
      </c>
      <c r="B3605" s="116" t="str">
        <f t="shared" si="56"/>
        <v>95-951700330</v>
      </c>
      <c r="C3605" s="179" t="s">
        <v>7481</v>
      </c>
    </row>
    <row r="3606" spans="1:3">
      <c r="A3606" s="177">
        <v>951700331</v>
      </c>
      <c r="B3606" s="116" t="str">
        <f t="shared" si="56"/>
        <v>95-951700331</v>
      </c>
      <c r="C3606" s="179" t="s">
        <v>7481</v>
      </c>
    </row>
    <row r="3607" spans="1:3">
      <c r="A3607" s="177">
        <v>951700334</v>
      </c>
      <c r="B3607" s="116" t="str">
        <f t="shared" si="56"/>
        <v>95-951700334</v>
      </c>
      <c r="C3607" s="179" t="s">
        <v>7481</v>
      </c>
    </row>
    <row r="3608" spans="1:3">
      <c r="A3608" s="177">
        <v>951400167</v>
      </c>
      <c r="B3608" s="116" t="str">
        <f t="shared" si="56"/>
        <v>95-951400167</v>
      </c>
      <c r="C3608" s="179" t="s">
        <v>8091</v>
      </c>
    </row>
    <row r="3609" spans="1:3">
      <c r="A3609" s="177">
        <v>961700064</v>
      </c>
      <c r="B3609" s="116" t="str">
        <f t="shared" si="56"/>
        <v>96-961700064</v>
      </c>
      <c r="C3609" s="179" t="s">
        <v>7147</v>
      </c>
    </row>
    <row r="3610" spans="1:3">
      <c r="A3610" s="177">
        <v>961700070</v>
      </c>
      <c r="B3610" s="116" t="str">
        <f t="shared" si="56"/>
        <v>96-961700070</v>
      </c>
      <c r="C3610" s="179" t="s">
        <v>7147</v>
      </c>
    </row>
    <row r="3611" spans="1:3">
      <c r="A3611" s="177">
        <v>961600011</v>
      </c>
      <c r="B3611" s="116" t="str">
        <f t="shared" si="56"/>
        <v>96-961600011</v>
      </c>
      <c r="C3611" s="179" t="s">
        <v>8092</v>
      </c>
    </row>
    <row r="3612" spans="1:3">
      <c r="A3612" s="177">
        <v>951800116</v>
      </c>
      <c r="B3612" s="116" t="str">
        <f t="shared" si="56"/>
        <v>95-951800116</v>
      </c>
      <c r="C3612" s="179" t="s">
        <v>8093</v>
      </c>
    </row>
    <row r="3613" spans="1:3">
      <c r="A3613" s="177">
        <v>952000294</v>
      </c>
      <c r="B3613" s="116" t="str">
        <f t="shared" si="56"/>
        <v>95-952000294</v>
      </c>
      <c r="C3613" s="179" t="s">
        <v>7329</v>
      </c>
    </row>
    <row r="3614" spans="1:3">
      <c r="A3614" s="177">
        <v>962000091</v>
      </c>
      <c r="B3614" s="116" t="str">
        <f t="shared" si="56"/>
        <v>96-962000091</v>
      </c>
      <c r="C3614" s="179" t="s">
        <v>7112</v>
      </c>
    </row>
    <row r="3615" spans="1:3">
      <c r="A3615" s="177">
        <v>966200341</v>
      </c>
      <c r="B3615" s="116" t="str">
        <f t="shared" si="56"/>
        <v>96-966200341</v>
      </c>
      <c r="C3615" s="179" t="s">
        <v>8704</v>
      </c>
    </row>
    <row r="3616" spans="1:3">
      <c r="A3616" s="177">
        <v>961100022</v>
      </c>
      <c r="B3616" s="116" t="str">
        <f t="shared" si="56"/>
        <v>96-961100022</v>
      </c>
      <c r="C3616" s="179" t="s">
        <v>8099</v>
      </c>
    </row>
    <row r="3617" spans="1:3">
      <c r="A3617" s="177">
        <v>951900015</v>
      </c>
      <c r="B3617" s="116" t="str">
        <f t="shared" si="56"/>
        <v>95-951900015</v>
      </c>
      <c r="C3617" s="179" t="s">
        <v>8085</v>
      </c>
    </row>
    <row r="3618" spans="1:3">
      <c r="A3618" s="177">
        <v>951900018</v>
      </c>
      <c r="B3618" s="116" t="str">
        <f t="shared" si="56"/>
        <v>95-951900018</v>
      </c>
      <c r="C3618" s="179" t="s">
        <v>8085</v>
      </c>
    </row>
    <row r="3619" spans="1:3">
      <c r="A3619" s="177">
        <v>951700004</v>
      </c>
      <c r="B3619" s="116" t="str">
        <f t="shared" si="56"/>
        <v>95-951700004</v>
      </c>
      <c r="C3619" s="179" t="s">
        <v>7565</v>
      </c>
    </row>
    <row r="3620" spans="1:3">
      <c r="A3620" s="177">
        <v>951700058</v>
      </c>
      <c r="B3620" s="116" t="str">
        <f t="shared" si="56"/>
        <v>95-951700058</v>
      </c>
      <c r="C3620" s="179" t="s">
        <v>7566</v>
      </c>
    </row>
    <row r="3621" spans="1:3">
      <c r="A3621" s="177">
        <v>951700060</v>
      </c>
      <c r="B3621" s="116" t="str">
        <f t="shared" si="56"/>
        <v>95-951700060</v>
      </c>
      <c r="C3621" s="179" t="s">
        <v>7566</v>
      </c>
    </row>
    <row r="3622" spans="1:3">
      <c r="A3622" s="177">
        <v>951700062</v>
      </c>
      <c r="B3622" s="116" t="str">
        <f t="shared" si="56"/>
        <v>95-951700062</v>
      </c>
      <c r="C3622" s="179" t="s">
        <v>8102</v>
      </c>
    </row>
    <row r="3623" spans="1:3">
      <c r="A3623" s="177">
        <v>951700324</v>
      </c>
      <c r="B3623" s="116" t="str">
        <f t="shared" si="56"/>
        <v>95-951700324</v>
      </c>
      <c r="C3623" s="179" t="s">
        <v>7481</v>
      </c>
    </row>
    <row r="3624" spans="1:3">
      <c r="A3624" s="177">
        <v>951700327</v>
      </c>
      <c r="B3624" s="116" t="str">
        <f t="shared" si="56"/>
        <v>95-951700327</v>
      </c>
      <c r="C3624" s="179" t="s">
        <v>7481</v>
      </c>
    </row>
    <row r="3625" spans="1:3">
      <c r="A3625" s="177">
        <v>951700341</v>
      </c>
      <c r="B3625" s="116" t="str">
        <f t="shared" si="56"/>
        <v>95-951700341</v>
      </c>
      <c r="C3625" s="179" t="s">
        <v>8103</v>
      </c>
    </row>
    <row r="3626" spans="1:3">
      <c r="A3626" s="177">
        <v>951400174</v>
      </c>
      <c r="B3626" s="116" t="str">
        <f t="shared" si="56"/>
        <v>95-951400174</v>
      </c>
      <c r="C3626" s="179" t="s">
        <v>8104</v>
      </c>
    </row>
    <row r="3627" spans="1:3">
      <c r="A3627" s="177">
        <v>951900075</v>
      </c>
      <c r="B3627" s="116" t="str">
        <f t="shared" si="56"/>
        <v>95-951900075</v>
      </c>
      <c r="C3627" s="179" t="s">
        <v>7790</v>
      </c>
    </row>
    <row r="3628" spans="1:3">
      <c r="A3628" s="177">
        <v>951600020</v>
      </c>
      <c r="B3628" s="116" t="str">
        <f t="shared" si="56"/>
        <v>95-951600020</v>
      </c>
      <c r="C3628" s="179" t="s">
        <v>8094</v>
      </c>
    </row>
    <row r="3629" spans="1:3">
      <c r="A3629" s="177">
        <v>951900191</v>
      </c>
      <c r="B3629" s="116" t="str">
        <f t="shared" si="56"/>
        <v>95-951900191</v>
      </c>
      <c r="C3629" s="179" t="s">
        <v>8095</v>
      </c>
    </row>
    <row r="3630" spans="1:3">
      <c r="A3630" s="177">
        <v>951900202</v>
      </c>
      <c r="B3630" s="116" t="str">
        <f t="shared" si="56"/>
        <v>95-951900202</v>
      </c>
      <c r="C3630" s="179" t="s">
        <v>8096</v>
      </c>
    </row>
    <row r="3631" spans="1:3">
      <c r="A3631" s="177">
        <v>951400175</v>
      </c>
      <c r="B3631" s="116" t="str">
        <f t="shared" si="56"/>
        <v>95-951400175</v>
      </c>
      <c r="C3631" s="179" t="s">
        <v>8105</v>
      </c>
    </row>
    <row r="3632" spans="1:3">
      <c r="A3632" s="177">
        <v>961700071</v>
      </c>
      <c r="B3632" s="116" t="str">
        <f t="shared" si="56"/>
        <v>96-961700071</v>
      </c>
      <c r="C3632" s="179" t="s">
        <v>7147</v>
      </c>
    </row>
    <row r="3633" spans="1:3">
      <c r="A3633" s="177">
        <v>951800130</v>
      </c>
      <c r="B3633" s="116" t="str">
        <f t="shared" si="56"/>
        <v>95-951800130</v>
      </c>
      <c r="C3633" s="179" t="s">
        <v>8093</v>
      </c>
    </row>
    <row r="3634" spans="1:3">
      <c r="A3634" s="177">
        <v>951900049</v>
      </c>
      <c r="B3634" s="116" t="str">
        <f t="shared" si="56"/>
        <v>95-951900049</v>
      </c>
      <c r="C3634" s="179" t="s">
        <v>8109</v>
      </c>
    </row>
    <row r="3635" spans="1:3">
      <c r="A3635" s="177">
        <v>951600017</v>
      </c>
      <c r="B3635" s="116" t="str">
        <f t="shared" si="56"/>
        <v>95-951600017</v>
      </c>
      <c r="C3635" s="179" t="s">
        <v>8110</v>
      </c>
    </row>
    <row r="3636" spans="1:3">
      <c r="A3636" s="177">
        <v>951800072</v>
      </c>
      <c r="B3636" s="116" t="str">
        <f t="shared" si="56"/>
        <v>95-951800072</v>
      </c>
      <c r="C3636" s="179" t="s">
        <v>8111</v>
      </c>
    </row>
    <row r="3637" spans="1:3">
      <c r="A3637" s="177">
        <v>951600027</v>
      </c>
      <c r="B3637" s="116" t="str">
        <f t="shared" si="56"/>
        <v>95-951600027</v>
      </c>
      <c r="C3637" s="179" t="s">
        <v>7719</v>
      </c>
    </row>
    <row r="3638" spans="1:3">
      <c r="A3638" s="177">
        <v>961600022</v>
      </c>
      <c r="B3638" s="116" t="str">
        <f t="shared" si="56"/>
        <v>96-961600022</v>
      </c>
      <c r="C3638" s="179" t="s">
        <v>12294</v>
      </c>
    </row>
    <row r="3639" spans="1:3">
      <c r="A3639" s="177">
        <v>951900277</v>
      </c>
      <c r="B3639" s="116" t="str">
        <f t="shared" si="56"/>
        <v>95-951900277</v>
      </c>
      <c r="C3639" s="179" t="s">
        <v>7791</v>
      </c>
    </row>
    <row r="3640" spans="1:3">
      <c r="A3640" s="177">
        <v>951600029</v>
      </c>
      <c r="B3640" s="116" t="str">
        <f t="shared" si="56"/>
        <v>95-951600029</v>
      </c>
      <c r="C3640" s="179" t="s">
        <v>7579</v>
      </c>
    </row>
    <row r="3641" spans="1:3">
      <c r="A3641" s="177">
        <v>951800029</v>
      </c>
      <c r="B3641" s="116" t="str">
        <f t="shared" si="56"/>
        <v>95-951800029</v>
      </c>
      <c r="C3641" s="179" t="s">
        <v>7792</v>
      </c>
    </row>
    <row r="3642" spans="1:3">
      <c r="A3642" s="177">
        <v>951600047</v>
      </c>
      <c r="B3642" s="116" t="str">
        <f t="shared" si="56"/>
        <v>95-951600047</v>
      </c>
      <c r="C3642" s="179" t="s">
        <v>8100</v>
      </c>
    </row>
    <row r="3643" spans="1:3">
      <c r="A3643" s="177">
        <v>956100015</v>
      </c>
      <c r="B3643" s="116" t="str">
        <f t="shared" si="56"/>
        <v>95-956100015</v>
      </c>
      <c r="C3643" s="179" t="s">
        <v>7488</v>
      </c>
    </row>
    <row r="3644" spans="1:3">
      <c r="A3644" s="177">
        <v>956100016</v>
      </c>
      <c r="B3644" s="116" t="str">
        <f t="shared" si="56"/>
        <v>95-956100016</v>
      </c>
      <c r="C3644" s="179" t="s">
        <v>7488</v>
      </c>
    </row>
    <row r="3645" spans="1:3">
      <c r="A3645" s="177">
        <v>951700300</v>
      </c>
      <c r="B3645" s="116" t="str">
        <f t="shared" si="56"/>
        <v>95-951700300</v>
      </c>
      <c r="C3645" s="179" t="s">
        <v>8101</v>
      </c>
    </row>
    <row r="3646" spans="1:3">
      <c r="A3646" s="177">
        <v>956200057</v>
      </c>
      <c r="B3646" s="116" t="str">
        <f t="shared" si="56"/>
        <v>95-956200057</v>
      </c>
      <c r="C3646" s="179" t="s">
        <v>7306</v>
      </c>
    </row>
    <row r="3647" spans="1:3">
      <c r="A3647" s="177">
        <v>956200141</v>
      </c>
      <c r="B3647" s="116" t="str">
        <f t="shared" si="56"/>
        <v>95-956200141</v>
      </c>
      <c r="C3647" s="179" t="s">
        <v>7978</v>
      </c>
    </row>
    <row r="3648" spans="1:3">
      <c r="A3648" s="177">
        <v>951800091</v>
      </c>
      <c r="B3648" s="116" t="str">
        <f t="shared" si="56"/>
        <v>95-951800091</v>
      </c>
      <c r="C3648" s="179" t="s">
        <v>8111</v>
      </c>
    </row>
    <row r="3649" spans="1:3">
      <c r="A3649" s="177">
        <v>951900057</v>
      </c>
      <c r="B3649" s="116" t="str">
        <f t="shared" si="56"/>
        <v>95-951900057</v>
      </c>
      <c r="C3649" s="179" t="s">
        <v>8112</v>
      </c>
    </row>
    <row r="3650" spans="1:3">
      <c r="A3650" s="177">
        <v>951800050</v>
      </c>
      <c r="B3650" s="116" t="str">
        <f t="shared" si="56"/>
        <v>95-951800050</v>
      </c>
      <c r="C3650" s="179" t="s">
        <v>7577</v>
      </c>
    </row>
    <row r="3651" spans="1:3">
      <c r="A3651" s="177">
        <v>961600020</v>
      </c>
      <c r="B3651" s="116" t="str">
        <f t="shared" ref="B3651:B3714" si="57">MID(A3651,1,2)&amp;"-"&amp;A3651</f>
        <v>96-961600020</v>
      </c>
      <c r="C3651" s="179" t="s">
        <v>12248</v>
      </c>
    </row>
    <row r="3652" spans="1:3">
      <c r="A3652" s="177">
        <v>951000004</v>
      </c>
      <c r="B3652" s="116" t="str">
        <f t="shared" si="57"/>
        <v>95-951000004</v>
      </c>
      <c r="C3652" s="179" t="s">
        <v>7580</v>
      </c>
    </row>
    <row r="3653" spans="1:3">
      <c r="A3653" s="177">
        <v>951900078</v>
      </c>
      <c r="B3653" s="116" t="str">
        <f t="shared" si="57"/>
        <v>95-951900078</v>
      </c>
      <c r="C3653" s="179" t="s">
        <v>7797</v>
      </c>
    </row>
    <row r="3654" spans="1:3">
      <c r="A3654" s="177">
        <v>951900110</v>
      </c>
      <c r="B3654" s="116" t="str">
        <f t="shared" si="57"/>
        <v>95-951900110</v>
      </c>
      <c r="C3654" s="179" t="s">
        <v>7798</v>
      </c>
    </row>
    <row r="3655" spans="1:3">
      <c r="A3655" s="177">
        <v>961900048</v>
      </c>
      <c r="B3655" s="116" t="str">
        <f t="shared" si="57"/>
        <v>96-961900048</v>
      </c>
      <c r="C3655" s="179" t="s">
        <v>7799</v>
      </c>
    </row>
    <row r="3656" spans="1:3">
      <c r="A3656" s="177">
        <v>951000007</v>
      </c>
      <c r="B3656" s="116" t="str">
        <f t="shared" si="57"/>
        <v>95-951000007</v>
      </c>
      <c r="C3656" s="179" t="s">
        <v>7580</v>
      </c>
    </row>
    <row r="3657" spans="1:3">
      <c r="A3657" s="177">
        <v>951800104</v>
      </c>
      <c r="B3657" s="116" t="str">
        <f t="shared" si="57"/>
        <v>95-951800104</v>
      </c>
      <c r="C3657" s="179" t="s">
        <v>7197</v>
      </c>
    </row>
    <row r="3658" spans="1:3">
      <c r="A3658" s="177">
        <v>951900239</v>
      </c>
      <c r="B3658" s="116" t="str">
        <f t="shared" si="57"/>
        <v>95-951900239</v>
      </c>
      <c r="C3658" s="179" t="s">
        <v>8106</v>
      </c>
    </row>
    <row r="3659" spans="1:3">
      <c r="A3659" s="177">
        <v>961900074</v>
      </c>
      <c r="B3659" s="116" t="str">
        <f t="shared" si="57"/>
        <v>96-961900074</v>
      </c>
      <c r="C3659" s="179" t="s">
        <v>8107</v>
      </c>
    </row>
    <row r="3660" spans="1:3">
      <c r="A3660" s="177">
        <v>966200028</v>
      </c>
      <c r="B3660" s="116" t="str">
        <f t="shared" si="57"/>
        <v>96-966200028</v>
      </c>
      <c r="C3660" s="179" t="s">
        <v>8108</v>
      </c>
    </row>
    <row r="3661" spans="1:3">
      <c r="A3661" s="177">
        <v>966200029</v>
      </c>
      <c r="B3661" s="116" t="str">
        <f t="shared" si="57"/>
        <v>96-966200029</v>
      </c>
      <c r="C3661" s="179" t="s">
        <v>8108</v>
      </c>
    </row>
    <row r="3662" spans="1:3">
      <c r="A3662" s="177">
        <v>956100019</v>
      </c>
      <c r="B3662" s="116" t="str">
        <f t="shared" si="57"/>
        <v>95-956100019</v>
      </c>
      <c r="C3662" s="179" t="s">
        <v>7488</v>
      </c>
    </row>
    <row r="3663" spans="1:3">
      <c r="A3663" s="177">
        <v>951900006</v>
      </c>
      <c r="B3663" s="116" t="str">
        <f t="shared" si="57"/>
        <v>95-951900006</v>
      </c>
      <c r="C3663" s="179" t="s">
        <v>8113</v>
      </c>
    </row>
    <row r="3664" spans="1:3">
      <c r="A3664" s="177">
        <v>961700105</v>
      </c>
      <c r="B3664" s="116" t="str">
        <f t="shared" si="57"/>
        <v>96-961700105</v>
      </c>
      <c r="C3664" s="179" t="s">
        <v>7191</v>
      </c>
    </row>
    <row r="3665" spans="1:3">
      <c r="A3665" s="177">
        <v>951900312</v>
      </c>
      <c r="B3665" s="116" t="str">
        <f t="shared" si="57"/>
        <v>95-951900312</v>
      </c>
      <c r="C3665" s="179" t="s">
        <v>7800</v>
      </c>
    </row>
    <row r="3666" spans="1:3">
      <c r="A3666" s="177">
        <v>951900165</v>
      </c>
      <c r="B3666" s="116" t="str">
        <f t="shared" si="57"/>
        <v>95-951900165</v>
      </c>
      <c r="C3666" s="179" t="s">
        <v>7186</v>
      </c>
    </row>
    <row r="3667" spans="1:3">
      <c r="A3667" s="177">
        <v>956100011</v>
      </c>
      <c r="B3667" s="116" t="str">
        <f t="shared" si="57"/>
        <v>95-956100011</v>
      </c>
      <c r="C3667" s="179" t="s">
        <v>8114</v>
      </c>
    </row>
    <row r="3668" spans="1:3">
      <c r="A3668" s="177">
        <v>961700153</v>
      </c>
      <c r="B3668" s="116" t="str">
        <f t="shared" si="57"/>
        <v>96-961700153</v>
      </c>
      <c r="C3668" s="179" t="s">
        <v>12249</v>
      </c>
    </row>
    <row r="3669" spans="1:3">
      <c r="A3669" s="177">
        <v>961600016</v>
      </c>
      <c r="B3669" s="116" t="str">
        <f t="shared" si="57"/>
        <v>96-961600016</v>
      </c>
      <c r="C3669" s="179" t="s">
        <v>8709</v>
      </c>
    </row>
    <row r="3670" spans="1:3">
      <c r="A3670" s="177">
        <v>951900254</v>
      </c>
      <c r="B3670" s="116" t="str">
        <f t="shared" si="57"/>
        <v>95-951900254</v>
      </c>
      <c r="C3670" s="179" t="s">
        <v>7695</v>
      </c>
    </row>
    <row r="3671" spans="1:3">
      <c r="A3671" s="177">
        <v>961700036</v>
      </c>
      <c r="B3671" s="116" t="str">
        <f t="shared" si="57"/>
        <v>96-961700036</v>
      </c>
      <c r="C3671" s="179" t="s">
        <v>7801</v>
      </c>
    </row>
    <row r="3672" spans="1:3">
      <c r="A3672" s="177">
        <v>951900069</v>
      </c>
      <c r="B3672" s="116" t="str">
        <f t="shared" si="57"/>
        <v>95-951900069</v>
      </c>
      <c r="C3672" s="179" t="s">
        <v>7804</v>
      </c>
    </row>
    <row r="3673" spans="1:3">
      <c r="A3673" s="177">
        <v>951900151</v>
      </c>
      <c r="B3673" s="116" t="str">
        <f t="shared" si="57"/>
        <v>95-951900151</v>
      </c>
      <c r="C3673" s="179" t="s">
        <v>7205</v>
      </c>
    </row>
    <row r="3674" spans="1:3">
      <c r="A3674" s="177">
        <v>951900156</v>
      </c>
      <c r="B3674" s="116" t="str">
        <f t="shared" si="57"/>
        <v>95-951900156</v>
      </c>
      <c r="C3674" s="179" t="s">
        <v>7729</v>
      </c>
    </row>
    <row r="3675" spans="1:3">
      <c r="A3675" s="177">
        <v>951900246</v>
      </c>
      <c r="B3675" s="116" t="str">
        <f t="shared" si="57"/>
        <v>95-951900246</v>
      </c>
      <c r="C3675" s="179" t="s">
        <v>7137</v>
      </c>
    </row>
    <row r="3676" spans="1:3">
      <c r="A3676" s="177">
        <v>951700106</v>
      </c>
      <c r="B3676" s="116" t="str">
        <f t="shared" si="57"/>
        <v>95-951700106</v>
      </c>
      <c r="C3676" s="179" t="s">
        <v>7600</v>
      </c>
    </row>
    <row r="3677" spans="1:3">
      <c r="A3677" s="177">
        <v>951400177</v>
      </c>
      <c r="B3677" s="116" t="str">
        <f t="shared" si="57"/>
        <v>95-951400177</v>
      </c>
      <c r="C3677" s="179" t="s">
        <v>8115</v>
      </c>
    </row>
    <row r="3678" spans="1:3">
      <c r="A3678" s="177">
        <v>951400178</v>
      </c>
      <c r="B3678" s="116" t="str">
        <f t="shared" si="57"/>
        <v>95-951400178</v>
      </c>
      <c r="C3678" s="179" t="s">
        <v>8115</v>
      </c>
    </row>
    <row r="3679" spans="1:3">
      <c r="A3679" s="177">
        <v>961400009</v>
      </c>
      <c r="B3679" s="116" t="str">
        <f t="shared" si="57"/>
        <v>96-961400009</v>
      </c>
      <c r="C3679" s="179" t="s">
        <v>8116</v>
      </c>
    </row>
    <row r="3680" spans="1:3">
      <c r="A3680" s="177">
        <v>961700049</v>
      </c>
      <c r="B3680" s="116" t="str">
        <f t="shared" si="57"/>
        <v>96-961700049</v>
      </c>
      <c r="C3680" s="179" t="s">
        <v>7698</v>
      </c>
    </row>
    <row r="3681" spans="1:3">
      <c r="A3681" s="177">
        <v>961700053</v>
      </c>
      <c r="B3681" s="116" t="str">
        <f t="shared" si="57"/>
        <v>96-961700053</v>
      </c>
      <c r="C3681" s="179" t="s">
        <v>7698</v>
      </c>
    </row>
    <row r="3682" spans="1:3">
      <c r="A3682" s="177">
        <v>961700143</v>
      </c>
      <c r="B3682" s="116" t="str">
        <f t="shared" si="57"/>
        <v>96-961700143</v>
      </c>
      <c r="C3682" s="179" t="s">
        <v>12251</v>
      </c>
    </row>
    <row r="3683" spans="1:3">
      <c r="A3683" s="177">
        <v>951900192</v>
      </c>
      <c r="B3683" s="116" t="str">
        <f t="shared" si="57"/>
        <v>95-951900192</v>
      </c>
      <c r="C3683" s="179" t="s">
        <v>7805</v>
      </c>
    </row>
    <row r="3684" spans="1:3">
      <c r="A3684" s="177">
        <v>961900177</v>
      </c>
      <c r="B3684" s="116" t="str">
        <f t="shared" si="57"/>
        <v>96-961900177</v>
      </c>
      <c r="C3684" s="179" t="s">
        <v>8708</v>
      </c>
    </row>
    <row r="3685" spans="1:3">
      <c r="A3685" s="177">
        <v>951600080</v>
      </c>
      <c r="B3685" s="116" t="str">
        <f t="shared" si="57"/>
        <v>95-951600080</v>
      </c>
      <c r="C3685" s="179" t="s">
        <v>7806</v>
      </c>
    </row>
    <row r="3686" spans="1:3">
      <c r="A3686" s="177">
        <v>956100020</v>
      </c>
      <c r="B3686" s="116" t="str">
        <f t="shared" si="57"/>
        <v>95-956100020</v>
      </c>
      <c r="C3686" s="179" t="s">
        <v>7778</v>
      </c>
    </row>
    <row r="3687" spans="1:3">
      <c r="A3687" s="177">
        <v>951400139</v>
      </c>
      <c r="B3687" s="116" t="str">
        <f t="shared" si="57"/>
        <v>95-951400139</v>
      </c>
      <c r="C3687" s="179" t="s">
        <v>7201</v>
      </c>
    </row>
    <row r="3688" spans="1:3">
      <c r="A3688" s="177">
        <v>951900278</v>
      </c>
      <c r="B3688" s="116" t="str">
        <f t="shared" si="57"/>
        <v>95-951900278</v>
      </c>
      <c r="C3688" s="179" t="s">
        <v>7611</v>
      </c>
    </row>
    <row r="3689" spans="1:3">
      <c r="A3689" s="177">
        <v>961900113</v>
      </c>
      <c r="B3689" s="116" t="str">
        <f t="shared" si="57"/>
        <v>96-961900113</v>
      </c>
      <c r="C3689" s="179" t="s">
        <v>7155</v>
      </c>
    </row>
    <row r="3690" spans="1:3">
      <c r="A3690" s="177">
        <v>961900117</v>
      </c>
      <c r="B3690" s="116" t="str">
        <f t="shared" si="57"/>
        <v>96-961900117</v>
      </c>
      <c r="C3690" s="179" t="s">
        <v>7156</v>
      </c>
    </row>
    <row r="3691" spans="1:3">
      <c r="A3691" s="177">
        <v>961900121</v>
      </c>
      <c r="B3691" s="116" t="str">
        <f t="shared" si="57"/>
        <v>96-961900121</v>
      </c>
      <c r="C3691" s="179" t="s">
        <v>7157</v>
      </c>
    </row>
    <row r="3692" spans="1:3">
      <c r="A3692" s="177">
        <v>951900298</v>
      </c>
      <c r="B3692" s="116" t="str">
        <f t="shared" si="57"/>
        <v>95-951900298</v>
      </c>
      <c r="C3692" s="179" t="s">
        <v>7612</v>
      </c>
    </row>
    <row r="3693" spans="1:3">
      <c r="A3693" s="177">
        <v>961900159</v>
      </c>
      <c r="B3693" s="116" t="str">
        <f t="shared" si="57"/>
        <v>96-961900159</v>
      </c>
      <c r="C3693" s="179" t="s">
        <v>7212</v>
      </c>
    </row>
    <row r="3694" spans="1:3">
      <c r="A3694" s="177">
        <v>961900162</v>
      </c>
      <c r="B3694" s="116" t="str">
        <f t="shared" si="57"/>
        <v>96-961900162</v>
      </c>
      <c r="C3694" s="179" t="s">
        <v>7212</v>
      </c>
    </row>
    <row r="3695" spans="1:3">
      <c r="A3695" s="177">
        <v>961700090</v>
      </c>
      <c r="B3695" s="116" t="str">
        <f t="shared" si="57"/>
        <v>96-961700090</v>
      </c>
      <c r="C3695" s="179" t="s">
        <v>8119</v>
      </c>
    </row>
    <row r="3696" spans="1:3">
      <c r="A3696" s="177">
        <v>961700107</v>
      </c>
      <c r="B3696" s="116" t="str">
        <f t="shared" si="57"/>
        <v>96-961700107</v>
      </c>
      <c r="C3696" s="179" t="s">
        <v>7148</v>
      </c>
    </row>
    <row r="3697" spans="1:3">
      <c r="A3697" s="177">
        <v>951800083</v>
      </c>
      <c r="B3697" s="116" t="str">
        <f t="shared" si="57"/>
        <v>95-951800083</v>
      </c>
      <c r="C3697" s="179" t="s">
        <v>7133</v>
      </c>
    </row>
    <row r="3698" spans="1:3">
      <c r="A3698" s="177">
        <v>951800133</v>
      </c>
      <c r="B3698" s="116" t="str">
        <f t="shared" si="57"/>
        <v>95-951800133</v>
      </c>
      <c r="C3698" s="179" t="s">
        <v>7133</v>
      </c>
    </row>
    <row r="3699" spans="1:3">
      <c r="A3699" s="177">
        <v>951900252</v>
      </c>
      <c r="B3699" s="116" t="str">
        <f t="shared" si="57"/>
        <v>95-951900252</v>
      </c>
      <c r="C3699" s="179" t="s">
        <v>7134</v>
      </c>
    </row>
    <row r="3700" spans="1:3">
      <c r="A3700" s="177">
        <v>951800149</v>
      </c>
      <c r="B3700" s="116" t="str">
        <f t="shared" si="57"/>
        <v>95-951800149</v>
      </c>
      <c r="C3700" s="179" t="s">
        <v>8120</v>
      </c>
    </row>
    <row r="3701" spans="1:3">
      <c r="A3701" s="177">
        <v>961800054</v>
      </c>
      <c r="B3701" s="116" t="str">
        <f t="shared" si="57"/>
        <v>96-961800054</v>
      </c>
      <c r="C3701" s="179" t="s">
        <v>7135</v>
      </c>
    </row>
    <row r="3702" spans="1:3">
      <c r="A3702" s="177">
        <v>951900226</v>
      </c>
      <c r="B3702" s="116" t="str">
        <f t="shared" si="57"/>
        <v>95-951900226</v>
      </c>
      <c r="C3702" s="179" t="s">
        <v>7503</v>
      </c>
    </row>
    <row r="3703" spans="1:3">
      <c r="A3703" s="177">
        <v>961900018</v>
      </c>
      <c r="B3703" s="116" t="str">
        <f t="shared" si="57"/>
        <v>96-961900018</v>
      </c>
      <c r="C3703" s="179" t="s">
        <v>7613</v>
      </c>
    </row>
    <row r="3704" spans="1:3">
      <c r="A3704" s="177">
        <v>961900027</v>
      </c>
      <c r="B3704" s="116" t="str">
        <f t="shared" si="57"/>
        <v>96-961900027</v>
      </c>
      <c r="C3704" s="179" t="s">
        <v>7786</v>
      </c>
    </row>
    <row r="3705" spans="1:3">
      <c r="A3705" s="177">
        <v>961900057</v>
      </c>
      <c r="B3705" s="116" t="str">
        <f t="shared" si="57"/>
        <v>96-961900057</v>
      </c>
      <c r="C3705" s="179" t="s">
        <v>7812</v>
      </c>
    </row>
    <row r="3706" spans="1:3">
      <c r="A3706" s="177">
        <v>961900058</v>
      </c>
      <c r="B3706" s="116" t="str">
        <f t="shared" si="57"/>
        <v>96-961900058</v>
      </c>
      <c r="C3706" s="179" t="s">
        <v>7812</v>
      </c>
    </row>
    <row r="3707" spans="1:3">
      <c r="A3707" s="177">
        <v>961900102</v>
      </c>
      <c r="B3707" s="116" t="str">
        <f t="shared" si="57"/>
        <v>96-961900102</v>
      </c>
      <c r="C3707" s="179" t="s">
        <v>7787</v>
      </c>
    </row>
    <row r="3708" spans="1:3">
      <c r="A3708" s="177">
        <v>961900034</v>
      </c>
      <c r="B3708" s="116" t="str">
        <f t="shared" si="57"/>
        <v>96-961900034</v>
      </c>
      <c r="C3708" s="179" t="s">
        <v>7813</v>
      </c>
    </row>
    <row r="3709" spans="1:3">
      <c r="A3709" s="177">
        <v>961900062</v>
      </c>
      <c r="B3709" s="116" t="str">
        <f t="shared" si="57"/>
        <v>96-961900062</v>
      </c>
      <c r="C3709" s="179" t="s">
        <v>7203</v>
      </c>
    </row>
    <row r="3710" spans="1:3">
      <c r="A3710" s="177">
        <v>961900063</v>
      </c>
      <c r="B3710" s="116" t="str">
        <f t="shared" si="57"/>
        <v>96-961900063</v>
      </c>
      <c r="C3710" s="179" t="s">
        <v>7203</v>
      </c>
    </row>
    <row r="3711" spans="1:3">
      <c r="A3711" s="177">
        <v>961600010</v>
      </c>
      <c r="B3711" s="116" t="str">
        <f t="shared" si="57"/>
        <v>96-961600010</v>
      </c>
      <c r="C3711" s="179" t="s">
        <v>7820</v>
      </c>
    </row>
    <row r="3712" spans="1:3">
      <c r="A3712" s="177">
        <v>961600005</v>
      </c>
      <c r="B3712" s="116" t="str">
        <f t="shared" si="57"/>
        <v>96-961600005</v>
      </c>
      <c r="C3712" s="179" t="s">
        <v>7821</v>
      </c>
    </row>
    <row r="3713" spans="1:3">
      <c r="A3713" s="177">
        <v>961700144</v>
      </c>
      <c r="B3713" s="116" t="str">
        <f t="shared" si="57"/>
        <v>96-961700144</v>
      </c>
      <c r="C3713" s="179" t="s">
        <v>12290</v>
      </c>
    </row>
    <row r="3714" spans="1:3">
      <c r="A3714" s="177">
        <v>962000092</v>
      </c>
      <c r="B3714" s="116" t="str">
        <f t="shared" si="57"/>
        <v>96-962000092</v>
      </c>
      <c r="C3714" s="179" t="s">
        <v>7112</v>
      </c>
    </row>
    <row r="3715" spans="1:3">
      <c r="A3715" s="177">
        <v>951400188</v>
      </c>
      <c r="B3715" s="116" t="str">
        <f t="shared" ref="B3715:B3778" si="58">MID(A3715,1,2)&amp;"-"&amp;A3715</f>
        <v>95-951400188</v>
      </c>
      <c r="C3715" s="179" t="s">
        <v>7697</v>
      </c>
    </row>
    <row r="3716" spans="1:3">
      <c r="A3716" s="177">
        <v>961400010</v>
      </c>
      <c r="B3716" s="116" t="str">
        <f t="shared" si="58"/>
        <v>96-961400010</v>
      </c>
      <c r="C3716" s="179" t="s">
        <v>8116</v>
      </c>
    </row>
    <row r="3717" spans="1:3">
      <c r="A3717" s="177">
        <v>961700050</v>
      </c>
      <c r="B3717" s="116" t="str">
        <f t="shared" si="58"/>
        <v>96-961700050</v>
      </c>
      <c r="C3717" s="179" t="s">
        <v>7698</v>
      </c>
    </row>
    <row r="3718" spans="1:3">
      <c r="A3718" s="177">
        <v>951800051</v>
      </c>
      <c r="B3718" s="116" t="str">
        <f t="shared" si="58"/>
        <v>95-951800051</v>
      </c>
      <c r="C3718" s="179" t="s">
        <v>7133</v>
      </c>
    </row>
    <row r="3719" spans="1:3">
      <c r="A3719" s="177">
        <v>961800044</v>
      </c>
      <c r="B3719" s="116" t="str">
        <f t="shared" si="58"/>
        <v>96-961800044</v>
      </c>
      <c r="C3719" s="179" t="s">
        <v>8547</v>
      </c>
    </row>
    <row r="3720" spans="1:3">
      <c r="A3720" s="177">
        <v>951700005</v>
      </c>
      <c r="B3720" s="116" t="str">
        <f t="shared" si="58"/>
        <v>95-951700005</v>
      </c>
      <c r="C3720" s="179" t="s">
        <v>7620</v>
      </c>
    </row>
    <row r="3721" spans="1:3">
      <c r="A3721" s="177">
        <v>951700030</v>
      </c>
      <c r="B3721" s="116" t="str">
        <f t="shared" si="58"/>
        <v>95-951700030</v>
      </c>
      <c r="C3721" s="179" t="s">
        <v>7504</v>
      </c>
    </row>
    <row r="3722" spans="1:3">
      <c r="A3722" s="177">
        <v>951400031</v>
      </c>
      <c r="B3722" s="116" t="str">
        <f t="shared" si="58"/>
        <v>95-951400031</v>
      </c>
      <c r="C3722" s="179" t="s">
        <v>7508</v>
      </c>
    </row>
    <row r="3723" spans="1:3">
      <c r="A3723" s="177">
        <v>951700095</v>
      </c>
      <c r="B3723" s="116" t="str">
        <f t="shared" si="58"/>
        <v>95-951700095</v>
      </c>
      <c r="C3723" s="179" t="s">
        <v>8122</v>
      </c>
    </row>
    <row r="3724" spans="1:3">
      <c r="A3724" s="177">
        <v>951400058</v>
      </c>
      <c r="B3724" s="116" t="str">
        <f t="shared" si="58"/>
        <v>95-951400058</v>
      </c>
      <c r="C3724" s="179" t="s">
        <v>8123</v>
      </c>
    </row>
    <row r="3725" spans="1:3">
      <c r="A3725" s="177">
        <v>951700199</v>
      </c>
      <c r="B3725" s="116" t="str">
        <f t="shared" si="58"/>
        <v>95-951700199</v>
      </c>
      <c r="C3725" s="179" t="s">
        <v>8124</v>
      </c>
    </row>
    <row r="3726" spans="1:3">
      <c r="A3726" s="177">
        <v>951700231</v>
      </c>
      <c r="B3726" s="116" t="str">
        <f t="shared" si="58"/>
        <v>95-951700231</v>
      </c>
      <c r="C3726" s="179" t="s">
        <v>7703</v>
      </c>
    </row>
    <row r="3727" spans="1:3">
      <c r="A3727" s="177">
        <v>951400134</v>
      </c>
      <c r="B3727" s="116" t="str">
        <f t="shared" si="58"/>
        <v>95-951400134</v>
      </c>
      <c r="C3727" s="179" t="s">
        <v>7150</v>
      </c>
    </row>
    <row r="3728" spans="1:3">
      <c r="A3728" s="177">
        <v>951400136</v>
      </c>
      <c r="B3728" s="116" t="str">
        <f t="shared" si="58"/>
        <v>95-951400136</v>
      </c>
      <c r="C3728" s="179" t="s">
        <v>7150</v>
      </c>
    </row>
    <row r="3729" spans="1:3">
      <c r="A3729" s="177">
        <v>961700088</v>
      </c>
      <c r="B3729" s="116" t="str">
        <f t="shared" si="58"/>
        <v>96-961700088</v>
      </c>
      <c r="C3729" s="179" t="s">
        <v>8125</v>
      </c>
    </row>
    <row r="3730" spans="1:3">
      <c r="A3730" s="177">
        <v>951800085</v>
      </c>
      <c r="B3730" s="116" t="str">
        <f t="shared" si="58"/>
        <v>95-951800085</v>
      </c>
      <c r="C3730" s="179" t="s">
        <v>7617</v>
      </c>
    </row>
    <row r="3731" spans="1:3">
      <c r="A3731" s="177">
        <v>951800127</v>
      </c>
      <c r="B3731" s="116" t="str">
        <f t="shared" si="58"/>
        <v>95-951800127</v>
      </c>
      <c r="C3731" s="179" t="s">
        <v>7142</v>
      </c>
    </row>
    <row r="3732" spans="1:3">
      <c r="A3732" s="177">
        <v>961700015</v>
      </c>
      <c r="B3732" s="116" t="str">
        <f t="shared" si="58"/>
        <v>96-961700015</v>
      </c>
      <c r="C3732" s="179" t="s">
        <v>7823</v>
      </c>
    </row>
    <row r="3733" spans="1:3">
      <c r="A3733" s="177">
        <v>961700106</v>
      </c>
      <c r="B3733" s="116" t="str">
        <f t="shared" si="58"/>
        <v>96-961700106</v>
      </c>
      <c r="C3733" s="179" t="s">
        <v>7213</v>
      </c>
    </row>
    <row r="3734" spans="1:3">
      <c r="A3734" s="177">
        <v>951800079</v>
      </c>
      <c r="B3734" s="116" t="str">
        <f t="shared" si="58"/>
        <v>95-951800079</v>
      </c>
      <c r="C3734" s="179" t="s">
        <v>7824</v>
      </c>
    </row>
    <row r="3735" spans="1:3">
      <c r="A3735" s="177">
        <v>951700041</v>
      </c>
      <c r="B3735" s="116" t="str">
        <f t="shared" si="58"/>
        <v>95-951700041</v>
      </c>
      <c r="C3735" s="179" t="s">
        <v>7622</v>
      </c>
    </row>
    <row r="3736" spans="1:3">
      <c r="A3736" s="177">
        <v>951700047</v>
      </c>
      <c r="B3736" s="116" t="str">
        <f t="shared" si="58"/>
        <v>95-951700047</v>
      </c>
      <c r="C3736" s="179" t="s">
        <v>8128</v>
      </c>
    </row>
    <row r="3737" spans="1:3">
      <c r="A3737" s="177">
        <v>951700151</v>
      </c>
      <c r="B3737" s="116" t="str">
        <f t="shared" si="58"/>
        <v>95-951700151</v>
      </c>
      <c r="C3737" s="179" t="s">
        <v>8129</v>
      </c>
    </row>
    <row r="3738" spans="1:3">
      <c r="A3738" s="177">
        <v>951700232</v>
      </c>
      <c r="B3738" s="116" t="str">
        <f t="shared" si="58"/>
        <v>95-951700232</v>
      </c>
      <c r="C3738" s="179" t="s">
        <v>7703</v>
      </c>
    </row>
    <row r="3739" spans="1:3">
      <c r="A3739" s="177">
        <v>951400137</v>
      </c>
      <c r="B3739" s="116" t="str">
        <f t="shared" si="58"/>
        <v>95-951400137</v>
      </c>
      <c r="C3739" s="179" t="s">
        <v>7150</v>
      </c>
    </row>
    <row r="3740" spans="1:3">
      <c r="A3740" s="177">
        <v>961400005</v>
      </c>
      <c r="B3740" s="116" t="str">
        <f t="shared" si="58"/>
        <v>96-961400005</v>
      </c>
      <c r="C3740" s="179" t="s">
        <v>7625</v>
      </c>
    </row>
    <row r="3741" spans="1:3">
      <c r="A3741" s="177">
        <v>961700011</v>
      </c>
      <c r="B3741" s="116" t="str">
        <f t="shared" si="58"/>
        <v>96-961700011</v>
      </c>
      <c r="C3741" s="179" t="s">
        <v>7625</v>
      </c>
    </row>
    <row r="3742" spans="1:3">
      <c r="A3742" s="177">
        <v>951400168</v>
      </c>
      <c r="B3742" s="116" t="str">
        <f t="shared" si="58"/>
        <v>95-951400168</v>
      </c>
      <c r="C3742" s="179" t="s">
        <v>7704</v>
      </c>
    </row>
    <row r="3743" spans="1:3">
      <c r="A3743" s="177">
        <v>961700091</v>
      </c>
      <c r="B3743" s="116" t="str">
        <f t="shared" si="58"/>
        <v>96-961700091</v>
      </c>
      <c r="C3743" s="179" t="s">
        <v>8130</v>
      </c>
    </row>
    <row r="3744" spans="1:3">
      <c r="A3744" s="177">
        <v>961700094</v>
      </c>
      <c r="B3744" s="116" t="str">
        <f t="shared" si="58"/>
        <v>96-961700094</v>
      </c>
      <c r="C3744" s="179" t="s">
        <v>8130</v>
      </c>
    </row>
    <row r="3745" spans="1:3">
      <c r="A3745" s="177">
        <v>951700108</v>
      </c>
      <c r="B3745" s="116" t="str">
        <f t="shared" si="58"/>
        <v>95-951700108</v>
      </c>
      <c r="C3745" s="179" t="s">
        <v>7472</v>
      </c>
    </row>
    <row r="3746" spans="1:3">
      <c r="A3746" s="177">
        <v>951400007</v>
      </c>
      <c r="B3746" s="116" t="str">
        <f t="shared" si="58"/>
        <v>95-951400007</v>
      </c>
      <c r="C3746" s="179" t="s">
        <v>7827</v>
      </c>
    </row>
    <row r="3747" spans="1:3">
      <c r="A3747" s="177">
        <v>951700027</v>
      </c>
      <c r="B3747" s="116" t="str">
        <f t="shared" si="58"/>
        <v>95-951700027</v>
      </c>
      <c r="C3747" s="179" t="s">
        <v>7795</v>
      </c>
    </row>
    <row r="3748" spans="1:3">
      <c r="A3748" s="177">
        <v>951700065</v>
      </c>
      <c r="B3748" s="116" t="str">
        <f t="shared" si="58"/>
        <v>95-951700065</v>
      </c>
      <c r="C3748" s="179" t="s">
        <v>7828</v>
      </c>
    </row>
    <row r="3749" spans="1:3">
      <c r="A3749" s="177">
        <v>951700111</v>
      </c>
      <c r="B3749" s="116" t="str">
        <f t="shared" si="58"/>
        <v>95-951700111</v>
      </c>
      <c r="C3749" s="179" t="s">
        <v>7720</v>
      </c>
    </row>
    <row r="3750" spans="1:3">
      <c r="A3750" s="177">
        <v>951800059</v>
      </c>
      <c r="B3750" s="116" t="str">
        <f t="shared" si="58"/>
        <v>95-951800059</v>
      </c>
      <c r="C3750" s="179" t="s">
        <v>7631</v>
      </c>
    </row>
    <row r="3751" spans="1:3">
      <c r="A3751" s="177">
        <v>951700069</v>
      </c>
      <c r="B3751" s="116" t="str">
        <f t="shared" si="58"/>
        <v>95-951700069</v>
      </c>
      <c r="C3751" s="179" t="s">
        <v>7518</v>
      </c>
    </row>
    <row r="3752" spans="1:3">
      <c r="A3752" s="177">
        <v>951700120</v>
      </c>
      <c r="B3752" s="116" t="str">
        <f t="shared" si="58"/>
        <v>95-951700120</v>
      </c>
      <c r="C3752" s="179" t="s">
        <v>7525</v>
      </c>
    </row>
    <row r="3753" spans="1:3">
      <c r="A3753" s="177">
        <v>951700152</v>
      </c>
      <c r="B3753" s="116" t="str">
        <f t="shared" si="58"/>
        <v>95-951700152</v>
      </c>
      <c r="C3753" s="179" t="s">
        <v>7639</v>
      </c>
    </row>
    <row r="3754" spans="1:3">
      <c r="A3754" s="177">
        <v>951700159</v>
      </c>
      <c r="B3754" s="116" t="str">
        <f t="shared" si="58"/>
        <v>95-951700159</v>
      </c>
      <c r="C3754" s="179" t="s">
        <v>8136</v>
      </c>
    </row>
    <row r="3755" spans="1:3">
      <c r="A3755" s="177">
        <v>951700174</v>
      </c>
      <c r="B3755" s="116" t="str">
        <f t="shared" si="58"/>
        <v>95-951700174</v>
      </c>
      <c r="C3755" s="179" t="s">
        <v>7527</v>
      </c>
    </row>
    <row r="3756" spans="1:3">
      <c r="A3756" s="177">
        <v>951700180</v>
      </c>
      <c r="B3756" s="116" t="str">
        <f t="shared" si="58"/>
        <v>95-951700180</v>
      </c>
      <c r="C3756" s="179" t="s">
        <v>7528</v>
      </c>
    </row>
    <row r="3757" spans="1:3">
      <c r="A3757" s="177">
        <v>951700186</v>
      </c>
      <c r="B3757" s="116" t="str">
        <f t="shared" si="58"/>
        <v>95-951700186</v>
      </c>
      <c r="C3757" s="179" t="s">
        <v>7528</v>
      </c>
    </row>
    <row r="3758" spans="1:3">
      <c r="A3758" s="177">
        <v>951700190</v>
      </c>
      <c r="B3758" s="116" t="str">
        <f t="shared" si="58"/>
        <v>95-951700190</v>
      </c>
      <c r="C3758" s="179" t="s">
        <v>7528</v>
      </c>
    </row>
    <row r="3759" spans="1:3">
      <c r="A3759" s="177">
        <v>951700193</v>
      </c>
      <c r="B3759" s="116" t="str">
        <f t="shared" si="58"/>
        <v>95-951700193</v>
      </c>
      <c r="C3759" s="179" t="s">
        <v>7528</v>
      </c>
    </row>
    <row r="3760" spans="1:3">
      <c r="A3760" s="177">
        <v>951700220</v>
      </c>
      <c r="B3760" s="116" t="str">
        <f t="shared" si="58"/>
        <v>95-951700220</v>
      </c>
      <c r="C3760" s="179" t="s">
        <v>7185</v>
      </c>
    </row>
    <row r="3761" spans="1:3">
      <c r="A3761" s="177">
        <v>951400074</v>
      </c>
      <c r="B3761" s="116" t="str">
        <f t="shared" si="58"/>
        <v>95-951400074</v>
      </c>
      <c r="C3761" s="179" t="s">
        <v>7185</v>
      </c>
    </row>
    <row r="3762" spans="1:3">
      <c r="A3762" s="177">
        <v>951800063</v>
      </c>
      <c r="B3762" s="116" t="str">
        <f t="shared" si="58"/>
        <v>95-951800063</v>
      </c>
      <c r="C3762" s="179" t="s">
        <v>7834</v>
      </c>
    </row>
    <row r="3763" spans="1:3">
      <c r="A3763" s="177">
        <v>951800023</v>
      </c>
      <c r="B3763" s="116" t="str">
        <f t="shared" si="58"/>
        <v>95-951800023</v>
      </c>
      <c r="C3763" s="179" t="s">
        <v>7835</v>
      </c>
    </row>
    <row r="3764" spans="1:3">
      <c r="A3764" s="177">
        <v>961700085</v>
      </c>
      <c r="B3764" s="116" t="str">
        <f t="shared" si="58"/>
        <v>96-961700085</v>
      </c>
      <c r="C3764" s="179" t="s">
        <v>7214</v>
      </c>
    </row>
    <row r="3765" spans="1:3">
      <c r="A3765" s="177">
        <v>961900138</v>
      </c>
      <c r="B3765" s="116" t="str">
        <f t="shared" si="58"/>
        <v>96-961900138</v>
      </c>
      <c r="C3765" s="179" t="s">
        <v>8417</v>
      </c>
    </row>
    <row r="3766" spans="1:3">
      <c r="A3766" s="177">
        <v>951800019</v>
      </c>
      <c r="B3766" s="116" t="str">
        <f t="shared" si="58"/>
        <v>95-951800019</v>
      </c>
      <c r="C3766" s="179" t="s">
        <v>7836</v>
      </c>
    </row>
    <row r="3767" spans="1:3">
      <c r="A3767" s="177">
        <v>951900010</v>
      </c>
      <c r="B3767" s="116" t="str">
        <f t="shared" si="58"/>
        <v>95-951900010</v>
      </c>
      <c r="C3767" s="179" t="s">
        <v>8139</v>
      </c>
    </row>
    <row r="3768" spans="1:3">
      <c r="A3768" s="177">
        <v>951700013</v>
      </c>
      <c r="B3768" s="116" t="str">
        <f t="shared" si="58"/>
        <v>95-951700013</v>
      </c>
      <c r="C3768" s="179" t="s">
        <v>7517</v>
      </c>
    </row>
    <row r="3769" spans="1:3">
      <c r="A3769" s="177">
        <v>951700091</v>
      </c>
      <c r="B3769" s="116" t="str">
        <f t="shared" si="58"/>
        <v>95-951700091</v>
      </c>
      <c r="C3769" s="179" t="s">
        <v>7633</v>
      </c>
    </row>
    <row r="3770" spans="1:3">
      <c r="A3770" s="177">
        <v>951700096</v>
      </c>
      <c r="B3770" s="116" t="str">
        <f t="shared" si="58"/>
        <v>95-951700096</v>
      </c>
      <c r="C3770" s="179" t="s">
        <v>8140</v>
      </c>
    </row>
    <row r="3771" spans="1:3">
      <c r="A3771" s="177">
        <v>951700122</v>
      </c>
      <c r="B3771" s="116" t="str">
        <f t="shared" si="58"/>
        <v>95-951700122</v>
      </c>
      <c r="C3771" s="179" t="s">
        <v>7525</v>
      </c>
    </row>
    <row r="3772" spans="1:3">
      <c r="A3772" s="177">
        <v>951700153</v>
      </c>
      <c r="B3772" s="116" t="str">
        <f t="shared" si="58"/>
        <v>95-951700153</v>
      </c>
      <c r="C3772" s="179" t="s">
        <v>7639</v>
      </c>
    </row>
    <row r="3773" spans="1:3">
      <c r="A3773" s="177">
        <v>951700175</v>
      </c>
      <c r="B3773" s="116" t="str">
        <f t="shared" si="58"/>
        <v>95-951700175</v>
      </c>
      <c r="C3773" s="179" t="s">
        <v>7527</v>
      </c>
    </row>
    <row r="3774" spans="1:3">
      <c r="A3774" s="177">
        <v>951700188</v>
      </c>
      <c r="B3774" s="116" t="str">
        <f t="shared" si="58"/>
        <v>95-951700188</v>
      </c>
      <c r="C3774" s="179" t="s">
        <v>7528</v>
      </c>
    </row>
    <row r="3775" spans="1:3">
      <c r="A3775" s="177">
        <v>951700201</v>
      </c>
      <c r="B3775" s="116" t="str">
        <f t="shared" si="58"/>
        <v>95-951700201</v>
      </c>
      <c r="C3775" s="179" t="s">
        <v>8141</v>
      </c>
    </row>
    <row r="3776" spans="1:3">
      <c r="A3776" s="177">
        <v>951700221</v>
      </c>
      <c r="B3776" s="116" t="str">
        <f t="shared" si="58"/>
        <v>95-951700221</v>
      </c>
      <c r="C3776" s="179" t="s">
        <v>7185</v>
      </c>
    </row>
    <row r="3777" spans="1:3">
      <c r="A3777" s="177">
        <v>951700227</v>
      </c>
      <c r="B3777" s="116" t="str">
        <f t="shared" si="58"/>
        <v>95-951700227</v>
      </c>
      <c r="C3777" s="179" t="s">
        <v>7153</v>
      </c>
    </row>
    <row r="3778" spans="1:3">
      <c r="A3778" s="177">
        <v>951700255</v>
      </c>
      <c r="B3778" s="116" t="str">
        <f t="shared" si="58"/>
        <v>95-951700255</v>
      </c>
      <c r="C3778" s="179" t="s">
        <v>7185</v>
      </c>
    </row>
    <row r="3779" spans="1:3">
      <c r="A3779" s="177">
        <v>951700256</v>
      </c>
      <c r="B3779" s="116" t="str">
        <f t="shared" ref="B3779:B3842" si="59">MID(A3779,1,2)&amp;"-"&amp;A3779</f>
        <v>95-951700256</v>
      </c>
      <c r="C3779" s="179" t="s">
        <v>7185</v>
      </c>
    </row>
    <row r="3780" spans="1:3">
      <c r="A3780" s="177">
        <v>951700287</v>
      </c>
      <c r="B3780" s="116" t="str">
        <f t="shared" si="59"/>
        <v>95-951700287</v>
      </c>
      <c r="C3780" s="179" t="s">
        <v>7528</v>
      </c>
    </row>
    <row r="3781" spans="1:3">
      <c r="A3781" s="177">
        <v>961700132</v>
      </c>
      <c r="B3781" s="116" t="str">
        <f t="shared" si="59"/>
        <v>96-961700132</v>
      </c>
      <c r="C3781" s="179" t="s">
        <v>7154</v>
      </c>
    </row>
    <row r="3782" spans="1:3">
      <c r="A3782" s="177">
        <v>961700133</v>
      </c>
      <c r="B3782" s="116" t="str">
        <f t="shared" si="59"/>
        <v>96-961700133</v>
      </c>
      <c r="C3782" s="179" t="s">
        <v>7154</v>
      </c>
    </row>
    <row r="3783" spans="1:3">
      <c r="A3783" s="177">
        <v>952000216</v>
      </c>
      <c r="B3783" s="116" t="str">
        <f t="shared" si="59"/>
        <v>95-952000216</v>
      </c>
      <c r="C3783" s="179" t="s">
        <v>7905</v>
      </c>
    </row>
    <row r="3784" spans="1:3">
      <c r="A3784" s="177">
        <v>952000219</v>
      </c>
      <c r="B3784" s="116" t="str">
        <f t="shared" si="59"/>
        <v>95-952000219</v>
      </c>
      <c r="C3784" s="179" t="s">
        <v>7905</v>
      </c>
    </row>
    <row r="3785" spans="1:3">
      <c r="A3785" s="177">
        <v>952000210</v>
      </c>
      <c r="B3785" s="116" t="str">
        <f t="shared" si="59"/>
        <v>95-952000210</v>
      </c>
      <c r="C3785" s="179" t="s">
        <v>7909</v>
      </c>
    </row>
    <row r="3786" spans="1:3">
      <c r="A3786" s="177">
        <v>962000390</v>
      </c>
      <c r="B3786" s="116" t="str">
        <f t="shared" si="59"/>
        <v>96-962000390</v>
      </c>
      <c r="C3786" s="179" t="s">
        <v>12208</v>
      </c>
    </row>
    <row r="3787" spans="1:3">
      <c r="A3787" s="177">
        <v>962000384</v>
      </c>
      <c r="B3787" s="116" t="str">
        <f t="shared" si="59"/>
        <v>96-962000384</v>
      </c>
      <c r="C3787" s="179" t="s">
        <v>12208</v>
      </c>
    </row>
    <row r="3788" spans="1:3">
      <c r="A3788" s="177">
        <v>952000078</v>
      </c>
      <c r="B3788" s="116" t="str">
        <f t="shared" si="59"/>
        <v>95-952000078</v>
      </c>
      <c r="C3788" s="179" t="s">
        <v>7913</v>
      </c>
    </row>
    <row r="3789" spans="1:3">
      <c r="A3789" s="177">
        <v>966200183</v>
      </c>
      <c r="B3789" s="116" t="str">
        <f t="shared" si="59"/>
        <v>96-966200183</v>
      </c>
      <c r="C3789" s="179" t="s">
        <v>7914</v>
      </c>
    </row>
    <row r="3790" spans="1:3">
      <c r="A3790" s="177">
        <v>951700093</v>
      </c>
      <c r="B3790" s="116" t="str">
        <f t="shared" si="59"/>
        <v>95-951700093</v>
      </c>
      <c r="C3790" s="179" t="s">
        <v>7841</v>
      </c>
    </row>
    <row r="3791" spans="1:3">
      <c r="A3791" s="177">
        <v>951700206</v>
      </c>
      <c r="B3791" s="116" t="str">
        <f t="shared" si="59"/>
        <v>95-951700206</v>
      </c>
      <c r="C3791" s="179" t="s">
        <v>7842</v>
      </c>
    </row>
    <row r="3792" spans="1:3">
      <c r="A3792" s="177">
        <v>951700276</v>
      </c>
      <c r="B3792" s="116" t="str">
        <f t="shared" si="59"/>
        <v>95-951700276</v>
      </c>
      <c r="C3792" s="179" t="s">
        <v>7843</v>
      </c>
    </row>
    <row r="3793" spans="1:3">
      <c r="A3793" s="177">
        <v>966100012</v>
      </c>
      <c r="B3793" s="116" t="str">
        <f t="shared" si="59"/>
        <v>96-966100012</v>
      </c>
      <c r="C3793" s="179" t="s">
        <v>7644</v>
      </c>
    </row>
    <row r="3794" spans="1:3">
      <c r="A3794" s="177">
        <v>951800098</v>
      </c>
      <c r="B3794" s="116" t="str">
        <f t="shared" si="59"/>
        <v>95-951800098</v>
      </c>
      <c r="C3794" s="179" t="s">
        <v>7844</v>
      </c>
    </row>
    <row r="3795" spans="1:3">
      <c r="A3795" s="177">
        <v>951700226</v>
      </c>
      <c r="B3795" s="116" t="str">
        <f t="shared" si="59"/>
        <v>95-951700226</v>
      </c>
      <c r="C3795" s="179" t="s">
        <v>7153</v>
      </c>
    </row>
    <row r="3796" spans="1:3">
      <c r="A3796" s="177">
        <v>951700228</v>
      </c>
      <c r="B3796" s="116" t="str">
        <f t="shared" si="59"/>
        <v>95-951700228</v>
      </c>
      <c r="C3796" s="179" t="s">
        <v>7153</v>
      </c>
    </row>
    <row r="3797" spans="1:3">
      <c r="A3797" s="177">
        <v>951700248</v>
      </c>
      <c r="B3797" s="116" t="str">
        <f t="shared" si="59"/>
        <v>95-951700248</v>
      </c>
      <c r="C3797" s="179" t="s">
        <v>7153</v>
      </c>
    </row>
    <row r="3798" spans="1:3">
      <c r="A3798" s="177">
        <v>951700283</v>
      </c>
      <c r="B3798" s="116" t="str">
        <f t="shared" si="59"/>
        <v>95-951700283</v>
      </c>
      <c r="C3798" s="179" t="s">
        <v>8141</v>
      </c>
    </row>
    <row r="3799" spans="1:3">
      <c r="A3799" s="177">
        <v>951700307</v>
      </c>
      <c r="B3799" s="116" t="str">
        <f t="shared" si="59"/>
        <v>95-951700307</v>
      </c>
      <c r="C3799" s="179" t="s">
        <v>7153</v>
      </c>
    </row>
    <row r="3800" spans="1:3">
      <c r="A3800" s="177">
        <v>951700308</v>
      </c>
      <c r="B3800" s="116" t="str">
        <f t="shared" si="59"/>
        <v>95-951700308</v>
      </c>
      <c r="C3800" s="179" t="s">
        <v>7185</v>
      </c>
    </row>
    <row r="3801" spans="1:3">
      <c r="A3801" s="177">
        <v>961700072</v>
      </c>
      <c r="B3801" s="116" t="str">
        <f t="shared" si="59"/>
        <v>96-961700072</v>
      </c>
      <c r="C3801" s="179" t="s">
        <v>8146</v>
      </c>
    </row>
    <row r="3802" spans="1:3">
      <c r="A3802" s="177">
        <v>961600014</v>
      </c>
      <c r="B3802" s="116" t="str">
        <f t="shared" si="59"/>
        <v>96-961600014</v>
      </c>
      <c r="C3802" s="179" t="s">
        <v>7136</v>
      </c>
    </row>
    <row r="3803" spans="1:3">
      <c r="A3803" s="177">
        <v>951700081</v>
      </c>
      <c r="B3803" s="116" t="str">
        <f t="shared" si="59"/>
        <v>95-951700081</v>
      </c>
      <c r="C3803" s="179" t="s">
        <v>7534</v>
      </c>
    </row>
    <row r="3804" spans="1:3">
      <c r="A3804" s="177">
        <v>951400156</v>
      </c>
      <c r="B3804" s="116" t="str">
        <f t="shared" si="59"/>
        <v>95-951400156</v>
      </c>
      <c r="C3804" s="179" t="s">
        <v>7535</v>
      </c>
    </row>
    <row r="3805" spans="1:3">
      <c r="A3805" s="177">
        <v>951400161</v>
      </c>
      <c r="B3805" s="116" t="str">
        <f t="shared" si="59"/>
        <v>95-951400161</v>
      </c>
      <c r="C3805" s="179" t="s">
        <v>7535</v>
      </c>
    </row>
    <row r="3806" spans="1:3">
      <c r="A3806" s="177">
        <v>951700127</v>
      </c>
      <c r="B3806" s="116" t="str">
        <f t="shared" si="59"/>
        <v>95-951700127</v>
      </c>
      <c r="C3806" s="179" t="s">
        <v>7537</v>
      </c>
    </row>
    <row r="3807" spans="1:3">
      <c r="A3807" s="177">
        <v>951700236</v>
      </c>
      <c r="B3807" s="116" t="str">
        <f t="shared" si="59"/>
        <v>95-951700236</v>
      </c>
      <c r="C3807" s="179" t="s">
        <v>7180</v>
      </c>
    </row>
    <row r="3808" spans="1:3">
      <c r="A3808" s="177">
        <v>951700239</v>
      </c>
      <c r="B3808" s="116" t="str">
        <f t="shared" si="59"/>
        <v>95-951700239</v>
      </c>
      <c r="C3808" s="179" t="s">
        <v>8153</v>
      </c>
    </row>
    <row r="3809" spans="1:3">
      <c r="A3809" s="177">
        <v>951700262</v>
      </c>
      <c r="B3809" s="116" t="str">
        <f t="shared" si="59"/>
        <v>95-951700262</v>
      </c>
      <c r="C3809" s="179" t="s">
        <v>8153</v>
      </c>
    </row>
    <row r="3810" spans="1:3">
      <c r="A3810" s="177">
        <v>951700294</v>
      </c>
      <c r="B3810" s="116" t="str">
        <f t="shared" si="59"/>
        <v>95-951700294</v>
      </c>
      <c r="C3810" s="179" t="s">
        <v>7179</v>
      </c>
    </row>
    <row r="3811" spans="1:3">
      <c r="A3811" s="177">
        <v>951800038</v>
      </c>
      <c r="B3811" s="116" t="str">
        <f t="shared" si="59"/>
        <v>95-951800038</v>
      </c>
      <c r="C3811" s="179" t="s">
        <v>7848</v>
      </c>
    </row>
    <row r="3812" spans="1:3">
      <c r="A3812" s="177">
        <v>951900188</v>
      </c>
      <c r="B3812" s="116" t="str">
        <f t="shared" si="59"/>
        <v>95-951900188</v>
      </c>
      <c r="C3812" s="179" t="s">
        <v>7849</v>
      </c>
    </row>
    <row r="3813" spans="1:3">
      <c r="A3813" s="177">
        <v>951700339</v>
      </c>
      <c r="B3813" s="116" t="str">
        <f t="shared" si="59"/>
        <v>95-951700339</v>
      </c>
      <c r="C3813" s="179" t="s">
        <v>7850</v>
      </c>
    </row>
    <row r="3814" spans="1:3">
      <c r="A3814" s="177">
        <v>961800063</v>
      </c>
      <c r="B3814" s="116" t="str">
        <f t="shared" si="59"/>
        <v>96-961800063</v>
      </c>
      <c r="C3814" s="179" t="s">
        <v>7170</v>
      </c>
    </row>
    <row r="3815" spans="1:3">
      <c r="A3815" s="177">
        <v>951900021</v>
      </c>
      <c r="B3815" s="116" t="str">
        <f t="shared" si="59"/>
        <v>95-951900021</v>
      </c>
      <c r="C3815" s="179" t="s">
        <v>7851</v>
      </c>
    </row>
    <row r="3816" spans="1:3">
      <c r="A3816" s="177">
        <v>951400079</v>
      </c>
      <c r="B3816" s="116" t="str">
        <f t="shared" si="59"/>
        <v>95-951400079</v>
      </c>
      <c r="C3816" s="179" t="s">
        <v>7533</v>
      </c>
    </row>
    <row r="3817" spans="1:3">
      <c r="A3817" s="177">
        <v>951700361</v>
      </c>
      <c r="B3817" s="116" t="str">
        <f t="shared" si="59"/>
        <v>95-951700361</v>
      </c>
      <c r="C3817" s="179" t="s">
        <v>8157</v>
      </c>
    </row>
    <row r="3818" spans="1:3">
      <c r="A3818" s="177">
        <v>951400155</v>
      </c>
      <c r="B3818" s="116" t="str">
        <f t="shared" si="59"/>
        <v>95-951400155</v>
      </c>
      <c r="C3818" s="179" t="s">
        <v>7535</v>
      </c>
    </row>
    <row r="3819" spans="1:3">
      <c r="A3819" s="177">
        <v>951400164</v>
      </c>
      <c r="B3819" s="116" t="str">
        <f t="shared" si="59"/>
        <v>95-951400164</v>
      </c>
      <c r="C3819" s="179" t="s">
        <v>7535</v>
      </c>
    </row>
    <row r="3820" spans="1:3">
      <c r="A3820" s="177">
        <v>951900084</v>
      </c>
      <c r="B3820" s="116" t="str">
        <f t="shared" si="59"/>
        <v>95-951900084</v>
      </c>
      <c r="C3820" s="179" t="s">
        <v>8158</v>
      </c>
    </row>
    <row r="3821" spans="1:3">
      <c r="A3821" s="177">
        <v>951700117</v>
      </c>
      <c r="B3821" s="116" t="str">
        <f t="shared" si="59"/>
        <v>95-951700117</v>
      </c>
      <c r="C3821" s="179" t="s">
        <v>7537</v>
      </c>
    </row>
    <row r="3822" spans="1:3">
      <c r="A3822" s="177">
        <v>951700258</v>
      </c>
      <c r="B3822" s="116" t="str">
        <f t="shared" si="59"/>
        <v>95-951700258</v>
      </c>
      <c r="C3822" s="179" t="s">
        <v>7180</v>
      </c>
    </row>
    <row r="3823" spans="1:3">
      <c r="A3823" s="177">
        <v>951700265</v>
      </c>
      <c r="B3823" s="116" t="str">
        <f t="shared" si="59"/>
        <v>95-951700265</v>
      </c>
      <c r="C3823" s="179" t="s">
        <v>7179</v>
      </c>
    </row>
    <row r="3824" spans="1:3">
      <c r="A3824" s="177">
        <v>961700004</v>
      </c>
      <c r="B3824" s="116" t="str">
        <f t="shared" si="59"/>
        <v>96-961700004</v>
      </c>
      <c r="C3824" s="179" t="s">
        <v>7540</v>
      </c>
    </row>
    <row r="3825" spans="1:3">
      <c r="A3825" s="177">
        <v>961700016</v>
      </c>
      <c r="B3825" s="116" t="str">
        <f t="shared" si="59"/>
        <v>96-961700016</v>
      </c>
      <c r="C3825" s="179" t="s">
        <v>7541</v>
      </c>
    </row>
    <row r="3826" spans="1:3">
      <c r="A3826" s="177">
        <v>961700135</v>
      </c>
      <c r="B3826" s="116" t="str">
        <f t="shared" si="59"/>
        <v>96-961700135</v>
      </c>
      <c r="C3826" s="179" t="s">
        <v>7199</v>
      </c>
    </row>
    <row r="3827" spans="1:3">
      <c r="A3827" s="177">
        <v>956200030</v>
      </c>
      <c r="B3827" s="116" t="str">
        <f t="shared" si="59"/>
        <v>95-956200030</v>
      </c>
      <c r="C3827" s="179" t="s">
        <v>7915</v>
      </c>
    </row>
    <row r="3828" spans="1:3">
      <c r="A3828" s="177">
        <v>956200032</v>
      </c>
      <c r="B3828" s="116" t="str">
        <f t="shared" si="59"/>
        <v>95-956200032</v>
      </c>
      <c r="C3828" s="179" t="s">
        <v>7915</v>
      </c>
    </row>
    <row r="3829" spans="1:3">
      <c r="A3829" s="177">
        <v>956200053</v>
      </c>
      <c r="B3829" s="116" t="str">
        <f t="shared" si="59"/>
        <v>95-956200053</v>
      </c>
      <c r="C3829" s="179" t="s">
        <v>7916</v>
      </c>
    </row>
    <row r="3830" spans="1:3">
      <c r="A3830" s="177">
        <v>956200056</v>
      </c>
      <c r="B3830" s="116" t="str">
        <f t="shared" si="59"/>
        <v>95-956200056</v>
      </c>
      <c r="C3830" s="179" t="s">
        <v>7917</v>
      </c>
    </row>
    <row r="3831" spans="1:3">
      <c r="A3831" s="177">
        <v>952000225</v>
      </c>
      <c r="B3831" s="116" t="str">
        <f t="shared" si="59"/>
        <v>95-952000225</v>
      </c>
      <c r="C3831" s="179" t="s">
        <v>7905</v>
      </c>
    </row>
    <row r="3832" spans="1:3">
      <c r="A3832" s="177">
        <v>956200272</v>
      </c>
      <c r="B3832" s="116" t="str">
        <f t="shared" si="59"/>
        <v>95-956200272</v>
      </c>
      <c r="C3832" s="179" t="s">
        <v>7918</v>
      </c>
    </row>
    <row r="3833" spans="1:3">
      <c r="A3833" s="177">
        <v>966200367</v>
      </c>
      <c r="B3833" s="116" t="str">
        <f t="shared" si="59"/>
        <v>96-966200367</v>
      </c>
      <c r="C3833" s="179" t="s">
        <v>12303</v>
      </c>
    </row>
    <row r="3834" spans="1:3">
      <c r="A3834" s="177">
        <v>956200222</v>
      </c>
      <c r="B3834" s="116" t="str">
        <f t="shared" si="59"/>
        <v>95-956200222</v>
      </c>
      <c r="C3834" s="179" t="s">
        <v>7919</v>
      </c>
    </row>
    <row r="3835" spans="1:3">
      <c r="A3835" s="177">
        <v>956200224</v>
      </c>
      <c r="B3835" s="116" t="str">
        <f t="shared" si="59"/>
        <v>95-956200224</v>
      </c>
      <c r="C3835" s="179" t="s">
        <v>7919</v>
      </c>
    </row>
    <row r="3836" spans="1:3">
      <c r="A3836" s="177">
        <v>964300027</v>
      </c>
      <c r="B3836" s="116" t="str">
        <f t="shared" si="59"/>
        <v>96-964300027</v>
      </c>
      <c r="C3836" s="179" t="s">
        <v>9765</v>
      </c>
    </row>
    <row r="3837" spans="1:3">
      <c r="A3837" s="177">
        <v>951700355</v>
      </c>
      <c r="B3837" s="116" t="str">
        <f t="shared" si="59"/>
        <v>95-951700355</v>
      </c>
      <c r="C3837" s="179" t="s">
        <v>8154</v>
      </c>
    </row>
    <row r="3838" spans="1:3">
      <c r="A3838" s="177">
        <v>961700017</v>
      </c>
      <c r="B3838" s="116" t="str">
        <f t="shared" si="59"/>
        <v>96-961700017</v>
      </c>
      <c r="C3838" s="179" t="s">
        <v>7541</v>
      </c>
    </row>
    <row r="3839" spans="1:3">
      <c r="A3839" s="177">
        <v>951900266</v>
      </c>
      <c r="B3839" s="116" t="str">
        <f t="shared" si="59"/>
        <v>95-951900266</v>
      </c>
      <c r="C3839" s="179" t="s">
        <v>8168</v>
      </c>
    </row>
    <row r="3840" spans="1:3">
      <c r="A3840" s="177">
        <v>951800010</v>
      </c>
      <c r="B3840" s="116" t="str">
        <f t="shared" si="59"/>
        <v>95-951800010</v>
      </c>
      <c r="C3840" s="179" t="s">
        <v>8169</v>
      </c>
    </row>
    <row r="3841" spans="1:3">
      <c r="A3841" s="177">
        <v>951800031</v>
      </c>
      <c r="B3841" s="116" t="str">
        <f t="shared" si="59"/>
        <v>95-951800031</v>
      </c>
      <c r="C3841" s="179" t="s">
        <v>8170</v>
      </c>
    </row>
    <row r="3842" spans="1:3">
      <c r="A3842" s="177">
        <v>951900116</v>
      </c>
      <c r="B3842" s="116" t="str">
        <f t="shared" si="59"/>
        <v>95-951900116</v>
      </c>
      <c r="C3842" s="179" t="s">
        <v>8171</v>
      </c>
    </row>
    <row r="3843" spans="1:3">
      <c r="A3843" s="177">
        <v>951800135</v>
      </c>
      <c r="B3843" s="116" t="str">
        <f t="shared" ref="B3843:B3906" si="60">MID(A3843,1,2)&amp;"-"&amp;A3843</f>
        <v>95-951800135</v>
      </c>
      <c r="C3843" s="179" t="s">
        <v>8172</v>
      </c>
    </row>
    <row r="3844" spans="1:3">
      <c r="A3844" s="177">
        <v>962000446</v>
      </c>
      <c r="B3844" s="116" t="str">
        <f t="shared" si="60"/>
        <v>96-962000446</v>
      </c>
      <c r="C3844" s="179" t="s">
        <v>12184</v>
      </c>
    </row>
    <row r="3845" spans="1:3">
      <c r="A3845" s="177">
        <v>961700048</v>
      </c>
      <c r="B3845" s="116" t="str">
        <f t="shared" si="60"/>
        <v>96-961700048</v>
      </c>
      <c r="C3845" s="179" t="s">
        <v>7655</v>
      </c>
    </row>
    <row r="3846" spans="1:3">
      <c r="A3846" s="177">
        <v>961900078</v>
      </c>
      <c r="B3846" s="116" t="str">
        <f t="shared" si="60"/>
        <v>96-961900078</v>
      </c>
      <c r="C3846" s="179" t="s">
        <v>7867</v>
      </c>
    </row>
    <row r="3847" spans="1:3">
      <c r="A3847" s="177">
        <v>951400016</v>
      </c>
      <c r="B3847" s="116" t="str">
        <f t="shared" si="60"/>
        <v>95-951400016</v>
      </c>
      <c r="C3847" s="179" t="s">
        <v>7868</v>
      </c>
    </row>
    <row r="3848" spans="1:3">
      <c r="A3848" s="177">
        <v>951900038</v>
      </c>
      <c r="B3848" s="116" t="str">
        <f t="shared" si="60"/>
        <v>95-951900038</v>
      </c>
      <c r="C3848" s="179" t="s">
        <v>7869</v>
      </c>
    </row>
    <row r="3849" spans="1:3">
      <c r="A3849" s="177">
        <v>951400060</v>
      </c>
      <c r="B3849" s="116" t="str">
        <f t="shared" si="60"/>
        <v>95-951400060</v>
      </c>
      <c r="C3849" s="179" t="s">
        <v>7808</v>
      </c>
    </row>
    <row r="3850" spans="1:3">
      <c r="A3850" s="177">
        <v>951900029</v>
      </c>
      <c r="B3850" s="116" t="str">
        <f t="shared" si="60"/>
        <v>95-951900029</v>
      </c>
      <c r="C3850" s="179" t="s">
        <v>7826</v>
      </c>
    </row>
    <row r="3851" spans="1:3">
      <c r="A3851" s="177">
        <v>951600072</v>
      </c>
      <c r="B3851" s="116" t="str">
        <f t="shared" si="60"/>
        <v>95-951600072</v>
      </c>
      <c r="C3851" s="179" t="s">
        <v>7870</v>
      </c>
    </row>
    <row r="3852" spans="1:3">
      <c r="A3852" s="177">
        <v>951100003</v>
      </c>
      <c r="B3852" s="116" t="str">
        <f t="shared" si="60"/>
        <v>95-951100003</v>
      </c>
      <c r="C3852" s="179" t="s">
        <v>8034</v>
      </c>
    </row>
    <row r="3853" spans="1:3">
      <c r="A3853" s="177">
        <v>966200060</v>
      </c>
      <c r="B3853" s="116" t="str">
        <f t="shared" si="60"/>
        <v>96-966200060</v>
      </c>
      <c r="C3853" s="179" t="s">
        <v>7345</v>
      </c>
    </row>
    <row r="3854" spans="1:3">
      <c r="A3854" s="177">
        <v>961700136</v>
      </c>
      <c r="B3854" s="116" t="str">
        <f t="shared" si="60"/>
        <v>96-961700136</v>
      </c>
      <c r="C3854" s="179" t="s">
        <v>7199</v>
      </c>
    </row>
    <row r="3855" spans="1:3">
      <c r="A3855" s="177">
        <v>961800045</v>
      </c>
      <c r="B3855" s="116" t="str">
        <f t="shared" si="60"/>
        <v>96-961800045</v>
      </c>
      <c r="C3855" s="179" t="s">
        <v>8163</v>
      </c>
    </row>
    <row r="3856" spans="1:3">
      <c r="A3856" s="177">
        <v>951900272</v>
      </c>
      <c r="B3856" s="116" t="str">
        <f t="shared" si="60"/>
        <v>95-951900272</v>
      </c>
      <c r="C3856" s="179" t="s">
        <v>8165</v>
      </c>
    </row>
    <row r="3857" spans="1:3">
      <c r="A3857" s="177">
        <v>951600003</v>
      </c>
      <c r="B3857" s="116" t="str">
        <f t="shared" si="60"/>
        <v>95-951600003</v>
      </c>
      <c r="C3857" s="179" t="s">
        <v>8166</v>
      </c>
    </row>
    <row r="3858" spans="1:3">
      <c r="A3858" s="177">
        <v>951800124</v>
      </c>
      <c r="B3858" s="116" t="str">
        <f t="shared" si="60"/>
        <v>95-951800124</v>
      </c>
      <c r="C3858" s="179" t="s">
        <v>7672</v>
      </c>
    </row>
    <row r="3859" spans="1:3">
      <c r="A3859" s="177">
        <v>961900008</v>
      </c>
      <c r="B3859" s="116" t="str">
        <f t="shared" si="60"/>
        <v>96-961900008</v>
      </c>
      <c r="C3859" s="179" t="s">
        <v>7598</v>
      </c>
    </row>
    <row r="3860" spans="1:3">
      <c r="A3860" s="177">
        <v>951900185</v>
      </c>
      <c r="B3860" s="116" t="str">
        <f t="shared" si="60"/>
        <v>95-951900185</v>
      </c>
      <c r="C3860" s="179" t="s">
        <v>7548</v>
      </c>
    </row>
    <row r="3861" spans="1:3">
      <c r="A3861" s="177">
        <v>951900040</v>
      </c>
      <c r="B3861" s="116" t="str">
        <f t="shared" si="60"/>
        <v>95-951900040</v>
      </c>
      <c r="C3861" s="179" t="s">
        <v>8175</v>
      </c>
    </row>
    <row r="3862" spans="1:3">
      <c r="A3862" s="177">
        <v>951700218</v>
      </c>
      <c r="B3862" s="116" t="str">
        <f t="shared" si="60"/>
        <v>95-951700218</v>
      </c>
      <c r="C3862" s="179" t="s">
        <v>7549</v>
      </c>
    </row>
    <row r="3863" spans="1:3">
      <c r="A3863" s="177">
        <v>961800047</v>
      </c>
      <c r="B3863" s="116" t="str">
        <f t="shared" si="60"/>
        <v>96-961800047</v>
      </c>
      <c r="C3863" s="179" t="s">
        <v>7554</v>
      </c>
    </row>
    <row r="3864" spans="1:3">
      <c r="A3864" s="177">
        <v>951700002</v>
      </c>
      <c r="B3864" s="116" t="str">
        <f t="shared" si="60"/>
        <v>95-951700002</v>
      </c>
      <c r="C3864" s="179" t="s">
        <v>8176</v>
      </c>
    </row>
    <row r="3865" spans="1:3">
      <c r="A3865" s="177">
        <v>961100081</v>
      </c>
      <c r="B3865" s="116" t="str">
        <f t="shared" si="60"/>
        <v>96-961100081</v>
      </c>
      <c r="C3865" s="179" t="s">
        <v>8750</v>
      </c>
    </row>
    <row r="3866" spans="1:3">
      <c r="A3866" s="177">
        <v>951700210</v>
      </c>
      <c r="B3866" s="116" t="str">
        <f t="shared" si="60"/>
        <v>95-951700210</v>
      </c>
      <c r="C3866" s="179" t="s">
        <v>7872</v>
      </c>
    </row>
    <row r="3867" spans="1:3">
      <c r="A3867" s="177">
        <v>951900194</v>
      </c>
      <c r="B3867" s="116" t="str">
        <f t="shared" si="60"/>
        <v>95-951900194</v>
      </c>
      <c r="C3867" s="179" t="s">
        <v>7873</v>
      </c>
    </row>
    <row r="3868" spans="1:3">
      <c r="A3868" s="177">
        <v>951900207</v>
      </c>
      <c r="B3868" s="116" t="str">
        <f t="shared" si="60"/>
        <v>95-951900207</v>
      </c>
      <c r="C3868" s="179" t="s">
        <v>7873</v>
      </c>
    </row>
    <row r="3869" spans="1:3">
      <c r="A3869" s="177">
        <v>951600057</v>
      </c>
      <c r="B3869" s="116" t="str">
        <f t="shared" si="60"/>
        <v>95-951600057</v>
      </c>
      <c r="C3869" s="179" t="s">
        <v>7874</v>
      </c>
    </row>
    <row r="3870" spans="1:3">
      <c r="A3870" s="177">
        <v>951400065</v>
      </c>
      <c r="B3870" s="116" t="str">
        <f t="shared" si="60"/>
        <v>95-951400065</v>
      </c>
      <c r="C3870" s="179" t="s">
        <v>7875</v>
      </c>
    </row>
    <row r="3871" spans="1:3">
      <c r="A3871" s="177">
        <v>951900240</v>
      </c>
      <c r="B3871" s="116" t="str">
        <f t="shared" si="60"/>
        <v>95-951900240</v>
      </c>
      <c r="C3871" s="179" t="s">
        <v>7876</v>
      </c>
    </row>
    <row r="3872" spans="1:3">
      <c r="A3872" s="177">
        <v>951300011</v>
      </c>
      <c r="B3872" s="116" t="str">
        <f t="shared" si="60"/>
        <v>95-951300011</v>
      </c>
      <c r="C3872" s="179" t="s">
        <v>7680</v>
      </c>
    </row>
    <row r="3873" spans="1:3">
      <c r="A3873" s="177">
        <v>961100061</v>
      </c>
      <c r="B3873" s="116" t="str">
        <f t="shared" si="60"/>
        <v>96-961100061</v>
      </c>
      <c r="C3873" s="179" t="s">
        <v>8180</v>
      </c>
    </row>
    <row r="3874" spans="1:3">
      <c r="A3874" s="177">
        <v>951900215</v>
      </c>
      <c r="B3874" s="116" t="str">
        <f t="shared" si="60"/>
        <v>95-951900215</v>
      </c>
      <c r="C3874" s="179" t="s">
        <v>8181</v>
      </c>
    </row>
    <row r="3875" spans="1:3">
      <c r="A3875" s="177">
        <v>951100178</v>
      </c>
      <c r="B3875" s="116" t="str">
        <f t="shared" si="60"/>
        <v>95-951100178</v>
      </c>
      <c r="C3875" s="179" t="s">
        <v>8182</v>
      </c>
    </row>
    <row r="3876" spans="1:3">
      <c r="A3876" s="177">
        <v>951100191</v>
      </c>
      <c r="B3876" s="116" t="str">
        <f t="shared" si="60"/>
        <v>95-951100191</v>
      </c>
      <c r="C3876" s="179" t="s">
        <v>8183</v>
      </c>
    </row>
    <row r="3877" spans="1:3">
      <c r="A3877" s="177">
        <v>961100025</v>
      </c>
      <c r="B3877" s="116" t="str">
        <f t="shared" si="60"/>
        <v>96-961100025</v>
      </c>
      <c r="C3877" s="179" t="s">
        <v>8184</v>
      </c>
    </row>
    <row r="3878" spans="1:3">
      <c r="A3878" s="177">
        <v>951600012</v>
      </c>
      <c r="B3878" s="116" t="str">
        <f t="shared" si="60"/>
        <v>95-951600012</v>
      </c>
      <c r="C3878" s="179" t="s">
        <v>7766</v>
      </c>
    </row>
    <row r="3879" spans="1:3">
      <c r="A3879" s="177">
        <v>951900311</v>
      </c>
      <c r="B3879" s="116" t="str">
        <f t="shared" si="60"/>
        <v>95-951900311</v>
      </c>
      <c r="C3879" s="179" t="s">
        <v>8177</v>
      </c>
    </row>
    <row r="3880" spans="1:3">
      <c r="A3880" s="177">
        <v>951800129</v>
      </c>
      <c r="B3880" s="116" t="str">
        <f t="shared" si="60"/>
        <v>95-951800129</v>
      </c>
      <c r="C3880" s="179" t="s">
        <v>7711</v>
      </c>
    </row>
    <row r="3881" spans="1:3">
      <c r="A3881" s="177">
        <v>961900141</v>
      </c>
      <c r="B3881" s="116" t="str">
        <f t="shared" si="60"/>
        <v>96-961900141</v>
      </c>
      <c r="C3881" s="179" t="s">
        <v>8185</v>
      </c>
    </row>
    <row r="3882" spans="1:3">
      <c r="A3882" s="177">
        <v>951400047</v>
      </c>
      <c r="B3882" s="116" t="str">
        <f t="shared" si="60"/>
        <v>95-951400047</v>
      </c>
      <c r="C3882" s="179" t="s">
        <v>8186</v>
      </c>
    </row>
    <row r="3883" spans="1:3">
      <c r="A3883" s="177">
        <v>951300037</v>
      </c>
      <c r="B3883" s="116" t="str">
        <f t="shared" si="60"/>
        <v>95-951300037</v>
      </c>
      <c r="C3883" s="179" t="s">
        <v>7665</v>
      </c>
    </row>
    <row r="3884" spans="1:3">
      <c r="A3884" s="177">
        <v>951900031</v>
      </c>
      <c r="B3884" s="116" t="str">
        <f t="shared" si="60"/>
        <v>95-951900031</v>
      </c>
      <c r="C3884" s="179" t="s">
        <v>7877</v>
      </c>
    </row>
    <row r="3885" spans="1:3">
      <c r="A3885" s="177">
        <v>951900301</v>
      </c>
      <c r="B3885" s="116" t="str">
        <f t="shared" si="60"/>
        <v>95-951900301</v>
      </c>
      <c r="C3885" s="179" t="s">
        <v>7878</v>
      </c>
    </row>
    <row r="3886" spans="1:3">
      <c r="A3886" s="177">
        <v>961900006</v>
      </c>
      <c r="B3886" s="116" t="str">
        <f t="shared" si="60"/>
        <v>96-961900006</v>
      </c>
      <c r="C3886" s="179" t="s">
        <v>7598</v>
      </c>
    </row>
    <row r="3887" spans="1:3">
      <c r="A3887" s="177">
        <v>951100091</v>
      </c>
      <c r="B3887" s="116" t="str">
        <f t="shared" si="60"/>
        <v>95-951100091</v>
      </c>
      <c r="C3887" s="179" t="s">
        <v>7920</v>
      </c>
    </row>
    <row r="3888" spans="1:3">
      <c r="A3888" s="177">
        <v>951100152</v>
      </c>
      <c r="B3888" s="116" t="str">
        <f t="shared" si="60"/>
        <v>95-951100152</v>
      </c>
      <c r="C3888" s="179" t="s">
        <v>8047</v>
      </c>
    </row>
    <row r="3889" spans="1:3">
      <c r="A3889" s="177">
        <v>962000235</v>
      </c>
      <c r="B3889" s="116" t="str">
        <f t="shared" si="60"/>
        <v>96-962000235</v>
      </c>
      <c r="C3889" s="179" t="s">
        <v>7112</v>
      </c>
    </row>
    <row r="3890" spans="1:3">
      <c r="A3890" s="177">
        <v>952000292</v>
      </c>
      <c r="B3890" s="116" t="str">
        <f t="shared" si="60"/>
        <v>95-952000292</v>
      </c>
      <c r="C3890" s="179" t="s">
        <v>7329</v>
      </c>
    </row>
    <row r="3891" spans="1:3">
      <c r="A3891" s="177">
        <v>962000479</v>
      </c>
      <c r="B3891" s="116" t="str">
        <f t="shared" si="60"/>
        <v>96-962000479</v>
      </c>
      <c r="C3891" s="179" t="s">
        <v>12184</v>
      </c>
    </row>
    <row r="3892" spans="1:3">
      <c r="A3892" s="177">
        <v>962000038</v>
      </c>
      <c r="B3892" s="116" t="str">
        <f t="shared" si="60"/>
        <v>96-962000038</v>
      </c>
      <c r="C3892" s="179" t="s">
        <v>7112</v>
      </c>
    </row>
    <row r="3893" spans="1:3">
      <c r="A3893" s="177">
        <v>951900080</v>
      </c>
      <c r="B3893" s="116" t="str">
        <f t="shared" si="60"/>
        <v>95-951900080</v>
      </c>
      <c r="C3893" s="179" t="s">
        <v>8187</v>
      </c>
    </row>
    <row r="3894" spans="1:3">
      <c r="A3894" s="177">
        <v>951900233</v>
      </c>
      <c r="B3894" s="116" t="str">
        <f t="shared" si="60"/>
        <v>95-951900233</v>
      </c>
      <c r="C3894" s="179" t="s">
        <v>8188</v>
      </c>
    </row>
    <row r="3895" spans="1:3">
      <c r="A3895" s="177">
        <v>951900162</v>
      </c>
      <c r="B3895" s="116" t="str">
        <f t="shared" si="60"/>
        <v>95-951900162</v>
      </c>
      <c r="C3895" s="179" t="s">
        <v>8189</v>
      </c>
    </row>
    <row r="3896" spans="1:3">
      <c r="A3896" s="177">
        <v>951900004</v>
      </c>
      <c r="B3896" s="116" t="str">
        <f t="shared" si="60"/>
        <v>95-951900004</v>
      </c>
      <c r="C3896" s="179" t="s">
        <v>8190</v>
      </c>
    </row>
    <row r="3897" spans="1:3">
      <c r="A3897" s="177">
        <v>962000215</v>
      </c>
      <c r="B3897" s="116" t="str">
        <f t="shared" si="60"/>
        <v>96-962000215</v>
      </c>
      <c r="C3897" s="179" t="s">
        <v>7112</v>
      </c>
    </row>
    <row r="3898" spans="1:3">
      <c r="A3898" s="177">
        <v>966200126</v>
      </c>
      <c r="B3898" s="116" t="str">
        <f t="shared" si="60"/>
        <v>96-966200126</v>
      </c>
      <c r="C3898" s="179" t="s">
        <v>7293</v>
      </c>
    </row>
    <row r="3899" spans="1:3">
      <c r="A3899" s="177">
        <v>956200148</v>
      </c>
      <c r="B3899" s="116" t="str">
        <f t="shared" si="60"/>
        <v>95-956200148</v>
      </c>
      <c r="C3899" s="179" t="s">
        <v>8040</v>
      </c>
    </row>
    <row r="3900" spans="1:3">
      <c r="A3900" s="177">
        <v>951900064</v>
      </c>
      <c r="B3900" s="116" t="str">
        <f t="shared" si="60"/>
        <v>95-951900064</v>
      </c>
      <c r="C3900" s="179" t="s">
        <v>7881</v>
      </c>
    </row>
    <row r="3901" spans="1:3">
      <c r="A3901" s="177">
        <v>951400077</v>
      </c>
      <c r="B3901" s="116" t="str">
        <f t="shared" si="60"/>
        <v>95-951400077</v>
      </c>
      <c r="C3901" s="179" t="s">
        <v>7882</v>
      </c>
    </row>
    <row r="3902" spans="1:3">
      <c r="A3902" s="177">
        <v>951900089</v>
      </c>
      <c r="B3902" s="116" t="str">
        <f t="shared" si="60"/>
        <v>95-951900089</v>
      </c>
      <c r="C3902" s="179" t="s">
        <v>7883</v>
      </c>
    </row>
    <row r="3903" spans="1:3">
      <c r="A3903" s="177">
        <v>951400105</v>
      </c>
      <c r="B3903" s="116" t="str">
        <f t="shared" si="60"/>
        <v>95-951400105</v>
      </c>
      <c r="C3903" s="179" t="s">
        <v>7884</v>
      </c>
    </row>
    <row r="3904" spans="1:3">
      <c r="A3904" s="177">
        <v>951900257</v>
      </c>
      <c r="B3904" s="116" t="str">
        <f t="shared" si="60"/>
        <v>95-951900257</v>
      </c>
      <c r="C3904" s="179" t="s">
        <v>7830</v>
      </c>
    </row>
    <row r="3905" spans="1:3">
      <c r="A3905" s="177">
        <v>951700358</v>
      </c>
      <c r="B3905" s="116" t="str">
        <f t="shared" si="60"/>
        <v>95-951700358</v>
      </c>
      <c r="C3905" s="179" t="s">
        <v>7885</v>
      </c>
    </row>
    <row r="3906" spans="1:3">
      <c r="A3906" s="177">
        <v>961900129</v>
      </c>
      <c r="B3906" s="116" t="str">
        <f t="shared" si="60"/>
        <v>96-961900129</v>
      </c>
      <c r="C3906" s="179" t="s">
        <v>7886</v>
      </c>
    </row>
    <row r="3907" spans="1:3">
      <c r="A3907" s="177">
        <v>961700121</v>
      </c>
      <c r="B3907" s="116" t="str">
        <f t="shared" ref="B3907:B3970" si="61">MID(A3907,1,2)&amp;"-"&amp;A3907</f>
        <v>96-961700121</v>
      </c>
      <c r="C3907" s="179" t="s">
        <v>7160</v>
      </c>
    </row>
    <row r="3908" spans="1:3">
      <c r="A3908" s="177">
        <v>961700109</v>
      </c>
      <c r="B3908" s="116" t="str">
        <f t="shared" si="61"/>
        <v>96-961700109</v>
      </c>
      <c r="C3908" s="179" t="s">
        <v>8324</v>
      </c>
    </row>
    <row r="3909" spans="1:3">
      <c r="A3909" s="177">
        <v>951100189</v>
      </c>
      <c r="B3909" s="116" t="str">
        <f t="shared" si="61"/>
        <v>95-951100189</v>
      </c>
      <c r="C3909" s="179" t="s">
        <v>8195</v>
      </c>
    </row>
    <row r="3910" spans="1:3">
      <c r="A3910" s="177">
        <v>951700104</v>
      </c>
      <c r="B3910" s="116" t="str">
        <f t="shared" si="61"/>
        <v>95-951700104</v>
      </c>
      <c r="C3910" s="179" t="s">
        <v>8196</v>
      </c>
    </row>
    <row r="3911" spans="1:3">
      <c r="A3911" s="177">
        <v>961900144</v>
      </c>
      <c r="B3911" s="116" t="str">
        <f t="shared" si="61"/>
        <v>96-961900144</v>
      </c>
      <c r="C3911" s="179" t="s">
        <v>8194</v>
      </c>
    </row>
    <row r="3912" spans="1:3">
      <c r="A3912" s="177">
        <v>961400014</v>
      </c>
      <c r="B3912" s="116" t="str">
        <f t="shared" si="61"/>
        <v>96-961400014</v>
      </c>
      <c r="C3912" s="179" t="s">
        <v>8197</v>
      </c>
    </row>
    <row r="3913" spans="1:3">
      <c r="A3913" s="177">
        <v>951700130</v>
      </c>
      <c r="B3913" s="116" t="str">
        <f t="shared" si="61"/>
        <v>95-951700130</v>
      </c>
      <c r="C3913" s="179" t="s">
        <v>7721</v>
      </c>
    </row>
    <row r="3914" spans="1:3">
      <c r="A3914" s="177">
        <v>951700063</v>
      </c>
      <c r="B3914" s="116" t="str">
        <f t="shared" si="61"/>
        <v>95-951700063</v>
      </c>
      <c r="C3914" s="179" t="s">
        <v>8198</v>
      </c>
    </row>
    <row r="3915" spans="1:3">
      <c r="A3915" s="177">
        <v>951900100</v>
      </c>
      <c r="B3915" s="116" t="str">
        <f t="shared" si="61"/>
        <v>95-951900100</v>
      </c>
      <c r="C3915" s="179" t="s">
        <v>8191</v>
      </c>
    </row>
    <row r="3916" spans="1:3">
      <c r="A3916" s="177">
        <v>961700108</v>
      </c>
      <c r="B3916" s="116" t="str">
        <f t="shared" si="61"/>
        <v>96-961700108</v>
      </c>
      <c r="C3916" s="179" t="s">
        <v>7772</v>
      </c>
    </row>
    <row r="3917" spans="1:3">
      <c r="A3917" s="177">
        <v>961800039</v>
      </c>
      <c r="B3917" s="116" t="str">
        <f t="shared" si="61"/>
        <v>96-961800039</v>
      </c>
      <c r="C3917" s="179" t="s">
        <v>8193</v>
      </c>
    </row>
    <row r="3918" spans="1:3">
      <c r="A3918" s="177">
        <v>951700250</v>
      </c>
      <c r="B3918" s="116" t="str">
        <f t="shared" si="61"/>
        <v>95-951700250</v>
      </c>
      <c r="C3918" s="179" t="s">
        <v>7721</v>
      </c>
    </row>
    <row r="3919" spans="1:3">
      <c r="A3919" s="177">
        <v>951900141</v>
      </c>
      <c r="B3919" s="116" t="str">
        <f t="shared" si="61"/>
        <v>95-951900141</v>
      </c>
      <c r="C3919" s="179" t="s">
        <v>7887</v>
      </c>
    </row>
    <row r="3920" spans="1:3">
      <c r="A3920" s="177">
        <v>951900067</v>
      </c>
      <c r="B3920" s="116" t="str">
        <f t="shared" si="61"/>
        <v>95-951900067</v>
      </c>
      <c r="C3920" s="179" t="s">
        <v>7619</v>
      </c>
    </row>
    <row r="3921" spans="1:3">
      <c r="A3921" s="177">
        <v>951400102</v>
      </c>
      <c r="B3921" s="116" t="str">
        <f t="shared" si="61"/>
        <v>95-951400102</v>
      </c>
      <c r="C3921" s="179" t="s">
        <v>7188</v>
      </c>
    </row>
    <row r="3922" spans="1:3">
      <c r="A3922" s="177">
        <v>951400130</v>
      </c>
      <c r="B3922" s="116" t="str">
        <f t="shared" si="61"/>
        <v>95-951400130</v>
      </c>
      <c r="C3922" s="179" t="s">
        <v>7164</v>
      </c>
    </row>
    <row r="3923" spans="1:3">
      <c r="A3923" s="177">
        <v>951700359</v>
      </c>
      <c r="B3923" s="116" t="str">
        <f t="shared" si="61"/>
        <v>95-951700359</v>
      </c>
      <c r="C3923" s="179" t="s">
        <v>7665</v>
      </c>
    </row>
    <row r="3924" spans="1:3">
      <c r="A3924" s="177">
        <v>951600097</v>
      </c>
      <c r="B3924" s="116" t="str">
        <f t="shared" si="61"/>
        <v>95-951600097</v>
      </c>
      <c r="C3924" s="179" t="s">
        <v>7888</v>
      </c>
    </row>
    <row r="3925" spans="1:3">
      <c r="A3925" s="177">
        <v>951900199</v>
      </c>
      <c r="B3925" s="116" t="str">
        <f t="shared" si="61"/>
        <v>95-951900199</v>
      </c>
      <c r="C3925" s="179" t="s">
        <v>7679</v>
      </c>
    </row>
    <row r="3926" spans="1:3">
      <c r="A3926" s="177">
        <v>961800041</v>
      </c>
      <c r="B3926" s="116" t="str">
        <f t="shared" si="61"/>
        <v>96-961800041</v>
      </c>
      <c r="C3926" s="179" t="s">
        <v>8206</v>
      </c>
    </row>
    <row r="3927" spans="1:3">
      <c r="A3927" s="177">
        <v>961800057</v>
      </c>
      <c r="B3927" s="116" t="str">
        <f t="shared" si="61"/>
        <v>96-961800057</v>
      </c>
      <c r="C3927" s="179" t="s">
        <v>7569</v>
      </c>
    </row>
    <row r="3928" spans="1:3">
      <c r="A3928" s="177">
        <v>951800076</v>
      </c>
      <c r="B3928" s="116" t="str">
        <f t="shared" si="61"/>
        <v>95-951800076</v>
      </c>
      <c r="C3928" s="179" t="s">
        <v>7729</v>
      </c>
    </row>
    <row r="3929" spans="1:3">
      <c r="A3929" s="177">
        <v>951100106</v>
      </c>
      <c r="B3929" s="116" t="str">
        <f t="shared" si="61"/>
        <v>95-951100106</v>
      </c>
      <c r="C3929" s="179" t="s">
        <v>7570</v>
      </c>
    </row>
    <row r="3930" spans="1:3">
      <c r="A3930" s="177">
        <v>961900001</v>
      </c>
      <c r="B3930" s="116" t="str">
        <f t="shared" si="61"/>
        <v>96-961900001</v>
      </c>
      <c r="C3930" s="179" t="s">
        <v>7598</v>
      </c>
    </row>
    <row r="3931" spans="1:3">
      <c r="A3931" s="177">
        <v>961900073</v>
      </c>
      <c r="B3931" s="116" t="str">
        <f t="shared" si="61"/>
        <v>96-961900073</v>
      </c>
      <c r="C3931" s="179" t="s">
        <v>8207</v>
      </c>
    </row>
    <row r="3932" spans="1:3">
      <c r="A3932" s="177">
        <v>951900148</v>
      </c>
      <c r="B3932" s="116" t="str">
        <f t="shared" si="61"/>
        <v>95-951900148</v>
      </c>
      <c r="C3932" s="179" t="s">
        <v>7571</v>
      </c>
    </row>
    <row r="3933" spans="1:3">
      <c r="A3933" s="177">
        <v>951900074</v>
      </c>
      <c r="B3933" s="116" t="str">
        <f t="shared" si="61"/>
        <v>95-951900074</v>
      </c>
      <c r="C3933" s="179" t="s">
        <v>8199</v>
      </c>
    </row>
    <row r="3934" spans="1:3">
      <c r="A3934" s="177">
        <v>951600088</v>
      </c>
      <c r="B3934" s="116" t="str">
        <f t="shared" si="61"/>
        <v>95-951600088</v>
      </c>
      <c r="C3934" s="179" t="s">
        <v>8200</v>
      </c>
    </row>
    <row r="3935" spans="1:3">
      <c r="A3935" s="177">
        <v>951700032</v>
      </c>
      <c r="B3935" s="116" t="str">
        <f t="shared" si="61"/>
        <v>95-951700032</v>
      </c>
      <c r="C3935" s="179" t="s">
        <v>8203</v>
      </c>
    </row>
    <row r="3936" spans="1:3">
      <c r="A3936" s="177">
        <v>951700072</v>
      </c>
      <c r="B3936" s="116" t="str">
        <f t="shared" si="61"/>
        <v>95-951700072</v>
      </c>
      <c r="C3936" s="179" t="s">
        <v>7877</v>
      </c>
    </row>
    <row r="3937" spans="1:3">
      <c r="A3937" s="177">
        <v>951400107</v>
      </c>
      <c r="B3937" s="116" t="str">
        <f t="shared" si="61"/>
        <v>95-951400107</v>
      </c>
      <c r="C3937" s="179" t="s">
        <v>7889</v>
      </c>
    </row>
    <row r="3938" spans="1:3">
      <c r="A3938" s="177">
        <v>951600073</v>
      </c>
      <c r="B3938" s="116" t="str">
        <f t="shared" si="61"/>
        <v>95-951600073</v>
      </c>
      <c r="C3938" s="179" t="s">
        <v>7839</v>
      </c>
    </row>
    <row r="3939" spans="1:3">
      <c r="A3939" s="177">
        <v>951600090</v>
      </c>
      <c r="B3939" s="116" t="str">
        <f t="shared" si="61"/>
        <v>95-951600090</v>
      </c>
      <c r="C3939" s="179" t="s">
        <v>7832</v>
      </c>
    </row>
    <row r="3940" spans="1:3">
      <c r="A3940" s="177">
        <v>951900284</v>
      </c>
      <c r="B3940" s="116" t="str">
        <f t="shared" si="61"/>
        <v>95-951900284</v>
      </c>
      <c r="C3940" s="179" t="s">
        <v>7652</v>
      </c>
    </row>
    <row r="3941" spans="1:3">
      <c r="A3941" s="177">
        <v>961900059</v>
      </c>
      <c r="B3941" s="116" t="str">
        <f t="shared" si="61"/>
        <v>96-961900059</v>
      </c>
      <c r="C3941" s="179" t="s">
        <v>7854</v>
      </c>
    </row>
    <row r="3942" spans="1:3">
      <c r="A3942" s="177">
        <v>951100126</v>
      </c>
      <c r="B3942" s="116" t="str">
        <f t="shared" si="61"/>
        <v>95-951100126</v>
      </c>
      <c r="C3942" s="179" t="s">
        <v>7921</v>
      </c>
    </row>
    <row r="3943" spans="1:3">
      <c r="A3943" s="177">
        <v>951900147</v>
      </c>
      <c r="B3943" s="116" t="str">
        <f t="shared" si="61"/>
        <v>95-951900147</v>
      </c>
      <c r="C3943" s="179" t="s">
        <v>8208</v>
      </c>
    </row>
    <row r="3944" spans="1:3">
      <c r="A3944" s="177">
        <v>961900158</v>
      </c>
      <c r="B3944" s="116" t="str">
        <f t="shared" si="61"/>
        <v>96-961900158</v>
      </c>
      <c r="C3944" s="179" t="s">
        <v>8567</v>
      </c>
    </row>
    <row r="3945" spans="1:3">
      <c r="A3945" s="177">
        <v>951900169</v>
      </c>
      <c r="B3945" s="116" t="str">
        <f t="shared" si="61"/>
        <v>95-951900169</v>
      </c>
      <c r="C3945" s="179" t="s">
        <v>7192</v>
      </c>
    </row>
    <row r="3946" spans="1:3">
      <c r="A3946" s="177">
        <v>951900085</v>
      </c>
      <c r="B3946" s="116" t="str">
        <f t="shared" si="61"/>
        <v>95-951900085</v>
      </c>
      <c r="C3946" s="179" t="s">
        <v>8216</v>
      </c>
    </row>
    <row r="3947" spans="1:3">
      <c r="A3947" s="177">
        <v>951900097</v>
      </c>
      <c r="B3947" s="116" t="str">
        <f t="shared" si="61"/>
        <v>95-951900097</v>
      </c>
      <c r="C3947" s="179" t="s">
        <v>8217</v>
      </c>
    </row>
    <row r="3948" spans="1:3">
      <c r="A3948" s="177">
        <v>951000001</v>
      </c>
      <c r="B3948" s="116" t="str">
        <f t="shared" si="61"/>
        <v>95-951000001</v>
      </c>
      <c r="C3948" s="179" t="s">
        <v>7890</v>
      </c>
    </row>
    <row r="3949" spans="1:3">
      <c r="A3949" s="177">
        <v>956100005</v>
      </c>
      <c r="B3949" s="116" t="str">
        <f t="shared" si="61"/>
        <v>95-956100005</v>
      </c>
      <c r="C3949" s="179" t="s">
        <v>7891</v>
      </c>
    </row>
    <row r="3950" spans="1:3">
      <c r="A3950" s="177">
        <v>961700111</v>
      </c>
      <c r="B3950" s="116" t="str">
        <f t="shared" si="61"/>
        <v>96-961700111</v>
      </c>
      <c r="C3950" s="179" t="s">
        <v>7209</v>
      </c>
    </row>
    <row r="3951" spans="1:3">
      <c r="A3951" s="177">
        <v>951900186</v>
      </c>
      <c r="B3951" s="116" t="str">
        <f t="shared" si="61"/>
        <v>95-951900186</v>
      </c>
      <c r="C3951" s="179" t="s">
        <v>7892</v>
      </c>
    </row>
    <row r="3952" spans="1:3">
      <c r="A3952" s="177">
        <v>951900300</v>
      </c>
      <c r="B3952" s="116" t="str">
        <f t="shared" si="61"/>
        <v>95-951900300</v>
      </c>
      <c r="C3952" s="179" t="s">
        <v>7878</v>
      </c>
    </row>
    <row r="3953" spans="1:3">
      <c r="A3953" s="177">
        <v>961900130</v>
      </c>
      <c r="B3953" s="116" t="str">
        <f t="shared" si="61"/>
        <v>96-961900130</v>
      </c>
      <c r="C3953" s="179" t="s">
        <v>7893</v>
      </c>
    </row>
    <row r="3954" spans="1:3">
      <c r="A3954" s="177">
        <v>961900170</v>
      </c>
      <c r="B3954" s="116" t="str">
        <f t="shared" si="61"/>
        <v>96-961900170</v>
      </c>
      <c r="C3954" s="179" t="s">
        <v>7193</v>
      </c>
    </row>
    <row r="3955" spans="1:3">
      <c r="A3955" s="177">
        <v>966200379</v>
      </c>
      <c r="B3955" s="116" t="str">
        <f t="shared" si="61"/>
        <v>96-966200379</v>
      </c>
      <c r="C3955" s="179" t="s">
        <v>12297</v>
      </c>
    </row>
    <row r="3956" spans="1:3">
      <c r="A3956" s="177">
        <v>956200438</v>
      </c>
      <c r="B3956" s="116" t="str">
        <f t="shared" si="61"/>
        <v>95-956200438</v>
      </c>
      <c r="C3956" s="179" t="s">
        <v>7723</v>
      </c>
    </row>
    <row r="3957" spans="1:3">
      <c r="A3957" s="177">
        <v>951900114</v>
      </c>
      <c r="B3957" s="116" t="str">
        <f t="shared" si="61"/>
        <v>95-951900114</v>
      </c>
      <c r="C3957" s="179" t="s">
        <v>7192</v>
      </c>
    </row>
    <row r="3958" spans="1:3">
      <c r="A3958" s="177">
        <v>961700104</v>
      </c>
      <c r="B3958" s="116" t="str">
        <f t="shared" si="61"/>
        <v>96-961700104</v>
      </c>
      <c r="C3958" s="179" t="s">
        <v>8221</v>
      </c>
    </row>
    <row r="3959" spans="1:3">
      <c r="A3959" s="177">
        <v>951900052</v>
      </c>
      <c r="B3959" s="116" t="str">
        <f t="shared" si="61"/>
        <v>95-951900052</v>
      </c>
      <c r="C3959" s="179" t="s">
        <v>8222</v>
      </c>
    </row>
    <row r="3960" spans="1:3">
      <c r="A3960" s="177">
        <v>951900117</v>
      </c>
      <c r="B3960" s="116" t="str">
        <f t="shared" si="61"/>
        <v>95-951900117</v>
      </c>
      <c r="C3960" s="179" t="s">
        <v>8223</v>
      </c>
    </row>
    <row r="3961" spans="1:3">
      <c r="A3961" s="177">
        <v>951900111</v>
      </c>
      <c r="B3961" s="116" t="str">
        <f t="shared" si="61"/>
        <v>95-951900111</v>
      </c>
      <c r="C3961" s="179" t="s">
        <v>7192</v>
      </c>
    </row>
    <row r="3962" spans="1:3">
      <c r="A3962" s="177">
        <v>961700152</v>
      </c>
      <c r="B3962" s="116" t="str">
        <f t="shared" si="61"/>
        <v>96-961700152</v>
      </c>
      <c r="C3962" s="179" t="s">
        <v>12292</v>
      </c>
    </row>
    <row r="3963" spans="1:3">
      <c r="A3963" s="177">
        <v>951700031</v>
      </c>
      <c r="B3963" s="116" t="str">
        <f t="shared" si="61"/>
        <v>95-951700031</v>
      </c>
      <c r="C3963" s="179" t="s">
        <v>7924</v>
      </c>
    </row>
    <row r="3964" spans="1:3">
      <c r="A3964" s="177">
        <v>951400044</v>
      </c>
      <c r="B3964" s="116" t="str">
        <f t="shared" si="61"/>
        <v>95-951400044</v>
      </c>
      <c r="C3964" s="179" t="s">
        <v>7196</v>
      </c>
    </row>
    <row r="3965" spans="1:3">
      <c r="A3965" s="177">
        <v>951000008</v>
      </c>
      <c r="B3965" s="116" t="str">
        <f t="shared" si="61"/>
        <v>95-951000008</v>
      </c>
      <c r="C3965" s="179" t="s">
        <v>8225</v>
      </c>
    </row>
    <row r="3966" spans="1:3">
      <c r="A3966" s="177">
        <v>951900306</v>
      </c>
      <c r="B3966" s="116" t="str">
        <f t="shared" si="61"/>
        <v>95-951900306</v>
      </c>
      <c r="C3966" s="179" t="s">
        <v>8226</v>
      </c>
    </row>
    <row r="3967" spans="1:3">
      <c r="A3967" s="177">
        <v>951900149</v>
      </c>
      <c r="B3967" s="116" t="str">
        <f t="shared" si="61"/>
        <v>95-951900149</v>
      </c>
      <c r="C3967" s="179" t="s">
        <v>8227</v>
      </c>
    </row>
    <row r="3968" spans="1:3">
      <c r="A3968" s="177">
        <v>961800049</v>
      </c>
      <c r="B3968" s="116" t="str">
        <f t="shared" si="61"/>
        <v>96-961800049</v>
      </c>
      <c r="C3968" s="179" t="s">
        <v>8392</v>
      </c>
    </row>
    <row r="3969" spans="1:3">
      <c r="A3969" s="177">
        <v>951300019</v>
      </c>
      <c r="B3969" s="116" t="str">
        <f t="shared" si="61"/>
        <v>95-951300019</v>
      </c>
      <c r="C3969" s="179" t="s">
        <v>7894</v>
      </c>
    </row>
    <row r="3970" spans="1:3">
      <c r="A3970" s="177">
        <v>951900216</v>
      </c>
      <c r="B3970" s="116" t="str">
        <f t="shared" si="61"/>
        <v>95-951900216</v>
      </c>
      <c r="C3970" s="179" t="s">
        <v>7895</v>
      </c>
    </row>
    <row r="3971" spans="1:3">
      <c r="A3971" s="177">
        <v>951900219</v>
      </c>
      <c r="B3971" s="116" t="str">
        <f t="shared" ref="B3971:B4034" si="62">MID(A3971,1,2)&amp;"-"&amp;A3971</f>
        <v>95-951900219</v>
      </c>
      <c r="C3971" s="179" t="s">
        <v>7895</v>
      </c>
    </row>
    <row r="3972" spans="1:3">
      <c r="A3972" s="177">
        <v>951900243</v>
      </c>
      <c r="B3972" s="116" t="str">
        <f t="shared" si="62"/>
        <v>95-951900243</v>
      </c>
      <c r="C3972" s="179" t="s">
        <v>7895</v>
      </c>
    </row>
    <row r="3973" spans="1:3">
      <c r="A3973" s="177">
        <v>961900123</v>
      </c>
      <c r="B3973" s="116" t="str">
        <f t="shared" si="62"/>
        <v>96-961900123</v>
      </c>
      <c r="C3973" s="179" t="s">
        <v>7896</v>
      </c>
    </row>
    <row r="3974" spans="1:3">
      <c r="A3974" s="177">
        <v>961700142</v>
      </c>
      <c r="B3974" s="116" t="str">
        <f t="shared" si="62"/>
        <v>96-961700142</v>
      </c>
      <c r="C3974" s="179" t="s">
        <v>8711</v>
      </c>
    </row>
    <row r="3975" spans="1:3">
      <c r="A3975" s="177">
        <v>951400026</v>
      </c>
      <c r="B3975" s="116" t="str">
        <f t="shared" si="62"/>
        <v>95-951400026</v>
      </c>
      <c r="C3975" s="179" t="s">
        <v>7826</v>
      </c>
    </row>
    <row r="3976" spans="1:3">
      <c r="A3976" s="177">
        <v>961900010</v>
      </c>
      <c r="B3976" s="116" t="str">
        <f t="shared" si="62"/>
        <v>96-961900010</v>
      </c>
      <c r="C3976" s="179" t="s">
        <v>7598</v>
      </c>
    </row>
    <row r="3977" spans="1:3">
      <c r="A3977" s="177">
        <v>951700172</v>
      </c>
      <c r="B3977" s="116" t="str">
        <f t="shared" si="62"/>
        <v>95-951700172</v>
      </c>
      <c r="C3977" s="179" t="s">
        <v>7722</v>
      </c>
    </row>
    <row r="3978" spans="1:3">
      <c r="A3978" s="177">
        <v>951900245</v>
      </c>
      <c r="B3978" s="116" t="str">
        <f t="shared" si="62"/>
        <v>95-951900245</v>
      </c>
      <c r="C3978" s="179" t="s">
        <v>7693</v>
      </c>
    </row>
    <row r="3979" spans="1:3">
      <c r="A3979" s="177">
        <v>951800125</v>
      </c>
      <c r="B3979" s="116" t="str">
        <f t="shared" si="62"/>
        <v>95-951800125</v>
      </c>
      <c r="C3979" s="179" t="s">
        <v>7609</v>
      </c>
    </row>
    <row r="3980" spans="1:3">
      <c r="A3980" s="177">
        <v>951800061</v>
      </c>
      <c r="B3980" s="116" t="str">
        <f t="shared" si="62"/>
        <v>95-951800061</v>
      </c>
      <c r="C3980" s="179" t="s">
        <v>7601</v>
      </c>
    </row>
    <row r="3981" spans="1:3">
      <c r="A3981" s="177">
        <v>951900183</v>
      </c>
      <c r="B3981" s="116" t="str">
        <f t="shared" si="62"/>
        <v>95-951900183</v>
      </c>
      <c r="C3981" s="179" t="s">
        <v>7165</v>
      </c>
    </row>
    <row r="3982" spans="1:3">
      <c r="A3982" s="177">
        <v>951900280</v>
      </c>
      <c r="B3982" s="116" t="str">
        <f t="shared" si="62"/>
        <v>95-951900280</v>
      </c>
      <c r="C3982" s="179" t="s">
        <v>7611</v>
      </c>
    </row>
    <row r="3983" spans="1:3">
      <c r="A3983" s="177">
        <v>951900285</v>
      </c>
      <c r="B3983" s="116" t="str">
        <f t="shared" si="62"/>
        <v>95-951900285</v>
      </c>
      <c r="C3983" s="179" t="s">
        <v>7652</v>
      </c>
    </row>
    <row r="3984" spans="1:3">
      <c r="A3984" s="177">
        <v>956300024</v>
      </c>
      <c r="B3984" s="116" t="str">
        <f t="shared" si="62"/>
        <v>95-956300024</v>
      </c>
      <c r="C3984" s="179" t="s">
        <v>8228</v>
      </c>
    </row>
    <row r="3985" spans="1:3">
      <c r="A3985" s="177">
        <v>951700349</v>
      </c>
      <c r="B3985" s="116" t="str">
        <f t="shared" si="62"/>
        <v>95-951700349</v>
      </c>
      <c r="C3985" s="179" t="s">
        <v>8229</v>
      </c>
    </row>
    <row r="3986" spans="1:3">
      <c r="A3986" s="177">
        <v>961100053</v>
      </c>
      <c r="B3986" s="116" t="str">
        <f t="shared" si="62"/>
        <v>96-961100053</v>
      </c>
      <c r="C3986" s="179" t="s">
        <v>8235</v>
      </c>
    </row>
    <row r="3987" spans="1:3">
      <c r="A3987" s="177">
        <v>951900303</v>
      </c>
      <c r="B3987" s="116" t="str">
        <f t="shared" si="62"/>
        <v>95-951900303</v>
      </c>
      <c r="C3987" s="179" t="s">
        <v>7878</v>
      </c>
    </row>
    <row r="3988" spans="1:3">
      <c r="A3988" s="177">
        <v>961700082</v>
      </c>
      <c r="B3988" s="116" t="str">
        <f t="shared" si="62"/>
        <v>96-961700082</v>
      </c>
      <c r="C3988" s="179" t="s">
        <v>8236</v>
      </c>
    </row>
    <row r="3989" spans="1:3">
      <c r="A3989" s="177">
        <v>961900142</v>
      </c>
      <c r="B3989" s="116" t="str">
        <f t="shared" si="62"/>
        <v>96-961900142</v>
      </c>
      <c r="C3989" s="179" t="s">
        <v>8219</v>
      </c>
    </row>
    <row r="3990" spans="1:3">
      <c r="A3990" s="177">
        <v>961900145</v>
      </c>
      <c r="B3990" s="116" t="str">
        <f t="shared" si="62"/>
        <v>96-961900145</v>
      </c>
      <c r="C3990" s="179" t="s">
        <v>8237</v>
      </c>
    </row>
    <row r="3991" spans="1:3">
      <c r="A3991" s="177">
        <v>951900178</v>
      </c>
      <c r="B3991" s="116" t="str">
        <f t="shared" si="62"/>
        <v>95-951900178</v>
      </c>
      <c r="C3991" s="179" t="s">
        <v>7729</v>
      </c>
    </row>
    <row r="3992" spans="1:3">
      <c r="A3992" s="177">
        <v>951900275</v>
      </c>
      <c r="B3992" s="116" t="str">
        <f t="shared" si="62"/>
        <v>95-951900275</v>
      </c>
      <c r="C3992" s="179" t="s">
        <v>7611</v>
      </c>
    </row>
    <row r="3993" spans="1:3">
      <c r="A3993" s="177">
        <v>951700115</v>
      </c>
      <c r="B3993" s="116" t="str">
        <f t="shared" si="62"/>
        <v>95-951700115</v>
      </c>
      <c r="C3993" s="179" t="s">
        <v>8238</v>
      </c>
    </row>
    <row r="3994" spans="1:3">
      <c r="A3994" s="177">
        <v>951700134</v>
      </c>
      <c r="B3994" s="116" t="str">
        <f t="shared" si="62"/>
        <v>95-951700134</v>
      </c>
      <c r="C3994" s="179" t="s">
        <v>7766</v>
      </c>
    </row>
    <row r="3995" spans="1:3">
      <c r="A3995" s="177">
        <v>951600009</v>
      </c>
      <c r="B3995" s="116" t="str">
        <f t="shared" si="62"/>
        <v>95-951600009</v>
      </c>
      <c r="C3995" s="179" t="s">
        <v>7720</v>
      </c>
    </row>
    <row r="3996" spans="1:3">
      <c r="A3996" s="177">
        <v>966200220</v>
      </c>
      <c r="B3996" s="116" t="str">
        <f t="shared" si="62"/>
        <v>96-966200220</v>
      </c>
      <c r="C3996" s="179" t="s">
        <v>7707</v>
      </c>
    </row>
    <row r="3997" spans="1:3">
      <c r="A3997" s="177">
        <v>966200276</v>
      </c>
      <c r="B3997" s="116" t="str">
        <f t="shared" si="62"/>
        <v>96-966200276</v>
      </c>
      <c r="C3997" s="179" t="s">
        <v>7898</v>
      </c>
    </row>
    <row r="3998" spans="1:3">
      <c r="A3998" s="177">
        <v>966200260</v>
      </c>
      <c r="B3998" s="116" t="str">
        <f t="shared" si="62"/>
        <v>96-966200260</v>
      </c>
      <c r="C3998" s="179" t="s">
        <v>7730</v>
      </c>
    </row>
    <row r="3999" spans="1:3">
      <c r="A3999" s="177">
        <v>961800062</v>
      </c>
      <c r="B3999" s="116" t="str">
        <f t="shared" si="62"/>
        <v>96-961800062</v>
      </c>
      <c r="C3999" s="179" t="s">
        <v>7216</v>
      </c>
    </row>
    <row r="4000" spans="1:3">
      <c r="A4000" s="177">
        <v>961900070</v>
      </c>
      <c r="B4000" s="116" t="str">
        <f t="shared" si="62"/>
        <v>96-961900070</v>
      </c>
      <c r="C4000" s="179" t="s">
        <v>7899</v>
      </c>
    </row>
    <row r="4001" spans="1:3">
      <c r="A4001" s="177">
        <v>961900163</v>
      </c>
      <c r="B4001" s="116" t="str">
        <f t="shared" si="62"/>
        <v>96-961900163</v>
      </c>
      <c r="C4001" s="179" t="s">
        <v>7212</v>
      </c>
    </row>
    <row r="4002" spans="1:3">
      <c r="A4002" s="177">
        <v>961900029</v>
      </c>
      <c r="B4002" s="116" t="str">
        <f t="shared" si="62"/>
        <v>96-961900029</v>
      </c>
      <c r="C4002" s="179" t="s">
        <v>7786</v>
      </c>
    </row>
    <row r="4003" spans="1:3">
      <c r="A4003" s="177">
        <v>961900054</v>
      </c>
      <c r="B4003" s="116" t="str">
        <f t="shared" si="62"/>
        <v>96-961900054</v>
      </c>
      <c r="C4003" s="179" t="s">
        <v>7615</v>
      </c>
    </row>
    <row r="4004" spans="1:3">
      <c r="A4004" s="177">
        <v>961900056</v>
      </c>
      <c r="B4004" s="116" t="str">
        <f t="shared" si="62"/>
        <v>96-961900056</v>
      </c>
      <c r="C4004" s="179" t="s">
        <v>7615</v>
      </c>
    </row>
    <row r="4005" spans="1:3">
      <c r="A4005" s="177">
        <v>961900061</v>
      </c>
      <c r="B4005" s="116" t="str">
        <f t="shared" si="62"/>
        <v>96-961900061</v>
      </c>
      <c r="C4005" s="179" t="s">
        <v>8239</v>
      </c>
    </row>
    <row r="4006" spans="1:3">
      <c r="A4006" s="177">
        <v>961900100</v>
      </c>
      <c r="B4006" s="116" t="str">
        <f t="shared" si="62"/>
        <v>96-961900100</v>
      </c>
      <c r="C4006" s="179" t="s">
        <v>7787</v>
      </c>
    </row>
    <row r="4007" spans="1:3">
      <c r="A4007" s="177">
        <v>961700045</v>
      </c>
      <c r="B4007" s="116" t="str">
        <f t="shared" si="62"/>
        <v>96-961700045</v>
      </c>
      <c r="C4007" s="179" t="s">
        <v>8243</v>
      </c>
    </row>
    <row r="4008" spans="1:3">
      <c r="A4008" s="177">
        <v>961900135</v>
      </c>
      <c r="B4008" s="116" t="str">
        <f t="shared" si="62"/>
        <v>96-961900135</v>
      </c>
      <c r="C4008" s="179" t="s">
        <v>7544</v>
      </c>
    </row>
    <row r="4009" spans="1:3">
      <c r="A4009" s="177">
        <v>961700101</v>
      </c>
      <c r="B4009" s="116" t="str">
        <f t="shared" si="62"/>
        <v>96-961700101</v>
      </c>
      <c r="C4009" s="179" t="s">
        <v>8240</v>
      </c>
    </row>
    <row r="4010" spans="1:3">
      <c r="A4010" s="177">
        <v>956200273</v>
      </c>
      <c r="B4010" s="116" t="str">
        <f t="shared" si="62"/>
        <v>95-956200273</v>
      </c>
      <c r="C4010" s="179" t="s">
        <v>7918</v>
      </c>
    </row>
    <row r="4011" spans="1:3">
      <c r="A4011" s="177">
        <v>951400170</v>
      </c>
      <c r="B4011" s="116" t="str">
        <f t="shared" si="62"/>
        <v>95-951400170</v>
      </c>
      <c r="C4011" s="179" t="s">
        <v>7780</v>
      </c>
    </row>
    <row r="4012" spans="1:3">
      <c r="A4012" s="177">
        <v>951900290</v>
      </c>
      <c r="B4012" s="116" t="str">
        <f t="shared" si="62"/>
        <v>95-951900290</v>
      </c>
      <c r="C4012" s="179" t="s">
        <v>7612</v>
      </c>
    </row>
    <row r="4013" spans="1:3">
      <c r="A4013" s="177">
        <v>961900012</v>
      </c>
      <c r="B4013" s="116" t="str">
        <f t="shared" si="62"/>
        <v>96-961900012</v>
      </c>
      <c r="C4013" s="179" t="s">
        <v>7613</v>
      </c>
    </row>
    <row r="4014" spans="1:3">
      <c r="A4014" s="177">
        <v>961900011</v>
      </c>
      <c r="B4014" s="116" t="str">
        <f t="shared" si="62"/>
        <v>96-961900011</v>
      </c>
      <c r="C4014" s="179" t="s">
        <v>7613</v>
      </c>
    </row>
    <row r="4015" spans="1:3">
      <c r="A4015" s="177">
        <v>961900014</v>
      </c>
      <c r="B4015" s="116" t="str">
        <f t="shared" si="62"/>
        <v>96-961900014</v>
      </c>
      <c r="C4015" s="179" t="s">
        <v>7613</v>
      </c>
    </row>
    <row r="4016" spans="1:3">
      <c r="A4016" s="177">
        <v>961900049</v>
      </c>
      <c r="B4016" s="116" t="str">
        <f t="shared" si="62"/>
        <v>96-961900049</v>
      </c>
      <c r="C4016" s="179" t="s">
        <v>7615</v>
      </c>
    </row>
    <row r="4017" spans="1:3">
      <c r="A4017" s="177">
        <v>961900060</v>
      </c>
      <c r="B4017" s="116" t="str">
        <f t="shared" si="62"/>
        <v>96-961900060</v>
      </c>
      <c r="C4017" s="179" t="s">
        <v>7615</v>
      </c>
    </row>
    <row r="4018" spans="1:3">
      <c r="A4018" s="177">
        <v>961900096</v>
      </c>
      <c r="B4018" s="116" t="str">
        <f t="shared" si="62"/>
        <v>96-961900096</v>
      </c>
      <c r="C4018" s="179" t="s">
        <v>7787</v>
      </c>
    </row>
    <row r="4019" spans="1:3">
      <c r="A4019" s="177">
        <v>961900092</v>
      </c>
      <c r="B4019" s="116" t="str">
        <f t="shared" si="62"/>
        <v>96-961900092</v>
      </c>
      <c r="C4019" s="179" t="s">
        <v>8241</v>
      </c>
    </row>
    <row r="4020" spans="1:3">
      <c r="A4020" s="177">
        <v>961900044</v>
      </c>
      <c r="B4020" s="116" t="str">
        <f t="shared" si="62"/>
        <v>96-961900044</v>
      </c>
      <c r="C4020" s="179" t="s">
        <v>8242</v>
      </c>
    </row>
    <row r="4021" spans="1:3">
      <c r="A4021" s="177">
        <v>961700060</v>
      </c>
      <c r="B4021" s="116" t="str">
        <f t="shared" si="62"/>
        <v>96-961700060</v>
      </c>
      <c r="C4021" s="179" t="s">
        <v>8244</v>
      </c>
    </row>
    <row r="4022" spans="1:3">
      <c r="A4022" s="177">
        <v>961700009</v>
      </c>
      <c r="B4022" s="116" t="str">
        <f t="shared" si="62"/>
        <v>96-961700009</v>
      </c>
      <c r="C4022" s="179" t="s">
        <v>7900</v>
      </c>
    </row>
    <row r="4023" spans="1:3">
      <c r="A4023" s="177">
        <v>951600033</v>
      </c>
      <c r="B4023" s="116" t="str">
        <f t="shared" si="62"/>
        <v>95-951600033</v>
      </c>
      <c r="C4023" s="179" t="s">
        <v>7901</v>
      </c>
    </row>
    <row r="4024" spans="1:3">
      <c r="A4024" s="177">
        <v>961800031</v>
      </c>
      <c r="B4024" s="116" t="str">
        <f t="shared" si="62"/>
        <v>96-961800031</v>
      </c>
      <c r="C4024" s="179" t="s">
        <v>7736</v>
      </c>
    </row>
    <row r="4025" spans="1:3">
      <c r="A4025" s="177">
        <v>961900045</v>
      </c>
      <c r="B4025" s="116" t="str">
        <f t="shared" si="62"/>
        <v>96-961900045</v>
      </c>
      <c r="C4025" s="179" t="s">
        <v>7203</v>
      </c>
    </row>
    <row r="4026" spans="1:3">
      <c r="A4026" s="177">
        <v>966200319</v>
      </c>
      <c r="B4026" s="116" t="str">
        <f t="shared" si="62"/>
        <v>96-966200319</v>
      </c>
      <c r="C4026" s="179" t="s">
        <v>8713</v>
      </c>
    </row>
    <row r="4027" spans="1:3">
      <c r="A4027" s="177">
        <v>966200346</v>
      </c>
      <c r="B4027" s="116" t="str">
        <f t="shared" si="62"/>
        <v>96-966200346</v>
      </c>
      <c r="C4027" s="179" t="s">
        <v>8751</v>
      </c>
    </row>
    <row r="4028" spans="1:3">
      <c r="A4028" s="177">
        <v>966000019</v>
      </c>
      <c r="B4028" s="116" t="str">
        <f t="shared" si="62"/>
        <v>96-966000019</v>
      </c>
      <c r="C4028" s="179" t="s">
        <v>7146</v>
      </c>
    </row>
    <row r="4029" spans="1:3">
      <c r="A4029" s="177">
        <v>951200090</v>
      </c>
      <c r="B4029" s="116" t="str">
        <f t="shared" si="62"/>
        <v>95-951200090</v>
      </c>
      <c r="C4029" s="179" t="s">
        <v>7151</v>
      </c>
    </row>
    <row r="4030" spans="1:3">
      <c r="A4030" s="177">
        <v>961200134</v>
      </c>
      <c r="B4030" s="116" t="str">
        <f t="shared" si="62"/>
        <v>96-961200134</v>
      </c>
      <c r="C4030" s="179" t="s">
        <v>9765</v>
      </c>
    </row>
    <row r="4031" spans="1:3">
      <c r="A4031" s="177">
        <v>961200138</v>
      </c>
      <c r="B4031" s="116" t="str">
        <f t="shared" si="62"/>
        <v>96-961200138</v>
      </c>
      <c r="C4031" s="179" t="s">
        <v>9765</v>
      </c>
    </row>
    <row r="4032" spans="1:3">
      <c r="A4032" s="177">
        <v>951500581</v>
      </c>
      <c r="B4032" s="116" t="str">
        <f t="shared" si="62"/>
        <v>95-951500581</v>
      </c>
      <c r="C4032" s="179" t="s">
        <v>5753</v>
      </c>
    </row>
    <row r="4033" spans="1:3">
      <c r="A4033" s="177">
        <v>961700033</v>
      </c>
      <c r="B4033" s="116" t="str">
        <f t="shared" si="62"/>
        <v>96-961700033</v>
      </c>
      <c r="C4033" s="179" t="s">
        <v>8248</v>
      </c>
    </row>
    <row r="4034" spans="1:3">
      <c r="A4034" s="177">
        <v>961700078</v>
      </c>
      <c r="B4034" s="116" t="str">
        <f t="shared" si="62"/>
        <v>96-961700078</v>
      </c>
      <c r="C4034" s="179" t="s">
        <v>7159</v>
      </c>
    </row>
    <row r="4035" spans="1:3">
      <c r="A4035" s="177">
        <v>951800021</v>
      </c>
      <c r="B4035" s="116" t="str">
        <f t="shared" ref="B4035:B4098" si="63">MID(A4035,1,2)&amp;"-"&amp;A4035</f>
        <v>95-951800021</v>
      </c>
      <c r="C4035" s="179" t="s">
        <v>8249</v>
      </c>
    </row>
    <row r="4036" spans="1:3">
      <c r="A4036" s="177">
        <v>951800100</v>
      </c>
      <c r="B4036" s="116" t="str">
        <f t="shared" si="63"/>
        <v>95-951800100</v>
      </c>
      <c r="C4036" s="179" t="s">
        <v>7626</v>
      </c>
    </row>
    <row r="4037" spans="1:3">
      <c r="A4037" s="177">
        <v>951100022</v>
      </c>
      <c r="B4037" s="116" t="str">
        <f t="shared" si="63"/>
        <v>95-951100022</v>
      </c>
      <c r="C4037" s="179" t="s">
        <v>7927</v>
      </c>
    </row>
    <row r="4038" spans="1:3">
      <c r="A4038" s="177">
        <v>951100172</v>
      </c>
      <c r="B4038" s="116" t="str">
        <f t="shared" si="63"/>
        <v>95-951100172</v>
      </c>
      <c r="C4038" s="179" t="s">
        <v>7928</v>
      </c>
    </row>
    <row r="4039" spans="1:3">
      <c r="A4039" s="177">
        <v>951800090</v>
      </c>
      <c r="B4039" s="116" t="str">
        <f t="shared" si="63"/>
        <v>95-951800090</v>
      </c>
      <c r="C4039" s="179" t="s">
        <v>7142</v>
      </c>
    </row>
    <row r="4040" spans="1:3">
      <c r="A4040" s="177">
        <v>951700264</v>
      </c>
      <c r="B4040" s="116" t="str">
        <f t="shared" si="63"/>
        <v>95-951700264</v>
      </c>
      <c r="C4040" s="179" t="s">
        <v>7187</v>
      </c>
    </row>
    <row r="4041" spans="1:3">
      <c r="A4041" s="177">
        <v>951700022</v>
      </c>
      <c r="B4041" s="116" t="str">
        <f t="shared" si="63"/>
        <v>95-951700022</v>
      </c>
      <c r="C4041" s="179" t="s">
        <v>8250</v>
      </c>
    </row>
    <row r="4042" spans="1:3">
      <c r="A4042" s="177">
        <v>951700024</v>
      </c>
      <c r="B4042" s="116" t="str">
        <f t="shared" si="63"/>
        <v>95-951700024</v>
      </c>
      <c r="C4042" s="179" t="s">
        <v>8250</v>
      </c>
    </row>
    <row r="4043" spans="1:3">
      <c r="A4043" s="177">
        <v>951700026</v>
      </c>
      <c r="B4043" s="116" t="str">
        <f t="shared" si="63"/>
        <v>95-951700026</v>
      </c>
      <c r="C4043" s="179" t="s">
        <v>7795</v>
      </c>
    </row>
    <row r="4044" spans="1:3">
      <c r="A4044" s="177">
        <v>951800024</v>
      </c>
      <c r="B4044" s="116" t="str">
        <f t="shared" si="63"/>
        <v>95-951800024</v>
      </c>
      <c r="C4044" s="179" t="s">
        <v>8251</v>
      </c>
    </row>
    <row r="4045" spans="1:3">
      <c r="A4045" s="177">
        <v>961800048</v>
      </c>
      <c r="B4045" s="116" t="str">
        <f t="shared" si="63"/>
        <v>96-961800048</v>
      </c>
      <c r="C4045" s="179" t="s">
        <v>8252</v>
      </c>
    </row>
    <row r="4046" spans="1:3">
      <c r="A4046" s="177">
        <v>961500354</v>
      </c>
      <c r="B4046" s="116" t="str">
        <f t="shared" si="63"/>
        <v>96-961500354</v>
      </c>
      <c r="C4046" s="179" t="s">
        <v>5781</v>
      </c>
    </row>
    <row r="4047" spans="1:3">
      <c r="A4047" s="177">
        <v>951500564</v>
      </c>
      <c r="B4047" s="116" t="str">
        <f t="shared" si="63"/>
        <v>95-951500564</v>
      </c>
      <c r="C4047" s="179" t="s">
        <v>5747</v>
      </c>
    </row>
    <row r="4048" spans="1:3">
      <c r="A4048" s="177">
        <v>962500105</v>
      </c>
      <c r="B4048" s="116" t="str">
        <f t="shared" si="63"/>
        <v>96-962500105</v>
      </c>
      <c r="C4048" s="179" t="s">
        <v>5854</v>
      </c>
    </row>
    <row r="4049" spans="1:3">
      <c r="A4049" s="177">
        <v>952200028</v>
      </c>
      <c r="B4049" s="116" t="str">
        <f t="shared" si="63"/>
        <v>95-952200028</v>
      </c>
      <c r="C4049" s="179" t="s">
        <v>7174</v>
      </c>
    </row>
    <row r="4050" spans="1:3">
      <c r="A4050" s="177">
        <v>961700042</v>
      </c>
      <c r="B4050" s="116" t="str">
        <f t="shared" si="63"/>
        <v>96-961700042</v>
      </c>
      <c r="C4050" s="179" t="s">
        <v>7691</v>
      </c>
    </row>
    <row r="4051" spans="1:3">
      <c r="A4051" s="177">
        <v>951700039</v>
      </c>
      <c r="B4051" s="116" t="str">
        <f t="shared" si="63"/>
        <v>95-951700039</v>
      </c>
      <c r="C4051" s="179" t="s">
        <v>8261</v>
      </c>
    </row>
    <row r="4052" spans="1:3">
      <c r="A4052" s="177">
        <v>961700028</v>
      </c>
      <c r="B4052" s="116" t="str">
        <f t="shared" si="63"/>
        <v>96-961700028</v>
      </c>
      <c r="C4052" s="179" t="s">
        <v>8254</v>
      </c>
    </row>
    <row r="4053" spans="1:3">
      <c r="A4053" s="177">
        <v>961700075</v>
      </c>
      <c r="B4053" s="116" t="str">
        <f t="shared" si="63"/>
        <v>96-961700075</v>
      </c>
      <c r="C4053" s="179" t="s">
        <v>7159</v>
      </c>
    </row>
    <row r="4054" spans="1:3">
      <c r="A4054" s="177">
        <v>951800075</v>
      </c>
      <c r="B4054" s="116" t="str">
        <f t="shared" si="63"/>
        <v>95-951800075</v>
      </c>
      <c r="C4054" s="179" t="s">
        <v>7824</v>
      </c>
    </row>
    <row r="4055" spans="1:3">
      <c r="A4055" s="177">
        <v>951700286</v>
      </c>
      <c r="B4055" s="116" t="str">
        <f t="shared" si="63"/>
        <v>95-951700286</v>
      </c>
      <c r="C4055" s="179" t="s">
        <v>8262</v>
      </c>
    </row>
    <row r="4056" spans="1:3">
      <c r="A4056" s="177">
        <v>966100011</v>
      </c>
      <c r="B4056" s="116" t="str">
        <f t="shared" si="63"/>
        <v>96-966100011</v>
      </c>
      <c r="C4056" s="179" t="s">
        <v>7644</v>
      </c>
    </row>
    <row r="4057" spans="1:3">
      <c r="A4057" s="177">
        <v>966100013</v>
      </c>
      <c r="B4057" s="116" t="str">
        <f t="shared" si="63"/>
        <v>96-966100013</v>
      </c>
      <c r="C4057" s="179" t="s">
        <v>7644</v>
      </c>
    </row>
    <row r="4058" spans="1:3">
      <c r="A4058" s="177">
        <v>966100014</v>
      </c>
      <c r="B4058" s="116" t="str">
        <f t="shared" si="63"/>
        <v>96-966100014</v>
      </c>
      <c r="C4058" s="179" t="s">
        <v>7644</v>
      </c>
    </row>
    <row r="4059" spans="1:3">
      <c r="A4059" s="177">
        <v>962200024</v>
      </c>
      <c r="B4059" s="116" t="str">
        <f t="shared" si="63"/>
        <v>96-962200024</v>
      </c>
      <c r="C4059" s="179" t="s">
        <v>7230</v>
      </c>
    </row>
    <row r="4060" spans="1:3">
      <c r="A4060" s="177">
        <v>962200025</v>
      </c>
      <c r="B4060" s="116" t="str">
        <f t="shared" si="63"/>
        <v>96-962200025</v>
      </c>
      <c r="C4060" s="179" t="s">
        <v>7230</v>
      </c>
    </row>
    <row r="4061" spans="1:3">
      <c r="A4061" s="177">
        <v>962200047</v>
      </c>
      <c r="B4061" s="116" t="str">
        <f t="shared" si="63"/>
        <v>96-962200047</v>
      </c>
      <c r="C4061" s="179" t="s">
        <v>7173</v>
      </c>
    </row>
    <row r="4062" spans="1:3">
      <c r="A4062" s="177">
        <v>951800122</v>
      </c>
      <c r="B4062" s="116" t="str">
        <f t="shared" si="63"/>
        <v>95-951800122</v>
      </c>
      <c r="C4062" s="179" t="s">
        <v>7626</v>
      </c>
    </row>
    <row r="4063" spans="1:3">
      <c r="A4063" s="177">
        <v>951700293</v>
      </c>
      <c r="B4063" s="116" t="str">
        <f t="shared" si="63"/>
        <v>95-951700293</v>
      </c>
      <c r="C4063" s="179" t="s">
        <v>7187</v>
      </c>
    </row>
    <row r="4064" spans="1:3">
      <c r="A4064" s="177">
        <v>951800015</v>
      </c>
      <c r="B4064" s="116" t="str">
        <f t="shared" si="63"/>
        <v>95-951800015</v>
      </c>
      <c r="C4064" s="179" t="s">
        <v>8265</v>
      </c>
    </row>
    <row r="4065" spans="1:3">
      <c r="A4065" s="177">
        <v>951800040</v>
      </c>
      <c r="B4065" s="116" t="str">
        <f t="shared" si="63"/>
        <v>95-951800040</v>
      </c>
      <c r="C4065" s="179" t="s">
        <v>8266</v>
      </c>
    </row>
    <row r="4066" spans="1:3">
      <c r="A4066" s="177">
        <v>951700023</v>
      </c>
      <c r="B4066" s="116" t="str">
        <f t="shared" si="63"/>
        <v>95-951700023</v>
      </c>
      <c r="C4066" s="179" t="s">
        <v>8250</v>
      </c>
    </row>
    <row r="4067" spans="1:3">
      <c r="A4067" s="177">
        <v>951800013</v>
      </c>
      <c r="B4067" s="116" t="str">
        <f t="shared" si="63"/>
        <v>95-951800013</v>
      </c>
      <c r="C4067" s="179" t="s">
        <v>8267</v>
      </c>
    </row>
    <row r="4068" spans="1:3">
      <c r="A4068" s="177">
        <v>951900059</v>
      </c>
      <c r="B4068" s="116" t="str">
        <f t="shared" si="63"/>
        <v>95-951900059</v>
      </c>
      <c r="C4068" s="179" t="s">
        <v>8268</v>
      </c>
    </row>
    <row r="4069" spans="1:3">
      <c r="A4069" s="177">
        <v>956200064</v>
      </c>
      <c r="B4069" s="116" t="str">
        <f t="shared" si="63"/>
        <v>95-956200064</v>
      </c>
      <c r="C4069" s="179" t="s">
        <v>8017</v>
      </c>
    </row>
    <row r="4070" spans="1:3">
      <c r="A4070" s="177">
        <v>951900125</v>
      </c>
      <c r="B4070" s="116" t="str">
        <f t="shared" si="63"/>
        <v>95-951900125</v>
      </c>
      <c r="C4070" s="179" t="s">
        <v>8269</v>
      </c>
    </row>
    <row r="4071" spans="1:3">
      <c r="A4071" s="177">
        <v>961900182</v>
      </c>
      <c r="B4071" s="116" t="str">
        <f t="shared" si="63"/>
        <v>96-961900182</v>
      </c>
      <c r="C4071" s="179" t="s">
        <v>12312</v>
      </c>
    </row>
    <row r="4072" spans="1:3">
      <c r="A4072" s="177">
        <v>961700037</v>
      </c>
      <c r="B4072" s="116" t="str">
        <f t="shared" si="63"/>
        <v>96-961700037</v>
      </c>
      <c r="C4072" s="179" t="s">
        <v>7801</v>
      </c>
    </row>
    <row r="4073" spans="1:3">
      <c r="A4073" s="177">
        <v>961700038</v>
      </c>
      <c r="B4073" s="116" t="str">
        <f t="shared" si="63"/>
        <v>96-961700038</v>
      </c>
      <c r="C4073" s="179" t="s">
        <v>7801</v>
      </c>
    </row>
    <row r="4074" spans="1:3">
      <c r="A4074" s="177">
        <v>951800137</v>
      </c>
      <c r="B4074" s="116" t="str">
        <f t="shared" si="63"/>
        <v>95-951800137</v>
      </c>
      <c r="C4074" s="179" t="s">
        <v>8200</v>
      </c>
    </row>
    <row r="4075" spans="1:3">
      <c r="A4075" s="177">
        <v>961700086</v>
      </c>
      <c r="B4075" s="116" t="str">
        <f t="shared" si="63"/>
        <v>96-961700086</v>
      </c>
      <c r="C4075" s="179" t="s">
        <v>8271</v>
      </c>
    </row>
    <row r="4076" spans="1:3">
      <c r="A4076" s="177">
        <v>951900139</v>
      </c>
      <c r="B4076" s="116" t="str">
        <f t="shared" si="63"/>
        <v>95-951900139</v>
      </c>
      <c r="C4076" s="179" t="s">
        <v>8272</v>
      </c>
    </row>
    <row r="4077" spans="1:3">
      <c r="A4077" s="177">
        <v>951900174</v>
      </c>
      <c r="B4077" s="116" t="str">
        <f t="shared" si="63"/>
        <v>95-951900174</v>
      </c>
      <c r="C4077" s="179" t="s">
        <v>8272</v>
      </c>
    </row>
    <row r="4078" spans="1:3">
      <c r="A4078" s="177">
        <v>961700047</v>
      </c>
      <c r="B4078" s="116" t="str">
        <f t="shared" si="63"/>
        <v>96-961700047</v>
      </c>
      <c r="C4078" s="179" t="s">
        <v>7655</v>
      </c>
    </row>
    <row r="4079" spans="1:3">
      <c r="A4079" s="177">
        <v>961800011</v>
      </c>
      <c r="B4079" s="116" t="str">
        <f t="shared" si="63"/>
        <v>96-961800011</v>
      </c>
      <c r="C4079" s="179" t="s">
        <v>7690</v>
      </c>
    </row>
    <row r="4080" spans="1:3">
      <c r="A4080" s="177">
        <v>951600081</v>
      </c>
      <c r="B4080" s="116" t="str">
        <f t="shared" si="63"/>
        <v>95-951600081</v>
      </c>
      <c r="C4080" s="179" t="s">
        <v>7870</v>
      </c>
    </row>
    <row r="4081" spans="1:3">
      <c r="A4081" s="177">
        <v>952500053</v>
      </c>
      <c r="B4081" s="116" t="str">
        <f t="shared" si="63"/>
        <v>95-952500053</v>
      </c>
      <c r="C4081" s="179" t="s">
        <v>5642</v>
      </c>
    </row>
    <row r="4082" spans="1:3">
      <c r="A4082" s="177">
        <v>952500064</v>
      </c>
      <c r="B4082" s="116" t="str">
        <f t="shared" si="63"/>
        <v>95-952500064</v>
      </c>
      <c r="C4082" s="179" t="s">
        <v>5676</v>
      </c>
    </row>
    <row r="4083" spans="1:3">
      <c r="A4083" s="177">
        <v>952500075</v>
      </c>
      <c r="B4083" s="116" t="str">
        <f t="shared" si="63"/>
        <v>95-952500075</v>
      </c>
      <c r="C4083" s="179" t="s">
        <v>5733</v>
      </c>
    </row>
    <row r="4084" spans="1:3">
      <c r="A4084" s="177">
        <v>962500036</v>
      </c>
      <c r="B4084" s="116" t="str">
        <f t="shared" si="63"/>
        <v>96-962500036</v>
      </c>
      <c r="C4084" s="179" t="s">
        <v>5814</v>
      </c>
    </row>
    <row r="4085" spans="1:3">
      <c r="A4085" s="177">
        <v>962500125</v>
      </c>
      <c r="B4085" s="116" t="str">
        <f t="shared" si="63"/>
        <v>96-962500125</v>
      </c>
      <c r="C4085" s="179" t="s">
        <v>8080</v>
      </c>
    </row>
    <row r="4086" spans="1:3">
      <c r="A4086" s="177">
        <v>952500094</v>
      </c>
      <c r="B4086" s="116" t="str">
        <f t="shared" si="63"/>
        <v>95-952500094</v>
      </c>
      <c r="C4086" s="179" t="s">
        <v>5755</v>
      </c>
    </row>
    <row r="4087" spans="1:3">
      <c r="A4087" s="177">
        <v>952500086</v>
      </c>
      <c r="B4087" s="116" t="str">
        <f t="shared" si="63"/>
        <v>95-952500086</v>
      </c>
      <c r="C4087" s="179" t="s">
        <v>5750</v>
      </c>
    </row>
    <row r="4088" spans="1:3">
      <c r="A4088" s="177">
        <v>964200006</v>
      </c>
      <c r="B4088" s="116" t="str">
        <f t="shared" si="63"/>
        <v>96-964200006</v>
      </c>
      <c r="C4088" s="179" t="s">
        <v>5801</v>
      </c>
    </row>
    <row r="4089" spans="1:3">
      <c r="A4089" s="177">
        <v>951700038</v>
      </c>
      <c r="B4089" s="116" t="str">
        <f t="shared" si="63"/>
        <v>95-951700038</v>
      </c>
      <c r="C4089" s="179" t="s">
        <v>8261</v>
      </c>
    </row>
    <row r="4090" spans="1:3">
      <c r="A4090" s="177">
        <v>951700135</v>
      </c>
      <c r="B4090" s="116" t="str">
        <f t="shared" si="63"/>
        <v>95-951700135</v>
      </c>
      <c r="C4090" s="179" t="s">
        <v>8270</v>
      </c>
    </row>
    <row r="4091" spans="1:3">
      <c r="A4091" s="177">
        <v>951700145</v>
      </c>
      <c r="B4091" s="116" t="str">
        <f t="shared" si="63"/>
        <v>95-951700145</v>
      </c>
      <c r="C4091" s="179" t="s">
        <v>7843</v>
      </c>
    </row>
    <row r="4092" spans="1:3">
      <c r="A4092" s="177">
        <v>951700146</v>
      </c>
      <c r="B4092" s="116" t="str">
        <f t="shared" si="63"/>
        <v>95-951700146</v>
      </c>
      <c r="C4092" s="179" t="s">
        <v>7843</v>
      </c>
    </row>
    <row r="4093" spans="1:3">
      <c r="A4093" s="177">
        <v>951700147</v>
      </c>
      <c r="B4093" s="116" t="str">
        <f t="shared" si="63"/>
        <v>95-951700147</v>
      </c>
      <c r="C4093" s="179" t="s">
        <v>7843</v>
      </c>
    </row>
    <row r="4094" spans="1:3">
      <c r="A4094" s="177">
        <v>951900129</v>
      </c>
      <c r="B4094" s="116" t="str">
        <f t="shared" si="63"/>
        <v>95-951900129</v>
      </c>
      <c r="C4094" s="179" t="s">
        <v>8276</v>
      </c>
    </row>
    <row r="4095" spans="1:3">
      <c r="A4095" s="177">
        <v>951900083</v>
      </c>
      <c r="B4095" s="116" t="str">
        <f t="shared" si="63"/>
        <v>95-951900083</v>
      </c>
      <c r="C4095" s="179" t="s">
        <v>8277</v>
      </c>
    </row>
    <row r="4096" spans="1:3">
      <c r="A4096" s="177">
        <v>961900155</v>
      </c>
      <c r="B4096" s="116" t="str">
        <f t="shared" si="63"/>
        <v>96-961900155</v>
      </c>
      <c r="C4096" s="179" t="s">
        <v>8278</v>
      </c>
    </row>
    <row r="4097" spans="1:3">
      <c r="A4097" s="177">
        <v>951900236</v>
      </c>
      <c r="B4097" s="116" t="str">
        <f t="shared" si="63"/>
        <v>95-951900236</v>
      </c>
      <c r="C4097" s="179" t="s">
        <v>7889</v>
      </c>
    </row>
    <row r="4098" spans="1:3">
      <c r="A4098" s="177">
        <v>951300004</v>
      </c>
      <c r="B4098" s="116" t="str">
        <f t="shared" si="63"/>
        <v>95-951300004</v>
      </c>
      <c r="C4098" s="179" t="s">
        <v>8288</v>
      </c>
    </row>
    <row r="4099" spans="1:3">
      <c r="A4099" s="177">
        <v>951300029</v>
      </c>
      <c r="B4099" s="116" t="str">
        <f t="shared" ref="B4099:B4162" si="64">MID(A4099,1,2)&amp;"-"&amp;A4099</f>
        <v>95-951300029</v>
      </c>
      <c r="C4099" s="179" t="s">
        <v>7819</v>
      </c>
    </row>
    <row r="4100" spans="1:3">
      <c r="A4100" s="177">
        <v>951600035</v>
      </c>
      <c r="B4100" s="116" t="str">
        <f t="shared" si="64"/>
        <v>95-951600035</v>
      </c>
      <c r="C4100" s="179" t="s">
        <v>8290</v>
      </c>
    </row>
    <row r="4101" spans="1:3">
      <c r="A4101" s="177">
        <v>951900025</v>
      </c>
      <c r="B4101" s="116" t="str">
        <f t="shared" si="64"/>
        <v>95-951900025</v>
      </c>
      <c r="C4101" s="179" t="s">
        <v>8283</v>
      </c>
    </row>
    <row r="4102" spans="1:3">
      <c r="A4102" s="177">
        <v>951900037</v>
      </c>
      <c r="B4102" s="116" t="str">
        <f t="shared" si="64"/>
        <v>95-951900037</v>
      </c>
      <c r="C4102" s="179" t="s">
        <v>7653</v>
      </c>
    </row>
    <row r="4103" spans="1:3">
      <c r="A4103" s="177">
        <v>951900130</v>
      </c>
      <c r="B4103" s="116" t="str">
        <f t="shared" si="64"/>
        <v>95-951900130</v>
      </c>
      <c r="C4103" s="179" t="s">
        <v>7722</v>
      </c>
    </row>
    <row r="4104" spans="1:3">
      <c r="A4104" s="177">
        <v>966200457</v>
      </c>
      <c r="B4104" s="116" t="str">
        <f t="shared" si="64"/>
        <v>96-966200457</v>
      </c>
      <c r="C4104" s="179" t="s">
        <v>12253</v>
      </c>
    </row>
    <row r="4105" spans="1:3">
      <c r="A4105" s="177">
        <v>951600071</v>
      </c>
      <c r="B4105" s="116" t="str">
        <f t="shared" si="64"/>
        <v>95-951600071</v>
      </c>
      <c r="C4105" s="179" t="s">
        <v>7870</v>
      </c>
    </row>
    <row r="4106" spans="1:3">
      <c r="A4106" s="177">
        <v>951800004</v>
      </c>
      <c r="B4106" s="116" t="str">
        <f t="shared" si="64"/>
        <v>95-951800004</v>
      </c>
      <c r="C4106" s="179" t="s">
        <v>8291</v>
      </c>
    </row>
    <row r="4107" spans="1:3">
      <c r="A4107" s="177">
        <v>951400010</v>
      </c>
      <c r="B4107" s="116" t="str">
        <f t="shared" si="64"/>
        <v>95-951400010</v>
      </c>
      <c r="C4107" s="179" t="s">
        <v>8292</v>
      </c>
    </row>
    <row r="4108" spans="1:3">
      <c r="A4108" s="177">
        <v>951400019</v>
      </c>
      <c r="B4108" s="116" t="str">
        <f t="shared" si="64"/>
        <v>95-951400019</v>
      </c>
      <c r="C4108" s="179" t="s">
        <v>8293</v>
      </c>
    </row>
    <row r="4109" spans="1:3">
      <c r="A4109" s="177">
        <v>951600068</v>
      </c>
      <c r="B4109" s="116" t="str">
        <f t="shared" si="64"/>
        <v>95-951600068</v>
      </c>
      <c r="C4109" s="179" t="s">
        <v>8299</v>
      </c>
    </row>
    <row r="4110" spans="1:3">
      <c r="A4110" s="177">
        <v>951900305</v>
      </c>
      <c r="B4110" s="116" t="str">
        <f t="shared" si="64"/>
        <v>95-951900305</v>
      </c>
      <c r="C4110" s="179" t="s">
        <v>7885</v>
      </c>
    </row>
    <row r="4111" spans="1:3">
      <c r="A4111" s="177">
        <v>951700357</v>
      </c>
      <c r="B4111" s="116" t="str">
        <f t="shared" si="64"/>
        <v>95-951700357</v>
      </c>
      <c r="C4111" s="179" t="s">
        <v>7885</v>
      </c>
    </row>
    <row r="4112" spans="1:3">
      <c r="A4112" s="177">
        <v>951800033</v>
      </c>
      <c r="B4112" s="116" t="str">
        <f t="shared" si="64"/>
        <v>95-951800033</v>
      </c>
      <c r="C4112" s="179" t="s">
        <v>8286</v>
      </c>
    </row>
    <row r="4113" spans="1:3">
      <c r="A4113" s="177">
        <v>951800043</v>
      </c>
      <c r="B4113" s="116" t="str">
        <f t="shared" si="64"/>
        <v>95-951800043</v>
      </c>
      <c r="C4113" s="179" t="s">
        <v>8287</v>
      </c>
    </row>
    <row r="4114" spans="1:3">
      <c r="A4114" s="177">
        <v>951300003</v>
      </c>
      <c r="B4114" s="116" t="str">
        <f t="shared" si="64"/>
        <v>95-951300003</v>
      </c>
      <c r="C4114" s="179" t="s">
        <v>8288</v>
      </c>
    </row>
    <row r="4115" spans="1:3">
      <c r="A4115" s="177">
        <v>951300022</v>
      </c>
      <c r="B4115" s="116" t="str">
        <f t="shared" si="64"/>
        <v>95-951300022</v>
      </c>
      <c r="C4115" s="179" t="s">
        <v>7818</v>
      </c>
    </row>
    <row r="4116" spans="1:3">
      <c r="A4116" s="177">
        <v>951300032</v>
      </c>
      <c r="B4116" s="116" t="str">
        <f t="shared" si="64"/>
        <v>95-951300032</v>
      </c>
      <c r="C4116" s="179" t="s">
        <v>7665</v>
      </c>
    </row>
    <row r="4117" spans="1:3">
      <c r="A4117" s="177">
        <v>951300034</v>
      </c>
      <c r="B4117" s="116" t="str">
        <f t="shared" si="64"/>
        <v>95-951300034</v>
      </c>
      <c r="C4117" s="179" t="s">
        <v>7665</v>
      </c>
    </row>
    <row r="4118" spans="1:3">
      <c r="A4118" s="177">
        <v>961900065</v>
      </c>
      <c r="B4118" s="116" t="str">
        <f t="shared" si="64"/>
        <v>96-961900065</v>
      </c>
      <c r="C4118" s="179" t="s">
        <v>8300</v>
      </c>
    </row>
    <row r="4119" spans="1:3">
      <c r="A4119" s="177">
        <v>961700044</v>
      </c>
      <c r="B4119" s="116" t="str">
        <f t="shared" si="64"/>
        <v>96-961700044</v>
      </c>
      <c r="C4119" s="179" t="s">
        <v>8301</v>
      </c>
    </row>
    <row r="4120" spans="1:3">
      <c r="A4120" s="177">
        <v>961700116</v>
      </c>
      <c r="B4120" s="116" t="str">
        <f t="shared" si="64"/>
        <v>96-961700116</v>
      </c>
      <c r="C4120" s="179" t="s">
        <v>7160</v>
      </c>
    </row>
    <row r="4121" spans="1:3">
      <c r="A4121" s="177">
        <v>961700119</v>
      </c>
      <c r="B4121" s="116" t="str">
        <f t="shared" si="64"/>
        <v>96-961700119</v>
      </c>
      <c r="C4121" s="179" t="s">
        <v>7160</v>
      </c>
    </row>
    <row r="4122" spans="1:3">
      <c r="A4122" s="177">
        <v>961700125</v>
      </c>
      <c r="B4122" s="116" t="str">
        <f t="shared" si="64"/>
        <v>96-961700125</v>
      </c>
      <c r="C4122" s="179" t="s">
        <v>7160</v>
      </c>
    </row>
    <row r="4123" spans="1:3">
      <c r="A4123" s="177">
        <v>961700126</v>
      </c>
      <c r="B4123" s="116" t="str">
        <f t="shared" si="64"/>
        <v>96-961700126</v>
      </c>
      <c r="C4123" s="179" t="s">
        <v>7160</v>
      </c>
    </row>
    <row r="4124" spans="1:3">
      <c r="A4124" s="177">
        <v>951400005</v>
      </c>
      <c r="B4124" s="116" t="str">
        <f t="shared" si="64"/>
        <v>95-951400005</v>
      </c>
      <c r="C4124" s="179" t="s">
        <v>7929</v>
      </c>
    </row>
    <row r="4125" spans="1:3">
      <c r="A4125" s="177">
        <v>951400006</v>
      </c>
      <c r="B4125" s="116" t="str">
        <f t="shared" si="64"/>
        <v>95-951400006</v>
      </c>
      <c r="C4125" s="179" t="s">
        <v>7929</v>
      </c>
    </row>
    <row r="4126" spans="1:3">
      <c r="A4126" s="177">
        <v>951300035</v>
      </c>
      <c r="B4126" s="116" t="str">
        <f t="shared" si="64"/>
        <v>95-951300035</v>
      </c>
      <c r="C4126" s="179" t="s">
        <v>7665</v>
      </c>
    </row>
    <row r="4127" spans="1:3">
      <c r="A4127" s="177">
        <v>951900088</v>
      </c>
      <c r="B4127" s="116" t="str">
        <f t="shared" si="64"/>
        <v>95-951900088</v>
      </c>
      <c r="C4127" s="179" t="s">
        <v>8289</v>
      </c>
    </row>
    <row r="4128" spans="1:3">
      <c r="A4128" s="177">
        <v>951600036</v>
      </c>
      <c r="B4128" s="116" t="str">
        <f t="shared" si="64"/>
        <v>95-951600036</v>
      </c>
      <c r="C4128" s="179" t="s">
        <v>8302</v>
      </c>
    </row>
    <row r="4129" spans="1:3">
      <c r="A4129" s="177">
        <v>951700034</v>
      </c>
      <c r="B4129" s="116" t="str">
        <f t="shared" si="64"/>
        <v>95-951700034</v>
      </c>
      <c r="C4129" s="179" t="s">
        <v>8303</v>
      </c>
    </row>
    <row r="4130" spans="1:3">
      <c r="A4130" s="177">
        <v>951700285</v>
      </c>
      <c r="B4130" s="116" t="str">
        <f t="shared" si="64"/>
        <v>95-951700285</v>
      </c>
      <c r="C4130" s="179" t="s">
        <v>8304</v>
      </c>
    </row>
    <row r="4131" spans="1:3">
      <c r="A4131" s="177">
        <v>951800003</v>
      </c>
      <c r="B4131" s="116" t="str">
        <f t="shared" si="64"/>
        <v>95-951800003</v>
      </c>
      <c r="C4131" s="179" t="s">
        <v>8305</v>
      </c>
    </row>
    <row r="4132" spans="1:3">
      <c r="A4132" s="177">
        <v>951400011</v>
      </c>
      <c r="B4132" s="116" t="str">
        <f t="shared" si="64"/>
        <v>95-951400011</v>
      </c>
      <c r="C4132" s="179" t="s">
        <v>8306</v>
      </c>
    </row>
    <row r="4133" spans="1:3">
      <c r="A4133" s="177">
        <v>951700208</v>
      </c>
      <c r="B4133" s="116" t="str">
        <f t="shared" si="64"/>
        <v>95-951700208</v>
      </c>
      <c r="C4133" s="179" t="s">
        <v>8307</v>
      </c>
    </row>
    <row r="4134" spans="1:3">
      <c r="A4134" s="177">
        <v>951400100</v>
      </c>
      <c r="B4134" s="116" t="str">
        <f t="shared" si="64"/>
        <v>95-951400100</v>
      </c>
      <c r="C4134" s="179" t="s">
        <v>7188</v>
      </c>
    </row>
    <row r="4135" spans="1:3">
      <c r="A4135" s="177">
        <v>951400147</v>
      </c>
      <c r="B4135" s="116" t="str">
        <f t="shared" si="64"/>
        <v>95-951400147</v>
      </c>
      <c r="C4135" s="179" t="s">
        <v>8316</v>
      </c>
    </row>
    <row r="4136" spans="1:3">
      <c r="A4136" s="177">
        <v>951900317</v>
      </c>
      <c r="B4136" s="116" t="str">
        <f t="shared" si="64"/>
        <v>95-951900317</v>
      </c>
      <c r="C4136" s="179" t="s">
        <v>8317</v>
      </c>
    </row>
    <row r="4137" spans="1:3">
      <c r="A4137" s="177">
        <v>951800036</v>
      </c>
      <c r="B4137" s="116" t="str">
        <f t="shared" si="64"/>
        <v>95-951800036</v>
      </c>
      <c r="C4137" s="179" t="s">
        <v>7619</v>
      </c>
    </row>
    <row r="4138" spans="1:3">
      <c r="A4138" s="177">
        <v>951400113</v>
      </c>
      <c r="B4138" s="116" t="str">
        <f t="shared" si="64"/>
        <v>95-951400113</v>
      </c>
      <c r="C4138" s="179" t="s">
        <v>7695</v>
      </c>
    </row>
    <row r="4139" spans="1:3">
      <c r="A4139" s="177">
        <v>951900296</v>
      </c>
      <c r="B4139" s="116" t="str">
        <f t="shared" si="64"/>
        <v>95-951900296</v>
      </c>
      <c r="C4139" s="179" t="s">
        <v>7612</v>
      </c>
    </row>
    <row r="4140" spans="1:3">
      <c r="A4140" s="177">
        <v>961700061</v>
      </c>
      <c r="B4140" s="116" t="str">
        <f t="shared" si="64"/>
        <v>96-961700061</v>
      </c>
      <c r="C4140" s="179" t="s">
        <v>8244</v>
      </c>
    </row>
    <row r="4141" spans="1:3">
      <c r="A4141" s="177">
        <v>966200344</v>
      </c>
      <c r="B4141" s="116" t="str">
        <f t="shared" si="64"/>
        <v>96-966200344</v>
      </c>
      <c r="C4141" s="179" t="s">
        <v>8710</v>
      </c>
    </row>
    <row r="4142" spans="1:3">
      <c r="A4142" s="177">
        <v>966200109</v>
      </c>
      <c r="B4142" s="116" t="str">
        <f t="shared" si="64"/>
        <v>96-966200109</v>
      </c>
      <c r="C4142" s="179" t="s">
        <v>7361</v>
      </c>
    </row>
    <row r="4143" spans="1:3">
      <c r="A4143" s="177">
        <v>951900118</v>
      </c>
      <c r="B4143" s="116" t="str">
        <f t="shared" si="64"/>
        <v>95-951900118</v>
      </c>
      <c r="C4143" s="179" t="s">
        <v>8308</v>
      </c>
    </row>
    <row r="4144" spans="1:3">
      <c r="A4144" s="177">
        <v>951400056</v>
      </c>
      <c r="B4144" s="116" t="str">
        <f t="shared" si="64"/>
        <v>95-951400056</v>
      </c>
      <c r="C4144" s="179" t="s">
        <v>8309</v>
      </c>
    </row>
    <row r="4145" spans="1:3">
      <c r="A4145" s="177">
        <v>951900092</v>
      </c>
      <c r="B4145" s="116" t="str">
        <f t="shared" si="64"/>
        <v>95-951900092</v>
      </c>
      <c r="C4145" s="179" t="s">
        <v>7755</v>
      </c>
    </row>
    <row r="4146" spans="1:3">
      <c r="A4146" s="177">
        <v>951900231</v>
      </c>
      <c r="B4146" s="116" t="str">
        <f t="shared" si="64"/>
        <v>95-951900231</v>
      </c>
      <c r="C4146" s="179" t="s">
        <v>8318</v>
      </c>
    </row>
    <row r="4147" spans="1:3">
      <c r="A4147" s="177">
        <v>951900182</v>
      </c>
      <c r="B4147" s="116" t="str">
        <f t="shared" si="64"/>
        <v>95-951900182</v>
      </c>
      <c r="C4147" s="179" t="s">
        <v>7165</v>
      </c>
    </row>
    <row r="4148" spans="1:3">
      <c r="A4148" s="177">
        <v>951700305</v>
      </c>
      <c r="B4148" s="116" t="str">
        <f t="shared" si="64"/>
        <v>95-951700305</v>
      </c>
      <c r="C4148" s="179" t="s">
        <v>8319</v>
      </c>
    </row>
    <row r="4149" spans="1:3">
      <c r="A4149" s="177">
        <v>951700337</v>
      </c>
      <c r="B4149" s="116" t="str">
        <f t="shared" si="64"/>
        <v>95-951700337</v>
      </c>
      <c r="C4149" s="179" t="s">
        <v>8320</v>
      </c>
    </row>
    <row r="4150" spans="1:3">
      <c r="A4150" s="177">
        <v>951900271</v>
      </c>
      <c r="B4150" s="116" t="str">
        <f t="shared" si="64"/>
        <v>95-951900271</v>
      </c>
      <c r="C4150" s="179" t="s">
        <v>8321</v>
      </c>
    </row>
    <row r="4151" spans="1:3">
      <c r="A4151" s="177">
        <v>951400172</v>
      </c>
      <c r="B4151" s="116" t="str">
        <f t="shared" si="64"/>
        <v>95-951400172</v>
      </c>
      <c r="C4151" s="179" t="s">
        <v>7831</v>
      </c>
    </row>
    <row r="4152" spans="1:3">
      <c r="A4152" s="177">
        <v>961700022</v>
      </c>
      <c r="B4152" s="116" t="str">
        <f t="shared" si="64"/>
        <v>96-961700022</v>
      </c>
      <c r="C4152" s="179" t="s">
        <v>8322</v>
      </c>
    </row>
    <row r="4153" spans="1:3">
      <c r="A4153" s="177">
        <v>961900069</v>
      </c>
      <c r="B4153" s="116" t="str">
        <f t="shared" si="64"/>
        <v>96-961900069</v>
      </c>
      <c r="C4153" s="179" t="s">
        <v>8323</v>
      </c>
    </row>
    <row r="4154" spans="1:3">
      <c r="A4154" s="177">
        <v>951900265</v>
      </c>
      <c r="B4154" s="116" t="str">
        <f t="shared" si="64"/>
        <v>95-951900265</v>
      </c>
      <c r="C4154" s="179" t="s">
        <v>8326</v>
      </c>
    </row>
    <row r="4155" spans="1:3">
      <c r="A4155" s="177">
        <v>966200252</v>
      </c>
      <c r="B4155" s="116" t="str">
        <f t="shared" si="64"/>
        <v>96-966200252</v>
      </c>
      <c r="C4155" s="179" t="s">
        <v>7730</v>
      </c>
    </row>
    <row r="4156" spans="1:3">
      <c r="A4156" s="177">
        <v>951900234</v>
      </c>
      <c r="B4156" s="116" t="str">
        <f t="shared" si="64"/>
        <v>95-951900234</v>
      </c>
      <c r="C4156" s="179" t="s">
        <v>8327</v>
      </c>
    </row>
    <row r="4157" spans="1:3">
      <c r="A4157" s="177">
        <v>951800112</v>
      </c>
      <c r="B4157" s="116" t="str">
        <f t="shared" si="64"/>
        <v>95-951800112</v>
      </c>
      <c r="C4157" s="179" t="s">
        <v>7190</v>
      </c>
    </row>
    <row r="4158" spans="1:3">
      <c r="A4158" s="177">
        <v>966200033</v>
      </c>
      <c r="B4158" s="116" t="str">
        <f t="shared" si="64"/>
        <v>96-966200033</v>
      </c>
      <c r="C4158" s="179" t="s">
        <v>7288</v>
      </c>
    </row>
    <row r="4159" spans="1:3">
      <c r="A4159" s="177">
        <v>966200030</v>
      </c>
      <c r="B4159" s="116" t="str">
        <f t="shared" si="64"/>
        <v>96-966200030</v>
      </c>
      <c r="C4159" s="179" t="s">
        <v>7288</v>
      </c>
    </row>
    <row r="4160" spans="1:3">
      <c r="A4160" s="177">
        <v>966200285</v>
      </c>
      <c r="B4160" s="116" t="str">
        <f t="shared" si="64"/>
        <v>96-966200285</v>
      </c>
      <c r="C4160" s="179" t="s">
        <v>7210</v>
      </c>
    </row>
    <row r="4161" spans="1:3">
      <c r="A4161" s="177">
        <v>951600096</v>
      </c>
      <c r="B4161" s="116" t="str">
        <f t="shared" si="64"/>
        <v>95-951600096</v>
      </c>
      <c r="C4161" s="179" t="s">
        <v>7800</v>
      </c>
    </row>
    <row r="4162" spans="1:3">
      <c r="A4162" s="177">
        <v>961700140</v>
      </c>
      <c r="B4162" s="116" t="str">
        <f t="shared" si="64"/>
        <v>96-961700140</v>
      </c>
      <c r="C4162" s="179" t="s">
        <v>8708</v>
      </c>
    </row>
    <row r="4163" spans="1:3">
      <c r="A4163" s="177">
        <v>966200270</v>
      </c>
      <c r="B4163" s="116" t="str">
        <f t="shared" ref="B4163:B4226" si="65">MID(A4163,1,2)&amp;"-"&amp;A4163</f>
        <v>96-966200270</v>
      </c>
      <c r="C4163" s="179" t="s">
        <v>7167</v>
      </c>
    </row>
    <row r="4164" spans="1:3">
      <c r="A4164" s="177">
        <v>966200271</v>
      </c>
      <c r="B4164" s="116" t="str">
        <f t="shared" si="65"/>
        <v>96-966200271</v>
      </c>
      <c r="C4164" s="179" t="s">
        <v>7167</v>
      </c>
    </row>
    <row r="4165" spans="1:3">
      <c r="A4165" s="177">
        <v>966200162</v>
      </c>
      <c r="B4165" s="116" t="str">
        <f t="shared" si="65"/>
        <v>96-966200162</v>
      </c>
      <c r="C4165" s="179" t="s">
        <v>7859</v>
      </c>
    </row>
    <row r="4166" spans="1:3">
      <c r="A4166" s="177">
        <v>966200129</v>
      </c>
      <c r="B4166" s="116" t="str">
        <f t="shared" si="65"/>
        <v>96-966200129</v>
      </c>
      <c r="C4166" s="179" t="s">
        <v>7293</v>
      </c>
    </row>
    <row r="4167" spans="1:3">
      <c r="A4167" s="177">
        <v>966200376</v>
      </c>
      <c r="B4167" s="116" t="str">
        <f t="shared" si="65"/>
        <v>96-966200376</v>
      </c>
      <c r="C4167" s="179" t="s">
        <v>12238</v>
      </c>
    </row>
    <row r="4168" spans="1:3">
      <c r="A4168" s="177">
        <v>956200157</v>
      </c>
      <c r="B4168" s="116" t="str">
        <f t="shared" si="65"/>
        <v>95-956200157</v>
      </c>
      <c r="C4168" s="179" t="s">
        <v>7268</v>
      </c>
    </row>
    <row r="4169" spans="1:3">
      <c r="A4169" s="177">
        <v>966200476</v>
      </c>
      <c r="B4169" s="116" t="str">
        <f t="shared" si="65"/>
        <v>96-966200476</v>
      </c>
      <c r="C4169" s="179" t="s">
        <v>12185</v>
      </c>
    </row>
    <row r="4170" spans="1:3">
      <c r="A4170" s="177">
        <v>961700122</v>
      </c>
      <c r="B4170" s="116" t="str">
        <f t="shared" si="65"/>
        <v>96-961700122</v>
      </c>
      <c r="C4170" s="179" t="s">
        <v>7160</v>
      </c>
    </row>
    <row r="4171" spans="1:3">
      <c r="A4171" s="177">
        <v>951700207</v>
      </c>
      <c r="B4171" s="116" t="str">
        <f t="shared" si="65"/>
        <v>95-951700207</v>
      </c>
      <c r="C4171" s="179" t="s">
        <v>8227</v>
      </c>
    </row>
    <row r="4172" spans="1:3">
      <c r="A4172" s="177">
        <v>951900229</v>
      </c>
      <c r="B4172" s="116" t="str">
        <f t="shared" si="65"/>
        <v>95-951900229</v>
      </c>
      <c r="C4172" s="179" t="s">
        <v>7679</v>
      </c>
    </row>
    <row r="4173" spans="1:3">
      <c r="A4173" s="177">
        <v>951300010</v>
      </c>
      <c r="B4173" s="116" t="str">
        <f t="shared" si="65"/>
        <v>95-951300010</v>
      </c>
      <c r="C4173" s="179" t="s">
        <v>7680</v>
      </c>
    </row>
    <row r="4174" spans="1:3">
      <c r="A4174" s="177">
        <v>951300015</v>
      </c>
      <c r="B4174" s="116" t="str">
        <f t="shared" si="65"/>
        <v>95-951300015</v>
      </c>
      <c r="C4174" s="179" t="s">
        <v>7804</v>
      </c>
    </row>
    <row r="4175" spans="1:3">
      <c r="A4175" s="177">
        <v>961900005</v>
      </c>
      <c r="B4175" s="116" t="str">
        <f t="shared" si="65"/>
        <v>96-961900005</v>
      </c>
      <c r="C4175" s="179" t="s">
        <v>8328</v>
      </c>
    </row>
    <row r="4176" spans="1:3">
      <c r="A4176" s="177">
        <v>951700289</v>
      </c>
      <c r="B4176" s="116" t="str">
        <f t="shared" si="65"/>
        <v>95-951700289</v>
      </c>
      <c r="C4176" s="179" t="s">
        <v>8334</v>
      </c>
    </row>
    <row r="4177" spans="1:3">
      <c r="A4177" s="177">
        <v>956100001</v>
      </c>
      <c r="B4177" s="116" t="str">
        <f t="shared" si="65"/>
        <v>95-956100001</v>
      </c>
      <c r="C4177" s="179" t="s">
        <v>7773</v>
      </c>
    </row>
    <row r="4178" spans="1:3">
      <c r="A4178" s="177">
        <v>951600086</v>
      </c>
      <c r="B4178" s="116" t="str">
        <f t="shared" si="65"/>
        <v>95-951600086</v>
      </c>
      <c r="C4178" s="179" t="s">
        <v>7779</v>
      </c>
    </row>
    <row r="4179" spans="1:3">
      <c r="A4179" s="177">
        <v>966200530</v>
      </c>
      <c r="B4179" s="116" t="str">
        <f t="shared" si="65"/>
        <v>96-966200530</v>
      </c>
      <c r="C4179" s="179" t="s">
        <v>12422</v>
      </c>
    </row>
    <row r="4180" spans="1:3">
      <c r="A4180" s="177">
        <v>961900039</v>
      </c>
      <c r="B4180" s="116" t="str">
        <f t="shared" si="65"/>
        <v>96-961900039</v>
      </c>
      <c r="C4180" s="179" t="s">
        <v>8335</v>
      </c>
    </row>
    <row r="4181" spans="1:3">
      <c r="A4181" s="177">
        <v>961900089</v>
      </c>
      <c r="B4181" s="116" t="str">
        <f t="shared" si="65"/>
        <v>96-961900089</v>
      </c>
      <c r="C4181" s="179" t="s">
        <v>8332</v>
      </c>
    </row>
    <row r="4182" spans="1:3">
      <c r="A4182" s="177">
        <v>961100045</v>
      </c>
      <c r="B4182" s="116" t="str">
        <f t="shared" si="65"/>
        <v>96-961100045</v>
      </c>
      <c r="C4182" s="179" t="s">
        <v>8336</v>
      </c>
    </row>
    <row r="4183" spans="1:3">
      <c r="A4183" s="177">
        <v>951100077</v>
      </c>
      <c r="B4183" s="116" t="str">
        <f t="shared" si="65"/>
        <v>95-951100077</v>
      </c>
      <c r="C4183" s="179" t="s">
        <v>8338</v>
      </c>
    </row>
    <row r="4184" spans="1:3">
      <c r="A4184" s="177">
        <v>962000131</v>
      </c>
      <c r="B4184" s="116" t="str">
        <f t="shared" si="65"/>
        <v>96-962000131</v>
      </c>
      <c r="C4184" s="179" t="s">
        <v>7112</v>
      </c>
    </row>
    <row r="4185" spans="1:3">
      <c r="A4185" s="177">
        <v>962000258</v>
      </c>
      <c r="B4185" s="116" t="str">
        <f t="shared" si="65"/>
        <v>96-962000258</v>
      </c>
      <c r="C4185" s="179" t="s">
        <v>7112</v>
      </c>
    </row>
    <row r="4186" spans="1:3">
      <c r="A4186" s="177">
        <v>962000148</v>
      </c>
      <c r="B4186" s="116" t="str">
        <f t="shared" si="65"/>
        <v>96-962000148</v>
      </c>
      <c r="C4186" s="179" t="s">
        <v>7112</v>
      </c>
    </row>
    <row r="4187" spans="1:3">
      <c r="A4187" s="177">
        <v>956200086</v>
      </c>
      <c r="B4187" s="116" t="str">
        <f t="shared" si="65"/>
        <v>95-956200086</v>
      </c>
      <c r="C4187" s="179" t="s">
        <v>8054</v>
      </c>
    </row>
    <row r="4188" spans="1:3">
      <c r="A4188" s="177">
        <v>952000269</v>
      </c>
      <c r="B4188" s="116" t="str">
        <f t="shared" si="65"/>
        <v>95-952000269</v>
      </c>
      <c r="C4188" s="179" t="s">
        <v>7280</v>
      </c>
    </row>
    <row r="4189" spans="1:3">
      <c r="A4189" s="177">
        <v>962000016</v>
      </c>
      <c r="B4189" s="116" t="str">
        <f t="shared" si="65"/>
        <v>96-962000016</v>
      </c>
      <c r="C4189" s="179" t="s">
        <v>7112</v>
      </c>
    </row>
    <row r="4190" spans="1:3">
      <c r="A4190" s="177">
        <v>951400131</v>
      </c>
      <c r="B4190" s="116" t="str">
        <f t="shared" si="65"/>
        <v>95-951400131</v>
      </c>
      <c r="C4190" s="179" t="s">
        <v>7164</v>
      </c>
    </row>
    <row r="4191" spans="1:3">
      <c r="A4191" s="177">
        <v>952000168</v>
      </c>
      <c r="B4191" s="116" t="str">
        <f t="shared" si="65"/>
        <v>95-952000168</v>
      </c>
      <c r="C4191" s="179" t="s">
        <v>7392</v>
      </c>
    </row>
    <row r="4192" spans="1:3">
      <c r="A4192" s="177">
        <v>962000057</v>
      </c>
      <c r="B4192" s="116" t="str">
        <f t="shared" si="65"/>
        <v>96-962000057</v>
      </c>
      <c r="C4192" s="179" t="s">
        <v>7112</v>
      </c>
    </row>
    <row r="4193" spans="1:3">
      <c r="A4193" s="177">
        <v>952000355</v>
      </c>
      <c r="B4193" s="116" t="str">
        <f t="shared" si="65"/>
        <v>95-952000355</v>
      </c>
      <c r="C4193" s="179" t="s">
        <v>8055</v>
      </c>
    </row>
    <row r="4194" spans="1:3">
      <c r="A4194" s="177">
        <v>962000070</v>
      </c>
      <c r="B4194" s="116" t="str">
        <f t="shared" si="65"/>
        <v>96-962000070</v>
      </c>
      <c r="C4194" s="179" t="s">
        <v>7112</v>
      </c>
    </row>
    <row r="4195" spans="1:3">
      <c r="A4195" s="177">
        <v>962000440</v>
      </c>
      <c r="B4195" s="116" t="str">
        <f t="shared" si="65"/>
        <v>96-962000440</v>
      </c>
      <c r="C4195" s="179" t="s">
        <v>12184</v>
      </c>
    </row>
    <row r="4196" spans="1:3">
      <c r="A4196" s="177">
        <v>952000271</v>
      </c>
      <c r="B4196" s="116" t="str">
        <f t="shared" si="65"/>
        <v>95-952000271</v>
      </c>
      <c r="C4196" s="179" t="s">
        <v>7280</v>
      </c>
    </row>
    <row r="4197" spans="1:3">
      <c r="A4197" s="177">
        <v>962000045</v>
      </c>
      <c r="B4197" s="116" t="str">
        <f t="shared" si="65"/>
        <v>96-962000045</v>
      </c>
      <c r="C4197" s="179" t="s">
        <v>7112</v>
      </c>
    </row>
    <row r="4198" spans="1:3">
      <c r="A4198" s="177">
        <v>952000169</v>
      </c>
      <c r="B4198" s="116" t="str">
        <f t="shared" si="65"/>
        <v>95-952000169</v>
      </c>
      <c r="C4198" s="179" t="s">
        <v>7392</v>
      </c>
    </row>
    <row r="4199" spans="1:3">
      <c r="A4199" s="177">
        <v>961900176</v>
      </c>
      <c r="B4199" s="116" t="str">
        <f t="shared" si="65"/>
        <v>96-961900176</v>
      </c>
      <c r="C4199" s="179" t="s">
        <v>8738</v>
      </c>
    </row>
    <row r="4200" spans="1:3">
      <c r="A4200" s="177">
        <v>966200427</v>
      </c>
      <c r="B4200" s="116" t="str">
        <f t="shared" si="65"/>
        <v>96-966200427</v>
      </c>
      <c r="C4200" s="179" t="s">
        <v>12256</v>
      </c>
    </row>
    <row r="4201" spans="1:3">
      <c r="A4201" s="177">
        <v>951900048</v>
      </c>
      <c r="B4201" s="116" t="str">
        <f t="shared" si="65"/>
        <v>95-951900048</v>
      </c>
      <c r="C4201" s="179" t="s">
        <v>8347</v>
      </c>
    </row>
    <row r="4202" spans="1:3">
      <c r="A4202" s="177">
        <v>961900187</v>
      </c>
      <c r="B4202" s="116" t="str">
        <f t="shared" si="65"/>
        <v>96-961900187</v>
      </c>
      <c r="C4202" s="179" t="s">
        <v>12315</v>
      </c>
    </row>
    <row r="4203" spans="1:3">
      <c r="A4203" s="177">
        <v>961800027</v>
      </c>
      <c r="B4203" s="116" t="str">
        <f t="shared" si="65"/>
        <v>96-961800027</v>
      </c>
      <c r="C4203" s="179" t="s">
        <v>7169</v>
      </c>
    </row>
    <row r="4204" spans="1:3">
      <c r="A4204" s="177">
        <v>966000023</v>
      </c>
      <c r="B4204" s="116" t="str">
        <f t="shared" si="65"/>
        <v>96-966000023</v>
      </c>
      <c r="C4204" s="179" t="s">
        <v>7146</v>
      </c>
    </row>
    <row r="4205" spans="1:3">
      <c r="A4205" s="177">
        <v>956000007</v>
      </c>
      <c r="B4205" s="116" t="str">
        <f t="shared" si="65"/>
        <v>95-956000007</v>
      </c>
      <c r="C4205" s="179" t="s">
        <v>7146</v>
      </c>
    </row>
    <row r="4206" spans="1:3">
      <c r="A4206" s="177">
        <v>966000038</v>
      </c>
      <c r="B4206" s="116" t="str">
        <f t="shared" si="65"/>
        <v>96-966000038</v>
      </c>
      <c r="C4206" s="179" t="s">
        <v>7146</v>
      </c>
    </row>
    <row r="4207" spans="1:3">
      <c r="A4207" s="177">
        <v>951200047</v>
      </c>
      <c r="B4207" s="116" t="str">
        <f t="shared" si="65"/>
        <v>95-951200047</v>
      </c>
      <c r="C4207" s="179" t="s">
        <v>7174</v>
      </c>
    </row>
    <row r="4208" spans="1:3">
      <c r="A4208" s="177">
        <v>951200074</v>
      </c>
      <c r="B4208" s="116" t="str">
        <f t="shared" si="65"/>
        <v>95-951200074</v>
      </c>
      <c r="C4208" s="179" t="s">
        <v>7451</v>
      </c>
    </row>
    <row r="4209" spans="1:3">
      <c r="A4209" s="177">
        <v>951200085</v>
      </c>
      <c r="B4209" s="116" t="str">
        <f t="shared" si="65"/>
        <v>95-951200085</v>
      </c>
      <c r="C4209" s="179" t="s">
        <v>7172</v>
      </c>
    </row>
    <row r="4210" spans="1:3">
      <c r="A4210" s="177">
        <v>962000048</v>
      </c>
      <c r="B4210" s="116" t="str">
        <f t="shared" si="65"/>
        <v>96-962000048</v>
      </c>
      <c r="C4210" s="179" t="s">
        <v>7112</v>
      </c>
    </row>
    <row r="4211" spans="1:3">
      <c r="A4211" s="177">
        <v>962000043</v>
      </c>
      <c r="B4211" s="116" t="str">
        <f t="shared" si="65"/>
        <v>96-962000043</v>
      </c>
      <c r="C4211" s="179" t="s">
        <v>7112</v>
      </c>
    </row>
    <row r="4212" spans="1:3">
      <c r="A4212" s="177">
        <v>951100109</v>
      </c>
      <c r="B4212" s="116" t="str">
        <f t="shared" si="65"/>
        <v>95-951100109</v>
      </c>
      <c r="C4212" s="179" t="s">
        <v>8064</v>
      </c>
    </row>
    <row r="4213" spans="1:3">
      <c r="A4213" s="177">
        <v>951100181</v>
      </c>
      <c r="B4213" s="116" t="str">
        <f t="shared" si="65"/>
        <v>95-951100181</v>
      </c>
      <c r="C4213" s="179" t="s">
        <v>8065</v>
      </c>
    </row>
    <row r="4214" spans="1:3">
      <c r="A4214" s="177">
        <v>961100103</v>
      </c>
      <c r="B4214" s="116" t="str">
        <f t="shared" si="65"/>
        <v>96-961100103</v>
      </c>
      <c r="C4214" s="179" t="s">
        <v>12269</v>
      </c>
    </row>
    <row r="4215" spans="1:3">
      <c r="A4215" s="177">
        <v>961100110</v>
      </c>
      <c r="B4215" s="116" t="str">
        <f t="shared" si="65"/>
        <v>96-961100110</v>
      </c>
      <c r="C4215" s="179" t="s">
        <v>12448</v>
      </c>
    </row>
    <row r="4216" spans="1:3">
      <c r="A4216" s="177">
        <v>952000099</v>
      </c>
      <c r="B4216" s="116" t="str">
        <f t="shared" si="65"/>
        <v>95-952000099</v>
      </c>
      <c r="C4216" s="179" t="s">
        <v>7321</v>
      </c>
    </row>
    <row r="4217" spans="1:3">
      <c r="A4217" s="177">
        <v>952000282</v>
      </c>
      <c r="B4217" s="116" t="str">
        <f t="shared" si="65"/>
        <v>95-952000282</v>
      </c>
      <c r="C4217" s="179" t="s">
        <v>7280</v>
      </c>
    </row>
    <row r="4218" spans="1:3">
      <c r="A4218" s="177">
        <v>951300001</v>
      </c>
      <c r="B4218" s="116" t="str">
        <f t="shared" si="65"/>
        <v>95-951300001</v>
      </c>
      <c r="C4218" s="179" t="s">
        <v>8288</v>
      </c>
    </row>
    <row r="4219" spans="1:3">
      <c r="A4219" s="177">
        <v>951900289</v>
      </c>
      <c r="B4219" s="116" t="str">
        <f t="shared" si="65"/>
        <v>95-951900289</v>
      </c>
      <c r="C4219" s="179" t="s">
        <v>8229</v>
      </c>
    </row>
    <row r="4220" spans="1:3">
      <c r="A4220" s="177">
        <v>951400180</v>
      </c>
      <c r="B4220" s="116" t="str">
        <f t="shared" si="65"/>
        <v>95-951400180</v>
      </c>
      <c r="C4220" s="179" t="s">
        <v>7665</v>
      </c>
    </row>
    <row r="4221" spans="1:3">
      <c r="A4221" s="177">
        <v>951400143</v>
      </c>
      <c r="B4221" s="116" t="str">
        <f t="shared" si="65"/>
        <v>95-951400143</v>
      </c>
      <c r="C4221" s="179" t="s">
        <v>8339</v>
      </c>
    </row>
    <row r="4222" spans="1:3">
      <c r="A4222" s="177">
        <v>951900003</v>
      </c>
      <c r="B4222" s="116" t="str">
        <f t="shared" si="65"/>
        <v>95-951900003</v>
      </c>
      <c r="C4222" s="179" t="s">
        <v>8340</v>
      </c>
    </row>
    <row r="4223" spans="1:3">
      <c r="A4223" s="177">
        <v>951700033</v>
      </c>
      <c r="B4223" s="116" t="str">
        <f t="shared" si="65"/>
        <v>95-951700033</v>
      </c>
      <c r="C4223" s="179" t="s">
        <v>8341</v>
      </c>
    </row>
    <row r="4224" spans="1:3">
      <c r="A4224" s="177">
        <v>961900041</v>
      </c>
      <c r="B4224" s="116" t="str">
        <f t="shared" si="65"/>
        <v>96-961900041</v>
      </c>
      <c r="C4224" s="179" t="s">
        <v>8342</v>
      </c>
    </row>
    <row r="4225" spans="1:3">
      <c r="A4225" s="177">
        <v>961900068</v>
      </c>
      <c r="B4225" s="116" t="str">
        <f t="shared" si="65"/>
        <v>96-961900068</v>
      </c>
      <c r="C4225" s="179" t="s">
        <v>8343</v>
      </c>
    </row>
    <row r="4226" spans="1:3">
      <c r="A4226" s="177">
        <v>961900131</v>
      </c>
      <c r="B4226" s="116" t="str">
        <f t="shared" si="65"/>
        <v>96-961900131</v>
      </c>
      <c r="C4226" s="179" t="s">
        <v>7893</v>
      </c>
    </row>
    <row r="4227" spans="1:3">
      <c r="A4227" s="177">
        <v>951900297</v>
      </c>
      <c r="B4227" s="116" t="str">
        <f t="shared" ref="B4227:B4290" si="66">MID(A4227,1,2)&amp;"-"&amp;A4227</f>
        <v>95-951900297</v>
      </c>
      <c r="C4227" s="179" t="s">
        <v>7612</v>
      </c>
    </row>
    <row r="4228" spans="1:3">
      <c r="A4228" s="177">
        <v>962000012</v>
      </c>
      <c r="B4228" s="116" t="str">
        <f t="shared" si="66"/>
        <v>96-962000012</v>
      </c>
      <c r="C4228" s="179" t="s">
        <v>7112</v>
      </c>
    </row>
    <row r="4229" spans="1:3">
      <c r="A4229" s="177">
        <v>962000001</v>
      </c>
      <c r="B4229" s="116" t="str">
        <f t="shared" si="66"/>
        <v>96-962000001</v>
      </c>
      <c r="C4229" s="179" t="s">
        <v>8066</v>
      </c>
    </row>
    <row r="4230" spans="1:3">
      <c r="A4230" s="177">
        <v>962000042</v>
      </c>
      <c r="B4230" s="116" t="str">
        <f t="shared" si="66"/>
        <v>96-962000042</v>
      </c>
      <c r="C4230" s="179" t="s">
        <v>7112</v>
      </c>
    </row>
    <row r="4231" spans="1:3">
      <c r="A4231" s="177">
        <v>952000039</v>
      </c>
      <c r="B4231" s="116" t="str">
        <f t="shared" si="66"/>
        <v>95-952000039</v>
      </c>
      <c r="C4231" s="179" t="s">
        <v>7331</v>
      </c>
    </row>
    <row r="4232" spans="1:3">
      <c r="A4232" s="177">
        <v>952000144</v>
      </c>
      <c r="B4232" s="116" t="str">
        <f t="shared" si="66"/>
        <v>95-952000144</v>
      </c>
      <c r="C4232" s="179" t="s">
        <v>7332</v>
      </c>
    </row>
    <row r="4233" spans="1:3">
      <c r="A4233" s="177">
        <v>952000046</v>
      </c>
      <c r="B4233" s="116" t="str">
        <f t="shared" si="66"/>
        <v>95-952000046</v>
      </c>
      <c r="C4233" s="179" t="s">
        <v>7331</v>
      </c>
    </row>
    <row r="4234" spans="1:3">
      <c r="A4234" s="177">
        <v>956200325</v>
      </c>
      <c r="B4234" s="116" t="str">
        <f t="shared" si="66"/>
        <v>95-956200325</v>
      </c>
      <c r="C4234" s="179" t="s">
        <v>7289</v>
      </c>
    </row>
    <row r="4235" spans="1:3">
      <c r="A4235" s="177">
        <v>952000317</v>
      </c>
      <c r="B4235" s="116" t="str">
        <f t="shared" si="66"/>
        <v>95-952000317</v>
      </c>
      <c r="C4235" s="179" t="s">
        <v>7420</v>
      </c>
    </row>
    <row r="4236" spans="1:3">
      <c r="A4236" s="177">
        <v>962000034</v>
      </c>
      <c r="B4236" s="116" t="str">
        <f t="shared" si="66"/>
        <v>96-962000034</v>
      </c>
      <c r="C4236" s="179" t="s">
        <v>7112</v>
      </c>
    </row>
    <row r="4237" spans="1:3">
      <c r="A4237" s="177">
        <v>964100071</v>
      </c>
      <c r="B4237" s="116" t="str">
        <f t="shared" si="66"/>
        <v>96-964100071</v>
      </c>
      <c r="C4237" s="179" t="s">
        <v>9786</v>
      </c>
    </row>
    <row r="4238" spans="1:3">
      <c r="A4238" s="177">
        <v>962500131</v>
      </c>
      <c r="B4238" s="116" t="str">
        <f t="shared" si="66"/>
        <v>96-962500131</v>
      </c>
      <c r="C4238" s="179" t="s">
        <v>8753</v>
      </c>
    </row>
    <row r="4239" spans="1:3">
      <c r="A4239" s="177">
        <v>951200028</v>
      </c>
      <c r="B4239" s="116" t="str">
        <f t="shared" si="66"/>
        <v>95-951200028</v>
      </c>
      <c r="C4239" s="179" t="s">
        <v>7172</v>
      </c>
    </row>
    <row r="4240" spans="1:3">
      <c r="A4240" s="177">
        <v>951200089</v>
      </c>
      <c r="B4240" s="116" t="str">
        <f t="shared" si="66"/>
        <v>95-951200089</v>
      </c>
      <c r="C4240" s="179" t="s">
        <v>7172</v>
      </c>
    </row>
    <row r="4241" spans="1:3">
      <c r="A4241" s="177">
        <v>951200093</v>
      </c>
      <c r="B4241" s="116" t="str">
        <f t="shared" si="66"/>
        <v>95-951200093</v>
      </c>
      <c r="C4241" s="179" t="s">
        <v>7151</v>
      </c>
    </row>
    <row r="4242" spans="1:3">
      <c r="A4242" s="177">
        <v>952200076</v>
      </c>
      <c r="B4242" s="116" t="str">
        <f t="shared" si="66"/>
        <v>95-952200076</v>
      </c>
      <c r="C4242" s="179" t="s">
        <v>7151</v>
      </c>
    </row>
    <row r="4243" spans="1:3">
      <c r="A4243" s="177">
        <v>962200003</v>
      </c>
      <c r="B4243" s="116" t="str">
        <f t="shared" si="66"/>
        <v>96-962200003</v>
      </c>
      <c r="C4243" s="179" t="s">
        <v>7151</v>
      </c>
    </row>
    <row r="4244" spans="1:3">
      <c r="A4244" s="177">
        <v>962500047</v>
      </c>
      <c r="B4244" s="116" t="str">
        <f t="shared" si="66"/>
        <v>96-962500047</v>
      </c>
      <c r="C4244" s="179" t="s">
        <v>5841</v>
      </c>
    </row>
    <row r="4245" spans="1:3">
      <c r="A4245" s="177">
        <v>951900299</v>
      </c>
      <c r="B4245" s="116" t="str">
        <f t="shared" si="66"/>
        <v>95-951900299</v>
      </c>
      <c r="C4245" s="179" t="s">
        <v>7612</v>
      </c>
    </row>
    <row r="4246" spans="1:3">
      <c r="A4246" s="177">
        <v>966200140</v>
      </c>
      <c r="B4246" s="116" t="str">
        <f t="shared" si="66"/>
        <v>96-966200140</v>
      </c>
      <c r="C4246" s="179" t="s">
        <v>8344</v>
      </c>
    </row>
    <row r="4247" spans="1:3">
      <c r="A4247" s="177">
        <v>966200233</v>
      </c>
      <c r="B4247" s="116" t="str">
        <f t="shared" si="66"/>
        <v>96-966200233</v>
      </c>
      <c r="C4247" s="179" t="s">
        <v>8348</v>
      </c>
    </row>
    <row r="4248" spans="1:3">
      <c r="A4248" s="177">
        <v>951700053</v>
      </c>
      <c r="B4248" s="116" t="str">
        <f t="shared" si="66"/>
        <v>95-951700053</v>
      </c>
      <c r="C4248" s="179" t="s">
        <v>7826</v>
      </c>
    </row>
    <row r="4249" spans="1:3">
      <c r="A4249" s="177">
        <v>951700243</v>
      </c>
      <c r="B4249" s="116" t="str">
        <f t="shared" si="66"/>
        <v>95-951700243</v>
      </c>
      <c r="C4249" s="179" t="s">
        <v>7826</v>
      </c>
    </row>
    <row r="4250" spans="1:3">
      <c r="A4250" s="177">
        <v>951800141</v>
      </c>
      <c r="B4250" s="116" t="str">
        <f t="shared" si="66"/>
        <v>95-951800141</v>
      </c>
      <c r="C4250" s="179" t="s">
        <v>7780</v>
      </c>
    </row>
    <row r="4251" spans="1:3">
      <c r="A4251" s="177">
        <v>952000341</v>
      </c>
      <c r="B4251" s="116" t="str">
        <f t="shared" si="66"/>
        <v>95-952000341</v>
      </c>
      <c r="C4251" s="179" t="s">
        <v>7413</v>
      </c>
    </row>
    <row r="4252" spans="1:3">
      <c r="A4252" s="177">
        <v>962000497</v>
      </c>
      <c r="B4252" s="116" t="str">
        <f t="shared" si="66"/>
        <v>96-962000497</v>
      </c>
      <c r="C4252" s="179" t="s">
        <v>12184</v>
      </c>
    </row>
    <row r="4253" spans="1:3">
      <c r="A4253" s="177">
        <v>952000239</v>
      </c>
      <c r="B4253" s="116" t="str">
        <f t="shared" si="66"/>
        <v>95-952000239</v>
      </c>
      <c r="C4253" s="179" t="s">
        <v>7327</v>
      </c>
    </row>
    <row r="4254" spans="1:3">
      <c r="A4254" s="177">
        <v>962000098</v>
      </c>
      <c r="B4254" s="116" t="str">
        <f t="shared" si="66"/>
        <v>96-962000098</v>
      </c>
      <c r="C4254" s="179" t="s">
        <v>7112</v>
      </c>
    </row>
    <row r="4255" spans="1:3">
      <c r="A4255" s="177">
        <v>952000251</v>
      </c>
      <c r="B4255" s="116" t="str">
        <f t="shared" si="66"/>
        <v>95-952000251</v>
      </c>
      <c r="C4255" s="179" t="s">
        <v>7327</v>
      </c>
    </row>
    <row r="4256" spans="1:3">
      <c r="A4256" s="177">
        <v>962000444</v>
      </c>
      <c r="B4256" s="116" t="str">
        <f t="shared" si="66"/>
        <v>96-962000444</v>
      </c>
      <c r="C4256" s="179" t="s">
        <v>12184</v>
      </c>
    </row>
    <row r="4257" spans="1:3">
      <c r="A4257" s="177">
        <v>962000307</v>
      </c>
      <c r="B4257" s="116" t="str">
        <f t="shared" si="66"/>
        <v>96-962000307</v>
      </c>
      <c r="C4257" s="179" t="s">
        <v>7112</v>
      </c>
    </row>
    <row r="4258" spans="1:3">
      <c r="A4258" s="177">
        <v>956200367</v>
      </c>
      <c r="B4258" s="116" t="str">
        <f t="shared" si="66"/>
        <v>95-956200367</v>
      </c>
      <c r="C4258" s="179" t="s">
        <v>7393</v>
      </c>
    </row>
    <row r="4259" spans="1:3">
      <c r="A4259" s="177">
        <v>962000202</v>
      </c>
      <c r="B4259" s="116" t="str">
        <f t="shared" si="66"/>
        <v>96-962000202</v>
      </c>
      <c r="C4259" s="179" t="s">
        <v>7112</v>
      </c>
    </row>
    <row r="4260" spans="1:3">
      <c r="A4260" s="177">
        <v>962000349</v>
      </c>
      <c r="B4260" s="116" t="str">
        <f t="shared" si="66"/>
        <v>96-962000349</v>
      </c>
      <c r="C4260" s="179" t="s">
        <v>12184</v>
      </c>
    </row>
    <row r="4261" spans="1:3">
      <c r="A4261" s="177">
        <v>962000475</v>
      </c>
      <c r="B4261" s="116" t="str">
        <f t="shared" si="66"/>
        <v>96-962000475</v>
      </c>
      <c r="C4261" s="179" t="s">
        <v>12184</v>
      </c>
    </row>
    <row r="4262" spans="1:3">
      <c r="A4262" s="177">
        <v>962000451</v>
      </c>
      <c r="B4262" s="116" t="str">
        <f t="shared" si="66"/>
        <v>96-962000451</v>
      </c>
      <c r="C4262" s="179" t="s">
        <v>12184</v>
      </c>
    </row>
    <row r="4263" spans="1:3">
      <c r="A4263" s="177">
        <v>952000071</v>
      </c>
      <c r="B4263" s="116" t="str">
        <f t="shared" si="66"/>
        <v>95-952000071</v>
      </c>
      <c r="C4263" s="179" t="s">
        <v>7465</v>
      </c>
    </row>
    <row r="4264" spans="1:3">
      <c r="A4264" s="177">
        <v>952000335</v>
      </c>
      <c r="B4264" s="116" t="str">
        <f t="shared" si="66"/>
        <v>95-952000335</v>
      </c>
      <c r="C4264" s="179" t="s">
        <v>7420</v>
      </c>
    </row>
    <row r="4265" spans="1:3">
      <c r="A4265" s="177">
        <v>952000198</v>
      </c>
      <c r="B4265" s="116" t="str">
        <f t="shared" si="66"/>
        <v>95-952000198</v>
      </c>
      <c r="C4265" s="179" t="s">
        <v>7342</v>
      </c>
    </row>
    <row r="4266" spans="1:3">
      <c r="A4266" s="177">
        <v>952000333</v>
      </c>
      <c r="B4266" s="116" t="str">
        <f t="shared" si="66"/>
        <v>95-952000333</v>
      </c>
      <c r="C4266" s="179" t="s">
        <v>7420</v>
      </c>
    </row>
    <row r="4267" spans="1:3">
      <c r="A4267" s="177">
        <v>952000072</v>
      </c>
      <c r="B4267" s="116" t="str">
        <f t="shared" si="66"/>
        <v>95-952000072</v>
      </c>
      <c r="C4267" s="179" t="s">
        <v>7465</v>
      </c>
    </row>
    <row r="4268" spans="1:3">
      <c r="A4268" s="177">
        <v>962000343</v>
      </c>
      <c r="B4268" s="116" t="str">
        <f t="shared" si="66"/>
        <v>96-962000343</v>
      </c>
      <c r="C4268" s="179" t="s">
        <v>12184</v>
      </c>
    </row>
    <row r="4269" spans="1:3">
      <c r="A4269" s="177">
        <v>962000110</v>
      </c>
      <c r="B4269" s="116" t="str">
        <f t="shared" si="66"/>
        <v>96-962000110</v>
      </c>
      <c r="C4269" s="179" t="s">
        <v>7112</v>
      </c>
    </row>
    <row r="4270" spans="1:3">
      <c r="A4270" s="177">
        <v>956200393</v>
      </c>
      <c r="B4270" s="116" t="str">
        <f t="shared" si="66"/>
        <v>95-956200393</v>
      </c>
      <c r="C4270" s="179" t="s">
        <v>7269</v>
      </c>
    </row>
    <row r="4271" spans="1:3">
      <c r="A4271" s="177">
        <v>961700031</v>
      </c>
      <c r="B4271" s="116" t="str">
        <f t="shared" si="66"/>
        <v>96-961700031</v>
      </c>
      <c r="C4271" s="179" t="s">
        <v>8349</v>
      </c>
    </row>
    <row r="4272" spans="1:3">
      <c r="A4272" s="177">
        <v>951900103</v>
      </c>
      <c r="B4272" s="116" t="str">
        <f t="shared" si="66"/>
        <v>95-951900103</v>
      </c>
      <c r="C4272" s="179" t="s">
        <v>8359</v>
      </c>
    </row>
    <row r="4273" spans="1:3">
      <c r="A4273" s="177">
        <v>951600002</v>
      </c>
      <c r="B4273" s="116" t="str">
        <f t="shared" si="66"/>
        <v>95-951600002</v>
      </c>
      <c r="C4273" s="179" t="s">
        <v>7773</v>
      </c>
    </row>
    <row r="4274" spans="1:3">
      <c r="A4274" s="177">
        <v>961800053</v>
      </c>
      <c r="B4274" s="116" t="str">
        <f t="shared" si="66"/>
        <v>96-961800053</v>
      </c>
      <c r="C4274" s="179" t="s">
        <v>7794</v>
      </c>
    </row>
    <row r="4275" spans="1:3">
      <c r="A4275" s="177">
        <v>951700131</v>
      </c>
      <c r="B4275" s="116" t="str">
        <f t="shared" si="66"/>
        <v>95-951700131</v>
      </c>
      <c r="C4275" s="179" t="s">
        <v>8334</v>
      </c>
    </row>
    <row r="4276" spans="1:3">
      <c r="A4276" s="177">
        <v>951400039</v>
      </c>
      <c r="B4276" s="116" t="str">
        <f t="shared" si="66"/>
        <v>95-951400039</v>
      </c>
      <c r="C4276" s="179" t="s">
        <v>8360</v>
      </c>
    </row>
    <row r="4277" spans="1:3">
      <c r="A4277" s="177">
        <v>961700141</v>
      </c>
      <c r="B4277" s="116" t="str">
        <f t="shared" si="66"/>
        <v>96-961700141</v>
      </c>
      <c r="C4277" s="179" t="s">
        <v>8711</v>
      </c>
    </row>
    <row r="4278" spans="1:3">
      <c r="A4278" s="177">
        <v>966200068</v>
      </c>
      <c r="B4278" s="116" t="str">
        <f t="shared" si="66"/>
        <v>96-966200068</v>
      </c>
      <c r="C4278" s="179" t="s">
        <v>7709</v>
      </c>
    </row>
    <row r="4279" spans="1:3">
      <c r="A4279" s="177">
        <v>966200254</v>
      </c>
      <c r="B4279" s="116" t="str">
        <f t="shared" si="66"/>
        <v>96-966200254</v>
      </c>
      <c r="C4279" s="179" t="s">
        <v>7730</v>
      </c>
    </row>
    <row r="4280" spans="1:3">
      <c r="A4280" s="177">
        <v>962200043</v>
      </c>
      <c r="B4280" s="116" t="str">
        <f t="shared" si="66"/>
        <v>96-962200043</v>
      </c>
      <c r="C4280" s="179" t="s">
        <v>7228</v>
      </c>
    </row>
    <row r="4281" spans="1:3">
      <c r="A4281" s="177">
        <v>966200518</v>
      </c>
      <c r="B4281" s="116" t="str">
        <f t="shared" si="66"/>
        <v>96-966200518</v>
      </c>
      <c r="C4281" s="179" t="s">
        <v>12418</v>
      </c>
    </row>
    <row r="4282" spans="1:3">
      <c r="A4282" s="177">
        <v>966200232</v>
      </c>
      <c r="B4282" s="116" t="str">
        <f t="shared" si="66"/>
        <v>96-966200232</v>
      </c>
      <c r="C4282" s="179" t="s">
        <v>8348</v>
      </c>
    </row>
    <row r="4283" spans="1:3">
      <c r="A4283" s="177">
        <v>966200282</v>
      </c>
      <c r="B4283" s="116" t="str">
        <f t="shared" si="66"/>
        <v>96-966200282</v>
      </c>
      <c r="C4283" s="179" t="s">
        <v>7210</v>
      </c>
    </row>
    <row r="4284" spans="1:3">
      <c r="A4284" s="177">
        <v>966200315</v>
      </c>
      <c r="B4284" s="116" t="str">
        <f t="shared" si="66"/>
        <v>96-966200315</v>
      </c>
      <c r="C4284" s="179" t="s">
        <v>8712</v>
      </c>
    </row>
    <row r="4285" spans="1:3">
      <c r="A4285" s="177">
        <v>966200436</v>
      </c>
      <c r="B4285" s="116" t="str">
        <f t="shared" si="66"/>
        <v>96-966200436</v>
      </c>
      <c r="C4285" s="179" t="s">
        <v>12254</v>
      </c>
    </row>
    <row r="4286" spans="1:3">
      <c r="A4286" s="177">
        <v>961600004</v>
      </c>
      <c r="B4286" s="116" t="str">
        <f t="shared" si="66"/>
        <v>96-961600004</v>
      </c>
      <c r="C4286" s="179" t="s">
        <v>8361</v>
      </c>
    </row>
    <row r="4287" spans="1:3">
      <c r="A4287" s="177">
        <v>951900135</v>
      </c>
      <c r="B4287" s="116" t="str">
        <f t="shared" si="66"/>
        <v>95-951900135</v>
      </c>
      <c r="C4287" s="179" t="s">
        <v>7861</v>
      </c>
    </row>
    <row r="4288" spans="1:3">
      <c r="A4288" s="177">
        <v>961900036</v>
      </c>
      <c r="B4288" s="116" t="str">
        <f t="shared" si="66"/>
        <v>96-961900036</v>
      </c>
      <c r="C4288" s="179" t="s">
        <v>8371</v>
      </c>
    </row>
    <row r="4289" spans="1:3">
      <c r="A4289" s="177">
        <v>951100068</v>
      </c>
      <c r="B4289" s="116" t="str">
        <f t="shared" si="66"/>
        <v>95-951100068</v>
      </c>
      <c r="C4289" s="179" t="s">
        <v>8372</v>
      </c>
    </row>
    <row r="4290" spans="1:3">
      <c r="A4290" s="177">
        <v>961700039</v>
      </c>
      <c r="B4290" s="116" t="str">
        <f t="shared" si="66"/>
        <v>96-961700039</v>
      </c>
      <c r="C4290" s="179" t="s">
        <v>8373</v>
      </c>
    </row>
    <row r="4291" spans="1:3">
      <c r="A4291" s="177">
        <v>951900187</v>
      </c>
      <c r="B4291" s="116" t="str">
        <f t="shared" ref="B4291:B4354" si="67">MID(A4291,1,2)&amp;"-"&amp;A4291</f>
        <v>95-951900187</v>
      </c>
      <c r="C4291" s="179" t="s">
        <v>8374</v>
      </c>
    </row>
    <row r="4292" spans="1:3">
      <c r="A4292" s="177">
        <v>952000296</v>
      </c>
      <c r="B4292" s="116" t="str">
        <f t="shared" si="67"/>
        <v>95-952000296</v>
      </c>
      <c r="C4292" s="179" t="s">
        <v>7329</v>
      </c>
    </row>
    <row r="4293" spans="1:3">
      <c r="A4293" s="177">
        <v>956200413</v>
      </c>
      <c r="B4293" s="116" t="str">
        <f t="shared" si="67"/>
        <v>95-956200413</v>
      </c>
      <c r="C4293" s="179" t="s">
        <v>7419</v>
      </c>
    </row>
    <row r="4294" spans="1:3">
      <c r="A4294" s="177">
        <v>956200415</v>
      </c>
      <c r="B4294" s="116" t="str">
        <f t="shared" si="67"/>
        <v>95-956200415</v>
      </c>
      <c r="C4294" s="179" t="s">
        <v>7419</v>
      </c>
    </row>
    <row r="4295" spans="1:3">
      <c r="A4295" s="177">
        <v>966200152</v>
      </c>
      <c r="B4295" s="116" t="str">
        <f t="shared" si="67"/>
        <v>96-966200152</v>
      </c>
      <c r="C4295" s="179" t="s">
        <v>7362</v>
      </c>
    </row>
    <row r="4296" spans="1:3">
      <c r="A4296" s="177">
        <v>951100133</v>
      </c>
      <c r="B4296" s="116" t="str">
        <f t="shared" si="67"/>
        <v>95-951100133</v>
      </c>
      <c r="C4296" s="179" t="s">
        <v>8067</v>
      </c>
    </row>
    <row r="4297" spans="1:3">
      <c r="A4297" s="177">
        <v>966200116</v>
      </c>
      <c r="B4297" s="116" t="str">
        <f t="shared" si="67"/>
        <v>96-966200116</v>
      </c>
      <c r="C4297" s="179" t="s">
        <v>7460</v>
      </c>
    </row>
    <row r="4298" spans="1:3">
      <c r="A4298" s="177">
        <v>956200083</v>
      </c>
      <c r="B4298" s="116" t="str">
        <f t="shared" si="67"/>
        <v>95-956200083</v>
      </c>
      <c r="C4298" s="179" t="s">
        <v>8068</v>
      </c>
    </row>
    <row r="4299" spans="1:3">
      <c r="A4299" s="177">
        <v>956200095</v>
      </c>
      <c r="B4299" s="116" t="str">
        <f t="shared" si="67"/>
        <v>95-956200095</v>
      </c>
      <c r="C4299" s="179" t="s">
        <v>8060</v>
      </c>
    </row>
    <row r="4300" spans="1:3">
      <c r="A4300" s="177">
        <v>956200091</v>
      </c>
      <c r="B4300" s="116" t="str">
        <f t="shared" si="67"/>
        <v>95-956200091</v>
      </c>
      <c r="C4300" s="179" t="s">
        <v>8060</v>
      </c>
    </row>
    <row r="4301" spans="1:3">
      <c r="A4301" s="177">
        <v>966200127</v>
      </c>
      <c r="B4301" s="116" t="str">
        <f t="shared" si="67"/>
        <v>96-966200127</v>
      </c>
      <c r="C4301" s="179" t="s">
        <v>7293</v>
      </c>
    </row>
    <row r="4302" spans="1:3">
      <c r="A4302" s="177">
        <v>966200380</v>
      </c>
      <c r="B4302" s="116" t="str">
        <f t="shared" si="67"/>
        <v>96-966200380</v>
      </c>
      <c r="C4302" s="179" t="s">
        <v>12239</v>
      </c>
    </row>
    <row r="4303" spans="1:3">
      <c r="A4303" s="177">
        <v>966200382</v>
      </c>
      <c r="B4303" s="116" t="str">
        <f t="shared" si="67"/>
        <v>96-966200382</v>
      </c>
      <c r="C4303" s="179" t="s">
        <v>12239</v>
      </c>
    </row>
    <row r="4304" spans="1:3">
      <c r="A4304" s="177">
        <v>956300028</v>
      </c>
      <c r="B4304" s="116" t="str">
        <f t="shared" si="67"/>
        <v>95-956300028</v>
      </c>
      <c r="C4304" s="179" t="s">
        <v>7427</v>
      </c>
    </row>
    <row r="4305" spans="1:3">
      <c r="A4305" s="177">
        <v>956300035</v>
      </c>
      <c r="B4305" s="116" t="str">
        <f t="shared" si="67"/>
        <v>95-956300035</v>
      </c>
      <c r="C4305" s="179" t="s">
        <v>8069</v>
      </c>
    </row>
    <row r="4306" spans="1:3">
      <c r="A4306" s="177">
        <v>956300039</v>
      </c>
      <c r="B4306" s="116" t="str">
        <f t="shared" si="67"/>
        <v>95-956300039</v>
      </c>
      <c r="C4306" s="179" t="s">
        <v>7512</v>
      </c>
    </row>
    <row r="4307" spans="1:3">
      <c r="A4307" s="177">
        <v>961800026</v>
      </c>
      <c r="B4307" s="116" t="str">
        <f t="shared" si="67"/>
        <v>96-961800026</v>
      </c>
      <c r="C4307" s="179" t="s">
        <v>7217</v>
      </c>
    </row>
    <row r="4308" spans="1:3">
      <c r="A4308" s="177">
        <v>966200325</v>
      </c>
      <c r="B4308" s="116" t="str">
        <f t="shared" si="67"/>
        <v>96-966200325</v>
      </c>
      <c r="C4308" s="179" t="s">
        <v>8713</v>
      </c>
    </row>
    <row r="4309" spans="1:3">
      <c r="A4309" s="177">
        <v>966200333</v>
      </c>
      <c r="B4309" s="116" t="str">
        <f t="shared" si="67"/>
        <v>96-966200333</v>
      </c>
      <c r="C4309" s="179" t="s">
        <v>8713</v>
      </c>
    </row>
    <row r="4310" spans="1:3">
      <c r="A4310" s="177">
        <v>966000030</v>
      </c>
      <c r="B4310" s="116" t="str">
        <f t="shared" si="67"/>
        <v>96-966000030</v>
      </c>
      <c r="C4310" s="179" t="s">
        <v>6348</v>
      </c>
    </row>
    <row r="4311" spans="1:3">
      <c r="A4311" s="177">
        <v>966000040</v>
      </c>
      <c r="B4311" s="116" t="str">
        <f t="shared" si="67"/>
        <v>96-966000040</v>
      </c>
      <c r="C4311" s="179" t="s">
        <v>7146</v>
      </c>
    </row>
    <row r="4312" spans="1:3">
      <c r="A4312" s="177">
        <v>951200070</v>
      </c>
      <c r="B4312" s="116" t="str">
        <f t="shared" si="67"/>
        <v>95-951200070</v>
      </c>
      <c r="C4312" s="179" t="s">
        <v>7226</v>
      </c>
    </row>
    <row r="4313" spans="1:3">
      <c r="A4313" s="177">
        <v>951200071</v>
      </c>
      <c r="B4313" s="116" t="str">
        <f t="shared" si="67"/>
        <v>95-951200071</v>
      </c>
      <c r="C4313" s="179" t="s">
        <v>7866</v>
      </c>
    </row>
    <row r="4314" spans="1:3">
      <c r="A4314" s="177">
        <v>961200137</v>
      </c>
      <c r="B4314" s="116" t="str">
        <f t="shared" si="67"/>
        <v>96-961200137</v>
      </c>
      <c r="C4314" s="179" t="s">
        <v>9765</v>
      </c>
    </row>
    <row r="4315" spans="1:3">
      <c r="A4315" s="177">
        <v>951500122</v>
      </c>
      <c r="B4315" s="116" t="str">
        <f t="shared" si="67"/>
        <v>95-951500122</v>
      </c>
      <c r="C4315" s="179" t="s">
        <v>5618</v>
      </c>
    </row>
    <row r="4316" spans="1:3">
      <c r="A4316" s="177">
        <v>951200066</v>
      </c>
      <c r="B4316" s="116" t="str">
        <f t="shared" si="67"/>
        <v>95-951200066</v>
      </c>
      <c r="C4316" s="179" t="s">
        <v>7243</v>
      </c>
    </row>
    <row r="4317" spans="1:3">
      <c r="A4317" s="177">
        <v>952200017</v>
      </c>
      <c r="B4317" s="116" t="str">
        <f t="shared" si="67"/>
        <v>95-952200017</v>
      </c>
      <c r="C4317" s="179" t="s">
        <v>7174</v>
      </c>
    </row>
    <row r="4318" spans="1:3">
      <c r="A4318" s="177">
        <v>952200029</v>
      </c>
      <c r="B4318" s="116" t="str">
        <f t="shared" si="67"/>
        <v>95-952200029</v>
      </c>
      <c r="C4318" s="179" t="s">
        <v>7174</v>
      </c>
    </row>
    <row r="4319" spans="1:3">
      <c r="A4319" s="177">
        <v>962200002</v>
      </c>
      <c r="B4319" s="116" t="str">
        <f t="shared" si="67"/>
        <v>96-962200002</v>
      </c>
      <c r="C4319" s="179" t="s">
        <v>7151</v>
      </c>
    </row>
    <row r="4320" spans="1:3">
      <c r="A4320" s="177">
        <v>952500058</v>
      </c>
      <c r="B4320" s="116" t="str">
        <f t="shared" si="67"/>
        <v>95-952500058</v>
      </c>
      <c r="C4320" s="179" t="s">
        <v>5697</v>
      </c>
    </row>
    <row r="4321" spans="1:3">
      <c r="A4321" s="177">
        <v>952200053</v>
      </c>
      <c r="B4321" s="116" t="str">
        <f t="shared" si="67"/>
        <v>95-952200053</v>
      </c>
      <c r="C4321" s="179" t="s">
        <v>7226</v>
      </c>
    </row>
    <row r="4322" spans="1:3">
      <c r="A4322" s="177">
        <v>966200303</v>
      </c>
      <c r="B4322" s="116" t="str">
        <f t="shared" si="67"/>
        <v>96-966200303</v>
      </c>
      <c r="C4322" s="179" t="s">
        <v>8700</v>
      </c>
    </row>
    <row r="4323" spans="1:3">
      <c r="A4323" s="177">
        <v>966200490</v>
      </c>
      <c r="B4323" s="116" t="str">
        <f t="shared" si="67"/>
        <v>96-966200490</v>
      </c>
      <c r="C4323" s="179" t="s">
        <v>12186</v>
      </c>
    </row>
    <row r="4324" spans="1:3">
      <c r="A4324" s="177">
        <v>966300016</v>
      </c>
      <c r="B4324" s="116" t="str">
        <f t="shared" si="67"/>
        <v>96-966300016</v>
      </c>
      <c r="C4324" s="179" t="s">
        <v>12270</v>
      </c>
    </row>
    <row r="4325" spans="1:3">
      <c r="A4325" s="177">
        <v>952000073</v>
      </c>
      <c r="B4325" s="116" t="str">
        <f t="shared" si="67"/>
        <v>95-952000073</v>
      </c>
      <c r="C4325" s="179" t="s">
        <v>7465</v>
      </c>
    </row>
    <row r="4326" spans="1:3">
      <c r="A4326" s="177">
        <v>966200362</v>
      </c>
      <c r="B4326" s="116" t="str">
        <f t="shared" si="67"/>
        <v>96-966200362</v>
      </c>
      <c r="C4326" s="179" t="s">
        <v>12240</v>
      </c>
    </row>
    <row r="4327" spans="1:3">
      <c r="A4327" s="177">
        <v>966200358</v>
      </c>
      <c r="B4327" s="116" t="str">
        <f t="shared" si="67"/>
        <v>96-966200358</v>
      </c>
      <c r="C4327" s="179" t="s">
        <v>12240</v>
      </c>
    </row>
    <row r="4328" spans="1:3">
      <c r="A4328" s="177">
        <v>962000424</v>
      </c>
      <c r="B4328" s="116" t="str">
        <f t="shared" si="67"/>
        <v>96-962000424</v>
      </c>
      <c r="C4328" s="179" t="s">
        <v>12184</v>
      </c>
    </row>
    <row r="4329" spans="1:3">
      <c r="A4329" s="177">
        <v>956200348</v>
      </c>
      <c r="B4329" s="116" t="str">
        <f t="shared" si="67"/>
        <v>95-956200348</v>
      </c>
      <c r="C4329" s="179" t="s">
        <v>7292</v>
      </c>
    </row>
    <row r="4330" spans="1:3">
      <c r="A4330" s="177">
        <v>962000036</v>
      </c>
      <c r="B4330" s="116" t="str">
        <f t="shared" si="67"/>
        <v>96-962000036</v>
      </c>
      <c r="C4330" s="179" t="s">
        <v>7112</v>
      </c>
    </row>
    <row r="4331" spans="1:3">
      <c r="A4331" s="177">
        <v>962000491</v>
      </c>
      <c r="B4331" s="116" t="str">
        <f t="shared" si="67"/>
        <v>96-962000491</v>
      </c>
      <c r="C4331" s="179" t="s">
        <v>12184</v>
      </c>
    </row>
    <row r="4332" spans="1:3">
      <c r="A4332" s="177">
        <v>962000222</v>
      </c>
      <c r="B4332" s="116" t="str">
        <f t="shared" si="67"/>
        <v>96-962000222</v>
      </c>
      <c r="C4332" s="179" t="s">
        <v>7112</v>
      </c>
    </row>
    <row r="4333" spans="1:3">
      <c r="A4333" s="177">
        <v>952000184</v>
      </c>
      <c r="B4333" s="116" t="str">
        <f t="shared" si="67"/>
        <v>95-952000184</v>
      </c>
      <c r="C4333" s="179" t="s">
        <v>7392</v>
      </c>
    </row>
    <row r="4334" spans="1:3">
      <c r="A4334" s="177">
        <v>952000322</v>
      </c>
      <c r="B4334" s="116" t="str">
        <f t="shared" si="67"/>
        <v>95-952000322</v>
      </c>
      <c r="C4334" s="179" t="s">
        <v>7420</v>
      </c>
    </row>
    <row r="4335" spans="1:3">
      <c r="A4335" s="177">
        <v>962000210</v>
      </c>
      <c r="B4335" s="116" t="str">
        <f t="shared" si="67"/>
        <v>96-962000210</v>
      </c>
      <c r="C4335" s="179" t="s">
        <v>7112</v>
      </c>
    </row>
    <row r="4336" spans="1:3">
      <c r="A4336" s="177">
        <v>962000494</v>
      </c>
      <c r="B4336" s="116" t="str">
        <f t="shared" si="67"/>
        <v>96-962000494</v>
      </c>
      <c r="C4336" s="179" t="s">
        <v>12184</v>
      </c>
    </row>
    <row r="4337" spans="1:3">
      <c r="A4337" s="177">
        <v>952500090</v>
      </c>
      <c r="B4337" s="116" t="str">
        <f t="shared" si="67"/>
        <v>95-952500090</v>
      </c>
      <c r="C4337" s="179" t="s">
        <v>5753</v>
      </c>
    </row>
    <row r="4338" spans="1:3">
      <c r="A4338" s="177">
        <v>952500102</v>
      </c>
      <c r="B4338" s="116" t="str">
        <f t="shared" si="67"/>
        <v>95-952500102</v>
      </c>
      <c r="C4338" s="179" t="s">
        <v>5753</v>
      </c>
    </row>
    <row r="4339" spans="1:3">
      <c r="A4339" s="177">
        <v>962500016</v>
      </c>
      <c r="B4339" s="116" t="str">
        <f t="shared" si="67"/>
        <v>96-962500016</v>
      </c>
      <c r="C4339" s="179" t="s">
        <v>5781</v>
      </c>
    </row>
    <row r="4340" spans="1:3">
      <c r="A4340" s="177">
        <v>962500133</v>
      </c>
      <c r="B4340" s="116" t="str">
        <f t="shared" si="67"/>
        <v>96-962500133</v>
      </c>
      <c r="C4340" s="179" t="s">
        <v>8717</v>
      </c>
    </row>
    <row r="4341" spans="1:3">
      <c r="A4341" s="177">
        <v>952500070</v>
      </c>
      <c r="B4341" s="116" t="str">
        <f t="shared" si="67"/>
        <v>95-952500070</v>
      </c>
      <c r="C4341" s="179" t="s">
        <v>5710</v>
      </c>
    </row>
    <row r="4342" spans="1:3">
      <c r="A4342" s="177">
        <v>952500043</v>
      </c>
      <c r="B4342" s="116" t="str">
        <f t="shared" si="67"/>
        <v>95-952500043</v>
      </c>
      <c r="C4342" s="179" t="s">
        <v>5675</v>
      </c>
    </row>
    <row r="4343" spans="1:3">
      <c r="A4343" s="177">
        <v>952500092</v>
      </c>
      <c r="B4343" s="116" t="str">
        <f t="shared" si="67"/>
        <v>95-952500092</v>
      </c>
      <c r="C4343" s="179" t="s">
        <v>5733</v>
      </c>
    </row>
    <row r="4344" spans="1:3">
      <c r="A4344" s="177">
        <v>962500031</v>
      </c>
      <c r="B4344" s="116" t="str">
        <f t="shared" si="67"/>
        <v>96-962500031</v>
      </c>
      <c r="C4344" s="179" t="s">
        <v>5810</v>
      </c>
    </row>
    <row r="4345" spans="1:3">
      <c r="A4345" s="177">
        <v>962500149</v>
      </c>
      <c r="B4345" s="116" t="str">
        <f t="shared" si="67"/>
        <v>96-962500149</v>
      </c>
      <c r="C4345" s="179" t="s">
        <v>9785</v>
      </c>
    </row>
    <row r="4346" spans="1:3">
      <c r="A4346" s="177">
        <v>952500091</v>
      </c>
      <c r="B4346" s="116" t="str">
        <f t="shared" si="67"/>
        <v>95-952500091</v>
      </c>
      <c r="C4346" s="179" t="s">
        <v>5755</v>
      </c>
    </row>
    <row r="4347" spans="1:3">
      <c r="A4347" s="177">
        <v>952500096</v>
      </c>
      <c r="B4347" s="116" t="str">
        <f t="shared" si="67"/>
        <v>95-952500096</v>
      </c>
      <c r="C4347" s="179" t="s">
        <v>5755</v>
      </c>
    </row>
    <row r="4348" spans="1:3">
      <c r="A4348" s="177">
        <v>962500048</v>
      </c>
      <c r="B4348" s="116" t="str">
        <f t="shared" si="67"/>
        <v>96-962500048</v>
      </c>
      <c r="C4348" s="179" t="s">
        <v>5841</v>
      </c>
    </row>
    <row r="4349" spans="1:3">
      <c r="A4349" s="177">
        <v>962500111</v>
      </c>
      <c r="B4349" s="116" t="str">
        <f t="shared" si="67"/>
        <v>96-962500111</v>
      </c>
      <c r="C4349" s="179" t="s">
        <v>7211</v>
      </c>
    </row>
    <row r="4350" spans="1:3">
      <c r="A4350" s="177">
        <v>962200100</v>
      </c>
      <c r="B4350" s="116" t="str">
        <f t="shared" si="67"/>
        <v>96-962200100</v>
      </c>
      <c r="C4350" s="179" t="s">
        <v>12423</v>
      </c>
    </row>
    <row r="4351" spans="1:3">
      <c r="A4351" s="177">
        <v>952500052</v>
      </c>
      <c r="B4351" s="116" t="str">
        <f t="shared" si="67"/>
        <v>95-952500052</v>
      </c>
      <c r="C4351" s="179" t="s">
        <v>5618</v>
      </c>
    </row>
    <row r="4352" spans="1:3">
      <c r="A4352" s="177">
        <v>966200525</v>
      </c>
      <c r="B4352" s="116" t="str">
        <f t="shared" si="67"/>
        <v>96-966200525</v>
      </c>
      <c r="C4352" s="179" t="s">
        <v>12410</v>
      </c>
    </row>
    <row r="4353" spans="1:3">
      <c r="A4353" s="177">
        <v>956300005</v>
      </c>
      <c r="B4353" s="116" t="str">
        <f t="shared" si="67"/>
        <v>95-956300005</v>
      </c>
      <c r="C4353" s="179" t="s">
        <v>8070</v>
      </c>
    </row>
    <row r="4354" spans="1:3">
      <c r="A4354" s="177">
        <v>956200123</v>
      </c>
      <c r="B4354" s="116" t="str">
        <f t="shared" si="67"/>
        <v>95-956200123</v>
      </c>
      <c r="C4354" s="179" t="s">
        <v>7464</v>
      </c>
    </row>
    <row r="4355" spans="1:3">
      <c r="A4355" s="177">
        <v>956200316</v>
      </c>
      <c r="B4355" s="116" t="str">
        <f t="shared" ref="B4355:B4418" si="68">MID(A4355,1,2)&amp;"-"&amp;A4355</f>
        <v>95-956200316</v>
      </c>
      <c r="C4355" s="179" t="s">
        <v>7436</v>
      </c>
    </row>
    <row r="4356" spans="1:3">
      <c r="A4356" s="177">
        <v>956200124</v>
      </c>
      <c r="B4356" s="116" t="str">
        <f t="shared" si="68"/>
        <v>95-956200124</v>
      </c>
      <c r="C4356" s="179" t="s">
        <v>7359</v>
      </c>
    </row>
    <row r="4357" spans="1:3">
      <c r="A4357" s="177">
        <v>956200125</v>
      </c>
      <c r="B4357" s="116" t="str">
        <f t="shared" si="68"/>
        <v>95-956200125</v>
      </c>
      <c r="C4357" s="179" t="s">
        <v>7390</v>
      </c>
    </row>
    <row r="4358" spans="1:3">
      <c r="A4358" s="177">
        <v>956200127</v>
      </c>
      <c r="B4358" s="116" t="str">
        <f t="shared" si="68"/>
        <v>95-956200127</v>
      </c>
      <c r="C4358" s="179" t="s">
        <v>7390</v>
      </c>
    </row>
    <row r="4359" spans="1:3">
      <c r="A4359" s="177">
        <v>956200172</v>
      </c>
      <c r="B4359" s="116" t="str">
        <f t="shared" si="68"/>
        <v>95-956200172</v>
      </c>
      <c r="C4359" s="179" t="s">
        <v>7369</v>
      </c>
    </row>
    <row r="4360" spans="1:3">
      <c r="A4360" s="177">
        <v>956200210</v>
      </c>
      <c r="B4360" s="116" t="str">
        <f t="shared" si="68"/>
        <v>95-956200210</v>
      </c>
      <c r="C4360" s="179" t="s">
        <v>7357</v>
      </c>
    </row>
    <row r="4361" spans="1:3">
      <c r="A4361" s="177">
        <v>966200502</v>
      </c>
      <c r="B4361" s="116" t="str">
        <f t="shared" si="68"/>
        <v>96-966200502</v>
      </c>
      <c r="C4361" s="179" t="s">
        <v>12415</v>
      </c>
    </row>
    <row r="4362" spans="1:3">
      <c r="A4362" s="177">
        <v>956200355</v>
      </c>
      <c r="B4362" s="116" t="str">
        <f t="shared" si="68"/>
        <v>95-956200355</v>
      </c>
      <c r="C4362" s="179" t="s">
        <v>7447</v>
      </c>
    </row>
    <row r="4363" spans="1:3">
      <c r="A4363" s="177">
        <v>956200387</v>
      </c>
      <c r="B4363" s="116" t="str">
        <f t="shared" si="68"/>
        <v>95-956200387</v>
      </c>
      <c r="C4363" s="179" t="s">
        <v>7393</v>
      </c>
    </row>
    <row r="4364" spans="1:3">
      <c r="A4364" s="177">
        <v>956200404</v>
      </c>
      <c r="B4364" s="116" t="str">
        <f t="shared" si="68"/>
        <v>95-956200404</v>
      </c>
      <c r="C4364" s="179" t="s">
        <v>7269</v>
      </c>
    </row>
    <row r="4365" spans="1:3">
      <c r="A4365" s="177">
        <v>952000017</v>
      </c>
      <c r="B4365" s="116" t="str">
        <f t="shared" si="68"/>
        <v>95-952000017</v>
      </c>
      <c r="C4365" s="179" t="s">
        <v>7904</v>
      </c>
    </row>
    <row r="4366" spans="1:3">
      <c r="A4366" s="177">
        <v>962500187</v>
      </c>
      <c r="B4366" s="116" t="str">
        <f t="shared" si="68"/>
        <v>96-962500187</v>
      </c>
      <c r="C4366" s="179" t="s">
        <v>12195</v>
      </c>
    </row>
    <row r="4367" spans="1:3">
      <c r="A4367" s="177">
        <v>962500058</v>
      </c>
      <c r="B4367" s="116" t="str">
        <f t="shared" si="68"/>
        <v>96-962500058</v>
      </c>
      <c r="C4367" s="179" t="s">
        <v>5856</v>
      </c>
    </row>
    <row r="4368" spans="1:3">
      <c r="A4368" s="177">
        <v>962500094</v>
      </c>
      <c r="B4368" s="116" t="str">
        <f t="shared" si="68"/>
        <v>96-962500094</v>
      </c>
      <c r="C4368" s="179" t="s">
        <v>5856</v>
      </c>
    </row>
    <row r="4369" spans="1:3">
      <c r="A4369" s="177">
        <v>952500104</v>
      </c>
      <c r="B4369" s="116" t="str">
        <f t="shared" si="68"/>
        <v>95-952500104</v>
      </c>
      <c r="C4369" s="179" t="s">
        <v>5710</v>
      </c>
    </row>
    <row r="4370" spans="1:3">
      <c r="A4370" s="177">
        <v>952500044</v>
      </c>
      <c r="B4370" s="116" t="str">
        <f t="shared" si="68"/>
        <v>95-952500044</v>
      </c>
      <c r="C4370" s="179" t="s">
        <v>5675</v>
      </c>
    </row>
    <row r="4371" spans="1:3">
      <c r="A4371" s="177">
        <v>962500089</v>
      </c>
      <c r="B4371" s="116" t="str">
        <f t="shared" si="68"/>
        <v>96-962500089</v>
      </c>
      <c r="C4371" s="179" t="s">
        <v>7231</v>
      </c>
    </row>
    <row r="4372" spans="1:3">
      <c r="A4372" s="177">
        <v>962500197</v>
      </c>
      <c r="B4372" s="116" t="str">
        <f t="shared" si="68"/>
        <v>96-962500197</v>
      </c>
      <c r="C4372" s="179" t="s">
        <v>12260</v>
      </c>
    </row>
    <row r="4373" spans="1:3">
      <c r="A4373" s="177">
        <v>962500043</v>
      </c>
      <c r="B4373" s="116" t="str">
        <f t="shared" si="68"/>
        <v>96-962500043</v>
      </c>
      <c r="C4373" s="179" t="s">
        <v>5836</v>
      </c>
    </row>
    <row r="4374" spans="1:3">
      <c r="A4374" s="177">
        <v>962500052</v>
      </c>
      <c r="B4374" s="116" t="str">
        <f t="shared" si="68"/>
        <v>96-962500052</v>
      </c>
      <c r="C4374" s="179" t="s">
        <v>5842</v>
      </c>
    </row>
    <row r="4375" spans="1:3">
      <c r="A4375" s="177">
        <v>962500075</v>
      </c>
      <c r="B4375" s="116" t="str">
        <f t="shared" si="68"/>
        <v>96-962500075</v>
      </c>
      <c r="C4375" s="179" t="s">
        <v>5842</v>
      </c>
    </row>
    <row r="4376" spans="1:3">
      <c r="A4376" s="177">
        <v>962500088</v>
      </c>
      <c r="B4376" s="116" t="str">
        <f t="shared" si="68"/>
        <v>96-962500088</v>
      </c>
      <c r="C4376" s="179" t="s">
        <v>5842</v>
      </c>
    </row>
    <row r="4377" spans="1:3">
      <c r="A4377" s="177">
        <v>962500145</v>
      </c>
      <c r="B4377" s="116" t="str">
        <f t="shared" si="68"/>
        <v>96-962500145</v>
      </c>
      <c r="C4377" s="179" t="s">
        <v>9794</v>
      </c>
    </row>
    <row r="4378" spans="1:3">
      <c r="A4378" s="177">
        <v>952500095</v>
      </c>
      <c r="B4378" s="116" t="str">
        <f t="shared" si="68"/>
        <v>95-952500095</v>
      </c>
      <c r="C4378" s="179" t="s">
        <v>5755</v>
      </c>
    </row>
    <row r="4379" spans="1:3">
      <c r="A4379" s="177">
        <v>962500022</v>
      </c>
      <c r="B4379" s="116" t="str">
        <f t="shared" si="68"/>
        <v>96-962500022</v>
      </c>
      <c r="C4379" s="179" t="s">
        <v>5808</v>
      </c>
    </row>
    <row r="4380" spans="1:3">
      <c r="A4380" s="177">
        <v>962500067</v>
      </c>
      <c r="B4380" s="116" t="str">
        <f t="shared" si="68"/>
        <v>96-962500067</v>
      </c>
      <c r="C4380" s="179" t="s">
        <v>5841</v>
      </c>
    </row>
    <row r="4381" spans="1:3">
      <c r="A4381" s="177">
        <v>962500064</v>
      </c>
      <c r="B4381" s="116" t="str">
        <f t="shared" si="68"/>
        <v>96-962500064</v>
      </c>
      <c r="C4381" s="179" t="s">
        <v>5841</v>
      </c>
    </row>
    <row r="4382" spans="1:3">
      <c r="A4382" s="177">
        <v>962500084</v>
      </c>
      <c r="B4382" s="116" t="str">
        <f t="shared" si="68"/>
        <v>96-962500084</v>
      </c>
      <c r="C4382" s="179" t="s">
        <v>5841</v>
      </c>
    </row>
    <row r="4383" spans="1:3">
      <c r="A4383" s="177">
        <v>962500093</v>
      </c>
      <c r="B4383" s="116" t="str">
        <f t="shared" si="68"/>
        <v>96-962500093</v>
      </c>
      <c r="C4383" s="179" t="s">
        <v>5856</v>
      </c>
    </row>
    <row r="4384" spans="1:3">
      <c r="A4384" s="177">
        <v>952000181</v>
      </c>
      <c r="B4384" s="116" t="str">
        <f t="shared" si="68"/>
        <v>95-952000181</v>
      </c>
      <c r="C4384" s="179" t="s">
        <v>7392</v>
      </c>
    </row>
    <row r="4385" spans="1:3">
      <c r="A4385" s="177">
        <v>954200013</v>
      </c>
      <c r="B4385" s="116" t="str">
        <f t="shared" si="68"/>
        <v>95-954200013</v>
      </c>
      <c r="C4385" s="179" t="s">
        <v>5628</v>
      </c>
    </row>
    <row r="4386" spans="1:3">
      <c r="A4386" s="177">
        <v>954200041</v>
      </c>
      <c r="B4386" s="116" t="str">
        <f t="shared" si="68"/>
        <v>95-954200041</v>
      </c>
      <c r="C4386" s="179" t="s">
        <v>5649</v>
      </c>
    </row>
    <row r="4387" spans="1:3">
      <c r="A4387" s="177">
        <v>951100144</v>
      </c>
      <c r="B4387" s="116" t="str">
        <f t="shared" si="68"/>
        <v>95-951100144</v>
      </c>
      <c r="C4387" s="179" t="s">
        <v>7932</v>
      </c>
    </row>
    <row r="4388" spans="1:3">
      <c r="A4388" s="177">
        <v>956200433</v>
      </c>
      <c r="B4388" s="116" t="str">
        <f t="shared" si="68"/>
        <v>95-956200433</v>
      </c>
      <c r="C4388" s="179" t="s">
        <v>7423</v>
      </c>
    </row>
    <row r="4389" spans="1:3">
      <c r="A4389" s="177">
        <v>956200427</v>
      </c>
      <c r="B4389" s="116" t="str">
        <f t="shared" si="68"/>
        <v>95-956200427</v>
      </c>
      <c r="C4389" s="179" t="s">
        <v>7419</v>
      </c>
    </row>
    <row r="4390" spans="1:3">
      <c r="A4390" s="177">
        <v>966200037</v>
      </c>
      <c r="B4390" s="116" t="str">
        <f t="shared" si="68"/>
        <v>96-966200037</v>
      </c>
      <c r="C4390" s="179" t="s">
        <v>7288</v>
      </c>
    </row>
    <row r="4391" spans="1:3">
      <c r="A4391" s="177">
        <v>966200298</v>
      </c>
      <c r="B4391" s="116" t="str">
        <f t="shared" si="68"/>
        <v>96-966200298</v>
      </c>
      <c r="C4391" s="179" t="s">
        <v>7119</v>
      </c>
    </row>
    <row r="4392" spans="1:3">
      <c r="A4392" s="177">
        <v>966200036</v>
      </c>
      <c r="B4392" s="116" t="str">
        <f t="shared" si="68"/>
        <v>96-966200036</v>
      </c>
      <c r="C4392" s="179" t="s">
        <v>7288</v>
      </c>
    </row>
    <row r="4393" spans="1:3">
      <c r="A4393" s="177">
        <v>966200031</v>
      </c>
      <c r="B4393" s="116" t="str">
        <f t="shared" si="68"/>
        <v>96-966200031</v>
      </c>
      <c r="C4393" s="179" t="s">
        <v>7288</v>
      </c>
    </row>
    <row r="4394" spans="1:3">
      <c r="A4394" s="177">
        <v>961100010</v>
      </c>
      <c r="B4394" s="116" t="str">
        <f t="shared" si="68"/>
        <v>96-961100010</v>
      </c>
      <c r="C4394" s="179" t="s">
        <v>8071</v>
      </c>
    </row>
    <row r="4395" spans="1:3">
      <c r="A4395" s="177">
        <v>961100013</v>
      </c>
      <c r="B4395" s="116" t="str">
        <f t="shared" si="68"/>
        <v>96-961100013</v>
      </c>
      <c r="C4395" s="179" t="s">
        <v>8072</v>
      </c>
    </row>
    <row r="4396" spans="1:3">
      <c r="A4396" s="177">
        <v>966200089</v>
      </c>
      <c r="B4396" s="116" t="str">
        <f t="shared" si="68"/>
        <v>96-966200089</v>
      </c>
      <c r="C4396" s="179" t="s">
        <v>7476</v>
      </c>
    </row>
    <row r="4397" spans="1:3">
      <c r="A4397" s="177">
        <v>966200203</v>
      </c>
      <c r="B4397" s="116" t="str">
        <f t="shared" si="68"/>
        <v>96-966200203</v>
      </c>
      <c r="C4397" s="179" t="s">
        <v>7120</v>
      </c>
    </row>
    <row r="4398" spans="1:3">
      <c r="A4398" s="177">
        <v>966200206</v>
      </c>
      <c r="B4398" s="116" t="str">
        <f t="shared" si="68"/>
        <v>96-966200206</v>
      </c>
      <c r="C4398" s="179" t="s">
        <v>7120</v>
      </c>
    </row>
    <row r="4399" spans="1:3">
      <c r="A4399" s="177">
        <v>966200092</v>
      </c>
      <c r="B4399" s="116" t="str">
        <f t="shared" si="68"/>
        <v>96-966200092</v>
      </c>
      <c r="C4399" s="179" t="s">
        <v>7476</v>
      </c>
    </row>
    <row r="4400" spans="1:3">
      <c r="A4400" s="177">
        <v>966200096</v>
      </c>
      <c r="B4400" s="116" t="str">
        <f t="shared" si="68"/>
        <v>96-966200096</v>
      </c>
      <c r="C4400" s="179" t="s">
        <v>7476</v>
      </c>
    </row>
    <row r="4401" spans="1:3">
      <c r="A4401" s="177">
        <v>962000449</v>
      </c>
      <c r="B4401" s="116" t="str">
        <f t="shared" si="68"/>
        <v>96-962000449</v>
      </c>
      <c r="C4401" s="179" t="s">
        <v>12184</v>
      </c>
    </row>
    <row r="4402" spans="1:3">
      <c r="A4402" s="177">
        <v>952000306</v>
      </c>
      <c r="B4402" s="116" t="str">
        <f t="shared" si="68"/>
        <v>95-952000306</v>
      </c>
      <c r="C4402" s="179" t="s">
        <v>7329</v>
      </c>
    </row>
    <row r="4403" spans="1:3">
      <c r="A4403" s="177">
        <v>952000247</v>
      </c>
      <c r="B4403" s="116" t="str">
        <f t="shared" si="68"/>
        <v>95-952000247</v>
      </c>
      <c r="C4403" s="179" t="s">
        <v>7327</v>
      </c>
    </row>
    <row r="4404" spans="1:3">
      <c r="A4404" s="177">
        <v>952000233</v>
      </c>
      <c r="B4404" s="116" t="str">
        <f t="shared" si="68"/>
        <v>95-952000233</v>
      </c>
      <c r="C4404" s="179" t="s">
        <v>7903</v>
      </c>
    </row>
    <row r="4405" spans="1:3">
      <c r="A4405" s="177">
        <v>962000365</v>
      </c>
      <c r="B4405" s="116" t="str">
        <f t="shared" si="68"/>
        <v>96-962000365</v>
      </c>
      <c r="C4405" s="179" t="s">
        <v>12208</v>
      </c>
    </row>
    <row r="4406" spans="1:3">
      <c r="A4406" s="177">
        <v>962000124</v>
      </c>
      <c r="B4406" s="116" t="str">
        <f t="shared" si="68"/>
        <v>96-962000124</v>
      </c>
      <c r="C4406" s="179" t="s">
        <v>7936</v>
      </c>
    </row>
    <row r="4407" spans="1:3">
      <c r="A4407" s="177">
        <v>951100100</v>
      </c>
      <c r="B4407" s="116" t="str">
        <f t="shared" si="68"/>
        <v>95-951100100</v>
      </c>
      <c r="C4407" s="179" t="s">
        <v>7933</v>
      </c>
    </row>
    <row r="4408" spans="1:3">
      <c r="A4408" s="177">
        <v>966200179</v>
      </c>
      <c r="B4408" s="116" t="str">
        <f t="shared" si="68"/>
        <v>96-966200179</v>
      </c>
      <c r="C4408" s="179" t="s">
        <v>7363</v>
      </c>
    </row>
    <row r="4409" spans="1:3">
      <c r="A4409" s="177">
        <v>966200146</v>
      </c>
      <c r="B4409" s="116" t="str">
        <f t="shared" si="68"/>
        <v>96-966200146</v>
      </c>
      <c r="C4409" s="179" t="s">
        <v>7343</v>
      </c>
    </row>
    <row r="4410" spans="1:3">
      <c r="A4410" s="177">
        <v>966200296</v>
      </c>
      <c r="B4410" s="116" t="str">
        <f t="shared" si="68"/>
        <v>96-966200296</v>
      </c>
      <c r="C4410" s="179" t="s">
        <v>7119</v>
      </c>
    </row>
    <row r="4411" spans="1:3">
      <c r="A4411" s="177">
        <v>966200297</v>
      </c>
      <c r="B4411" s="116" t="str">
        <f t="shared" si="68"/>
        <v>96-966200297</v>
      </c>
      <c r="C4411" s="179" t="s">
        <v>7119</v>
      </c>
    </row>
    <row r="4412" spans="1:3">
      <c r="A4412" s="177">
        <v>962000118</v>
      </c>
      <c r="B4412" s="116" t="str">
        <f t="shared" si="68"/>
        <v>96-962000118</v>
      </c>
      <c r="C4412" s="179" t="s">
        <v>7112</v>
      </c>
    </row>
    <row r="4413" spans="1:3">
      <c r="A4413" s="177">
        <v>962000248</v>
      </c>
      <c r="B4413" s="116" t="str">
        <f t="shared" si="68"/>
        <v>96-962000248</v>
      </c>
      <c r="C4413" s="179" t="s">
        <v>7112</v>
      </c>
    </row>
    <row r="4414" spans="1:3">
      <c r="A4414" s="177">
        <v>962000135</v>
      </c>
      <c r="B4414" s="116" t="str">
        <f t="shared" si="68"/>
        <v>96-962000135</v>
      </c>
      <c r="C4414" s="179" t="s">
        <v>7112</v>
      </c>
    </row>
    <row r="4415" spans="1:3">
      <c r="A4415" s="177">
        <v>962000285</v>
      </c>
      <c r="B4415" s="116" t="str">
        <f t="shared" si="68"/>
        <v>96-962000285</v>
      </c>
      <c r="C4415" s="179" t="s">
        <v>7112</v>
      </c>
    </row>
    <row r="4416" spans="1:3">
      <c r="A4416" s="177">
        <v>962000296</v>
      </c>
      <c r="B4416" s="116" t="str">
        <f t="shared" si="68"/>
        <v>96-962000296</v>
      </c>
      <c r="C4416" s="179" t="s">
        <v>7112</v>
      </c>
    </row>
    <row r="4417" spans="1:3">
      <c r="A4417" s="177">
        <v>962000314</v>
      </c>
      <c r="B4417" s="116" t="str">
        <f t="shared" si="68"/>
        <v>96-962000314</v>
      </c>
      <c r="C4417" s="179" t="s">
        <v>7112</v>
      </c>
    </row>
    <row r="4418" spans="1:3">
      <c r="A4418" s="177">
        <v>962000175</v>
      </c>
      <c r="B4418" s="116" t="str">
        <f t="shared" si="68"/>
        <v>96-962000175</v>
      </c>
      <c r="C4418" s="179" t="s">
        <v>7112</v>
      </c>
    </row>
    <row r="4419" spans="1:3">
      <c r="A4419" s="177">
        <v>962000337</v>
      </c>
      <c r="B4419" s="116" t="str">
        <f t="shared" ref="B4419:B4482" si="69">MID(A4419,1,2)&amp;"-"&amp;A4419</f>
        <v>96-962000337</v>
      </c>
      <c r="C4419" s="179" t="s">
        <v>7112</v>
      </c>
    </row>
    <row r="4420" spans="1:3">
      <c r="A4420" s="177">
        <v>962000181</v>
      </c>
      <c r="B4420" s="116" t="str">
        <f t="shared" si="69"/>
        <v>96-962000181</v>
      </c>
      <c r="C4420" s="179" t="s">
        <v>7112</v>
      </c>
    </row>
    <row r="4421" spans="1:3">
      <c r="A4421" s="177">
        <v>952000226</v>
      </c>
      <c r="B4421" s="116" t="str">
        <f t="shared" si="69"/>
        <v>95-952000226</v>
      </c>
      <c r="C4421" s="179" t="s">
        <v>7905</v>
      </c>
    </row>
    <row r="4422" spans="1:3">
      <c r="A4422" s="177">
        <v>956200073</v>
      </c>
      <c r="B4422" s="116" t="str">
        <f t="shared" si="69"/>
        <v>95-956200073</v>
      </c>
      <c r="C4422" s="179" t="s">
        <v>7937</v>
      </c>
    </row>
    <row r="4423" spans="1:3">
      <c r="A4423" s="177">
        <v>956200168</v>
      </c>
      <c r="B4423" s="116" t="str">
        <f t="shared" si="69"/>
        <v>95-956200168</v>
      </c>
      <c r="C4423" s="179" t="s">
        <v>7938</v>
      </c>
    </row>
    <row r="4424" spans="1:3">
      <c r="A4424" s="177">
        <v>962000188</v>
      </c>
      <c r="B4424" s="116" t="str">
        <f t="shared" si="69"/>
        <v>96-962000188</v>
      </c>
      <c r="C4424" s="179" t="s">
        <v>7112</v>
      </c>
    </row>
    <row r="4425" spans="1:3">
      <c r="A4425" s="177">
        <v>966200301</v>
      </c>
      <c r="B4425" s="116" t="str">
        <f t="shared" si="69"/>
        <v>96-966200301</v>
      </c>
      <c r="C4425" s="179" t="s">
        <v>7119</v>
      </c>
    </row>
    <row r="4426" spans="1:3">
      <c r="A4426" s="177">
        <v>966200331</v>
      </c>
      <c r="B4426" s="116" t="str">
        <f t="shared" si="69"/>
        <v>96-966200331</v>
      </c>
      <c r="C4426" s="179" t="s">
        <v>8697</v>
      </c>
    </row>
    <row r="4427" spans="1:3">
      <c r="A4427" s="177">
        <v>966200334</v>
      </c>
      <c r="B4427" s="116" t="str">
        <f t="shared" si="69"/>
        <v>96-966200334</v>
      </c>
      <c r="C4427" s="179" t="s">
        <v>8697</v>
      </c>
    </row>
    <row r="4428" spans="1:3">
      <c r="A4428" s="177">
        <v>966300017</v>
      </c>
      <c r="B4428" s="116" t="str">
        <f t="shared" si="69"/>
        <v>96-966300017</v>
      </c>
      <c r="C4428" s="179" t="s">
        <v>12272</v>
      </c>
    </row>
    <row r="4429" spans="1:3">
      <c r="A4429" s="177">
        <v>966200410</v>
      </c>
      <c r="B4429" s="116" t="str">
        <f t="shared" si="69"/>
        <v>96-966200410</v>
      </c>
      <c r="C4429" s="179" t="s">
        <v>12239</v>
      </c>
    </row>
    <row r="4430" spans="1:3">
      <c r="A4430" s="177">
        <v>962000303</v>
      </c>
      <c r="B4430" s="116" t="str">
        <f t="shared" si="69"/>
        <v>96-962000303</v>
      </c>
      <c r="C4430" s="179" t="s">
        <v>7112</v>
      </c>
    </row>
    <row r="4431" spans="1:3">
      <c r="A4431" s="177">
        <v>962000319</v>
      </c>
      <c r="B4431" s="116" t="str">
        <f t="shared" si="69"/>
        <v>96-962000319</v>
      </c>
      <c r="C4431" s="179" t="s">
        <v>7112</v>
      </c>
    </row>
    <row r="4432" spans="1:3">
      <c r="A4432" s="177">
        <v>962000350</v>
      </c>
      <c r="B4432" s="116" t="str">
        <f t="shared" si="69"/>
        <v>96-962000350</v>
      </c>
      <c r="C4432" s="179" t="s">
        <v>12184</v>
      </c>
    </row>
    <row r="4433" spans="1:3">
      <c r="A4433" s="177">
        <v>966300040</v>
      </c>
      <c r="B4433" s="116" t="str">
        <f t="shared" si="69"/>
        <v>96-966300040</v>
      </c>
      <c r="C4433" s="179" t="s">
        <v>12246</v>
      </c>
    </row>
    <row r="4434" spans="1:3">
      <c r="A4434" s="177">
        <v>952000033</v>
      </c>
      <c r="B4434" s="116" t="str">
        <f t="shared" si="69"/>
        <v>95-952000033</v>
      </c>
      <c r="C4434" s="179" t="s">
        <v>7904</v>
      </c>
    </row>
    <row r="4435" spans="1:3">
      <c r="A4435" s="177">
        <v>954100001</v>
      </c>
      <c r="B4435" s="116" t="str">
        <f t="shared" si="69"/>
        <v>95-954100001</v>
      </c>
      <c r="C4435" s="179" t="s">
        <v>5606</v>
      </c>
    </row>
    <row r="4436" spans="1:3">
      <c r="A4436" s="177">
        <v>954100010</v>
      </c>
      <c r="B4436" s="116" t="str">
        <f t="shared" si="69"/>
        <v>95-954100010</v>
      </c>
      <c r="C4436" s="179" t="s">
        <v>5623</v>
      </c>
    </row>
    <row r="4437" spans="1:3">
      <c r="A4437" s="177">
        <v>954100013</v>
      </c>
      <c r="B4437" s="116" t="str">
        <f t="shared" si="69"/>
        <v>95-954100013</v>
      </c>
      <c r="C4437" s="179" t="s">
        <v>5626</v>
      </c>
    </row>
    <row r="4438" spans="1:3">
      <c r="A4438" s="177">
        <v>954100025</v>
      </c>
      <c r="B4438" s="116" t="str">
        <f t="shared" si="69"/>
        <v>95-954100025</v>
      </c>
      <c r="C4438" s="179" t="s">
        <v>5737</v>
      </c>
    </row>
    <row r="4439" spans="1:3">
      <c r="A4439" s="177">
        <v>954100026</v>
      </c>
      <c r="B4439" s="116" t="str">
        <f t="shared" si="69"/>
        <v>95-954100026</v>
      </c>
      <c r="C4439" s="179" t="s">
        <v>5737</v>
      </c>
    </row>
    <row r="4440" spans="1:3">
      <c r="A4440" s="177">
        <v>954100032</v>
      </c>
      <c r="B4440" s="116" t="str">
        <f t="shared" si="69"/>
        <v>95-954100032</v>
      </c>
      <c r="C4440" s="179" t="s">
        <v>5749</v>
      </c>
    </row>
    <row r="4441" spans="1:3">
      <c r="A4441" s="177">
        <v>966000043</v>
      </c>
      <c r="B4441" s="116" t="str">
        <f t="shared" si="69"/>
        <v>96-966000043</v>
      </c>
      <c r="C4441" s="179" t="s">
        <v>8722</v>
      </c>
    </row>
    <row r="4442" spans="1:3">
      <c r="A4442" s="177">
        <v>964100024</v>
      </c>
      <c r="B4442" s="116" t="str">
        <f t="shared" si="69"/>
        <v>96-964100024</v>
      </c>
      <c r="C4442" s="179" t="s">
        <v>5809</v>
      </c>
    </row>
    <row r="4443" spans="1:3">
      <c r="A4443" s="177">
        <v>964100025</v>
      </c>
      <c r="B4443" s="116" t="str">
        <f t="shared" si="69"/>
        <v>96-964100025</v>
      </c>
      <c r="C4443" s="179" t="s">
        <v>5809</v>
      </c>
    </row>
    <row r="4444" spans="1:3">
      <c r="A4444" s="177">
        <v>964100032</v>
      </c>
      <c r="B4444" s="116" t="str">
        <f t="shared" si="69"/>
        <v>96-964100032</v>
      </c>
      <c r="C4444" s="179" t="s">
        <v>5817</v>
      </c>
    </row>
    <row r="4445" spans="1:3">
      <c r="A4445" s="177">
        <v>964100055</v>
      </c>
      <c r="B4445" s="116" t="str">
        <f t="shared" si="69"/>
        <v>96-964100055</v>
      </c>
      <c r="C4445" s="179" t="s">
        <v>7144</v>
      </c>
    </row>
    <row r="4446" spans="1:3">
      <c r="A4446" s="177">
        <v>962000041</v>
      </c>
      <c r="B4446" s="116" t="str">
        <f t="shared" si="69"/>
        <v>96-962000041</v>
      </c>
      <c r="C4446" s="179" t="s">
        <v>7112</v>
      </c>
    </row>
    <row r="4447" spans="1:3">
      <c r="A4447" s="177">
        <v>952000101</v>
      </c>
      <c r="B4447" s="116" t="str">
        <f t="shared" si="69"/>
        <v>95-952000101</v>
      </c>
      <c r="C4447" s="179" t="s">
        <v>7321</v>
      </c>
    </row>
    <row r="4448" spans="1:3">
      <c r="A4448" s="177">
        <v>964100067</v>
      </c>
      <c r="B4448" s="116" t="str">
        <f t="shared" si="69"/>
        <v>96-964100067</v>
      </c>
      <c r="C4448" s="179" t="s">
        <v>9766</v>
      </c>
    </row>
    <row r="4449" spans="1:3">
      <c r="A4449" s="177">
        <v>964100076</v>
      </c>
      <c r="B4449" s="116" t="str">
        <f t="shared" si="69"/>
        <v>96-964100076</v>
      </c>
      <c r="C4449" s="179" t="s">
        <v>9766</v>
      </c>
    </row>
    <row r="4450" spans="1:3">
      <c r="A4450" s="177">
        <v>951100194</v>
      </c>
      <c r="B4450" s="116" t="str">
        <f t="shared" si="69"/>
        <v>95-951100194</v>
      </c>
      <c r="C4450" s="179" t="s">
        <v>8075</v>
      </c>
    </row>
    <row r="4451" spans="1:3">
      <c r="A4451" s="177">
        <v>964300007</v>
      </c>
      <c r="B4451" s="116" t="str">
        <f t="shared" si="69"/>
        <v>96-964300007</v>
      </c>
      <c r="C4451" s="179" t="s">
        <v>7484</v>
      </c>
    </row>
    <row r="4452" spans="1:3">
      <c r="A4452" s="177">
        <v>964300030</v>
      </c>
      <c r="B4452" s="116" t="str">
        <f t="shared" si="69"/>
        <v>96-964300030</v>
      </c>
      <c r="C4452" s="179" t="s">
        <v>12197</v>
      </c>
    </row>
    <row r="4453" spans="1:3">
      <c r="A4453" s="177">
        <v>964300031</v>
      </c>
      <c r="B4453" s="116" t="str">
        <f t="shared" si="69"/>
        <v>96-964300031</v>
      </c>
      <c r="C4453" s="179" t="s">
        <v>12197</v>
      </c>
    </row>
    <row r="4454" spans="1:3">
      <c r="A4454" s="177">
        <v>951500575</v>
      </c>
      <c r="B4454" s="116" t="str">
        <f t="shared" si="69"/>
        <v>95-951500575</v>
      </c>
      <c r="C4454" s="179" t="s">
        <v>5753</v>
      </c>
    </row>
    <row r="4455" spans="1:3">
      <c r="A4455" s="177">
        <v>952000159</v>
      </c>
      <c r="B4455" s="116" t="str">
        <f t="shared" si="69"/>
        <v>95-952000159</v>
      </c>
      <c r="C4455" s="179" t="s">
        <v>8026</v>
      </c>
    </row>
    <row r="4456" spans="1:3">
      <c r="A4456" s="177">
        <v>962000271</v>
      </c>
      <c r="B4456" s="116" t="str">
        <f t="shared" si="69"/>
        <v>96-962000271</v>
      </c>
      <c r="C4456" s="179" t="s">
        <v>7112</v>
      </c>
    </row>
    <row r="4457" spans="1:3">
      <c r="A4457" s="177">
        <v>962000199</v>
      </c>
      <c r="B4457" s="116" t="str">
        <f t="shared" si="69"/>
        <v>96-962000199</v>
      </c>
      <c r="C4457" s="179" t="s">
        <v>7112</v>
      </c>
    </row>
    <row r="4458" spans="1:3">
      <c r="A4458" s="177">
        <v>952000354</v>
      </c>
      <c r="B4458" s="116" t="str">
        <f t="shared" si="69"/>
        <v>95-952000354</v>
      </c>
      <c r="C4458" s="179" t="s">
        <v>8076</v>
      </c>
    </row>
    <row r="4459" spans="1:3">
      <c r="A4459" s="177">
        <v>951500004</v>
      </c>
      <c r="B4459" s="116" t="str">
        <f t="shared" si="69"/>
        <v>95-951500004</v>
      </c>
      <c r="C4459" s="179" t="s">
        <v>5605</v>
      </c>
    </row>
    <row r="4460" spans="1:3">
      <c r="A4460" s="177">
        <v>951700102</v>
      </c>
      <c r="B4460" s="116" t="str">
        <f t="shared" si="69"/>
        <v>95-951700102</v>
      </c>
      <c r="C4460" s="179" t="s">
        <v>7935</v>
      </c>
    </row>
    <row r="4461" spans="1:3">
      <c r="A4461" s="177">
        <v>951500013</v>
      </c>
      <c r="B4461" s="116" t="str">
        <f t="shared" si="69"/>
        <v>95-951500013</v>
      </c>
      <c r="C4461" s="179" t="s">
        <v>5605</v>
      </c>
    </row>
    <row r="4462" spans="1:3">
      <c r="A4462" s="177">
        <v>951500156</v>
      </c>
      <c r="B4462" s="116" t="str">
        <f t="shared" si="69"/>
        <v>95-951500156</v>
      </c>
      <c r="C4462" s="179" t="s">
        <v>5618</v>
      </c>
    </row>
    <row r="4463" spans="1:3">
      <c r="A4463" s="177">
        <v>951500202</v>
      </c>
      <c r="B4463" s="116" t="str">
        <f t="shared" si="69"/>
        <v>95-951500202</v>
      </c>
      <c r="C4463" s="179" t="s">
        <v>5618</v>
      </c>
    </row>
    <row r="4464" spans="1:3">
      <c r="A4464" s="177">
        <v>951500097</v>
      </c>
      <c r="B4464" s="116" t="str">
        <f t="shared" si="69"/>
        <v>95-951500097</v>
      </c>
      <c r="C4464" s="179" t="s">
        <v>5612</v>
      </c>
    </row>
    <row r="4465" spans="1:3">
      <c r="A4465" s="177">
        <v>961500094</v>
      </c>
      <c r="B4465" s="116" t="str">
        <f t="shared" si="69"/>
        <v>96-961500094</v>
      </c>
      <c r="C4465" s="179" t="s">
        <v>5762</v>
      </c>
    </row>
    <row r="4466" spans="1:3">
      <c r="A4466" s="177">
        <v>961500125</v>
      </c>
      <c r="B4466" s="116" t="str">
        <f t="shared" si="69"/>
        <v>96-961500125</v>
      </c>
      <c r="C4466" s="179" t="s">
        <v>5799</v>
      </c>
    </row>
    <row r="4467" spans="1:3">
      <c r="A4467" s="177">
        <v>961500270</v>
      </c>
      <c r="B4467" s="116" t="str">
        <f t="shared" si="69"/>
        <v>96-961500270</v>
      </c>
      <c r="C4467" s="179" t="s">
        <v>5826</v>
      </c>
    </row>
    <row r="4468" spans="1:3">
      <c r="A4468" s="177">
        <v>961500308</v>
      </c>
      <c r="B4468" s="116" t="str">
        <f t="shared" si="69"/>
        <v>96-961500308</v>
      </c>
      <c r="C4468" s="179" t="s">
        <v>5831</v>
      </c>
    </row>
    <row r="4469" spans="1:3">
      <c r="A4469" s="177">
        <v>952000222</v>
      </c>
      <c r="B4469" s="116" t="str">
        <f t="shared" si="69"/>
        <v>95-952000222</v>
      </c>
      <c r="C4469" s="179" t="s">
        <v>7905</v>
      </c>
    </row>
    <row r="4470" spans="1:3">
      <c r="A4470" s="177">
        <v>952000062</v>
      </c>
      <c r="B4470" s="116" t="str">
        <f t="shared" si="69"/>
        <v>95-952000062</v>
      </c>
      <c r="C4470" s="179" t="s">
        <v>7939</v>
      </c>
    </row>
    <row r="4471" spans="1:3">
      <c r="A4471" s="177">
        <v>962000372</v>
      </c>
      <c r="B4471" s="116" t="str">
        <f t="shared" si="69"/>
        <v>96-962000372</v>
      </c>
      <c r="C4471" s="179" t="s">
        <v>12208</v>
      </c>
    </row>
    <row r="4472" spans="1:3">
      <c r="A4472" s="177">
        <v>962000361</v>
      </c>
      <c r="B4472" s="116" t="str">
        <f t="shared" si="69"/>
        <v>96-962000361</v>
      </c>
      <c r="C4472" s="179" t="s">
        <v>12208</v>
      </c>
    </row>
    <row r="4473" spans="1:3">
      <c r="A4473" s="177">
        <v>952000023</v>
      </c>
      <c r="B4473" s="116" t="str">
        <f t="shared" si="69"/>
        <v>95-952000023</v>
      </c>
      <c r="C4473" s="179" t="s">
        <v>7904</v>
      </c>
    </row>
    <row r="4474" spans="1:3">
      <c r="A4474" s="177">
        <v>962000125</v>
      </c>
      <c r="B4474" s="116" t="str">
        <f t="shared" si="69"/>
        <v>96-962000125</v>
      </c>
      <c r="C4474" s="179" t="s">
        <v>7936</v>
      </c>
    </row>
    <row r="4475" spans="1:3">
      <c r="A4475" s="177">
        <v>962000378</v>
      </c>
      <c r="B4475" s="116" t="str">
        <f t="shared" si="69"/>
        <v>96-962000378</v>
      </c>
      <c r="C4475" s="179" t="s">
        <v>12208</v>
      </c>
    </row>
    <row r="4476" spans="1:3">
      <c r="A4476" s="177">
        <v>951500187</v>
      </c>
      <c r="B4476" s="116" t="str">
        <f t="shared" si="69"/>
        <v>95-951500187</v>
      </c>
      <c r="C4476" s="179" t="s">
        <v>5622</v>
      </c>
    </row>
    <row r="4477" spans="1:3">
      <c r="A4477" s="177">
        <v>951500424</v>
      </c>
      <c r="B4477" s="116" t="str">
        <f t="shared" si="69"/>
        <v>95-951500424</v>
      </c>
      <c r="C4477" s="179" t="s">
        <v>5690</v>
      </c>
    </row>
    <row r="4478" spans="1:3">
      <c r="A4478" s="177">
        <v>951500532</v>
      </c>
      <c r="B4478" s="116" t="str">
        <f t="shared" si="69"/>
        <v>95-951500532</v>
      </c>
      <c r="C4478" s="179" t="s">
        <v>5690</v>
      </c>
    </row>
    <row r="4479" spans="1:3">
      <c r="A4479" s="177">
        <v>961500360</v>
      </c>
      <c r="B4479" s="116" t="str">
        <f t="shared" si="69"/>
        <v>96-961500360</v>
      </c>
      <c r="C4479" s="179" t="s">
        <v>5852</v>
      </c>
    </row>
    <row r="4480" spans="1:3">
      <c r="A4480" s="177">
        <v>961500629</v>
      </c>
      <c r="B4480" s="116" t="str">
        <f t="shared" si="69"/>
        <v>96-961500629</v>
      </c>
      <c r="C4480" s="179" t="s">
        <v>8724</v>
      </c>
    </row>
    <row r="4481" spans="1:3">
      <c r="A4481" s="177">
        <v>961500630</v>
      </c>
      <c r="B4481" s="116" t="str">
        <f t="shared" si="69"/>
        <v>96-961500630</v>
      </c>
      <c r="C4481" s="179" t="s">
        <v>9789</v>
      </c>
    </row>
    <row r="4482" spans="1:3">
      <c r="A4482" s="177">
        <v>961500668</v>
      </c>
      <c r="B4482" s="116" t="str">
        <f t="shared" si="69"/>
        <v>96-961500668</v>
      </c>
      <c r="C4482" s="179" t="s">
        <v>9790</v>
      </c>
    </row>
    <row r="4483" spans="1:3">
      <c r="A4483" s="177">
        <v>961500699</v>
      </c>
      <c r="B4483" s="116" t="str">
        <f t="shared" ref="B4483:B4546" si="70">MID(A4483,1,2)&amp;"-"&amp;A4483</f>
        <v>96-961500699</v>
      </c>
      <c r="C4483" s="179" t="s">
        <v>9768</v>
      </c>
    </row>
    <row r="4484" spans="1:3">
      <c r="A4484" s="177">
        <v>951500309</v>
      </c>
      <c r="B4484" s="116" t="str">
        <f t="shared" si="70"/>
        <v>95-951500309</v>
      </c>
      <c r="C4484" s="179" t="s">
        <v>5662</v>
      </c>
    </row>
    <row r="4485" spans="1:3">
      <c r="A4485" s="177">
        <v>962000356</v>
      </c>
      <c r="B4485" s="116" t="str">
        <f t="shared" si="70"/>
        <v>96-962000356</v>
      </c>
      <c r="C4485" s="179" t="s">
        <v>12184</v>
      </c>
    </row>
    <row r="4486" spans="1:3">
      <c r="A4486" s="177">
        <v>961500742</v>
      </c>
      <c r="B4486" s="116" t="str">
        <f t="shared" si="70"/>
        <v>96-961500742</v>
      </c>
      <c r="C4486" s="179" t="s">
        <v>9794</v>
      </c>
    </row>
    <row r="4487" spans="1:3">
      <c r="A4487" s="177">
        <v>951500518</v>
      </c>
      <c r="B4487" s="116" t="str">
        <f t="shared" si="70"/>
        <v>95-951500518</v>
      </c>
      <c r="C4487" s="179" t="s">
        <v>5724</v>
      </c>
    </row>
    <row r="4488" spans="1:3">
      <c r="A4488" s="177">
        <v>951500525</v>
      </c>
      <c r="B4488" s="116" t="str">
        <f t="shared" si="70"/>
        <v>95-951500525</v>
      </c>
      <c r="C4488" s="179" t="s">
        <v>5715</v>
      </c>
    </row>
    <row r="4489" spans="1:3">
      <c r="A4489" s="177">
        <v>951500536</v>
      </c>
      <c r="B4489" s="116" t="str">
        <f t="shared" si="70"/>
        <v>95-951500536</v>
      </c>
      <c r="C4489" s="179" t="s">
        <v>5715</v>
      </c>
    </row>
    <row r="4490" spans="1:3">
      <c r="A4490" s="177">
        <v>956200238</v>
      </c>
      <c r="B4490" s="116" t="str">
        <f t="shared" si="70"/>
        <v>95-956200238</v>
      </c>
      <c r="C4490" s="179" t="s">
        <v>7940</v>
      </c>
    </row>
    <row r="4491" spans="1:3">
      <c r="A4491" s="177">
        <v>956200239</v>
      </c>
      <c r="B4491" s="116" t="str">
        <f t="shared" si="70"/>
        <v>95-956200239</v>
      </c>
      <c r="C4491" s="179" t="s">
        <v>7940</v>
      </c>
    </row>
    <row r="4492" spans="1:3">
      <c r="A4492" s="177">
        <v>956200051</v>
      </c>
      <c r="B4492" s="116" t="str">
        <f t="shared" si="70"/>
        <v>95-956200051</v>
      </c>
      <c r="C4492" s="179" t="s">
        <v>7916</v>
      </c>
    </row>
    <row r="4493" spans="1:3">
      <c r="A4493" s="177">
        <v>952000031</v>
      </c>
      <c r="B4493" s="116" t="str">
        <f t="shared" si="70"/>
        <v>95-952000031</v>
      </c>
      <c r="C4493" s="179" t="s">
        <v>7904</v>
      </c>
    </row>
    <row r="4494" spans="1:3">
      <c r="A4494" s="177">
        <v>962000374</v>
      </c>
      <c r="B4494" s="116" t="str">
        <f t="shared" si="70"/>
        <v>96-962000374</v>
      </c>
      <c r="C4494" s="179" t="s">
        <v>12208</v>
      </c>
    </row>
    <row r="4495" spans="1:3">
      <c r="A4495" s="177">
        <v>962000368</v>
      </c>
      <c r="B4495" s="116" t="str">
        <f t="shared" si="70"/>
        <v>96-962000368</v>
      </c>
      <c r="C4495" s="179" t="s">
        <v>12208</v>
      </c>
    </row>
    <row r="4496" spans="1:3">
      <c r="A4496" s="177">
        <v>956200174</v>
      </c>
      <c r="B4496" s="116" t="str">
        <f t="shared" si="70"/>
        <v>95-956200174</v>
      </c>
      <c r="C4496" s="179" t="s">
        <v>7938</v>
      </c>
    </row>
    <row r="4497" spans="1:3">
      <c r="A4497" s="177">
        <v>956200186</v>
      </c>
      <c r="B4497" s="116" t="str">
        <f t="shared" si="70"/>
        <v>95-956200186</v>
      </c>
      <c r="C4497" s="179" t="s">
        <v>7941</v>
      </c>
    </row>
    <row r="4498" spans="1:3">
      <c r="A4498" s="177">
        <v>966200184</v>
      </c>
      <c r="B4498" s="116" t="str">
        <f t="shared" si="70"/>
        <v>96-966200184</v>
      </c>
      <c r="C4498" s="179" t="s">
        <v>7942</v>
      </c>
    </row>
    <row r="4499" spans="1:3">
      <c r="A4499" s="177">
        <v>966200337</v>
      </c>
      <c r="B4499" s="116" t="str">
        <f t="shared" si="70"/>
        <v>96-966200337</v>
      </c>
      <c r="C4499" s="179" t="s">
        <v>8741</v>
      </c>
    </row>
    <row r="4500" spans="1:3">
      <c r="A4500" s="177">
        <v>956200247</v>
      </c>
      <c r="B4500" s="116" t="str">
        <f t="shared" si="70"/>
        <v>95-956200247</v>
      </c>
      <c r="C4500" s="179" t="s">
        <v>7943</v>
      </c>
    </row>
    <row r="4501" spans="1:3">
      <c r="A4501" s="177">
        <v>956200202</v>
      </c>
      <c r="B4501" s="116" t="str">
        <f t="shared" si="70"/>
        <v>95-956200202</v>
      </c>
      <c r="C4501" s="179" t="s">
        <v>7879</v>
      </c>
    </row>
    <row r="4502" spans="1:3">
      <c r="A4502" s="177">
        <v>952200002</v>
      </c>
      <c r="B4502" s="116" t="str">
        <f t="shared" si="70"/>
        <v>95-952200002</v>
      </c>
      <c r="C4502" s="179" t="s">
        <v>7227</v>
      </c>
    </row>
    <row r="4503" spans="1:3">
      <c r="A4503" s="177">
        <v>952200015</v>
      </c>
      <c r="B4503" s="116" t="str">
        <f t="shared" si="70"/>
        <v>95-952200015</v>
      </c>
      <c r="C4503" s="179" t="s">
        <v>7172</v>
      </c>
    </row>
    <row r="4504" spans="1:3">
      <c r="A4504" s="177">
        <v>952200052</v>
      </c>
      <c r="B4504" s="116" t="str">
        <f t="shared" si="70"/>
        <v>95-952200052</v>
      </c>
      <c r="C4504" s="179" t="s">
        <v>7561</v>
      </c>
    </row>
    <row r="4505" spans="1:3">
      <c r="A4505" s="177">
        <v>952200078</v>
      </c>
      <c r="B4505" s="116" t="str">
        <f t="shared" si="70"/>
        <v>95-952200078</v>
      </c>
      <c r="C4505" s="179" t="s">
        <v>7511</v>
      </c>
    </row>
    <row r="4506" spans="1:3">
      <c r="A4506" s="177">
        <v>962200021</v>
      </c>
      <c r="B4506" s="116" t="str">
        <f t="shared" si="70"/>
        <v>96-962200021</v>
      </c>
      <c r="C4506" s="179" t="s">
        <v>7230</v>
      </c>
    </row>
    <row r="4507" spans="1:3">
      <c r="A4507" s="177">
        <v>962200036</v>
      </c>
      <c r="B4507" s="116" t="str">
        <f t="shared" si="70"/>
        <v>96-962200036</v>
      </c>
      <c r="C4507" s="179" t="s">
        <v>7173</v>
      </c>
    </row>
    <row r="4508" spans="1:3">
      <c r="A4508" s="177">
        <v>962200067</v>
      </c>
      <c r="B4508" s="116" t="str">
        <f t="shared" si="70"/>
        <v>96-962200067</v>
      </c>
      <c r="C4508" s="179" t="s">
        <v>7125</v>
      </c>
    </row>
    <row r="4509" spans="1:3">
      <c r="A4509" s="177">
        <v>962200073</v>
      </c>
      <c r="B4509" s="116" t="str">
        <f t="shared" si="70"/>
        <v>96-962200073</v>
      </c>
      <c r="C4509" s="179" t="s">
        <v>7244</v>
      </c>
    </row>
    <row r="4510" spans="1:3">
      <c r="A4510" s="177">
        <v>962200074</v>
      </c>
      <c r="B4510" s="116" t="str">
        <f t="shared" si="70"/>
        <v>96-962200074</v>
      </c>
      <c r="C4510" s="179" t="s">
        <v>7244</v>
      </c>
    </row>
    <row r="4511" spans="1:3">
      <c r="A4511" s="177">
        <v>962200092</v>
      </c>
      <c r="B4511" s="116" t="str">
        <f t="shared" si="70"/>
        <v>96-962200092</v>
      </c>
      <c r="C4511" s="179" t="s">
        <v>9765</v>
      </c>
    </row>
    <row r="4512" spans="1:3">
      <c r="A4512" s="177">
        <v>956200302</v>
      </c>
      <c r="B4512" s="116" t="str">
        <f t="shared" si="70"/>
        <v>95-956200302</v>
      </c>
      <c r="C4512" s="179" t="s">
        <v>7922</v>
      </c>
    </row>
    <row r="4513" spans="1:3">
      <c r="A4513" s="177">
        <v>956200417</v>
      </c>
      <c r="B4513" s="116" t="str">
        <f t="shared" si="70"/>
        <v>95-956200417</v>
      </c>
      <c r="C4513" s="179" t="s">
        <v>7923</v>
      </c>
    </row>
    <row r="4514" spans="1:3">
      <c r="A4514" s="177">
        <v>951200036</v>
      </c>
      <c r="B4514" s="116" t="str">
        <f t="shared" si="70"/>
        <v>95-951200036</v>
      </c>
      <c r="C4514" s="179" t="s">
        <v>7172</v>
      </c>
    </row>
    <row r="4515" spans="1:3">
      <c r="A4515" s="177">
        <v>961200113</v>
      </c>
      <c r="B4515" s="116" t="str">
        <f t="shared" si="70"/>
        <v>96-961200113</v>
      </c>
      <c r="C4515" s="179" t="s">
        <v>9765</v>
      </c>
    </row>
    <row r="4516" spans="1:3">
      <c r="A4516" s="177">
        <v>956200253</v>
      </c>
      <c r="B4516" s="116" t="str">
        <f t="shared" si="70"/>
        <v>95-956200253</v>
      </c>
      <c r="C4516" s="179" t="s">
        <v>7943</v>
      </c>
    </row>
    <row r="4517" spans="1:3">
      <c r="A4517" s="177">
        <v>966200312</v>
      </c>
      <c r="B4517" s="116" t="str">
        <f t="shared" si="70"/>
        <v>96-966200312</v>
      </c>
      <c r="C4517" s="179" t="s">
        <v>8742</v>
      </c>
    </row>
    <row r="4518" spans="1:3">
      <c r="A4518" s="177">
        <v>951500001</v>
      </c>
      <c r="B4518" s="116" t="str">
        <f t="shared" si="70"/>
        <v>95-951500001</v>
      </c>
      <c r="C4518" s="179" t="s">
        <v>5605</v>
      </c>
    </row>
    <row r="4519" spans="1:3">
      <c r="A4519" s="177">
        <v>951500185</v>
      </c>
      <c r="B4519" s="116" t="str">
        <f t="shared" si="70"/>
        <v>95-951500185</v>
      </c>
      <c r="C4519" s="179" t="s">
        <v>5618</v>
      </c>
    </row>
    <row r="4520" spans="1:3">
      <c r="A4520" s="177">
        <v>951500207</v>
      </c>
      <c r="B4520" s="116" t="str">
        <f t="shared" si="70"/>
        <v>95-951500207</v>
      </c>
      <c r="C4520" s="179" t="s">
        <v>5618</v>
      </c>
    </row>
    <row r="4521" spans="1:3">
      <c r="A4521" s="177">
        <v>951500555</v>
      </c>
      <c r="B4521" s="116" t="str">
        <f t="shared" si="70"/>
        <v>95-951500555</v>
      </c>
      <c r="C4521" s="179" t="s">
        <v>5740</v>
      </c>
    </row>
    <row r="4522" spans="1:3">
      <c r="A4522" s="177">
        <v>961100047</v>
      </c>
      <c r="B4522" s="116" t="str">
        <f t="shared" si="70"/>
        <v>96-961100047</v>
      </c>
      <c r="C4522" s="179" t="s">
        <v>7944</v>
      </c>
    </row>
    <row r="4523" spans="1:3">
      <c r="A4523" s="177">
        <v>951500228</v>
      </c>
      <c r="B4523" s="116" t="str">
        <f t="shared" si="70"/>
        <v>95-951500228</v>
      </c>
      <c r="C4523" s="179" t="s">
        <v>5640</v>
      </c>
    </row>
    <row r="4524" spans="1:3">
      <c r="A4524" s="177">
        <v>951500249</v>
      </c>
      <c r="B4524" s="116" t="str">
        <f t="shared" si="70"/>
        <v>95-951500249</v>
      </c>
      <c r="C4524" s="179" t="s">
        <v>5635</v>
      </c>
    </row>
    <row r="4525" spans="1:3">
      <c r="A4525" s="177">
        <v>961500217</v>
      </c>
      <c r="B4525" s="116" t="str">
        <f t="shared" si="70"/>
        <v>96-961500217</v>
      </c>
      <c r="C4525" s="179" t="s">
        <v>5813</v>
      </c>
    </row>
    <row r="4526" spans="1:3">
      <c r="A4526" s="177">
        <v>961500258</v>
      </c>
      <c r="B4526" s="116" t="str">
        <f t="shared" si="70"/>
        <v>96-961500258</v>
      </c>
      <c r="C4526" s="179" t="s">
        <v>5826</v>
      </c>
    </row>
    <row r="4527" spans="1:3">
      <c r="A4527" s="177">
        <v>951500039</v>
      </c>
      <c r="B4527" s="116" t="str">
        <f t="shared" si="70"/>
        <v>95-951500039</v>
      </c>
      <c r="C4527" s="179" t="s">
        <v>5608</v>
      </c>
    </row>
    <row r="4528" spans="1:3">
      <c r="A4528" s="177">
        <v>951500434</v>
      </c>
      <c r="B4528" s="116" t="str">
        <f t="shared" si="70"/>
        <v>95-951500434</v>
      </c>
      <c r="C4528" s="179" t="s">
        <v>5690</v>
      </c>
    </row>
    <row r="4529" spans="1:3">
      <c r="A4529" s="177">
        <v>951500442</v>
      </c>
      <c r="B4529" s="116" t="str">
        <f t="shared" si="70"/>
        <v>95-951500442</v>
      </c>
      <c r="C4529" s="179" t="s">
        <v>5690</v>
      </c>
    </row>
    <row r="4530" spans="1:3">
      <c r="A4530" s="177">
        <v>951500444</v>
      </c>
      <c r="B4530" s="116" t="str">
        <f t="shared" si="70"/>
        <v>95-951500444</v>
      </c>
      <c r="C4530" s="179" t="s">
        <v>5690</v>
      </c>
    </row>
    <row r="4531" spans="1:3">
      <c r="A4531" s="177">
        <v>951500462</v>
      </c>
      <c r="B4531" s="116" t="str">
        <f t="shared" si="70"/>
        <v>95-951500462</v>
      </c>
      <c r="C4531" s="179" t="s">
        <v>5690</v>
      </c>
    </row>
    <row r="4532" spans="1:3">
      <c r="A4532" s="177">
        <v>951500504</v>
      </c>
      <c r="B4532" s="116" t="str">
        <f t="shared" si="70"/>
        <v>95-951500504</v>
      </c>
      <c r="C4532" s="179" t="s">
        <v>5690</v>
      </c>
    </row>
    <row r="4533" spans="1:3">
      <c r="A4533" s="177">
        <v>961500526</v>
      </c>
      <c r="B4533" s="116" t="str">
        <f t="shared" si="70"/>
        <v>96-961500526</v>
      </c>
      <c r="C4533" s="179" t="s">
        <v>8497</v>
      </c>
    </row>
    <row r="4534" spans="1:3">
      <c r="A4534" s="177">
        <v>961500656</v>
      </c>
      <c r="B4534" s="116" t="str">
        <f t="shared" si="70"/>
        <v>96-961500656</v>
      </c>
      <c r="C4534" s="179" t="s">
        <v>9770</v>
      </c>
    </row>
    <row r="4535" spans="1:3">
      <c r="A4535" s="177">
        <v>961500661</v>
      </c>
      <c r="B4535" s="116" t="str">
        <f t="shared" si="70"/>
        <v>96-961500661</v>
      </c>
      <c r="C4535" s="179" t="s">
        <v>9770</v>
      </c>
    </row>
    <row r="4536" spans="1:3">
      <c r="A4536" s="177">
        <v>951500037</v>
      </c>
      <c r="B4536" s="116" t="str">
        <f t="shared" si="70"/>
        <v>95-951500037</v>
      </c>
      <c r="C4536" s="179" t="s">
        <v>5614</v>
      </c>
    </row>
    <row r="4537" spans="1:3">
      <c r="A4537" s="177">
        <v>951500384</v>
      </c>
      <c r="B4537" s="116" t="str">
        <f t="shared" si="70"/>
        <v>95-951500384</v>
      </c>
      <c r="C4537" s="179" t="s">
        <v>5668</v>
      </c>
    </row>
    <row r="4538" spans="1:3">
      <c r="A4538" s="177">
        <v>951500516</v>
      </c>
      <c r="B4538" s="116" t="str">
        <f t="shared" si="70"/>
        <v>95-951500516</v>
      </c>
      <c r="C4538" s="179" t="s">
        <v>5715</v>
      </c>
    </row>
    <row r="4539" spans="1:3">
      <c r="A4539" s="177">
        <v>962000370</v>
      </c>
      <c r="B4539" s="116" t="str">
        <f t="shared" si="70"/>
        <v>96-962000370</v>
      </c>
      <c r="C4539" s="179" t="s">
        <v>12208</v>
      </c>
    </row>
    <row r="4540" spans="1:3">
      <c r="A4540" s="177">
        <v>951100110</v>
      </c>
      <c r="B4540" s="116" t="str">
        <f t="shared" si="70"/>
        <v>95-951100110</v>
      </c>
      <c r="C4540" s="179" t="s">
        <v>7945</v>
      </c>
    </row>
    <row r="4541" spans="1:3">
      <c r="A4541" s="177">
        <v>951700045</v>
      </c>
      <c r="B4541" s="116" t="str">
        <f t="shared" si="70"/>
        <v>95-951700045</v>
      </c>
      <c r="C4541" s="179" t="s">
        <v>7946</v>
      </c>
    </row>
    <row r="4542" spans="1:3">
      <c r="A4542" s="177">
        <v>952000034</v>
      </c>
      <c r="B4542" s="116" t="str">
        <f t="shared" si="70"/>
        <v>95-952000034</v>
      </c>
      <c r="C4542" s="179" t="s">
        <v>7904</v>
      </c>
    </row>
    <row r="4543" spans="1:3">
      <c r="A4543" s="177">
        <v>951500132</v>
      </c>
      <c r="B4543" s="116" t="str">
        <f t="shared" si="70"/>
        <v>95-951500132</v>
      </c>
      <c r="C4543" s="179" t="s">
        <v>5618</v>
      </c>
    </row>
    <row r="4544" spans="1:3">
      <c r="A4544" s="177">
        <v>951500304</v>
      </c>
      <c r="B4544" s="116" t="str">
        <f t="shared" si="70"/>
        <v>95-951500304</v>
      </c>
      <c r="C4544" s="179" t="s">
        <v>5628</v>
      </c>
    </row>
    <row r="4545" spans="1:3">
      <c r="A4545" s="177">
        <v>952500103</v>
      </c>
      <c r="B4545" s="116" t="str">
        <f t="shared" si="70"/>
        <v>95-952500103</v>
      </c>
      <c r="C4545" s="179" t="s">
        <v>5753</v>
      </c>
    </row>
    <row r="4546" spans="1:3">
      <c r="A4546" s="177">
        <v>962500192</v>
      </c>
      <c r="B4546" s="116" t="str">
        <f t="shared" si="70"/>
        <v>96-962500192</v>
      </c>
      <c r="C4546" s="179" t="s">
        <v>8717</v>
      </c>
    </row>
    <row r="4547" spans="1:3">
      <c r="A4547" s="177">
        <v>961200038</v>
      </c>
      <c r="B4547" s="116" t="str">
        <f t="shared" ref="B4547:B4610" si="71">MID(A4547,1,2)&amp;"-"&amp;A4547</f>
        <v>96-961200038</v>
      </c>
      <c r="C4547" s="179" t="s">
        <v>7387</v>
      </c>
    </row>
    <row r="4548" spans="1:3">
      <c r="A4548" s="177">
        <v>961200040</v>
      </c>
      <c r="B4548" s="116" t="str">
        <f t="shared" si="71"/>
        <v>96-961200040</v>
      </c>
      <c r="C4548" s="179" t="s">
        <v>7387</v>
      </c>
    </row>
    <row r="4549" spans="1:3">
      <c r="A4549" s="177">
        <v>961200051</v>
      </c>
      <c r="B4549" s="116" t="str">
        <f t="shared" si="71"/>
        <v>96-961200051</v>
      </c>
      <c r="C4549" s="179" t="s">
        <v>7404</v>
      </c>
    </row>
    <row r="4550" spans="1:3">
      <c r="A4550" s="177">
        <v>961200054</v>
      </c>
      <c r="B4550" s="116" t="str">
        <f t="shared" si="71"/>
        <v>96-961200054</v>
      </c>
      <c r="C4550" s="179" t="s">
        <v>7404</v>
      </c>
    </row>
    <row r="4551" spans="1:3">
      <c r="A4551" s="177">
        <v>961200067</v>
      </c>
      <c r="B4551" s="116" t="str">
        <f t="shared" si="71"/>
        <v>96-961200067</v>
      </c>
      <c r="C4551" s="179" t="s">
        <v>7117</v>
      </c>
    </row>
    <row r="4552" spans="1:3">
      <c r="A4552" s="177">
        <v>961200114</v>
      </c>
      <c r="B4552" s="116" t="str">
        <f t="shared" si="71"/>
        <v>96-961200114</v>
      </c>
      <c r="C4552" s="179" t="s">
        <v>9764</v>
      </c>
    </row>
    <row r="4553" spans="1:3">
      <c r="A4553" s="177">
        <v>961200140</v>
      </c>
      <c r="B4553" s="116" t="str">
        <f t="shared" si="71"/>
        <v>96-961200140</v>
      </c>
      <c r="C4553" s="179" t="s">
        <v>12232</v>
      </c>
    </row>
    <row r="4554" spans="1:3">
      <c r="A4554" s="177">
        <v>952000012</v>
      </c>
      <c r="B4554" s="116" t="str">
        <f t="shared" si="71"/>
        <v>95-952000012</v>
      </c>
      <c r="C4554" s="179" t="s">
        <v>7934</v>
      </c>
    </row>
    <row r="4555" spans="1:3">
      <c r="A4555" s="177">
        <v>951500300</v>
      </c>
      <c r="B4555" s="116" t="str">
        <f t="shared" si="71"/>
        <v>95-951500300</v>
      </c>
      <c r="C4555" s="179" t="s">
        <v>5659</v>
      </c>
    </row>
    <row r="4556" spans="1:3">
      <c r="A4556" s="177">
        <v>951500330</v>
      </c>
      <c r="B4556" s="116" t="str">
        <f t="shared" si="71"/>
        <v>95-951500330</v>
      </c>
      <c r="C4556" s="179" t="s">
        <v>5659</v>
      </c>
    </row>
    <row r="4557" spans="1:3">
      <c r="A4557" s="177">
        <v>951500335</v>
      </c>
      <c r="B4557" s="116" t="str">
        <f t="shared" si="71"/>
        <v>95-951500335</v>
      </c>
      <c r="C4557" s="179" t="s">
        <v>5659</v>
      </c>
    </row>
    <row r="4558" spans="1:3">
      <c r="A4558" s="177">
        <v>951500339</v>
      </c>
      <c r="B4558" s="116" t="str">
        <f t="shared" si="71"/>
        <v>95-951500339</v>
      </c>
      <c r="C4558" s="179" t="s">
        <v>5659</v>
      </c>
    </row>
    <row r="4559" spans="1:3">
      <c r="A4559" s="177">
        <v>961500171</v>
      </c>
      <c r="B4559" s="116" t="str">
        <f t="shared" si="71"/>
        <v>96-961500171</v>
      </c>
      <c r="C4559" s="179" t="s">
        <v>5810</v>
      </c>
    </row>
    <row r="4560" spans="1:3">
      <c r="A4560" s="177">
        <v>961500250</v>
      </c>
      <c r="B4560" s="116" t="str">
        <f t="shared" si="71"/>
        <v>96-961500250</v>
      </c>
      <c r="C4560" s="179" t="s">
        <v>5814</v>
      </c>
    </row>
    <row r="4561" spans="1:3">
      <c r="A4561" s="177">
        <v>961500508</v>
      </c>
      <c r="B4561" s="116" t="str">
        <f t="shared" si="71"/>
        <v>96-961500508</v>
      </c>
      <c r="C4561" s="179" t="s">
        <v>7111</v>
      </c>
    </row>
    <row r="4562" spans="1:3">
      <c r="A4562" s="177">
        <v>951500084</v>
      </c>
      <c r="B4562" s="116" t="str">
        <f t="shared" si="71"/>
        <v>95-951500084</v>
      </c>
      <c r="C4562" s="179" t="s">
        <v>5608</v>
      </c>
    </row>
    <row r="4563" spans="1:3">
      <c r="A4563" s="177">
        <v>951500119</v>
      </c>
      <c r="B4563" s="116" t="str">
        <f t="shared" si="71"/>
        <v>95-951500119</v>
      </c>
      <c r="C4563" s="179" t="s">
        <v>5608</v>
      </c>
    </row>
    <row r="4564" spans="1:3">
      <c r="A4564" s="177">
        <v>951500435</v>
      </c>
      <c r="B4564" s="116" t="str">
        <f t="shared" si="71"/>
        <v>95-951500435</v>
      </c>
      <c r="C4564" s="179" t="s">
        <v>5690</v>
      </c>
    </row>
    <row r="4565" spans="1:3">
      <c r="A4565" s="177">
        <v>951500443</v>
      </c>
      <c r="B4565" s="116" t="str">
        <f t="shared" si="71"/>
        <v>95-951500443</v>
      </c>
      <c r="C4565" s="179" t="s">
        <v>5690</v>
      </c>
    </row>
    <row r="4566" spans="1:3">
      <c r="A4566" s="177">
        <v>951500006</v>
      </c>
      <c r="B4566" s="116" t="str">
        <f t="shared" si="71"/>
        <v>95-951500006</v>
      </c>
      <c r="C4566" s="179" t="s">
        <v>5610</v>
      </c>
    </row>
    <row r="4567" spans="1:3">
      <c r="A4567" s="177">
        <v>961500598</v>
      </c>
      <c r="B4567" s="116" t="str">
        <f t="shared" si="71"/>
        <v>96-961500598</v>
      </c>
      <c r="C4567" s="179" t="s">
        <v>8722</v>
      </c>
    </row>
    <row r="4568" spans="1:3">
      <c r="A4568" s="177">
        <v>951500268</v>
      </c>
      <c r="B4568" s="116" t="str">
        <f t="shared" si="71"/>
        <v>95-951500268</v>
      </c>
      <c r="C4568" s="179" t="s">
        <v>5653</v>
      </c>
    </row>
    <row r="4569" spans="1:3">
      <c r="A4569" s="177">
        <v>951500527</v>
      </c>
      <c r="B4569" s="116" t="str">
        <f t="shared" si="71"/>
        <v>95-951500527</v>
      </c>
      <c r="C4569" s="179" t="s">
        <v>5724</v>
      </c>
    </row>
    <row r="4570" spans="1:3">
      <c r="A4570" s="177">
        <v>961500082</v>
      </c>
      <c r="B4570" s="116" t="str">
        <f t="shared" si="71"/>
        <v>96-961500082</v>
      </c>
      <c r="C4570" s="179" t="s">
        <v>5794</v>
      </c>
    </row>
    <row r="4571" spans="1:3">
      <c r="A4571" s="177">
        <v>951500511</v>
      </c>
      <c r="B4571" s="116" t="str">
        <f t="shared" si="71"/>
        <v>95-951500511</v>
      </c>
      <c r="C4571" s="179" t="s">
        <v>5715</v>
      </c>
    </row>
    <row r="4572" spans="1:3">
      <c r="A4572" s="177">
        <v>952500018</v>
      </c>
      <c r="B4572" s="116" t="str">
        <f t="shared" si="71"/>
        <v>95-952500018</v>
      </c>
      <c r="C4572" s="179" t="s">
        <v>5618</v>
      </c>
    </row>
    <row r="4573" spans="1:3">
      <c r="A4573" s="177">
        <v>952500081</v>
      </c>
      <c r="B4573" s="116" t="str">
        <f t="shared" si="71"/>
        <v>95-952500081</v>
      </c>
      <c r="C4573" s="179" t="s">
        <v>5740</v>
      </c>
    </row>
    <row r="4574" spans="1:3">
      <c r="A4574" s="177">
        <v>962500007</v>
      </c>
      <c r="B4574" s="116" t="str">
        <f t="shared" si="71"/>
        <v>96-962500007</v>
      </c>
      <c r="C4574" s="179" t="s">
        <v>5729</v>
      </c>
    </row>
    <row r="4575" spans="1:3">
      <c r="A4575" s="177">
        <v>952500027</v>
      </c>
      <c r="B4575" s="116" t="str">
        <f t="shared" si="71"/>
        <v>95-952500027</v>
      </c>
      <c r="C4575" s="179" t="s">
        <v>5630</v>
      </c>
    </row>
    <row r="4576" spans="1:3">
      <c r="A4576" s="177">
        <v>952500041</v>
      </c>
      <c r="B4576" s="116" t="str">
        <f t="shared" si="71"/>
        <v>95-952500041</v>
      </c>
      <c r="C4576" s="179" t="s">
        <v>5675</v>
      </c>
    </row>
    <row r="4577" spans="1:3">
      <c r="A4577" s="177">
        <v>962500002</v>
      </c>
      <c r="B4577" s="116" t="str">
        <f t="shared" si="71"/>
        <v>96-962500002</v>
      </c>
      <c r="C4577" s="179" t="s">
        <v>5752</v>
      </c>
    </row>
    <row r="4578" spans="1:3">
      <c r="A4578" s="177">
        <v>962500011</v>
      </c>
      <c r="B4578" s="116" t="str">
        <f t="shared" si="71"/>
        <v>96-962500011</v>
      </c>
      <c r="C4578" s="179" t="s">
        <v>5758</v>
      </c>
    </row>
    <row r="4579" spans="1:3">
      <c r="A4579" s="177">
        <v>951100153</v>
      </c>
      <c r="B4579" s="116" t="str">
        <f t="shared" si="71"/>
        <v>95-951100153</v>
      </c>
      <c r="C4579" s="179" t="s">
        <v>8077</v>
      </c>
    </row>
    <row r="4580" spans="1:3">
      <c r="A4580" s="177">
        <v>962500033</v>
      </c>
      <c r="B4580" s="116" t="str">
        <f t="shared" si="71"/>
        <v>96-962500033</v>
      </c>
      <c r="C4580" s="179" t="s">
        <v>5814</v>
      </c>
    </row>
    <row r="4581" spans="1:3">
      <c r="A4581" s="177">
        <v>962500039</v>
      </c>
      <c r="B4581" s="116" t="str">
        <f t="shared" si="71"/>
        <v>96-962500039</v>
      </c>
      <c r="C4581" s="179" t="s">
        <v>5814</v>
      </c>
    </row>
    <row r="4582" spans="1:3">
      <c r="A4582" s="177">
        <v>962500046</v>
      </c>
      <c r="B4582" s="116" t="str">
        <f t="shared" si="71"/>
        <v>96-962500046</v>
      </c>
      <c r="C4582" s="179" t="s">
        <v>5814</v>
      </c>
    </row>
    <row r="4583" spans="1:3">
      <c r="A4583" s="177">
        <v>962500085</v>
      </c>
      <c r="B4583" s="116" t="str">
        <f t="shared" si="71"/>
        <v>96-962500085</v>
      </c>
      <c r="C4583" s="179" t="s">
        <v>7231</v>
      </c>
    </row>
    <row r="4584" spans="1:3">
      <c r="A4584" s="177">
        <v>962500153</v>
      </c>
      <c r="B4584" s="116" t="str">
        <f t="shared" si="71"/>
        <v>96-962500153</v>
      </c>
      <c r="C4584" s="179" t="s">
        <v>8698</v>
      </c>
    </row>
    <row r="4585" spans="1:3">
      <c r="A4585" s="177">
        <v>962500158</v>
      </c>
      <c r="B4585" s="116" t="str">
        <f t="shared" si="71"/>
        <v>96-962500158</v>
      </c>
      <c r="C4585" s="179" t="s">
        <v>9783</v>
      </c>
    </row>
    <row r="4586" spans="1:3">
      <c r="A4586" s="177">
        <v>962500176</v>
      </c>
      <c r="B4586" s="116" t="str">
        <f t="shared" si="71"/>
        <v>96-962500176</v>
      </c>
      <c r="C4586" s="179" t="s">
        <v>9763</v>
      </c>
    </row>
    <row r="4587" spans="1:3">
      <c r="A4587" s="177">
        <v>962500150</v>
      </c>
      <c r="B4587" s="116" t="str">
        <f t="shared" si="71"/>
        <v>96-962500150</v>
      </c>
      <c r="C4587" s="179" t="s">
        <v>9784</v>
      </c>
    </row>
    <row r="4588" spans="1:3">
      <c r="A4588" s="177">
        <v>952500079</v>
      </c>
      <c r="B4588" s="116" t="str">
        <f t="shared" si="71"/>
        <v>95-952500079</v>
      </c>
      <c r="C4588" s="179" t="s">
        <v>5738</v>
      </c>
    </row>
    <row r="4589" spans="1:3">
      <c r="A4589" s="177">
        <v>962500123</v>
      </c>
      <c r="B4589" s="116" t="str">
        <f t="shared" si="71"/>
        <v>96-962500123</v>
      </c>
      <c r="C4589" s="179" t="s">
        <v>7145</v>
      </c>
    </row>
    <row r="4590" spans="1:3">
      <c r="A4590" s="177">
        <v>962500124</v>
      </c>
      <c r="B4590" s="116" t="str">
        <f t="shared" si="71"/>
        <v>96-962500124</v>
      </c>
      <c r="C4590" s="179" t="s">
        <v>8080</v>
      </c>
    </row>
    <row r="4591" spans="1:3">
      <c r="A4591" s="177">
        <v>962500169</v>
      </c>
      <c r="B4591" s="116" t="str">
        <f t="shared" si="71"/>
        <v>96-962500169</v>
      </c>
      <c r="C4591" s="179" t="s">
        <v>9785</v>
      </c>
    </row>
    <row r="4592" spans="1:3">
      <c r="A4592" s="177">
        <v>952500045</v>
      </c>
      <c r="B4592" s="116" t="str">
        <f t="shared" si="71"/>
        <v>95-952500045</v>
      </c>
      <c r="C4592" s="179" t="s">
        <v>5682</v>
      </c>
    </row>
    <row r="4593" spans="1:3">
      <c r="A4593" s="177">
        <v>952500066</v>
      </c>
      <c r="B4593" s="116" t="str">
        <f t="shared" si="71"/>
        <v>95-952500066</v>
      </c>
      <c r="C4593" s="179" t="s">
        <v>5709</v>
      </c>
    </row>
    <row r="4594" spans="1:3">
      <c r="A4594" s="177">
        <v>952500097</v>
      </c>
      <c r="B4594" s="116" t="str">
        <f t="shared" si="71"/>
        <v>95-952500097</v>
      </c>
      <c r="C4594" s="179" t="s">
        <v>5755</v>
      </c>
    </row>
    <row r="4595" spans="1:3">
      <c r="A4595" s="177">
        <v>962500138</v>
      </c>
      <c r="B4595" s="116" t="str">
        <f t="shared" si="71"/>
        <v>96-962500138</v>
      </c>
      <c r="C4595" s="179" t="s">
        <v>5858</v>
      </c>
    </row>
    <row r="4596" spans="1:3">
      <c r="A4596" s="177">
        <v>956200266</v>
      </c>
      <c r="B4596" s="116" t="str">
        <f t="shared" si="71"/>
        <v>95-956200266</v>
      </c>
      <c r="C4596" s="179" t="s">
        <v>7918</v>
      </c>
    </row>
    <row r="4597" spans="1:3">
      <c r="A4597" s="177">
        <v>962500151</v>
      </c>
      <c r="B4597" s="116" t="str">
        <f t="shared" si="71"/>
        <v>96-962500151</v>
      </c>
      <c r="C4597" s="179" t="s">
        <v>5858</v>
      </c>
    </row>
    <row r="4598" spans="1:3">
      <c r="A4598" s="177">
        <v>962500163</v>
      </c>
      <c r="B4598" s="116" t="str">
        <f t="shared" si="71"/>
        <v>96-962500163</v>
      </c>
      <c r="C4598" s="179" t="s">
        <v>5858</v>
      </c>
    </row>
    <row r="4599" spans="1:3">
      <c r="A4599" s="177">
        <v>962500018</v>
      </c>
      <c r="B4599" s="116" t="str">
        <f t="shared" si="71"/>
        <v>96-962500018</v>
      </c>
      <c r="C4599" s="179" t="s">
        <v>5792</v>
      </c>
    </row>
    <row r="4600" spans="1:3">
      <c r="A4600" s="177">
        <v>962500029</v>
      </c>
      <c r="B4600" s="116" t="str">
        <f t="shared" si="71"/>
        <v>96-962500029</v>
      </c>
      <c r="C4600" s="179" t="s">
        <v>5812</v>
      </c>
    </row>
    <row r="4601" spans="1:3">
      <c r="A4601" s="177">
        <v>962500038</v>
      </c>
      <c r="B4601" s="116" t="str">
        <f t="shared" si="71"/>
        <v>96-962500038</v>
      </c>
      <c r="C4601" s="179" t="s">
        <v>5780</v>
      </c>
    </row>
    <row r="4602" spans="1:3">
      <c r="A4602" s="177">
        <v>962500113</v>
      </c>
      <c r="B4602" s="116" t="str">
        <f t="shared" si="71"/>
        <v>96-962500113</v>
      </c>
      <c r="C4602" s="179" t="s">
        <v>7211</v>
      </c>
    </row>
    <row r="4603" spans="1:3">
      <c r="A4603" s="177">
        <v>962500194</v>
      </c>
      <c r="B4603" s="116" t="str">
        <f t="shared" si="71"/>
        <v>96-962500194</v>
      </c>
      <c r="C4603" s="179" t="s">
        <v>12195</v>
      </c>
    </row>
    <row r="4604" spans="1:3">
      <c r="A4604" s="177">
        <v>954200014</v>
      </c>
      <c r="B4604" s="116" t="str">
        <f t="shared" si="71"/>
        <v>95-954200014</v>
      </c>
      <c r="C4604" s="179" t="s">
        <v>5641</v>
      </c>
    </row>
    <row r="4605" spans="1:3">
      <c r="A4605" s="177">
        <v>954200025</v>
      </c>
      <c r="B4605" s="116" t="str">
        <f t="shared" si="71"/>
        <v>95-954200025</v>
      </c>
      <c r="C4605" s="179" t="s">
        <v>5641</v>
      </c>
    </row>
    <row r="4606" spans="1:3">
      <c r="A4606" s="177">
        <v>954200011</v>
      </c>
      <c r="B4606" s="116" t="str">
        <f t="shared" si="71"/>
        <v>95-954200011</v>
      </c>
      <c r="C4606" s="179" t="s">
        <v>5642</v>
      </c>
    </row>
    <row r="4607" spans="1:3">
      <c r="A4607" s="177">
        <v>954200019</v>
      </c>
      <c r="B4607" s="116" t="str">
        <f t="shared" si="71"/>
        <v>95-954200019</v>
      </c>
      <c r="C4607" s="179" t="s">
        <v>5642</v>
      </c>
    </row>
    <row r="4608" spans="1:3">
      <c r="A4608" s="177">
        <v>954200017</v>
      </c>
      <c r="B4608" s="116" t="str">
        <f t="shared" si="71"/>
        <v>95-954200017</v>
      </c>
      <c r="C4608" s="179" t="s">
        <v>5630</v>
      </c>
    </row>
    <row r="4609" spans="1:3">
      <c r="A4609" s="177">
        <v>954200018</v>
      </c>
      <c r="B4609" s="116" t="str">
        <f t="shared" si="71"/>
        <v>95-954200018</v>
      </c>
      <c r="C4609" s="179" t="s">
        <v>5630</v>
      </c>
    </row>
    <row r="4610" spans="1:3">
      <c r="A4610" s="177">
        <v>954200038</v>
      </c>
      <c r="B4610" s="116" t="str">
        <f t="shared" si="71"/>
        <v>95-954200038</v>
      </c>
      <c r="C4610" s="179" t="s">
        <v>5645</v>
      </c>
    </row>
    <row r="4611" spans="1:3">
      <c r="A4611" s="177">
        <v>966000005</v>
      </c>
      <c r="B4611" s="116" t="str">
        <f t="shared" ref="B4611:B4674" si="72">MID(A4611,1,2)&amp;"-"&amp;A4611</f>
        <v>96-966000005</v>
      </c>
      <c r="C4611" s="179" t="s">
        <v>7146</v>
      </c>
    </row>
    <row r="4612" spans="1:3">
      <c r="A4612" s="177">
        <v>966000016</v>
      </c>
      <c r="B4612" s="116" t="str">
        <f t="shared" si="72"/>
        <v>96-966000016</v>
      </c>
      <c r="C4612" s="179" t="s">
        <v>7183</v>
      </c>
    </row>
    <row r="4613" spans="1:3">
      <c r="A4613" s="177">
        <v>961100035</v>
      </c>
      <c r="B4613" s="116" t="str">
        <f t="shared" si="72"/>
        <v>96-961100035</v>
      </c>
      <c r="C4613" s="179" t="s">
        <v>8135</v>
      </c>
    </row>
    <row r="4614" spans="1:3">
      <c r="A4614" s="177">
        <v>951900014</v>
      </c>
      <c r="B4614" s="116" t="str">
        <f t="shared" si="72"/>
        <v>95-951900014</v>
      </c>
      <c r="C4614" s="179" t="s">
        <v>8085</v>
      </c>
    </row>
    <row r="4615" spans="1:3">
      <c r="A4615" s="177">
        <v>951900016</v>
      </c>
      <c r="B4615" s="116" t="str">
        <f t="shared" si="72"/>
        <v>95-951900016</v>
      </c>
      <c r="C4615" s="179" t="s">
        <v>8085</v>
      </c>
    </row>
    <row r="4616" spans="1:3">
      <c r="A4616" s="177">
        <v>961100104</v>
      </c>
      <c r="B4616" s="116" t="str">
        <f t="shared" si="72"/>
        <v>96-961100104</v>
      </c>
      <c r="C4616" s="179" t="s">
        <v>12233</v>
      </c>
    </row>
    <row r="4617" spans="1:3">
      <c r="A4617" s="177">
        <v>956200107</v>
      </c>
      <c r="B4617" s="116" t="str">
        <f t="shared" si="72"/>
        <v>95-956200107</v>
      </c>
      <c r="C4617" s="179" t="s">
        <v>7984</v>
      </c>
    </row>
    <row r="4618" spans="1:3">
      <c r="A4618" s="177">
        <v>951900013</v>
      </c>
      <c r="B4618" s="116" t="str">
        <f t="shared" si="72"/>
        <v>95-951900013</v>
      </c>
      <c r="C4618" s="179" t="s">
        <v>8085</v>
      </c>
    </row>
    <row r="4619" spans="1:3">
      <c r="A4619" s="177">
        <v>951700325</v>
      </c>
      <c r="B4619" s="116" t="str">
        <f t="shared" si="72"/>
        <v>95-951700325</v>
      </c>
      <c r="C4619" s="179" t="s">
        <v>7481</v>
      </c>
    </row>
    <row r="4620" spans="1:3">
      <c r="A4620" s="177">
        <v>961700068</v>
      </c>
      <c r="B4620" s="116" t="str">
        <f t="shared" si="72"/>
        <v>96-961700068</v>
      </c>
      <c r="C4620" s="179" t="s">
        <v>7147</v>
      </c>
    </row>
    <row r="4621" spans="1:3">
      <c r="A4621" s="177">
        <v>951400088</v>
      </c>
      <c r="B4621" s="116" t="str">
        <f t="shared" si="72"/>
        <v>95-951400088</v>
      </c>
      <c r="C4621" s="179" t="s">
        <v>7648</v>
      </c>
    </row>
    <row r="4622" spans="1:3">
      <c r="A4622" s="177">
        <v>951700204</v>
      </c>
      <c r="B4622" s="116" t="str">
        <f t="shared" si="72"/>
        <v>95-951700204</v>
      </c>
      <c r="C4622" s="179" t="s">
        <v>8137</v>
      </c>
    </row>
    <row r="4623" spans="1:3">
      <c r="A4623" s="177">
        <v>951400068</v>
      </c>
      <c r="B4623" s="116" t="str">
        <f t="shared" si="72"/>
        <v>95-951400068</v>
      </c>
      <c r="C4623" s="179" t="s">
        <v>8138</v>
      </c>
    </row>
    <row r="4624" spans="1:3">
      <c r="A4624" s="177">
        <v>951900020</v>
      </c>
      <c r="B4624" s="116" t="str">
        <f t="shared" si="72"/>
        <v>95-951900020</v>
      </c>
      <c r="C4624" s="179" t="s">
        <v>8142</v>
      </c>
    </row>
    <row r="4625" spans="1:3">
      <c r="A4625" s="177">
        <v>951800118</v>
      </c>
      <c r="B4625" s="116" t="str">
        <f t="shared" si="72"/>
        <v>95-951800118</v>
      </c>
      <c r="C4625" s="179" t="s">
        <v>8143</v>
      </c>
    </row>
    <row r="4626" spans="1:3">
      <c r="A4626" s="177">
        <v>961800015</v>
      </c>
      <c r="B4626" s="116" t="str">
        <f t="shared" si="72"/>
        <v>96-961800015</v>
      </c>
      <c r="C4626" s="179" t="s">
        <v>8144</v>
      </c>
    </row>
    <row r="4627" spans="1:3">
      <c r="A4627" s="177">
        <v>951300006</v>
      </c>
      <c r="B4627" s="116" t="str">
        <f t="shared" si="72"/>
        <v>95-951300006</v>
      </c>
      <c r="C4627" s="179" t="s">
        <v>8145</v>
      </c>
    </row>
    <row r="4628" spans="1:3">
      <c r="A4628" s="177">
        <v>961800029</v>
      </c>
      <c r="B4628" s="116" t="str">
        <f t="shared" si="72"/>
        <v>96-961800029</v>
      </c>
      <c r="C4628" s="179" t="s">
        <v>7656</v>
      </c>
    </row>
    <row r="4629" spans="1:3">
      <c r="A4629" s="177">
        <v>961900085</v>
      </c>
      <c r="B4629" s="116" t="str">
        <f t="shared" si="72"/>
        <v>96-961900085</v>
      </c>
      <c r="C4629" s="179" t="s">
        <v>8147</v>
      </c>
    </row>
    <row r="4630" spans="1:3">
      <c r="A4630" s="177">
        <v>951400061</v>
      </c>
      <c r="B4630" s="116" t="str">
        <f t="shared" si="72"/>
        <v>95-951400061</v>
      </c>
      <c r="C4630" s="179" t="s">
        <v>8148</v>
      </c>
    </row>
    <row r="4631" spans="1:3">
      <c r="A4631" s="177">
        <v>956100014</v>
      </c>
      <c r="B4631" s="116" t="str">
        <f t="shared" si="72"/>
        <v>95-956100014</v>
      </c>
      <c r="C4631" s="179" t="s">
        <v>7488</v>
      </c>
    </row>
    <row r="4632" spans="1:3">
      <c r="A4632" s="177">
        <v>951700215</v>
      </c>
      <c r="B4632" s="116" t="str">
        <f t="shared" si="72"/>
        <v>95-951700215</v>
      </c>
      <c r="C4632" s="179" t="s">
        <v>8149</v>
      </c>
    </row>
    <row r="4633" spans="1:3">
      <c r="A4633" s="177">
        <v>951700314</v>
      </c>
      <c r="B4633" s="116" t="str">
        <f t="shared" si="72"/>
        <v>95-951700314</v>
      </c>
      <c r="C4633" s="179" t="s">
        <v>8101</v>
      </c>
    </row>
    <row r="4634" spans="1:3">
      <c r="A4634" s="177">
        <v>961900075</v>
      </c>
      <c r="B4634" s="116" t="str">
        <f t="shared" si="72"/>
        <v>96-961900075</v>
      </c>
      <c r="C4634" s="179" t="s">
        <v>8150</v>
      </c>
    </row>
    <row r="4635" spans="1:3">
      <c r="A4635" s="177">
        <v>961900076</v>
      </c>
      <c r="B4635" s="116" t="str">
        <f t="shared" si="72"/>
        <v>96-961900076</v>
      </c>
      <c r="C4635" s="179" t="s">
        <v>8150</v>
      </c>
    </row>
    <row r="4636" spans="1:3">
      <c r="A4636" s="177">
        <v>961900077</v>
      </c>
      <c r="B4636" s="116" t="str">
        <f t="shared" si="72"/>
        <v>96-961900077</v>
      </c>
      <c r="C4636" s="179" t="s">
        <v>8151</v>
      </c>
    </row>
    <row r="4637" spans="1:3">
      <c r="A4637" s="177">
        <v>966200038</v>
      </c>
      <c r="B4637" s="116" t="str">
        <f t="shared" si="72"/>
        <v>96-966200038</v>
      </c>
      <c r="C4637" s="179" t="s">
        <v>7288</v>
      </c>
    </row>
    <row r="4638" spans="1:3">
      <c r="A4638" s="177">
        <v>951100027</v>
      </c>
      <c r="B4638" s="116" t="str">
        <f t="shared" si="72"/>
        <v>95-951100027</v>
      </c>
      <c r="C4638" s="179" t="s">
        <v>8078</v>
      </c>
    </row>
    <row r="4639" spans="1:3">
      <c r="A4639" s="177">
        <v>961100003</v>
      </c>
      <c r="B4639" s="116" t="str">
        <f t="shared" si="72"/>
        <v>96-961100003</v>
      </c>
      <c r="C4639" s="179" t="s">
        <v>8079</v>
      </c>
    </row>
    <row r="4640" spans="1:3">
      <c r="A4640" s="177">
        <v>951700079</v>
      </c>
      <c r="B4640" s="116" t="str">
        <f t="shared" si="72"/>
        <v>95-951700079</v>
      </c>
      <c r="C4640" s="179" t="s">
        <v>8159</v>
      </c>
    </row>
    <row r="4641" spans="1:3">
      <c r="A4641" s="177">
        <v>951800089</v>
      </c>
      <c r="B4641" s="116" t="str">
        <f t="shared" si="72"/>
        <v>95-951800089</v>
      </c>
      <c r="C4641" s="179" t="s">
        <v>7132</v>
      </c>
    </row>
    <row r="4642" spans="1:3">
      <c r="A4642" s="177">
        <v>951400028</v>
      </c>
      <c r="B4642" s="116" t="str">
        <f t="shared" si="72"/>
        <v>95-951400028</v>
      </c>
      <c r="C4642" s="179" t="s">
        <v>8160</v>
      </c>
    </row>
    <row r="4643" spans="1:3">
      <c r="A4643" s="177">
        <v>951400025</v>
      </c>
      <c r="B4643" s="116" t="str">
        <f t="shared" si="72"/>
        <v>95-951400025</v>
      </c>
      <c r="C4643" s="179" t="s">
        <v>8160</v>
      </c>
    </row>
    <row r="4644" spans="1:3">
      <c r="A4644" s="177">
        <v>956200297</v>
      </c>
      <c r="B4644" s="116" t="str">
        <f t="shared" si="72"/>
        <v>95-956200297</v>
      </c>
      <c r="C4644" s="179" t="s">
        <v>8161</v>
      </c>
    </row>
    <row r="4645" spans="1:3">
      <c r="A4645" s="177">
        <v>966200027</v>
      </c>
      <c r="B4645" s="116" t="str">
        <f t="shared" si="72"/>
        <v>96-966200027</v>
      </c>
      <c r="C4645" s="179" t="s">
        <v>8108</v>
      </c>
    </row>
    <row r="4646" spans="1:3">
      <c r="A4646" s="177">
        <v>962000380</v>
      </c>
      <c r="B4646" s="116" t="str">
        <f t="shared" si="72"/>
        <v>96-962000380</v>
      </c>
      <c r="C4646" s="179" t="s">
        <v>12208</v>
      </c>
    </row>
    <row r="4647" spans="1:3">
      <c r="A4647" s="177">
        <v>951100092</v>
      </c>
      <c r="B4647" s="116" t="str">
        <f t="shared" si="72"/>
        <v>95-951100092</v>
      </c>
      <c r="C4647" s="179" t="s">
        <v>8428</v>
      </c>
    </row>
    <row r="4648" spans="1:3">
      <c r="A4648" s="177">
        <v>951900091</v>
      </c>
      <c r="B4648" s="116" t="str">
        <f t="shared" si="72"/>
        <v>95-951900091</v>
      </c>
      <c r="C4648" s="179" t="s">
        <v>8162</v>
      </c>
    </row>
    <row r="4649" spans="1:3">
      <c r="A4649" s="177">
        <v>951700268</v>
      </c>
      <c r="B4649" s="116" t="str">
        <f t="shared" si="72"/>
        <v>95-951700268</v>
      </c>
      <c r="C4649" s="179" t="s">
        <v>7177</v>
      </c>
    </row>
    <row r="4650" spans="1:3">
      <c r="A4650" s="177">
        <v>951700295</v>
      </c>
      <c r="B4650" s="116" t="str">
        <f t="shared" si="72"/>
        <v>95-951700295</v>
      </c>
      <c r="C4650" s="179" t="s">
        <v>7177</v>
      </c>
    </row>
    <row r="4651" spans="1:3">
      <c r="A4651" s="177">
        <v>961700034</v>
      </c>
      <c r="B4651" s="116" t="str">
        <f t="shared" si="72"/>
        <v>96-961700034</v>
      </c>
      <c r="C4651" s="179" t="s">
        <v>8173</v>
      </c>
    </row>
    <row r="4652" spans="1:3">
      <c r="A4652" s="177">
        <v>961700043</v>
      </c>
      <c r="B4652" s="116" t="str">
        <f t="shared" si="72"/>
        <v>96-961700043</v>
      </c>
      <c r="C4652" s="179" t="s">
        <v>8174</v>
      </c>
    </row>
    <row r="4653" spans="1:3">
      <c r="A4653" s="177">
        <v>951800146</v>
      </c>
      <c r="B4653" s="116" t="str">
        <f t="shared" si="72"/>
        <v>95-951800146</v>
      </c>
      <c r="C4653" s="179" t="s">
        <v>7611</v>
      </c>
    </row>
    <row r="4654" spans="1:3">
      <c r="A4654" s="177">
        <v>951900041</v>
      </c>
      <c r="B4654" s="116" t="str">
        <f t="shared" si="72"/>
        <v>95-951900041</v>
      </c>
      <c r="C4654" s="179" t="s">
        <v>7502</v>
      </c>
    </row>
    <row r="4655" spans="1:3">
      <c r="A4655" s="177">
        <v>951800138</v>
      </c>
      <c r="B4655" s="116" t="str">
        <f t="shared" si="72"/>
        <v>95-951800138</v>
      </c>
      <c r="C4655" s="179" t="s">
        <v>8178</v>
      </c>
    </row>
    <row r="4656" spans="1:3">
      <c r="A4656" s="177">
        <v>951700100</v>
      </c>
      <c r="B4656" s="116" t="str">
        <f t="shared" si="72"/>
        <v>95-951700100</v>
      </c>
      <c r="C4656" s="179" t="s">
        <v>7701</v>
      </c>
    </row>
    <row r="4657" spans="1:3">
      <c r="A4657" s="177">
        <v>951700136</v>
      </c>
      <c r="B4657" s="116" t="str">
        <f t="shared" si="72"/>
        <v>95-951700136</v>
      </c>
      <c r="C4657" s="179" t="s">
        <v>8179</v>
      </c>
    </row>
    <row r="4658" spans="1:3">
      <c r="A4658" s="177">
        <v>951400135</v>
      </c>
      <c r="B4658" s="116" t="str">
        <f t="shared" si="72"/>
        <v>95-951400135</v>
      </c>
      <c r="C4658" s="179" t="s">
        <v>7150</v>
      </c>
    </row>
    <row r="4659" spans="1:3">
      <c r="A4659" s="177">
        <v>951400182</v>
      </c>
      <c r="B4659" s="116" t="str">
        <f t="shared" si="72"/>
        <v>95-951400182</v>
      </c>
      <c r="C4659" s="179" t="s">
        <v>7514</v>
      </c>
    </row>
    <row r="4660" spans="1:3">
      <c r="A4660" s="177">
        <v>961700131</v>
      </c>
      <c r="B4660" s="116" t="str">
        <f t="shared" si="72"/>
        <v>96-961700131</v>
      </c>
      <c r="C4660" s="179" t="s">
        <v>7163</v>
      </c>
    </row>
    <row r="4661" spans="1:3">
      <c r="A4661" s="177">
        <v>961700151</v>
      </c>
      <c r="B4661" s="116" t="str">
        <f t="shared" si="72"/>
        <v>96-961700151</v>
      </c>
      <c r="C4661" s="179" t="s">
        <v>12276</v>
      </c>
    </row>
    <row r="4662" spans="1:3">
      <c r="A4662" s="177">
        <v>956200230</v>
      </c>
      <c r="B4662" s="116" t="str">
        <f t="shared" si="72"/>
        <v>95-956200230</v>
      </c>
      <c r="C4662" s="179" t="s">
        <v>8032</v>
      </c>
    </row>
    <row r="4663" spans="1:3">
      <c r="A4663" s="177">
        <v>962000030</v>
      </c>
      <c r="B4663" s="116" t="str">
        <f t="shared" si="72"/>
        <v>96-962000030</v>
      </c>
      <c r="C4663" s="179" t="s">
        <v>7112</v>
      </c>
    </row>
    <row r="4664" spans="1:3">
      <c r="A4664" s="177">
        <v>952000307</v>
      </c>
      <c r="B4664" s="116" t="str">
        <f t="shared" si="72"/>
        <v>95-952000307</v>
      </c>
      <c r="C4664" s="179" t="s">
        <v>7329</v>
      </c>
    </row>
    <row r="4665" spans="1:3">
      <c r="A4665" s="177">
        <v>962000366</v>
      </c>
      <c r="B4665" s="116" t="str">
        <f t="shared" si="72"/>
        <v>96-962000366</v>
      </c>
      <c r="C4665" s="179" t="s">
        <v>12208</v>
      </c>
    </row>
    <row r="4666" spans="1:3">
      <c r="A4666" s="177">
        <v>952000027</v>
      </c>
      <c r="B4666" s="116" t="str">
        <f t="shared" si="72"/>
        <v>95-952000027</v>
      </c>
      <c r="C4666" s="179" t="s">
        <v>7904</v>
      </c>
    </row>
    <row r="4667" spans="1:3">
      <c r="A4667" s="177">
        <v>951700067</v>
      </c>
      <c r="B4667" s="116" t="str">
        <f t="shared" si="72"/>
        <v>95-951700067</v>
      </c>
      <c r="C4667" s="179" t="s">
        <v>7518</v>
      </c>
    </row>
    <row r="4668" spans="1:3">
      <c r="A4668" s="177">
        <v>951700121</v>
      </c>
      <c r="B4668" s="116" t="str">
        <f t="shared" si="72"/>
        <v>95-951700121</v>
      </c>
      <c r="C4668" s="179" t="s">
        <v>7525</v>
      </c>
    </row>
    <row r="4669" spans="1:3">
      <c r="A4669" s="177">
        <v>951700191</v>
      </c>
      <c r="B4669" s="116" t="str">
        <f t="shared" si="72"/>
        <v>95-951700191</v>
      </c>
      <c r="C4669" s="179" t="s">
        <v>7528</v>
      </c>
    </row>
    <row r="4670" spans="1:3">
      <c r="A4670" s="177">
        <v>951700222</v>
      </c>
      <c r="B4670" s="116" t="str">
        <f t="shared" si="72"/>
        <v>95-951700222</v>
      </c>
      <c r="C4670" s="179" t="s">
        <v>7185</v>
      </c>
    </row>
    <row r="4671" spans="1:3">
      <c r="A4671" s="177">
        <v>951700225</v>
      </c>
      <c r="B4671" s="116" t="str">
        <f t="shared" si="72"/>
        <v>95-951700225</v>
      </c>
      <c r="C4671" s="179" t="s">
        <v>7153</v>
      </c>
    </row>
    <row r="4672" spans="1:3">
      <c r="A4672" s="177">
        <v>951700247</v>
      </c>
      <c r="B4672" s="116" t="str">
        <f t="shared" si="72"/>
        <v>95-951700247</v>
      </c>
      <c r="C4672" s="179" t="s">
        <v>7153</v>
      </c>
    </row>
    <row r="4673" spans="1:3">
      <c r="A4673" s="177">
        <v>951700249</v>
      </c>
      <c r="B4673" s="116" t="str">
        <f t="shared" si="72"/>
        <v>95-951700249</v>
      </c>
      <c r="C4673" s="179" t="s">
        <v>7153</v>
      </c>
    </row>
    <row r="4674" spans="1:3">
      <c r="A4674" s="177">
        <v>951700277</v>
      </c>
      <c r="B4674" s="116" t="str">
        <f t="shared" si="72"/>
        <v>95-951700277</v>
      </c>
      <c r="C4674" s="179" t="s">
        <v>7528</v>
      </c>
    </row>
    <row r="4675" spans="1:3">
      <c r="A4675" s="177">
        <v>951700311</v>
      </c>
      <c r="B4675" s="116" t="str">
        <f t="shared" ref="B4675:B4738" si="73">MID(A4675,1,2)&amp;"-"&amp;A4675</f>
        <v>95-951700311</v>
      </c>
      <c r="C4675" s="179" t="s">
        <v>7198</v>
      </c>
    </row>
    <row r="4676" spans="1:3">
      <c r="A4676" s="177">
        <v>961700134</v>
      </c>
      <c r="B4676" s="116" t="str">
        <f t="shared" si="73"/>
        <v>96-961700134</v>
      </c>
      <c r="C4676" s="179" t="s">
        <v>7154</v>
      </c>
    </row>
    <row r="4677" spans="1:3">
      <c r="A4677" s="177">
        <v>961600015</v>
      </c>
      <c r="B4677" s="116" t="str">
        <f t="shared" si="73"/>
        <v>96-961600015</v>
      </c>
      <c r="C4677" s="179" t="s">
        <v>7136</v>
      </c>
    </row>
    <row r="4678" spans="1:3">
      <c r="A4678" s="177">
        <v>951800037</v>
      </c>
      <c r="B4678" s="116" t="str">
        <f t="shared" si="73"/>
        <v>95-951800037</v>
      </c>
      <c r="C4678" s="179" t="s">
        <v>8192</v>
      </c>
    </row>
    <row r="4679" spans="1:3">
      <c r="A4679" s="177">
        <v>951400080</v>
      </c>
      <c r="B4679" s="116" t="str">
        <f t="shared" si="73"/>
        <v>95-951400080</v>
      </c>
      <c r="C4679" s="179" t="s">
        <v>7948</v>
      </c>
    </row>
    <row r="4680" spans="1:3">
      <c r="A4680" s="177">
        <v>966100001</v>
      </c>
      <c r="B4680" s="116" t="str">
        <f t="shared" si="73"/>
        <v>96-966100001</v>
      </c>
      <c r="C4680" s="179" t="s">
        <v>7598</v>
      </c>
    </row>
    <row r="4681" spans="1:3">
      <c r="A4681" s="177">
        <v>951600030</v>
      </c>
      <c r="B4681" s="116" t="str">
        <f t="shared" si="73"/>
        <v>95-951600030</v>
      </c>
      <c r="C4681" s="179" t="s">
        <v>7738</v>
      </c>
    </row>
    <row r="4682" spans="1:3">
      <c r="A4682" s="177">
        <v>951600043</v>
      </c>
      <c r="B4682" s="116" t="str">
        <f t="shared" si="73"/>
        <v>95-951600043</v>
      </c>
      <c r="C4682" s="179" t="s">
        <v>7738</v>
      </c>
    </row>
    <row r="4683" spans="1:3">
      <c r="A4683" s="177">
        <v>951400158</v>
      </c>
      <c r="B4683" s="116" t="str">
        <f t="shared" si="73"/>
        <v>95-951400158</v>
      </c>
      <c r="C4683" s="179" t="s">
        <v>7535</v>
      </c>
    </row>
    <row r="4684" spans="1:3">
      <c r="A4684" s="177">
        <v>951700245</v>
      </c>
      <c r="B4684" s="116" t="str">
        <f t="shared" si="73"/>
        <v>95-951700245</v>
      </c>
      <c r="C4684" s="179" t="s">
        <v>7739</v>
      </c>
    </row>
    <row r="4685" spans="1:3">
      <c r="A4685" s="177">
        <v>951700128</v>
      </c>
      <c r="B4685" s="116" t="str">
        <f t="shared" si="73"/>
        <v>95-951700128</v>
      </c>
      <c r="C4685" s="179" t="s">
        <v>7537</v>
      </c>
    </row>
    <row r="4686" spans="1:3">
      <c r="A4686" s="177">
        <v>951700169</v>
      </c>
      <c r="B4686" s="116" t="str">
        <f t="shared" si="73"/>
        <v>95-951700169</v>
      </c>
      <c r="C4686" s="179" t="s">
        <v>7742</v>
      </c>
    </row>
    <row r="4687" spans="1:3">
      <c r="A4687" s="177">
        <v>951700230</v>
      </c>
      <c r="B4687" s="116" t="str">
        <f t="shared" si="73"/>
        <v>95-951700230</v>
      </c>
      <c r="C4687" s="179" t="s">
        <v>7743</v>
      </c>
    </row>
    <row r="4688" spans="1:3">
      <c r="A4688" s="177">
        <v>951700257</v>
      </c>
      <c r="B4688" s="116" t="str">
        <f t="shared" si="73"/>
        <v>95-951700257</v>
      </c>
      <c r="C4688" s="179" t="s">
        <v>7180</v>
      </c>
    </row>
    <row r="4689" spans="1:3">
      <c r="A4689" s="177">
        <v>951700292</v>
      </c>
      <c r="B4689" s="116" t="str">
        <f t="shared" si="73"/>
        <v>95-951700292</v>
      </c>
      <c r="C4689" s="179" t="s">
        <v>7539</v>
      </c>
    </row>
    <row r="4690" spans="1:3">
      <c r="A4690" s="177">
        <v>961700018</v>
      </c>
      <c r="B4690" s="116" t="str">
        <f t="shared" si="73"/>
        <v>96-961700018</v>
      </c>
      <c r="C4690" s="179" t="s">
        <v>7541</v>
      </c>
    </row>
    <row r="4691" spans="1:3">
      <c r="A4691" s="177">
        <v>961700137</v>
      </c>
      <c r="B4691" s="116" t="str">
        <f t="shared" si="73"/>
        <v>96-961700137</v>
      </c>
      <c r="C4691" s="179" t="s">
        <v>7199</v>
      </c>
    </row>
    <row r="4692" spans="1:3">
      <c r="A4692" s="177">
        <v>961700147</v>
      </c>
      <c r="B4692" s="116" t="str">
        <f t="shared" si="73"/>
        <v>96-961700147</v>
      </c>
      <c r="C4692" s="179" t="s">
        <v>12277</v>
      </c>
    </row>
    <row r="4693" spans="1:3">
      <c r="A4693" s="177">
        <v>951800080</v>
      </c>
      <c r="B4693" s="116" t="str">
        <f t="shared" si="73"/>
        <v>95-951800080</v>
      </c>
      <c r="C4693" s="179" t="s">
        <v>7658</v>
      </c>
    </row>
    <row r="4694" spans="1:3">
      <c r="A4694" s="177">
        <v>961900004</v>
      </c>
      <c r="B4694" s="116" t="str">
        <f t="shared" si="73"/>
        <v>96-961900004</v>
      </c>
      <c r="C4694" s="179" t="s">
        <v>8205</v>
      </c>
    </row>
    <row r="4695" spans="1:3">
      <c r="A4695" s="177">
        <v>962000461</v>
      </c>
      <c r="B4695" s="116" t="str">
        <f t="shared" si="73"/>
        <v>96-962000461</v>
      </c>
      <c r="C4695" s="179" t="s">
        <v>12184</v>
      </c>
    </row>
    <row r="4696" spans="1:3">
      <c r="A4696" s="177">
        <v>956200228</v>
      </c>
      <c r="B4696" s="116" t="str">
        <f t="shared" si="73"/>
        <v>95-956200228</v>
      </c>
      <c r="C4696" s="179" t="s">
        <v>8032</v>
      </c>
    </row>
    <row r="4697" spans="1:3">
      <c r="A4697" s="177">
        <v>951800073</v>
      </c>
      <c r="B4697" s="116" t="str">
        <f t="shared" si="73"/>
        <v>95-951800073</v>
      </c>
      <c r="C4697" s="179" t="s">
        <v>7546</v>
      </c>
    </row>
    <row r="4698" spans="1:3">
      <c r="A4698" s="177">
        <v>961700103</v>
      </c>
      <c r="B4698" s="116" t="str">
        <f t="shared" si="73"/>
        <v>96-961700103</v>
      </c>
      <c r="C4698" s="179" t="s">
        <v>7553</v>
      </c>
    </row>
    <row r="4699" spans="1:3">
      <c r="A4699" s="177">
        <v>951600001</v>
      </c>
      <c r="B4699" s="116" t="str">
        <f t="shared" si="73"/>
        <v>95-951600001</v>
      </c>
      <c r="C4699" s="179" t="s">
        <v>8209</v>
      </c>
    </row>
    <row r="4700" spans="1:3">
      <c r="A4700" s="177">
        <v>951100074</v>
      </c>
      <c r="B4700" s="116" t="str">
        <f t="shared" si="73"/>
        <v>95-951100074</v>
      </c>
      <c r="C4700" s="179" t="s">
        <v>8210</v>
      </c>
    </row>
    <row r="4701" spans="1:3">
      <c r="A4701" s="177">
        <v>951100115</v>
      </c>
      <c r="B4701" s="116" t="str">
        <f t="shared" si="73"/>
        <v>95-951100115</v>
      </c>
      <c r="C4701" s="179" t="s">
        <v>8211</v>
      </c>
    </row>
    <row r="4702" spans="1:3">
      <c r="A4702" s="177">
        <v>961100052</v>
      </c>
      <c r="B4702" s="116" t="str">
        <f t="shared" si="73"/>
        <v>96-961100052</v>
      </c>
      <c r="C4702" s="179" t="s">
        <v>8212</v>
      </c>
    </row>
    <row r="4703" spans="1:3">
      <c r="A4703" s="177">
        <v>961100054</v>
      </c>
      <c r="B4703" s="116" t="str">
        <f t="shared" si="73"/>
        <v>96-961100054</v>
      </c>
      <c r="C4703" s="179" t="s">
        <v>8213</v>
      </c>
    </row>
    <row r="4704" spans="1:3">
      <c r="A4704" s="177">
        <v>951600034</v>
      </c>
      <c r="B4704" s="116" t="str">
        <f t="shared" si="73"/>
        <v>95-951600034</v>
      </c>
      <c r="C4704" s="179" t="s">
        <v>8214</v>
      </c>
    </row>
    <row r="4705" spans="1:3">
      <c r="A4705" s="177">
        <v>961700079</v>
      </c>
      <c r="B4705" s="116" t="str">
        <f t="shared" si="73"/>
        <v>96-961700079</v>
      </c>
      <c r="C4705" s="179" t="s">
        <v>8215</v>
      </c>
    </row>
    <row r="4706" spans="1:3">
      <c r="A4706" s="177">
        <v>951800132</v>
      </c>
      <c r="B4706" s="116" t="str">
        <f t="shared" si="73"/>
        <v>95-951800132</v>
      </c>
      <c r="C4706" s="179" t="s">
        <v>7688</v>
      </c>
    </row>
    <row r="4707" spans="1:3">
      <c r="A4707" s="177">
        <v>951700105</v>
      </c>
      <c r="B4707" s="116" t="str">
        <f t="shared" si="73"/>
        <v>95-951700105</v>
      </c>
      <c r="C4707" s="179" t="s">
        <v>8218</v>
      </c>
    </row>
    <row r="4708" spans="1:3">
      <c r="A4708" s="177">
        <v>951600064</v>
      </c>
      <c r="B4708" s="116" t="str">
        <f t="shared" si="73"/>
        <v>95-951600064</v>
      </c>
      <c r="C4708" s="179" t="s">
        <v>7758</v>
      </c>
    </row>
    <row r="4709" spans="1:3">
      <c r="A4709" s="177">
        <v>951800115</v>
      </c>
      <c r="B4709" s="116" t="str">
        <f t="shared" si="73"/>
        <v>95-951800115</v>
      </c>
      <c r="C4709" s="179" t="s">
        <v>7711</v>
      </c>
    </row>
    <row r="4710" spans="1:3">
      <c r="A4710" s="177">
        <v>961800066</v>
      </c>
      <c r="B4710" s="116" t="str">
        <f t="shared" si="73"/>
        <v>96-961800066</v>
      </c>
      <c r="C4710" s="179" t="s">
        <v>8715</v>
      </c>
    </row>
    <row r="4711" spans="1:3">
      <c r="A4711" s="177">
        <v>961600012</v>
      </c>
      <c r="B4711" s="116" t="str">
        <f t="shared" si="73"/>
        <v>96-961600012</v>
      </c>
      <c r="C4711" s="179" t="s">
        <v>8219</v>
      </c>
    </row>
    <row r="4712" spans="1:3">
      <c r="A4712" s="177">
        <v>951900217</v>
      </c>
      <c r="B4712" s="116" t="str">
        <f t="shared" si="73"/>
        <v>95-951900217</v>
      </c>
      <c r="C4712" s="179" t="s">
        <v>8188</v>
      </c>
    </row>
    <row r="4713" spans="1:3">
      <c r="A4713" s="177">
        <v>951600006</v>
      </c>
      <c r="B4713" s="116" t="str">
        <f t="shared" si="73"/>
        <v>95-951600006</v>
      </c>
      <c r="C4713" s="179" t="s">
        <v>8220</v>
      </c>
    </row>
    <row r="4714" spans="1:3">
      <c r="A4714" s="177">
        <v>951900082</v>
      </c>
      <c r="B4714" s="116" t="str">
        <f t="shared" si="73"/>
        <v>95-951900082</v>
      </c>
      <c r="C4714" s="179" t="s">
        <v>8230</v>
      </c>
    </row>
    <row r="4715" spans="1:3">
      <c r="A4715" s="177">
        <v>951400127</v>
      </c>
      <c r="B4715" s="116" t="str">
        <f t="shared" si="73"/>
        <v>95-951400127</v>
      </c>
      <c r="C4715" s="179" t="s">
        <v>7711</v>
      </c>
    </row>
    <row r="4716" spans="1:3">
      <c r="A4716" s="177">
        <v>951100052</v>
      </c>
      <c r="B4716" s="116" t="str">
        <f t="shared" si="73"/>
        <v>95-951100052</v>
      </c>
      <c r="C4716" s="179" t="s">
        <v>8231</v>
      </c>
    </row>
    <row r="4717" spans="1:3">
      <c r="A4717" s="177">
        <v>951100103</v>
      </c>
      <c r="B4717" s="116" t="str">
        <f t="shared" si="73"/>
        <v>95-951100103</v>
      </c>
      <c r="C4717" s="179" t="s">
        <v>8232</v>
      </c>
    </row>
    <row r="4718" spans="1:3">
      <c r="A4718" s="177">
        <v>961900132</v>
      </c>
      <c r="B4718" s="116" t="str">
        <f t="shared" si="73"/>
        <v>96-961900132</v>
      </c>
      <c r="C4718" s="179" t="s">
        <v>8233</v>
      </c>
    </row>
    <row r="4719" spans="1:3">
      <c r="A4719" s="177">
        <v>951600037</v>
      </c>
      <c r="B4719" s="116" t="str">
        <f t="shared" si="73"/>
        <v>95-951600037</v>
      </c>
      <c r="C4719" s="179" t="s">
        <v>7770</v>
      </c>
    </row>
    <row r="4720" spans="1:3">
      <c r="A4720" s="177">
        <v>951900157</v>
      </c>
      <c r="B4720" s="116" t="str">
        <f t="shared" si="73"/>
        <v>95-951900157</v>
      </c>
      <c r="C4720" s="179" t="s">
        <v>7729</v>
      </c>
    </row>
    <row r="4721" spans="1:3">
      <c r="A4721" s="177">
        <v>956200336</v>
      </c>
      <c r="B4721" s="116" t="str">
        <f t="shared" si="73"/>
        <v>95-956200336</v>
      </c>
      <c r="C4721" s="179" t="s">
        <v>8245</v>
      </c>
    </row>
    <row r="4722" spans="1:3">
      <c r="A4722" s="177">
        <v>951900079</v>
      </c>
      <c r="B4722" s="116" t="str">
        <f t="shared" si="73"/>
        <v>95-951900079</v>
      </c>
      <c r="C4722" s="179" t="s">
        <v>8246</v>
      </c>
    </row>
    <row r="4723" spans="1:3">
      <c r="A4723" s="177">
        <v>951800060</v>
      </c>
      <c r="B4723" s="116" t="str">
        <f t="shared" si="73"/>
        <v>95-951800060</v>
      </c>
      <c r="C4723" s="179" t="s">
        <v>8247</v>
      </c>
    </row>
    <row r="4724" spans="1:3">
      <c r="A4724" s="177">
        <v>966200062</v>
      </c>
      <c r="B4724" s="116" t="str">
        <f t="shared" si="73"/>
        <v>96-966200062</v>
      </c>
      <c r="C4724" s="179" t="s">
        <v>8429</v>
      </c>
    </row>
    <row r="4725" spans="1:3">
      <c r="A4725" s="177">
        <v>951100086</v>
      </c>
      <c r="B4725" s="116" t="str">
        <f t="shared" si="73"/>
        <v>95-951100086</v>
      </c>
      <c r="C4725" s="179" t="s">
        <v>7783</v>
      </c>
    </row>
    <row r="4726" spans="1:3">
      <c r="A4726" s="177">
        <v>951600010</v>
      </c>
      <c r="B4726" s="116" t="str">
        <f t="shared" si="73"/>
        <v>95-951600010</v>
      </c>
      <c r="C4726" s="179" t="s">
        <v>7837</v>
      </c>
    </row>
    <row r="4727" spans="1:3">
      <c r="A4727" s="177">
        <v>951900045</v>
      </c>
      <c r="B4727" s="116" t="str">
        <f t="shared" si="73"/>
        <v>95-951900045</v>
      </c>
      <c r="C4727" s="179" t="s">
        <v>8255</v>
      </c>
    </row>
    <row r="4728" spans="1:3">
      <c r="A4728" s="177">
        <v>956200304</v>
      </c>
      <c r="B4728" s="116" t="str">
        <f t="shared" si="73"/>
        <v>95-956200304</v>
      </c>
      <c r="C4728" s="179" t="s">
        <v>8275</v>
      </c>
    </row>
    <row r="4729" spans="1:3">
      <c r="A4729" s="177">
        <v>951400009</v>
      </c>
      <c r="B4729" s="116" t="str">
        <f t="shared" si="73"/>
        <v>95-951400009</v>
      </c>
      <c r="C4729" s="179" t="s">
        <v>8176</v>
      </c>
    </row>
    <row r="4730" spans="1:3">
      <c r="A4730" s="177">
        <v>962000431</v>
      </c>
      <c r="B4730" s="116" t="str">
        <f t="shared" si="73"/>
        <v>96-962000431</v>
      </c>
      <c r="C4730" s="179" t="s">
        <v>12184</v>
      </c>
    </row>
    <row r="4731" spans="1:3">
      <c r="A4731" s="177">
        <v>961700157</v>
      </c>
      <c r="B4731" s="116" t="str">
        <f t="shared" si="73"/>
        <v>96-961700157</v>
      </c>
      <c r="C4731" s="179" t="s">
        <v>12201</v>
      </c>
    </row>
    <row r="4732" spans="1:3">
      <c r="A4732" s="177">
        <v>961700159</v>
      </c>
      <c r="B4732" s="116" t="str">
        <f t="shared" si="73"/>
        <v>96-961700159</v>
      </c>
      <c r="C4732" s="179" t="s">
        <v>12201</v>
      </c>
    </row>
    <row r="4733" spans="1:3">
      <c r="A4733" s="177">
        <v>956200046</v>
      </c>
      <c r="B4733" s="116" t="str">
        <f t="shared" si="73"/>
        <v>95-956200046</v>
      </c>
      <c r="C4733" s="179" t="s">
        <v>7418</v>
      </c>
    </row>
    <row r="4734" spans="1:3">
      <c r="A4734" s="177">
        <v>951900150</v>
      </c>
      <c r="B4734" s="116" t="str">
        <f t="shared" si="73"/>
        <v>95-951900150</v>
      </c>
      <c r="C4734" s="179" t="s">
        <v>8282</v>
      </c>
    </row>
    <row r="4735" spans="1:3">
      <c r="A4735" s="177">
        <v>951900061</v>
      </c>
      <c r="B4735" s="116" t="str">
        <f t="shared" si="73"/>
        <v>95-951900061</v>
      </c>
      <c r="C4735" s="179" t="s">
        <v>8284</v>
      </c>
    </row>
    <row r="4736" spans="1:3">
      <c r="A4736" s="177">
        <v>951400052</v>
      </c>
      <c r="B4736" s="116" t="str">
        <f t="shared" si="73"/>
        <v>95-951400052</v>
      </c>
      <c r="C4736" s="179" t="s">
        <v>7766</v>
      </c>
    </row>
    <row r="4737" spans="1:3">
      <c r="A4737" s="177">
        <v>961700001</v>
      </c>
      <c r="B4737" s="116" t="str">
        <f t="shared" si="73"/>
        <v>96-961700001</v>
      </c>
      <c r="C4737" s="179" t="s">
        <v>7598</v>
      </c>
    </row>
    <row r="4738" spans="1:3">
      <c r="A4738" s="177">
        <v>956200196</v>
      </c>
      <c r="B4738" s="116" t="str">
        <f t="shared" si="73"/>
        <v>95-956200196</v>
      </c>
      <c r="C4738" s="179" t="s">
        <v>7879</v>
      </c>
    </row>
    <row r="4739" spans="1:3">
      <c r="A4739" s="177">
        <v>951400125</v>
      </c>
      <c r="B4739" s="116" t="str">
        <f t="shared" ref="B4739:B4802" si="74">MID(A4739,1,2)&amp;"-"&amp;A4739</f>
        <v>95-951400125</v>
      </c>
      <c r="C4739" s="179" t="s">
        <v>8294</v>
      </c>
    </row>
    <row r="4740" spans="1:3">
      <c r="A4740" s="177">
        <v>951400021</v>
      </c>
      <c r="B4740" s="116" t="str">
        <f t="shared" si="74"/>
        <v>95-951400021</v>
      </c>
      <c r="C4740" s="179" t="s">
        <v>7608</v>
      </c>
    </row>
    <row r="4741" spans="1:3">
      <c r="A4741" s="177">
        <v>951900144</v>
      </c>
      <c r="B4741" s="116" t="str">
        <f t="shared" si="74"/>
        <v>95-951900144</v>
      </c>
      <c r="C4741" s="179" t="s">
        <v>8295</v>
      </c>
    </row>
    <row r="4742" spans="1:3">
      <c r="A4742" s="177">
        <v>951700049</v>
      </c>
      <c r="B4742" s="116" t="str">
        <f t="shared" si="74"/>
        <v>95-951700049</v>
      </c>
      <c r="C4742" s="179" t="s">
        <v>8296</v>
      </c>
    </row>
    <row r="4743" spans="1:3">
      <c r="A4743" s="177">
        <v>951700163</v>
      </c>
      <c r="B4743" s="116" t="str">
        <f t="shared" si="74"/>
        <v>95-951700163</v>
      </c>
      <c r="C4743" s="179" t="s">
        <v>8297</v>
      </c>
    </row>
    <row r="4744" spans="1:3">
      <c r="A4744" s="177">
        <v>951900032</v>
      </c>
      <c r="B4744" s="116" t="str">
        <f t="shared" si="74"/>
        <v>95-951900032</v>
      </c>
      <c r="C4744" s="179" t="s">
        <v>7194</v>
      </c>
    </row>
    <row r="4745" spans="1:3">
      <c r="A4745" s="177">
        <v>951400040</v>
      </c>
      <c r="B4745" s="116" t="str">
        <f t="shared" si="74"/>
        <v>95-951400040</v>
      </c>
      <c r="C4745" s="179" t="s">
        <v>7858</v>
      </c>
    </row>
    <row r="4746" spans="1:3">
      <c r="A4746" s="177">
        <v>951900213</v>
      </c>
      <c r="B4746" s="116" t="str">
        <f t="shared" si="74"/>
        <v>95-951900213</v>
      </c>
      <c r="C4746" s="179" t="s">
        <v>7693</v>
      </c>
    </row>
    <row r="4747" spans="1:3">
      <c r="A4747" s="177">
        <v>951900282</v>
      </c>
      <c r="B4747" s="116" t="str">
        <f t="shared" si="74"/>
        <v>95-951900282</v>
      </c>
      <c r="C4747" s="179" t="s">
        <v>7611</v>
      </c>
    </row>
    <row r="4748" spans="1:3">
      <c r="A4748" s="177">
        <v>952000143</v>
      </c>
      <c r="B4748" s="116" t="str">
        <f t="shared" si="74"/>
        <v>95-952000143</v>
      </c>
      <c r="C4748" s="179" t="s">
        <v>7332</v>
      </c>
    </row>
    <row r="4749" spans="1:3">
      <c r="A4749" s="177">
        <v>956200244</v>
      </c>
      <c r="B4749" s="116" t="str">
        <f t="shared" si="74"/>
        <v>95-956200244</v>
      </c>
      <c r="C4749" s="179" t="s">
        <v>7428</v>
      </c>
    </row>
    <row r="4750" spans="1:3">
      <c r="A4750" s="177">
        <v>966300021</v>
      </c>
      <c r="B4750" s="116" t="str">
        <f t="shared" si="74"/>
        <v>96-966300021</v>
      </c>
      <c r="C4750" s="179" t="s">
        <v>12285</v>
      </c>
    </row>
    <row r="4751" spans="1:3">
      <c r="A4751" s="177">
        <v>961900164</v>
      </c>
      <c r="B4751" s="116" t="str">
        <f t="shared" si="74"/>
        <v>96-961900164</v>
      </c>
      <c r="C4751" s="179" t="s">
        <v>7212</v>
      </c>
    </row>
    <row r="4752" spans="1:3">
      <c r="A4752" s="177">
        <v>961900165</v>
      </c>
      <c r="B4752" s="116" t="str">
        <f t="shared" si="74"/>
        <v>96-961900165</v>
      </c>
      <c r="C4752" s="179" t="s">
        <v>7212</v>
      </c>
    </row>
    <row r="4753" spans="1:3">
      <c r="A4753" s="177">
        <v>961900019</v>
      </c>
      <c r="B4753" s="116" t="str">
        <f t="shared" si="74"/>
        <v>96-961900019</v>
      </c>
      <c r="C4753" s="179" t="s">
        <v>7613</v>
      </c>
    </row>
    <row r="4754" spans="1:3">
      <c r="A4754" s="177">
        <v>961900022</v>
      </c>
      <c r="B4754" s="116" t="str">
        <f t="shared" si="74"/>
        <v>96-961900022</v>
      </c>
      <c r="C4754" s="179" t="s">
        <v>7613</v>
      </c>
    </row>
    <row r="4755" spans="1:3">
      <c r="A4755" s="177">
        <v>961900030</v>
      </c>
      <c r="B4755" s="116" t="str">
        <f t="shared" si="74"/>
        <v>96-961900030</v>
      </c>
      <c r="C4755" s="179" t="s">
        <v>7614</v>
      </c>
    </row>
    <row r="4756" spans="1:3">
      <c r="A4756" s="177">
        <v>961900031</v>
      </c>
      <c r="B4756" s="116" t="str">
        <f t="shared" si="74"/>
        <v>96-961900031</v>
      </c>
      <c r="C4756" s="179" t="s">
        <v>7614</v>
      </c>
    </row>
    <row r="4757" spans="1:3">
      <c r="A4757" s="177">
        <v>961900052</v>
      </c>
      <c r="B4757" s="116" t="str">
        <f t="shared" si="74"/>
        <v>96-961900052</v>
      </c>
      <c r="C4757" s="179" t="s">
        <v>7615</v>
      </c>
    </row>
    <row r="4758" spans="1:3">
      <c r="A4758" s="177">
        <v>961900055</v>
      </c>
      <c r="B4758" s="116" t="str">
        <f t="shared" si="74"/>
        <v>96-961900055</v>
      </c>
      <c r="C4758" s="179" t="s">
        <v>7812</v>
      </c>
    </row>
    <row r="4759" spans="1:3">
      <c r="A4759" s="177">
        <v>961900067</v>
      </c>
      <c r="B4759" s="116" t="str">
        <f t="shared" si="74"/>
        <v>96-961900067</v>
      </c>
      <c r="C4759" s="179" t="s">
        <v>7616</v>
      </c>
    </row>
    <row r="4760" spans="1:3">
      <c r="A4760" s="177">
        <v>961900095</v>
      </c>
      <c r="B4760" s="116" t="str">
        <f t="shared" si="74"/>
        <v>96-961900095</v>
      </c>
      <c r="C4760" s="179" t="s">
        <v>7787</v>
      </c>
    </row>
    <row r="4761" spans="1:3">
      <c r="A4761" s="177">
        <v>961900097</v>
      </c>
      <c r="B4761" s="116" t="str">
        <f t="shared" si="74"/>
        <v>96-961900097</v>
      </c>
      <c r="C4761" s="179" t="s">
        <v>7787</v>
      </c>
    </row>
    <row r="4762" spans="1:3">
      <c r="A4762" s="177">
        <v>951100046</v>
      </c>
      <c r="B4762" s="116" t="str">
        <f t="shared" si="74"/>
        <v>95-951100046</v>
      </c>
      <c r="C4762" s="179" t="s">
        <v>7947</v>
      </c>
    </row>
    <row r="4763" spans="1:3">
      <c r="A4763" s="177">
        <v>961600008</v>
      </c>
      <c r="B4763" s="116" t="str">
        <f t="shared" si="74"/>
        <v>96-961600008</v>
      </c>
      <c r="C4763" s="179" t="s">
        <v>7845</v>
      </c>
    </row>
    <row r="4764" spans="1:3">
      <c r="A4764" s="177">
        <v>951700087</v>
      </c>
      <c r="B4764" s="116" t="str">
        <f t="shared" si="74"/>
        <v>95-951700087</v>
      </c>
      <c r="C4764" s="179" t="s">
        <v>8310</v>
      </c>
    </row>
    <row r="4765" spans="1:3">
      <c r="A4765" s="177">
        <v>951800018</v>
      </c>
      <c r="B4765" s="116" t="str">
        <f t="shared" si="74"/>
        <v>95-951800018</v>
      </c>
      <c r="C4765" s="179" t="s">
        <v>8311</v>
      </c>
    </row>
    <row r="4766" spans="1:3">
      <c r="A4766" s="177">
        <v>961700029</v>
      </c>
      <c r="B4766" s="116" t="str">
        <f t="shared" si="74"/>
        <v>96-961700029</v>
      </c>
      <c r="C4766" s="179" t="s">
        <v>8254</v>
      </c>
    </row>
    <row r="4767" spans="1:3">
      <c r="A4767" s="177">
        <v>951300002</v>
      </c>
      <c r="B4767" s="116" t="str">
        <f t="shared" si="74"/>
        <v>95-951300002</v>
      </c>
      <c r="C4767" s="179" t="s">
        <v>8288</v>
      </c>
    </row>
    <row r="4768" spans="1:3">
      <c r="A4768" s="177">
        <v>966200413</v>
      </c>
      <c r="B4768" s="116" t="str">
        <f t="shared" si="74"/>
        <v>96-966200413</v>
      </c>
      <c r="C4768" s="179" t="s">
        <v>12216</v>
      </c>
    </row>
    <row r="4769" spans="1:3">
      <c r="A4769" s="177">
        <v>961100097</v>
      </c>
      <c r="B4769" s="116" t="str">
        <f t="shared" si="74"/>
        <v>96-961100097</v>
      </c>
      <c r="C4769" s="179" t="s">
        <v>12302</v>
      </c>
    </row>
    <row r="4770" spans="1:3">
      <c r="A4770" s="177">
        <v>951400078</v>
      </c>
      <c r="B4770" s="116" t="str">
        <f t="shared" si="74"/>
        <v>95-951400078</v>
      </c>
      <c r="C4770" s="179" t="s">
        <v>7793</v>
      </c>
    </row>
    <row r="4771" spans="1:3">
      <c r="A4771" s="177">
        <v>951600021</v>
      </c>
      <c r="B4771" s="116" t="str">
        <f t="shared" si="74"/>
        <v>95-951600021</v>
      </c>
      <c r="C4771" s="179" t="s">
        <v>7631</v>
      </c>
    </row>
    <row r="4772" spans="1:3">
      <c r="A4772" s="177">
        <v>961800058</v>
      </c>
      <c r="B4772" s="116" t="str">
        <f t="shared" si="74"/>
        <v>96-961800058</v>
      </c>
      <c r="C4772" s="179" t="s">
        <v>7628</v>
      </c>
    </row>
    <row r="4773" spans="1:3">
      <c r="A4773" s="177">
        <v>951900062</v>
      </c>
      <c r="B4773" s="116" t="str">
        <f t="shared" si="74"/>
        <v>95-951900062</v>
      </c>
      <c r="C4773" s="179" t="s">
        <v>8331</v>
      </c>
    </row>
    <row r="4774" spans="1:3">
      <c r="A4774" s="177">
        <v>951900189</v>
      </c>
      <c r="B4774" s="116" t="str">
        <f t="shared" si="74"/>
        <v>95-951900189</v>
      </c>
      <c r="C4774" s="179" t="s">
        <v>7630</v>
      </c>
    </row>
    <row r="4775" spans="1:3">
      <c r="A4775" s="177">
        <v>961900071</v>
      </c>
      <c r="B4775" s="116" t="str">
        <f t="shared" si="74"/>
        <v>96-961900071</v>
      </c>
      <c r="C4775" s="179" t="s">
        <v>8332</v>
      </c>
    </row>
    <row r="4776" spans="1:3">
      <c r="A4776" s="177">
        <v>951800045</v>
      </c>
      <c r="B4776" s="116" t="str">
        <f t="shared" si="74"/>
        <v>95-951800045</v>
      </c>
      <c r="C4776" s="179" t="s">
        <v>8333</v>
      </c>
    </row>
    <row r="4777" spans="1:3">
      <c r="A4777" s="177">
        <v>951800088</v>
      </c>
      <c r="B4777" s="116" t="str">
        <f t="shared" si="74"/>
        <v>95-951800088</v>
      </c>
      <c r="C4777" s="179" t="s">
        <v>7834</v>
      </c>
    </row>
    <row r="4778" spans="1:3">
      <c r="A4778" s="177">
        <v>961700041</v>
      </c>
      <c r="B4778" s="116" t="str">
        <f t="shared" si="74"/>
        <v>96-961700041</v>
      </c>
      <c r="C4778" s="179" t="s">
        <v>7691</v>
      </c>
    </row>
    <row r="4779" spans="1:3">
      <c r="A4779" s="177">
        <v>951100031</v>
      </c>
      <c r="B4779" s="116" t="str">
        <f t="shared" si="74"/>
        <v>95-951100031</v>
      </c>
      <c r="C4779" s="179" t="s">
        <v>8118</v>
      </c>
    </row>
    <row r="4780" spans="1:3">
      <c r="A4780" s="177">
        <v>951700181</v>
      </c>
      <c r="B4780" s="116" t="str">
        <f t="shared" si="74"/>
        <v>95-951700181</v>
      </c>
      <c r="C4780" s="179" t="s">
        <v>7643</v>
      </c>
    </row>
    <row r="4781" spans="1:3">
      <c r="A4781" s="177">
        <v>951700183</v>
      </c>
      <c r="B4781" s="116" t="str">
        <f t="shared" si="74"/>
        <v>95-951700183</v>
      </c>
      <c r="C4781" s="179" t="s">
        <v>7643</v>
      </c>
    </row>
    <row r="4782" spans="1:3">
      <c r="A4782" s="177">
        <v>951700198</v>
      </c>
      <c r="B4782" s="116" t="str">
        <f t="shared" si="74"/>
        <v>95-951700198</v>
      </c>
      <c r="C4782" s="179" t="s">
        <v>7642</v>
      </c>
    </row>
    <row r="4783" spans="1:3">
      <c r="A4783" s="177">
        <v>951700200</v>
      </c>
      <c r="B4783" s="116" t="str">
        <f t="shared" si="74"/>
        <v>95-951700200</v>
      </c>
      <c r="C4783" s="179" t="s">
        <v>8346</v>
      </c>
    </row>
    <row r="4784" spans="1:3">
      <c r="A4784" s="177">
        <v>951700275</v>
      </c>
      <c r="B4784" s="116" t="str">
        <f t="shared" si="74"/>
        <v>95-951700275</v>
      </c>
      <c r="C4784" s="179" t="s">
        <v>7843</v>
      </c>
    </row>
    <row r="4785" spans="1:3">
      <c r="A4785" s="177">
        <v>951700296</v>
      </c>
      <c r="B4785" s="116" t="str">
        <f t="shared" si="74"/>
        <v>95-951700296</v>
      </c>
      <c r="C4785" s="179" t="s">
        <v>8262</v>
      </c>
    </row>
    <row r="4786" spans="1:3">
      <c r="A4786" s="177">
        <v>966100016</v>
      </c>
      <c r="B4786" s="116" t="str">
        <f t="shared" si="74"/>
        <v>96-966100016</v>
      </c>
      <c r="C4786" s="179" t="s">
        <v>7644</v>
      </c>
    </row>
    <row r="4787" spans="1:3">
      <c r="A4787" s="177">
        <v>951800066</v>
      </c>
      <c r="B4787" s="116" t="str">
        <f t="shared" si="74"/>
        <v>95-951800066</v>
      </c>
      <c r="C4787" s="179" t="s">
        <v>8350</v>
      </c>
    </row>
    <row r="4788" spans="1:3">
      <c r="A4788" s="177">
        <v>961800005</v>
      </c>
      <c r="B4788" s="116" t="str">
        <f t="shared" si="74"/>
        <v>96-961800005</v>
      </c>
      <c r="C4788" s="179" t="s">
        <v>8351</v>
      </c>
    </row>
    <row r="4789" spans="1:3">
      <c r="A4789" s="177">
        <v>961100089</v>
      </c>
      <c r="B4789" s="116" t="str">
        <f t="shared" si="74"/>
        <v>96-961100089</v>
      </c>
      <c r="C4789" s="179" t="s">
        <v>12264</v>
      </c>
    </row>
    <row r="4790" spans="1:3">
      <c r="A4790" s="177">
        <v>956200298</v>
      </c>
      <c r="B4790" s="116" t="str">
        <f t="shared" si="74"/>
        <v>95-956200298</v>
      </c>
      <c r="C4790" s="179" t="s">
        <v>7344</v>
      </c>
    </row>
    <row r="4791" spans="1:3">
      <c r="A4791" s="177">
        <v>966200056</v>
      </c>
      <c r="B4791" s="116" t="str">
        <f t="shared" si="74"/>
        <v>96-966200056</v>
      </c>
      <c r="C4791" s="179" t="s">
        <v>7345</v>
      </c>
    </row>
    <row r="4792" spans="1:3">
      <c r="A4792" s="177">
        <v>966200128</v>
      </c>
      <c r="B4792" s="116" t="str">
        <f t="shared" si="74"/>
        <v>96-966200128</v>
      </c>
      <c r="C4792" s="179" t="s">
        <v>7293</v>
      </c>
    </row>
    <row r="4793" spans="1:3">
      <c r="A4793" s="177">
        <v>966200537</v>
      </c>
      <c r="B4793" s="116" t="str">
        <f t="shared" si="74"/>
        <v>96-966200537</v>
      </c>
      <c r="C4793" s="179" t="s">
        <v>12412</v>
      </c>
    </row>
    <row r="4794" spans="1:3">
      <c r="A4794" s="177">
        <v>966200330</v>
      </c>
      <c r="B4794" s="116" t="str">
        <f t="shared" si="74"/>
        <v>96-966200330</v>
      </c>
      <c r="C4794" s="179" t="s">
        <v>8720</v>
      </c>
    </row>
    <row r="4795" spans="1:3">
      <c r="A4795" s="177">
        <v>951900235</v>
      </c>
      <c r="B4795" s="116" t="str">
        <f t="shared" si="74"/>
        <v>95-951900235</v>
      </c>
      <c r="C4795" s="179" t="s">
        <v>8352</v>
      </c>
    </row>
    <row r="4796" spans="1:3">
      <c r="A4796" s="177">
        <v>961900154</v>
      </c>
      <c r="B4796" s="116" t="str">
        <f t="shared" si="74"/>
        <v>96-961900154</v>
      </c>
      <c r="C4796" s="179" t="s">
        <v>8353</v>
      </c>
    </row>
    <row r="4797" spans="1:3">
      <c r="A4797" s="177">
        <v>951900086</v>
      </c>
      <c r="B4797" s="116" t="str">
        <f t="shared" si="74"/>
        <v>95-951900086</v>
      </c>
      <c r="C4797" s="179" t="s">
        <v>7848</v>
      </c>
    </row>
    <row r="4798" spans="1:3">
      <c r="A4798" s="177">
        <v>951700140</v>
      </c>
      <c r="B4798" s="116" t="str">
        <f t="shared" si="74"/>
        <v>95-951700140</v>
      </c>
      <c r="C4798" s="179" t="s">
        <v>7809</v>
      </c>
    </row>
    <row r="4799" spans="1:3">
      <c r="A4799" s="177">
        <v>962000121</v>
      </c>
      <c r="B4799" s="116" t="str">
        <f t="shared" si="74"/>
        <v>96-962000121</v>
      </c>
      <c r="C4799" s="179" t="s">
        <v>7936</v>
      </c>
    </row>
    <row r="4800" spans="1:3">
      <c r="A4800" s="177">
        <v>962000389</v>
      </c>
      <c r="B4800" s="116" t="str">
        <f t="shared" si="74"/>
        <v>96-962000389</v>
      </c>
      <c r="C4800" s="179" t="s">
        <v>12208</v>
      </c>
    </row>
    <row r="4801" spans="1:3">
      <c r="A4801" s="177">
        <v>962000371</v>
      </c>
      <c r="B4801" s="116" t="str">
        <f t="shared" si="74"/>
        <v>96-962000371</v>
      </c>
      <c r="C4801" s="179" t="s">
        <v>12208</v>
      </c>
    </row>
    <row r="4802" spans="1:3">
      <c r="A4802" s="177">
        <v>966200291</v>
      </c>
      <c r="B4802" s="116" t="str">
        <f t="shared" si="74"/>
        <v>96-966200291</v>
      </c>
      <c r="C4802" s="179" t="s">
        <v>8362</v>
      </c>
    </row>
    <row r="4803" spans="1:3">
      <c r="A4803" s="177">
        <v>951900026</v>
      </c>
      <c r="B4803" s="116" t="str">
        <f t="shared" ref="B4803:B4866" si="75">MID(A4803,1,2)&amp;"-"&amp;A4803</f>
        <v>95-951900026</v>
      </c>
      <c r="C4803" s="179" t="s">
        <v>8363</v>
      </c>
    </row>
    <row r="4804" spans="1:3">
      <c r="A4804" s="177">
        <v>951800057</v>
      </c>
      <c r="B4804" s="116" t="str">
        <f t="shared" si="75"/>
        <v>95-951800057</v>
      </c>
      <c r="C4804" s="179" t="s">
        <v>8364</v>
      </c>
    </row>
    <row r="4805" spans="1:3">
      <c r="A4805" s="177">
        <v>951300007</v>
      </c>
      <c r="B4805" s="116" t="str">
        <f t="shared" si="75"/>
        <v>95-951300007</v>
      </c>
      <c r="C4805" s="179" t="s">
        <v>8283</v>
      </c>
    </row>
    <row r="4806" spans="1:3">
      <c r="A4806" s="177">
        <v>966200135</v>
      </c>
      <c r="B4806" s="116" t="str">
        <f t="shared" si="75"/>
        <v>96-966200135</v>
      </c>
      <c r="C4806" s="179" t="s">
        <v>8369</v>
      </c>
    </row>
    <row r="4807" spans="1:3">
      <c r="A4807" s="177">
        <v>951700110</v>
      </c>
      <c r="B4807" s="116" t="str">
        <f t="shared" si="75"/>
        <v>95-951700110</v>
      </c>
      <c r="C4807" s="179" t="s">
        <v>7858</v>
      </c>
    </row>
    <row r="4808" spans="1:3">
      <c r="A4808" s="177">
        <v>966200075</v>
      </c>
      <c r="B4808" s="116" t="str">
        <f t="shared" si="75"/>
        <v>96-966200075</v>
      </c>
      <c r="C4808" s="179" t="s">
        <v>7448</v>
      </c>
    </row>
    <row r="4809" spans="1:3">
      <c r="A4809" s="177">
        <v>956200227</v>
      </c>
      <c r="B4809" s="116" t="str">
        <f t="shared" si="75"/>
        <v>95-956200227</v>
      </c>
      <c r="C4809" s="179" t="s">
        <v>7357</v>
      </c>
    </row>
    <row r="4810" spans="1:3">
      <c r="A4810" s="177">
        <v>956200288</v>
      </c>
      <c r="B4810" s="116" t="str">
        <f t="shared" si="75"/>
        <v>95-956200288</v>
      </c>
      <c r="C4810" s="179" t="s">
        <v>7284</v>
      </c>
    </row>
    <row r="4811" spans="1:3">
      <c r="A4811" s="177">
        <v>952000013</v>
      </c>
      <c r="B4811" s="116" t="str">
        <f t="shared" si="75"/>
        <v>95-952000013</v>
      </c>
      <c r="C4811" s="179" t="s">
        <v>7904</v>
      </c>
    </row>
    <row r="4812" spans="1:3">
      <c r="A4812" s="177">
        <v>952000029</v>
      </c>
      <c r="B4812" s="116" t="str">
        <f t="shared" si="75"/>
        <v>95-952000029</v>
      </c>
      <c r="C4812" s="179" t="s">
        <v>7904</v>
      </c>
    </row>
    <row r="4813" spans="1:3">
      <c r="A4813" s="177">
        <v>952000025</v>
      </c>
      <c r="B4813" s="116" t="str">
        <f t="shared" si="75"/>
        <v>95-952000025</v>
      </c>
      <c r="C4813" s="179" t="s">
        <v>7904</v>
      </c>
    </row>
    <row r="4814" spans="1:3">
      <c r="A4814" s="177">
        <v>952000021</v>
      </c>
      <c r="B4814" s="116" t="str">
        <f t="shared" si="75"/>
        <v>95-952000021</v>
      </c>
      <c r="C4814" s="179" t="s">
        <v>7904</v>
      </c>
    </row>
    <row r="4815" spans="1:3">
      <c r="A4815" s="177">
        <v>952000215</v>
      </c>
      <c r="B4815" s="116" t="str">
        <f t="shared" si="75"/>
        <v>95-952000215</v>
      </c>
      <c r="C4815" s="179" t="s">
        <v>7905</v>
      </c>
    </row>
    <row r="4816" spans="1:3">
      <c r="A4816" s="177">
        <v>952000337</v>
      </c>
      <c r="B4816" s="116" t="str">
        <f t="shared" si="75"/>
        <v>95-952000337</v>
      </c>
      <c r="C4816" s="179" t="s">
        <v>7912</v>
      </c>
    </row>
    <row r="4817" spans="1:3">
      <c r="A4817" s="177">
        <v>962000391</v>
      </c>
      <c r="B4817" s="116" t="str">
        <f t="shared" si="75"/>
        <v>96-962000391</v>
      </c>
      <c r="C4817" s="179" t="s">
        <v>12208</v>
      </c>
    </row>
    <row r="4818" spans="1:3">
      <c r="A4818" s="177">
        <v>956200050</v>
      </c>
      <c r="B4818" s="116" t="str">
        <f t="shared" si="75"/>
        <v>95-956200050</v>
      </c>
      <c r="C4818" s="179" t="s">
        <v>7916</v>
      </c>
    </row>
    <row r="4819" spans="1:3">
      <c r="A4819" s="177">
        <v>956200284</v>
      </c>
      <c r="B4819" s="116" t="str">
        <f t="shared" si="75"/>
        <v>95-956200284</v>
      </c>
      <c r="C4819" s="179" t="s">
        <v>8430</v>
      </c>
    </row>
    <row r="4820" spans="1:3">
      <c r="A4820" s="177">
        <v>951600066</v>
      </c>
      <c r="B4820" s="116" t="str">
        <f t="shared" si="75"/>
        <v>95-951600066</v>
      </c>
      <c r="C4820" s="179" t="s">
        <v>7874</v>
      </c>
    </row>
    <row r="4821" spans="1:3">
      <c r="A4821" s="177">
        <v>951300018</v>
      </c>
      <c r="B4821" s="116" t="str">
        <f t="shared" si="75"/>
        <v>95-951300018</v>
      </c>
      <c r="C4821" s="179" t="s">
        <v>8227</v>
      </c>
    </row>
    <row r="4822" spans="1:3">
      <c r="A4822" s="177">
        <v>951300020</v>
      </c>
      <c r="B4822" s="116" t="str">
        <f t="shared" si="75"/>
        <v>95-951300020</v>
      </c>
      <c r="C4822" s="179" t="s">
        <v>7818</v>
      </c>
    </row>
    <row r="4823" spans="1:3">
      <c r="A4823" s="177">
        <v>951300033</v>
      </c>
      <c r="B4823" s="116" t="str">
        <f t="shared" si="75"/>
        <v>95-951300033</v>
      </c>
      <c r="C4823" s="179" t="s">
        <v>7665</v>
      </c>
    </row>
    <row r="4824" spans="1:3">
      <c r="A4824" s="177">
        <v>951900120</v>
      </c>
      <c r="B4824" s="116" t="str">
        <f t="shared" si="75"/>
        <v>95-951900120</v>
      </c>
      <c r="C4824" s="179" t="s">
        <v>7808</v>
      </c>
    </row>
    <row r="4825" spans="1:3">
      <c r="A4825" s="177">
        <v>951600028</v>
      </c>
      <c r="B4825" s="116" t="str">
        <f t="shared" si="75"/>
        <v>95-951600028</v>
      </c>
      <c r="C4825" s="179" t="s">
        <v>8377</v>
      </c>
    </row>
    <row r="4826" spans="1:3">
      <c r="A4826" s="177">
        <v>952000088</v>
      </c>
      <c r="B4826" s="116" t="str">
        <f t="shared" si="75"/>
        <v>95-952000088</v>
      </c>
      <c r="C4826" s="179" t="s">
        <v>8011</v>
      </c>
    </row>
    <row r="4827" spans="1:3">
      <c r="A4827" s="177">
        <v>952000126</v>
      </c>
      <c r="B4827" s="116" t="str">
        <f t="shared" si="75"/>
        <v>95-952000126</v>
      </c>
      <c r="C4827" s="179" t="s">
        <v>7405</v>
      </c>
    </row>
    <row r="4828" spans="1:3">
      <c r="A4828" s="177">
        <v>962000096</v>
      </c>
      <c r="B4828" s="116" t="str">
        <f t="shared" si="75"/>
        <v>96-962000096</v>
      </c>
      <c r="C4828" s="179" t="s">
        <v>7112</v>
      </c>
    </row>
    <row r="4829" spans="1:3">
      <c r="A4829" s="177">
        <v>962000437</v>
      </c>
      <c r="B4829" s="116" t="str">
        <f t="shared" si="75"/>
        <v>96-962000437</v>
      </c>
      <c r="C4829" s="179" t="s">
        <v>12184</v>
      </c>
    </row>
    <row r="4830" spans="1:3">
      <c r="A4830" s="177">
        <v>952000281</v>
      </c>
      <c r="B4830" s="116" t="str">
        <f t="shared" si="75"/>
        <v>95-952000281</v>
      </c>
      <c r="C4830" s="179" t="s">
        <v>7280</v>
      </c>
    </row>
    <row r="4831" spans="1:3">
      <c r="A4831" s="177">
        <v>952000082</v>
      </c>
      <c r="B4831" s="116" t="str">
        <f t="shared" si="75"/>
        <v>95-952000082</v>
      </c>
      <c r="C4831" s="179" t="s">
        <v>8011</v>
      </c>
    </row>
    <row r="4832" spans="1:3">
      <c r="A4832" s="177">
        <v>952000328</v>
      </c>
      <c r="B4832" s="116" t="str">
        <f t="shared" si="75"/>
        <v>95-952000328</v>
      </c>
      <c r="C4832" s="179" t="s">
        <v>7420</v>
      </c>
    </row>
    <row r="4833" spans="1:3">
      <c r="A4833" s="177">
        <v>962000483</v>
      </c>
      <c r="B4833" s="116" t="str">
        <f t="shared" si="75"/>
        <v>96-962000483</v>
      </c>
      <c r="C4833" s="179" t="s">
        <v>12184</v>
      </c>
    </row>
    <row r="4834" spans="1:3">
      <c r="A4834" s="177">
        <v>962000433</v>
      </c>
      <c r="B4834" s="116" t="str">
        <f t="shared" si="75"/>
        <v>96-962000433</v>
      </c>
      <c r="C4834" s="179" t="s">
        <v>12184</v>
      </c>
    </row>
    <row r="4835" spans="1:3">
      <c r="A4835" s="177">
        <v>962000399</v>
      </c>
      <c r="B4835" s="116" t="str">
        <f t="shared" si="75"/>
        <v>96-962000399</v>
      </c>
      <c r="C4835" s="179" t="s">
        <v>12184</v>
      </c>
    </row>
    <row r="4836" spans="1:3">
      <c r="A4836" s="177">
        <v>952000295</v>
      </c>
      <c r="B4836" s="116" t="str">
        <f t="shared" si="75"/>
        <v>95-952000295</v>
      </c>
      <c r="C4836" s="179" t="s">
        <v>7329</v>
      </c>
    </row>
    <row r="4837" spans="1:3">
      <c r="A4837" s="177">
        <v>951100035</v>
      </c>
      <c r="B4837" s="116" t="str">
        <f t="shared" si="75"/>
        <v>95-951100035</v>
      </c>
      <c r="C4837" s="179" t="s">
        <v>8126</v>
      </c>
    </row>
    <row r="4838" spans="1:3">
      <c r="A4838" s="177">
        <v>961100004</v>
      </c>
      <c r="B4838" s="116" t="str">
        <f t="shared" si="75"/>
        <v>96-961100004</v>
      </c>
      <c r="C4838" s="179" t="s">
        <v>8127</v>
      </c>
    </row>
    <row r="4839" spans="1:3">
      <c r="A4839" s="177">
        <v>961100024</v>
      </c>
      <c r="B4839" s="116" t="str">
        <f t="shared" si="75"/>
        <v>96-961100024</v>
      </c>
      <c r="C4839" s="179" t="s">
        <v>8131</v>
      </c>
    </row>
    <row r="4840" spans="1:3">
      <c r="A4840" s="177">
        <v>961100026</v>
      </c>
      <c r="B4840" s="116" t="str">
        <f t="shared" si="75"/>
        <v>96-961100026</v>
      </c>
      <c r="C4840" s="179" t="s">
        <v>8132</v>
      </c>
    </row>
    <row r="4841" spans="1:3">
      <c r="A4841" s="177">
        <v>961100055</v>
      </c>
      <c r="B4841" s="116" t="str">
        <f t="shared" si="75"/>
        <v>96-961100055</v>
      </c>
      <c r="C4841" s="179" t="s">
        <v>8133</v>
      </c>
    </row>
    <row r="4842" spans="1:3">
      <c r="A4842" s="177">
        <v>962000403</v>
      </c>
      <c r="B4842" s="116" t="str">
        <f t="shared" si="75"/>
        <v>96-962000403</v>
      </c>
      <c r="C4842" s="179" t="s">
        <v>12184</v>
      </c>
    </row>
    <row r="4843" spans="1:3">
      <c r="A4843" s="177">
        <v>952000083</v>
      </c>
      <c r="B4843" s="116" t="str">
        <f t="shared" si="75"/>
        <v>95-952000083</v>
      </c>
      <c r="C4843" s="179" t="s">
        <v>8011</v>
      </c>
    </row>
    <row r="4844" spans="1:3">
      <c r="A4844" s="177">
        <v>952000090</v>
      </c>
      <c r="B4844" s="116" t="str">
        <f t="shared" si="75"/>
        <v>95-952000090</v>
      </c>
      <c r="C4844" s="179" t="s">
        <v>7326</v>
      </c>
    </row>
    <row r="4845" spans="1:3">
      <c r="A4845" s="177">
        <v>951700144</v>
      </c>
      <c r="B4845" s="116" t="str">
        <f t="shared" si="75"/>
        <v>95-951700144</v>
      </c>
      <c r="C4845" s="179" t="s">
        <v>7582</v>
      </c>
    </row>
    <row r="4846" spans="1:3">
      <c r="A4846" s="177">
        <v>961700025</v>
      </c>
      <c r="B4846" s="116" t="str">
        <f t="shared" si="75"/>
        <v>96-961700025</v>
      </c>
      <c r="C4846" s="179" t="s">
        <v>7846</v>
      </c>
    </row>
    <row r="4847" spans="1:3">
      <c r="A4847" s="177">
        <v>951900119</v>
      </c>
      <c r="B4847" s="116" t="str">
        <f t="shared" si="75"/>
        <v>95-951900119</v>
      </c>
      <c r="C4847" s="179" t="s">
        <v>7133</v>
      </c>
    </row>
    <row r="4848" spans="1:3">
      <c r="A4848" s="177">
        <v>951600050</v>
      </c>
      <c r="B4848" s="116" t="str">
        <f t="shared" si="75"/>
        <v>95-951600050</v>
      </c>
      <c r="C4848" s="179" t="s">
        <v>8380</v>
      </c>
    </row>
    <row r="4849" spans="1:3">
      <c r="A4849" s="177">
        <v>952000330</v>
      </c>
      <c r="B4849" s="116" t="str">
        <f t="shared" si="75"/>
        <v>95-952000330</v>
      </c>
      <c r="C4849" s="179" t="s">
        <v>7420</v>
      </c>
    </row>
    <row r="4850" spans="1:3">
      <c r="A4850" s="177">
        <v>952000261</v>
      </c>
      <c r="B4850" s="116" t="str">
        <f t="shared" si="75"/>
        <v>95-952000261</v>
      </c>
      <c r="C4850" s="179" t="s">
        <v>7280</v>
      </c>
    </row>
    <row r="4851" spans="1:3">
      <c r="A4851" s="177">
        <v>952000105</v>
      </c>
      <c r="B4851" s="116" t="str">
        <f t="shared" si="75"/>
        <v>95-952000105</v>
      </c>
      <c r="C4851" s="179" t="s">
        <v>7321</v>
      </c>
    </row>
    <row r="4852" spans="1:3">
      <c r="A4852" s="177">
        <v>962000412</v>
      </c>
      <c r="B4852" s="116" t="str">
        <f t="shared" si="75"/>
        <v>96-962000412</v>
      </c>
      <c r="C4852" s="179" t="s">
        <v>12184</v>
      </c>
    </row>
    <row r="4853" spans="1:3">
      <c r="A4853" s="177">
        <v>962000347</v>
      </c>
      <c r="B4853" s="116" t="str">
        <f t="shared" si="75"/>
        <v>96-962000347</v>
      </c>
      <c r="C4853" s="179" t="s">
        <v>12184</v>
      </c>
    </row>
    <row r="4854" spans="1:3">
      <c r="A4854" s="177">
        <v>956200319</v>
      </c>
      <c r="B4854" s="116" t="str">
        <f t="shared" si="75"/>
        <v>95-956200319</v>
      </c>
      <c r="C4854" s="179" t="s">
        <v>7880</v>
      </c>
    </row>
    <row r="4855" spans="1:3">
      <c r="A4855" s="177">
        <v>956200341</v>
      </c>
      <c r="B4855" s="116" t="str">
        <f t="shared" si="75"/>
        <v>95-956200341</v>
      </c>
      <c r="C4855" s="179" t="s">
        <v>7292</v>
      </c>
    </row>
    <row r="4856" spans="1:3">
      <c r="A4856" s="177">
        <v>962000334</v>
      </c>
      <c r="B4856" s="116" t="str">
        <f t="shared" si="75"/>
        <v>96-962000334</v>
      </c>
      <c r="C4856" s="179" t="s">
        <v>7112</v>
      </c>
    </row>
    <row r="4857" spans="1:3">
      <c r="A4857" s="177">
        <v>952000170</v>
      </c>
      <c r="B4857" s="116" t="str">
        <f t="shared" si="75"/>
        <v>95-952000170</v>
      </c>
      <c r="C4857" s="179" t="s">
        <v>7392</v>
      </c>
    </row>
    <row r="4858" spans="1:3">
      <c r="A4858" s="177">
        <v>962000499</v>
      </c>
      <c r="B4858" s="116" t="str">
        <f t="shared" si="75"/>
        <v>96-962000499</v>
      </c>
      <c r="C4858" s="179" t="s">
        <v>12184</v>
      </c>
    </row>
    <row r="4859" spans="1:3">
      <c r="A4859" s="177">
        <v>962000117</v>
      </c>
      <c r="B4859" s="116" t="str">
        <f t="shared" si="75"/>
        <v>96-962000117</v>
      </c>
      <c r="C4859" s="179" t="s">
        <v>7112</v>
      </c>
    </row>
    <row r="4860" spans="1:3">
      <c r="A4860" s="177">
        <v>952000342</v>
      </c>
      <c r="B4860" s="116" t="str">
        <f t="shared" si="75"/>
        <v>95-952000342</v>
      </c>
      <c r="C4860" s="179" t="s">
        <v>7413</v>
      </c>
    </row>
    <row r="4861" spans="1:3">
      <c r="A4861" s="177">
        <v>966200002</v>
      </c>
      <c r="B4861" s="116" t="str">
        <f t="shared" si="75"/>
        <v>96-966200002</v>
      </c>
      <c r="C4861" s="179" t="s">
        <v>7475</v>
      </c>
    </row>
    <row r="4862" spans="1:3">
      <c r="A4862" s="177">
        <v>966200007</v>
      </c>
      <c r="B4862" s="116" t="str">
        <f t="shared" si="75"/>
        <v>96-966200007</v>
      </c>
      <c r="C4862" s="179" t="s">
        <v>7370</v>
      </c>
    </row>
    <row r="4863" spans="1:3">
      <c r="A4863" s="177">
        <v>966200479</v>
      </c>
      <c r="B4863" s="116" t="str">
        <f t="shared" si="75"/>
        <v>96-966200479</v>
      </c>
      <c r="C4863" s="179" t="s">
        <v>12185</v>
      </c>
    </row>
    <row r="4864" spans="1:3">
      <c r="A4864" s="177">
        <v>966200478</v>
      </c>
      <c r="B4864" s="116" t="str">
        <f t="shared" si="75"/>
        <v>96-966200478</v>
      </c>
      <c r="C4864" s="179" t="s">
        <v>12185</v>
      </c>
    </row>
    <row r="4865" spans="1:3">
      <c r="A4865" s="177">
        <v>966200359</v>
      </c>
      <c r="B4865" s="116" t="str">
        <f t="shared" si="75"/>
        <v>96-966200359</v>
      </c>
      <c r="C4865" s="179" t="s">
        <v>12240</v>
      </c>
    </row>
    <row r="4866" spans="1:3">
      <c r="A4866" s="177">
        <v>966200511</v>
      </c>
      <c r="B4866" s="116" t="str">
        <f t="shared" si="75"/>
        <v>96-966200511</v>
      </c>
      <c r="C4866" s="179" t="s">
        <v>12446</v>
      </c>
    </row>
    <row r="4867" spans="1:3">
      <c r="A4867" s="177">
        <v>951700211</v>
      </c>
      <c r="B4867" s="116" t="str">
        <f t="shared" ref="B4867:B4930" si="76">MID(A4867,1,2)&amp;"-"&amp;A4867</f>
        <v>95-951700211</v>
      </c>
      <c r="C4867" s="179" t="s">
        <v>8381</v>
      </c>
    </row>
    <row r="4868" spans="1:3">
      <c r="A4868" s="177">
        <v>951900204</v>
      </c>
      <c r="B4868" s="116" t="str">
        <f t="shared" si="76"/>
        <v>95-951900204</v>
      </c>
      <c r="C4868" s="179" t="s">
        <v>8318</v>
      </c>
    </row>
    <row r="4869" spans="1:3">
      <c r="A4869" s="177">
        <v>951400066</v>
      </c>
      <c r="B4869" s="116" t="str">
        <f t="shared" si="76"/>
        <v>95-951400066</v>
      </c>
      <c r="C4869" s="179" t="s">
        <v>8382</v>
      </c>
    </row>
    <row r="4870" spans="1:3">
      <c r="A4870" s="177">
        <v>951900263</v>
      </c>
      <c r="B4870" s="116" t="str">
        <f t="shared" si="76"/>
        <v>95-951900263</v>
      </c>
      <c r="C4870" s="179" t="s">
        <v>7670</v>
      </c>
    </row>
    <row r="4871" spans="1:3">
      <c r="A4871" s="177">
        <v>951600092</v>
      </c>
      <c r="B4871" s="116" t="str">
        <f t="shared" si="76"/>
        <v>95-951600092</v>
      </c>
      <c r="C4871" s="179" t="s">
        <v>8385</v>
      </c>
    </row>
    <row r="4872" spans="1:3">
      <c r="A4872" s="177">
        <v>961700058</v>
      </c>
      <c r="B4872" s="116" t="str">
        <f t="shared" si="76"/>
        <v>96-961700058</v>
      </c>
      <c r="C4872" s="179" t="s">
        <v>8386</v>
      </c>
    </row>
    <row r="4873" spans="1:3">
      <c r="A4873" s="177">
        <v>961700117</v>
      </c>
      <c r="B4873" s="116" t="str">
        <f t="shared" si="76"/>
        <v>96-961700117</v>
      </c>
      <c r="C4873" s="179" t="s">
        <v>7160</v>
      </c>
    </row>
    <row r="4874" spans="1:3">
      <c r="A4874" s="177">
        <v>951900152</v>
      </c>
      <c r="B4874" s="116" t="str">
        <f t="shared" si="76"/>
        <v>95-951900152</v>
      </c>
      <c r="C4874" s="179" t="s">
        <v>8387</v>
      </c>
    </row>
    <row r="4875" spans="1:3">
      <c r="A4875" s="177">
        <v>951300014</v>
      </c>
      <c r="B4875" s="116" t="str">
        <f t="shared" si="76"/>
        <v>95-951300014</v>
      </c>
      <c r="C4875" s="179" t="s">
        <v>7804</v>
      </c>
    </row>
    <row r="4876" spans="1:3">
      <c r="A4876" s="177">
        <v>956200177</v>
      </c>
      <c r="B4876" s="116" t="str">
        <f t="shared" si="76"/>
        <v>95-956200177</v>
      </c>
      <c r="C4876" s="179" t="s">
        <v>7369</v>
      </c>
    </row>
    <row r="4877" spans="1:3">
      <c r="A4877" s="177">
        <v>966200016</v>
      </c>
      <c r="B4877" s="116" t="str">
        <f t="shared" si="76"/>
        <v>96-966200016</v>
      </c>
      <c r="C4877" s="179" t="s">
        <v>7370</v>
      </c>
    </row>
    <row r="4878" spans="1:3">
      <c r="A4878" s="177">
        <v>951100062</v>
      </c>
      <c r="B4878" s="116" t="str">
        <f t="shared" si="76"/>
        <v>95-951100062</v>
      </c>
      <c r="C4878" s="179" t="s">
        <v>8155</v>
      </c>
    </row>
    <row r="4879" spans="1:3">
      <c r="A4879" s="177">
        <v>966300004</v>
      </c>
      <c r="B4879" s="116" t="str">
        <f t="shared" si="76"/>
        <v>96-966300004</v>
      </c>
      <c r="C4879" s="179" t="s">
        <v>8746</v>
      </c>
    </row>
    <row r="4880" spans="1:3">
      <c r="A4880" s="177">
        <v>966300030</v>
      </c>
      <c r="B4880" s="116" t="str">
        <f t="shared" si="76"/>
        <v>96-966300030</v>
      </c>
      <c r="C4880" s="179" t="s">
        <v>12237</v>
      </c>
    </row>
    <row r="4881" spans="1:3">
      <c r="A4881" s="177">
        <v>956200060</v>
      </c>
      <c r="B4881" s="116" t="str">
        <f t="shared" si="76"/>
        <v>95-956200060</v>
      </c>
      <c r="C4881" s="179" t="s">
        <v>7306</v>
      </c>
    </row>
    <row r="4882" spans="1:3">
      <c r="A4882" s="177">
        <v>966200240</v>
      </c>
      <c r="B4882" s="116" t="str">
        <f t="shared" si="76"/>
        <v>96-966200240</v>
      </c>
      <c r="C4882" s="179" t="s">
        <v>7442</v>
      </c>
    </row>
    <row r="4883" spans="1:3">
      <c r="A4883" s="177">
        <v>952000230</v>
      </c>
      <c r="B4883" s="116" t="str">
        <f t="shared" si="76"/>
        <v>95-952000230</v>
      </c>
      <c r="C4883" s="179" t="s">
        <v>7385</v>
      </c>
    </row>
    <row r="4884" spans="1:3">
      <c r="A4884" s="177">
        <v>962000122</v>
      </c>
      <c r="B4884" s="116" t="str">
        <f t="shared" si="76"/>
        <v>96-962000122</v>
      </c>
      <c r="C4884" s="179" t="s">
        <v>7112</v>
      </c>
    </row>
    <row r="4885" spans="1:3">
      <c r="A4885" s="177">
        <v>956200092</v>
      </c>
      <c r="B4885" s="116" t="str">
        <f t="shared" si="76"/>
        <v>95-956200092</v>
      </c>
      <c r="C4885" s="179" t="s">
        <v>8060</v>
      </c>
    </row>
    <row r="4886" spans="1:3">
      <c r="A4886" s="177">
        <v>952000064</v>
      </c>
      <c r="B4886" s="116" t="str">
        <f t="shared" si="76"/>
        <v>95-952000064</v>
      </c>
      <c r="C4886" s="179" t="s">
        <v>7421</v>
      </c>
    </row>
    <row r="4887" spans="1:3">
      <c r="A4887" s="177">
        <v>966200214</v>
      </c>
      <c r="B4887" s="116" t="str">
        <f t="shared" si="76"/>
        <v>96-966200214</v>
      </c>
      <c r="C4887" s="179" t="s">
        <v>7954</v>
      </c>
    </row>
    <row r="4888" spans="1:3">
      <c r="A4888" s="177">
        <v>952000077</v>
      </c>
      <c r="B4888" s="116" t="str">
        <f t="shared" si="76"/>
        <v>95-952000077</v>
      </c>
      <c r="C4888" s="179" t="s">
        <v>8156</v>
      </c>
    </row>
    <row r="4889" spans="1:3">
      <c r="A4889" s="177">
        <v>952000192</v>
      </c>
      <c r="B4889" s="116" t="str">
        <f t="shared" si="76"/>
        <v>95-952000192</v>
      </c>
      <c r="C4889" s="179" t="s">
        <v>7342</v>
      </c>
    </row>
    <row r="4890" spans="1:3">
      <c r="A4890" s="177">
        <v>956200098</v>
      </c>
      <c r="B4890" s="116" t="str">
        <f t="shared" si="76"/>
        <v>95-956200098</v>
      </c>
      <c r="C4890" s="179" t="s">
        <v>7467</v>
      </c>
    </row>
    <row r="4891" spans="1:3">
      <c r="A4891" s="177">
        <v>962000014</v>
      </c>
      <c r="B4891" s="116" t="str">
        <f t="shared" si="76"/>
        <v>96-962000014</v>
      </c>
      <c r="C4891" s="179" t="s">
        <v>7112</v>
      </c>
    </row>
    <row r="4892" spans="1:3">
      <c r="A4892" s="177">
        <v>956200080</v>
      </c>
      <c r="B4892" s="116" t="str">
        <f t="shared" si="76"/>
        <v>95-956200080</v>
      </c>
      <c r="C4892" s="179" t="s">
        <v>7513</v>
      </c>
    </row>
    <row r="4893" spans="1:3">
      <c r="A4893" s="177">
        <v>966200482</v>
      </c>
      <c r="B4893" s="116" t="str">
        <f t="shared" si="76"/>
        <v>96-966200482</v>
      </c>
      <c r="C4893" s="179" t="s">
        <v>12185</v>
      </c>
    </row>
    <row r="4894" spans="1:3">
      <c r="A4894" s="177">
        <v>952000114</v>
      </c>
      <c r="B4894" s="116" t="str">
        <f t="shared" si="76"/>
        <v>95-952000114</v>
      </c>
      <c r="C4894" s="179" t="s">
        <v>7411</v>
      </c>
    </row>
    <row r="4895" spans="1:3">
      <c r="A4895" s="177">
        <v>966200471</v>
      </c>
      <c r="B4895" s="116" t="str">
        <f t="shared" si="76"/>
        <v>96-966200471</v>
      </c>
      <c r="C4895" s="179" t="s">
        <v>12185</v>
      </c>
    </row>
    <row r="4896" spans="1:3">
      <c r="A4896" s="177">
        <v>952000324</v>
      </c>
      <c r="B4896" s="116" t="str">
        <f t="shared" si="76"/>
        <v>95-952000324</v>
      </c>
      <c r="C4896" s="179" t="s">
        <v>7420</v>
      </c>
    </row>
    <row r="4897" spans="1:3">
      <c r="A4897" s="177">
        <v>962000465</v>
      </c>
      <c r="B4897" s="116" t="str">
        <f t="shared" si="76"/>
        <v>96-962000465</v>
      </c>
      <c r="C4897" s="179" t="s">
        <v>12184</v>
      </c>
    </row>
    <row r="4898" spans="1:3">
      <c r="A4898" s="177">
        <v>966200360</v>
      </c>
      <c r="B4898" s="116" t="str">
        <f t="shared" si="76"/>
        <v>96-966200360</v>
      </c>
      <c r="C4898" s="179" t="s">
        <v>12240</v>
      </c>
    </row>
    <row r="4899" spans="1:3">
      <c r="A4899" s="177">
        <v>952000151</v>
      </c>
      <c r="B4899" s="116" t="str">
        <f t="shared" si="76"/>
        <v>95-952000151</v>
      </c>
      <c r="C4899" s="179" t="s">
        <v>7332</v>
      </c>
    </row>
    <row r="4900" spans="1:3">
      <c r="A4900" s="177">
        <v>952000166</v>
      </c>
      <c r="B4900" s="116" t="str">
        <f t="shared" si="76"/>
        <v>95-952000166</v>
      </c>
      <c r="C4900" s="179" t="s">
        <v>7386</v>
      </c>
    </row>
    <row r="4901" spans="1:3">
      <c r="A4901" s="177">
        <v>962000209</v>
      </c>
      <c r="B4901" s="116" t="str">
        <f t="shared" si="76"/>
        <v>96-962000209</v>
      </c>
      <c r="C4901" s="179" t="s">
        <v>7112</v>
      </c>
    </row>
    <row r="4902" spans="1:3">
      <c r="A4902" s="177">
        <v>962000490</v>
      </c>
      <c r="B4902" s="116" t="str">
        <f t="shared" si="76"/>
        <v>96-962000490</v>
      </c>
      <c r="C4902" s="179" t="s">
        <v>12184</v>
      </c>
    </row>
    <row r="4903" spans="1:3">
      <c r="A4903" s="177">
        <v>952000182</v>
      </c>
      <c r="B4903" s="116" t="str">
        <f t="shared" si="76"/>
        <v>95-952000182</v>
      </c>
      <c r="C4903" s="179" t="s">
        <v>7392</v>
      </c>
    </row>
    <row r="4904" spans="1:3">
      <c r="A4904" s="177">
        <v>956200102</v>
      </c>
      <c r="B4904" s="116" t="str">
        <f t="shared" si="76"/>
        <v>95-956200102</v>
      </c>
      <c r="C4904" s="179" t="s">
        <v>7467</v>
      </c>
    </row>
    <row r="4905" spans="1:3">
      <c r="A4905" s="177">
        <v>956200143</v>
      </c>
      <c r="B4905" s="116" t="str">
        <f t="shared" si="76"/>
        <v>95-956200143</v>
      </c>
      <c r="C4905" s="179" t="s">
        <v>7978</v>
      </c>
    </row>
    <row r="4906" spans="1:3">
      <c r="A4906" s="177">
        <v>966200074</v>
      </c>
      <c r="B4906" s="116" t="str">
        <f t="shared" si="76"/>
        <v>96-966200074</v>
      </c>
      <c r="C4906" s="179" t="s">
        <v>7448</v>
      </c>
    </row>
    <row r="4907" spans="1:3">
      <c r="A4907" s="177">
        <v>966200304</v>
      </c>
      <c r="B4907" s="116" t="str">
        <f t="shared" si="76"/>
        <v>96-966200304</v>
      </c>
      <c r="C4907" s="179" t="s">
        <v>8700</v>
      </c>
    </row>
    <row r="4908" spans="1:3">
      <c r="A4908" s="177">
        <v>966200217</v>
      </c>
      <c r="B4908" s="116" t="str">
        <f t="shared" si="76"/>
        <v>96-966200217</v>
      </c>
      <c r="C4908" s="179" t="s">
        <v>7479</v>
      </c>
    </row>
    <row r="4909" spans="1:3">
      <c r="A4909" s="177">
        <v>956200252</v>
      </c>
      <c r="B4909" s="116" t="str">
        <f t="shared" si="76"/>
        <v>95-956200252</v>
      </c>
      <c r="C4909" s="179" t="s">
        <v>7428</v>
      </c>
    </row>
    <row r="4910" spans="1:3">
      <c r="A4910" s="177">
        <v>966200081</v>
      </c>
      <c r="B4910" s="116" t="str">
        <f t="shared" si="76"/>
        <v>96-966200081</v>
      </c>
      <c r="C4910" s="179" t="s">
        <v>7448</v>
      </c>
    </row>
    <row r="4911" spans="1:3">
      <c r="A4911" s="177">
        <v>956200295</v>
      </c>
      <c r="B4911" s="116" t="str">
        <f t="shared" si="76"/>
        <v>95-956200295</v>
      </c>
      <c r="C4911" s="179" t="s">
        <v>7438</v>
      </c>
    </row>
    <row r="4912" spans="1:3">
      <c r="A4912" s="177">
        <v>966200534</v>
      </c>
      <c r="B4912" s="116" t="str">
        <f t="shared" si="76"/>
        <v>96-966200534</v>
      </c>
      <c r="C4912" s="179" t="s">
        <v>12412</v>
      </c>
    </row>
    <row r="4913" spans="1:3">
      <c r="A4913" s="177">
        <v>956200334</v>
      </c>
      <c r="B4913" s="116" t="str">
        <f t="shared" si="76"/>
        <v>95-956200334</v>
      </c>
      <c r="C4913" s="179" t="s">
        <v>8167</v>
      </c>
    </row>
    <row r="4914" spans="1:3">
      <c r="A4914" s="177">
        <v>951400148</v>
      </c>
      <c r="B4914" s="116" t="str">
        <f t="shared" si="76"/>
        <v>95-951400148</v>
      </c>
      <c r="C4914" s="179" t="s">
        <v>7832</v>
      </c>
    </row>
    <row r="4915" spans="1:3">
      <c r="A4915" s="177">
        <v>961900090</v>
      </c>
      <c r="B4915" s="116" t="str">
        <f t="shared" si="76"/>
        <v>96-961900090</v>
      </c>
      <c r="C4915" s="179" t="s">
        <v>8388</v>
      </c>
    </row>
    <row r="4916" spans="1:3">
      <c r="A4916" s="177">
        <v>951900106</v>
      </c>
      <c r="B4916" s="116" t="str">
        <f t="shared" si="76"/>
        <v>95-951900106</v>
      </c>
      <c r="C4916" s="179" t="s">
        <v>8389</v>
      </c>
    </row>
    <row r="4917" spans="1:3">
      <c r="A4917" s="177">
        <v>956200361</v>
      </c>
      <c r="B4917" s="116" t="str">
        <f t="shared" si="76"/>
        <v>95-956200361</v>
      </c>
      <c r="C4917" s="179" t="s">
        <v>7292</v>
      </c>
    </row>
    <row r="4918" spans="1:3">
      <c r="A4918" s="177">
        <v>966200458</v>
      </c>
      <c r="B4918" s="116" t="str">
        <f t="shared" si="76"/>
        <v>96-966200458</v>
      </c>
      <c r="C4918" s="179" t="s">
        <v>12192</v>
      </c>
    </row>
    <row r="4919" spans="1:3">
      <c r="A4919" s="177">
        <v>966200469</v>
      </c>
      <c r="B4919" s="116" t="str">
        <f t="shared" si="76"/>
        <v>96-966200469</v>
      </c>
      <c r="C4919" s="179" t="s">
        <v>12185</v>
      </c>
    </row>
    <row r="4920" spans="1:3">
      <c r="A4920" s="177">
        <v>956200401</v>
      </c>
      <c r="B4920" s="116" t="str">
        <f t="shared" si="76"/>
        <v>95-956200401</v>
      </c>
      <c r="C4920" s="179" t="s">
        <v>7269</v>
      </c>
    </row>
    <row r="4921" spans="1:3">
      <c r="A4921" s="177">
        <v>956200402</v>
      </c>
      <c r="B4921" s="116" t="str">
        <f t="shared" si="76"/>
        <v>95-956200402</v>
      </c>
      <c r="C4921" s="179" t="s">
        <v>7269</v>
      </c>
    </row>
    <row r="4922" spans="1:3">
      <c r="A4922" s="177">
        <v>956200432</v>
      </c>
      <c r="B4922" s="116" t="str">
        <f t="shared" si="76"/>
        <v>95-956200432</v>
      </c>
      <c r="C4922" s="179" t="s">
        <v>7423</v>
      </c>
    </row>
    <row r="4923" spans="1:3">
      <c r="A4923" s="177">
        <v>956200430</v>
      </c>
      <c r="B4923" s="116" t="str">
        <f t="shared" si="76"/>
        <v>95-956200430</v>
      </c>
      <c r="C4923" s="179" t="s">
        <v>7419</v>
      </c>
    </row>
    <row r="4924" spans="1:3">
      <c r="A4924" s="177">
        <v>966200005</v>
      </c>
      <c r="B4924" s="116" t="str">
        <f t="shared" si="76"/>
        <v>96-966200005</v>
      </c>
      <c r="C4924" s="179" t="s">
        <v>7475</v>
      </c>
    </row>
    <row r="4925" spans="1:3">
      <c r="A4925" s="177">
        <v>966200042</v>
      </c>
      <c r="B4925" s="116" t="str">
        <f t="shared" si="76"/>
        <v>96-966200042</v>
      </c>
      <c r="C4925" s="179" t="s">
        <v>7414</v>
      </c>
    </row>
    <row r="4926" spans="1:3">
      <c r="A4926" s="177">
        <v>966200048</v>
      </c>
      <c r="B4926" s="116" t="str">
        <f t="shared" si="76"/>
        <v>96-966200048</v>
      </c>
      <c r="C4926" s="179" t="s">
        <v>7414</v>
      </c>
    </row>
    <row r="4927" spans="1:3">
      <c r="A4927" s="177">
        <v>966200201</v>
      </c>
      <c r="B4927" s="116" t="str">
        <f t="shared" si="76"/>
        <v>96-966200201</v>
      </c>
      <c r="C4927" s="179" t="s">
        <v>7120</v>
      </c>
    </row>
    <row r="4928" spans="1:3">
      <c r="A4928" s="177">
        <v>966200204</v>
      </c>
      <c r="B4928" s="116" t="str">
        <f t="shared" si="76"/>
        <v>96-966200204</v>
      </c>
      <c r="C4928" s="179" t="s">
        <v>7120</v>
      </c>
    </row>
    <row r="4929" spans="1:3">
      <c r="A4929" s="177">
        <v>966200261</v>
      </c>
      <c r="B4929" s="116" t="str">
        <f t="shared" si="76"/>
        <v>96-966200261</v>
      </c>
      <c r="C4929" s="179" t="s">
        <v>7113</v>
      </c>
    </row>
    <row r="4930" spans="1:3">
      <c r="A4930" s="177">
        <v>966200264</v>
      </c>
      <c r="B4930" s="116" t="str">
        <f t="shared" si="76"/>
        <v>96-966200264</v>
      </c>
      <c r="C4930" s="179" t="s">
        <v>7113</v>
      </c>
    </row>
    <row r="4931" spans="1:3">
      <c r="A4931" s="177">
        <v>966200245</v>
      </c>
      <c r="B4931" s="116" t="str">
        <f t="shared" ref="B4931:B4994" si="77">MID(A4931,1,2)&amp;"-"&amp;A4931</f>
        <v>96-966200245</v>
      </c>
      <c r="C4931" s="179" t="s">
        <v>7333</v>
      </c>
    </row>
    <row r="4932" spans="1:3">
      <c r="A4932" s="177">
        <v>962000106</v>
      </c>
      <c r="B4932" s="116" t="str">
        <f t="shared" si="77"/>
        <v>96-962000106</v>
      </c>
      <c r="C4932" s="179" t="s">
        <v>7112</v>
      </c>
    </row>
    <row r="4933" spans="1:3">
      <c r="A4933" s="177">
        <v>962000112</v>
      </c>
      <c r="B4933" s="116" t="str">
        <f t="shared" si="77"/>
        <v>96-962000112</v>
      </c>
      <c r="C4933" s="179" t="s">
        <v>7112</v>
      </c>
    </row>
    <row r="4934" spans="1:3">
      <c r="A4934" s="177">
        <v>962000120</v>
      </c>
      <c r="B4934" s="116" t="str">
        <f t="shared" si="77"/>
        <v>96-962000120</v>
      </c>
      <c r="C4934" s="179" t="s">
        <v>7112</v>
      </c>
    </row>
    <row r="4935" spans="1:3">
      <c r="A4935" s="177">
        <v>962000149</v>
      </c>
      <c r="B4935" s="116" t="str">
        <f t="shared" si="77"/>
        <v>96-962000149</v>
      </c>
      <c r="C4935" s="179" t="s">
        <v>7112</v>
      </c>
    </row>
    <row r="4936" spans="1:3">
      <c r="A4936" s="177">
        <v>962000309</v>
      </c>
      <c r="B4936" s="116" t="str">
        <f t="shared" si="77"/>
        <v>96-962000309</v>
      </c>
      <c r="C4936" s="179" t="s">
        <v>7112</v>
      </c>
    </row>
    <row r="4937" spans="1:3">
      <c r="A4937" s="177">
        <v>962000163</v>
      </c>
      <c r="B4937" s="116" t="str">
        <f t="shared" si="77"/>
        <v>96-962000163</v>
      </c>
      <c r="C4937" s="179" t="s">
        <v>7112</v>
      </c>
    </row>
    <row r="4938" spans="1:3">
      <c r="A4938" s="177">
        <v>962000310</v>
      </c>
      <c r="B4938" s="116" t="str">
        <f t="shared" si="77"/>
        <v>96-962000310</v>
      </c>
      <c r="C4938" s="179" t="s">
        <v>7112</v>
      </c>
    </row>
    <row r="4939" spans="1:3">
      <c r="A4939" s="177">
        <v>962000299</v>
      </c>
      <c r="B4939" s="116" t="str">
        <f t="shared" si="77"/>
        <v>96-962000299</v>
      </c>
      <c r="C4939" s="179" t="s">
        <v>7112</v>
      </c>
    </row>
    <row r="4940" spans="1:3">
      <c r="A4940" s="177">
        <v>962000196</v>
      </c>
      <c r="B4940" s="116" t="str">
        <f t="shared" si="77"/>
        <v>96-962000196</v>
      </c>
      <c r="C4940" s="179" t="s">
        <v>7112</v>
      </c>
    </row>
    <row r="4941" spans="1:3">
      <c r="A4941" s="177">
        <v>966200294</v>
      </c>
      <c r="B4941" s="116" t="str">
        <f t="shared" si="77"/>
        <v>96-966200294</v>
      </c>
      <c r="C4941" s="179" t="s">
        <v>7130</v>
      </c>
    </row>
    <row r="4942" spans="1:3">
      <c r="A4942" s="177">
        <v>966200313</v>
      </c>
      <c r="B4942" s="116" t="str">
        <f t="shared" si="77"/>
        <v>96-966200313</v>
      </c>
      <c r="C4942" s="179" t="s">
        <v>8747</v>
      </c>
    </row>
    <row r="4943" spans="1:3">
      <c r="A4943" s="177">
        <v>961100082</v>
      </c>
      <c r="B4943" s="116" t="str">
        <f t="shared" si="77"/>
        <v>96-961100082</v>
      </c>
      <c r="C4943" s="179" t="s">
        <v>8745</v>
      </c>
    </row>
    <row r="4944" spans="1:3">
      <c r="A4944" s="177">
        <v>961100046</v>
      </c>
      <c r="B4944" s="116" t="str">
        <f t="shared" si="77"/>
        <v>96-961100046</v>
      </c>
      <c r="C4944" s="179" t="s">
        <v>7959</v>
      </c>
    </row>
    <row r="4945" spans="1:3">
      <c r="A4945" s="177">
        <v>966200342</v>
      </c>
      <c r="B4945" s="116" t="str">
        <f t="shared" si="77"/>
        <v>96-966200342</v>
      </c>
      <c r="C4945" s="179" t="s">
        <v>8718</v>
      </c>
    </row>
    <row r="4946" spans="1:3">
      <c r="A4946" s="177">
        <v>961100034</v>
      </c>
      <c r="B4946" s="116" t="str">
        <f t="shared" si="77"/>
        <v>96-961100034</v>
      </c>
      <c r="C4946" s="179" t="s">
        <v>7960</v>
      </c>
    </row>
    <row r="4947" spans="1:3">
      <c r="A4947" s="177">
        <v>966200335</v>
      </c>
      <c r="B4947" s="116" t="str">
        <f t="shared" si="77"/>
        <v>96-966200335</v>
      </c>
      <c r="C4947" s="179" t="s">
        <v>8697</v>
      </c>
    </row>
    <row r="4948" spans="1:3">
      <c r="A4948" s="177">
        <v>966300033</v>
      </c>
      <c r="B4948" s="116" t="str">
        <f t="shared" si="77"/>
        <v>96-966300033</v>
      </c>
      <c r="C4948" s="179" t="s">
        <v>12245</v>
      </c>
    </row>
    <row r="4949" spans="1:3">
      <c r="A4949" s="177">
        <v>962000338</v>
      </c>
      <c r="B4949" s="116" t="str">
        <f t="shared" si="77"/>
        <v>96-962000338</v>
      </c>
      <c r="C4949" s="179" t="s">
        <v>7112</v>
      </c>
    </row>
    <row r="4950" spans="1:3">
      <c r="A4950" s="177">
        <v>966300035</v>
      </c>
      <c r="B4950" s="116" t="str">
        <f t="shared" si="77"/>
        <v>96-966300035</v>
      </c>
      <c r="C4950" s="179" t="s">
        <v>12241</v>
      </c>
    </row>
    <row r="4951" spans="1:3">
      <c r="A4951" s="177">
        <v>966300054</v>
      </c>
      <c r="B4951" s="116" t="str">
        <f t="shared" si="77"/>
        <v>96-966300054</v>
      </c>
      <c r="C4951" s="179" t="s">
        <v>12436</v>
      </c>
    </row>
    <row r="4952" spans="1:3">
      <c r="A4952" s="177">
        <v>956000009</v>
      </c>
      <c r="B4952" s="116" t="str">
        <f t="shared" si="77"/>
        <v>95-956000009</v>
      </c>
      <c r="C4952" s="179" t="s">
        <v>7146</v>
      </c>
    </row>
    <row r="4953" spans="1:3">
      <c r="A4953" s="177">
        <v>954100003</v>
      </c>
      <c r="B4953" s="116" t="str">
        <f t="shared" si="77"/>
        <v>95-954100003</v>
      </c>
      <c r="C4953" s="179" t="s">
        <v>5615</v>
      </c>
    </row>
    <row r="4954" spans="1:3">
      <c r="A4954" s="177">
        <v>954100007</v>
      </c>
      <c r="B4954" s="116" t="str">
        <f t="shared" si="77"/>
        <v>95-954100007</v>
      </c>
      <c r="C4954" s="179" t="s">
        <v>5623</v>
      </c>
    </row>
    <row r="4955" spans="1:3">
      <c r="A4955" s="177">
        <v>954100014</v>
      </c>
      <c r="B4955" s="116" t="str">
        <f t="shared" si="77"/>
        <v>95-954100014</v>
      </c>
      <c r="C4955" s="179" t="s">
        <v>5626</v>
      </c>
    </row>
    <row r="4956" spans="1:3">
      <c r="A4956" s="177">
        <v>954100016</v>
      </c>
      <c r="B4956" s="116" t="str">
        <f t="shared" si="77"/>
        <v>95-954100016</v>
      </c>
      <c r="C4956" s="179" t="s">
        <v>5626</v>
      </c>
    </row>
    <row r="4957" spans="1:3">
      <c r="A4957" s="177">
        <v>954100022</v>
      </c>
      <c r="B4957" s="116" t="str">
        <f t="shared" si="77"/>
        <v>95-954100022</v>
      </c>
      <c r="C4957" s="179" t="s">
        <v>5691</v>
      </c>
    </row>
    <row r="4958" spans="1:3">
      <c r="A4958" s="177">
        <v>954100039</v>
      </c>
      <c r="B4958" s="116" t="str">
        <f t="shared" si="77"/>
        <v>95-954100039</v>
      </c>
      <c r="C4958" s="179" t="s">
        <v>5756</v>
      </c>
    </row>
    <row r="4959" spans="1:3">
      <c r="A4959" s="177">
        <v>964100006</v>
      </c>
      <c r="B4959" s="116" t="str">
        <f t="shared" si="77"/>
        <v>96-964100006</v>
      </c>
      <c r="C4959" s="179" t="s">
        <v>5782</v>
      </c>
    </row>
    <row r="4960" spans="1:3">
      <c r="A4960" s="177">
        <v>964100027</v>
      </c>
      <c r="B4960" s="116" t="str">
        <f t="shared" si="77"/>
        <v>96-964100027</v>
      </c>
      <c r="C4960" s="179" t="s">
        <v>5809</v>
      </c>
    </row>
    <row r="4961" spans="1:3">
      <c r="A4961" s="177">
        <v>964100034</v>
      </c>
      <c r="B4961" s="116" t="str">
        <f t="shared" si="77"/>
        <v>96-964100034</v>
      </c>
      <c r="C4961" s="179" t="s">
        <v>5817</v>
      </c>
    </row>
    <row r="4962" spans="1:3">
      <c r="A4962" s="177">
        <v>964100038</v>
      </c>
      <c r="B4962" s="116" t="str">
        <f t="shared" si="77"/>
        <v>96-964100038</v>
      </c>
      <c r="C4962" s="179" t="s">
        <v>5834</v>
      </c>
    </row>
    <row r="4963" spans="1:3">
      <c r="A4963" s="177">
        <v>964100052</v>
      </c>
      <c r="B4963" s="116" t="str">
        <f t="shared" si="77"/>
        <v>96-964100052</v>
      </c>
      <c r="C4963" s="179" t="s">
        <v>7138</v>
      </c>
    </row>
    <row r="4964" spans="1:3">
      <c r="A4964" s="177">
        <v>964100054</v>
      </c>
      <c r="B4964" s="116" t="str">
        <f t="shared" si="77"/>
        <v>96-964100054</v>
      </c>
      <c r="C4964" s="179" t="s">
        <v>7144</v>
      </c>
    </row>
    <row r="4965" spans="1:3">
      <c r="A4965" s="177">
        <v>964100065</v>
      </c>
      <c r="B4965" s="116" t="str">
        <f t="shared" si="77"/>
        <v>96-964100065</v>
      </c>
      <c r="C4965" s="179" t="s">
        <v>7144</v>
      </c>
    </row>
    <row r="4966" spans="1:3">
      <c r="A4966" s="177">
        <v>964100082</v>
      </c>
      <c r="B4966" s="116" t="str">
        <f t="shared" si="77"/>
        <v>96-964100082</v>
      </c>
      <c r="C4966" s="179" t="s">
        <v>9911</v>
      </c>
    </row>
    <row r="4967" spans="1:3">
      <c r="A4967" s="177">
        <v>964100088</v>
      </c>
      <c r="B4967" s="116" t="str">
        <f t="shared" si="77"/>
        <v>96-964100088</v>
      </c>
      <c r="C4967" s="179" t="s">
        <v>9911</v>
      </c>
    </row>
    <row r="4968" spans="1:3">
      <c r="A4968" s="177">
        <v>964100089</v>
      </c>
      <c r="B4968" s="116" t="str">
        <f t="shared" si="77"/>
        <v>96-964100089</v>
      </c>
      <c r="C4968" s="179" t="s">
        <v>9911</v>
      </c>
    </row>
    <row r="4969" spans="1:3">
      <c r="A4969" s="177">
        <v>964100090</v>
      </c>
      <c r="B4969" s="116" t="str">
        <f t="shared" si="77"/>
        <v>96-964100090</v>
      </c>
      <c r="C4969" s="179" t="s">
        <v>9911</v>
      </c>
    </row>
    <row r="4970" spans="1:3">
      <c r="A4970" s="177">
        <v>952000221</v>
      </c>
      <c r="B4970" s="116" t="str">
        <f t="shared" si="77"/>
        <v>95-952000221</v>
      </c>
      <c r="C4970" s="179" t="s">
        <v>7905</v>
      </c>
    </row>
    <row r="4971" spans="1:3">
      <c r="A4971" s="177">
        <v>956200120</v>
      </c>
      <c r="B4971" s="116" t="str">
        <f t="shared" si="77"/>
        <v>95-956200120</v>
      </c>
      <c r="C4971" s="179" t="s">
        <v>7963</v>
      </c>
    </row>
    <row r="4972" spans="1:3">
      <c r="A4972" s="177">
        <v>966200431</v>
      </c>
      <c r="B4972" s="116" t="str">
        <f t="shared" si="77"/>
        <v>96-966200431</v>
      </c>
      <c r="C4972" s="179" t="s">
        <v>12205</v>
      </c>
    </row>
    <row r="4973" spans="1:3">
      <c r="A4973" s="177">
        <v>966200194</v>
      </c>
      <c r="B4973" s="116" t="str">
        <f t="shared" si="77"/>
        <v>96-966200194</v>
      </c>
      <c r="C4973" s="179" t="s">
        <v>7224</v>
      </c>
    </row>
    <row r="4974" spans="1:3">
      <c r="A4974" s="177">
        <v>951100054</v>
      </c>
      <c r="B4974" s="116" t="str">
        <f t="shared" si="77"/>
        <v>95-951100054</v>
      </c>
      <c r="C4974" s="179" t="s">
        <v>7964</v>
      </c>
    </row>
    <row r="4975" spans="1:3">
      <c r="A4975" s="177">
        <v>951900028</v>
      </c>
      <c r="B4975" s="116" t="str">
        <f t="shared" si="77"/>
        <v>95-951900028</v>
      </c>
      <c r="C4975" s="179" t="s">
        <v>8390</v>
      </c>
    </row>
    <row r="4976" spans="1:3">
      <c r="A4976" s="177">
        <v>951800142</v>
      </c>
      <c r="B4976" s="116" t="str">
        <f t="shared" si="77"/>
        <v>95-951800142</v>
      </c>
      <c r="C4976" s="179" t="s">
        <v>7780</v>
      </c>
    </row>
    <row r="4977" spans="1:3">
      <c r="A4977" s="177">
        <v>951600089</v>
      </c>
      <c r="B4977" s="116" t="str">
        <f t="shared" si="77"/>
        <v>95-951600089</v>
      </c>
      <c r="C4977" s="179" t="s">
        <v>8200</v>
      </c>
    </row>
    <row r="4978" spans="1:3">
      <c r="A4978" s="177">
        <v>951900267</v>
      </c>
      <c r="B4978" s="116" t="str">
        <f t="shared" si="77"/>
        <v>95-951900267</v>
      </c>
      <c r="C4978" s="179" t="s">
        <v>7610</v>
      </c>
    </row>
    <row r="4979" spans="1:3">
      <c r="A4979" s="177">
        <v>961900167</v>
      </c>
      <c r="B4979" s="116" t="str">
        <f t="shared" si="77"/>
        <v>96-961900167</v>
      </c>
      <c r="C4979" s="179" t="s">
        <v>7193</v>
      </c>
    </row>
    <row r="4980" spans="1:3">
      <c r="A4980" s="177">
        <v>951900320</v>
      </c>
      <c r="B4980" s="116" t="str">
        <f t="shared" si="77"/>
        <v>95-951900320</v>
      </c>
      <c r="C4980" s="179" t="s">
        <v>7888</v>
      </c>
    </row>
    <row r="4981" spans="1:3">
      <c r="A4981" s="177">
        <v>951700363</v>
      </c>
      <c r="B4981" s="116" t="str">
        <f t="shared" si="77"/>
        <v>95-951700363</v>
      </c>
      <c r="C4981" s="179" t="s">
        <v>7888</v>
      </c>
    </row>
    <row r="4982" spans="1:3">
      <c r="A4982" s="177">
        <v>961700023</v>
      </c>
      <c r="B4982" s="116" t="str">
        <f t="shared" si="77"/>
        <v>96-961700023</v>
      </c>
      <c r="C4982" s="179" t="s">
        <v>7846</v>
      </c>
    </row>
    <row r="4983" spans="1:3">
      <c r="A4983" s="177">
        <v>966200493</v>
      </c>
      <c r="B4983" s="116" t="str">
        <f t="shared" si="77"/>
        <v>96-966200493</v>
      </c>
      <c r="C4983" s="179" t="s">
        <v>12289</v>
      </c>
    </row>
    <row r="4984" spans="1:3">
      <c r="A4984" s="177">
        <v>951700052</v>
      </c>
      <c r="B4984" s="116" t="str">
        <f t="shared" si="77"/>
        <v>95-951700052</v>
      </c>
      <c r="C4984" s="179" t="s">
        <v>7826</v>
      </c>
    </row>
    <row r="4985" spans="1:3">
      <c r="A4985" s="177">
        <v>951700054</v>
      </c>
      <c r="B4985" s="116" t="str">
        <f t="shared" si="77"/>
        <v>95-951700054</v>
      </c>
      <c r="C4985" s="179" t="s">
        <v>7826</v>
      </c>
    </row>
    <row r="4986" spans="1:3">
      <c r="A4986" s="177">
        <v>966200072</v>
      </c>
      <c r="B4986" s="116" t="str">
        <f t="shared" si="77"/>
        <v>96-966200072</v>
      </c>
      <c r="C4986" s="179" t="s">
        <v>8391</v>
      </c>
    </row>
    <row r="4987" spans="1:3">
      <c r="A4987" s="177">
        <v>964100092</v>
      </c>
      <c r="B4987" s="116" t="str">
        <f t="shared" si="77"/>
        <v>96-964100092</v>
      </c>
      <c r="C4987" s="179" t="s">
        <v>12409</v>
      </c>
    </row>
    <row r="4988" spans="1:3">
      <c r="A4988" s="177">
        <v>964300008</v>
      </c>
      <c r="B4988" s="116" t="str">
        <f t="shared" si="77"/>
        <v>96-964300008</v>
      </c>
      <c r="C4988" s="179" t="s">
        <v>7450</v>
      </c>
    </row>
    <row r="4989" spans="1:3">
      <c r="A4989" s="177">
        <v>964300012</v>
      </c>
      <c r="B4989" s="116" t="str">
        <f t="shared" si="77"/>
        <v>96-964300012</v>
      </c>
      <c r="C4989" s="179" t="s">
        <v>7125</v>
      </c>
    </row>
    <row r="4990" spans="1:3">
      <c r="A4990" s="177">
        <v>964300019</v>
      </c>
      <c r="B4990" s="116" t="str">
        <f t="shared" si="77"/>
        <v>96-964300019</v>
      </c>
      <c r="C4990" s="179" t="s">
        <v>7125</v>
      </c>
    </row>
    <row r="4991" spans="1:3">
      <c r="A4991" s="177">
        <v>964300033</v>
      </c>
      <c r="B4991" s="116" t="str">
        <f t="shared" si="77"/>
        <v>96-964300033</v>
      </c>
      <c r="C4991" s="179" t="s">
        <v>12413</v>
      </c>
    </row>
    <row r="4992" spans="1:3">
      <c r="A4992" s="177">
        <v>962000385</v>
      </c>
      <c r="B4992" s="116" t="str">
        <f t="shared" si="77"/>
        <v>96-962000385</v>
      </c>
      <c r="C4992" s="179" t="s">
        <v>12208</v>
      </c>
    </row>
    <row r="4993" spans="1:3">
      <c r="A4993" s="177">
        <v>961100101</v>
      </c>
      <c r="B4993" s="116" t="str">
        <f t="shared" si="77"/>
        <v>96-961100101</v>
      </c>
      <c r="C4993" s="179" t="s">
        <v>12304</v>
      </c>
    </row>
    <row r="4994" spans="1:3">
      <c r="A4994" s="177">
        <v>956200146</v>
      </c>
      <c r="B4994" s="116" t="str">
        <f t="shared" si="77"/>
        <v>95-956200146</v>
      </c>
      <c r="C4994" s="179" t="s">
        <v>7965</v>
      </c>
    </row>
    <row r="4995" spans="1:3">
      <c r="A4995" s="177">
        <v>966200249</v>
      </c>
      <c r="B4995" s="116" t="str">
        <f t="shared" ref="B4995:B5058" si="78">MID(A4995,1,2)&amp;"-"&amp;A4995</f>
        <v>96-966200249</v>
      </c>
      <c r="C4995" s="179" t="s">
        <v>7225</v>
      </c>
    </row>
    <row r="4996" spans="1:3">
      <c r="A4996" s="177">
        <v>954200006</v>
      </c>
      <c r="B4996" s="116" t="str">
        <f t="shared" si="78"/>
        <v>95-954200006</v>
      </c>
      <c r="C4996" s="179" t="s">
        <v>5628</v>
      </c>
    </row>
    <row r="4997" spans="1:3">
      <c r="A4997" s="177">
        <v>966000012</v>
      </c>
      <c r="B4997" s="116" t="str">
        <f t="shared" si="78"/>
        <v>96-966000012</v>
      </c>
      <c r="C4997" s="179" t="s">
        <v>7146</v>
      </c>
    </row>
    <row r="4998" spans="1:3">
      <c r="A4998" s="177">
        <v>951700344</v>
      </c>
      <c r="B4998" s="116" t="str">
        <f t="shared" si="78"/>
        <v>95-951700344</v>
      </c>
      <c r="C4998" s="179" t="s">
        <v>7610</v>
      </c>
    </row>
    <row r="4999" spans="1:3">
      <c r="A4999" s="177">
        <v>951800026</v>
      </c>
      <c r="B4999" s="116" t="str">
        <f t="shared" si="78"/>
        <v>95-951800026</v>
      </c>
      <c r="C4999" s="179" t="s">
        <v>7194</v>
      </c>
    </row>
    <row r="5000" spans="1:3">
      <c r="A5000" s="177">
        <v>951800140</v>
      </c>
      <c r="B5000" s="116" t="str">
        <f t="shared" si="78"/>
        <v>95-951800140</v>
      </c>
      <c r="C5000" s="179" t="s">
        <v>8393</v>
      </c>
    </row>
    <row r="5001" spans="1:3">
      <c r="A5001" s="177">
        <v>956200352</v>
      </c>
      <c r="B5001" s="116" t="str">
        <f t="shared" si="78"/>
        <v>95-956200352</v>
      </c>
      <c r="C5001" s="179" t="s">
        <v>7949</v>
      </c>
    </row>
    <row r="5002" spans="1:3">
      <c r="A5002" s="177">
        <v>962000377</v>
      </c>
      <c r="B5002" s="116" t="str">
        <f t="shared" si="78"/>
        <v>96-962000377</v>
      </c>
      <c r="C5002" s="179" t="s">
        <v>12208</v>
      </c>
    </row>
    <row r="5003" spans="1:3">
      <c r="A5003" s="177">
        <v>952000001</v>
      </c>
      <c r="B5003" s="116" t="str">
        <f t="shared" si="78"/>
        <v>95-952000001</v>
      </c>
      <c r="C5003" s="179" t="s">
        <v>8431</v>
      </c>
    </row>
    <row r="5004" spans="1:3">
      <c r="A5004" s="177">
        <v>952000232</v>
      </c>
      <c r="B5004" s="116" t="str">
        <f t="shared" si="78"/>
        <v>95-952000232</v>
      </c>
      <c r="C5004" s="179" t="s">
        <v>7903</v>
      </c>
    </row>
    <row r="5005" spans="1:3">
      <c r="A5005" s="177">
        <v>952000254</v>
      </c>
      <c r="B5005" s="116" t="str">
        <f t="shared" si="78"/>
        <v>95-952000254</v>
      </c>
      <c r="C5005" s="179" t="s">
        <v>8432</v>
      </c>
    </row>
    <row r="5006" spans="1:3">
      <c r="A5006" s="177">
        <v>962000123</v>
      </c>
      <c r="B5006" s="116" t="str">
        <f t="shared" si="78"/>
        <v>96-962000123</v>
      </c>
      <c r="C5006" s="179" t="s">
        <v>7936</v>
      </c>
    </row>
    <row r="5007" spans="1:3">
      <c r="A5007" s="177">
        <v>952000035</v>
      </c>
      <c r="B5007" s="116" t="str">
        <f t="shared" si="78"/>
        <v>95-952000035</v>
      </c>
      <c r="C5007" s="179" t="s">
        <v>7904</v>
      </c>
    </row>
    <row r="5008" spans="1:3">
      <c r="A5008" s="177">
        <v>956200068</v>
      </c>
      <c r="B5008" s="116" t="str">
        <f t="shared" si="78"/>
        <v>95-956200068</v>
      </c>
      <c r="C5008" s="179" t="s">
        <v>8433</v>
      </c>
    </row>
    <row r="5009" spans="1:3">
      <c r="A5009" s="177">
        <v>956200028</v>
      </c>
      <c r="B5009" s="116" t="str">
        <f t="shared" si="78"/>
        <v>95-956200028</v>
      </c>
      <c r="C5009" s="179" t="s">
        <v>8434</v>
      </c>
    </row>
    <row r="5010" spans="1:3">
      <c r="A5010" s="177">
        <v>956200170</v>
      </c>
      <c r="B5010" s="116" t="str">
        <f t="shared" si="78"/>
        <v>95-956200170</v>
      </c>
      <c r="C5010" s="179" t="s">
        <v>7938</v>
      </c>
    </row>
    <row r="5011" spans="1:3">
      <c r="A5011" s="177">
        <v>951400142</v>
      </c>
      <c r="B5011" s="116" t="str">
        <f t="shared" si="78"/>
        <v>95-951400142</v>
      </c>
      <c r="C5011" s="179" t="s">
        <v>8394</v>
      </c>
    </row>
    <row r="5012" spans="1:3">
      <c r="A5012" s="177">
        <v>961700014</v>
      </c>
      <c r="B5012" s="116" t="str">
        <f t="shared" si="78"/>
        <v>96-961700014</v>
      </c>
      <c r="C5012" s="179" t="s">
        <v>8395</v>
      </c>
    </row>
    <row r="5013" spans="1:3">
      <c r="A5013" s="177">
        <v>966200221</v>
      </c>
      <c r="B5013" s="116" t="str">
        <f t="shared" si="78"/>
        <v>96-966200221</v>
      </c>
      <c r="C5013" s="179" t="s">
        <v>7707</v>
      </c>
    </row>
    <row r="5014" spans="1:3">
      <c r="A5014" s="177">
        <v>966200251</v>
      </c>
      <c r="B5014" s="116" t="str">
        <f t="shared" si="78"/>
        <v>96-966200251</v>
      </c>
      <c r="C5014" s="179" t="s">
        <v>7715</v>
      </c>
    </row>
    <row r="5015" spans="1:3">
      <c r="A5015" s="177">
        <v>961700097</v>
      </c>
      <c r="B5015" s="116" t="str">
        <f t="shared" si="78"/>
        <v>96-961700097</v>
      </c>
      <c r="C5015" s="179" t="s">
        <v>8219</v>
      </c>
    </row>
    <row r="5016" spans="1:3">
      <c r="A5016" s="177">
        <v>951600060</v>
      </c>
      <c r="B5016" s="116" t="str">
        <f t="shared" si="78"/>
        <v>95-951600060</v>
      </c>
      <c r="C5016" s="179" t="s">
        <v>7207</v>
      </c>
    </row>
    <row r="5017" spans="1:3">
      <c r="A5017" s="177">
        <v>951700113</v>
      </c>
      <c r="B5017" s="116" t="str">
        <f t="shared" si="78"/>
        <v>95-951700113</v>
      </c>
      <c r="C5017" s="179" t="s">
        <v>8396</v>
      </c>
    </row>
    <row r="5018" spans="1:3">
      <c r="A5018" s="177">
        <v>951700251</v>
      </c>
      <c r="B5018" s="116" t="str">
        <f t="shared" si="78"/>
        <v>95-951700251</v>
      </c>
      <c r="C5018" s="179" t="s">
        <v>8334</v>
      </c>
    </row>
    <row r="5019" spans="1:3">
      <c r="A5019" s="177">
        <v>951700306</v>
      </c>
      <c r="B5019" s="116" t="str">
        <f t="shared" si="78"/>
        <v>95-951700306</v>
      </c>
      <c r="C5019" s="179" t="s">
        <v>8334</v>
      </c>
    </row>
    <row r="5020" spans="1:3">
      <c r="A5020" s="177">
        <v>952000338</v>
      </c>
      <c r="B5020" s="116" t="str">
        <f t="shared" si="78"/>
        <v>95-952000338</v>
      </c>
      <c r="C5020" s="179" t="s">
        <v>7912</v>
      </c>
    </row>
    <row r="5021" spans="1:3">
      <c r="A5021" s="177">
        <v>951100081</v>
      </c>
      <c r="B5021" s="116" t="str">
        <f t="shared" si="78"/>
        <v>95-951100081</v>
      </c>
      <c r="C5021" s="179" t="s">
        <v>7982</v>
      </c>
    </row>
    <row r="5022" spans="1:3">
      <c r="A5022" s="177">
        <v>962000379</v>
      </c>
      <c r="B5022" s="116" t="str">
        <f t="shared" si="78"/>
        <v>96-962000379</v>
      </c>
      <c r="C5022" s="179" t="s">
        <v>12208</v>
      </c>
    </row>
    <row r="5023" spans="1:3">
      <c r="A5023" s="177">
        <v>962000359</v>
      </c>
      <c r="B5023" s="116" t="str">
        <f t="shared" si="78"/>
        <v>96-962000359</v>
      </c>
      <c r="C5023" s="179" t="s">
        <v>12208</v>
      </c>
    </row>
    <row r="5024" spans="1:3">
      <c r="A5024" s="177">
        <v>956200171</v>
      </c>
      <c r="B5024" s="116" t="str">
        <f t="shared" si="78"/>
        <v>95-956200171</v>
      </c>
      <c r="C5024" s="179" t="s">
        <v>7938</v>
      </c>
    </row>
    <row r="5025" spans="1:3">
      <c r="A5025" s="177">
        <v>966200190</v>
      </c>
      <c r="B5025" s="116" t="str">
        <f t="shared" si="78"/>
        <v>96-966200190</v>
      </c>
      <c r="C5025" s="179" t="s">
        <v>8435</v>
      </c>
    </row>
    <row r="5026" spans="1:3">
      <c r="A5026" s="177">
        <v>966200373</v>
      </c>
      <c r="B5026" s="116" t="str">
        <f t="shared" si="78"/>
        <v>96-966200373</v>
      </c>
      <c r="C5026" s="179" t="s">
        <v>12299</v>
      </c>
    </row>
    <row r="5027" spans="1:3">
      <c r="A5027" s="177">
        <v>956200268</v>
      </c>
      <c r="B5027" s="116" t="str">
        <f t="shared" si="78"/>
        <v>95-956200268</v>
      </c>
      <c r="C5027" s="179" t="s">
        <v>7918</v>
      </c>
    </row>
    <row r="5028" spans="1:3">
      <c r="A5028" s="177">
        <v>956200201</v>
      </c>
      <c r="B5028" s="116" t="str">
        <f t="shared" si="78"/>
        <v>95-956200201</v>
      </c>
      <c r="C5028" s="179" t="s">
        <v>7879</v>
      </c>
    </row>
    <row r="5029" spans="1:3">
      <c r="A5029" s="177">
        <v>956200203</v>
      </c>
      <c r="B5029" s="116" t="str">
        <f t="shared" si="78"/>
        <v>95-956200203</v>
      </c>
      <c r="C5029" s="179" t="s">
        <v>7879</v>
      </c>
    </row>
    <row r="5030" spans="1:3">
      <c r="A5030" s="177">
        <v>956200270</v>
      </c>
      <c r="B5030" s="116" t="str">
        <f t="shared" si="78"/>
        <v>95-956200270</v>
      </c>
      <c r="C5030" s="179" t="s">
        <v>7918</v>
      </c>
    </row>
    <row r="5031" spans="1:3">
      <c r="A5031" s="177">
        <v>956200271</v>
      </c>
      <c r="B5031" s="116" t="str">
        <f t="shared" si="78"/>
        <v>95-956200271</v>
      </c>
      <c r="C5031" s="179" t="s">
        <v>7918</v>
      </c>
    </row>
    <row r="5032" spans="1:3">
      <c r="A5032" s="177">
        <v>956200274</v>
      </c>
      <c r="B5032" s="116" t="str">
        <f t="shared" si="78"/>
        <v>95-956200274</v>
      </c>
      <c r="C5032" s="179" t="s">
        <v>7918</v>
      </c>
    </row>
    <row r="5033" spans="1:3">
      <c r="A5033" s="177">
        <v>956200321</v>
      </c>
      <c r="B5033" s="116" t="str">
        <f t="shared" si="78"/>
        <v>95-956200321</v>
      </c>
      <c r="C5033" s="179" t="s">
        <v>7880</v>
      </c>
    </row>
    <row r="5034" spans="1:3">
      <c r="A5034" s="177">
        <v>952200011</v>
      </c>
      <c r="B5034" s="116" t="str">
        <f t="shared" si="78"/>
        <v>95-952200011</v>
      </c>
      <c r="C5034" s="179" t="s">
        <v>7172</v>
      </c>
    </row>
    <row r="5035" spans="1:3">
      <c r="A5035" s="177">
        <v>952200025</v>
      </c>
      <c r="B5035" s="116" t="str">
        <f t="shared" si="78"/>
        <v>95-952200025</v>
      </c>
      <c r="C5035" s="179" t="s">
        <v>7174</v>
      </c>
    </row>
    <row r="5036" spans="1:3">
      <c r="A5036" s="177">
        <v>952200048</v>
      </c>
      <c r="B5036" s="116" t="str">
        <f t="shared" si="78"/>
        <v>95-952200048</v>
      </c>
      <c r="C5036" s="179" t="s">
        <v>7174</v>
      </c>
    </row>
    <row r="5037" spans="1:3">
      <c r="A5037" s="177">
        <v>952200056</v>
      </c>
      <c r="B5037" s="116" t="str">
        <f t="shared" si="78"/>
        <v>95-952200056</v>
      </c>
      <c r="C5037" s="179" t="s">
        <v>7235</v>
      </c>
    </row>
    <row r="5038" spans="1:3">
      <c r="A5038" s="177">
        <v>952200060</v>
      </c>
      <c r="B5038" s="116" t="str">
        <f t="shared" si="78"/>
        <v>95-952200060</v>
      </c>
      <c r="C5038" s="179" t="s">
        <v>7235</v>
      </c>
    </row>
    <row r="5039" spans="1:3">
      <c r="A5039" s="177">
        <v>952200068</v>
      </c>
      <c r="B5039" s="116" t="str">
        <f t="shared" si="78"/>
        <v>95-952200068</v>
      </c>
      <c r="C5039" s="179" t="s">
        <v>7126</v>
      </c>
    </row>
    <row r="5040" spans="1:3">
      <c r="A5040" s="177">
        <v>952200071</v>
      </c>
      <c r="B5040" s="116" t="str">
        <f t="shared" si="78"/>
        <v>95-952200071</v>
      </c>
      <c r="C5040" s="179" t="s">
        <v>7174</v>
      </c>
    </row>
    <row r="5041" spans="1:3">
      <c r="A5041" s="177">
        <v>952200081</v>
      </c>
      <c r="B5041" s="116" t="str">
        <f t="shared" si="78"/>
        <v>95-952200081</v>
      </c>
      <c r="C5041" s="179" t="s">
        <v>7239</v>
      </c>
    </row>
    <row r="5042" spans="1:3">
      <c r="A5042" s="177">
        <v>952200083</v>
      </c>
      <c r="B5042" s="116" t="str">
        <f t="shared" si="78"/>
        <v>95-952200083</v>
      </c>
      <c r="C5042" s="179" t="s">
        <v>7239</v>
      </c>
    </row>
    <row r="5043" spans="1:3">
      <c r="A5043" s="177">
        <v>952200086</v>
      </c>
      <c r="B5043" s="116" t="str">
        <f t="shared" si="78"/>
        <v>95-952200086</v>
      </c>
      <c r="C5043" s="179" t="s">
        <v>7239</v>
      </c>
    </row>
    <row r="5044" spans="1:3">
      <c r="A5044" s="177">
        <v>962200017</v>
      </c>
      <c r="B5044" s="116" t="str">
        <f t="shared" si="78"/>
        <v>96-962200017</v>
      </c>
      <c r="C5044" s="179" t="s">
        <v>7229</v>
      </c>
    </row>
    <row r="5045" spans="1:3">
      <c r="A5045" s="177">
        <v>962200020</v>
      </c>
      <c r="B5045" s="116" t="str">
        <f t="shared" si="78"/>
        <v>96-962200020</v>
      </c>
      <c r="C5045" s="179" t="s">
        <v>7230</v>
      </c>
    </row>
    <row r="5046" spans="1:3">
      <c r="A5046" s="177">
        <v>951600019</v>
      </c>
      <c r="B5046" s="116" t="str">
        <f t="shared" si="78"/>
        <v>95-951600019</v>
      </c>
      <c r="C5046" s="179" t="s">
        <v>7722</v>
      </c>
    </row>
    <row r="5047" spans="1:3">
      <c r="A5047" s="177">
        <v>956100004</v>
      </c>
      <c r="B5047" s="116" t="str">
        <f t="shared" si="78"/>
        <v>95-956100004</v>
      </c>
      <c r="C5047" s="179" t="s">
        <v>7826</v>
      </c>
    </row>
    <row r="5048" spans="1:3">
      <c r="A5048" s="177">
        <v>951900158</v>
      </c>
      <c r="B5048" s="116" t="str">
        <f t="shared" si="78"/>
        <v>95-951900158</v>
      </c>
      <c r="C5048" s="179" t="s">
        <v>7729</v>
      </c>
    </row>
    <row r="5049" spans="1:3">
      <c r="A5049" s="177">
        <v>966200256</v>
      </c>
      <c r="B5049" s="116" t="str">
        <f t="shared" si="78"/>
        <v>96-966200256</v>
      </c>
      <c r="C5049" s="179" t="s">
        <v>7730</v>
      </c>
    </row>
    <row r="5050" spans="1:3">
      <c r="A5050" s="177">
        <v>966200258</v>
      </c>
      <c r="B5050" s="116" t="str">
        <f t="shared" si="78"/>
        <v>96-966200258</v>
      </c>
      <c r="C5050" s="179" t="s">
        <v>7730</v>
      </c>
    </row>
    <row r="5051" spans="1:3">
      <c r="A5051" s="177">
        <v>966200166</v>
      </c>
      <c r="B5051" s="116" t="str">
        <f t="shared" si="78"/>
        <v>96-966200166</v>
      </c>
      <c r="C5051" s="179" t="s">
        <v>7859</v>
      </c>
    </row>
    <row r="5052" spans="1:3">
      <c r="A5052" s="177">
        <v>966200247</v>
      </c>
      <c r="B5052" s="116" t="str">
        <f t="shared" si="78"/>
        <v>96-966200247</v>
      </c>
      <c r="C5052" s="179" t="s">
        <v>8400</v>
      </c>
    </row>
    <row r="5053" spans="1:3">
      <c r="A5053" s="177">
        <v>966200259</v>
      </c>
      <c r="B5053" s="116" t="str">
        <f t="shared" si="78"/>
        <v>96-966200259</v>
      </c>
      <c r="C5053" s="179" t="s">
        <v>7730</v>
      </c>
    </row>
    <row r="5054" spans="1:3">
      <c r="A5054" s="177">
        <v>961700146</v>
      </c>
      <c r="B5054" s="116" t="str">
        <f t="shared" si="78"/>
        <v>96-961700146</v>
      </c>
      <c r="C5054" s="179" t="s">
        <v>12290</v>
      </c>
    </row>
    <row r="5055" spans="1:3">
      <c r="A5055" s="177">
        <v>966200507</v>
      </c>
      <c r="B5055" s="116" t="str">
        <f t="shared" si="78"/>
        <v>96-966200507</v>
      </c>
      <c r="C5055" s="179" t="s">
        <v>12449</v>
      </c>
    </row>
    <row r="5056" spans="1:3">
      <c r="A5056" s="177">
        <v>951600039</v>
      </c>
      <c r="B5056" s="116" t="str">
        <f t="shared" si="78"/>
        <v>95-951600039</v>
      </c>
      <c r="C5056" s="179" t="s">
        <v>8401</v>
      </c>
    </row>
    <row r="5057" spans="1:3">
      <c r="A5057" s="177">
        <v>956200310</v>
      </c>
      <c r="B5057" s="116" t="str">
        <f t="shared" si="78"/>
        <v>95-956200310</v>
      </c>
      <c r="C5057" s="179" t="s">
        <v>7951</v>
      </c>
    </row>
    <row r="5058" spans="1:3">
      <c r="A5058" s="177">
        <v>956200010</v>
      </c>
      <c r="B5058" s="116" t="str">
        <f t="shared" si="78"/>
        <v>95-956200010</v>
      </c>
      <c r="C5058" s="179" t="s">
        <v>7952</v>
      </c>
    </row>
    <row r="5059" spans="1:3">
      <c r="A5059" s="177">
        <v>956200031</v>
      </c>
      <c r="B5059" s="116" t="str">
        <f t="shared" ref="B5059:B5122" si="79">MID(A5059,1,2)&amp;"-"&amp;A5059</f>
        <v>95-956200031</v>
      </c>
      <c r="C5059" s="179" t="s">
        <v>7915</v>
      </c>
    </row>
    <row r="5060" spans="1:3">
      <c r="A5060" s="177">
        <v>956200042</v>
      </c>
      <c r="B5060" s="116" t="str">
        <f t="shared" si="79"/>
        <v>95-956200042</v>
      </c>
      <c r="C5060" s="179" t="s">
        <v>7953</v>
      </c>
    </row>
    <row r="5061" spans="1:3">
      <c r="A5061" s="177">
        <v>966200532</v>
      </c>
      <c r="B5061" s="116" t="str">
        <f t="shared" si="79"/>
        <v>96-966200532</v>
      </c>
      <c r="C5061" s="179" t="s">
        <v>12416</v>
      </c>
    </row>
    <row r="5062" spans="1:3">
      <c r="A5062" s="177">
        <v>952000009</v>
      </c>
      <c r="B5062" s="116" t="str">
        <f t="shared" si="79"/>
        <v>95-952000009</v>
      </c>
      <c r="C5062" s="179" t="s">
        <v>7904</v>
      </c>
    </row>
    <row r="5063" spans="1:3">
      <c r="A5063" s="177">
        <v>956200093</v>
      </c>
      <c r="B5063" s="116" t="str">
        <f t="shared" si="79"/>
        <v>95-956200093</v>
      </c>
      <c r="C5063" s="179" t="s">
        <v>7955</v>
      </c>
    </row>
    <row r="5064" spans="1:3">
      <c r="A5064" s="177">
        <v>966200209</v>
      </c>
      <c r="B5064" s="116" t="str">
        <f t="shared" si="79"/>
        <v>96-966200209</v>
      </c>
      <c r="C5064" s="179" t="s">
        <v>7956</v>
      </c>
    </row>
    <row r="5065" spans="1:3">
      <c r="A5065" s="177">
        <v>962200097</v>
      </c>
      <c r="B5065" s="116" t="str">
        <f t="shared" si="79"/>
        <v>96-962200097</v>
      </c>
      <c r="C5065" s="179" t="s">
        <v>12423</v>
      </c>
    </row>
    <row r="5066" spans="1:3">
      <c r="A5066" s="177">
        <v>956200185</v>
      </c>
      <c r="B5066" s="116" t="str">
        <f t="shared" si="79"/>
        <v>95-956200185</v>
      </c>
      <c r="C5066" s="179" t="s">
        <v>7957</v>
      </c>
    </row>
    <row r="5067" spans="1:3">
      <c r="A5067" s="177">
        <v>966200186</v>
      </c>
      <c r="B5067" s="116" t="str">
        <f t="shared" si="79"/>
        <v>96-966200186</v>
      </c>
      <c r="C5067" s="179" t="s">
        <v>7942</v>
      </c>
    </row>
    <row r="5068" spans="1:3">
      <c r="A5068" s="177">
        <v>956200197</v>
      </c>
      <c r="B5068" s="116" t="str">
        <f t="shared" si="79"/>
        <v>95-956200197</v>
      </c>
      <c r="C5068" s="179" t="s">
        <v>7879</v>
      </c>
    </row>
    <row r="5069" spans="1:3">
      <c r="A5069" s="177">
        <v>956200200</v>
      </c>
      <c r="B5069" s="116" t="str">
        <f t="shared" si="79"/>
        <v>95-956200200</v>
      </c>
      <c r="C5069" s="179" t="s">
        <v>7879</v>
      </c>
    </row>
    <row r="5070" spans="1:3">
      <c r="A5070" s="177">
        <v>962200031</v>
      </c>
      <c r="B5070" s="116" t="str">
        <f t="shared" si="79"/>
        <v>96-962200031</v>
      </c>
      <c r="C5070" s="179" t="s">
        <v>7228</v>
      </c>
    </row>
    <row r="5071" spans="1:3">
      <c r="A5071" s="177">
        <v>962200054</v>
      </c>
      <c r="B5071" s="116" t="str">
        <f t="shared" si="79"/>
        <v>96-962200054</v>
      </c>
      <c r="C5071" s="179" t="s">
        <v>7452</v>
      </c>
    </row>
    <row r="5072" spans="1:3">
      <c r="A5072" s="177">
        <v>962200095</v>
      </c>
      <c r="B5072" s="116" t="str">
        <f t="shared" si="79"/>
        <v>96-962200095</v>
      </c>
      <c r="C5072" s="179" t="s">
        <v>12450</v>
      </c>
    </row>
    <row r="5073" spans="1:3">
      <c r="A5073" s="177">
        <v>956200311</v>
      </c>
      <c r="B5073" s="116" t="str">
        <f t="shared" si="79"/>
        <v>95-956200311</v>
      </c>
      <c r="C5073" s="179" t="s">
        <v>7951</v>
      </c>
    </row>
    <row r="5074" spans="1:3">
      <c r="A5074" s="177">
        <v>956200277</v>
      </c>
      <c r="B5074" s="116" t="str">
        <f t="shared" si="79"/>
        <v>95-956200277</v>
      </c>
      <c r="C5074" s="179" t="s">
        <v>7918</v>
      </c>
    </row>
    <row r="5075" spans="1:3">
      <c r="A5075" s="177">
        <v>952000258</v>
      </c>
      <c r="B5075" s="116" t="str">
        <f t="shared" si="79"/>
        <v>95-952000258</v>
      </c>
      <c r="C5075" s="179" t="s">
        <v>8432</v>
      </c>
    </row>
    <row r="5076" spans="1:3">
      <c r="A5076" s="177">
        <v>962000364</v>
      </c>
      <c r="B5076" s="116" t="str">
        <f t="shared" si="79"/>
        <v>96-962000364</v>
      </c>
      <c r="C5076" s="179" t="s">
        <v>12208</v>
      </c>
    </row>
    <row r="5077" spans="1:3">
      <c r="A5077" s="177">
        <v>952000007</v>
      </c>
      <c r="B5077" s="116" t="str">
        <f t="shared" si="79"/>
        <v>95-952000007</v>
      </c>
      <c r="C5077" s="179" t="s">
        <v>7904</v>
      </c>
    </row>
    <row r="5078" spans="1:3">
      <c r="A5078" s="177">
        <v>962000369</v>
      </c>
      <c r="B5078" s="116" t="str">
        <f t="shared" si="79"/>
        <v>96-962000369</v>
      </c>
      <c r="C5078" s="179" t="s">
        <v>12208</v>
      </c>
    </row>
    <row r="5079" spans="1:3">
      <c r="A5079" s="177">
        <v>952000109</v>
      </c>
      <c r="B5079" s="116" t="str">
        <f t="shared" si="79"/>
        <v>95-952000109</v>
      </c>
      <c r="C5079" s="179" t="s">
        <v>8440</v>
      </c>
    </row>
    <row r="5080" spans="1:3">
      <c r="A5080" s="177">
        <v>956200160</v>
      </c>
      <c r="B5080" s="116" t="str">
        <f t="shared" si="79"/>
        <v>95-956200160</v>
      </c>
      <c r="C5080" s="179" t="s">
        <v>7980</v>
      </c>
    </row>
    <row r="5081" spans="1:3">
      <c r="A5081" s="177">
        <v>956200162</v>
      </c>
      <c r="B5081" s="116" t="str">
        <f t="shared" si="79"/>
        <v>95-956200162</v>
      </c>
      <c r="C5081" s="179" t="s">
        <v>7980</v>
      </c>
    </row>
    <row r="5082" spans="1:3">
      <c r="A5082" s="177">
        <v>956200204</v>
      </c>
      <c r="B5082" s="116" t="str">
        <f t="shared" si="79"/>
        <v>95-956200204</v>
      </c>
      <c r="C5082" s="179" t="s">
        <v>7879</v>
      </c>
    </row>
    <row r="5083" spans="1:3">
      <c r="A5083" s="177">
        <v>956200205</v>
      </c>
      <c r="B5083" s="116" t="str">
        <f t="shared" si="79"/>
        <v>95-956200205</v>
      </c>
      <c r="C5083" s="179" t="s">
        <v>7879</v>
      </c>
    </row>
    <row r="5084" spans="1:3">
      <c r="A5084" s="177">
        <v>956200221</v>
      </c>
      <c r="B5084" s="116" t="str">
        <f t="shared" si="79"/>
        <v>95-956200221</v>
      </c>
      <c r="C5084" s="179" t="s">
        <v>7919</v>
      </c>
    </row>
    <row r="5085" spans="1:3">
      <c r="A5085" s="177">
        <v>966200149</v>
      </c>
      <c r="B5085" s="116" t="str">
        <f t="shared" si="79"/>
        <v>96-966200149</v>
      </c>
      <c r="C5085" s="179" t="s">
        <v>7958</v>
      </c>
    </row>
    <row r="5086" spans="1:3">
      <c r="A5086" s="177">
        <v>966200408</v>
      </c>
      <c r="B5086" s="116" t="str">
        <f t="shared" si="79"/>
        <v>96-966200408</v>
      </c>
      <c r="C5086" s="179" t="s">
        <v>12210</v>
      </c>
    </row>
    <row r="5087" spans="1:3">
      <c r="A5087" s="177">
        <v>961900189</v>
      </c>
      <c r="B5087" s="116" t="str">
        <f t="shared" si="79"/>
        <v>96-961900189</v>
      </c>
      <c r="C5087" s="179" t="s">
        <v>12313</v>
      </c>
    </row>
    <row r="5088" spans="1:3">
      <c r="A5088" s="177">
        <v>961900038</v>
      </c>
      <c r="B5088" s="116" t="str">
        <f t="shared" si="79"/>
        <v>96-961900038</v>
      </c>
      <c r="C5088" s="179" t="s">
        <v>8402</v>
      </c>
    </row>
    <row r="5089" spans="1:3">
      <c r="A5089" s="177">
        <v>951600045</v>
      </c>
      <c r="B5089" s="116" t="str">
        <f t="shared" si="79"/>
        <v>95-951600045</v>
      </c>
      <c r="C5089" s="179" t="s">
        <v>7901</v>
      </c>
    </row>
    <row r="5090" spans="1:3">
      <c r="A5090" s="177">
        <v>961900064</v>
      </c>
      <c r="B5090" s="116" t="str">
        <f t="shared" si="79"/>
        <v>96-961900064</v>
      </c>
      <c r="C5090" s="179" t="s">
        <v>8403</v>
      </c>
    </row>
    <row r="5091" spans="1:3">
      <c r="A5091" s="177">
        <v>961900157</v>
      </c>
      <c r="B5091" s="116" t="str">
        <f t="shared" si="79"/>
        <v>96-961900157</v>
      </c>
      <c r="C5091" s="179" t="s">
        <v>8596</v>
      </c>
    </row>
    <row r="5092" spans="1:3">
      <c r="A5092" s="177">
        <v>951600025</v>
      </c>
      <c r="B5092" s="116" t="str">
        <f t="shared" si="79"/>
        <v>95-951600025</v>
      </c>
      <c r="C5092" s="179" t="s">
        <v>8404</v>
      </c>
    </row>
    <row r="5093" spans="1:3">
      <c r="A5093" s="177">
        <v>951600024</v>
      </c>
      <c r="B5093" s="116" t="str">
        <f t="shared" si="79"/>
        <v>95-951600024</v>
      </c>
      <c r="C5093" s="179" t="s">
        <v>8405</v>
      </c>
    </row>
    <row r="5094" spans="1:3">
      <c r="A5094" s="177">
        <v>956000006</v>
      </c>
      <c r="B5094" s="116" t="str">
        <f t="shared" si="79"/>
        <v>95-956000006</v>
      </c>
      <c r="C5094" s="179" t="s">
        <v>7146</v>
      </c>
    </row>
    <row r="5095" spans="1:3">
      <c r="A5095" s="177">
        <v>966000024</v>
      </c>
      <c r="B5095" s="116" t="str">
        <f t="shared" si="79"/>
        <v>96-966000024</v>
      </c>
      <c r="C5095" s="179" t="s">
        <v>6348</v>
      </c>
    </row>
    <row r="5096" spans="1:3">
      <c r="A5096" s="177">
        <v>951200046</v>
      </c>
      <c r="B5096" s="116" t="str">
        <f t="shared" si="79"/>
        <v>95-951200046</v>
      </c>
      <c r="C5096" s="179" t="s">
        <v>7174</v>
      </c>
    </row>
    <row r="5097" spans="1:3">
      <c r="A5097" s="177">
        <v>951200050</v>
      </c>
      <c r="B5097" s="116" t="str">
        <f t="shared" si="79"/>
        <v>95-951200050</v>
      </c>
      <c r="C5097" s="179" t="s">
        <v>7174</v>
      </c>
    </row>
    <row r="5098" spans="1:3">
      <c r="A5098" s="177">
        <v>951500101</v>
      </c>
      <c r="B5098" s="116" t="str">
        <f t="shared" si="79"/>
        <v>95-951500101</v>
      </c>
      <c r="C5098" s="179" t="s">
        <v>5618</v>
      </c>
    </row>
    <row r="5099" spans="1:3">
      <c r="A5099" s="177">
        <v>951100140</v>
      </c>
      <c r="B5099" s="116" t="str">
        <f t="shared" si="79"/>
        <v>95-951100140</v>
      </c>
      <c r="C5099" s="179" t="s">
        <v>8436</v>
      </c>
    </row>
    <row r="5100" spans="1:3">
      <c r="A5100" s="177">
        <v>962200018</v>
      </c>
      <c r="B5100" s="116" t="str">
        <f t="shared" si="79"/>
        <v>96-962200018</v>
      </c>
      <c r="C5100" s="179" t="s">
        <v>7239</v>
      </c>
    </row>
    <row r="5101" spans="1:3">
      <c r="A5101" s="177">
        <v>951200032</v>
      </c>
      <c r="B5101" s="116" t="str">
        <f t="shared" si="79"/>
        <v>95-951200032</v>
      </c>
      <c r="C5101" s="179" t="s">
        <v>7172</v>
      </c>
    </row>
    <row r="5102" spans="1:3">
      <c r="A5102" s="177">
        <v>951200078</v>
      </c>
      <c r="B5102" s="116" t="str">
        <f t="shared" si="79"/>
        <v>95-951200078</v>
      </c>
      <c r="C5102" s="179" t="s">
        <v>7172</v>
      </c>
    </row>
    <row r="5103" spans="1:3">
      <c r="A5103" s="177">
        <v>952000089</v>
      </c>
      <c r="B5103" s="116" t="str">
        <f t="shared" si="79"/>
        <v>95-952000089</v>
      </c>
      <c r="C5103" s="179" t="s">
        <v>8441</v>
      </c>
    </row>
    <row r="5104" spans="1:3">
      <c r="A5104" s="177">
        <v>956200027</v>
      </c>
      <c r="B5104" s="116" t="str">
        <f t="shared" si="79"/>
        <v>95-956200027</v>
      </c>
      <c r="C5104" s="179" t="s">
        <v>8442</v>
      </c>
    </row>
    <row r="5105" spans="1:3">
      <c r="A5105" s="177">
        <v>966200309</v>
      </c>
      <c r="B5105" s="116" t="str">
        <f t="shared" si="79"/>
        <v>96-966200309</v>
      </c>
      <c r="C5105" s="179" t="s">
        <v>8742</v>
      </c>
    </row>
    <row r="5106" spans="1:3">
      <c r="A5106" s="177">
        <v>956200043</v>
      </c>
      <c r="B5106" s="116" t="str">
        <f t="shared" si="79"/>
        <v>95-956200043</v>
      </c>
      <c r="C5106" s="179" t="s">
        <v>7953</v>
      </c>
    </row>
    <row r="5107" spans="1:3">
      <c r="A5107" s="177">
        <v>962000357</v>
      </c>
      <c r="B5107" s="116" t="str">
        <f t="shared" si="79"/>
        <v>96-962000357</v>
      </c>
      <c r="C5107" s="179" t="s">
        <v>12208</v>
      </c>
    </row>
    <row r="5108" spans="1:3">
      <c r="A5108" s="177">
        <v>952000008</v>
      </c>
      <c r="B5108" s="116" t="str">
        <f t="shared" si="79"/>
        <v>95-952000008</v>
      </c>
      <c r="C5108" s="179" t="s">
        <v>7904</v>
      </c>
    </row>
    <row r="5109" spans="1:3">
      <c r="A5109" s="177">
        <v>956200077</v>
      </c>
      <c r="B5109" s="116" t="str">
        <f t="shared" si="79"/>
        <v>95-956200077</v>
      </c>
      <c r="C5109" s="179" t="s">
        <v>8445</v>
      </c>
    </row>
    <row r="5110" spans="1:3">
      <c r="A5110" s="177">
        <v>956200084</v>
      </c>
      <c r="B5110" s="116" t="str">
        <f t="shared" si="79"/>
        <v>95-956200084</v>
      </c>
      <c r="C5110" s="179" t="s">
        <v>8446</v>
      </c>
    </row>
    <row r="5111" spans="1:3">
      <c r="A5111" s="177">
        <v>956200085</v>
      </c>
      <c r="B5111" s="116" t="str">
        <f t="shared" si="79"/>
        <v>95-956200085</v>
      </c>
      <c r="C5111" s="179" t="s">
        <v>8446</v>
      </c>
    </row>
    <row r="5112" spans="1:3">
      <c r="A5112" s="177">
        <v>956200111</v>
      </c>
      <c r="B5112" s="116" t="str">
        <f t="shared" si="79"/>
        <v>95-956200111</v>
      </c>
      <c r="C5112" s="179" t="s">
        <v>8447</v>
      </c>
    </row>
    <row r="5113" spans="1:3">
      <c r="A5113" s="177">
        <v>952500069</v>
      </c>
      <c r="B5113" s="116" t="str">
        <f t="shared" si="79"/>
        <v>95-952500069</v>
      </c>
      <c r="C5113" s="179" t="s">
        <v>5716</v>
      </c>
    </row>
    <row r="5114" spans="1:3">
      <c r="A5114" s="177">
        <v>962500195</v>
      </c>
      <c r="B5114" s="116" t="str">
        <f t="shared" si="79"/>
        <v>96-962500195</v>
      </c>
      <c r="C5114" s="179" t="s">
        <v>8717</v>
      </c>
    </row>
    <row r="5115" spans="1:3">
      <c r="A5115" s="177">
        <v>952500087</v>
      </c>
      <c r="B5115" s="116" t="str">
        <f t="shared" si="79"/>
        <v>95-952500087</v>
      </c>
      <c r="C5115" s="179" t="s">
        <v>5710</v>
      </c>
    </row>
    <row r="5116" spans="1:3">
      <c r="A5116" s="177">
        <v>952500028</v>
      </c>
      <c r="B5116" s="116" t="str">
        <f t="shared" si="79"/>
        <v>95-952500028</v>
      </c>
      <c r="C5116" s="179" t="s">
        <v>5630</v>
      </c>
    </row>
    <row r="5117" spans="1:3">
      <c r="A5117" s="177">
        <v>952500039</v>
      </c>
      <c r="B5117" s="116" t="str">
        <f t="shared" si="79"/>
        <v>95-952500039</v>
      </c>
      <c r="C5117" s="179" t="s">
        <v>5675</v>
      </c>
    </row>
    <row r="5118" spans="1:3">
      <c r="A5118" s="177">
        <v>952500040</v>
      </c>
      <c r="B5118" s="116" t="str">
        <f t="shared" si="79"/>
        <v>95-952500040</v>
      </c>
      <c r="C5118" s="179" t="s">
        <v>5675</v>
      </c>
    </row>
    <row r="5119" spans="1:3">
      <c r="A5119" s="177">
        <v>952200058</v>
      </c>
      <c r="B5119" s="116" t="str">
        <f t="shared" si="79"/>
        <v>95-952200058</v>
      </c>
      <c r="C5119" s="179" t="s">
        <v>7561</v>
      </c>
    </row>
    <row r="5120" spans="1:3">
      <c r="A5120" s="177">
        <v>962200055</v>
      </c>
      <c r="B5120" s="116" t="str">
        <f t="shared" si="79"/>
        <v>96-962200055</v>
      </c>
      <c r="C5120" s="179" t="s">
        <v>7452</v>
      </c>
    </row>
    <row r="5121" spans="1:3">
      <c r="A5121" s="177">
        <v>962200063</v>
      </c>
      <c r="B5121" s="116" t="str">
        <f t="shared" si="79"/>
        <v>96-962200063</v>
      </c>
      <c r="C5121" s="179" t="s">
        <v>7450</v>
      </c>
    </row>
    <row r="5122" spans="1:3">
      <c r="A5122" s="177">
        <v>962200078</v>
      </c>
      <c r="B5122" s="116" t="str">
        <f t="shared" si="79"/>
        <v>96-962200078</v>
      </c>
      <c r="C5122" s="179" t="s">
        <v>8721</v>
      </c>
    </row>
    <row r="5123" spans="1:3">
      <c r="A5123" s="177">
        <v>952500065</v>
      </c>
      <c r="B5123" s="116" t="str">
        <f t="shared" ref="B5123:B5186" si="80">MID(A5123,1,2)&amp;"-"&amp;A5123</f>
        <v>95-952500065</v>
      </c>
      <c r="C5123" s="179" t="s">
        <v>5642</v>
      </c>
    </row>
    <row r="5124" spans="1:3">
      <c r="A5124" s="177">
        <v>952500073</v>
      </c>
      <c r="B5124" s="116" t="str">
        <f t="shared" si="80"/>
        <v>95-952500073</v>
      </c>
      <c r="C5124" s="179" t="s">
        <v>5726</v>
      </c>
    </row>
    <row r="5125" spans="1:3">
      <c r="A5125" s="177">
        <v>962500008</v>
      </c>
      <c r="B5125" s="116" t="str">
        <f t="shared" si="80"/>
        <v>96-962500008</v>
      </c>
      <c r="C5125" s="179" t="s">
        <v>5758</v>
      </c>
    </row>
    <row r="5126" spans="1:3">
      <c r="A5126" s="177">
        <v>962500091</v>
      </c>
      <c r="B5126" s="116" t="str">
        <f t="shared" si="80"/>
        <v>96-962500091</v>
      </c>
      <c r="C5126" s="179" t="s">
        <v>7231</v>
      </c>
    </row>
    <row r="5127" spans="1:3">
      <c r="A5127" s="177">
        <v>962500118</v>
      </c>
      <c r="B5127" s="116" t="str">
        <f t="shared" si="80"/>
        <v>96-962500118</v>
      </c>
      <c r="C5127" s="179" t="s">
        <v>7175</v>
      </c>
    </row>
    <row r="5128" spans="1:3">
      <c r="A5128" s="177">
        <v>956200198</v>
      </c>
      <c r="B5128" s="116" t="str">
        <f t="shared" si="80"/>
        <v>95-956200198</v>
      </c>
      <c r="C5128" s="179" t="s">
        <v>7879</v>
      </c>
    </row>
    <row r="5129" spans="1:3">
      <c r="A5129" s="177">
        <v>956200218</v>
      </c>
      <c r="B5129" s="116" t="str">
        <f t="shared" si="80"/>
        <v>95-956200218</v>
      </c>
      <c r="C5129" s="179" t="s">
        <v>7919</v>
      </c>
    </row>
    <row r="5130" spans="1:3">
      <c r="A5130" s="177">
        <v>956200269</v>
      </c>
      <c r="B5130" s="116" t="str">
        <f t="shared" si="80"/>
        <v>95-956200269</v>
      </c>
      <c r="C5130" s="179" t="s">
        <v>7918</v>
      </c>
    </row>
    <row r="5131" spans="1:3">
      <c r="A5131" s="177">
        <v>956200322</v>
      </c>
      <c r="B5131" s="116" t="str">
        <f t="shared" si="80"/>
        <v>95-956200322</v>
      </c>
      <c r="C5131" s="179" t="s">
        <v>7880</v>
      </c>
    </row>
    <row r="5132" spans="1:3">
      <c r="A5132" s="177">
        <v>966200066</v>
      </c>
      <c r="B5132" s="116" t="str">
        <f t="shared" si="80"/>
        <v>96-966200066</v>
      </c>
      <c r="C5132" s="179" t="s">
        <v>8448</v>
      </c>
    </row>
    <row r="5133" spans="1:3">
      <c r="A5133" s="177">
        <v>956200003</v>
      </c>
      <c r="B5133" s="116" t="str">
        <f t="shared" si="80"/>
        <v>95-956200003</v>
      </c>
      <c r="C5133" s="179" t="s">
        <v>8003</v>
      </c>
    </row>
    <row r="5134" spans="1:3">
      <c r="A5134" s="177">
        <v>956200406</v>
      </c>
      <c r="B5134" s="116" t="str">
        <f t="shared" si="80"/>
        <v>95-956200406</v>
      </c>
      <c r="C5134" s="179" t="s">
        <v>8006</v>
      </c>
    </row>
    <row r="5135" spans="1:3">
      <c r="A5135" s="177">
        <v>952500063</v>
      </c>
      <c r="B5135" s="116" t="str">
        <f t="shared" si="80"/>
        <v>95-952500063</v>
      </c>
      <c r="C5135" s="179" t="s">
        <v>5675</v>
      </c>
    </row>
    <row r="5136" spans="1:3">
      <c r="A5136" s="177">
        <v>952500083</v>
      </c>
      <c r="B5136" s="116" t="str">
        <f t="shared" si="80"/>
        <v>95-952500083</v>
      </c>
      <c r="C5136" s="179" t="s">
        <v>5733</v>
      </c>
    </row>
    <row r="5137" spans="1:3">
      <c r="A5137" s="177">
        <v>962500032</v>
      </c>
      <c r="B5137" s="116" t="str">
        <f t="shared" si="80"/>
        <v>96-962500032</v>
      </c>
      <c r="C5137" s="179" t="s">
        <v>5815</v>
      </c>
    </row>
    <row r="5138" spans="1:3">
      <c r="A5138" s="177">
        <v>962500045</v>
      </c>
      <c r="B5138" s="116" t="str">
        <f t="shared" si="80"/>
        <v>96-962500045</v>
      </c>
      <c r="C5138" s="179" t="s">
        <v>5814</v>
      </c>
    </row>
    <row r="5139" spans="1:3">
      <c r="A5139" s="177">
        <v>962500076</v>
      </c>
      <c r="B5139" s="116" t="str">
        <f t="shared" si="80"/>
        <v>96-962500076</v>
      </c>
      <c r="C5139" s="179" t="s">
        <v>7231</v>
      </c>
    </row>
    <row r="5140" spans="1:3">
      <c r="A5140" s="177">
        <v>962500086</v>
      </c>
      <c r="B5140" s="116" t="str">
        <f t="shared" si="80"/>
        <v>96-962500086</v>
      </c>
      <c r="C5140" s="179" t="s">
        <v>7231</v>
      </c>
    </row>
    <row r="5141" spans="1:3">
      <c r="A5141" s="177">
        <v>962500103</v>
      </c>
      <c r="B5141" s="116" t="str">
        <f t="shared" si="80"/>
        <v>96-962500103</v>
      </c>
      <c r="C5141" s="179" t="s">
        <v>7231</v>
      </c>
    </row>
    <row r="5142" spans="1:3">
      <c r="A5142" s="177">
        <v>962500135</v>
      </c>
      <c r="B5142" s="116" t="str">
        <f t="shared" si="80"/>
        <v>96-962500135</v>
      </c>
      <c r="C5142" s="179" t="s">
        <v>8698</v>
      </c>
    </row>
    <row r="5143" spans="1:3">
      <c r="A5143" s="177">
        <v>962500161</v>
      </c>
      <c r="B5143" s="116" t="str">
        <f t="shared" si="80"/>
        <v>96-962500161</v>
      </c>
      <c r="C5143" s="179" t="s">
        <v>9784</v>
      </c>
    </row>
    <row r="5144" spans="1:3">
      <c r="A5144" s="177">
        <v>962500155</v>
      </c>
      <c r="B5144" s="116" t="str">
        <f t="shared" si="80"/>
        <v>96-962500155</v>
      </c>
      <c r="C5144" s="179" t="s">
        <v>8753</v>
      </c>
    </row>
    <row r="5145" spans="1:3">
      <c r="A5145" s="177">
        <v>962500062</v>
      </c>
      <c r="B5145" s="116" t="str">
        <f t="shared" si="80"/>
        <v>96-962500062</v>
      </c>
      <c r="C5145" s="179" t="s">
        <v>5858</v>
      </c>
    </row>
    <row r="5146" spans="1:3">
      <c r="A5146" s="177">
        <v>962500077</v>
      </c>
      <c r="B5146" s="116" t="str">
        <f t="shared" si="80"/>
        <v>96-962500077</v>
      </c>
      <c r="C5146" s="179" t="s">
        <v>5858</v>
      </c>
    </row>
    <row r="5147" spans="1:3">
      <c r="A5147" s="177">
        <v>962500148</v>
      </c>
      <c r="B5147" s="116" t="str">
        <f t="shared" si="80"/>
        <v>96-962500148</v>
      </c>
      <c r="C5147" s="179" t="s">
        <v>5858</v>
      </c>
    </row>
    <row r="5148" spans="1:3">
      <c r="A5148" s="177">
        <v>962500024</v>
      </c>
      <c r="B5148" s="116" t="str">
        <f t="shared" si="80"/>
        <v>96-962500024</v>
      </c>
      <c r="C5148" s="179" t="s">
        <v>5780</v>
      </c>
    </row>
    <row r="5149" spans="1:3">
      <c r="A5149" s="177">
        <v>962500114</v>
      </c>
      <c r="B5149" s="116" t="str">
        <f t="shared" si="80"/>
        <v>96-962500114</v>
      </c>
      <c r="C5149" s="179" t="s">
        <v>7211</v>
      </c>
    </row>
    <row r="5150" spans="1:3">
      <c r="A5150" s="177">
        <v>962500190</v>
      </c>
      <c r="B5150" s="116" t="str">
        <f t="shared" si="80"/>
        <v>96-962500190</v>
      </c>
      <c r="C5150" s="179" t="s">
        <v>12195</v>
      </c>
    </row>
    <row r="5151" spans="1:3">
      <c r="A5151" s="177">
        <v>962500147</v>
      </c>
      <c r="B5151" s="116" t="str">
        <f t="shared" si="80"/>
        <v>96-962500147</v>
      </c>
      <c r="C5151" s="179" t="s">
        <v>8753</v>
      </c>
    </row>
    <row r="5152" spans="1:3">
      <c r="A5152" s="177">
        <v>962500021</v>
      </c>
      <c r="B5152" s="116" t="str">
        <f t="shared" si="80"/>
        <v>96-962500021</v>
      </c>
      <c r="C5152" s="179" t="s">
        <v>5780</v>
      </c>
    </row>
    <row r="5153" spans="1:3">
      <c r="A5153" s="177">
        <v>962500066</v>
      </c>
      <c r="B5153" s="116" t="str">
        <f t="shared" si="80"/>
        <v>96-962500066</v>
      </c>
      <c r="C5153" s="179" t="s">
        <v>5841</v>
      </c>
    </row>
    <row r="5154" spans="1:3">
      <c r="A5154" s="177">
        <v>962500129</v>
      </c>
      <c r="B5154" s="116" t="str">
        <f t="shared" si="80"/>
        <v>96-962500129</v>
      </c>
      <c r="C5154" s="179" t="s">
        <v>7211</v>
      </c>
    </row>
    <row r="5155" spans="1:3">
      <c r="A5155" s="177">
        <v>962500154</v>
      </c>
      <c r="B5155" s="116" t="str">
        <f t="shared" si="80"/>
        <v>96-962500154</v>
      </c>
      <c r="C5155" s="179" t="s">
        <v>9761</v>
      </c>
    </row>
    <row r="5156" spans="1:3">
      <c r="A5156" s="177">
        <v>962500090</v>
      </c>
      <c r="B5156" s="116" t="str">
        <f t="shared" si="80"/>
        <v>96-962500090</v>
      </c>
      <c r="C5156" s="179" t="s">
        <v>5856</v>
      </c>
    </row>
    <row r="5157" spans="1:3">
      <c r="A5157" s="177">
        <v>954200027</v>
      </c>
      <c r="B5157" s="116" t="str">
        <f t="shared" si="80"/>
        <v>95-954200027</v>
      </c>
      <c r="C5157" s="179" t="s">
        <v>5643</v>
      </c>
    </row>
    <row r="5158" spans="1:3">
      <c r="A5158" s="177">
        <v>951700001</v>
      </c>
      <c r="B5158" s="116" t="str">
        <f t="shared" si="80"/>
        <v>95-951700001</v>
      </c>
      <c r="C5158" s="179" t="s">
        <v>7962</v>
      </c>
    </row>
    <row r="5159" spans="1:3">
      <c r="A5159" s="177">
        <v>951400042</v>
      </c>
      <c r="B5159" s="116" t="str">
        <f t="shared" si="80"/>
        <v>95-951400042</v>
      </c>
      <c r="C5159" s="179" t="s">
        <v>7196</v>
      </c>
    </row>
    <row r="5160" spans="1:3">
      <c r="A5160" s="177">
        <v>962500055</v>
      </c>
      <c r="B5160" s="116" t="str">
        <f t="shared" si="80"/>
        <v>96-962500055</v>
      </c>
      <c r="C5160" s="179" t="s">
        <v>5854</v>
      </c>
    </row>
    <row r="5161" spans="1:3">
      <c r="A5161" s="177">
        <v>962500106</v>
      </c>
      <c r="B5161" s="116" t="str">
        <f t="shared" si="80"/>
        <v>96-962500106</v>
      </c>
      <c r="C5161" s="179" t="s">
        <v>5854</v>
      </c>
    </row>
    <row r="5162" spans="1:3">
      <c r="A5162" s="177">
        <v>962500173</v>
      </c>
      <c r="B5162" s="116" t="str">
        <f t="shared" si="80"/>
        <v>96-962500173</v>
      </c>
      <c r="C5162" s="179" t="s">
        <v>12119</v>
      </c>
    </row>
    <row r="5163" spans="1:3">
      <c r="A5163" s="177">
        <v>954200033</v>
      </c>
      <c r="B5163" s="116" t="str">
        <f t="shared" si="80"/>
        <v>95-954200033</v>
      </c>
      <c r="C5163" s="179" t="s">
        <v>5641</v>
      </c>
    </row>
    <row r="5164" spans="1:3">
      <c r="A5164" s="177">
        <v>961100002</v>
      </c>
      <c r="B5164" s="116" t="str">
        <f t="shared" si="80"/>
        <v>96-961100002</v>
      </c>
      <c r="C5164" s="179" t="s">
        <v>8437</v>
      </c>
    </row>
    <row r="5165" spans="1:3">
      <c r="A5165" s="177">
        <v>951100059</v>
      </c>
      <c r="B5165" s="116" t="str">
        <f t="shared" si="80"/>
        <v>95-951100059</v>
      </c>
      <c r="C5165" s="179" t="s">
        <v>8452</v>
      </c>
    </row>
    <row r="5166" spans="1:3">
      <c r="A5166" s="177">
        <v>954200020</v>
      </c>
      <c r="B5166" s="116" t="str">
        <f t="shared" si="80"/>
        <v>95-954200020</v>
      </c>
      <c r="C5166" s="179" t="s">
        <v>5644</v>
      </c>
    </row>
    <row r="5167" spans="1:3">
      <c r="A5167" s="177">
        <v>954200037</v>
      </c>
      <c r="B5167" s="116" t="str">
        <f t="shared" si="80"/>
        <v>95-954200037</v>
      </c>
      <c r="C5167" s="179" t="s">
        <v>5645</v>
      </c>
    </row>
    <row r="5168" spans="1:3">
      <c r="A5168" s="177">
        <v>964200005</v>
      </c>
      <c r="B5168" s="116" t="str">
        <f t="shared" si="80"/>
        <v>96-964200005</v>
      </c>
      <c r="C5168" s="179" t="s">
        <v>5762</v>
      </c>
    </row>
    <row r="5169" spans="1:3">
      <c r="A5169" s="177">
        <v>964200001</v>
      </c>
      <c r="B5169" s="116" t="str">
        <f t="shared" si="80"/>
        <v>96-964200001</v>
      </c>
      <c r="C5169" s="179" t="s">
        <v>5798</v>
      </c>
    </row>
    <row r="5170" spans="1:3">
      <c r="A5170" s="177">
        <v>961100114</v>
      </c>
      <c r="B5170" s="116" t="str">
        <f t="shared" si="80"/>
        <v>96-961100114</v>
      </c>
      <c r="C5170" s="179" t="s">
        <v>12451</v>
      </c>
    </row>
    <row r="5171" spans="1:3">
      <c r="A5171" s="177">
        <v>956000008</v>
      </c>
      <c r="B5171" s="116" t="str">
        <f t="shared" si="80"/>
        <v>95-956000008</v>
      </c>
      <c r="C5171" s="179" t="s">
        <v>8256</v>
      </c>
    </row>
    <row r="5172" spans="1:3">
      <c r="A5172" s="177">
        <v>951800046</v>
      </c>
      <c r="B5172" s="116" t="str">
        <f t="shared" si="80"/>
        <v>95-951800046</v>
      </c>
      <c r="C5172" s="179" t="s">
        <v>8257</v>
      </c>
    </row>
    <row r="5173" spans="1:3">
      <c r="A5173" s="177">
        <v>961800006</v>
      </c>
      <c r="B5173" s="116" t="str">
        <f t="shared" si="80"/>
        <v>96-961800006</v>
      </c>
      <c r="C5173" s="179" t="s">
        <v>8258</v>
      </c>
    </row>
    <row r="5174" spans="1:3">
      <c r="A5174" s="177">
        <v>951800001</v>
      </c>
      <c r="B5174" s="116" t="str">
        <f t="shared" si="80"/>
        <v>95-951800001</v>
      </c>
      <c r="C5174" s="179" t="s">
        <v>8259</v>
      </c>
    </row>
    <row r="5175" spans="1:3">
      <c r="A5175" s="177">
        <v>951900259</v>
      </c>
      <c r="B5175" s="116" t="str">
        <f t="shared" si="80"/>
        <v>95-951900259</v>
      </c>
      <c r="C5175" s="179" t="s">
        <v>8260</v>
      </c>
    </row>
    <row r="5176" spans="1:3">
      <c r="A5176" s="177">
        <v>951100125</v>
      </c>
      <c r="B5176" s="116" t="str">
        <f t="shared" si="80"/>
        <v>95-951100125</v>
      </c>
      <c r="C5176" s="179" t="s">
        <v>7966</v>
      </c>
    </row>
    <row r="5177" spans="1:3">
      <c r="A5177" s="177">
        <v>951100104</v>
      </c>
      <c r="B5177" s="116" t="str">
        <f t="shared" si="80"/>
        <v>95-951100104</v>
      </c>
      <c r="C5177" s="179" t="s">
        <v>8438</v>
      </c>
    </row>
    <row r="5178" spans="1:3">
      <c r="A5178" s="177">
        <v>951100057</v>
      </c>
      <c r="B5178" s="116" t="str">
        <f t="shared" si="80"/>
        <v>95-951100057</v>
      </c>
      <c r="C5178" s="179" t="s">
        <v>8439</v>
      </c>
    </row>
    <row r="5179" spans="1:3">
      <c r="A5179" s="177">
        <v>961100080</v>
      </c>
      <c r="B5179" s="116" t="str">
        <f t="shared" si="80"/>
        <v>96-961100080</v>
      </c>
      <c r="C5179" s="179" t="s">
        <v>8756</v>
      </c>
    </row>
    <row r="5180" spans="1:3">
      <c r="A5180" s="177">
        <v>951700056</v>
      </c>
      <c r="B5180" s="116" t="str">
        <f t="shared" si="80"/>
        <v>95-951700056</v>
      </c>
      <c r="C5180" s="179" t="s">
        <v>7566</v>
      </c>
    </row>
    <row r="5181" spans="1:3">
      <c r="A5181" s="177">
        <v>951700301</v>
      </c>
      <c r="B5181" s="116" t="str">
        <f t="shared" si="80"/>
        <v>95-951700301</v>
      </c>
      <c r="C5181" s="179" t="s">
        <v>7161</v>
      </c>
    </row>
    <row r="5182" spans="1:3">
      <c r="A5182" s="177">
        <v>951700326</v>
      </c>
      <c r="B5182" s="116" t="str">
        <f t="shared" si="80"/>
        <v>95-951700326</v>
      </c>
      <c r="C5182" s="179" t="s">
        <v>7481</v>
      </c>
    </row>
    <row r="5183" spans="1:3">
      <c r="A5183" s="177">
        <v>951700329</v>
      </c>
      <c r="B5183" s="116" t="str">
        <f t="shared" si="80"/>
        <v>95-951700329</v>
      </c>
      <c r="C5183" s="179" t="s">
        <v>7481</v>
      </c>
    </row>
    <row r="5184" spans="1:3">
      <c r="A5184" s="177">
        <v>966100002</v>
      </c>
      <c r="B5184" s="116" t="str">
        <f t="shared" si="80"/>
        <v>96-966100002</v>
      </c>
      <c r="C5184" s="179" t="s">
        <v>8263</v>
      </c>
    </row>
    <row r="5185" spans="1:3">
      <c r="A5185" s="177">
        <v>961600021</v>
      </c>
      <c r="B5185" s="116" t="str">
        <f t="shared" si="80"/>
        <v>96-961600021</v>
      </c>
      <c r="C5185" s="179" t="s">
        <v>12250</v>
      </c>
    </row>
    <row r="5186" spans="1:3">
      <c r="A5186" s="177">
        <v>951800145</v>
      </c>
      <c r="B5186" s="116" t="str">
        <f t="shared" si="80"/>
        <v>95-951800145</v>
      </c>
      <c r="C5186" s="179" t="s">
        <v>8264</v>
      </c>
    </row>
    <row r="5187" spans="1:3">
      <c r="A5187" s="177">
        <v>956200237</v>
      </c>
      <c r="B5187" s="116" t="str">
        <f t="shared" ref="B5187:B5250" si="81">MID(A5187,1,2)&amp;"-"&amp;A5187</f>
        <v>95-956200237</v>
      </c>
      <c r="C5187" s="179" t="s">
        <v>7495</v>
      </c>
    </row>
    <row r="5188" spans="1:3">
      <c r="A5188" s="177">
        <v>951400043</v>
      </c>
      <c r="B5188" s="116" t="str">
        <f t="shared" si="81"/>
        <v>95-951400043</v>
      </c>
      <c r="C5188" s="179" t="s">
        <v>7196</v>
      </c>
    </row>
    <row r="5189" spans="1:3">
      <c r="A5189" s="177">
        <v>951400046</v>
      </c>
      <c r="B5189" s="116" t="str">
        <f t="shared" si="81"/>
        <v>95-951400046</v>
      </c>
      <c r="C5189" s="179" t="s">
        <v>7196</v>
      </c>
    </row>
    <row r="5190" spans="1:3">
      <c r="A5190" s="177">
        <v>961900087</v>
      </c>
      <c r="B5190" s="116" t="str">
        <f t="shared" si="81"/>
        <v>96-961900087</v>
      </c>
      <c r="C5190" s="179" t="s">
        <v>8273</v>
      </c>
    </row>
    <row r="5191" spans="1:3">
      <c r="A5191" s="177">
        <v>951900008</v>
      </c>
      <c r="B5191" s="116" t="str">
        <f t="shared" si="81"/>
        <v>95-951900008</v>
      </c>
      <c r="C5191" s="179" t="s">
        <v>8259</v>
      </c>
    </row>
    <row r="5192" spans="1:3">
      <c r="A5192" s="177">
        <v>951900065</v>
      </c>
      <c r="B5192" s="116" t="str">
        <f t="shared" si="81"/>
        <v>95-951900065</v>
      </c>
      <c r="C5192" s="179" t="s">
        <v>8274</v>
      </c>
    </row>
    <row r="5193" spans="1:3">
      <c r="A5193" s="177">
        <v>951700050</v>
      </c>
      <c r="B5193" s="116" t="str">
        <f t="shared" si="81"/>
        <v>95-951700050</v>
      </c>
      <c r="C5193" s="179" t="s">
        <v>7608</v>
      </c>
    </row>
    <row r="5194" spans="1:3">
      <c r="A5194" s="177">
        <v>951400030</v>
      </c>
      <c r="B5194" s="116" t="str">
        <f t="shared" si="81"/>
        <v>95-951400030</v>
      </c>
      <c r="C5194" s="179" t="s">
        <v>7948</v>
      </c>
    </row>
    <row r="5195" spans="1:3">
      <c r="A5195" s="177">
        <v>951700098</v>
      </c>
      <c r="B5195" s="116" t="str">
        <f t="shared" si="81"/>
        <v>95-951700098</v>
      </c>
      <c r="C5195" s="179" t="s">
        <v>7969</v>
      </c>
    </row>
    <row r="5196" spans="1:3">
      <c r="A5196" s="177">
        <v>951700112</v>
      </c>
      <c r="B5196" s="116" t="str">
        <f t="shared" si="81"/>
        <v>95-951700112</v>
      </c>
      <c r="C5196" s="179" t="s">
        <v>7970</v>
      </c>
    </row>
    <row r="5197" spans="1:3">
      <c r="A5197" s="177">
        <v>951400099</v>
      </c>
      <c r="B5197" s="116" t="str">
        <f t="shared" si="81"/>
        <v>95-951400099</v>
      </c>
      <c r="C5197" s="179" t="s">
        <v>7948</v>
      </c>
    </row>
    <row r="5198" spans="1:3">
      <c r="A5198" s="177">
        <v>951800052</v>
      </c>
      <c r="B5198" s="116" t="str">
        <f t="shared" si="81"/>
        <v>95-951800052</v>
      </c>
      <c r="C5198" s="179" t="s">
        <v>8094</v>
      </c>
    </row>
    <row r="5199" spans="1:3">
      <c r="A5199" s="177">
        <v>961700138</v>
      </c>
      <c r="B5199" s="116" t="str">
        <f t="shared" si="81"/>
        <v>96-961700138</v>
      </c>
      <c r="C5199" s="179" t="s">
        <v>8733</v>
      </c>
    </row>
    <row r="5200" spans="1:3">
      <c r="A5200" s="177">
        <v>951400070</v>
      </c>
      <c r="B5200" s="116" t="str">
        <f t="shared" si="81"/>
        <v>95-951400070</v>
      </c>
      <c r="C5200" s="179" t="s">
        <v>8279</v>
      </c>
    </row>
    <row r="5201" spans="1:3">
      <c r="A5201" s="177">
        <v>951400024</v>
      </c>
      <c r="B5201" s="116" t="str">
        <f t="shared" si="81"/>
        <v>95-951400024</v>
      </c>
      <c r="C5201" s="179" t="s">
        <v>8280</v>
      </c>
    </row>
    <row r="5202" spans="1:3">
      <c r="A5202" s="177">
        <v>951400093</v>
      </c>
      <c r="B5202" s="116" t="str">
        <f t="shared" si="81"/>
        <v>95-951400093</v>
      </c>
      <c r="C5202" s="179" t="s">
        <v>8281</v>
      </c>
    </row>
    <row r="5203" spans="1:3">
      <c r="A5203" s="177">
        <v>951400001</v>
      </c>
      <c r="B5203" s="116" t="str">
        <f t="shared" si="81"/>
        <v>95-951400001</v>
      </c>
      <c r="C5203" s="179" t="s">
        <v>7929</v>
      </c>
    </row>
    <row r="5204" spans="1:3">
      <c r="A5204" s="177">
        <v>951400003</v>
      </c>
      <c r="B5204" s="116" t="str">
        <f t="shared" si="81"/>
        <v>95-951400003</v>
      </c>
      <c r="C5204" s="179" t="s">
        <v>7929</v>
      </c>
    </row>
    <row r="5205" spans="1:3">
      <c r="A5205" s="177">
        <v>951400004</v>
      </c>
      <c r="B5205" s="116" t="str">
        <f t="shared" si="81"/>
        <v>95-951400004</v>
      </c>
      <c r="C5205" s="179" t="s">
        <v>7929</v>
      </c>
    </row>
    <row r="5206" spans="1:3">
      <c r="A5206" s="177">
        <v>951100171</v>
      </c>
      <c r="B5206" s="116" t="str">
        <f t="shared" si="81"/>
        <v>95-951100171</v>
      </c>
      <c r="C5206" s="179" t="s">
        <v>8455</v>
      </c>
    </row>
    <row r="5207" spans="1:3">
      <c r="A5207" s="177">
        <v>961700100</v>
      </c>
      <c r="B5207" s="116" t="str">
        <f t="shared" si="81"/>
        <v>96-961700100</v>
      </c>
      <c r="C5207" s="179" t="s">
        <v>8285</v>
      </c>
    </row>
    <row r="5208" spans="1:3">
      <c r="A5208" s="177">
        <v>961900166</v>
      </c>
      <c r="B5208" s="116" t="str">
        <f t="shared" si="81"/>
        <v>96-961900166</v>
      </c>
      <c r="C5208" s="179" t="s">
        <v>8117</v>
      </c>
    </row>
    <row r="5209" spans="1:3">
      <c r="A5209" s="177">
        <v>951900319</v>
      </c>
      <c r="B5209" s="116" t="str">
        <f t="shared" si="81"/>
        <v>95-951900319</v>
      </c>
      <c r="C5209" s="179" t="s">
        <v>8298</v>
      </c>
    </row>
    <row r="5210" spans="1:3">
      <c r="A5210" s="177">
        <v>956100026</v>
      </c>
      <c r="B5210" s="116" t="str">
        <f t="shared" si="81"/>
        <v>95-956100026</v>
      </c>
      <c r="C5210" s="179" t="s">
        <v>7697</v>
      </c>
    </row>
    <row r="5211" spans="1:3">
      <c r="A5211" s="177">
        <v>961400012</v>
      </c>
      <c r="B5211" s="116" t="str">
        <f t="shared" si="81"/>
        <v>96-961400012</v>
      </c>
      <c r="C5211" s="179" t="s">
        <v>8116</v>
      </c>
    </row>
    <row r="5212" spans="1:3">
      <c r="A5212" s="177">
        <v>961700040</v>
      </c>
      <c r="B5212" s="116" t="str">
        <f t="shared" si="81"/>
        <v>96-961700040</v>
      </c>
      <c r="C5212" s="179" t="s">
        <v>8546</v>
      </c>
    </row>
    <row r="5213" spans="1:3">
      <c r="A5213" s="177">
        <v>951900208</v>
      </c>
      <c r="B5213" s="116" t="str">
        <f t="shared" si="81"/>
        <v>95-951900208</v>
      </c>
      <c r="C5213" s="179" t="s">
        <v>7134</v>
      </c>
    </row>
    <row r="5214" spans="1:3">
      <c r="A5214" s="177">
        <v>951700046</v>
      </c>
      <c r="B5214" s="116" t="str">
        <f t="shared" si="81"/>
        <v>95-951700046</v>
      </c>
      <c r="C5214" s="179" t="s">
        <v>8128</v>
      </c>
    </row>
    <row r="5215" spans="1:3">
      <c r="A5215" s="177">
        <v>951700051</v>
      </c>
      <c r="B5215" s="116" t="str">
        <f t="shared" si="81"/>
        <v>95-951700051</v>
      </c>
      <c r="C5215" s="179" t="s">
        <v>7508</v>
      </c>
    </row>
    <row r="5216" spans="1:3">
      <c r="A5216" s="177">
        <v>951700084</v>
      </c>
      <c r="B5216" s="116" t="str">
        <f t="shared" si="81"/>
        <v>95-951700084</v>
      </c>
      <c r="C5216" s="179" t="s">
        <v>8313</v>
      </c>
    </row>
    <row r="5217" spans="1:3">
      <c r="A5217" s="177">
        <v>951700107</v>
      </c>
      <c r="B5217" s="116" t="str">
        <f t="shared" si="81"/>
        <v>95-951700107</v>
      </c>
      <c r="C5217" s="179" t="s">
        <v>8314</v>
      </c>
    </row>
    <row r="5218" spans="1:3">
      <c r="A5218" s="177">
        <v>951700137</v>
      </c>
      <c r="B5218" s="116" t="str">
        <f t="shared" si="81"/>
        <v>95-951700137</v>
      </c>
      <c r="C5218" s="179" t="s">
        <v>8179</v>
      </c>
    </row>
    <row r="5219" spans="1:3">
      <c r="A5219" s="177">
        <v>951900136</v>
      </c>
      <c r="B5219" s="116" t="str">
        <f t="shared" si="81"/>
        <v>95-951900136</v>
      </c>
      <c r="C5219" s="179" t="s">
        <v>8315</v>
      </c>
    </row>
    <row r="5220" spans="1:3">
      <c r="A5220" s="177">
        <v>951400002</v>
      </c>
      <c r="B5220" s="116" t="str">
        <f t="shared" si="81"/>
        <v>95-951400002</v>
      </c>
      <c r="C5220" s="179" t="s">
        <v>7929</v>
      </c>
    </row>
    <row r="5221" spans="1:3">
      <c r="A5221" s="177">
        <v>951900137</v>
      </c>
      <c r="B5221" s="116" t="str">
        <f t="shared" si="81"/>
        <v>95-951900137</v>
      </c>
      <c r="C5221" s="179" t="s">
        <v>8315</v>
      </c>
    </row>
    <row r="5222" spans="1:3">
      <c r="A5222" s="177">
        <v>951700196</v>
      </c>
      <c r="B5222" s="116" t="str">
        <f t="shared" si="81"/>
        <v>95-951700196</v>
      </c>
      <c r="C5222" s="179" t="s">
        <v>7624</v>
      </c>
    </row>
    <row r="5223" spans="1:3">
      <c r="A5223" s="177">
        <v>951900172</v>
      </c>
      <c r="B5223" s="116" t="str">
        <f t="shared" si="81"/>
        <v>95-951900172</v>
      </c>
      <c r="C5223" s="179" t="s">
        <v>8315</v>
      </c>
    </row>
    <row r="5224" spans="1:3">
      <c r="A5224" s="177">
        <v>951700259</v>
      </c>
      <c r="B5224" s="116" t="str">
        <f t="shared" si="81"/>
        <v>95-951700259</v>
      </c>
      <c r="C5224" s="179" t="s">
        <v>7703</v>
      </c>
    </row>
    <row r="5225" spans="1:3">
      <c r="A5225" s="177">
        <v>961400004</v>
      </c>
      <c r="B5225" s="116" t="str">
        <f t="shared" si="81"/>
        <v>96-961400004</v>
      </c>
      <c r="C5225" s="179" t="s">
        <v>7625</v>
      </c>
    </row>
    <row r="5226" spans="1:3">
      <c r="A5226" s="177">
        <v>951700343</v>
      </c>
      <c r="B5226" s="116" t="str">
        <f t="shared" si="81"/>
        <v>95-951700343</v>
      </c>
      <c r="C5226" s="179" t="s">
        <v>8325</v>
      </c>
    </row>
    <row r="5227" spans="1:3">
      <c r="A5227" s="177">
        <v>961400003</v>
      </c>
      <c r="B5227" s="116" t="str">
        <f t="shared" si="81"/>
        <v>96-961400003</v>
      </c>
      <c r="C5227" s="179" t="s">
        <v>7515</v>
      </c>
    </row>
    <row r="5228" spans="1:3">
      <c r="A5228" s="177">
        <v>961700130</v>
      </c>
      <c r="B5228" s="116" t="str">
        <f t="shared" si="81"/>
        <v>96-961700130</v>
      </c>
      <c r="C5228" s="179" t="s">
        <v>7163</v>
      </c>
    </row>
    <row r="5229" spans="1:3">
      <c r="A5229" s="177">
        <v>961100008</v>
      </c>
      <c r="B5229" s="116" t="str">
        <f t="shared" si="81"/>
        <v>96-961100008</v>
      </c>
      <c r="C5229" s="179" t="s">
        <v>8458</v>
      </c>
    </row>
    <row r="5230" spans="1:3">
      <c r="A5230" s="177">
        <v>966200197</v>
      </c>
      <c r="B5230" s="116" t="str">
        <f t="shared" si="81"/>
        <v>96-966200197</v>
      </c>
      <c r="C5230" s="179" t="s">
        <v>7224</v>
      </c>
    </row>
    <row r="5231" spans="1:3">
      <c r="A5231" s="177">
        <v>951700009</v>
      </c>
      <c r="B5231" s="116" t="str">
        <f t="shared" si="81"/>
        <v>95-951700009</v>
      </c>
      <c r="C5231" s="179" t="s">
        <v>7517</v>
      </c>
    </row>
    <row r="5232" spans="1:3">
      <c r="A5232" s="177">
        <v>951700015</v>
      </c>
      <c r="B5232" s="116" t="str">
        <f t="shared" si="81"/>
        <v>95-951700015</v>
      </c>
      <c r="C5232" s="179" t="s">
        <v>7517</v>
      </c>
    </row>
    <row r="5233" spans="1:3">
      <c r="A5233" s="177">
        <v>951700019</v>
      </c>
      <c r="B5233" s="116" t="str">
        <f t="shared" si="81"/>
        <v>95-951700019</v>
      </c>
      <c r="C5233" s="179" t="s">
        <v>7517</v>
      </c>
    </row>
    <row r="5234" spans="1:3">
      <c r="A5234" s="177">
        <v>951700075</v>
      </c>
      <c r="B5234" s="116" t="str">
        <f t="shared" si="81"/>
        <v>95-951700075</v>
      </c>
      <c r="C5234" s="179" t="s">
        <v>7724</v>
      </c>
    </row>
    <row r="5235" spans="1:3">
      <c r="A5235" s="177">
        <v>951700078</v>
      </c>
      <c r="B5235" s="116" t="str">
        <f t="shared" si="81"/>
        <v>95-951700078</v>
      </c>
      <c r="C5235" s="179" t="s">
        <v>7724</v>
      </c>
    </row>
    <row r="5236" spans="1:3">
      <c r="A5236" s="177">
        <v>951700082</v>
      </c>
      <c r="B5236" s="116" t="str">
        <f t="shared" si="81"/>
        <v>95-951700082</v>
      </c>
      <c r="C5236" s="179" t="s">
        <v>7519</v>
      </c>
    </row>
    <row r="5237" spans="1:3">
      <c r="A5237" s="177">
        <v>951700142</v>
      </c>
      <c r="B5237" s="116" t="str">
        <f t="shared" si="81"/>
        <v>95-951700142</v>
      </c>
      <c r="C5237" s="179" t="s">
        <v>7526</v>
      </c>
    </row>
    <row r="5238" spans="1:3">
      <c r="A5238" s="177">
        <v>966200106</v>
      </c>
      <c r="B5238" s="116" t="str">
        <f t="shared" si="81"/>
        <v>96-966200106</v>
      </c>
      <c r="C5238" s="179" t="s">
        <v>7979</v>
      </c>
    </row>
    <row r="5239" spans="1:3">
      <c r="A5239" s="177">
        <v>951100048</v>
      </c>
      <c r="B5239" s="116" t="str">
        <f t="shared" si="81"/>
        <v>95-951100048</v>
      </c>
      <c r="C5239" s="179" t="s">
        <v>8443</v>
      </c>
    </row>
    <row r="5240" spans="1:3">
      <c r="A5240" s="177">
        <v>956200152</v>
      </c>
      <c r="B5240" s="116" t="str">
        <f t="shared" si="81"/>
        <v>95-956200152</v>
      </c>
      <c r="C5240" s="179" t="s">
        <v>7980</v>
      </c>
    </row>
    <row r="5241" spans="1:3">
      <c r="A5241" s="177">
        <v>951700155</v>
      </c>
      <c r="B5241" s="116" t="str">
        <f t="shared" si="81"/>
        <v>95-951700155</v>
      </c>
      <c r="C5241" s="179" t="s">
        <v>8329</v>
      </c>
    </row>
    <row r="5242" spans="1:3">
      <c r="A5242" s="177">
        <v>951700202</v>
      </c>
      <c r="B5242" s="116" t="str">
        <f t="shared" si="81"/>
        <v>95-951700202</v>
      </c>
      <c r="C5242" s="179" t="s">
        <v>8141</v>
      </c>
    </row>
    <row r="5243" spans="1:3">
      <c r="A5243" s="177">
        <v>951400090</v>
      </c>
      <c r="B5243" s="116" t="str">
        <f t="shared" si="81"/>
        <v>95-951400090</v>
      </c>
      <c r="C5243" s="179" t="s">
        <v>7185</v>
      </c>
    </row>
    <row r="5244" spans="1:3">
      <c r="A5244" s="177">
        <v>951700290</v>
      </c>
      <c r="B5244" s="116" t="str">
        <f t="shared" si="81"/>
        <v>95-951700290</v>
      </c>
      <c r="C5244" s="179" t="s">
        <v>7153</v>
      </c>
    </row>
    <row r="5245" spans="1:3">
      <c r="A5245" s="177">
        <v>951900318</v>
      </c>
      <c r="B5245" s="116" t="str">
        <f t="shared" si="81"/>
        <v>95-951900318</v>
      </c>
      <c r="C5245" s="179" t="s">
        <v>8330</v>
      </c>
    </row>
    <row r="5246" spans="1:3">
      <c r="A5246" s="177">
        <v>961600002</v>
      </c>
      <c r="B5246" s="116" t="str">
        <f t="shared" si="81"/>
        <v>96-961600002</v>
      </c>
      <c r="C5246" s="179" t="s">
        <v>7598</v>
      </c>
    </row>
    <row r="5247" spans="1:3">
      <c r="A5247" s="177">
        <v>951600061</v>
      </c>
      <c r="B5247" s="116" t="str">
        <f t="shared" si="81"/>
        <v>95-951600061</v>
      </c>
      <c r="C5247" s="179" t="s">
        <v>7738</v>
      </c>
    </row>
    <row r="5248" spans="1:3">
      <c r="A5248" s="177">
        <v>951400160</v>
      </c>
      <c r="B5248" s="116" t="str">
        <f t="shared" si="81"/>
        <v>95-951400160</v>
      </c>
      <c r="C5248" s="179" t="s">
        <v>7535</v>
      </c>
    </row>
    <row r="5249" spans="1:3">
      <c r="A5249" s="177">
        <v>951400162</v>
      </c>
      <c r="B5249" s="116" t="str">
        <f t="shared" si="81"/>
        <v>95-951400162</v>
      </c>
      <c r="C5249" s="179" t="s">
        <v>7535</v>
      </c>
    </row>
    <row r="5250" spans="1:3">
      <c r="A5250" s="177">
        <v>951700043</v>
      </c>
      <c r="B5250" s="116" t="str">
        <f t="shared" si="81"/>
        <v>95-951700043</v>
      </c>
      <c r="C5250" s="179" t="s">
        <v>7739</v>
      </c>
    </row>
    <row r="5251" spans="1:3">
      <c r="A5251" s="177">
        <v>961700080</v>
      </c>
      <c r="B5251" s="116" t="str">
        <f t="shared" ref="B5251:B5314" si="82">MID(A5251,1,2)&amp;"-"&amp;A5251</f>
        <v>96-961700080</v>
      </c>
      <c r="C5251" s="179" t="s">
        <v>7544</v>
      </c>
    </row>
    <row r="5252" spans="1:3">
      <c r="A5252" s="177">
        <v>951700168</v>
      </c>
      <c r="B5252" s="116" t="str">
        <f t="shared" si="82"/>
        <v>95-951700168</v>
      </c>
      <c r="C5252" s="179" t="s">
        <v>7742</v>
      </c>
    </row>
    <row r="5253" spans="1:3">
      <c r="A5253" s="177">
        <v>951700356</v>
      </c>
      <c r="B5253" s="116" t="str">
        <f t="shared" si="82"/>
        <v>95-951700356</v>
      </c>
      <c r="C5253" s="179" t="s">
        <v>8154</v>
      </c>
    </row>
    <row r="5254" spans="1:3">
      <c r="A5254" s="177">
        <v>961700020</v>
      </c>
      <c r="B5254" s="116" t="str">
        <f t="shared" si="82"/>
        <v>96-961700020</v>
      </c>
      <c r="C5254" s="179" t="s">
        <v>7541</v>
      </c>
    </row>
    <row r="5255" spans="1:3">
      <c r="A5255" s="177">
        <v>961700099</v>
      </c>
      <c r="B5255" s="116" t="str">
        <f t="shared" si="82"/>
        <v>96-961700099</v>
      </c>
      <c r="C5255" s="179" t="s">
        <v>7745</v>
      </c>
    </row>
    <row r="5256" spans="1:3">
      <c r="A5256" s="177">
        <v>951600007</v>
      </c>
      <c r="B5256" s="116" t="str">
        <f t="shared" si="82"/>
        <v>95-951600007</v>
      </c>
      <c r="C5256" s="179" t="s">
        <v>8345</v>
      </c>
    </row>
    <row r="5257" spans="1:3">
      <c r="A5257" s="177">
        <v>951900248</v>
      </c>
      <c r="B5257" s="116" t="str">
        <f t="shared" si="82"/>
        <v>95-951900248</v>
      </c>
      <c r="C5257" s="179" t="s">
        <v>7657</v>
      </c>
    </row>
    <row r="5258" spans="1:3">
      <c r="A5258" s="177">
        <v>956200416</v>
      </c>
      <c r="B5258" s="116" t="str">
        <f t="shared" si="82"/>
        <v>95-956200416</v>
      </c>
      <c r="C5258" s="179" t="s">
        <v>7991</v>
      </c>
    </row>
    <row r="5259" spans="1:3">
      <c r="A5259" s="177">
        <v>966200117</v>
      </c>
      <c r="B5259" s="116" t="str">
        <f t="shared" si="82"/>
        <v>96-966200117</v>
      </c>
      <c r="C5259" s="179" t="s">
        <v>7992</v>
      </c>
    </row>
    <row r="5260" spans="1:3">
      <c r="A5260" s="177">
        <v>956200019</v>
      </c>
      <c r="B5260" s="116" t="str">
        <f t="shared" si="82"/>
        <v>95-956200019</v>
      </c>
      <c r="C5260" s="179" t="s">
        <v>7993</v>
      </c>
    </row>
    <row r="5261" spans="1:3">
      <c r="A5261" s="177">
        <v>956200065</v>
      </c>
      <c r="B5261" s="116" t="str">
        <f t="shared" si="82"/>
        <v>95-956200065</v>
      </c>
      <c r="C5261" s="179" t="s">
        <v>7994</v>
      </c>
    </row>
    <row r="5262" spans="1:3">
      <c r="A5262" s="177">
        <v>966200305</v>
      </c>
      <c r="B5262" s="116" t="str">
        <f t="shared" si="82"/>
        <v>96-966200305</v>
      </c>
      <c r="C5262" s="179" t="s">
        <v>8719</v>
      </c>
    </row>
    <row r="5263" spans="1:3">
      <c r="A5263" s="177">
        <v>966200512</v>
      </c>
      <c r="B5263" s="116" t="str">
        <f t="shared" si="82"/>
        <v>96-966200512</v>
      </c>
      <c r="C5263" s="179" t="s">
        <v>12452</v>
      </c>
    </row>
    <row r="5264" spans="1:3">
      <c r="A5264" s="177">
        <v>966200017</v>
      </c>
      <c r="B5264" s="116" t="str">
        <f t="shared" si="82"/>
        <v>96-966200017</v>
      </c>
      <c r="C5264" s="179" t="s">
        <v>7988</v>
      </c>
    </row>
    <row r="5265" spans="1:3">
      <c r="A5265" s="177">
        <v>951100111</v>
      </c>
      <c r="B5265" s="116" t="str">
        <f t="shared" si="82"/>
        <v>95-951100111</v>
      </c>
      <c r="C5265" s="179" t="s">
        <v>7995</v>
      </c>
    </row>
    <row r="5266" spans="1:3">
      <c r="A5266" s="177">
        <v>961100037</v>
      </c>
      <c r="B5266" s="116" t="str">
        <f t="shared" si="82"/>
        <v>96-961100037</v>
      </c>
      <c r="C5266" s="179" t="s">
        <v>7996</v>
      </c>
    </row>
    <row r="5267" spans="1:3">
      <c r="A5267" s="177">
        <v>951800093</v>
      </c>
      <c r="B5267" s="116" t="str">
        <f t="shared" si="82"/>
        <v>95-951800093</v>
      </c>
      <c r="C5267" s="179" t="s">
        <v>7659</v>
      </c>
    </row>
    <row r="5268" spans="1:3">
      <c r="A5268" s="177">
        <v>951700336</v>
      </c>
      <c r="B5268" s="116" t="str">
        <f t="shared" si="82"/>
        <v>95-951700336</v>
      </c>
      <c r="C5268" s="179" t="s">
        <v>7481</v>
      </c>
    </row>
    <row r="5269" spans="1:3">
      <c r="A5269" s="177">
        <v>951800041</v>
      </c>
      <c r="B5269" s="116" t="str">
        <f t="shared" si="82"/>
        <v>95-951800041</v>
      </c>
      <c r="C5269" s="179" t="s">
        <v>8354</v>
      </c>
    </row>
    <row r="5270" spans="1:3">
      <c r="A5270" s="177">
        <v>961900133</v>
      </c>
      <c r="B5270" s="116" t="str">
        <f t="shared" si="82"/>
        <v>96-961900133</v>
      </c>
      <c r="C5270" s="179" t="s">
        <v>8355</v>
      </c>
    </row>
    <row r="5271" spans="1:3">
      <c r="A5271" s="177">
        <v>951900044</v>
      </c>
      <c r="B5271" s="116" t="str">
        <f t="shared" si="82"/>
        <v>95-951900044</v>
      </c>
      <c r="C5271" s="179" t="s">
        <v>8356</v>
      </c>
    </row>
    <row r="5272" spans="1:3">
      <c r="A5272" s="177">
        <v>961100057</v>
      </c>
      <c r="B5272" s="116" t="str">
        <f t="shared" si="82"/>
        <v>96-961100057</v>
      </c>
      <c r="C5272" s="179" t="s">
        <v>8357</v>
      </c>
    </row>
    <row r="5273" spans="1:3">
      <c r="A5273" s="177">
        <v>951100025</v>
      </c>
      <c r="B5273" s="116" t="str">
        <f t="shared" si="82"/>
        <v>95-951100025</v>
      </c>
      <c r="C5273" s="179" t="s">
        <v>7981</v>
      </c>
    </row>
    <row r="5274" spans="1:3">
      <c r="A5274" s="177">
        <v>951100107</v>
      </c>
      <c r="B5274" s="116" t="str">
        <f t="shared" si="82"/>
        <v>95-951100107</v>
      </c>
      <c r="C5274" s="179" t="s">
        <v>7983</v>
      </c>
    </row>
    <row r="5275" spans="1:3">
      <c r="A5275" s="177">
        <v>961100044</v>
      </c>
      <c r="B5275" s="116" t="str">
        <f t="shared" si="82"/>
        <v>96-961100044</v>
      </c>
      <c r="C5275" s="179" t="s">
        <v>7997</v>
      </c>
    </row>
    <row r="5276" spans="1:3">
      <c r="A5276" s="177">
        <v>966200320</v>
      </c>
      <c r="B5276" s="116" t="str">
        <f t="shared" si="82"/>
        <v>96-966200320</v>
      </c>
      <c r="C5276" s="179" t="s">
        <v>8720</v>
      </c>
    </row>
    <row r="5277" spans="1:3">
      <c r="A5277" s="177">
        <v>966200045</v>
      </c>
      <c r="B5277" s="116" t="str">
        <f t="shared" si="82"/>
        <v>96-966200045</v>
      </c>
      <c r="C5277" s="179" t="s">
        <v>7998</v>
      </c>
    </row>
    <row r="5278" spans="1:3">
      <c r="A5278" s="177">
        <v>966200052</v>
      </c>
      <c r="B5278" s="116" t="str">
        <f t="shared" si="82"/>
        <v>96-966200052</v>
      </c>
      <c r="C5278" s="179" t="s">
        <v>7998</v>
      </c>
    </row>
    <row r="5279" spans="1:3">
      <c r="A5279" s="177">
        <v>966200091</v>
      </c>
      <c r="B5279" s="116" t="str">
        <f t="shared" si="82"/>
        <v>96-966200091</v>
      </c>
      <c r="C5279" s="179" t="s">
        <v>7999</v>
      </c>
    </row>
    <row r="5280" spans="1:3">
      <c r="A5280" s="177">
        <v>966200210</v>
      </c>
      <c r="B5280" s="116" t="str">
        <f t="shared" si="82"/>
        <v>96-966200210</v>
      </c>
      <c r="C5280" s="179" t="s">
        <v>8000</v>
      </c>
    </row>
    <row r="5281" spans="1:3">
      <c r="A5281" s="177">
        <v>966200226</v>
      </c>
      <c r="B5281" s="116" t="str">
        <f t="shared" si="82"/>
        <v>96-966200226</v>
      </c>
      <c r="C5281" s="179" t="s">
        <v>8001</v>
      </c>
    </row>
    <row r="5282" spans="1:3">
      <c r="A5282" s="177">
        <v>961100065</v>
      </c>
      <c r="B5282" s="116" t="str">
        <f t="shared" si="82"/>
        <v>96-961100065</v>
      </c>
      <c r="C5282" s="179" t="s">
        <v>8358</v>
      </c>
    </row>
    <row r="5283" spans="1:3">
      <c r="A5283" s="177">
        <v>951600046</v>
      </c>
      <c r="B5283" s="116" t="str">
        <f t="shared" si="82"/>
        <v>95-951600046</v>
      </c>
      <c r="C5283" s="179" t="s">
        <v>8214</v>
      </c>
    </row>
    <row r="5284" spans="1:3">
      <c r="A5284" s="177">
        <v>961100012</v>
      </c>
      <c r="B5284" s="116" t="str">
        <f t="shared" si="82"/>
        <v>96-961100012</v>
      </c>
      <c r="C5284" s="179" t="s">
        <v>8365</v>
      </c>
    </row>
    <row r="5285" spans="1:3">
      <c r="A5285" s="177">
        <v>951600093</v>
      </c>
      <c r="B5285" s="116" t="str">
        <f t="shared" si="82"/>
        <v>95-951600093</v>
      </c>
      <c r="C5285" s="179" t="s">
        <v>8366</v>
      </c>
    </row>
    <row r="5286" spans="1:3">
      <c r="A5286" s="177">
        <v>951600031</v>
      </c>
      <c r="B5286" s="116" t="str">
        <f t="shared" si="82"/>
        <v>95-951600031</v>
      </c>
      <c r="C5286" s="179" t="s">
        <v>7184</v>
      </c>
    </row>
    <row r="5287" spans="1:3">
      <c r="A5287" s="177">
        <v>961800019</v>
      </c>
      <c r="B5287" s="116" t="str">
        <f t="shared" si="82"/>
        <v>96-961800019</v>
      </c>
      <c r="C5287" s="179" t="s">
        <v>8349</v>
      </c>
    </row>
    <row r="5288" spans="1:3">
      <c r="A5288" s="177">
        <v>951600023</v>
      </c>
      <c r="B5288" s="116" t="str">
        <f t="shared" si="82"/>
        <v>95-951600023</v>
      </c>
      <c r="C5288" s="179" t="s">
        <v>8367</v>
      </c>
    </row>
    <row r="5289" spans="1:3">
      <c r="A5289" s="177">
        <v>954200001</v>
      </c>
      <c r="B5289" s="116" t="str">
        <f t="shared" si="82"/>
        <v>95-954200001</v>
      </c>
      <c r="C5289" s="179" t="s">
        <v>5628</v>
      </c>
    </row>
    <row r="5290" spans="1:3">
      <c r="A5290" s="177">
        <v>966000008</v>
      </c>
      <c r="B5290" s="116" t="str">
        <f t="shared" si="82"/>
        <v>96-966000008</v>
      </c>
      <c r="C5290" s="179" t="s">
        <v>7146</v>
      </c>
    </row>
    <row r="5291" spans="1:3">
      <c r="A5291" s="177">
        <v>961900184</v>
      </c>
      <c r="B5291" s="116" t="str">
        <f t="shared" si="82"/>
        <v>96-961900184</v>
      </c>
      <c r="C5291" s="179" t="s">
        <v>12279</v>
      </c>
    </row>
    <row r="5292" spans="1:3">
      <c r="A5292" s="177">
        <v>951900046</v>
      </c>
      <c r="B5292" s="116" t="str">
        <f t="shared" si="82"/>
        <v>95-951900046</v>
      </c>
      <c r="C5292" s="179" t="s">
        <v>8368</v>
      </c>
    </row>
    <row r="5293" spans="1:3">
      <c r="A5293" s="177">
        <v>951600058</v>
      </c>
      <c r="B5293" s="116" t="str">
        <f t="shared" si="82"/>
        <v>95-951600058</v>
      </c>
      <c r="C5293" s="179" t="s">
        <v>8375</v>
      </c>
    </row>
    <row r="5294" spans="1:3">
      <c r="A5294" s="177">
        <v>951100075</v>
      </c>
      <c r="B5294" s="116" t="str">
        <f t="shared" si="82"/>
        <v>95-951100075</v>
      </c>
      <c r="C5294" s="179" t="s">
        <v>8460</v>
      </c>
    </row>
    <row r="5295" spans="1:3">
      <c r="A5295" s="177">
        <v>951800054</v>
      </c>
      <c r="B5295" s="116" t="str">
        <f t="shared" si="82"/>
        <v>95-951800054</v>
      </c>
      <c r="C5295" s="179" t="s">
        <v>8376</v>
      </c>
    </row>
    <row r="5296" spans="1:3">
      <c r="A5296" s="177">
        <v>951400022</v>
      </c>
      <c r="B5296" s="116" t="str">
        <f t="shared" si="82"/>
        <v>95-951400022</v>
      </c>
      <c r="C5296" s="179" t="s">
        <v>7608</v>
      </c>
    </row>
    <row r="5297" spans="1:3">
      <c r="A5297" s="177">
        <v>951700074</v>
      </c>
      <c r="B5297" s="116" t="str">
        <f t="shared" si="82"/>
        <v>95-951700074</v>
      </c>
      <c r="C5297" s="179" t="s">
        <v>7835</v>
      </c>
    </row>
    <row r="5298" spans="1:3">
      <c r="A5298" s="177">
        <v>951600008</v>
      </c>
      <c r="B5298" s="116" t="str">
        <f t="shared" si="82"/>
        <v>95-951600008</v>
      </c>
      <c r="C5298" s="179" t="s">
        <v>7770</v>
      </c>
    </row>
    <row r="5299" spans="1:3">
      <c r="A5299" s="177">
        <v>951900047</v>
      </c>
      <c r="B5299" s="116" t="str">
        <f t="shared" si="82"/>
        <v>95-951900047</v>
      </c>
      <c r="C5299" s="179" t="s">
        <v>8378</v>
      </c>
    </row>
    <row r="5300" spans="1:3">
      <c r="A5300" s="177">
        <v>951700138</v>
      </c>
      <c r="B5300" s="116" t="str">
        <f t="shared" si="82"/>
        <v>95-951700138</v>
      </c>
      <c r="C5300" s="179" t="s">
        <v>8379</v>
      </c>
    </row>
    <row r="5301" spans="1:3">
      <c r="A5301" s="177">
        <v>951100078</v>
      </c>
      <c r="B5301" s="116" t="str">
        <f t="shared" si="82"/>
        <v>95-951100078</v>
      </c>
      <c r="C5301" s="179" t="s">
        <v>7782</v>
      </c>
    </row>
    <row r="5302" spans="1:3">
      <c r="A5302" s="177">
        <v>951900310</v>
      </c>
      <c r="B5302" s="116" t="str">
        <f t="shared" si="82"/>
        <v>95-951900310</v>
      </c>
      <c r="C5302" s="179" t="s">
        <v>7784</v>
      </c>
    </row>
    <row r="5303" spans="1:3">
      <c r="A5303" s="177">
        <v>961900136</v>
      </c>
      <c r="B5303" s="116" t="str">
        <f t="shared" si="82"/>
        <v>96-961900136</v>
      </c>
      <c r="C5303" s="179" t="s">
        <v>8383</v>
      </c>
    </row>
    <row r="5304" spans="1:3">
      <c r="A5304" s="177">
        <v>961100076</v>
      </c>
      <c r="B5304" s="116" t="str">
        <f t="shared" si="82"/>
        <v>96-961100076</v>
      </c>
      <c r="C5304" s="179" t="s">
        <v>8755</v>
      </c>
    </row>
    <row r="5305" spans="1:3">
      <c r="A5305" s="177">
        <v>951800065</v>
      </c>
      <c r="B5305" s="116" t="str">
        <f t="shared" si="82"/>
        <v>95-951800065</v>
      </c>
      <c r="C5305" s="179" t="s">
        <v>8384</v>
      </c>
    </row>
    <row r="5306" spans="1:3">
      <c r="A5306" s="177">
        <v>951600041</v>
      </c>
      <c r="B5306" s="116" t="str">
        <f t="shared" si="82"/>
        <v>95-951600041</v>
      </c>
      <c r="C5306" s="179" t="s">
        <v>7719</v>
      </c>
    </row>
    <row r="5307" spans="1:3">
      <c r="A5307" s="177">
        <v>951700299</v>
      </c>
      <c r="B5307" s="116" t="str">
        <f t="shared" si="82"/>
        <v>95-951700299</v>
      </c>
      <c r="C5307" s="179" t="s">
        <v>7750</v>
      </c>
    </row>
    <row r="5308" spans="1:3">
      <c r="A5308" s="177">
        <v>951400140</v>
      </c>
      <c r="B5308" s="116" t="str">
        <f t="shared" si="82"/>
        <v>95-951400140</v>
      </c>
      <c r="C5308" s="179" t="s">
        <v>7750</v>
      </c>
    </row>
    <row r="5309" spans="1:3">
      <c r="A5309" s="177">
        <v>951800056</v>
      </c>
      <c r="B5309" s="116" t="str">
        <f t="shared" si="82"/>
        <v>95-951800056</v>
      </c>
      <c r="C5309" s="179" t="s">
        <v>8397</v>
      </c>
    </row>
    <row r="5310" spans="1:3">
      <c r="A5310" s="177">
        <v>952000123</v>
      </c>
      <c r="B5310" s="116" t="str">
        <f t="shared" si="82"/>
        <v>95-952000123</v>
      </c>
      <c r="C5310" s="179" t="s">
        <v>8010</v>
      </c>
    </row>
    <row r="5311" spans="1:3">
      <c r="A5311" s="177">
        <v>956200156</v>
      </c>
      <c r="B5311" s="116" t="str">
        <f t="shared" si="82"/>
        <v>95-956200156</v>
      </c>
      <c r="C5311" s="179" t="s">
        <v>7980</v>
      </c>
    </row>
    <row r="5312" spans="1:3">
      <c r="A5312" s="177">
        <v>951600075</v>
      </c>
      <c r="B5312" s="116" t="str">
        <f t="shared" si="82"/>
        <v>95-951600075</v>
      </c>
      <c r="C5312" s="179" t="s">
        <v>7587</v>
      </c>
    </row>
    <row r="5313" spans="1:3">
      <c r="A5313" s="177">
        <v>961900140</v>
      </c>
      <c r="B5313" s="116" t="str">
        <f t="shared" si="82"/>
        <v>96-961900140</v>
      </c>
      <c r="C5313" s="179" t="s">
        <v>8398</v>
      </c>
    </row>
    <row r="5314" spans="1:3">
      <c r="A5314" s="177">
        <v>951900076</v>
      </c>
      <c r="B5314" s="116" t="str">
        <f t="shared" si="82"/>
        <v>95-951900076</v>
      </c>
      <c r="C5314" s="179" t="s">
        <v>7837</v>
      </c>
    </row>
    <row r="5315" spans="1:3">
      <c r="A5315" s="177">
        <v>961700073</v>
      </c>
      <c r="B5315" s="116" t="str">
        <f t="shared" ref="B5315:B5378" si="83">MID(A5315,1,2)&amp;"-"&amp;A5315</f>
        <v>96-961700073</v>
      </c>
      <c r="C5315" s="179" t="s">
        <v>8399</v>
      </c>
    </row>
    <row r="5316" spans="1:3">
      <c r="A5316" s="177">
        <v>951500034</v>
      </c>
      <c r="B5316" s="116" t="str">
        <f t="shared" si="83"/>
        <v>95-951500034</v>
      </c>
      <c r="C5316" s="179" t="s">
        <v>5605</v>
      </c>
    </row>
    <row r="5317" spans="1:3">
      <c r="A5317" s="177">
        <v>951500229</v>
      </c>
      <c r="B5317" s="116" t="str">
        <f t="shared" si="83"/>
        <v>95-951500229</v>
      </c>
      <c r="C5317" s="179" t="s">
        <v>5640</v>
      </c>
    </row>
    <row r="5318" spans="1:3">
      <c r="A5318" s="177">
        <v>951500472</v>
      </c>
      <c r="B5318" s="116" t="str">
        <f t="shared" si="83"/>
        <v>95-951500472</v>
      </c>
      <c r="C5318" s="179" t="s">
        <v>5708</v>
      </c>
    </row>
    <row r="5319" spans="1:3">
      <c r="A5319" s="177">
        <v>961900150</v>
      </c>
      <c r="B5319" s="116" t="str">
        <f t="shared" si="83"/>
        <v>96-961900150</v>
      </c>
      <c r="C5319" s="179" t="s">
        <v>8224</v>
      </c>
    </row>
    <row r="5320" spans="1:3">
      <c r="A5320" s="177">
        <v>951900073</v>
      </c>
      <c r="B5320" s="116" t="str">
        <f t="shared" si="83"/>
        <v>95-951900073</v>
      </c>
      <c r="C5320" s="179" t="s">
        <v>8406</v>
      </c>
    </row>
    <row r="5321" spans="1:3">
      <c r="A5321" s="177">
        <v>961800050</v>
      </c>
      <c r="B5321" s="116" t="str">
        <f t="shared" si="83"/>
        <v>96-961800050</v>
      </c>
      <c r="C5321" s="179" t="s">
        <v>8407</v>
      </c>
    </row>
    <row r="5322" spans="1:3">
      <c r="A5322" s="177">
        <v>951400176</v>
      </c>
      <c r="B5322" s="116" t="str">
        <f t="shared" si="83"/>
        <v>95-951400176</v>
      </c>
      <c r="C5322" s="179" t="s">
        <v>8229</v>
      </c>
    </row>
    <row r="5323" spans="1:3">
      <c r="A5323" s="177">
        <v>951700166</v>
      </c>
      <c r="B5323" s="116" t="str">
        <f t="shared" si="83"/>
        <v>95-951700166</v>
      </c>
      <c r="C5323" s="179" t="s">
        <v>7722</v>
      </c>
    </row>
    <row r="5324" spans="1:3">
      <c r="A5324" s="177">
        <v>961500084</v>
      </c>
      <c r="B5324" s="116" t="str">
        <f t="shared" si="83"/>
        <v>96-961500084</v>
      </c>
      <c r="C5324" s="179" t="s">
        <v>5762</v>
      </c>
    </row>
    <row r="5325" spans="1:3">
      <c r="A5325" s="177">
        <v>961500234</v>
      </c>
      <c r="B5325" s="116" t="str">
        <f t="shared" si="83"/>
        <v>96-961500234</v>
      </c>
      <c r="C5325" s="179" t="s">
        <v>5813</v>
      </c>
    </row>
    <row r="5326" spans="1:3">
      <c r="A5326" s="177">
        <v>951500501</v>
      </c>
      <c r="B5326" s="116" t="str">
        <f t="shared" si="83"/>
        <v>95-951500501</v>
      </c>
      <c r="C5326" s="179" t="s">
        <v>5690</v>
      </c>
    </row>
    <row r="5327" spans="1:3">
      <c r="A5327" s="177">
        <v>961500370</v>
      </c>
      <c r="B5327" s="116" t="str">
        <f t="shared" si="83"/>
        <v>96-961500370</v>
      </c>
      <c r="C5327" s="179" t="s">
        <v>7233</v>
      </c>
    </row>
    <row r="5328" spans="1:3">
      <c r="A5328" s="177">
        <v>961500541</v>
      </c>
      <c r="B5328" s="116" t="str">
        <f t="shared" si="83"/>
        <v>96-961500541</v>
      </c>
      <c r="C5328" s="179" t="s">
        <v>8497</v>
      </c>
    </row>
    <row r="5329" spans="1:3">
      <c r="A5329" s="177">
        <v>961500662</v>
      </c>
      <c r="B5329" s="116" t="str">
        <f t="shared" si="83"/>
        <v>96-961500662</v>
      </c>
      <c r="C5329" s="179" t="s">
        <v>9770</v>
      </c>
    </row>
    <row r="5330" spans="1:3">
      <c r="A5330" s="177">
        <v>961500493</v>
      </c>
      <c r="B5330" s="116" t="str">
        <f t="shared" si="83"/>
        <v>96-961500493</v>
      </c>
      <c r="C5330" s="179" t="s">
        <v>7234</v>
      </c>
    </row>
    <row r="5331" spans="1:3">
      <c r="A5331" s="177">
        <v>961500658</v>
      </c>
      <c r="B5331" s="116" t="str">
        <f t="shared" si="83"/>
        <v>96-961500658</v>
      </c>
      <c r="C5331" s="179" t="s">
        <v>9768</v>
      </c>
    </row>
    <row r="5332" spans="1:3">
      <c r="A5332" s="177">
        <v>951500230</v>
      </c>
      <c r="B5332" s="116" t="str">
        <f t="shared" si="83"/>
        <v>95-951500230</v>
      </c>
      <c r="C5332" s="179" t="s">
        <v>5632</v>
      </c>
    </row>
    <row r="5333" spans="1:3">
      <c r="A5333" s="177">
        <v>951500257</v>
      </c>
      <c r="B5333" s="116" t="str">
        <f t="shared" si="83"/>
        <v>95-951500257</v>
      </c>
      <c r="C5333" s="179" t="s">
        <v>5646</v>
      </c>
    </row>
    <row r="5334" spans="1:3">
      <c r="A5334" s="177">
        <v>961500088</v>
      </c>
      <c r="B5334" s="116" t="str">
        <f t="shared" si="83"/>
        <v>96-961500088</v>
      </c>
      <c r="C5334" s="179" t="s">
        <v>5789</v>
      </c>
    </row>
    <row r="5335" spans="1:3">
      <c r="A5335" s="177">
        <v>951900237</v>
      </c>
      <c r="B5335" s="116" t="str">
        <f t="shared" si="83"/>
        <v>95-951900237</v>
      </c>
      <c r="C5335" s="179" t="s">
        <v>7695</v>
      </c>
    </row>
    <row r="5336" spans="1:3">
      <c r="A5336" s="177">
        <v>961900124</v>
      </c>
      <c r="B5336" s="116" t="str">
        <f t="shared" si="83"/>
        <v>96-961900124</v>
      </c>
      <c r="C5336" s="179" t="s">
        <v>8244</v>
      </c>
    </row>
    <row r="5337" spans="1:3">
      <c r="A5337" s="177">
        <v>951900177</v>
      </c>
      <c r="B5337" s="116" t="str">
        <f t="shared" si="83"/>
        <v>95-951900177</v>
      </c>
      <c r="C5337" s="179" t="s">
        <v>8408</v>
      </c>
    </row>
    <row r="5338" spans="1:3">
      <c r="A5338" s="177">
        <v>951900175</v>
      </c>
      <c r="B5338" s="116" t="str">
        <f t="shared" si="83"/>
        <v>95-951900175</v>
      </c>
      <c r="C5338" s="179" t="s">
        <v>8295</v>
      </c>
    </row>
    <row r="5339" spans="1:3">
      <c r="A5339" s="177">
        <v>951700042</v>
      </c>
      <c r="B5339" s="116" t="str">
        <f t="shared" si="83"/>
        <v>95-951700042</v>
      </c>
      <c r="C5339" s="179" t="s">
        <v>7739</v>
      </c>
    </row>
    <row r="5340" spans="1:3">
      <c r="A5340" s="177">
        <v>951900163</v>
      </c>
      <c r="B5340" s="116" t="str">
        <f t="shared" si="83"/>
        <v>95-951900163</v>
      </c>
      <c r="C5340" s="179" t="s">
        <v>7194</v>
      </c>
    </row>
    <row r="5341" spans="1:3">
      <c r="A5341" s="177">
        <v>951900107</v>
      </c>
      <c r="B5341" s="116" t="str">
        <f t="shared" si="83"/>
        <v>95-951900107</v>
      </c>
      <c r="C5341" s="179" t="s">
        <v>8409</v>
      </c>
    </row>
    <row r="5342" spans="1:3">
      <c r="A5342" s="177">
        <v>951700267</v>
      </c>
      <c r="B5342" s="116" t="str">
        <f t="shared" si="83"/>
        <v>95-951700267</v>
      </c>
      <c r="C5342" s="179" t="s">
        <v>7722</v>
      </c>
    </row>
    <row r="5343" spans="1:3">
      <c r="A5343" s="177">
        <v>961500404</v>
      </c>
      <c r="B5343" s="116" t="str">
        <f t="shared" si="83"/>
        <v>96-961500404</v>
      </c>
      <c r="C5343" s="179" t="s">
        <v>5836</v>
      </c>
    </row>
    <row r="5344" spans="1:3">
      <c r="A5344" s="177">
        <v>961500620</v>
      </c>
      <c r="B5344" s="116" t="str">
        <f t="shared" si="83"/>
        <v>96-961500620</v>
      </c>
      <c r="C5344" s="179" t="s">
        <v>8722</v>
      </c>
    </row>
    <row r="5345" spans="1:3">
      <c r="A5345" s="177">
        <v>951500537</v>
      </c>
      <c r="B5345" s="116" t="str">
        <f t="shared" si="83"/>
        <v>95-951500537</v>
      </c>
      <c r="C5345" s="179" t="s">
        <v>5715</v>
      </c>
    </row>
    <row r="5346" spans="1:3">
      <c r="A5346" s="177">
        <v>951800084</v>
      </c>
      <c r="B5346" s="116" t="str">
        <f t="shared" si="83"/>
        <v>95-951800084</v>
      </c>
      <c r="C5346" s="179" t="s">
        <v>7609</v>
      </c>
    </row>
    <row r="5347" spans="1:3">
      <c r="A5347" s="177">
        <v>951400067</v>
      </c>
      <c r="B5347" s="116" t="str">
        <f t="shared" si="83"/>
        <v>95-951400067</v>
      </c>
      <c r="C5347" s="179" t="s">
        <v>8411</v>
      </c>
    </row>
    <row r="5348" spans="1:3">
      <c r="A5348" s="177">
        <v>951900161</v>
      </c>
      <c r="B5348" s="116" t="str">
        <f t="shared" si="83"/>
        <v>95-951900161</v>
      </c>
      <c r="C5348" s="179" t="s">
        <v>7165</v>
      </c>
    </row>
    <row r="5349" spans="1:3">
      <c r="A5349" s="177">
        <v>951900292</v>
      </c>
      <c r="B5349" s="116" t="str">
        <f t="shared" si="83"/>
        <v>95-951900292</v>
      </c>
      <c r="C5349" s="179" t="s">
        <v>7612</v>
      </c>
    </row>
    <row r="5350" spans="1:3">
      <c r="A5350" s="177">
        <v>951900293</v>
      </c>
      <c r="B5350" s="116" t="str">
        <f t="shared" si="83"/>
        <v>95-951900293</v>
      </c>
      <c r="C5350" s="179" t="s">
        <v>7612</v>
      </c>
    </row>
    <row r="5351" spans="1:3">
      <c r="A5351" s="177">
        <v>951900294</v>
      </c>
      <c r="B5351" s="116" t="str">
        <f t="shared" si="83"/>
        <v>95-951900294</v>
      </c>
      <c r="C5351" s="179" t="s">
        <v>7612</v>
      </c>
    </row>
    <row r="5352" spans="1:3">
      <c r="A5352" s="177">
        <v>961900161</v>
      </c>
      <c r="B5352" s="116" t="str">
        <f t="shared" si="83"/>
        <v>96-961900161</v>
      </c>
      <c r="C5352" s="179" t="s">
        <v>7212</v>
      </c>
    </row>
    <row r="5353" spans="1:3">
      <c r="A5353" s="177">
        <v>951900307</v>
      </c>
      <c r="B5353" s="116" t="str">
        <f t="shared" si="83"/>
        <v>95-951900307</v>
      </c>
      <c r="C5353" s="179" t="s">
        <v>7665</v>
      </c>
    </row>
    <row r="5354" spans="1:3">
      <c r="A5354" s="177">
        <v>961900013</v>
      </c>
      <c r="B5354" s="116" t="str">
        <f t="shared" si="83"/>
        <v>96-961900013</v>
      </c>
      <c r="C5354" s="179" t="s">
        <v>7613</v>
      </c>
    </row>
    <row r="5355" spans="1:3">
      <c r="A5355" s="177">
        <v>961900020</v>
      </c>
      <c r="B5355" s="116" t="str">
        <f t="shared" si="83"/>
        <v>96-961900020</v>
      </c>
      <c r="C5355" s="179" t="s">
        <v>7613</v>
      </c>
    </row>
    <row r="5356" spans="1:3">
      <c r="A5356" s="177">
        <v>961900026</v>
      </c>
      <c r="B5356" s="116" t="str">
        <f t="shared" si="83"/>
        <v>96-961900026</v>
      </c>
      <c r="C5356" s="179" t="s">
        <v>7786</v>
      </c>
    </row>
    <row r="5357" spans="1:3">
      <c r="A5357" s="177">
        <v>961900099</v>
      </c>
      <c r="B5357" s="116" t="str">
        <f t="shared" si="83"/>
        <v>96-961900099</v>
      </c>
      <c r="C5357" s="179" t="s">
        <v>7787</v>
      </c>
    </row>
    <row r="5358" spans="1:3">
      <c r="A5358" s="177">
        <v>952000209</v>
      </c>
      <c r="B5358" s="116" t="str">
        <f t="shared" si="83"/>
        <v>95-952000209</v>
      </c>
      <c r="C5358" s="179" t="s">
        <v>7909</v>
      </c>
    </row>
    <row r="5359" spans="1:3">
      <c r="A5359" s="177">
        <v>961800028</v>
      </c>
      <c r="B5359" s="116" t="str">
        <f t="shared" si="83"/>
        <v>96-961800028</v>
      </c>
      <c r="C5359" s="179" t="s">
        <v>7822</v>
      </c>
    </row>
    <row r="5360" spans="1:3">
      <c r="A5360" s="177">
        <v>961900174</v>
      </c>
      <c r="B5360" s="116" t="str">
        <f t="shared" si="83"/>
        <v>96-961900174</v>
      </c>
      <c r="C5360" s="179" t="s">
        <v>8752</v>
      </c>
    </row>
    <row r="5361" spans="1:3">
      <c r="A5361" s="177">
        <v>961800037</v>
      </c>
      <c r="B5361" s="116" t="str">
        <f t="shared" si="83"/>
        <v>96-961800037</v>
      </c>
      <c r="C5361" s="179" t="s">
        <v>8312</v>
      </c>
    </row>
    <row r="5362" spans="1:3">
      <c r="A5362" s="177">
        <v>961100072</v>
      </c>
      <c r="B5362" s="116" t="str">
        <f t="shared" si="83"/>
        <v>96-961100072</v>
      </c>
      <c r="C5362" s="179" t="s">
        <v>8462</v>
      </c>
    </row>
    <row r="5363" spans="1:3">
      <c r="A5363" s="177">
        <v>956200329</v>
      </c>
      <c r="B5363" s="116" t="str">
        <f t="shared" si="83"/>
        <v>95-956200329</v>
      </c>
      <c r="C5363" s="179" t="s">
        <v>7911</v>
      </c>
    </row>
    <row r="5364" spans="1:3">
      <c r="A5364" s="177">
        <v>951700092</v>
      </c>
      <c r="B5364" s="116" t="str">
        <f t="shared" si="83"/>
        <v>95-951700092</v>
      </c>
      <c r="C5364" s="179" t="s">
        <v>8459</v>
      </c>
    </row>
    <row r="5365" spans="1:3">
      <c r="A5365" s="177">
        <v>961700077</v>
      </c>
      <c r="B5365" s="116" t="str">
        <f t="shared" si="83"/>
        <v>96-961700077</v>
      </c>
      <c r="C5365" s="179" t="s">
        <v>7159</v>
      </c>
    </row>
    <row r="5366" spans="1:3">
      <c r="A5366" s="177">
        <v>951800022</v>
      </c>
      <c r="B5366" s="116" t="str">
        <f t="shared" si="83"/>
        <v>95-951800022</v>
      </c>
      <c r="C5366" s="179" t="s">
        <v>8413</v>
      </c>
    </row>
    <row r="5367" spans="1:3">
      <c r="A5367" s="177">
        <v>956200353</v>
      </c>
      <c r="B5367" s="116" t="str">
        <f t="shared" si="83"/>
        <v>95-956200353</v>
      </c>
      <c r="C5367" s="179" t="s">
        <v>7949</v>
      </c>
    </row>
    <row r="5368" spans="1:3">
      <c r="A5368" s="177">
        <v>966200015</v>
      </c>
      <c r="B5368" s="116" t="str">
        <f t="shared" si="83"/>
        <v>96-966200015</v>
      </c>
      <c r="C5368" s="179" t="s">
        <v>7988</v>
      </c>
    </row>
    <row r="5369" spans="1:3">
      <c r="A5369" s="177">
        <v>966200405</v>
      </c>
      <c r="B5369" s="116" t="str">
        <f t="shared" si="83"/>
        <v>96-966200405</v>
      </c>
      <c r="C5369" s="179" t="s">
        <v>12204</v>
      </c>
    </row>
    <row r="5370" spans="1:3">
      <c r="A5370" s="177">
        <v>951800105</v>
      </c>
      <c r="B5370" s="116" t="str">
        <f t="shared" si="83"/>
        <v>95-951800105</v>
      </c>
      <c r="C5370" s="179" t="s">
        <v>7626</v>
      </c>
    </row>
    <row r="5371" spans="1:3">
      <c r="A5371" s="177">
        <v>951400008</v>
      </c>
      <c r="B5371" s="116" t="str">
        <f t="shared" si="83"/>
        <v>95-951400008</v>
      </c>
      <c r="C5371" s="179" t="s">
        <v>7827</v>
      </c>
    </row>
    <row r="5372" spans="1:3">
      <c r="A5372" s="177">
        <v>951700028</v>
      </c>
      <c r="B5372" s="116" t="str">
        <f t="shared" si="83"/>
        <v>95-951700028</v>
      </c>
      <c r="C5372" s="179" t="s">
        <v>7795</v>
      </c>
    </row>
    <row r="5373" spans="1:3">
      <c r="A5373" s="177">
        <v>951900060</v>
      </c>
      <c r="B5373" s="116" t="str">
        <f t="shared" si="83"/>
        <v>95-951900060</v>
      </c>
      <c r="C5373" s="179" t="s">
        <v>8268</v>
      </c>
    </row>
    <row r="5374" spans="1:3">
      <c r="A5374" s="177">
        <v>961900072</v>
      </c>
      <c r="B5374" s="116" t="str">
        <f t="shared" si="83"/>
        <v>96-961900072</v>
      </c>
      <c r="C5374" s="179" t="s">
        <v>8332</v>
      </c>
    </row>
    <row r="5375" spans="1:3">
      <c r="A5375" s="177">
        <v>951100085</v>
      </c>
      <c r="B5375" s="116" t="str">
        <f t="shared" si="83"/>
        <v>95-951100085</v>
      </c>
      <c r="C5375" s="179" t="s">
        <v>8414</v>
      </c>
    </row>
    <row r="5376" spans="1:3">
      <c r="A5376" s="177">
        <v>951100116</v>
      </c>
      <c r="B5376" s="116" t="str">
        <f t="shared" si="83"/>
        <v>95-951100116</v>
      </c>
      <c r="C5376" s="179" t="s">
        <v>7990</v>
      </c>
    </row>
    <row r="5377" spans="1:3">
      <c r="A5377" s="177">
        <v>951800005</v>
      </c>
      <c r="B5377" s="116" t="str">
        <f t="shared" si="83"/>
        <v>95-951800005</v>
      </c>
      <c r="C5377" s="179" t="s">
        <v>8415</v>
      </c>
    </row>
    <row r="5378" spans="1:3">
      <c r="A5378" s="177">
        <v>951400037</v>
      </c>
      <c r="B5378" s="116" t="str">
        <f t="shared" si="83"/>
        <v>95-951400037</v>
      </c>
      <c r="C5378" s="179" t="s">
        <v>8416</v>
      </c>
    </row>
    <row r="5379" spans="1:3">
      <c r="A5379" s="177">
        <v>961800038</v>
      </c>
      <c r="B5379" s="116" t="str">
        <f t="shared" ref="B5379:B5442" si="84">MID(A5379,1,2)&amp;"-"&amp;A5379</f>
        <v>96-961800038</v>
      </c>
      <c r="C5379" s="179" t="s">
        <v>8580</v>
      </c>
    </row>
    <row r="5380" spans="1:3">
      <c r="A5380" s="177">
        <v>951700036</v>
      </c>
      <c r="B5380" s="116" t="str">
        <f t="shared" si="84"/>
        <v>95-951700036</v>
      </c>
      <c r="C5380" s="179" t="s">
        <v>8261</v>
      </c>
    </row>
    <row r="5381" spans="1:3">
      <c r="A5381" s="177">
        <v>951700037</v>
      </c>
      <c r="B5381" s="116" t="str">
        <f t="shared" si="84"/>
        <v>95-951700037</v>
      </c>
      <c r="C5381" s="179" t="s">
        <v>8261</v>
      </c>
    </row>
    <row r="5382" spans="1:3">
      <c r="A5382" s="177">
        <v>966100008</v>
      </c>
      <c r="B5382" s="116" t="str">
        <f t="shared" si="84"/>
        <v>96-966100008</v>
      </c>
      <c r="C5382" s="179" t="s">
        <v>7644</v>
      </c>
    </row>
    <row r="5383" spans="1:3">
      <c r="A5383" s="177">
        <v>966100015</v>
      </c>
      <c r="B5383" s="116" t="str">
        <f t="shared" si="84"/>
        <v>96-966100015</v>
      </c>
      <c r="C5383" s="179" t="s">
        <v>7644</v>
      </c>
    </row>
    <row r="5384" spans="1:3">
      <c r="A5384" s="177">
        <v>951900287</v>
      </c>
      <c r="B5384" s="116" t="str">
        <f t="shared" si="84"/>
        <v>95-951900287</v>
      </c>
      <c r="C5384" s="179" t="s">
        <v>7652</v>
      </c>
    </row>
    <row r="5385" spans="1:3">
      <c r="A5385" s="177">
        <v>951900170</v>
      </c>
      <c r="B5385" s="116" t="str">
        <f t="shared" si="84"/>
        <v>95-951900170</v>
      </c>
      <c r="C5385" s="179" t="s">
        <v>7722</v>
      </c>
    </row>
    <row r="5386" spans="1:3">
      <c r="A5386" s="177">
        <v>961800012</v>
      </c>
      <c r="B5386" s="116" t="str">
        <f t="shared" si="84"/>
        <v>96-961800012</v>
      </c>
      <c r="C5386" s="179" t="s">
        <v>7690</v>
      </c>
    </row>
    <row r="5387" spans="1:3">
      <c r="A5387" s="177">
        <v>951400082</v>
      </c>
      <c r="B5387" s="116" t="str">
        <f t="shared" si="84"/>
        <v>95-951400082</v>
      </c>
      <c r="C5387" s="179" t="s">
        <v>7868</v>
      </c>
    </row>
    <row r="5388" spans="1:3">
      <c r="A5388" s="177">
        <v>951900255</v>
      </c>
      <c r="B5388" s="116" t="str">
        <f t="shared" si="84"/>
        <v>95-951900255</v>
      </c>
      <c r="C5388" s="179" t="s">
        <v>7201</v>
      </c>
    </row>
    <row r="5389" spans="1:3">
      <c r="A5389" s="177">
        <v>956200138</v>
      </c>
      <c r="B5389" s="116" t="str">
        <f t="shared" si="84"/>
        <v>95-956200138</v>
      </c>
      <c r="C5389" s="179" t="s">
        <v>8463</v>
      </c>
    </row>
    <row r="5390" spans="1:3">
      <c r="A5390" s="177">
        <v>951800009</v>
      </c>
      <c r="B5390" s="116" t="str">
        <f t="shared" si="84"/>
        <v>95-951800009</v>
      </c>
      <c r="C5390" s="179" t="s">
        <v>8418</v>
      </c>
    </row>
    <row r="5391" spans="1:3">
      <c r="A5391" s="177">
        <v>951300005</v>
      </c>
      <c r="B5391" s="116" t="str">
        <f t="shared" si="84"/>
        <v>95-951300005</v>
      </c>
      <c r="C5391" s="179" t="s">
        <v>8288</v>
      </c>
    </row>
    <row r="5392" spans="1:3">
      <c r="A5392" s="177">
        <v>951300021</v>
      </c>
      <c r="B5392" s="116" t="str">
        <f t="shared" si="84"/>
        <v>95-951300021</v>
      </c>
      <c r="C5392" s="179" t="s">
        <v>7818</v>
      </c>
    </row>
    <row r="5393" spans="1:3">
      <c r="A5393" s="177">
        <v>951300036</v>
      </c>
      <c r="B5393" s="116" t="str">
        <f t="shared" si="84"/>
        <v>95-951300036</v>
      </c>
      <c r="C5393" s="179" t="s">
        <v>7665</v>
      </c>
    </row>
    <row r="5394" spans="1:3">
      <c r="A5394" s="177">
        <v>951600014</v>
      </c>
      <c r="B5394" s="116" t="str">
        <f t="shared" si="84"/>
        <v>95-951600014</v>
      </c>
      <c r="C5394" s="179" t="s">
        <v>7582</v>
      </c>
    </row>
    <row r="5395" spans="1:3">
      <c r="A5395" s="177">
        <v>951700089</v>
      </c>
      <c r="B5395" s="116" t="str">
        <f t="shared" si="84"/>
        <v>95-951700089</v>
      </c>
      <c r="C5395" s="179" t="s">
        <v>8419</v>
      </c>
    </row>
    <row r="5396" spans="1:3">
      <c r="A5396" s="177">
        <v>951900316</v>
      </c>
      <c r="B5396" s="116" t="str">
        <f t="shared" si="84"/>
        <v>95-951900316</v>
      </c>
      <c r="C5396" s="179" t="s">
        <v>7800</v>
      </c>
    </row>
    <row r="5397" spans="1:3">
      <c r="A5397" s="177">
        <v>951900159</v>
      </c>
      <c r="B5397" s="116" t="str">
        <f t="shared" si="84"/>
        <v>95-951900159</v>
      </c>
      <c r="C5397" s="179" t="s">
        <v>7825</v>
      </c>
    </row>
    <row r="5398" spans="1:3">
      <c r="A5398" s="177">
        <v>951400092</v>
      </c>
      <c r="B5398" s="116" t="str">
        <f t="shared" si="84"/>
        <v>95-951400092</v>
      </c>
      <c r="C5398" s="179" t="s">
        <v>7882</v>
      </c>
    </row>
    <row r="5399" spans="1:3">
      <c r="A5399" s="177">
        <v>951900160</v>
      </c>
      <c r="B5399" s="116" t="str">
        <f t="shared" si="84"/>
        <v>95-951900160</v>
      </c>
      <c r="C5399" s="179" t="s">
        <v>7165</v>
      </c>
    </row>
    <row r="5400" spans="1:3">
      <c r="A5400" s="177">
        <v>951900258</v>
      </c>
      <c r="B5400" s="116" t="str">
        <f t="shared" si="84"/>
        <v>95-951900258</v>
      </c>
      <c r="C5400" s="179" t="s">
        <v>7830</v>
      </c>
    </row>
    <row r="5401" spans="1:3">
      <c r="A5401" s="177">
        <v>951400145</v>
      </c>
      <c r="B5401" s="116" t="str">
        <f t="shared" si="84"/>
        <v>95-951400145</v>
      </c>
      <c r="C5401" s="179" t="s">
        <v>8320</v>
      </c>
    </row>
    <row r="5402" spans="1:3">
      <c r="A5402" s="177">
        <v>961700030</v>
      </c>
      <c r="B5402" s="116" t="str">
        <f t="shared" si="84"/>
        <v>96-961700030</v>
      </c>
      <c r="C5402" s="179" t="s">
        <v>8420</v>
      </c>
    </row>
    <row r="5403" spans="1:3">
      <c r="A5403" s="177">
        <v>961800064</v>
      </c>
      <c r="B5403" s="116" t="str">
        <f t="shared" si="84"/>
        <v>96-961800064</v>
      </c>
      <c r="C5403" s="179" t="s">
        <v>7160</v>
      </c>
    </row>
    <row r="5404" spans="1:3">
      <c r="A5404" s="177">
        <v>961700114</v>
      </c>
      <c r="B5404" s="116" t="str">
        <f t="shared" si="84"/>
        <v>96-961700114</v>
      </c>
      <c r="C5404" s="179" t="s">
        <v>7160</v>
      </c>
    </row>
    <row r="5405" spans="1:3">
      <c r="A5405" s="177">
        <v>961700120</v>
      </c>
      <c r="B5405" s="116" t="str">
        <f t="shared" si="84"/>
        <v>96-961700120</v>
      </c>
      <c r="C5405" s="179" t="s">
        <v>7160</v>
      </c>
    </row>
    <row r="5406" spans="1:3">
      <c r="A5406" s="177">
        <v>961100028</v>
      </c>
      <c r="B5406" s="116" t="str">
        <f t="shared" si="84"/>
        <v>96-961100028</v>
      </c>
      <c r="C5406" s="179" t="s">
        <v>8461</v>
      </c>
    </row>
    <row r="5407" spans="1:3">
      <c r="A5407" s="177">
        <v>961100091</v>
      </c>
      <c r="B5407" s="116" t="str">
        <f t="shared" si="84"/>
        <v>96-961100091</v>
      </c>
      <c r="C5407" s="179" t="s">
        <v>12296</v>
      </c>
    </row>
    <row r="5408" spans="1:3">
      <c r="A5408" s="177">
        <v>951400096</v>
      </c>
      <c r="B5408" s="116" t="str">
        <f t="shared" si="84"/>
        <v>95-951400096</v>
      </c>
      <c r="C5408" s="179" t="s">
        <v>7188</v>
      </c>
    </row>
    <row r="5409" spans="1:3">
      <c r="A5409" s="177">
        <v>951400132</v>
      </c>
      <c r="B5409" s="116" t="str">
        <f t="shared" si="84"/>
        <v>95-951400132</v>
      </c>
      <c r="C5409" s="179" t="s">
        <v>7164</v>
      </c>
    </row>
    <row r="5410" spans="1:3">
      <c r="A5410" s="177">
        <v>951900030</v>
      </c>
      <c r="B5410" s="116" t="str">
        <f t="shared" si="84"/>
        <v>95-951900030</v>
      </c>
      <c r="C5410" s="179" t="s">
        <v>7877</v>
      </c>
    </row>
    <row r="5411" spans="1:3">
      <c r="A5411" s="177">
        <v>951900260</v>
      </c>
      <c r="B5411" s="116" t="str">
        <f t="shared" si="84"/>
        <v>95-951900260</v>
      </c>
      <c r="C5411" s="179" t="s">
        <v>7832</v>
      </c>
    </row>
    <row r="5412" spans="1:3">
      <c r="A5412" s="177">
        <v>951900134</v>
      </c>
      <c r="B5412" s="116" t="str">
        <f t="shared" si="84"/>
        <v>95-951900134</v>
      </c>
      <c r="C5412" s="179" t="s">
        <v>8421</v>
      </c>
    </row>
    <row r="5413" spans="1:3">
      <c r="A5413" s="177">
        <v>956100007</v>
      </c>
      <c r="B5413" s="116" t="str">
        <f t="shared" si="84"/>
        <v>95-956100007</v>
      </c>
      <c r="C5413" s="179" t="s">
        <v>7721</v>
      </c>
    </row>
    <row r="5414" spans="1:3">
      <c r="A5414" s="177">
        <v>951900145</v>
      </c>
      <c r="B5414" s="116" t="str">
        <f t="shared" si="84"/>
        <v>95-951900145</v>
      </c>
      <c r="C5414" s="179" t="s">
        <v>8422</v>
      </c>
    </row>
    <row r="5415" spans="1:3">
      <c r="A5415" s="177">
        <v>951900274</v>
      </c>
      <c r="B5415" s="116" t="str">
        <f t="shared" si="84"/>
        <v>95-951900274</v>
      </c>
      <c r="C5415" s="179" t="s">
        <v>7611</v>
      </c>
    </row>
    <row r="5416" spans="1:3">
      <c r="A5416" s="177">
        <v>961900086</v>
      </c>
      <c r="B5416" s="116" t="str">
        <f t="shared" si="84"/>
        <v>96-961900086</v>
      </c>
      <c r="C5416" s="179" t="s">
        <v>8423</v>
      </c>
    </row>
    <row r="5417" spans="1:3">
      <c r="A5417" s="177">
        <v>951400189</v>
      </c>
      <c r="B5417" s="116" t="str">
        <f t="shared" si="84"/>
        <v>95-951400189</v>
      </c>
      <c r="C5417" s="179" t="s">
        <v>7800</v>
      </c>
    </row>
    <row r="5418" spans="1:3">
      <c r="A5418" s="177">
        <v>956100023</v>
      </c>
      <c r="B5418" s="116" t="str">
        <f t="shared" si="84"/>
        <v>95-956100023</v>
      </c>
      <c r="C5418" s="179" t="s">
        <v>7610</v>
      </c>
    </row>
    <row r="5419" spans="1:3">
      <c r="A5419" s="177">
        <v>961900169</v>
      </c>
      <c r="B5419" s="116" t="str">
        <f t="shared" si="84"/>
        <v>96-961900169</v>
      </c>
      <c r="C5419" s="179" t="s">
        <v>7193</v>
      </c>
    </row>
    <row r="5420" spans="1:3">
      <c r="A5420" s="177">
        <v>966200277</v>
      </c>
      <c r="B5420" s="116" t="str">
        <f t="shared" si="84"/>
        <v>96-966200277</v>
      </c>
      <c r="C5420" s="179" t="s">
        <v>7167</v>
      </c>
    </row>
    <row r="5421" spans="1:3">
      <c r="A5421" s="177">
        <v>966200514</v>
      </c>
      <c r="B5421" s="116" t="str">
        <f t="shared" si="84"/>
        <v>96-966200514</v>
      </c>
      <c r="C5421" s="179" t="s">
        <v>12418</v>
      </c>
    </row>
    <row r="5422" spans="1:3">
      <c r="A5422" s="177">
        <v>951700242</v>
      </c>
      <c r="B5422" s="116" t="str">
        <f t="shared" si="84"/>
        <v>95-951700242</v>
      </c>
      <c r="C5422" s="179" t="s">
        <v>7826</v>
      </c>
    </row>
    <row r="5423" spans="1:3">
      <c r="A5423" s="177">
        <v>951900218</v>
      </c>
      <c r="B5423" s="116" t="str">
        <f t="shared" si="84"/>
        <v>95-951900218</v>
      </c>
      <c r="C5423" s="179" t="s">
        <v>8327</v>
      </c>
    </row>
    <row r="5424" spans="1:3">
      <c r="A5424" s="177">
        <v>966200287</v>
      </c>
      <c r="B5424" s="116" t="str">
        <f t="shared" si="84"/>
        <v>96-966200287</v>
      </c>
      <c r="C5424" s="179" t="s">
        <v>7210</v>
      </c>
    </row>
    <row r="5425" spans="1:3">
      <c r="A5425" s="177">
        <v>951800128</v>
      </c>
      <c r="B5425" s="116" t="str">
        <f t="shared" si="84"/>
        <v>95-951800128</v>
      </c>
      <c r="C5425" s="179" t="s">
        <v>7190</v>
      </c>
    </row>
    <row r="5426" spans="1:3">
      <c r="A5426" s="177">
        <v>966200284</v>
      </c>
      <c r="B5426" s="116" t="str">
        <f t="shared" si="84"/>
        <v>96-966200284</v>
      </c>
      <c r="C5426" s="179" t="s">
        <v>7210</v>
      </c>
    </row>
    <row r="5427" spans="1:3">
      <c r="A5427" s="177">
        <v>951300008</v>
      </c>
      <c r="B5427" s="116" t="str">
        <f t="shared" si="84"/>
        <v>95-951300008</v>
      </c>
      <c r="C5427" s="179" t="s">
        <v>7894</v>
      </c>
    </row>
    <row r="5428" spans="1:3">
      <c r="A5428" s="177">
        <v>951300026</v>
      </c>
      <c r="B5428" s="116" t="str">
        <f t="shared" si="84"/>
        <v>95-951300026</v>
      </c>
      <c r="C5428" s="179" t="s">
        <v>7708</v>
      </c>
    </row>
    <row r="5429" spans="1:3">
      <c r="A5429" s="177">
        <v>966200519</v>
      </c>
      <c r="B5429" s="116" t="str">
        <f t="shared" si="84"/>
        <v>96-966200519</v>
      </c>
      <c r="C5429" s="179" t="s">
        <v>12418</v>
      </c>
    </row>
    <row r="5430" spans="1:3">
      <c r="A5430" s="177">
        <v>951600076</v>
      </c>
      <c r="B5430" s="116" t="str">
        <f t="shared" si="84"/>
        <v>95-951600076</v>
      </c>
      <c r="C5430" s="179" t="s">
        <v>7207</v>
      </c>
    </row>
    <row r="5431" spans="1:3">
      <c r="A5431" s="177">
        <v>956100009</v>
      </c>
      <c r="B5431" s="116" t="str">
        <f t="shared" si="84"/>
        <v>95-956100009</v>
      </c>
      <c r="C5431" s="179" t="s">
        <v>8411</v>
      </c>
    </row>
    <row r="5432" spans="1:3">
      <c r="A5432" s="177">
        <v>966200248</v>
      </c>
      <c r="B5432" s="116" t="str">
        <f t="shared" si="84"/>
        <v>96-966200248</v>
      </c>
      <c r="C5432" s="179" t="s">
        <v>8400</v>
      </c>
    </row>
    <row r="5433" spans="1:3">
      <c r="A5433" s="177">
        <v>966200257</v>
      </c>
      <c r="B5433" s="116" t="str">
        <f t="shared" si="84"/>
        <v>96-966200257</v>
      </c>
      <c r="C5433" s="179" t="s">
        <v>7730</v>
      </c>
    </row>
    <row r="5434" spans="1:3">
      <c r="A5434" s="177">
        <v>966200528</v>
      </c>
      <c r="B5434" s="116" t="str">
        <f t="shared" si="84"/>
        <v>96-966200528</v>
      </c>
      <c r="C5434" s="179" t="s">
        <v>12422</v>
      </c>
    </row>
    <row r="5435" spans="1:3">
      <c r="A5435" s="177">
        <v>966200509</v>
      </c>
      <c r="B5435" s="116" t="str">
        <f t="shared" si="84"/>
        <v>96-966200509</v>
      </c>
      <c r="C5435" s="179" t="s">
        <v>12453</v>
      </c>
    </row>
    <row r="5436" spans="1:3">
      <c r="A5436" s="177">
        <v>966200435</v>
      </c>
      <c r="B5436" s="116" t="str">
        <f t="shared" si="84"/>
        <v>96-966200435</v>
      </c>
      <c r="C5436" s="179" t="s">
        <v>12205</v>
      </c>
    </row>
    <row r="5437" spans="1:3">
      <c r="A5437" s="177">
        <v>966200290</v>
      </c>
      <c r="B5437" s="116" t="str">
        <f t="shared" si="84"/>
        <v>96-966200290</v>
      </c>
      <c r="C5437" s="179" t="s">
        <v>7223</v>
      </c>
    </row>
    <row r="5438" spans="1:3">
      <c r="A5438" s="177">
        <v>966200516</v>
      </c>
      <c r="B5438" s="116" t="str">
        <f t="shared" si="84"/>
        <v>96-966200516</v>
      </c>
      <c r="C5438" s="179" t="s">
        <v>12418</v>
      </c>
    </row>
    <row r="5439" spans="1:3">
      <c r="A5439" s="177">
        <v>966200165</v>
      </c>
      <c r="B5439" s="116" t="str">
        <f t="shared" si="84"/>
        <v>96-966200165</v>
      </c>
      <c r="C5439" s="179" t="s">
        <v>7859</v>
      </c>
    </row>
    <row r="5440" spans="1:3">
      <c r="A5440" s="177">
        <v>966200274</v>
      </c>
      <c r="B5440" s="116" t="str">
        <f t="shared" si="84"/>
        <v>96-966200274</v>
      </c>
      <c r="C5440" s="179" t="s">
        <v>7167</v>
      </c>
    </row>
    <row r="5441" spans="1:3">
      <c r="A5441" s="177">
        <v>966200268</v>
      </c>
      <c r="B5441" s="116" t="str">
        <f t="shared" si="84"/>
        <v>96-966200268</v>
      </c>
      <c r="C5441" s="179" t="s">
        <v>7208</v>
      </c>
    </row>
    <row r="5442" spans="1:3">
      <c r="A5442" s="177">
        <v>961900035</v>
      </c>
      <c r="B5442" s="116" t="str">
        <f t="shared" si="84"/>
        <v>96-961900035</v>
      </c>
      <c r="C5442" s="179" t="s">
        <v>8371</v>
      </c>
    </row>
    <row r="5443" spans="1:3">
      <c r="A5443" s="177">
        <v>961800056</v>
      </c>
      <c r="B5443" s="116" t="str">
        <f t="shared" ref="B5443:B5506" si="85">MID(A5443,1,2)&amp;"-"&amp;A5443</f>
        <v>96-961800056</v>
      </c>
      <c r="C5443" s="179" t="s">
        <v>7863</v>
      </c>
    </row>
    <row r="5444" spans="1:3">
      <c r="A5444" s="177">
        <v>961100071</v>
      </c>
      <c r="B5444" s="116" t="str">
        <f t="shared" si="85"/>
        <v>96-961100071</v>
      </c>
      <c r="C5444" s="179" t="s">
        <v>8424</v>
      </c>
    </row>
    <row r="5445" spans="1:3">
      <c r="A5445" s="177">
        <v>966200327</v>
      </c>
      <c r="B5445" s="116" t="str">
        <f t="shared" si="85"/>
        <v>96-966200327</v>
      </c>
      <c r="C5445" s="179" t="s">
        <v>8713</v>
      </c>
    </row>
    <row r="5446" spans="1:3">
      <c r="A5446" s="177">
        <v>961900037</v>
      </c>
      <c r="B5446" s="116" t="str">
        <f t="shared" si="85"/>
        <v>96-961900037</v>
      </c>
      <c r="C5446" s="179" t="s">
        <v>7838</v>
      </c>
    </row>
    <row r="5447" spans="1:3">
      <c r="A5447" s="177">
        <v>961600003</v>
      </c>
      <c r="B5447" s="116" t="str">
        <f t="shared" si="85"/>
        <v>96-961600003</v>
      </c>
      <c r="C5447" s="179" t="s">
        <v>8425</v>
      </c>
    </row>
    <row r="5448" spans="1:3">
      <c r="A5448" s="177">
        <v>961900120</v>
      </c>
      <c r="B5448" s="116" t="str">
        <f t="shared" si="85"/>
        <v>96-961900120</v>
      </c>
      <c r="C5448" s="179" t="s">
        <v>8426</v>
      </c>
    </row>
    <row r="5449" spans="1:3">
      <c r="A5449" s="177">
        <v>966200058</v>
      </c>
      <c r="B5449" s="116" t="str">
        <f t="shared" si="85"/>
        <v>96-966200058</v>
      </c>
      <c r="C5449" s="179" t="s">
        <v>8002</v>
      </c>
    </row>
    <row r="5450" spans="1:3">
      <c r="A5450" s="177">
        <v>956000011</v>
      </c>
      <c r="B5450" s="116" t="str">
        <f t="shared" si="85"/>
        <v>95-956000011</v>
      </c>
      <c r="C5450" s="179" t="s">
        <v>7146</v>
      </c>
    </row>
    <row r="5451" spans="1:3">
      <c r="A5451" s="177">
        <v>966000039</v>
      </c>
      <c r="B5451" s="116" t="str">
        <f t="shared" si="85"/>
        <v>96-966000039</v>
      </c>
      <c r="C5451" s="179" t="s">
        <v>7146</v>
      </c>
    </row>
    <row r="5452" spans="1:3">
      <c r="A5452" s="177">
        <v>966000041</v>
      </c>
      <c r="B5452" s="116" t="str">
        <f t="shared" si="85"/>
        <v>96-966000041</v>
      </c>
      <c r="C5452" s="179" t="s">
        <v>7146</v>
      </c>
    </row>
    <row r="5453" spans="1:3">
      <c r="A5453" s="177">
        <v>951200094</v>
      </c>
      <c r="B5453" s="116" t="str">
        <f t="shared" si="85"/>
        <v>95-951200094</v>
      </c>
      <c r="C5453" s="179" t="s">
        <v>7151</v>
      </c>
    </row>
    <row r="5454" spans="1:3">
      <c r="A5454" s="177">
        <v>951200095</v>
      </c>
      <c r="B5454" s="116" t="str">
        <f t="shared" si="85"/>
        <v>95-951200095</v>
      </c>
      <c r="C5454" s="179" t="s">
        <v>7151</v>
      </c>
    </row>
    <row r="5455" spans="1:3">
      <c r="A5455" s="177">
        <v>952200013</v>
      </c>
      <c r="B5455" s="116" t="str">
        <f t="shared" si="85"/>
        <v>95-952200013</v>
      </c>
      <c r="C5455" s="179" t="s">
        <v>7172</v>
      </c>
    </row>
    <row r="5456" spans="1:3">
      <c r="A5456" s="177">
        <v>962200019</v>
      </c>
      <c r="B5456" s="116" t="str">
        <f t="shared" si="85"/>
        <v>96-962200019</v>
      </c>
      <c r="C5456" s="179" t="s">
        <v>7229</v>
      </c>
    </row>
    <row r="5457" spans="1:3">
      <c r="A5457" s="177">
        <v>962200086</v>
      </c>
      <c r="B5457" s="116" t="str">
        <f t="shared" si="85"/>
        <v>96-962200086</v>
      </c>
      <c r="C5457" s="179" t="s">
        <v>9765</v>
      </c>
    </row>
    <row r="5458" spans="1:3">
      <c r="A5458" s="177">
        <v>951200083</v>
      </c>
      <c r="B5458" s="116" t="str">
        <f t="shared" si="85"/>
        <v>95-951200083</v>
      </c>
      <c r="C5458" s="179" t="s">
        <v>7511</v>
      </c>
    </row>
    <row r="5459" spans="1:3">
      <c r="A5459" s="177">
        <v>952200043</v>
      </c>
      <c r="B5459" s="116" t="str">
        <f t="shared" si="85"/>
        <v>95-952200043</v>
      </c>
      <c r="C5459" s="179" t="s">
        <v>7126</v>
      </c>
    </row>
    <row r="5460" spans="1:3">
      <c r="A5460" s="177">
        <v>952000223</v>
      </c>
      <c r="B5460" s="116" t="str">
        <f t="shared" si="85"/>
        <v>95-952000223</v>
      </c>
      <c r="C5460" s="179" t="s">
        <v>7905</v>
      </c>
    </row>
    <row r="5461" spans="1:3">
      <c r="A5461" s="177">
        <v>962000360</v>
      </c>
      <c r="B5461" s="116" t="str">
        <f t="shared" si="85"/>
        <v>96-962000360</v>
      </c>
      <c r="C5461" s="179" t="s">
        <v>12208</v>
      </c>
    </row>
    <row r="5462" spans="1:3">
      <c r="A5462" s="177">
        <v>951100073</v>
      </c>
      <c r="B5462" s="116" t="str">
        <f t="shared" si="85"/>
        <v>95-951100073</v>
      </c>
      <c r="C5462" s="179" t="s">
        <v>8470</v>
      </c>
    </row>
    <row r="5463" spans="1:3">
      <c r="A5463" s="177">
        <v>952200075</v>
      </c>
      <c r="B5463" s="116" t="str">
        <f t="shared" si="85"/>
        <v>95-952200075</v>
      </c>
      <c r="C5463" s="179" t="s">
        <v>7151</v>
      </c>
    </row>
    <row r="5464" spans="1:3">
      <c r="A5464" s="177">
        <v>952200087</v>
      </c>
      <c r="B5464" s="116" t="str">
        <f t="shared" si="85"/>
        <v>95-952200087</v>
      </c>
      <c r="C5464" s="179" t="s">
        <v>7239</v>
      </c>
    </row>
    <row r="5465" spans="1:3">
      <c r="A5465" s="177">
        <v>962500160</v>
      </c>
      <c r="B5465" s="116" t="str">
        <f t="shared" si="85"/>
        <v>96-962500160</v>
      </c>
      <c r="C5465" s="179" t="s">
        <v>9761</v>
      </c>
    </row>
    <row r="5466" spans="1:3">
      <c r="A5466" s="177">
        <v>952200027</v>
      </c>
      <c r="B5466" s="116" t="str">
        <f t="shared" si="85"/>
        <v>95-952200027</v>
      </c>
      <c r="C5466" s="179" t="s">
        <v>7126</v>
      </c>
    </row>
    <row r="5467" spans="1:3">
      <c r="A5467" s="177">
        <v>952200023</v>
      </c>
      <c r="B5467" s="116" t="str">
        <f t="shared" si="85"/>
        <v>95-952200023</v>
      </c>
      <c r="C5467" s="179" t="s">
        <v>7174</v>
      </c>
    </row>
    <row r="5468" spans="1:3">
      <c r="A5468" s="177">
        <v>962200052</v>
      </c>
      <c r="B5468" s="116" t="str">
        <f t="shared" si="85"/>
        <v>96-962200052</v>
      </c>
      <c r="C5468" s="179" t="s">
        <v>7173</v>
      </c>
    </row>
    <row r="5469" spans="1:3">
      <c r="A5469" s="177">
        <v>962200090</v>
      </c>
      <c r="B5469" s="116" t="str">
        <f t="shared" si="85"/>
        <v>96-962200090</v>
      </c>
      <c r="C5469" s="179" t="s">
        <v>12197</v>
      </c>
    </row>
    <row r="5470" spans="1:3">
      <c r="A5470" s="177">
        <v>956200005</v>
      </c>
      <c r="B5470" s="116" t="str">
        <f t="shared" si="85"/>
        <v>95-956200005</v>
      </c>
      <c r="C5470" s="179" t="s">
        <v>8003</v>
      </c>
    </row>
    <row r="5471" spans="1:3">
      <c r="A5471" s="177">
        <v>962500134</v>
      </c>
      <c r="B5471" s="116" t="str">
        <f t="shared" si="85"/>
        <v>96-962500134</v>
      </c>
      <c r="C5471" s="179" t="s">
        <v>8717</v>
      </c>
    </row>
    <row r="5472" spans="1:3">
      <c r="A5472" s="177">
        <v>962500003</v>
      </c>
      <c r="B5472" s="116" t="str">
        <f t="shared" si="85"/>
        <v>96-962500003</v>
      </c>
      <c r="C5472" s="179" t="s">
        <v>5710</v>
      </c>
    </row>
    <row r="5473" spans="1:3">
      <c r="A5473" s="177">
        <v>962500037</v>
      </c>
      <c r="B5473" s="116" t="str">
        <f t="shared" si="85"/>
        <v>96-962500037</v>
      </c>
      <c r="C5473" s="179" t="s">
        <v>5814</v>
      </c>
    </row>
    <row r="5474" spans="1:3">
      <c r="A5474" s="177">
        <v>952500084</v>
      </c>
      <c r="B5474" s="116" t="str">
        <f t="shared" si="85"/>
        <v>95-952500084</v>
      </c>
      <c r="C5474" s="179" t="s">
        <v>5750</v>
      </c>
    </row>
    <row r="5475" spans="1:3">
      <c r="A5475" s="177">
        <v>962500028</v>
      </c>
      <c r="B5475" s="116" t="str">
        <f t="shared" si="85"/>
        <v>96-962500028</v>
      </c>
      <c r="C5475" s="179" t="s">
        <v>5780</v>
      </c>
    </row>
    <row r="5476" spans="1:3">
      <c r="A5476" s="177">
        <v>962500017</v>
      </c>
      <c r="B5476" s="116" t="str">
        <f t="shared" si="85"/>
        <v>96-962500017</v>
      </c>
      <c r="C5476" s="179" t="s">
        <v>5791</v>
      </c>
    </row>
    <row r="5477" spans="1:3">
      <c r="A5477" s="177">
        <v>966200134</v>
      </c>
      <c r="B5477" s="116" t="str">
        <f t="shared" si="85"/>
        <v>96-966200134</v>
      </c>
      <c r="C5477" s="179" t="s">
        <v>8005</v>
      </c>
    </row>
    <row r="5478" spans="1:3">
      <c r="A5478" s="177">
        <v>956200140</v>
      </c>
      <c r="B5478" s="116" t="str">
        <f t="shared" si="85"/>
        <v>95-956200140</v>
      </c>
      <c r="C5478" s="179" t="s">
        <v>8463</v>
      </c>
    </row>
    <row r="5479" spans="1:3">
      <c r="A5479" s="177">
        <v>956200408</v>
      </c>
      <c r="B5479" s="116" t="str">
        <f t="shared" si="85"/>
        <v>95-956200408</v>
      </c>
      <c r="C5479" s="179" t="s">
        <v>8006</v>
      </c>
    </row>
    <row r="5480" spans="1:3">
      <c r="A5480" s="177">
        <v>966200370</v>
      </c>
      <c r="B5480" s="116" t="str">
        <f t="shared" si="85"/>
        <v>96-966200370</v>
      </c>
      <c r="C5480" s="179" t="s">
        <v>12213</v>
      </c>
    </row>
    <row r="5481" spans="1:3">
      <c r="A5481" s="177">
        <v>966200011</v>
      </c>
      <c r="B5481" s="116" t="str">
        <f t="shared" si="85"/>
        <v>96-966200011</v>
      </c>
      <c r="C5481" s="179" t="s">
        <v>7988</v>
      </c>
    </row>
    <row r="5482" spans="1:3">
      <c r="A5482" s="177">
        <v>956200149</v>
      </c>
      <c r="B5482" s="116" t="str">
        <f t="shared" si="85"/>
        <v>95-956200149</v>
      </c>
      <c r="C5482" s="179" t="s">
        <v>7965</v>
      </c>
    </row>
    <row r="5483" spans="1:3">
      <c r="A5483" s="177">
        <v>951200063</v>
      </c>
      <c r="B5483" s="116" t="str">
        <f t="shared" si="85"/>
        <v>95-951200063</v>
      </c>
      <c r="C5483" s="179" t="s">
        <v>7226</v>
      </c>
    </row>
    <row r="5484" spans="1:3">
      <c r="A5484" s="177">
        <v>966200391</v>
      </c>
      <c r="B5484" s="116" t="str">
        <f t="shared" si="85"/>
        <v>96-966200391</v>
      </c>
      <c r="C5484" s="179" t="s">
        <v>12204</v>
      </c>
    </row>
    <row r="5485" spans="1:3">
      <c r="A5485" s="177">
        <v>966200328</v>
      </c>
      <c r="B5485" s="116" t="str">
        <f t="shared" si="85"/>
        <v>96-966200328</v>
      </c>
      <c r="C5485" s="179" t="s">
        <v>8720</v>
      </c>
    </row>
    <row r="5486" spans="1:3">
      <c r="A5486" s="177">
        <v>966200433</v>
      </c>
      <c r="B5486" s="116" t="str">
        <f t="shared" si="85"/>
        <v>96-966200433</v>
      </c>
      <c r="C5486" s="179" t="s">
        <v>12205</v>
      </c>
    </row>
    <row r="5487" spans="1:3">
      <c r="A5487" s="177">
        <v>956200130</v>
      </c>
      <c r="B5487" s="116" t="str">
        <f t="shared" si="85"/>
        <v>95-956200130</v>
      </c>
      <c r="C5487" s="179" t="s">
        <v>8008</v>
      </c>
    </row>
    <row r="5488" spans="1:3">
      <c r="A5488" s="177">
        <v>966200195</v>
      </c>
      <c r="B5488" s="116" t="str">
        <f t="shared" si="85"/>
        <v>96-966200195</v>
      </c>
      <c r="C5488" s="179" t="s">
        <v>7224</v>
      </c>
    </row>
    <row r="5489" spans="1:3">
      <c r="A5489" s="177">
        <v>966200365</v>
      </c>
      <c r="B5489" s="116" t="str">
        <f t="shared" si="85"/>
        <v>96-966200365</v>
      </c>
      <c r="C5489" s="179" t="s">
        <v>12305</v>
      </c>
    </row>
    <row r="5490" spans="1:3">
      <c r="A5490" s="177">
        <v>956200182</v>
      </c>
      <c r="B5490" s="116" t="str">
        <f t="shared" si="85"/>
        <v>95-956200182</v>
      </c>
      <c r="C5490" s="179" t="s">
        <v>8009</v>
      </c>
    </row>
    <row r="5491" spans="1:3">
      <c r="A5491" s="177">
        <v>961100077</v>
      </c>
      <c r="B5491" s="116" t="str">
        <f t="shared" si="85"/>
        <v>96-961100077</v>
      </c>
      <c r="C5491" s="179" t="s">
        <v>8754</v>
      </c>
    </row>
    <row r="5492" spans="1:3">
      <c r="A5492" s="177">
        <v>952000124</v>
      </c>
      <c r="B5492" s="116" t="str">
        <f t="shared" si="85"/>
        <v>95-952000124</v>
      </c>
      <c r="C5492" s="179" t="s">
        <v>8010</v>
      </c>
    </row>
    <row r="5493" spans="1:3">
      <c r="A5493" s="177">
        <v>956200183</v>
      </c>
      <c r="B5493" s="116" t="str">
        <f t="shared" si="85"/>
        <v>95-956200183</v>
      </c>
      <c r="C5493" s="179" t="s">
        <v>8009</v>
      </c>
    </row>
    <row r="5494" spans="1:3">
      <c r="A5494" s="177">
        <v>966200047</v>
      </c>
      <c r="B5494" s="116" t="str">
        <f t="shared" si="85"/>
        <v>96-966200047</v>
      </c>
      <c r="C5494" s="179" t="s">
        <v>7998</v>
      </c>
    </row>
    <row r="5495" spans="1:3">
      <c r="A5495" s="177">
        <v>966200451</v>
      </c>
      <c r="B5495" s="116" t="str">
        <f t="shared" si="85"/>
        <v>96-966200451</v>
      </c>
      <c r="C5495" s="179" t="s">
        <v>12207</v>
      </c>
    </row>
    <row r="5496" spans="1:3">
      <c r="A5496" s="177">
        <v>966200406</v>
      </c>
      <c r="B5496" s="116" t="str">
        <f t="shared" si="85"/>
        <v>96-966200406</v>
      </c>
      <c r="C5496" s="179" t="s">
        <v>12204</v>
      </c>
    </row>
    <row r="5497" spans="1:3">
      <c r="A5497" s="177">
        <v>966200332</v>
      </c>
      <c r="B5497" s="116" t="str">
        <f t="shared" si="85"/>
        <v>96-966200332</v>
      </c>
      <c r="C5497" s="179" t="s">
        <v>8720</v>
      </c>
    </row>
    <row r="5498" spans="1:3">
      <c r="A5498" s="177">
        <v>966200343</v>
      </c>
      <c r="B5498" s="116" t="str">
        <f t="shared" si="85"/>
        <v>96-966200343</v>
      </c>
      <c r="C5498" s="179" t="s">
        <v>8718</v>
      </c>
    </row>
    <row r="5499" spans="1:3">
      <c r="A5499" s="177">
        <v>956200400</v>
      </c>
      <c r="B5499" s="116" t="str">
        <f t="shared" si="85"/>
        <v>95-956200400</v>
      </c>
      <c r="C5499" s="179" t="s">
        <v>8006</v>
      </c>
    </row>
    <row r="5500" spans="1:3">
      <c r="A5500" s="177">
        <v>962000274</v>
      </c>
      <c r="B5500" s="116" t="str">
        <f t="shared" si="85"/>
        <v>96-962000274</v>
      </c>
      <c r="C5500" s="179" t="s">
        <v>12215</v>
      </c>
    </row>
    <row r="5501" spans="1:3">
      <c r="A5501" s="177">
        <v>966200119</v>
      </c>
      <c r="B5501" s="116" t="str">
        <f t="shared" si="85"/>
        <v>96-966200119</v>
      </c>
      <c r="C5501" s="179" t="s">
        <v>8472</v>
      </c>
    </row>
    <row r="5502" spans="1:3">
      <c r="A5502" s="177">
        <v>956200096</v>
      </c>
      <c r="B5502" s="116" t="str">
        <f t="shared" si="85"/>
        <v>95-956200096</v>
      </c>
      <c r="C5502" s="179" t="s">
        <v>8473</v>
      </c>
    </row>
    <row r="5503" spans="1:3">
      <c r="A5503" s="177">
        <v>966200306</v>
      </c>
      <c r="B5503" s="116" t="str">
        <f t="shared" si="85"/>
        <v>96-966200306</v>
      </c>
      <c r="C5503" s="179" t="s">
        <v>8719</v>
      </c>
    </row>
    <row r="5504" spans="1:3">
      <c r="A5504" s="177">
        <v>966200323</v>
      </c>
      <c r="B5504" s="116" t="str">
        <f t="shared" si="85"/>
        <v>96-966200323</v>
      </c>
      <c r="C5504" s="179" t="s">
        <v>8720</v>
      </c>
    </row>
    <row r="5505" spans="1:3">
      <c r="A5505" s="177">
        <v>966200381</v>
      </c>
      <c r="B5505" s="116" t="str">
        <f t="shared" si="85"/>
        <v>96-966200381</v>
      </c>
      <c r="C5505" s="179" t="s">
        <v>12204</v>
      </c>
    </row>
    <row r="5506" spans="1:3">
      <c r="A5506" s="177">
        <v>966200383</v>
      </c>
      <c r="B5506" s="116" t="str">
        <f t="shared" si="85"/>
        <v>96-966200383</v>
      </c>
      <c r="C5506" s="179" t="s">
        <v>12204</v>
      </c>
    </row>
    <row r="5507" spans="1:3">
      <c r="A5507" s="177">
        <v>951100128</v>
      </c>
      <c r="B5507" s="116" t="str">
        <f t="shared" ref="B5507:B5570" si="86">MID(A5507,1,2)&amp;"-"&amp;A5507</f>
        <v>95-951100128</v>
      </c>
      <c r="C5507" s="179" t="s">
        <v>8474</v>
      </c>
    </row>
    <row r="5508" spans="1:3">
      <c r="A5508" s="177">
        <v>961100006</v>
      </c>
      <c r="B5508" s="116" t="str">
        <f t="shared" si="86"/>
        <v>96-961100006</v>
      </c>
      <c r="C5508" s="179" t="s">
        <v>8475</v>
      </c>
    </row>
    <row r="5509" spans="1:3">
      <c r="A5509" s="177">
        <v>966200403</v>
      </c>
      <c r="B5509" s="116" t="str">
        <f t="shared" si="86"/>
        <v>96-966200403</v>
      </c>
      <c r="C5509" s="179" t="s">
        <v>12204</v>
      </c>
    </row>
    <row r="5510" spans="1:3">
      <c r="A5510" s="177">
        <v>966200415</v>
      </c>
      <c r="B5510" s="116" t="str">
        <f t="shared" si="86"/>
        <v>96-966200415</v>
      </c>
      <c r="C5510" s="179" t="s">
        <v>12216</v>
      </c>
    </row>
    <row r="5511" spans="1:3">
      <c r="A5511" s="177">
        <v>951500157</v>
      </c>
      <c r="B5511" s="116" t="str">
        <f t="shared" si="86"/>
        <v>95-951500157</v>
      </c>
      <c r="C5511" s="179" t="s">
        <v>5617</v>
      </c>
    </row>
    <row r="5512" spans="1:3">
      <c r="A5512" s="177">
        <v>964100020</v>
      </c>
      <c r="B5512" s="116" t="str">
        <f t="shared" si="86"/>
        <v>96-964100020</v>
      </c>
      <c r="C5512" s="179" t="s">
        <v>5809</v>
      </c>
    </row>
    <row r="5513" spans="1:3">
      <c r="A5513" s="177">
        <v>964100041</v>
      </c>
      <c r="B5513" s="116" t="str">
        <f t="shared" si="86"/>
        <v>96-964100041</v>
      </c>
      <c r="C5513" s="179" t="s">
        <v>5844</v>
      </c>
    </row>
    <row r="5514" spans="1:3">
      <c r="A5514" s="177">
        <v>952500021</v>
      </c>
      <c r="B5514" s="116" t="str">
        <f t="shared" si="86"/>
        <v>95-952500021</v>
      </c>
      <c r="C5514" s="179" t="s">
        <v>5618</v>
      </c>
    </row>
    <row r="5515" spans="1:3">
      <c r="A5515" s="177">
        <v>966000018</v>
      </c>
      <c r="B5515" s="116" t="str">
        <f t="shared" si="86"/>
        <v>96-966000018</v>
      </c>
      <c r="C5515" s="179" t="s">
        <v>7146</v>
      </c>
    </row>
    <row r="5516" spans="1:3">
      <c r="A5516" s="177">
        <v>951500016</v>
      </c>
      <c r="B5516" s="116" t="str">
        <f t="shared" si="86"/>
        <v>95-951500016</v>
      </c>
      <c r="C5516" s="179" t="s">
        <v>5605</v>
      </c>
    </row>
    <row r="5517" spans="1:3">
      <c r="A5517" s="177">
        <v>951500209</v>
      </c>
      <c r="B5517" s="116" t="str">
        <f t="shared" si="86"/>
        <v>95-951500209</v>
      </c>
      <c r="C5517" s="179" t="s">
        <v>5618</v>
      </c>
    </row>
    <row r="5518" spans="1:3">
      <c r="A5518" s="177">
        <v>951500558</v>
      </c>
      <c r="B5518" s="116" t="str">
        <f t="shared" si="86"/>
        <v>95-951500558</v>
      </c>
      <c r="C5518" s="179" t="s">
        <v>5740</v>
      </c>
    </row>
    <row r="5519" spans="1:3">
      <c r="A5519" s="177">
        <v>951500112</v>
      </c>
      <c r="B5519" s="116" t="str">
        <f t="shared" si="86"/>
        <v>95-951500112</v>
      </c>
      <c r="C5519" s="179" t="s">
        <v>5612</v>
      </c>
    </row>
    <row r="5520" spans="1:3">
      <c r="A5520" s="177">
        <v>951500131</v>
      </c>
      <c r="B5520" s="116" t="str">
        <f t="shared" si="86"/>
        <v>95-951500131</v>
      </c>
      <c r="C5520" s="179" t="s">
        <v>5612</v>
      </c>
    </row>
    <row r="5521" spans="1:3">
      <c r="A5521" s="177">
        <v>961500037</v>
      </c>
      <c r="B5521" s="116" t="str">
        <f t="shared" si="86"/>
        <v>96-961500037</v>
      </c>
      <c r="C5521" s="179" t="s">
        <v>5758</v>
      </c>
    </row>
    <row r="5522" spans="1:3">
      <c r="A5522" s="177">
        <v>961500239</v>
      </c>
      <c r="B5522" s="116" t="str">
        <f t="shared" si="86"/>
        <v>96-961500239</v>
      </c>
      <c r="C5522" s="179" t="s">
        <v>5813</v>
      </c>
    </row>
    <row r="5523" spans="1:3">
      <c r="A5523" s="177">
        <v>961500264</v>
      </c>
      <c r="B5523" s="116" t="str">
        <f t="shared" si="86"/>
        <v>96-961500264</v>
      </c>
      <c r="C5523" s="179" t="s">
        <v>5826</v>
      </c>
    </row>
    <row r="5524" spans="1:3">
      <c r="A5524" s="177">
        <v>961500269</v>
      </c>
      <c r="B5524" s="116" t="str">
        <f t="shared" si="86"/>
        <v>96-961500269</v>
      </c>
      <c r="C5524" s="179" t="s">
        <v>5831</v>
      </c>
    </row>
    <row r="5525" spans="1:3">
      <c r="A5525" s="177">
        <v>961500304</v>
      </c>
      <c r="B5525" s="116" t="str">
        <f t="shared" si="86"/>
        <v>96-961500304</v>
      </c>
      <c r="C5525" s="179" t="s">
        <v>5826</v>
      </c>
    </row>
    <row r="5526" spans="1:3">
      <c r="A5526" s="177">
        <v>961500603</v>
      </c>
      <c r="B5526" s="116" t="str">
        <f t="shared" si="86"/>
        <v>96-961500603</v>
      </c>
      <c r="C5526" s="179" t="s">
        <v>8698</v>
      </c>
    </row>
    <row r="5527" spans="1:3">
      <c r="A5527" s="177">
        <v>951100082</v>
      </c>
      <c r="B5527" s="116" t="str">
        <f t="shared" si="86"/>
        <v>95-951100082</v>
      </c>
      <c r="C5527" s="179" t="s">
        <v>8479</v>
      </c>
    </row>
    <row r="5528" spans="1:3">
      <c r="A5528" s="177">
        <v>961500551</v>
      </c>
      <c r="B5528" s="116" t="str">
        <f t="shared" si="86"/>
        <v>96-961500551</v>
      </c>
      <c r="C5528" s="179" t="s">
        <v>8497</v>
      </c>
    </row>
    <row r="5529" spans="1:3">
      <c r="A5529" s="177">
        <v>951500231</v>
      </c>
      <c r="B5529" s="116" t="str">
        <f t="shared" si="86"/>
        <v>95-951500231</v>
      </c>
      <c r="C5529" s="179" t="s">
        <v>5632</v>
      </c>
    </row>
    <row r="5530" spans="1:3">
      <c r="A5530" s="177">
        <v>951500232</v>
      </c>
      <c r="B5530" s="116" t="str">
        <f t="shared" si="86"/>
        <v>95-951500232</v>
      </c>
      <c r="C5530" s="179" t="s">
        <v>5632</v>
      </c>
    </row>
    <row r="5531" spans="1:3">
      <c r="A5531" s="177">
        <v>951500343</v>
      </c>
      <c r="B5531" s="116" t="str">
        <f t="shared" si="86"/>
        <v>95-951500343</v>
      </c>
      <c r="C5531" s="179" t="s">
        <v>5662</v>
      </c>
    </row>
    <row r="5532" spans="1:3">
      <c r="A5532" s="177">
        <v>961500617</v>
      </c>
      <c r="B5532" s="116" t="str">
        <f t="shared" si="86"/>
        <v>96-961500617</v>
      </c>
      <c r="C5532" s="179" t="s">
        <v>9771</v>
      </c>
    </row>
    <row r="5533" spans="1:3">
      <c r="A5533" s="177">
        <v>961500755</v>
      </c>
      <c r="B5533" s="116" t="str">
        <f t="shared" si="86"/>
        <v>96-961500755</v>
      </c>
      <c r="C5533" s="179" t="s">
        <v>12261</v>
      </c>
    </row>
    <row r="5534" spans="1:3">
      <c r="A5534" s="177">
        <v>961500591</v>
      </c>
      <c r="B5534" s="116" t="str">
        <f t="shared" si="86"/>
        <v>96-961500591</v>
      </c>
      <c r="C5534" s="179" t="s">
        <v>9761</v>
      </c>
    </row>
    <row r="5535" spans="1:3">
      <c r="A5535" s="177">
        <v>966200013</v>
      </c>
      <c r="B5535" s="116" t="str">
        <f t="shared" si="86"/>
        <v>96-966200013</v>
      </c>
      <c r="C5535" s="179" t="s">
        <v>7988</v>
      </c>
    </row>
    <row r="5536" spans="1:3">
      <c r="A5536" s="177">
        <v>956200164</v>
      </c>
      <c r="B5536" s="116" t="str">
        <f t="shared" si="86"/>
        <v>95-956200164</v>
      </c>
      <c r="C5536" s="179" t="s">
        <v>7980</v>
      </c>
    </row>
    <row r="5537" spans="1:3">
      <c r="A5537" s="177">
        <v>962000136</v>
      </c>
      <c r="B5537" s="116" t="str">
        <f t="shared" si="86"/>
        <v>96-962000136</v>
      </c>
      <c r="C5537" s="179" t="s">
        <v>8481</v>
      </c>
    </row>
    <row r="5538" spans="1:3">
      <c r="A5538" s="177">
        <v>956200134</v>
      </c>
      <c r="B5538" s="116" t="str">
        <f t="shared" si="86"/>
        <v>95-956200134</v>
      </c>
      <c r="C5538" s="179" t="s">
        <v>8008</v>
      </c>
    </row>
    <row r="5539" spans="1:3">
      <c r="A5539" s="177">
        <v>956200267</v>
      </c>
      <c r="B5539" s="116" t="str">
        <f t="shared" si="86"/>
        <v>95-956200267</v>
      </c>
      <c r="C5539" s="179" t="s">
        <v>7918</v>
      </c>
    </row>
    <row r="5540" spans="1:3">
      <c r="A5540" s="177">
        <v>956200099</v>
      </c>
      <c r="B5540" s="116" t="str">
        <f t="shared" si="86"/>
        <v>95-956200099</v>
      </c>
      <c r="C5540" s="179" t="s">
        <v>8482</v>
      </c>
    </row>
    <row r="5541" spans="1:3">
      <c r="A5541" s="177">
        <v>951100076</v>
      </c>
      <c r="B5541" s="116" t="str">
        <f t="shared" si="86"/>
        <v>95-951100076</v>
      </c>
      <c r="C5541" s="179" t="s">
        <v>8483</v>
      </c>
    </row>
    <row r="5542" spans="1:3">
      <c r="A5542" s="177">
        <v>951100102</v>
      </c>
      <c r="B5542" s="116" t="str">
        <f t="shared" si="86"/>
        <v>95-951100102</v>
      </c>
      <c r="C5542" s="179" t="s">
        <v>8484</v>
      </c>
    </row>
    <row r="5543" spans="1:3">
      <c r="A5543" s="177">
        <v>956200014</v>
      </c>
      <c r="B5543" s="116" t="str">
        <f t="shared" si="86"/>
        <v>95-956200014</v>
      </c>
      <c r="C5543" s="179" t="s">
        <v>8485</v>
      </c>
    </row>
    <row r="5544" spans="1:3">
      <c r="A5544" s="177">
        <v>966200054</v>
      </c>
      <c r="B5544" s="116" t="str">
        <f t="shared" si="86"/>
        <v>96-966200054</v>
      </c>
      <c r="C5544" s="179" t="s">
        <v>7998</v>
      </c>
    </row>
    <row r="5545" spans="1:3">
      <c r="A5545" s="177">
        <v>966200064</v>
      </c>
      <c r="B5545" s="116" t="str">
        <f t="shared" si="86"/>
        <v>96-966200064</v>
      </c>
      <c r="C5545" s="179" t="s">
        <v>8002</v>
      </c>
    </row>
    <row r="5546" spans="1:3">
      <c r="A5546" s="177">
        <v>966200139</v>
      </c>
      <c r="B5546" s="116" t="str">
        <f t="shared" si="86"/>
        <v>96-966200139</v>
      </c>
      <c r="C5546" s="179" t="s">
        <v>8486</v>
      </c>
    </row>
    <row r="5547" spans="1:3">
      <c r="A5547" s="177">
        <v>966200049</v>
      </c>
      <c r="B5547" s="116" t="str">
        <f t="shared" si="86"/>
        <v>96-966200049</v>
      </c>
      <c r="C5547" s="179" t="s">
        <v>7998</v>
      </c>
    </row>
    <row r="5548" spans="1:3">
      <c r="A5548" s="177">
        <v>966200207</v>
      </c>
      <c r="B5548" s="116" t="str">
        <f t="shared" si="86"/>
        <v>96-966200207</v>
      </c>
      <c r="C5548" s="179" t="s">
        <v>8000</v>
      </c>
    </row>
    <row r="5549" spans="1:3">
      <c r="A5549" s="177">
        <v>961500842</v>
      </c>
      <c r="B5549" s="116" t="str">
        <f t="shared" si="86"/>
        <v>96-961500842</v>
      </c>
      <c r="C5549" s="179" t="s">
        <v>12427</v>
      </c>
    </row>
    <row r="5550" spans="1:3">
      <c r="A5550" s="177">
        <v>954200009</v>
      </c>
      <c r="B5550" s="116" t="str">
        <f t="shared" si="86"/>
        <v>95-954200009</v>
      </c>
      <c r="C5550" s="179" t="s">
        <v>5628</v>
      </c>
    </row>
    <row r="5551" spans="1:3">
      <c r="A5551" s="177">
        <v>966000003</v>
      </c>
      <c r="B5551" s="116" t="str">
        <f t="shared" si="86"/>
        <v>96-966000003</v>
      </c>
      <c r="C5551" s="179" t="s">
        <v>7146</v>
      </c>
    </row>
    <row r="5552" spans="1:3">
      <c r="A5552" s="177">
        <v>954200030</v>
      </c>
      <c r="B5552" s="116" t="str">
        <f t="shared" si="86"/>
        <v>95-954200030</v>
      </c>
      <c r="C5552" s="179" t="s">
        <v>5642</v>
      </c>
    </row>
    <row r="5553" spans="1:3">
      <c r="A5553" s="177">
        <v>961100050</v>
      </c>
      <c r="B5553" s="116" t="str">
        <f t="shared" si="86"/>
        <v>96-961100050</v>
      </c>
      <c r="C5553" s="179" t="s">
        <v>8450</v>
      </c>
    </row>
    <row r="5554" spans="1:3">
      <c r="A5554" s="177">
        <v>961100099</v>
      </c>
      <c r="B5554" s="116" t="str">
        <f t="shared" si="86"/>
        <v>96-961100099</v>
      </c>
      <c r="C5554" s="179" t="s">
        <v>12262</v>
      </c>
    </row>
    <row r="5555" spans="1:3">
      <c r="A5555" s="177">
        <v>966000010</v>
      </c>
      <c r="B5555" s="116" t="str">
        <f t="shared" si="86"/>
        <v>96-966000010</v>
      </c>
      <c r="C5555" s="179" t="s">
        <v>7146</v>
      </c>
    </row>
    <row r="5556" spans="1:3">
      <c r="A5556" s="177">
        <v>952000218</v>
      </c>
      <c r="B5556" s="116" t="str">
        <f t="shared" si="86"/>
        <v>95-952000218</v>
      </c>
      <c r="C5556" s="179" t="s">
        <v>7905</v>
      </c>
    </row>
    <row r="5557" spans="1:3">
      <c r="A5557" s="177">
        <v>962000387</v>
      </c>
      <c r="B5557" s="116" t="str">
        <f t="shared" si="86"/>
        <v>96-962000387</v>
      </c>
      <c r="C5557" s="179" t="s">
        <v>12208</v>
      </c>
    </row>
    <row r="5558" spans="1:3">
      <c r="A5558" s="177">
        <v>952000016</v>
      </c>
      <c r="B5558" s="116" t="str">
        <f t="shared" si="86"/>
        <v>95-952000016</v>
      </c>
      <c r="C5558" s="179" t="s">
        <v>7904</v>
      </c>
    </row>
    <row r="5559" spans="1:3">
      <c r="A5559" s="177">
        <v>952000256</v>
      </c>
      <c r="B5559" s="116" t="str">
        <f t="shared" si="86"/>
        <v>95-952000256</v>
      </c>
      <c r="C5559" s="179" t="s">
        <v>8432</v>
      </c>
    </row>
    <row r="5560" spans="1:3">
      <c r="A5560" s="177">
        <v>952000053</v>
      </c>
      <c r="B5560" s="116" t="str">
        <f t="shared" si="86"/>
        <v>95-952000053</v>
      </c>
      <c r="C5560" s="179" t="s">
        <v>7908</v>
      </c>
    </row>
    <row r="5561" spans="1:3">
      <c r="A5561" s="177">
        <v>952000020</v>
      </c>
      <c r="B5561" s="116" t="str">
        <f t="shared" si="86"/>
        <v>95-952000020</v>
      </c>
      <c r="C5561" s="179" t="s">
        <v>7904</v>
      </c>
    </row>
    <row r="5562" spans="1:3">
      <c r="A5562" s="177">
        <v>962000386</v>
      </c>
      <c r="B5562" s="116" t="str">
        <f t="shared" si="86"/>
        <v>96-962000386</v>
      </c>
      <c r="C5562" s="179" t="s">
        <v>12208</v>
      </c>
    </row>
    <row r="5563" spans="1:3">
      <c r="A5563" s="177">
        <v>966200399</v>
      </c>
      <c r="B5563" s="116" t="str">
        <f t="shared" si="86"/>
        <v>96-966200399</v>
      </c>
      <c r="C5563" s="179" t="s">
        <v>12210</v>
      </c>
    </row>
    <row r="5564" spans="1:3">
      <c r="A5564" s="177">
        <v>962000376</v>
      </c>
      <c r="B5564" s="116" t="str">
        <f t="shared" si="86"/>
        <v>96-962000376</v>
      </c>
      <c r="C5564" s="179" t="s">
        <v>12208</v>
      </c>
    </row>
    <row r="5565" spans="1:3">
      <c r="A5565" s="177">
        <v>962000381</v>
      </c>
      <c r="B5565" s="116" t="str">
        <f t="shared" si="86"/>
        <v>96-962000381</v>
      </c>
      <c r="C5565" s="179" t="s">
        <v>12208</v>
      </c>
    </row>
    <row r="5566" spans="1:3">
      <c r="A5566" s="177">
        <v>952000011</v>
      </c>
      <c r="B5566" s="116" t="str">
        <f t="shared" si="86"/>
        <v>95-952000011</v>
      </c>
      <c r="C5566" s="179" t="s">
        <v>7904</v>
      </c>
    </row>
    <row r="5567" spans="1:3">
      <c r="A5567" s="177">
        <v>956200418</v>
      </c>
      <c r="B5567" s="116" t="str">
        <f t="shared" si="86"/>
        <v>95-956200418</v>
      </c>
      <c r="C5567" s="179" t="s">
        <v>7923</v>
      </c>
    </row>
    <row r="5568" spans="1:3">
      <c r="A5568" s="177">
        <v>962000393</v>
      </c>
      <c r="B5568" s="116" t="str">
        <f t="shared" si="86"/>
        <v>96-962000393</v>
      </c>
      <c r="C5568" s="179" t="s">
        <v>12208</v>
      </c>
    </row>
    <row r="5569" spans="1:3">
      <c r="A5569" s="177">
        <v>952000167</v>
      </c>
      <c r="B5569" s="116" t="str">
        <f t="shared" si="86"/>
        <v>95-952000167</v>
      </c>
      <c r="C5569" s="179" t="s">
        <v>8444</v>
      </c>
    </row>
    <row r="5570" spans="1:3">
      <c r="A5570" s="177">
        <v>956200023</v>
      </c>
      <c r="B5570" s="116" t="str">
        <f t="shared" si="86"/>
        <v>95-956200023</v>
      </c>
      <c r="C5570" s="179" t="s">
        <v>8442</v>
      </c>
    </row>
    <row r="5571" spans="1:3">
      <c r="A5571" s="177">
        <v>956200022</v>
      </c>
      <c r="B5571" s="116" t="str">
        <f t="shared" ref="B5571:B5634" si="87">MID(A5571,1,2)&amp;"-"&amp;A5571</f>
        <v>95-956200022</v>
      </c>
      <c r="C5571" s="179" t="s">
        <v>8449</v>
      </c>
    </row>
    <row r="5572" spans="1:3">
      <c r="A5572" s="177">
        <v>956200052</v>
      </c>
      <c r="B5572" s="116" t="str">
        <f t="shared" si="87"/>
        <v>95-956200052</v>
      </c>
      <c r="C5572" s="179" t="s">
        <v>7916</v>
      </c>
    </row>
    <row r="5573" spans="1:3">
      <c r="A5573" s="177">
        <v>966200355</v>
      </c>
      <c r="B5573" s="116" t="str">
        <f t="shared" si="87"/>
        <v>96-966200355</v>
      </c>
      <c r="C5573" s="179" t="s">
        <v>12265</v>
      </c>
    </row>
    <row r="5574" spans="1:3">
      <c r="A5574" s="177">
        <v>956200033</v>
      </c>
      <c r="B5574" s="116" t="str">
        <f t="shared" si="87"/>
        <v>95-956200033</v>
      </c>
      <c r="C5574" s="179" t="s">
        <v>7915</v>
      </c>
    </row>
    <row r="5575" spans="1:3">
      <c r="A5575" s="177">
        <v>952000208</v>
      </c>
      <c r="B5575" s="116" t="str">
        <f t="shared" si="87"/>
        <v>95-952000208</v>
      </c>
      <c r="C5575" s="179" t="s">
        <v>7909</v>
      </c>
    </row>
    <row r="5576" spans="1:3">
      <c r="A5576" s="177">
        <v>962000388</v>
      </c>
      <c r="B5576" s="116" t="str">
        <f t="shared" si="87"/>
        <v>96-962000388</v>
      </c>
      <c r="C5576" s="179" t="s">
        <v>12208</v>
      </c>
    </row>
    <row r="5577" spans="1:3">
      <c r="A5577" s="177">
        <v>952000028</v>
      </c>
      <c r="B5577" s="116" t="str">
        <f t="shared" si="87"/>
        <v>95-952000028</v>
      </c>
      <c r="C5577" s="179" t="s">
        <v>7904</v>
      </c>
    </row>
    <row r="5578" spans="1:3">
      <c r="A5578" s="177">
        <v>952000224</v>
      </c>
      <c r="B5578" s="116" t="str">
        <f t="shared" si="87"/>
        <v>95-952000224</v>
      </c>
      <c r="C5578" s="179" t="s">
        <v>7905</v>
      </c>
    </row>
    <row r="5579" spans="1:3">
      <c r="A5579" s="177">
        <v>956200067</v>
      </c>
      <c r="B5579" s="116" t="str">
        <f t="shared" si="87"/>
        <v>95-956200067</v>
      </c>
      <c r="C5579" s="179" t="s">
        <v>8433</v>
      </c>
    </row>
    <row r="5580" spans="1:3">
      <c r="A5580" s="177">
        <v>966200393</v>
      </c>
      <c r="B5580" s="116" t="str">
        <f t="shared" si="87"/>
        <v>96-966200393</v>
      </c>
      <c r="C5580" s="179" t="s">
        <v>12210</v>
      </c>
    </row>
    <row r="5581" spans="1:3">
      <c r="A5581" s="177">
        <v>956200187</v>
      </c>
      <c r="B5581" s="116" t="str">
        <f t="shared" si="87"/>
        <v>95-956200187</v>
      </c>
      <c r="C5581" s="179" t="s">
        <v>7941</v>
      </c>
    </row>
    <row r="5582" spans="1:3">
      <c r="A5582" s="177">
        <v>966200185</v>
      </c>
      <c r="B5582" s="116" t="str">
        <f t="shared" si="87"/>
        <v>96-966200185</v>
      </c>
      <c r="C5582" s="179" t="s">
        <v>7942</v>
      </c>
    </row>
    <row r="5583" spans="1:3">
      <c r="A5583" s="177">
        <v>966200189</v>
      </c>
      <c r="B5583" s="116" t="str">
        <f t="shared" si="87"/>
        <v>96-966200189</v>
      </c>
      <c r="C5583" s="179" t="s">
        <v>8435</v>
      </c>
    </row>
    <row r="5584" spans="1:3">
      <c r="A5584" s="177">
        <v>966200372</v>
      </c>
      <c r="B5584" s="116" t="str">
        <f t="shared" si="87"/>
        <v>96-966200372</v>
      </c>
      <c r="C5584" s="179" t="s">
        <v>12299</v>
      </c>
    </row>
    <row r="5585" spans="1:3">
      <c r="A5585" s="177">
        <v>956200214</v>
      </c>
      <c r="B5585" s="116" t="str">
        <f t="shared" si="87"/>
        <v>95-956200214</v>
      </c>
      <c r="C5585" s="179" t="s">
        <v>7919</v>
      </c>
    </row>
    <row r="5586" spans="1:3">
      <c r="A5586" s="177">
        <v>956200220</v>
      </c>
      <c r="B5586" s="116" t="str">
        <f t="shared" si="87"/>
        <v>95-956200220</v>
      </c>
      <c r="C5586" s="179" t="s">
        <v>7919</v>
      </c>
    </row>
    <row r="5587" spans="1:3">
      <c r="A5587" s="177">
        <v>956200265</v>
      </c>
      <c r="B5587" s="116" t="str">
        <f t="shared" si="87"/>
        <v>95-956200265</v>
      </c>
      <c r="C5587" s="179" t="s">
        <v>7918</v>
      </c>
    </row>
    <row r="5588" spans="1:3">
      <c r="A5588" s="177">
        <v>956200234</v>
      </c>
      <c r="B5588" s="116" t="str">
        <f t="shared" si="87"/>
        <v>95-956200234</v>
      </c>
      <c r="C5588" s="179" t="s">
        <v>8451</v>
      </c>
    </row>
    <row r="5589" spans="1:3">
      <c r="A5589" s="177">
        <v>956200275</v>
      </c>
      <c r="B5589" s="116" t="str">
        <f t="shared" si="87"/>
        <v>95-956200275</v>
      </c>
      <c r="C5589" s="179" t="s">
        <v>7918</v>
      </c>
    </row>
    <row r="5590" spans="1:3">
      <c r="A5590" s="177">
        <v>956200303</v>
      </c>
      <c r="B5590" s="116" t="str">
        <f t="shared" si="87"/>
        <v>95-956200303</v>
      </c>
      <c r="C5590" s="179" t="s">
        <v>7922</v>
      </c>
    </row>
    <row r="5591" spans="1:3">
      <c r="A5591" s="177">
        <v>956200312</v>
      </c>
      <c r="B5591" s="116" t="str">
        <f t="shared" si="87"/>
        <v>95-956200312</v>
      </c>
      <c r="C5591" s="179" t="s">
        <v>7951</v>
      </c>
    </row>
    <row r="5592" spans="1:3">
      <c r="A5592" s="177">
        <v>951100043</v>
      </c>
      <c r="B5592" s="116" t="str">
        <f t="shared" si="87"/>
        <v>95-951100043</v>
      </c>
      <c r="C5592" s="179" t="s">
        <v>8453</v>
      </c>
    </row>
    <row r="5593" spans="1:3">
      <c r="A5593" s="177">
        <v>962000002</v>
      </c>
      <c r="B5593" s="116" t="str">
        <f t="shared" si="87"/>
        <v>96-962000002</v>
      </c>
      <c r="C5593" s="179" t="s">
        <v>8465</v>
      </c>
    </row>
    <row r="5594" spans="1:3">
      <c r="A5594" s="177">
        <v>961100092</v>
      </c>
      <c r="B5594" s="116" t="str">
        <f t="shared" si="87"/>
        <v>96-961100092</v>
      </c>
      <c r="C5594" s="179" t="s">
        <v>12300</v>
      </c>
    </row>
    <row r="5595" spans="1:3">
      <c r="A5595" s="177">
        <v>966200354</v>
      </c>
      <c r="B5595" s="116" t="str">
        <f t="shared" si="87"/>
        <v>96-966200354</v>
      </c>
      <c r="C5595" s="179" t="s">
        <v>12265</v>
      </c>
    </row>
    <row r="5596" spans="1:3">
      <c r="A5596" s="177">
        <v>951400059</v>
      </c>
      <c r="B5596" s="116" t="str">
        <f t="shared" si="87"/>
        <v>95-951400059</v>
      </c>
      <c r="C5596" s="179" t="s">
        <v>8454</v>
      </c>
    </row>
    <row r="5597" spans="1:3">
      <c r="A5597" s="177">
        <v>952000019</v>
      </c>
      <c r="B5597" s="116" t="str">
        <f t="shared" si="87"/>
        <v>95-952000019</v>
      </c>
      <c r="C5597" s="179" t="s">
        <v>7904</v>
      </c>
    </row>
    <row r="5598" spans="1:3">
      <c r="A5598" s="177">
        <v>952000255</v>
      </c>
      <c r="B5598" s="116" t="str">
        <f t="shared" si="87"/>
        <v>95-952000255</v>
      </c>
      <c r="C5598" s="179" t="s">
        <v>8432</v>
      </c>
    </row>
    <row r="5599" spans="1:3">
      <c r="A5599" s="177">
        <v>952000204</v>
      </c>
      <c r="B5599" s="116" t="str">
        <f t="shared" si="87"/>
        <v>95-952000204</v>
      </c>
      <c r="C5599" s="179" t="s">
        <v>7909</v>
      </c>
    </row>
    <row r="5600" spans="1:3">
      <c r="A5600" s="177">
        <v>962000363</v>
      </c>
      <c r="B5600" s="116" t="str">
        <f t="shared" si="87"/>
        <v>96-962000363</v>
      </c>
      <c r="C5600" s="179" t="s">
        <v>12208</v>
      </c>
    </row>
    <row r="5601" spans="1:3">
      <c r="A5601" s="177">
        <v>956200215</v>
      </c>
      <c r="B5601" s="116" t="str">
        <f t="shared" si="87"/>
        <v>95-956200215</v>
      </c>
      <c r="C5601" s="179" t="s">
        <v>7919</v>
      </c>
    </row>
    <row r="5602" spans="1:3">
      <c r="A5602" s="177">
        <v>956200029</v>
      </c>
      <c r="B5602" s="116" t="str">
        <f t="shared" si="87"/>
        <v>95-956200029</v>
      </c>
      <c r="C5602" s="179" t="s">
        <v>8434</v>
      </c>
    </row>
    <row r="5603" spans="1:3">
      <c r="A5603" s="177">
        <v>966200308</v>
      </c>
      <c r="B5603" s="116" t="str">
        <f t="shared" si="87"/>
        <v>96-966200308</v>
      </c>
      <c r="C5603" s="179" t="s">
        <v>8742</v>
      </c>
    </row>
    <row r="5604" spans="1:3">
      <c r="A5604" s="177">
        <v>956200039</v>
      </c>
      <c r="B5604" s="116" t="str">
        <f t="shared" si="87"/>
        <v>95-956200039</v>
      </c>
      <c r="C5604" s="179" t="s">
        <v>7953</v>
      </c>
    </row>
    <row r="5605" spans="1:3">
      <c r="A5605" s="177">
        <v>952000207</v>
      </c>
      <c r="B5605" s="116" t="str">
        <f t="shared" si="87"/>
        <v>95-952000207</v>
      </c>
      <c r="C5605" s="179" t="s">
        <v>7909</v>
      </c>
    </row>
    <row r="5606" spans="1:3">
      <c r="A5606" s="177">
        <v>952000022</v>
      </c>
      <c r="B5606" s="116" t="str">
        <f t="shared" si="87"/>
        <v>95-952000022</v>
      </c>
      <c r="C5606" s="179" t="s">
        <v>7904</v>
      </c>
    </row>
    <row r="5607" spans="1:3">
      <c r="A5607" s="177">
        <v>952000206</v>
      </c>
      <c r="B5607" s="116" t="str">
        <f t="shared" si="87"/>
        <v>95-952000206</v>
      </c>
      <c r="C5607" s="179" t="s">
        <v>7909</v>
      </c>
    </row>
    <row r="5608" spans="1:3">
      <c r="A5608" s="177">
        <v>952000010</v>
      </c>
      <c r="B5608" s="116" t="str">
        <f t="shared" si="87"/>
        <v>95-952000010</v>
      </c>
      <c r="C5608" s="179" t="s">
        <v>7904</v>
      </c>
    </row>
    <row r="5609" spans="1:3">
      <c r="A5609" s="177">
        <v>952000211</v>
      </c>
      <c r="B5609" s="116" t="str">
        <f t="shared" si="87"/>
        <v>95-952000211</v>
      </c>
      <c r="C5609" s="179" t="s">
        <v>7909</v>
      </c>
    </row>
    <row r="5610" spans="1:3">
      <c r="A5610" s="177">
        <v>956200144</v>
      </c>
      <c r="B5610" s="116" t="str">
        <f t="shared" si="87"/>
        <v>95-956200144</v>
      </c>
      <c r="C5610" s="179" t="s">
        <v>8467</v>
      </c>
    </row>
    <row r="5611" spans="1:3">
      <c r="A5611" s="177">
        <v>956200147</v>
      </c>
      <c r="B5611" s="116" t="str">
        <f t="shared" si="87"/>
        <v>95-956200147</v>
      </c>
      <c r="C5611" s="179" t="s">
        <v>8468</v>
      </c>
    </row>
    <row r="5612" spans="1:3">
      <c r="A5612" s="177">
        <v>956200175</v>
      </c>
      <c r="B5612" s="116" t="str">
        <f t="shared" si="87"/>
        <v>95-956200175</v>
      </c>
      <c r="C5612" s="179" t="s">
        <v>7938</v>
      </c>
    </row>
    <row r="5613" spans="1:3">
      <c r="A5613" s="177">
        <v>961100011</v>
      </c>
      <c r="B5613" s="116" t="str">
        <f t="shared" si="87"/>
        <v>96-961100011</v>
      </c>
      <c r="C5613" s="179" t="s">
        <v>8456</v>
      </c>
    </row>
    <row r="5614" spans="1:3">
      <c r="A5614" s="177">
        <v>956200191</v>
      </c>
      <c r="B5614" s="116" t="str">
        <f t="shared" si="87"/>
        <v>95-956200191</v>
      </c>
      <c r="C5614" s="179" t="s">
        <v>8469</v>
      </c>
    </row>
    <row r="5615" spans="1:3">
      <c r="A5615" s="177">
        <v>956200192</v>
      </c>
      <c r="B5615" s="116" t="str">
        <f t="shared" si="87"/>
        <v>95-956200192</v>
      </c>
      <c r="C5615" s="179" t="s">
        <v>8469</v>
      </c>
    </row>
    <row r="5616" spans="1:3">
      <c r="A5616" s="177">
        <v>966200191</v>
      </c>
      <c r="B5616" s="116" t="str">
        <f t="shared" si="87"/>
        <v>96-966200191</v>
      </c>
      <c r="C5616" s="179" t="s">
        <v>8435</v>
      </c>
    </row>
    <row r="5617" spans="1:3">
      <c r="A5617" s="177">
        <v>966200338</v>
      </c>
      <c r="B5617" s="116" t="str">
        <f t="shared" si="87"/>
        <v>96-966200338</v>
      </c>
      <c r="C5617" s="179" t="s">
        <v>8741</v>
      </c>
    </row>
    <row r="5618" spans="1:3">
      <c r="A5618" s="177">
        <v>956200343</v>
      </c>
      <c r="B5618" s="116" t="str">
        <f t="shared" si="87"/>
        <v>95-956200343</v>
      </c>
      <c r="C5618" s="179" t="s">
        <v>7949</v>
      </c>
    </row>
    <row r="5619" spans="1:3">
      <c r="A5619" s="177">
        <v>956200231</v>
      </c>
      <c r="B5619" s="116" t="str">
        <f t="shared" si="87"/>
        <v>95-956200231</v>
      </c>
      <c r="C5619" s="179" t="s">
        <v>8451</v>
      </c>
    </row>
    <row r="5620" spans="1:3">
      <c r="A5620" s="177">
        <v>956200199</v>
      </c>
      <c r="B5620" s="116" t="str">
        <f t="shared" si="87"/>
        <v>95-956200199</v>
      </c>
      <c r="C5620" s="179" t="s">
        <v>7879</v>
      </c>
    </row>
    <row r="5621" spans="1:3">
      <c r="A5621" s="177">
        <v>956200217</v>
      </c>
      <c r="B5621" s="116" t="str">
        <f t="shared" si="87"/>
        <v>95-956200217</v>
      </c>
      <c r="C5621" s="179" t="s">
        <v>7919</v>
      </c>
    </row>
    <row r="5622" spans="1:3">
      <c r="A5622" s="177">
        <v>956200317</v>
      </c>
      <c r="B5622" s="116" t="str">
        <f t="shared" si="87"/>
        <v>95-956200317</v>
      </c>
      <c r="C5622" s="179" t="s">
        <v>7880</v>
      </c>
    </row>
    <row r="5623" spans="1:3">
      <c r="A5623" s="177">
        <v>956200283</v>
      </c>
      <c r="B5623" s="116" t="str">
        <f t="shared" si="87"/>
        <v>95-956200283</v>
      </c>
      <c r="C5623" s="179" t="s">
        <v>8430</v>
      </c>
    </row>
    <row r="5624" spans="1:3">
      <c r="A5624" s="177">
        <v>966200347</v>
      </c>
      <c r="B5624" s="116" t="str">
        <f t="shared" si="87"/>
        <v>96-966200347</v>
      </c>
      <c r="C5624" s="179" t="s">
        <v>8716</v>
      </c>
    </row>
    <row r="5625" spans="1:3">
      <c r="A5625" s="177">
        <v>956200232</v>
      </c>
      <c r="B5625" s="116" t="str">
        <f t="shared" si="87"/>
        <v>95-956200232</v>
      </c>
      <c r="C5625" s="179" t="s">
        <v>8451</v>
      </c>
    </row>
    <row r="5626" spans="1:3">
      <c r="A5626" s="177">
        <v>956200233</v>
      </c>
      <c r="B5626" s="116" t="str">
        <f t="shared" si="87"/>
        <v>95-956200233</v>
      </c>
      <c r="C5626" s="179" t="s">
        <v>8451</v>
      </c>
    </row>
    <row r="5627" spans="1:3">
      <c r="A5627" s="177">
        <v>956200276</v>
      </c>
      <c r="B5627" s="116" t="str">
        <f t="shared" si="87"/>
        <v>95-956200276</v>
      </c>
      <c r="C5627" s="179" t="s">
        <v>7918</v>
      </c>
    </row>
    <row r="5628" spans="1:3">
      <c r="A5628" s="177">
        <v>956200424</v>
      </c>
      <c r="B5628" s="116" t="str">
        <f t="shared" si="87"/>
        <v>95-956200424</v>
      </c>
      <c r="C5628" s="179" t="s">
        <v>7923</v>
      </c>
    </row>
    <row r="5629" spans="1:3">
      <c r="A5629" s="177">
        <v>966200302</v>
      </c>
      <c r="B5629" s="116" t="str">
        <f t="shared" si="87"/>
        <v>96-966200302</v>
      </c>
      <c r="C5629" s="179" t="s">
        <v>7195</v>
      </c>
    </row>
    <row r="5630" spans="1:3">
      <c r="A5630" s="177">
        <v>966200357</v>
      </c>
      <c r="B5630" s="116" t="str">
        <f t="shared" si="87"/>
        <v>96-966200357</v>
      </c>
      <c r="C5630" s="179" t="s">
        <v>12266</v>
      </c>
    </row>
    <row r="5631" spans="1:3">
      <c r="A5631" s="177">
        <v>951100051</v>
      </c>
      <c r="B5631" s="116" t="str">
        <f t="shared" si="87"/>
        <v>95-951100051</v>
      </c>
      <c r="C5631" s="179" t="s">
        <v>8457</v>
      </c>
    </row>
    <row r="5632" spans="1:3">
      <c r="A5632" s="177">
        <v>951100108</v>
      </c>
      <c r="B5632" s="116" t="str">
        <f t="shared" si="87"/>
        <v>95-951100108</v>
      </c>
      <c r="C5632" s="179" t="s">
        <v>8471</v>
      </c>
    </row>
    <row r="5633" spans="1:3">
      <c r="A5633" s="177">
        <v>951700080</v>
      </c>
      <c r="B5633" s="116" t="str">
        <f t="shared" si="87"/>
        <v>95-951700080</v>
      </c>
      <c r="C5633" s="179" t="s">
        <v>8476</v>
      </c>
    </row>
    <row r="5634" spans="1:3">
      <c r="A5634" s="177">
        <v>951400038</v>
      </c>
      <c r="B5634" s="116" t="str">
        <f t="shared" si="87"/>
        <v>95-951400038</v>
      </c>
      <c r="C5634" s="179" t="s">
        <v>7221</v>
      </c>
    </row>
    <row r="5635" spans="1:3">
      <c r="A5635" s="177">
        <v>951100169</v>
      </c>
      <c r="B5635" s="116" t="str">
        <f t="shared" ref="B5635:B5698" si="88">MID(A5635,1,2)&amp;"-"&amp;A5635</f>
        <v>95-951100169</v>
      </c>
      <c r="C5635" s="179" t="s">
        <v>8478</v>
      </c>
    </row>
    <row r="5636" spans="1:3">
      <c r="A5636" s="177">
        <v>956200410</v>
      </c>
      <c r="B5636" s="116" t="str">
        <f t="shared" si="88"/>
        <v>95-956200410</v>
      </c>
      <c r="C5636" s="179" t="s">
        <v>8006</v>
      </c>
    </row>
    <row r="5637" spans="1:3">
      <c r="A5637" s="177">
        <v>961100105</v>
      </c>
      <c r="B5637" s="116" t="str">
        <f t="shared" si="88"/>
        <v>96-961100105</v>
      </c>
      <c r="C5637" s="179" t="s">
        <v>12454</v>
      </c>
    </row>
    <row r="5638" spans="1:3">
      <c r="A5638" s="177">
        <v>951700064</v>
      </c>
      <c r="B5638" s="116" t="str">
        <f t="shared" si="88"/>
        <v>95-951700064</v>
      </c>
      <c r="C5638" s="179" t="s">
        <v>8480</v>
      </c>
    </row>
    <row r="5639" spans="1:3">
      <c r="A5639" s="177">
        <v>951100002</v>
      </c>
      <c r="B5639" s="116" t="str">
        <f t="shared" si="88"/>
        <v>95-951100002</v>
      </c>
      <c r="C5639" s="179" t="s">
        <v>8464</v>
      </c>
    </row>
    <row r="5640" spans="1:3">
      <c r="A5640" s="177">
        <v>966200369</v>
      </c>
      <c r="B5640" s="116" t="str">
        <f t="shared" si="88"/>
        <v>96-966200369</v>
      </c>
      <c r="C5640" s="179" t="s">
        <v>12213</v>
      </c>
    </row>
    <row r="5641" spans="1:3">
      <c r="A5641" s="177">
        <v>966200137</v>
      </c>
      <c r="B5641" s="116" t="str">
        <f t="shared" si="88"/>
        <v>96-966200137</v>
      </c>
      <c r="C5641" s="179" t="s">
        <v>8486</v>
      </c>
    </row>
    <row r="5642" spans="1:3">
      <c r="A5642" s="177">
        <v>951100096</v>
      </c>
      <c r="B5642" s="116" t="str">
        <f t="shared" si="88"/>
        <v>95-951100096</v>
      </c>
      <c r="C5642" s="179" t="s">
        <v>8466</v>
      </c>
    </row>
    <row r="5643" spans="1:3">
      <c r="A5643" s="177">
        <v>961100100</v>
      </c>
      <c r="B5643" s="116" t="str">
        <f t="shared" si="88"/>
        <v>96-961100100</v>
      </c>
      <c r="C5643" s="179" t="s">
        <v>12301</v>
      </c>
    </row>
    <row r="5644" spans="1:3">
      <c r="A5644" s="177">
        <v>966200387</v>
      </c>
      <c r="B5644" s="116" t="str">
        <f t="shared" si="88"/>
        <v>96-966200387</v>
      </c>
      <c r="C5644" s="179" t="s">
        <v>12204</v>
      </c>
    </row>
    <row r="5645" spans="1:3">
      <c r="A5645" s="177">
        <v>956200158</v>
      </c>
      <c r="B5645" s="116" t="str">
        <f t="shared" si="88"/>
        <v>95-956200158</v>
      </c>
      <c r="C5645" s="179" t="s">
        <v>7980</v>
      </c>
    </row>
    <row r="5646" spans="1:3">
      <c r="A5646" s="177">
        <v>966200041</v>
      </c>
      <c r="B5646" s="116" t="str">
        <f t="shared" si="88"/>
        <v>96-966200041</v>
      </c>
      <c r="C5646" s="179" t="s">
        <v>7998</v>
      </c>
    </row>
    <row r="5647" spans="1:3">
      <c r="A5647" s="177">
        <v>966200292</v>
      </c>
      <c r="B5647" s="116" t="str">
        <f t="shared" si="88"/>
        <v>96-966200292</v>
      </c>
      <c r="C5647" s="179" t="s">
        <v>7223</v>
      </c>
    </row>
    <row r="5648" spans="1:3">
      <c r="A5648" s="177">
        <v>966200153</v>
      </c>
      <c r="B5648" s="116" t="str">
        <f t="shared" si="88"/>
        <v>96-966200153</v>
      </c>
      <c r="C5648" s="179" t="s">
        <v>8491</v>
      </c>
    </row>
    <row r="5649" spans="1:3">
      <c r="A5649" s="177">
        <v>966200065</v>
      </c>
      <c r="B5649" s="116" t="str">
        <f t="shared" si="88"/>
        <v>96-966200065</v>
      </c>
      <c r="C5649" s="179" t="s">
        <v>8492</v>
      </c>
    </row>
    <row r="5650" spans="1:3">
      <c r="A5650" s="177">
        <v>966200193</v>
      </c>
      <c r="B5650" s="116" t="str">
        <f t="shared" si="88"/>
        <v>96-966200193</v>
      </c>
      <c r="C5650" s="179" t="s">
        <v>7224</v>
      </c>
    </row>
    <row r="5651" spans="1:3">
      <c r="A5651" s="177">
        <v>951100147</v>
      </c>
      <c r="B5651" s="116" t="str">
        <f t="shared" si="88"/>
        <v>95-951100147</v>
      </c>
      <c r="C5651" s="179" t="s">
        <v>8493</v>
      </c>
    </row>
    <row r="5652" spans="1:3">
      <c r="A5652" s="177">
        <v>961100027</v>
      </c>
      <c r="B5652" s="116" t="str">
        <f t="shared" si="88"/>
        <v>96-961100027</v>
      </c>
      <c r="C5652" s="179" t="s">
        <v>8494</v>
      </c>
    </row>
    <row r="5653" spans="1:3">
      <c r="A5653" s="177">
        <v>966200241</v>
      </c>
      <c r="B5653" s="116" t="str">
        <f t="shared" si="88"/>
        <v>96-966200241</v>
      </c>
      <c r="C5653" s="179" t="s">
        <v>8495</v>
      </c>
    </row>
    <row r="5654" spans="1:3">
      <c r="A5654" s="177">
        <v>966200132</v>
      </c>
      <c r="B5654" s="116" t="str">
        <f t="shared" si="88"/>
        <v>96-966200132</v>
      </c>
      <c r="C5654" s="179" t="s">
        <v>8488</v>
      </c>
    </row>
    <row r="5655" spans="1:3">
      <c r="A5655" s="177">
        <v>966200385</v>
      </c>
      <c r="B5655" s="116" t="str">
        <f t="shared" si="88"/>
        <v>96-966200385</v>
      </c>
      <c r="C5655" s="179" t="s">
        <v>12204</v>
      </c>
    </row>
    <row r="5656" spans="1:3">
      <c r="A5656" s="177">
        <v>952500024</v>
      </c>
      <c r="B5656" s="116" t="str">
        <f t="shared" si="88"/>
        <v>95-952500024</v>
      </c>
      <c r="C5656" s="179" t="s">
        <v>5618</v>
      </c>
    </row>
    <row r="5657" spans="1:3">
      <c r="A5657" s="177">
        <v>966000013</v>
      </c>
      <c r="B5657" s="116" t="str">
        <f t="shared" si="88"/>
        <v>96-966000013</v>
      </c>
      <c r="C5657" s="179" t="s">
        <v>7968</v>
      </c>
    </row>
    <row r="5658" spans="1:3">
      <c r="A5658" s="177">
        <v>966000042</v>
      </c>
      <c r="B5658" s="116" t="str">
        <f t="shared" si="88"/>
        <v>96-966000042</v>
      </c>
      <c r="C5658" s="179" t="s">
        <v>7968</v>
      </c>
    </row>
    <row r="5659" spans="1:3">
      <c r="A5659" s="177">
        <v>966000006</v>
      </c>
      <c r="B5659" s="116" t="str">
        <f t="shared" si="88"/>
        <v>96-966000006</v>
      </c>
      <c r="C5659" s="179" t="s">
        <v>7146</v>
      </c>
    </row>
    <row r="5660" spans="1:3">
      <c r="A5660" s="177">
        <v>966000009</v>
      </c>
      <c r="B5660" s="116" t="str">
        <f t="shared" si="88"/>
        <v>96-966000009</v>
      </c>
      <c r="C5660" s="179" t="s">
        <v>7146</v>
      </c>
    </row>
    <row r="5661" spans="1:3">
      <c r="A5661" s="177">
        <v>966000025</v>
      </c>
      <c r="B5661" s="116" t="str">
        <f t="shared" si="88"/>
        <v>96-966000025</v>
      </c>
      <c r="C5661" s="179" t="s">
        <v>7146</v>
      </c>
    </row>
    <row r="5662" spans="1:3">
      <c r="A5662" s="177">
        <v>951100066</v>
      </c>
      <c r="B5662" s="116" t="str">
        <f t="shared" si="88"/>
        <v>95-951100066</v>
      </c>
      <c r="C5662" s="179" t="s">
        <v>8477</v>
      </c>
    </row>
    <row r="5663" spans="1:3">
      <c r="A5663" s="177">
        <v>956200184</v>
      </c>
      <c r="B5663" s="116" t="str">
        <f t="shared" si="88"/>
        <v>95-956200184</v>
      </c>
      <c r="C5663" s="179" t="s">
        <v>8009</v>
      </c>
    </row>
    <row r="5664" spans="1:3">
      <c r="A5664" s="177">
        <v>962000144</v>
      </c>
      <c r="B5664" s="116" t="str">
        <f t="shared" si="88"/>
        <v>96-962000144</v>
      </c>
      <c r="C5664" s="179" t="s">
        <v>8481</v>
      </c>
    </row>
    <row r="5665" spans="1:3">
      <c r="A5665" s="177">
        <v>956200412</v>
      </c>
      <c r="B5665" s="116" t="str">
        <f t="shared" si="88"/>
        <v>95-956200412</v>
      </c>
      <c r="C5665" s="179" t="s">
        <v>7991</v>
      </c>
    </row>
    <row r="5666" spans="1:3">
      <c r="A5666" s="177">
        <v>956200009</v>
      </c>
      <c r="B5666" s="116" t="str">
        <f t="shared" si="88"/>
        <v>95-956200009</v>
      </c>
      <c r="C5666" s="179" t="s">
        <v>8487</v>
      </c>
    </row>
    <row r="5667" spans="1:3">
      <c r="A5667" s="177">
        <v>956200132</v>
      </c>
      <c r="B5667" s="116" t="str">
        <f t="shared" si="88"/>
        <v>95-956200132</v>
      </c>
      <c r="C5667" s="179" t="s">
        <v>8008</v>
      </c>
    </row>
    <row r="5668" spans="1:3">
      <c r="A5668" s="177">
        <v>956200414</v>
      </c>
      <c r="B5668" s="116" t="str">
        <f t="shared" si="88"/>
        <v>95-956200414</v>
      </c>
      <c r="C5668" s="179" t="s">
        <v>7991</v>
      </c>
    </row>
    <row r="5669" spans="1:3">
      <c r="A5669" s="177">
        <v>956200007</v>
      </c>
      <c r="B5669" s="116" t="str">
        <f t="shared" si="88"/>
        <v>95-956200007</v>
      </c>
      <c r="C5669" s="179" t="s">
        <v>8003</v>
      </c>
    </row>
    <row r="5670" spans="1:3">
      <c r="A5670" s="177">
        <v>956200018</v>
      </c>
      <c r="B5670" s="116" t="str">
        <f t="shared" si="88"/>
        <v>95-956200018</v>
      </c>
      <c r="C5670" s="179" t="s">
        <v>7993</v>
      </c>
    </row>
    <row r="5671" spans="1:3">
      <c r="A5671" s="177">
        <v>956200181</v>
      </c>
      <c r="B5671" s="116" t="str">
        <f t="shared" si="88"/>
        <v>95-956200181</v>
      </c>
      <c r="C5671" s="179" t="s">
        <v>8009</v>
      </c>
    </row>
    <row r="5672" spans="1:3">
      <c r="A5672" s="177">
        <v>966200131</v>
      </c>
      <c r="B5672" s="116" t="str">
        <f t="shared" si="88"/>
        <v>96-966200131</v>
      </c>
      <c r="C5672" s="179" t="s">
        <v>8488</v>
      </c>
    </row>
    <row r="5673" spans="1:3">
      <c r="A5673" s="177">
        <v>956200106</v>
      </c>
      <c r="B5673" s="116" t="str">
        <f t="shared" si="88"/>
        <v>95-956200106</v>
      </c>
      <c r="C5673" s="179" t="s">
        <v>8489</v>
      </c>
    </row>
    <row r="5674" spans="1:3">
      <c r="A5674" s="177">
        <v>966200340</v>
      </c>
      <c r="B5674" s="116" t="str">
        <f t="shared" si="88"/>
        <v>96-966200340</v>
      </c>
      <c r="C5674" s="179" t="s">
        <v>8718</v>
      </c>
    </row>
    <row r="5675" spans="1:3">
      <c r="A5675" s="177">
        <v>966200438</v>
      </c>
      <c r="B5675" s="116" t="str">
        <f t="shared" si="88"/>
        <v>96-966200438</v>
      </c>
      <c r="C5675" s="179" t="s">
        <v>12206</v>
      </c>
    </row>
    <row r="5676" spans="1:3">
      <c r="A5676" s="177">
        <v>961100014</v>
      </c>
      <c r="B5676" s="116" t="str">
        <f t="shared" si="88"/>
        <v>96-961100014</v>
      </c>
      <c r="C5676" s="179" t="s">
        <v>8490</v>
      </c>
    </row>
    <row r="5677" spans="1:3">
      <c r="A5677" s="177">
        <v>966200090</v>
      </c>
      <c r="B5677" s="116" t="str">
        <f t="shared" si="88"/>
        <v>96-966200090</v>
      </c>
      <c r="C5677" s="179" t="s">
        <v>7999</v>
      </c>
    </row>
    <row r="5678" spans="1:3">
      <c r="A5678" s="177">
        <v>966200094</v>
      </c>
      <c r="B5678" s="116" t="str">
        <f t="shared" si="88"/>
        <v>96-966200094</v>
      </c>
      <c r="C5678" s="179" t="s">
        <v>7999</v>
      </c>
    </row>
    <row r="5679" spans="1:3">
      <c r="A5679" s="177">
        <v>966200326</v>
      </c>
      <c r="B5679" s="116" t="str">
        <f t="shared" si="88"/>
        <v>96-966200326</v>
      </c>
      <c r="C5679" s="179" t="s">
        <v>8720</v>
      </c>
    </row>
    <row r="5680" spans="1:3">
      <c r="A5680" s="177">
        <v>966200345</v>
      </c>
      <c r="B5680" s="116" t="str">
        <f t="shared" si="88"/>
        <v>96-966200345</v>
      </c>
      <c r="C5680" s="179" t="s">
        <v>8718</v>
      </c>
    </row>
    <row r="5681" spans="1:3">
      <c r="A5681" s="177">
        <v>966200409</v>
      </c>
      <c r="B5681" s="116" t="str">
        <f t="shared" si="88"/>
        <v>96-966200409</v>
      </c>
      <c r="C5681" s="179" t="s">
        <v>12204</v>
      </c>
    </row>
    <row r="5682" spans="1:3">
      <c r="A5682" s="177">
        <v>966000014</v>
      </c>
      <c r="B5682" s="116" t="str">
        <f t="shared" si="88"/>
        <v>96-966000014</v>
      </c>
      <c r="C5682" s="179" t="s">
        <v>7146</v>
      </c>
    </row>
    <row r="5683" spans="1:3">
      <c r="A5683" s="177">
        <v>956000004</v>
      </c>
      <c r="B5683" s="116" t="str">
        <f t="shared" si="88"/>
        <v>95-956000004</v>
      </c>
      <c r="C5683" s="179" t="s">
        <v>7146</v>
      </c>
    </row>
    <row r="5684" spans="1:3">
      <c r="A5684" s="177">
        <v>966000021</v>
      </c>
      <c r="B5684" s="116" t="str">
        <f t="shared" si="88"/>
        <v>96-966000021</v>
      </c>
      <c r="C5684" s="179" t="s">
        <v>7146</v>
      </c>
    </row>
    <row r="5685" spans="1:3">
      <c r="A5685" s="177">
        <v>951200003</v>
      </c>
      <c r="B5685" s="116" t="str">
        <f t="shared" si="88"/>
        <v>95-951200003</v>
      </c>
      <c r="C5685" s="179" t="s">
        <v>7131</v>
      </c>
    </row>
    <row r="5686" spans="1:3">
      <c r="A5686" s="177">
        <v>951200004</v>
      </c>
      <c r="B5686" s="116" t="str">
        <f t="shared" si="88"/>
        <v>95-951200004</v>
      </c>
      <c r="C5686" s="179" t="s">
        <v>7227</v>
      </c>
    </row>
    <row r="5687" spans="1:3">
      <c r="A5687" s="177">
        <v>951200018</v>
      </c>
      <c r="B5687" s="116" t="str">
        <f t="shared" si="88"/>
        <v>95-951200018</v>
      </c>
      <c r="C5687" s="179" t="s">
        <v>7172</v>
      </c>
    </row>
    <row r="5688" spans="1:3">
      <c r="A5688" s="177">
        <v>951200040</v>
      </c>
      <c r="B5688" s="116" t="str">
        <f t="shared" si="88"/>
        <v>95-951200040</v>
      </c>
      <c r="C5688" s="179" t="s">
        <v>7174</v>
      </c>
    </row>
    <row r="5689" spans="1:3">
      <c r="A5689" s="177">
        <v>951200057</v>
      </c>
      <c r="B5689" s="116" t="str">
        <f t="shared" si="88"/>
        <v>95-951200057</v>
      </c>
      <c r="C5689" s="179" t="s">
        <v>7226</v>
      </c>
    </row>
    <row r="5690" spans="1:3">
      <c r="A5690" s="177">
        <v>951200092</v>
      </c>
      <c r="B5690" s="116" t="str">
        <f t="shared" si="88"/>
        <v>95-951200092</v>
      </c>
      <c r="C5690" s="179" t="s">
        <v>7151</v>
      </c>
    </row>
    <row r="5691" spans="1:3">
      <c r="A5691" s="177">
        <v>951200098</v>
      </c>
      <c r="B5691" s="116" t="str">
        <f t="shared" si="88"/>
        <v>95-951200098</v>
      </c>
      <c r="C5691" s="179" t="s">
        <v>7236</v>
      </c>
    </row>
    <row r="5692" spans="1:3">
      <c r="A5692" s="177">
        <v>961200009</v>
      </c>
      <c r="B5692" s="116" t="str">
        <f t="shared" si="88"/>
        <v>96-961200009</v>
      </c>
      <c r="C5692" s="179" t="s">
        <v>7229</v>
      </c>
    </row>
    <row r="5693" spans="1:3">
      <c r="A5693" s="177">
        <v>961200022</v>
      </c>
      <c r="B5693" s="116" t="str">
        <f t="shared" si="88"/>
        <v>96-961200022</v>
      </c>
      <c r="C5693" s="179" t="s">
        <v>7228</v>
      </c>
    </row>
    <row r="5694" spans="1:3">
      <c r="A5694" s="177">
        <v>961200088</v>
      </c>
      <c r="B5694" s="116" t="str">
        <f t="shared" si="88"/>
        <v>96-961200088</v>
      </c>
      <c r="C5694" s="179" t="s">
        <v>8721</v>
      </c>
    </row>
    <row r="5695" spans="1:3">
      <c r="A5695" s="177">
        <v>961200123</v>
      </c>
      <c r="B5695" s="116" t="str">
        <f t="shared" si="88"/>
        <v>96-961200123</v>
      </c>
      <c r="C5695" s="179" t="s">
        <v>9765</v>
      </c>
    </row>
    <row r="5696" spans="1:3">
      <c r="A5696" s="177">
        <v>961200177</v>
      </c>
      <c r="B5696" s="116" t="str">
        <f t="shared" si="88"/>
        <v>96-961200177</v>
      </c>
      <c r="C5696" s="179" t="s">
        <v>12421</v>
      </c>
    </row>
    <row r="5697" spans="1:3">
      <c r="A5697" s="177">
        <v>951500576</v>
      </c>
      <c r="B5697" s="116" t="str">
        <f t="shared" si="88"/>
        <v>95-951500576</v>
      </c>
      <c r="C5697" s="179" t="s">
        <v>5753</v>
      </c>
    </row>
    <row r="5698" spans="1:3">
      <c r="A5698" s="177">
        <v>951500580</v>
      </c>
      <c r="B5698" s="116" t="str">
        <f t="shared" si="88"/>
        <v>95-951500580</v>
      </c>
      <c r="C5698" s="179" t="s">
        <v>5753</v>
      </c>
    </row>
    <row r="5699" spans="1:3">
      <c r="A5699" s="177">
        <v>951500592</v>
      </c>
      <c r="B5699" s="116" t="str">
        <f t="shared" ref="B5699:B5762" si="89">MID(A5699,1,2)&amp;"-"&amp;A5699</f>
        <v>95-951500592</v>
      </c>
      <c r="C5699" s="179" t="s">
        <v>5753</v>
      </c>
    </row>
    <row r="5700" spans="1:3">
      <c r="A5700" s="177">
        <v>961500679</v>
      </c>
      <c r="B5700" s="116" t="str">
        <f t="shared" si="89"/>
        <v>96-961500679</v>
      </c>
      <c r="C5700" s="179" t="s">
        <v>8717</v>
      </c>
    </row>
    <row r="5701" spans="1:3">
      <c r="A5701" s="177">
        <v>961500680</v>
      </c>
      <c r="B5701" s="116" t="str">
        <f t="shared" si="89"/>
        <v>96-961500680</v>
      </c>
      <c r="C5701" s="179" t="s">
        <v>8717</v>
      </c>
    </row>
    <row r="5702" spans="1:3">
      <c r="A5702" s="177">
        <v>951500559</v>
      </c>
      <c r="B5702" s="116" t="str">
        <f t="shared" si="89"/>
        <v>95-951500559</v>
      </c>
      <c r="C5702" s="179" t="s">
        <v>5722</v>
      </c>
    </row>
    <row r="5703" spans="1:3">
      <c r="A5703" s="177">
        <v>951500021</v>
      </c>
      <c r="B5703" s="116" t="str">
        <f t="shared" si="89"/>
        <v>95-951500021</v>
      </c>
      <c r="C5703" s="179" t="s">
        <v>5605</v>
      </c>
    </row>
    <row r="5704" spans="1:3">
      <c r="A5704" s="177">
        <v>951500028</v>
      </c>
      <c r="B5704" s="116" t="str">
        <f t="shared" si="89"/>
        <v>95-951500028</v>
      </c>
      <c r="C5704" s="179" t="s">
        <v>5605</v>
      </c>
    </row>
    <row r="5705" spans="1:3">
      <c r="A5705" s="177">
        <v>951500059</v>
      </c>
      <c r="B5705" s="116" t="str">
        <f t="shared" si="89"/>
        <v>95-951500059</v>
      </c>
      <c r="C5705" s="179" t="s">
        <v>5613</v>
      </c>
    </row>
    <row r="5706" spans="1:3">
      <c r="A5706" s="177">
        <v>951500086</v>
      </c>
      <c r="B5706" s="116" t="str">
        <f t="shared" si="89"/>
        <v>95-951500086</v>
      </c>
      <c r="C5706" s="179" t="s">
        <v>5618</v>
      </c>
    </row>
    <row r="5707" spans="1:3">
      <c r="A5707" s="177">
        <v>951500087</v>
      </c>
      <c r="B5707" s="116" t="str">
        <f t="shared" si="89"/>
        <v>95-951500087</v>
      </c>
      <c r="C5707" s="179" t="s">
        <v>5613</v>
      </c>
    </row>
    <row r="5708" spans="1:3">
      <c r="A5708" s="177">
        <v>951500111</v>
      </c>
      <c r="B5708" s="116" t="str">
        <f t="shared" si="89"/>
        <v>95-951500111</v>
      </c>
      <c r="C5708" s="179" t="s">
        <v>5618</v>
      </c>
    </row>
    <row r="5709" spans="1:3">
      <c r="A5709" s="177">
        <v>951500154</v>
      </c>
      <c r="B5709" s="116" t="str">
        <f t="shared" si="89"/>
        <v>95-951500154</v>
      </c>
      <c r="C5709" s="179" t="s">
        <v>5618</v>
      </c>
    </row>
    <row r="5710" spans="1:3">
      <c r="A5710" s="177">
        <v>951500241</v>
      </c>
      <c r="B5710" s="116" t="str">
        <f t="shared" si="89"/>
        <v>95-951500241</v>
      </c>
      <c r="C5710" s="179" t="s">
        <v>5643</v>
      </c>
    </row>
    <row r="5711" spans="1:3">
      <c r="A5711" s="177">
        <v>951500378</v>
      </c>
      <c r="B5711" s="116" t="str">
        <f t="shared" si="89"/>
        <v>95-951500378</v>
      </c>
      <c r="C5711" s="179" t="s">
        <v>5628</v>
      </c>
    </row>
    <row r="5712" spans="1:3">
      <c r="A5712" s="177">
        <v>951500313</v>
      </c>
      <c r="B5712" s="116" t="str">
        <f t="shared" si="89"/>
        <v>95-951500313</v>
      </c>
      <c r="C5712" s="179" t="s">
        <v>5664</v>
      </c>
    </row>
    <row r="5713" spans="1:3">
      <c r="A5713" s="177">
        <v>951500345</v>
      </c>
      <c r="B5713" s="116" t="str">
        <f t="shared" si="89"/>
        <v>95-951500345</v>
      </c>
      <c r="C5713" s="179" t="s">
        <v>5667</v>
      </c>
    </row>
    <row r="5714" spans="1:3">
      <c r="A5714" s="177">
        <v>951500138</v>
      </c>
      <c r="B5714" s="116" t="str">
        <f t="shared" si="89"/>
        <v>95-951500138</v>
      </c>
      <c r="C5714" s="179" t="s">
        <v>5619</v>
      </c>
    </row>
    <row r="5715" spans="1:3">
      <c r="A5715" s="177">
        <v>951500181</v>
      </c>
      <c r="B5715" s="116" t="str">
        <f t="shared" si="89"/>
        <v>95-951500181</v>
      </c>
      <c r="C5715" s="179" t="s">
        <v>5619</v>
      </c>
    </row>
    <row r="5716" spans="1:3">
      <c r="A5716" s="177">
        <v>951500195</v>
      </c>
      <c r="B5716" s="116" t="str">
        <f t="shared" si="89"/>
        <v>95-951500195</v>
      </c>
      <c r="C5716" s="179" t="s">
        <v>5619</v>
      </c>
    </row>
    <row r="5717" spans="1:3">
      <c r="A5717" s="177">
        <v>951500235</v>
      </c>
      <c r="B5717" s="116" t="str">
        <f t="shared" si="89"/>
        <v>95-951500235</v>
      </c>
      <c r="C5717" s="179" t="s">
        <v>5630</v>
      </c>
    </row>
    <row r="5718" spans="1:3">
      <c r="A5718" s="177">
        <v>951500238</v>
      </c>
      <c r="B5718" s="116" t="str">
        <f t="shared" si="89"/>
        <v>95-951500238</v>
      </c>
      <c r="C5718" s="179" t="s">
        <v>5635</v>
      </c>
    </row>
    <row r="5719" spans="1:3">
      <c r="A5719" s="177">
        <v>951500250</v>
      </c>
      <c r="B5719" s="116" t="str">
        <f t="shared" si="89"/>
        <v>95-951500250</v>
      </c>
      <c r="C5719" s="179" t="s">
        <v>5635</v>
      </c>
    </row>
    <row r="5720" spans="1:3">
      <c r="A5720" s="177">
        <v>951500294</v>
      </c>
      <c r="B5720" s="116" t="str">
        <f t="shared" si="89"/>
        <v>95-951500294</v>
      </c>
      <c r="C5720" s="179" t="s">
        <v>5659</v>
      </c>
    </row>
    <row r="5721" spans="1:3">
      <c r="A5721" s="177">
        <v>951500320</v>
      </c>
      <c r="B5721" s="116" t="str">
        <f t="shared" si="89"/>
        <v>95-951500320</v>
      </c>
      <c r="C5721" s="179" t="s">
        <v>5659</v>
      </c>
    </row>
    <row r="5722" spans="1:3">
      <c r="A5722" s="177">
        <v>951500327</v>
      </c>
      <c r="B5722" s="116" t="str">
        <f t="shared" si="89"/>
        <v>95-951500327</v>
      </c>
      <c r="C5722" s="179" t="s">
        <v>5659</v>
      </c>
    </row>
    <row r="5723" spans="1:3">
      <c r="A5723" s="177">
        <v>951500356</v>
      </c>
      <c r="B5723" s="116" t="str">
        <f t="shared" si="89"/>
        <v>95-951500356</v>
      </c>
      <c r="C5723" s="179" t="s">
        <v>5658</v>
      </c>
    </row>
    <row r="5724" spans="1:3">
      <c r="A5724" s="177">
        <v>951500386</v>
      </c>
      <c r="B5724" s="116" t="str">
        <f t="shared" si="89"/>
        <v>95-951500386</v>
      </c>
      <c r="C5724" s="179" t="s">
        <v>5680</v>
      </c>
    </row>
    <row r="5725" spans="1:3">
      <c r="A5725" s="177">
        <v>951500394</v>
      </c>
      <c r="B5725" s="116" t="str">
        <f t="shared" si="89"/>
        <v>95-951500394</v>
      </c>
      <c r="C5725" s="179" t="s">
        <v>5680</v>
      </c>
    </row>
    <row r="5726" spans="1:3">
      <c r="A5726" s="177">
        <v>951500412</v>
      </c>
      <c r="B5726" s="116" t="str">
        <f t="shared" si="89"/>
        <v>95-951500412</v>
      </c>
      <c r="C5726" s="179" t="s">
        <v>5689</v>
      </c>
    </row>
    <row r="5727" spans="1:3">
      <c r="A5727" s="177">
        <v>951500437</v>
      </c>
      <c r="B5727" s="116" t="str">
        <f t="shared" si="89"/>
        <v>95-951500437</v>
      </c>
      <c r="C5727" s="179" t="s">
        <v>5694</v>
      </c>
    </row>
    <row r="5728" spans="1:3">
      <c r="A5728" s="177">
        <v>951500438</v>
      </c>
      <c r="B5728" s="116" t="str">
        <f t="shared" si="89"/>
        <v>95-951500438</v>
      </c>
      <c r="C5728" s="179" t="s">
        <v>5694</v>
      </c>
    </row>
    <row r="5729" spans="1:3">
      <c r="A5729" s="177">
        <v>951500574</v>
      </c>
      <c r="B5729" s="116" t="str">
        <f t="shared" si="89"/>
        <v>95-951500574</v>
      </c>
      <c r="C5729" s="179" t="s">
        <v>5752</v>
      </c>
    </row>
    <row r="5730" spans="1:3">
      <c r="A5730" s="177">
        <v>951500579</v>
      </c>
      <c r="B5730" s="116" t="str">
        <f t="shared" si="89"/>
        <v>95-951500579</v>
      </c>
      <c r="C5730" s="179" t="s">
        <v>5733</v>
      </c>
    </row>
    <row r="5731" spans="1:3">
      <c r="A5731" s="177">
        <v>951500585</v>
      </c>
      <c r="B5731" s="116" t="str">
        <f t="shared" si="89"/>
        <v>95-951500585</v>
      </c>
      <c r="C5731" s="179" t="s">
        <v>5758</v>
      </c>
    </row>
    <row r="5732" spans="1:3">
      <c r="A5732" s="177">
        <v>951500603</v>
      </c>
      <c r="B5732" s="116" t="str">
        <f t="shared" si="89"/>
        <v>95-951500603</v>
      </c>
      <c r="C5732" s="179" t="s">
        <v>5752</v>
      </c>
    </row>
    <row r="5733" spans="1:3">
      <c r="A5733" s="177">
        <v>961500026</v>
      </c>
      <c r="B5733" s="116" t="str">
        <f t="shared" si="89"/>
        <v>96-961500026</v>
      </c>
      <c r="C5733" s="179" t="s">
        <v>5758</v>
      </c>
    </row>
    <row r="5734" spans="1:3">
      <c r="A5734" s="177">
        <v>961500031</v>
      </c>
      <c r="B5734" s="116" t="str">
        <f t="shared" si="89"/>
        <v>96-961500031</v>
      </c>
      <c r="C5734" s="179" t="s">
        <v>5758</v>
      </c>
    </row>
    <row r="5735" spans="1:3">
      <c r="A5735" s="177">
        <v>961500096</v>
      </c>
      <c r="B5735" s="116" t="str">
        <f t="shared" si="89"/>
        <v>96-961500096</v>
      </c>
      <c r="C5735" s="179" t="s">
        <v>5762</v>
      </c>
    </row>
    <row r="5736" spans="1:3">
      <c r="A5736" s="177">
        <v>961500099</v>
      </c>
      <c r="B5736" s="116" t="str">
        <f t="shared" si="89"/>
        <v>96-961500099</v>
      </c>
      <c r="C5736" s="179" t="s">
        <v>5762</v>
      </c>
    </row>
    <row r="5737" spans="1:3">
      <c r="A5737" s="177">
        <v>961500106</v>
      </c>
      <c r="B5737" s="116" t="str">
        <f t="shared" si="89"/>
        <v>96-961500106</v>
      </c>
      <c r="C5737" s="179" t="s">
        <v>5762</v>
      </c>
    </row>
    <row r="5738" spans="1:3">
      <c r="A5738" s="177">
        <v>961500130</v>
      </c>
      <c r="B5738" s="116" t="str">
        <f t="shared" si="89"/>
        <v>96-961500130</v>
      </c>
      <c r="C5738" s="179" t="s">
        <v>5799</v>
      </c>
    </row>
    <row r="5739" spans="1:3">
      <c r="A5739" s="177">
        <v>961500144</v>
      </c>
      <c r="B5739" s="116" t="str">
        <f t="shared" si="89"/>
        <v>96-961500144</v>
      </c>
      <c r="C5739" s="179" t="s">
        <v>5799</v>
      </c>
    </row>
    <row r="5740" spans="1:3">
      <c r="A5740" s="177">
        <v>961500160</v>
      </c>
      <c r="B5740" s="116" t="str">
        <f t="shared" si="89"/>
        <v>96-961500160</v>
      </c>
      <c r="C5740" s="179" t="s">
        <v>5810</v>
      </c>
    </row>
    <row r="5741" spans="1:3">
      <c r="A5741" s="177">
        <v>961500162</v>
      </c>
      <c r="B5741" s="116" t="str">
        <f t="shared" si="89"/>
        <v>96-961500162</v>
      </c>
      <c r="C5741" s="179" t="s">
        <v>5810</v>
      </c>
    </row>
    <row r="5742" spans="1:3">
      <c r="A5742" s="177">
        <v>961500174</v>
      </c>
      <c r="B5742" s="116" t="str">
        <f t="shared" si="89"/>
        <v>96-961500174</v>
      </c>
      <c r="C5742" s="179" t="s">
        <v>5810</v>
      </c>
    </row>
    <row r="5743" spans="1:3">
      <c r="A5743" s="177">
        <v>961500182</v>
      </c>
      <c r="B5743" s="116" t="str">
        <f t="shared" si="89"/>
        <v>96-961500182</v>
      </c>
      <c r="C5743" s="179" t="s">
        <v>5813</v>
      </c>
    </row>
    <row r="5744" spans="1:3">
      <c r="A5744" s="177">
        <v>961500196</v>
      </c>
      <c r="B5744" s="116" t="str">
        <f t="shared" si="89"/>
        <v>96-961500196</v>
      </c>
      <c r="C5744" s="179" t="s">
        <v>5813</v>
      </c>
    </row>
    <row r="5745" spans="1:3">
      <c r="A5745" s="177">
        <v>961500198</v>
      </c>
      <c r="B5745" s="116" t="str">
        <f t="shared" si="89"/>
        <v>96-961500198</v>
      </c>
      <c r="C5745" s="179" t="s">
        <v>5815</v>
      </c>
    </row>
    <row r="5746" spans="1:3">
      <c r="A5746" s="177">
        <v>961500227</v>
      </c>
      <c r="B5746" s="116" t="str">
        <f t="shared" si="89"/>
        <v>96-961500227</v>
      </c>
      <c r="C5746" s="179" t="s">
        <v>5813</v>
      </c>
    </row>
    <row r="5747" spans="1:3">
      <c r="A5747" s="177">
        <v>961500283</v>
      </c>
      <c r="B5747" s="116" t="str">
        <f t="shared" si="89"/>
        <v>96-961500283</v>
      </c>
      <c r="C5747" s="179" t="s">
        <v>5826</v>
      </c>
    </row>
    <row r="5748" spans="1:3">
      <c r="A5748" s="177">
        <v>961500288</v>
      </c>
      <c r="B5748" s="116" t="str">
        <f t="shared" si="89"/>
        <v>96-961500288</v>
      </c>
      <c r="C5748" s="179" t="s">
        <v>5826</v>
      </c>
    </row>
    <row r="5749" spans="1:3">
      <c r="A5749" s="177">
        <v>961500296</v>
      </c>
      <c r="B5749" s="116" t="str">
        <f t="shared" si="89"/>
        <v>96-961500296</v>
      </c>
      <c r="C5749" s="179" t="s">
        <v>5826</v>
      </c>
    </row>
    <row r="5750" spans="1:3">
      <c r="A5750" s="177">
        <v>961500306</v>
      </c>
      <c r="B5750" s="116" t="str">
        <f t="shared" si="89"/>
        <v>96-961500306</v>
      </c>
      <c r="C5750" s="179" t="s">
        <v>5826</v>
      </c>
    </row>
    <row r="5751" spans="1:3">
      <c r="A5751" s="177">
        <v>961500338</v>
      </c>
      <c r="B5751" s="116" t="str">
        <f t="shared" si="89"/>
        <v>96-961500338</v>
      </c>
      <c r="C5751" s="179" t="s">
        <v>5831</v>
      </c>
    </row>
    <row r="5752" spans="1:3">
      <c r="A5752" s="177">
        <v>961500347</v>
      </c>
      <c r="B5752" s="116" t="str">
        <f t="shared" si="89"/>
        <v>96-961500347</v>
      </c>
      <c r="C5752" s="179" t="s">
        <v>5831</v>
      </c>
    </row>
    <row r="5753" spans="1:3">
      <c r="A5753" s="177">
        <v>961500372</v>
      </c>
      <c r="B5753" s="116" t="str">
        <f t="shared" si="89"/>
        <v>96-961500372</v>
      </c>
      <c r="C5753" s="179" t="s">
        <v>7231</v>
      </c>
    </row>
    <row r="5754" spans="1:3">
      <c r="A5754" s="177">
        <v>961500375</v>
      </c>
      <c r="B5754" s="116" t="str">
        <f t="shared" si="89"/>
        <v>96-961500375</v>
      </c>
      <c r="C5754" s="179" t="s">
        <v>7231</v>
      </c>
    </row>
    <row r="5755" spans="1:3">
      <c r="A5755" s="177">
        <v>961500391</v>
      </c>
      <c r="B5755" s="116" t="str">
        <f t="shared" si="89"/>
        <v>96-961500391</v>
      </c>
      <c r="C5755" s="179" t="s">
        <v>7231</v>
      </c>
    </row>
    <row r="5756" spans="1:3">
      <c r="A5756" s="177">
        <v>961500476</v>
      </c>
      <c r="B5756" s="116" t="str">
        <f t="shared" si="89"/>
        <v>96-961500476</v>
      </c>
      <c r="C5756" s="179" t="s">
        <v>7175</v>
      </c>
    </row>
    <row r="5757" spans="1:3">
      <c r="A5757" s="177">
        <v>961500485</v>
      </c>
      <c r="B5757" s="116" t="str">
        <f t="shared" si="89"/>
        <v>96-961500485</v>
      </c>
      <c r="C5757" s="179" t="s">
        <v>7111</v>
      </c>
    </row>
    <row r="5758" spans="1:3">
      <c r="A5758" s="177">
        <v>961500487</v>
      </c>
      <c r="B5758" s="116" t="str">
        <f t="shared" si="89"/>
        <v>96-961500487</v>
      </c>
      <c r="C5758" s="179" t="s">
        <v>7111</v>
      </c>
    </row>
    <row r="5759" spans="1:3">
      <c r="A5759" s="177">
        <v>961500604</v>
      </c>
      <c r="B5759" s="116" t="str">
        <f t="shared" si="89"/>
        <v>96-961500604</v>
      </c>
      <c r="C5759" s="179" t="s">
        <v>8698</v>
      </c>
    </row>
    <row r="5760" spans="1:3">
      <c r="A5760" s="177">
        <v>961500607</v>
      </c>
      <c r="B5760" s="116" t="str">
        <f t="shared" si="89"/>
        <v>96-961500607</v>
      </c>
      <c r="C5760" s="179" t="s">
        <v>8698</v>
      </c>
    </row>
    <row r="5761" spans="1:3">
      <c r="A5761" s="177">
        <v>961500613</v>
      </c>
      <c r="B5761" s="116" t="str">
        <f t="shared" si="89"/>
        <v>96-961500613</v>
      </c>
      <c r="C5761" s="179" t="s">
        <v>8698</v>
      </c>
    </row>
    <row r="5762" spans="1:3">
      <c r="A5762" s="177">
        <v>961500739</v>
      </c>
      <c r="B5762" s="116" t="str">
        <f t="shared" si="89"/>
        <v>96-961500739</v>
      </c>
      <c r="C5762" s="179" t="s">
        <v>9769</v>
      </c>
    </row>
    <row r="5763" spans="1:3">
      <c r="A5763" s="177">
        <v>961500771</v>
      </c>
      <c r="B5763" s="116" t="str">
        <f t="shared" ref="B5763:B5826" si="90">MID(A5763,1,2)&amp;"-"&amp;A5763</f>
        <v>96-961500771</v>
      </c>
      <c r="C5763" s="179" t="s">
        <v>9763</v>
      </c>
    </row>
    <row r="5764" spans="1:3">
      <c r="A5764" s="177">
        <v>961500785</v>
      </c>
      <c r="B5764" s="116" t="str">
        <f t="shared" si="90"/>
        <v>96-961500785</v>
      </c>
      <c r="C5764" s="179" t="s">
        <v>12260</v>
      </c>
    </row>
    <row r="5765" spans="1:3">
      <c r="A5765" s="177">
        <v>961500808</v>
      </c>
      <c r="B5765" s="116" t="str">
        <f t="shared" si="90"/>
        <v>96-961500808</v>
      </c>
      <c r="C5765" s="179" t="s">
        <v>12260</v>
      </c>
    </row>
    <row r="5766" spans="1:3">
      <c r="A5766" s="177">
        <v>951500003</v>
      </c>
      <c r="B5766" s="116" t="str">
        <f t="shared" si="90"/>
        <v>95-951500003</v>
      </c>
      <c r="C5766" s="179" t="s">
        <v>5608</v>
      </c>
    </row>
    <row r="5767" spans="1:3">
      <c r="A5767" s="177">
        <v>951500007</v>
      </c>
      <c r="B5767" s="116" t="str">
        <f t="shared" si="90"/>
        <v>95-951500007</v>
      </c>
      <c r="C5767" s="179" t="s">
        <v>5608</v>
      </c>
    </row>
    <row r="5768" spans="1:3">
      <c r="A5768" s="177">
        <v>951500090</v>
      </c>
      <c r="B5768" s="116" t="str">
        <f t="shared" si="90"/>
        <v>95-951500090</v>
      </c>
      <c r="C5768" s="179" t="s">
        <v>5608</v>
      </c>
    </row>
    <row r="5769" spans="1:3">
      <c r="A5769" s="177">
        <v>951500095</v>
      </c>
      <c r="B5769" s="116" t="str">
        <f t="shared" si="90"/>
        <v>95-951500095</v>
      </c>
      <c r="C5769" s="179" t="s">
        <v>5608</v>
      </c>
    </row>
    <row r="5770" spans="1:3">
      <c r="A5770" s="177">
        <v>951500190</v>
      </c>
      <c r="B5770" s="116" t="str">
        <f t="shared" si="90"/>
        <v>95-951500190</v>
      </c>
      <c r="C5770" s="179" t="s">
        <v>5622</v>
      </c>
    </row>
    <row r="5771" spans="1:3">
      <c r="A5771" s="177">
        <v>951500512</v>
      </c>
      <c r="B5771" s="116" t="str">
        <f t="shared" si="90"/>
        <v>95-951500512</v>
      </c>
      <c r="C5771" s="179" t="s">
        <v>5690</v>
      </c>
    </row>
    <row r="5772" spans="1:3">
      <c r="A5772" s="177">
        <v>951500530</v>
      </c>
      <c r="B5772" s="116" t="str">
        <f t="shared" si="90"/>
        <v>95-951500530</v>
      </c>
      <c r="C5772" s="179" t="s">
        <v>5690</v>
      </c>
    </row>
    <row r="5773" spans="1:3">
      <c r="A5773" s="177">
        <v>961500344</v>
      </c>
      <c r="B5773" s="116" t="str">
        <f t="shared" si="90"/>
        <v>96-961500344</v>
      </c>
      <c r="C5773" s="179" t="s">
        <v>7233</v>
      </c>
    </row>
    <row r="5774" spans="1:3">
      <c r="A5774" s="177">
        <v>961500356</v>
      </c>
      <c r="B5774" s="116" t="str">
        <f t="shared" si="90"/>
        <v>96-961500356</v>
      </c>
      <c r="C5774" s="179" t="s">
        <v>7233</v>
      </c>
    </row>
    <row r="5775" spans="1:3">
      <c r="A5775" s="177">
        <v>961500402</v>
      </c>
      <c r="B5775" s="116" t="str">
        <f t="shared" si="90"/>
        <v>96-961500402</v>
      </c>
      <c r="C5775" s="179" t="s">
        <v>7233</v>
      </c>
    </row>
    <row r="5776" spans="1:3">
      <c r="A5776" s="177">
        <v>961500413</v>
      </c>
      <c r="B5776" s="116" t="str">
        <f t="shared" si="90"/>
        <v>96-961500413</v>
      </c>
      <c r="C5776" s="179" t="s">
        <v>7233</v>
      </c>
    </row>
    <row r="5777" spans="1:3">
      <c r="A5777" s="177">
        <v>961500506</v>
      </c>
      <c r="B5777" s="116" t="str">
        <f t="shared" si="90"/>
        <v>96-961500506</v>
      </c>
      <c r="C5777" s="179" t="s">
        <v>8497</v>
      </c>
    </row>
    <row r="5778" spans="1:3">
      <c r="A5778" s="177">
        <v>961500698</v>
      </c>
      <c r="B5778" s="116" t="str">
        <f t="shared" si="90"/>
        <v>96-961500698</v>
      </c>
      <c r="C5778" s="179" t="s">
        <v>9770</v>
      </c>
    </row>
    <row r="5779" spans="1:3">
      <c r="A5779" s="177">
        <v>961500728</v>
      </c>
      <c r="B5779" s="116" t="str">
        <f t="shared" si="90"/>
        <v>96-961500728</v>
      </c>
      <c r="C5779" s="179" t="s">
        <v>9770</v>
      </c>
    </row>
    <row r="5780" spans="1:3">
      <c r="A5780" s="177">
        <v>961500784</v>
      </c>
      <c r="B5780" s="116" t="str">
        <f t="shared" si="90"/>
        <v>96-961500784</v>
      </c>
      <c r="C5780" s="179" t="s">
        <v>12306</v>
      </c>
    </row>
    <row r="5781" spans="1:3">
      <c r="A5781" s="177">
        <v>961500819</v>
      </c>
      <c r="B5781" s="116" t="str">
        <f t="shared" si="90"/>
        <v>96-961500819</v>
      </c>
      <c r="C5781" s="179" t="s">
        <v>12306</v>
      </c>
    </row>
    <row r="5782" spans="1:3">
      <c r="A5782" s="177">
        <v>961500828</v>
      </c>
      <c r="B5782" s="116" t="str">
        <f t="shared" si="90"/>
        <v>96-961500828</v>
      </c>
      <c r="C5782" s="179" t="s">
        <v>12306</v>
      </c>
    </row>
    <row r="5783" spans="1:3">
      <c r="A5783" s="177">
        <v>951500010</v>
      </c>
      <c r="B5783" s="116" t="str">
        <f t="shared" si="90"/>
        <v>95-951500010</v>
      </c>
      <c r="C5783" s="179" t="s">
        <v>5610</v>
      </c>
    </row>
    <row r="5784" spans="1:3">
      <c r="A5784" s="177">
        <v>951500047</v>
      </c>
      <c r="B5784" s="116" t="str">
        <f t="shared" si="90"/>
        <v>95-951500047</v>
      </c>
      <c r="C5784" s="179" t="s">
        <v>5614</v>
      </c>
    </row>
    <row r="5785" spans="1:3">
      <c r="A5785" s="177">
        <v>951500064</v>
      </c>
      <c r="B5785" s="116" t="str">
        <f t="shared" si="90"/>
        <v>95-951500064</v>
      </c>
      <c r="C5785" s="179" t="s">
        <v>5614</v>
      </c>
    </row>
    <row r="5786" spans="1:3">
      <c r="A5786" s="177">
        <v>951500065</v>
      </c>
      <c r="B5786" s="116" t="str">
        <f t="shared" si="90"/>
        <v>95-951500065</v>
      </c>
      <c r="C5786" s="179" t="s">
        <v>5614</v>
      </c>
    </row>
    <row r="5787" spans="1:3">
      <c r="A5787" s="177">
        <v>951500169</v>
      </c>
      <c r="B5787" s="116" t="str">
        <f t="shared" si="90"/>
        <v>95-951500169</v>
      </c>
      <c r="C5787" s="179" t="s">
        <v>5614</v>
      </c>
    </row>
    <row r="5788" spans="1:3">
      <c r="A5788" s="177">
        <v>951500364</v>
      </c>
      <c r="B5788" s="116" t="str">
        <f t="shared" si="90"/>
        <v>95-951500364</v>
      </c>
      <c r="C5788" s="179" t="s">
        <v>5670</v>
      </c>
    </row>
    <row r="5789" spans="1:3">
      <c r="A5789" s="177">
        <v>951500479</v>
      </c>
      <c r="B5789" s="116" t="str">
        <f t="shared" si="90"/>
        <v>95-951500479</v>
      </c>
      <c r="C5789" s="179" t="s">
        <v>5711</v>
      </c>
    </row>
    <row r="5790" spans="1:3">
      <c r="A5790" s="177">
        <v>961500255</v>
      </c>
      <c r="B5790" s="116" t="str">
        <f t="shared" si="90"/>
        <v>96-961500255</v>
      </c>
      <c r="C5790" s="179" t="s">
        <v>5821</v>
      </c>
    </row>
    <row r="5791" spans="1:3">
      <c r="A5791" s="177">
        <v>961500321</v>
      </c>
      <c r="B5791" s="116" t="str">
        <f t="shared" si="90"/>
        <v>96-961500321</v>
      </c>
      <c r="C5791" s="179" t="s">
        <v>5822</v>
      </c>
    </row>
    <row r="5792" spans="1:3">
      <c r="A5792" s="177">
        <v>961500325</v>
      </c>
      <c r="B5792" s="116" t="str">
        <f t="shared" si="90"/>
        <v>96-961500325</v>
      </c>
      <c r="C5792" s="179" t="s">
        <v>5852</v>
      </c>
    </row>
    <row r="5793" spans="1:3">
      <c r="A5793" s="177">
        <v>961500422</v>
      </c>
      <c r="B5793" s="116" t="str">
        <f t="shared" si="90"/>
        <v>96-961500422</v>
      </c>
      <c r="C5793" s="179" t="s">
        <v>5852</v>
      </c>
    </row>
    <row r="5794" spans="1:3">
      <c r="A5794" s="177">
        <v>961500469</v>
      </c>
      <c r="B5794" s="116" t="str">
        <f t="shared" si="90"/>
        <v>96-961500469</v>
      </c>
      <c r="C5794" s="179" t="s">
        <v>7255</v>
      </c>
    </row>
    <row r="5795" spans="1:3">
      <c r="A5795" s="177">
        <v>961500483</v>
      </c>
      <c r="B5795" s="116" t="str">
        <f t="shared" si="90"/>
        <v>96-961500483</v>
      </c>
      <c r="C5795" s="179" t="s">
        <v>7255</v>
      </c>
    </row>
    <row r="5796" spans="1:3">
      <c r="A5796" s="177">
        <v>961500513</v>
      </c>
      <c r="B5796" s="116" t="str">
        <f t="shared" si="90"/>
        <v>96-961500513</v>
      </c>
      <c r="C5796" s="179" t="s">
        <v>7118</v>
      </c>
    </row>
    <row r="5797" spans="1:3">
      <c r="A5797" s="177">
        <v>961500578</v>
      </c>
      <c r="B5797" s="116" t="str">
        <f t="shared" si="90"/>
        <v>96-961500578</v>
      </c>
      <c r="C5797" s="179" t="s">
        <v>7118</v>
      </c>
    </row>
    <row r="5798" spans="1:3">
      <c r="A5798" s="177">
        <v>961500611</v>
      </c>
      <c r="B5798" s="116" t="str">
        <f t="shared" si="90"/>
        <v>96-961500611</v>
      </c>
      <c r="C5798" s="179" t="s">
        <v>9768</v>
      </c>
    </row>
    <row r="5799" spans="1:3">
      <c r="A5799" s="177">
        <v>961500628</v>
      </c>
      <c r="B5799" s="116" t="str">
        <f t="shared" si="90"/>
        <v>96-961500628</v>
      </c>
      <c r="C5799" s="179" t="s">
        <v>8724</v>
      </c>
    </row>
    <row r="5800" spans="1:3">
      <c r="A5800" s="177">
        <v>961500649</v>
      </c>
      <c r="B5800" s="116" t="str">
        <f t="shared" si="90"/>
        <v>96-961500649</v>
      </c>
      <c r="C5800" s="179" t="s">
        <v>9768</v>
      </c>
    </row>
    <row r="5801" spans="1:3">
      <c r="A5801" s="177">
        <v>961500652</v>
      </c>
      <c r="B5801" s="116" t="str">
        <f t="shared" si="90"/>
        <v>96-961500652</v>
      </c>
      <c r="C5801" s="179" t="s">
        <v>9789</v>
      </c>
    </row>
    <row r="5802" spans="1:3">
      <c r="A5802" s="177">
        <v>961500657</v>
      </c>
      <c r="B5802" s="116" t="str">
        <f t="shared" si="90"/>
        <v>96-961500657</v>
      </c>
      <c r="C5802" s="179" t="s">
        <v>9768</v>
      </c>
    </row>
    <row r="5803" spans="1:3">
      <c r="A5803" s="177">
        <v>961500750</v>
      </c>
      <c r="B5803" s="116" t="str">
        <f t="shared" si="90"/>
        <v>96-961500750</v>
      </c>
      <c r="C5803" s="179" t="s">
        <v>9789</v>
      </c>
    </row>
    <row r="5804" spans="1:3">
      <c r="A5804" s="177">
        <v>961500778</v>
      </c>
      <c r="B5804" s="116" t="str">
        <f t="shared" si="90"/>
        <v>96-961500778</v>
      </c>
      <c r="C5804" s="179" t="s">
        <v>9790</v>
      </c>
    </row>
    <row r="5805" spans="1:3">
      <c r="A5805" s="177">
        <v>961500794</v>
      </c>
      <c r="B5805" s="116" t="str">
        <f t="shared" si="90"/>
        <v>96-961500794</v>
      </c>
      <c r="C5805" s="179" t="s">
        <v>12218</v>
      </c>
    </row>
    <row r="5806" spans="1:3">
      <c r="A5806" s="177">
        <v>961500810</v>
      </c>
      <c r="B5806" s="116" t="str">
        <f t="shared" si="90"/>
        <v>96-961500810</v>
      </c>
      <c r="C5806" s="179" t="s">
        <v>12221</v>
      </c>
    </row>
    <row r="5807" spans="1:3">
      <c r="A5807" s="177">
        <v>961500817</v>
      </c>
      <c r="B5807" s="116" t="str">
        <f t="shared" si="90"/>
        <v>96-961500817</v>
      </c>
      <c r="C5807" s="179" t="s">
        <v>12221</v>
      </c>
    </row>
    <row r="5808" spans="1:3">
      <c r="A5808" s="177">
        <v>961500820</v>
      </c>
      <c r="B5808" s="116" t="str">
        <f t="shared" si="90"/>
        <v>96-961500820</v>
      </c>
      <c r="C5808" s="179" t="s">
        <v>12221</v>
      </c>
    </row>
    <row r="5809" spans="1:3">
      <c r="A5809" s="177">
        <v>961500846</v>
      </c>
      <c r="B5809" s="116" t="str">
        <f t="shared" si="90"/>
        <v>96-961500846</v>
      </c>
      <c r="C5809" s="179" t="s">
        <v>12414</v>
      </c>
    </row>
    <row r="5810" spans="1:3">
      <c r="A5810" s="177">
        <v>951500221</v>
      </c>
      <c r="B5810" s="116" t="str">
        <f t="shared" si="90"/>
        <v>95-951500221</v>
      </c>
      <c r="C5810" s="179" t="s">
        <v>5632</v>
      </c>
    </row>
    <row r="5811" spans="1:3">
      <c r="A5811" s="177">
        <v>951500255</v>
      </c>
      <c r="B5811" s="116" t="str">
        <f t="shared" si="90"/>
        <v>95-951500255</v>
      </c>
      <c r="C5811" s="179" t="s">
        <v>5632</v>
      </c>
    </row>
    <row r="5812" spans="1:3">
      <c r="A5812" s="177">
        <v>951500261</v>
      </c>
      <c r="B5812" s="116" t="str">
        <f t="shared" si="90"/>
        <v>95-951500261</v>
      </c>
      <c r="C5812" s="179" t="s">
        <v>5651</v>
      </c>
    </row>
    <row r="5813" spans="1:3">
      <c r="A5813" s="177">
        <v>951500302</v>
      </c>
      <c r="B5813" s="116" t="str">
        <f t="shared" si="90"/>
        <v>95-951500302</v>
      </c>
      <c r="C5813" s="179" t="s">
        <v>5660</v>
      </c>
    </row>
    <row r="5814" spans="1:3">
      <c r="A5814" s="177">
        <v>951500347</v>
      </c>
      <c r="B5814" s="116" t="str">
        <f t="shared" si="90"/>
        <v>95-951500347</v>
      </c>
      <c r="C5814" s="179" t="s">
        <v>5668</v>
      </c>
    </row>
    <row r="5815" spans="1:3">
      <c r="A5815" s="177">
        <v>951500395</v>
      </c>
      <c r="B5815" s="116" t="str">
        <f t="shared" si="90"/>
        <v>95-951500395</v>
      </c>
      <c r="C5815" s="179" t="s">
        <v>5668</v>
      </c>
    </row>
    <row r="5816" spans="1:3">
      <c r="A5816" s="177">
        <v>951500470</v>
      </c>
      <c r="B5816" s="116" t="str">
        <f t="shared" si="90"/>
        <v>95-951500470</v>
      </c>
      <c r="C5816" s="179" t="s">
        <v>5698</v>
      </c>
    </row>
    <row r="5817" spans="1:3">
      <c r="A5817" s="177">
        <v>951500569</v>
      </c>
      <c r="B5817" s="116" t="str">
        <f t="shared" si="90"/>
        <v>95-951500569</v>
      </c>
      <c r="C5817" s="179" t="s">
        <v>5748</v>
      </c>
    </row>
    <row r="5818" spans="1:3">
      <c r="A5818" s="177">
        <v>951500590</v>
      </c>
      <c r="B5818" s="116" t="str">
        <f t="shared" si="90"/>
        <v>95-951500590</v>
      </c>
      <c r="C5818" s="179" t="s">
        <v>5748</v>
      </c>
    </row>
    <row r="5819" spans="1:3">
      <c r="A5819" s="177">
        <v>961500029</v>
      </c>
      <c r="B5819" s="116" t="str">
        <f t="shared" si="90"/>
        <v>96-961500029</v>
      </c>
      <c r="C5819" s="179" t="s">
        <v>5775</v>
      </c>
    </row>
    <row r="5820" spans="1:3">
      <c r="A5820" s="177">
        <v>961500044</v>
      </c>
      <c r="B5820" s="116" t="str">
        <f t="shared" si="90"/>
        <v>96-961500044</v>
      </c>
      <c r="C5820" s="179" t="s">
        <v>5777</v>
      </c>
    </row>
    <row r="5821" spans="1:3">
      <c r="A5821" s="177">
        <v>961500059</v>
      </c>
      <c r="B5821" s="116" t="str">
        <f t="shared" si="90"/>
        <v>96-961500059</v>
      </c>
      <c r="C5821" s="179" t="s">
        <v>5777</v>
      </c>
    </row>
    <row r="5822" spans="1:3">
      <c r="A5822" s="177">
        <v>961500104</v>
      </c>
      <c r="B5822" s="116" t="str">
        <f t="shared" si="90"/>
        <v>96-961500104</v>
      </c>
      <c r="C5822" s="179" t="s">
        <v>5801</v>
      </c>
    </row>
    <row r="5823" spans="1:3">
      <c r="A5823" s="177">
        <v>961500128</v>
      </c>
      <c r="B5823" s="116" t="str">
        <f t="shared" si="90"/>
        <v>96-961500128</v>
      </c>
      <c r="C5823" s="179" t="s">
        <v>5803</v>
      </c>
    </row>
    <row r="5824" spans="1:3">
      <c r="A5824" s="177">
        <v>961500137</v>
      </c>
      <c r="B5824" s="116" t="str">
        <f t="shared" si="90"/>
        <v>96-961500137</v>
      </c>
      <c r="C5824" s="179" t="s">
        <v>5803</v>
      </c>
    </row>
    <row r="5825" spans="1:3">
      <c r="A5825" s="177">
        <v>961500173</v>
      </c>
      <c r="B5825" s="116" t="str">
        <f t="shared" si="90"/>
        <v>96-961500173</v>
      </c>
      <c r="C5825" s="179" t="s">
        <v>5807</v>
      </c>
    </row>
    <row r="5826" spans="1:3">
      <c r="A5826" s="177">
        <v>961500211</v>
      </c>
      <c r="B5826" s="116" t="str">
        <f t="shared" si="90"/>
        <v>96-961500211</v>
      </c>
      <c r="C5826" s="179" t="s">
        <v>5819</v>
      </c>
    </row>
    <row r="5827" spans="1:3">
      <c r="A5827" s="177">
        <v>961500235</v>
      </c>
      <c r="B5827" s="116" t="str">
        <f t="shared" ref="B5827:B5890" si="91">MID(A5827,1,2)&amp;"-"&amp;A5827</f>
        <v>96-961500235</v>
      </c>
      <c r="C5827" s="179" t="s">
        <v>5819</v>
      </c>
    </row>
    <row r="5828" spans="1:3">
      <c r="A5828" s="177">
        <v>961500256</v>
      </c>
      <c r="B5828" s="116" t="str">
        <f t="shared" si="91"/>
        <v>96-961500256</v>
      </c>
      <c r="C5828" s="179" t="s">
        <v>5807</v>
      </c>
    </row>
    <row r="5829" spans="1:3">
      <c r="A5829" s="177">
        <v>961500301</v>
      </c>
      <c r="B5829" s="116" t="str">
        <f t="shared" si="91"/>
        <v>96-961500301</v>
      </c>
      <c r="C5829" s="179" t="s">
        <v>5818</v>
      </c>
    </row>
    <row r="5830" spans="1:3">
      <c r="A5830" s="177">
        <v>961500316</v>
      </c>
      <c r="B5830" s="116" t="str">
        <f t="shared" si="91"/>
        <v>96-961500316</v>
      </c>
      <c r="C5830" s="179" t="s">
        <v>5818</v>
      </c>
    </row>
    <row r="5831" spans="1:3">
      <c r="A5831" s="177">
        <v>961500353</v>
      </c>
      <c r="B5831" s="116" t="str">
        <f t="shared" si="91"/>
        <v>96-961500353</v>
      </c>
      <c r="C5831" s="179" t="s">
        <v>5836</v>
      </c>
    </row>
    <row r="5832" spans="1:3">
      <c r="A5832" s="177">
        <v>961500359</v>
      </c>
      <c r="B5832" s="116" t="str">
        <f t="shared" si="91"/>
        <v>96-961500359</v>
      </c>
      <c r="C5832" s="179" t="s">
        <v>5836</v>
      </c>
    </row>
    <row r="5833" spans="1:3">
      <c r="A5833" s="177">
        <v>961500430</v>
      </c>
      <c r="B5833" s="116" t="str">
        <f t="shared" si="91"/>
        <v>96-961500430</v>
      </c>
      <c r="C5833" s="179" t="s">
        <v>7237</v>
      </c>
    </row>
    <row r="5834" spans="1:3">
      <c r="A5834" s="177">
        <v>961500446</v>
      </c>
      <c r="B5834" s="116" t="str">
        <f t="shared" si="91"/>
        <v>96-961500446</v>
      </c>
      <c r="C5834" s="179" t="s">
        <v>5836</v>
      </c>
    </row>
    <row r="5835" spans="1:3">
      <c r="A5835" s="177">
        <v>961500466</v>
      </c>
      <c r="B5835" s="116" t="str">
        <f t="shared" si="91"/>
        <v>96-961500466</v>
      </c>
      <c r="C5835" s="179" t="s">
        <v>5836</v>
      </c>
    </row>
    <row r="5836" spans="1:3">
      <c r="A5836" s="177">
        <v>961500528</v>
      </c>
      <c r="B5836" s="116" t="str">
        <f t="shared" si="91"/>
        <v>96-961500528</v>
      </c>
      <c r="C5836" s="179" t="s">
        <v>5842</v>
      </c>
    </row>
    <row r="5837" spans="1:3">
      <c r="A5837" s="177">
        <v>961500605</v>
      </c>
      <c r="B5837" s="116" t="str">
        <f t="shared" si="91"/>
        <v>96-961500605</v>
      </c>
      <c r="C5837" s="179" t="s">
        <v>8722</v>
      </c>
    </row>
    <row r="5838" spans="1:3">
      <c r="A5838" s="177">
        <v>961500618</v>
      </c>
      <c r="B5838" s="116" t="str">
        <f t="shared" si="91"/>
        <v>96-961500618</v>
      </c>
      <c r="C5838" s="179" t="s">
        <v>9771</v>
      </c>
    </row>
    <row r="5839" spans="1:3">
      <c r="A5839" s="177">
        <v>961500625</v>
      </c>
      <c r="B5839" s="116" t="str">
        <f t="shared" si="91"/>
        <v>96-961500625</v>
      </c>
      <c r="C5839" s="179" t="s">
        <v>9771</v>
      </c>
    </row>
    <row r="5840" spans="1:3">
      <c r="A5840" s="177">
        <v>961500641</v>
      </c>
      <c r="B5840" s="116" t="str">
        <f t="shared" si="91"/>
        <v>96-961500641</v>
      </c>
      <c r="C5840" s="179" t="s">
        <v>9771</v>
      </c>
    </row>
    <row r="5841" spans="1:3">
      <c r="A5841" s="177">
        <v>961500763</v>
      </c>
      <c r="B5841" s="116" t="str">
        <f t="shared" si="91"/>
        <v>96-961500763</v>
      </c>
      <c r="C5841" s="179" t="s">
        <v>9794</v>
      </c>
    </row>
    <row r="5842" spans="1:3">
      <c r="A5842" s="177">
        <v>961500789</v>
      </c>
      <c r="B5842" s="116" t="str">
        <f t="shared" si="91"/>
        <v>96-961500789</v>
      </c>
      <c r="C5842" s="179" t="s">
        <v>12220</v>
      </c>
    </row>
    <row r="5843" spans="1:3">
      <c r="A5843" s="177">
        <v>961500800</v>
      </c>
      <c r="B5843" s="116" t="str">
        <f t="shared" si="91"/>
        <v>96-961500800</v>
      </c>
      <c r="C5843" s="179" t="s">
        <v>12220</v>
      </c>
    </row>
    <row r="5844" spans="1:3">
      <c r="A5844" s="177">
        <v>961500807</v>
      </c>
      <c r="B5844" s="116" t="str">
        <f t="shared" si="91"/>
        <v>96-961500807</v>
      </c>
      <c r="C5844" s="179" t="s">
        <v>12220</v>
      </c>
    </row>
    <row r="5845" spans="1:3">
      <c r="A5845" s="177">
        <v>951500453</v>
      </c>
      <c r="B5845" s="116" t="str">
        <f t="shared" si="91"/>
        <v>95-951500453</v>
      </c>
      <c r="C5845" s="179" t="s">
        <v>5704</v>
      </c>
    </row>
    <row r="5846" spans="1:3">
      <c r="A5846" s="177">
        <v>961500002</v>
      </c>
      <c r="B5846" s="116" t="str">
        <f t="shared" si="91"/>
        <v>96-961500002</v>
      </c>
      <c r="C5846" s="179" t="s">
        <v>5764</v>
      </c>
    </row>
    <row r="5847" spans="1:3">
      <c r="A5847" s="177">
        <v>961500406</v>
      </c>
      <c r="B5847" s="116" t="str">
        <f t="shared" si="91"/>
        <v>96-961500406</v>
      </c>
      <c r="C5847" s="179" t="s">
        <v>8501</v>
      </c>
    </row>
    <row r="5848" spans="1:3">
      <c r="A5848" s="177">
        <v>961500407</v>
      </c>
      <c r="B5848" s="116" t="str">
        <f t="shared" si="91"/>
        <v>96-961500407</v>
      </c>
      <c r="C5848" s="179" t="s">
        <v>8502</v>
      </c>
    </row>
    <row r="5849" spans="1:3">
      <c r="A5849" s="177">
        <v>961500419</v>
      </c>
      <c r="B5849" s="116" t="str">
        <f t="shared" si="91"/>
        <v>96-961500419</v>
      </c>
      <c r="C5849" s="179" t="s">
        <v>8502</v>
      </c>
    </row>
    <row r="5850" spans="1:3">
      <c r="A5850" s="177">
        <v>961500610</v>
      </c>
      <c r="B5850" s="116" t="str">
        <f t="shared" si="91"/>
        <v>96-961500610</v>
      </c>
      <c r="C5850" s="179" t="s">
        <v>8723</v>
      </c>
    </row>
    <row r="5851" spans="1:3">
      <c r="A5851" s="177">
        <v>951200053</v>
      </c>
      <c r="B5851" s="116" t="str">
        <f t="shared" si="91"/>
        <v>95-951200053</v>
      </c>
      <c r="C5851" s="179" t="s">
        <v>7251</v>
      </c>
    </row>
    <row r="5852" spans="1:3">
      <c r="A5852" s="177">
        <v>951500270</v>
      </c>
      <c r="B5852" s="116" t="str">
        <f t="shared" si="91"/>
        <v>95-951500270</v>
      </c>
      <c r="C5852" s="179" t="s">
        <v>5653</v>
      </c>
    </row>
    <row r="5853" spans="1:3">
      <c r="A5853" s="177">
        <v>961500061</v>
      </c>
      <c r="B5853" s="116" t="str">
        <f t="shared" si="91"/>
        <v>96-961500061</v>
      </c>
      <c r="C5853" s="179" t="s">
        <v>5786</v>
      </c>
    </row>
    <row r="5854" spans="1:3">
      <c r="A5854" s="177">
        <v>951200087</v>
      </c>
      <c r="B5854" s="116" t="str">
        <f t="shared" si="91"/>
        <v>95-951200087</v>
      </c>
      <c r="C5854" s="179" t="s">
        <v>7272</v>
      </c>
    </row>
    <row r="5855" spans="1:3">
      <c r="A5855" s="177">
        <v>961200142</v>
      </c>
      <c r="B5855" s="116" t="str">
        <f t="shared" si="91"/>
        <v>96-961200142</v>
      </c>
      <c r="C5855" s="179" t="s">
        <v>9778</v>
      </c>
    </row>
    <row r="5856" spans="1:3">
      <c r="A5856" s="177">
        <v>961200149</v>
      </c>
      <c r="B5856" s="116" t="str">
        <f t="shared" si="91"/>
        <v>96-961200149</v>
      </c>
      <c r="C5856" s="179" t="s">
        <v>9778</v>
      </c>
    </row>
    <row r="5857" spans="1:3">
      <c r="A5857" s="177">
        <v>961200001</v>
      </c>
      <c r="B5857" s="116" t="str">
        <f t="shared" si="91"/>
        <v>96-961200001</v>
      </c>
      <c r="C5857" s="179" t="s">
        <v>8504</v>
      </c>
    </row>
    <row r="5858" spans="1:3">
      <c r="A5858" s="177">
        <v>961500071</v>
      </c>
      <c r="B5858" s="116" t="str">
        <f t="shared" si="91"/>
        <v>96-961500071</v>
      </c>
      <c r="C5858" s="179" t="s">
        <v>5780</v>
      </c>
    </row>
    <row r="5859" spans="1:3">
      <c r="A5859" s="177">
        <v>961500484</v>
      </c>
      <c r="B5859" s="116" t="str">
        <f t="shared" si="91"/>
        <v>96-961500484</v>
      </c>
      <c r="C5859" s="179" t="s">
        <v>8507</v>
      </c>
    </row>
    <row r="5860" spans="1:3">
      <c r="A5860" s="177">
        <v>961500816</v>
      </c>
      <c r="B5860" s="116" t="str">
        <f t="shared" si="91"/>
        <v>96-961500816</v>
      </c>
      <c r="C5860" s="179" t="s">
        <v>12425</v>
      </c>
    </row>
    <row r="5861" spans="1:3">
      <c r="A5861" s="177">
        <v>952000152</v>
      </c>
      <c r="B5861" s="116" t="str">
        <f t="shared" si="91"/>
        <v>95-952000152</v>
      </c>
      <c r="C5861" s="179" t="s">
        <v>7332</v>
      </c>
    </row>
    <row r="5862" spans="1:3">
      <c r="A5862" s="177">
        <v>962000328</v>
      </c>
      <c r="B5862" s="116" t="str">
        <f t="shared" si="91"/>
        <v>96-962000328</v>
      </c>
      <c r="C5862" s="179" t="s">
        <v>7112</v>
      </c>
    </row>
    <row r="5863" spans="1:3">
      <c r="A5863" s="177">
        <v>962000268</v>
      </c>
      <c r="B5863" s="116" t="str">
        <f t="shared" si="91"/>
        <v>96-962000268</v>
      </c>
      <c r="C5863" s="179" t="s">
        <v>7112</v>
      </c>
    </row>
    <row r="5864" spans="1:3">
      <c r="A5864" s="177">
        <v>956200409</v>
      </c>
      <c r="B5864" s="116" t="str">
        <f t="shared" si="91"/>
        <v>95-956200409</v>
      </c>
      <c r="C5864" s="179" t="s">
        <v>7269</v>
      </c>
    </row>
    <row r="5865" spans="1:3">
      <c r="A5865" s="177">
        <v>951200055</v>
      </c>
      <c r="B5865" s="116" t="str">
        <f t="shared" si="91"/>
        <v>95-951200055</v>
      </c>
      <c r="C5865" s="179" t="s">
        <v>7305</v>
      </c>
    </row>
    <row r="5866" spans="1:3">
      <c r="A5866" s="177">
        <v>951200062</v>
      </c>
      <c r="B5866" s="116" t="str">
        <f t="shared" si="91"/>
        <v>95-951200062</v>
      </c>
      <c r="C5866" s="179" t="s">
        <v>8508</v>
      </c>
    </row>
    <row r="5867" spans="1:3">
      <c r="A5867" s="177">
        <v>961200004</v>
      </c>
      <c r="B5867" s="116" t="str">
        <f t="shared" si="91"/>
        <v>96-961200004</v>
      </c>
      <c r="C5867" s="179" t="s">
        <v>8509</v>
      </c>
    </row>
    <row r="5868" spans="1:3">
      <c r="A5868" s="177">
        <v>951100029</v>
      </c>
      <c r="B5868" s="116" t="str">
        <f t="shared" si="91"/>
        <v>95-951100029</v>
      </c>
      <c r="C5868" s="179" t="s">
        <v>7303</v>
      </c>
    </row>
    <row r="5869" spans="1:3">
      <c r="A5869" s="177">
        <v>956300018</v>
      </c>
      <c r="B5869" s="116" t="str">
        <f t="shared" si="91"/>
        <v>95-956300018</v>
      </c>
      <c r="C5869" s="179" t="s">
        <v>8510</v>
      </c>
    </row>
    <row r="5870" spans="1:3">
      <c r="A5870" s="177">
        <v>956300019</v>
      </c>
      <c r="B5870" s="116" t="str">
        <f t="shared" si="91"/>
        <v>95-956300019</v>
      </c>
      <c r="C5870" s="179" t="s">
        <v>8510</v>
      </c>
    </row>
    <row r="5871" spans="1:3">
      <c r="A5871" s="177">
        <v>966300046</v>
      </c>
      <c r="B5871" s="116" t="str">
        <f t="shared" si="91"/>
        <v>96-966300046</v>
      </c>
      <c r="C5871" s="179" t="s">
        <v>12263</v>
      </c>
    </row>
    <row r="5872" spans="1:3">
      <c r="A5872" s="177">
        <v>952000291</v>
      </c>
      <c r="B5872" s="116" t="str">
        <f t="shared" si="91"/>
        <v>95-952000291</v>
      </c>
      <c r="C5872" s="179" t="s">
        <v>7280</v>
      </c>
    </row>
    <row r="5873" spans="1:3">
      <c r="A5873" s="177">
        <v>962000488</v>
      </c>
      <c r="B5873" s="116" t="str">
        <f t="shared" si="91"/>
        <v>96-962000488</v>
      </c>
      <c r="C5873" s="179" t="s">
        <v>12184</v>
      </c>
    </row>
    <row r="5874" spans="1:3">
      <c r="A5874" s="177">
        <v>962000079</v>
      </c>
      <c r="B5874" s="116" t="str">
        <f t="shared" si="91"/>
        <v>96-962000079</v>
      </c>
      <c r="C5874" s="179" t="s">
        <v>7112</v>
      </c>
    </row>
    <row r="5875" spans="1:3">
      <c r="A5875" s="177">
        <v>951100014</v>
      </c>
      <c r="B5875" s="116" t="str">
        <f t="shared" si="91"/>
        <v>95-951100014</v>
      </c>
      <c r="C5875" s="179" t="s">
        <v>8511</v>
      </c>
    </row>
    <row r="5876" spans="1:3">
      <c r="A5876" s="177">
        <v>951100001</v>
      </c>
      <c r="B5876" s="116" t="str">
        <f t="shared" si="91"/>
        <v>95-951100001</v>
      </c>
      <c r="C5876" s="179" t="s">
        <v>8512</v>
      </c>
    </row>
    <row r="5877" spans="1:3">
      <c r="A5877" s="177">
        <v>956200137</v>
      </c>
      <c r="B5877" s="116" t="str">
        <f t="shared" si="91"/>
        <v>95-956200137</v>
      </c>
      <c r="C5877" s="179" t="s">
        <v>7978</v>
      </c>
    </row>
    <row r="5878" spans="1:3">
      <c r="A5878" s="177">
        <v>966200368</v>
      </c>
      <c r="B5878" s="116" t="str">
        <f t="shared" si="91"/>
        <v>96-966200368</v>
      </c>
      <c r="C5878" s="179" t="s">
        <v>12307</v>
      </c>
    </row>
    <row r="5879" spans="1:3">
      <c r="A5879" s="177">
        <v>966200349</v>
      </c>
      <c r="B5879" s="116" t="str">
        <f t="shared" si="91"/>
        <v>96-966200349</v>
      </c>
      <c r="C5879" s="179" t="s">
        <v>8696</v>
      </c>
    </row>
    <row r="5880" spans="1:3">
      <c r="A5880" s="177">
        <v>962000151</v>
      </c>
      <c r="B5880" s="116" t="str">
        <f t="shared" si="91"/>
        <v>96-962000151</v>
      </c>
      <c r="C5880" s="179" t="s">
        <v>7112</v>
      </c>
    </row>
    <row r="5881" spans="1:3">
      <c r="A5881" s="177">
        <v>951100090</v>
      </c>
      <c r="B5881" s="116" t="str">
        <f t="shared" si="91"/>
        <v>95-951100090</v>
      </c>
      <c r="C5881" s="179" t="s">
        <v>8513</v>
      </c>
    </row>
    <row r="5882" spans="1:3">
      <c r="A5882" s="177">
        <v>961100108</v>
      </c>
      <c r="B5882" s="116" t="str">
        <f t="shared" si="91"/>
        <v>96-961100108</v>
      </c>
      <c r="C5882" s="179" t="s">
        <v>12455</v>
      </c>
    </row>
    <row r="5883" spans="1:3">
      <c r="A5883" s="177">
        <v>956200301</v>
      </c>
      <c r="B5883" s="116" t="str">
        <f t="shared" si="91"/>
        <v>95-956200301</v>
      </c>
      <c r="C5883" s="179" t="s">
        <v>7344</v>
      </c>
    </row>
    <row r="5884" spans="1:3">
      <c r="A5884" s="177">
        <v>956200062</v>
      </c>
      <c r="B5884" s="116" t="str">
        <f t="shared" si="91"/>
        <v>95-956200062</v>
      </c>
      <c r="C5884" s="179" t="s">
        <v>8514</v>
      </c>
    </row>
    <row r="5885" spans="1:3">
      <c r="A5885" s="177">
        <v>966200425</v>
      </c>
      <c r="B5885" s="116" t="str">
        <f t="shared" si="91"/>
        <v>96-966200425</v>
      </c>
      <c r="C5885" s="179" t="s">
        <v>12236</v>
      </c>
    </row>
    <row r="5886" spans="1:3">
      <c r="A5886" s="177">
        <v>961100043</v>
      </c>
      <c r="B5886" s="116" t="str">
        <f t="shared" si="91"/>
        <v>96-961100043</v>
      </c>
      <c r="C5886" s="179" t="s">
        <v>8515</v>
      </c>
    </row>
    <row r="5887" spans="1:3">
      <c r="A5887" s="177">
        <v>961100056</v>
      </c>
      <c r="B5887" s="116" t="str">
        <f t="shared" si="91"/>
        <v>96-961100056</v>
      </c>
      <c r="C5887" s="179" t="s">
        <v>8516</v>
      </c>
    </row>
    <row r="5888" spans="1:3">
      <c r="A5888" s="177">
        <v>951200007</v>
      </c>
      <c r="B5888" s="116" t="str">
        <f t="shared" si="91"/>
        <v>95-951200007</v>
      </c>
      <c r="C5888" s="179" t="s">
        <v>8517</v>
      </c>
    </row>
    <row r="5889" spans="1:3">
      <c r="A5889" s="177">
        <v>951100040</v>
      </c>
      <c r="B5889" s="116" t="str">
        <f t="shared" si="91"/>
        <v>95-951100040</v>
      </c>
      <c r="C5889" s="179" t="s">
        <v>8518</v>
      </c>
    </row>
    <row r="5890" spans="1:3">
      <c r="A5890" s="177">
        <v>951100176</v>
      </c>
      <c r="B5890" s="116" t="str">
        <f t="shared" si="91"/>
        <v>95-951100176</v>
      </c>
      <c r="C5890" s="179" t="s">
        <v>8519</v>
      </c>
    </row>
    <row r="5891" spans="1:3">
      <c r="A5891" s="177">
        <v>961200135</v>
      </c>
      <c r="B5891" s="116" t="str">
        <f t="shared" ref="B5891:B5954" si="92">MID(A5891,1,2)&amp;"-"&amp;A5891</f>
        <v>96-961200135</v>
      </c>
      <c r="C5891" s="179" t="s">
        <v>12308</v>
      </c>
    </row>
    <row r="5892" spans="1:3">
      <c r="A5892" s="177">
        <v>961200152</v>
      </c>
      <c r="B5892" s="116" t="str">
        <f t="shared" si="92"/>
        <v>96-961200152</v>
      </c>
      <c r="C5892" s="179" t="s">
        <v>12456</v>
      </c>
    </row>
    <row r="5893" spans="1:3">
      <c r="A5893" s="177">
        <v>962000247</v>
      </c>
      <c r="B5893" s="116" t="str">
        <f t="shared" si="92"/>
        <v>96-962000247</v>
      </c>
      <c r="C5893" s="179" t="s">
        <v>7112</v>
      </c>
    </row>
    <row r="5894" spans="1:3">
      <c r="A5894" s="177">
        <v>962000262</v>
      </c>
      <c r="B5894" s="116" t="str">
        <f t="shared" si="92"/>
        <v>96-962000262</v>
      </c>
      <c r="C5894" s="179" t="s">
        <v>7112</v>
      </c>
    </row>
    <row r="5895" spans="1:3">
      <c r="A5895" s="177">
        <v>956200115</v>
      </c>
      <c r="B5895" s="116" t="str">
        <f t="shared" si="92"/>
        <v>95-956200115</v>
      </c>
      <c r="C5895" s="179" t="s">
        <v>7359</v>
      </c>
    </row>
    <row r="5896" spans="1:3">
      <c r="A5896" s="177">
        <v>966200170</v>
      </c>
      <c r="B5896" s="116" t="str">
        <f t="shared" si="92"/>
        <v>96-966200170</v>
      </c>
      <c r="C5896" s="179" t="s">
        <v>7363</v>
      </c>
    </row>
    <row r="5897" spans="1:3">
      <c r="A5897" s="177">
        <v>966200487</v>
      </c>
      <c r="B5897" s="116" t="str">
        <f t="shared" si="92"/>
        <v>96-966200487</v>
      </c>
      <c r="C5897" s="179" t="s">
        <v>12186</v>
      </c>
    </row>
    <row r="5898" spans="1:3">
      <c r="A5898" s="177">
        <v>966200426</v>
      </c>
      <c r="B5898" s="116" t="str">
        <f t="shared" si="92"/>
        <v>96-966200426</v>
      </c>
      <c r="C5898" s="179" t="s">
        <v>12236</v>
      </c>
    </row>
    <row r="5899" spans="1:3">
      <c r="A5899" s="177">
        <v>962000139</v>
      </c>
      <c r="B5899" s="116" t="str">
        <f t="shared" si="92"/>
        <v>96-962000139</v>
      </c>
      <c r="C5899" s="179" t="s">
        <v>7112</v>
      </c>
    </row>
    <row r="5900" spans="1:3">
      <c r="A5900" s="177">
        <v>962000462</v>
      </c>
      <c r="B5900" s="116" t="str">
        <f t="shared" si="92"/>
        <v>96-962000462</v>
      </c>
      <c r="C5900" s="179" t="s">
        <v>12184</v>
      </c>
    </row>
    <row r="5901" spans="1:3">
      <c r="A5901" s="177">
        <v>951100037</v>
      </c>
      <c r="B5901" s="116" t="str">
        <f t="shared" si="92"/>
        <v>95-951100037</v>
      </c>
      <c r="C5901" s="179" t="s">
        <v>8520</v>
      </c>
    </row>
    <row r="5902" spans="1:3">
      <c r="A5902" s="177">
        <v>962000468</v>
      </c>
      <c r="B5902" s="116" t="str">
        <f t="shared" si="92"/>
        <v>96-962000468</v>
      </c>
      <c r="C5902" s="179" t="s">
        <v>12184</v>
      </c>
    </row>
    <row r="5903" spans="1:3">
      <c r="A5903" s="177">
        <v>966200219</v>
      </c>
      <c r="B5903" s="116" t="str">
        <f t="shared" si="92"/>
        <v>96-966200219</v>
      </c>
      <c r="C5903" s="179" t="s">
        <v>7479</v>
      </c>
    </row>
    <row r="5904" spans="1:3">
      <c r="A5904" s="177">
        <v>952000353</v>
      </c>
      <c r="B5904" s="116" t="str">
        <f t="shared" si="92"/>
        <v>95-952000353</v>
      </c>
      <c r="C5904" s="179" t="s">
        <v>8521</v>
      </c>
    </row>
    <row r="5905" spans="1:3">
      <c r="A5905" s="177">
        <v>962000075</v>
      </c>
      <c r="B5905" s="116" t="str">
        <f t="shared" si="92"/>
        <v>96-962000075</v>
      </c>
      <c r="C5905" s="179" t="s">
        <v>7112</v>
      </c>
    </row>
    <row r="5906" spans="1:3">
      <c r="A5906" s="177">
        <v>956200013</v>
      </c>
      <c r="B5906" s="116" t="str">
        <f t="shared" si="92"/>
        <v>95-956200013</v>
      </c>
      <c r="C5906" s="179" t="s">
        <v>7376</v>
      </c>
    </row>
    <row r="5907" spans="1:3">
      <c r="A5907" s="177">
        <v>962000005</v>
      </c>
      <c r="B5907" s="116" t="str">
        <f t="shared" si="92"/>
        <v>96-962000005</v>
      </c>
      <c r="C5907" s="179" t="s">
        <v>7112</v>
      </c>
    </row>
    <row r="5908" spans="1:3">
      <c r="A5908" s="177">
        <v>962000232</v>
      </c>
      <c r="B5908" s="116" t="str">
        <f t="shared" si="92"/>
        <v>96-962000232</v>
      </c>
      <c r="C5908" s="179" t="s">
        <v>7112</v>
      </c>
    </row>
    <row r="5909" spans="1:3">
      <c r="A5909" s="177">
        <v>962000455</v>
      </c>
      <c r="B5909" s="116" t="str">
        <f t="shared" si="92"/>
        <v>96-962000455</v>
      </c>
      <c r="C5909" s="179" t="s">
        <v>12184</v>
      </c>
    </row>
    <row r="5910" spans="1:3">
      <c r="A5910" s="177">
        <v>962000452</v>
      </c>
      <c r="B5910" s="116" t="str">
        <f t="shared" si="92"/>
        <v>96-962000452</v>
      </c>
      <c r="C5910" s="179" t="s">
        <v>12184</v>
      </c>
    </row>
    <row r="5911" spans="1:3">
      <c r="A5911" s="177">
        <v>966300022</v>
      </c>
      <c r="B5911" s="116" t="str">
        <f t="shared" si="92"/>
        <v>96-966300022</v>
      </c>
      <c r="C5911" s="179" t="s">
        <v>12309</v>
      </c>
    </row>
    <row r="5912" spans="1:3">
      <c r="A5912" s="177">
        <v>952000157</v>
      </c>
      <c r="B5912" s="116" t="str">
        <f t="shared" si="92"/>
        <v>95-952000157</v>
      </c>
      <c r="C5912" s="179" t="s">
        <v>7332</v>
      </c>
    </row>
    <row r="5913" spans="1:3">
      <c r="A5913" s="177">
        <v>962000432</v>
      </c>
      <c r="B5913" s="116" t="str">
        <f t="shared" si="92"/>
        <v>96-962000432</v>
      </c>
      <c r="C5913" s="179" t="s">
        <v>12184</v>
      </c>
    </row>
    <row r="5914" spans="1:3">
      <c r="A5914" s="177">
        <v>962000241</v>
      </c>
      <c r="B5914" s="116" t="str">
        <f t="shared" si="92"/>
        <v>96-962000241</v>
      </c>
      <c r="C5914" s="179" t="s">
        <v>7112</v>
      </c>
    </row>
    <row r="5915" spans="1:3">
      <c r="A5915" s="177">
        <v>961200027</v>
      </c>
      <c r="B5915" s="116" t="str">
        <f t="shared" si="92"/>
        <v>96-961200027</v>
      </c>
      <c r="C5915" s="179" t="s">
        <v>7403</v>
      </c>
    </row>
    <row r="5916" spans="1:3">
      <c r="A5916" s="177">
        <v>961200036</v>
      </c>
      <c r="B5916" s="116" t="str">
        <f t="shared" si="92"/>
        <v>96-961200036</v>
      </c>
      <c r="C5916" s="179" t="s">
        <v>7387</v>
      </c>
    </row>
    <row r="5917" spans="1:3">
      <c r="A5917" s="177">
        <v>961200041</v>
      </c>
      <c r="B5917" s="116" t="str">
        <f t="shared" si="92"/>
        <v>96-961200041</v>
      </c>
      <c r="C5917" s="179" t="s">
        <v>8522</v>
      </c>
    </row>
    <row r="5918" spans="1:3">
      <c r="A5918" s="177">
        <v>961200042</v>
      </c>
      <c r="B5918" s="116" t="str">
        <f t="shared" si="92"/>
        <v>96-961200042</v>
      </c>
      <c r="C5918" s="179" t="s">
        <v>8522</v>
      </c>
    </row>
    <row r="5919" spans="1:3">
      <c r="A5919" s="177">
        <v>961200061</v>
      </c>
      <c r="B5919" s="116" t="str">
        <f t="shared" si="92"/>
        <v>96-961200061</v>
      </c>
      <c r="C5919" s="179" t="s">
        <v>7404</v>
      </c>
    </row>
    <row r="5920" spans="1:3">
      <c r="A5920" s="177">
        <v>961200154</v>
      </c>
      <c r="B5920" s="116" t="str">
        <f t="shared" si="92"/>
        <v>96-961200154</v>
      </c>
      <c r="C5920" s="179" t="s">
        <v>12441</v>
      </c>
    </row>
    <row r="5921" spans="1:3">
      <c r="A5921" s="177">
        <v>951100186</v>
      </c>
      <c r="B5921" s="116" t="str">
        <f t="shared" si="92"/>
        <v>95-951100186</v>
      </c>
      <c r="C5921" s="179" t="s">
        <v>8523</v>
      </c>
    </row>
    <row r="5922" spans="1:3">
      <c r="A5922" s="177">
        <v>961100060</v>
      </c>
      <c r="B5922" s="116" t="str">
        <f t="shared" si="92"/>
        <v>96-961100060</v>
      </c>
      <c r="C5922" s="179" t="s">
        <v>8524</v>
      </c>
    </row>
    <row r="5923" spans="1:3">
      <c r="A5923" s="177">
        <v>952000280</v>
      </c>
      <c r="B5923" s="116" t="str">
        <f t="shared" si="92"/>
        <v>95-952000280</v>
      </c>
      <c r="C5923" s="179" t="s">
        <v>7280</v>
      </c>
    </row>
    <row r="5924" spans="1:3">
      <c r="A5924" s="177">
        <v>962000402</v>
      </c>
      <c r="B5924" s="116" t="str">
        <f t="shared" si="92"/>
        <v>96-962000402</v>
      </c>
      <c r="C5924" s="179" t="s">
        <v>12184</v>
      </c>
    </row>
    <row r="5925" spans="1:3">
      <c r="A5925" s="177">
        <v>952000038</v>
      </c>
      <c r="B5925" s="116" t="str">
        <f t="shared" si="92"/>
        <v>95-952000038</v>
      </c>
      <c r="C5925" s="179" t="s">
        <v>7331</v>
      </c>
    </row>
    <row r="5926" spans="1:3">
      <c r="A5926" s="177">
        <v>952000243</v>
      </c>
      <c r="B5926" s="116" t="str">
        <f t="shared" si="92"/>
        <v>95-952000243</v>
      </c>
      <c r="C5926" s="179" t="s">
        <v>7327</v>
      </c>
    </row>
    <row r="5927" spans="1:3">
      <c r="A5927" s="177">
        <v>952000087</v>
      </c>
      <c r="B5927" s="116" t="str">
        <f t="shared" si="92"/>
        <v>95-952000087</v>
      </c>
      <c r="C5927" s="179" t="s">
        <v>8011</v>
      </c>
    </row>
    <row r="5928" spans="1:3">
      <c r="A5928" s="177">
        <v>962000489</v>
      </c>
      <c r="B5928" s="116" t="str">
        <f t="shared" si="92"/>
        <v>96-962000489</v>
      </c>
      <c r="C5928" s="179" t="s">
        <v>12184</v>
      </c>
    </row>
    <row r="5929" spans="1:3">
      <c r="A5929" s="177">
        <v>952000241</v>
      </c>
      <c r="B5929" s="116" t="str">
        <f t="shared" si="92"/>
        <v>95-952000241</v>
      </c>
      <c r="C5929" s="179" t="s">
        <v>7327</v>
      </c>
    </row>
    <row r="5930" spans="1:3">
      <c r="A5930" s="177">
        <v>962000407</v>
      </c>
      <c r="B5930" s="116" t="str">
        <f t="shared" si="92"/>
        <v>96-962000407</v>
      </c>
      <c r="C5930" s="179" t="s">
        <v>12184</v>
      </c>
    </row>
    <row r="5931" spans="1:3">
      <c r="A5931" s="177">
        <v>952000044</v>
      </c>
      <c r="B5931" s="116" t="str">
        <f t="shared" si="92"/>
        <v>95-952000044</v>
      </c>
      <c r="C5931" s="179" t="s">
        <v>7331</v>
      </c>
    </row>
    <row r="5932" spans="1:3">
      <c r="A5932" s="177">
        <v>956200038</v>
      </c>
      <c r="B5932" s="116" t="str">
        <f t="shared" si="92"/>
        <v>95-956200038</v>
      </c>
      <c r="C5932" s="179" t="s">
        <v>7429</v>
      </c>
    </row>
    <row r="5933" spans="1:3">
      <c r="A5933" s="177">
        <v>962000061</v>
      </c>
      <c r="B5933" s="116" t="str">
        <f t="shared" si="92"/>
        <v>96-962000061</v>
      </c>
      <c r="C5933" s="179" t="s">
        <v>7112</v>
      </c>
    </row>
    <row r="5934" spans="1:3">
      <c r="A5934" s="177">
        <v>961100095</v>
      </c>
      <c r="B5934" s="116" t="str">
        <f t="shared" si="92"/>
        <v>96-961100095</v>
      </c>
      <c r="C5934" s="179" t="s">
        <v>12310</v>
      </c>
    </row>
    <row r="5935" spans="1:3">
      <c r="A5935" s="177">
        <v>951100050</v>
      </c>
      <c r="B5935" s="116" t="str">
        <f t="shared" si="92"/>
        <v>95-951100050</v>
      </c>
      <c r="C5935" s="179" t="s">
        <v>8035</v>
      </c>
    </row>
    <row r="5936" spans="1:3">
      <c r="A5936" s="177">
        <v>956200242</v>
      </c>
      <c r="B5936" s="116" t="str">
        <f t="shared" si="92"/>
        <v>95-956200242</v>
      </c>
      <c r="C5936" s="179" t="s">
        <v>7428</v>
      </c>
    </row>
    <row r="5937" spans="1:3">
      <c r="A5937" s="177">
        <v>966200208</v>
      </c>
      <c r="B5937" s="116" t="str">
        <f t="shared" si="92"/>
        <v>96-966200208</v>
      </c>
      <c r="C5937" s="179" t="s">
        <v>7120</v>
      </c>
    </row>
    <row r="5938" spans="1:3">
      <c r="A5938" s="177">
        <v>966200032</v>
      </c>
      <c r="B5938" s="116" t="str">
        <f t="shared" si="92"/>
        <v>96-966200032</v>
      </c>
      <c r="C5938" s="179" t="s">
        <v>7288</v>
      </c>
    </row>
    <row r="5939" spans="1:3">
      <c r="A5939" s="177">
        <v>951100182</v>
      </c>
      <c r="B5939" s="116" t="str">
        <f t="shared" si="92"/>
        <v>95-951100182</v>
      </c>
      <c r="C5939" s="179" t="s">
        <v>8525</v>
      </c>
    </row>
    <row r="5940" spans="1:3">
      <c r="A5940" s="177">
        <v>956200300</v>
      </c>
      <c r="B5940" s="116" t="str">
        <f t="shared" si="92"/>
        <v>95-956200300</v>
      </c>
      <c r="C5940" s="179" t="s">
        <v>7344</v>
      </c>
    </row>
    <row r="5941" spans="1:3">
      <c r="A5941" s="177">
        <v>966200120</v>
      </c>
      <c r="B5941" s="116" t="str">
        <f t="shared" si="92"/>
        <v>96-966200120</v>
      </c>
      <c r="C5941" s="179" t="s">
        <v>8052</v>
      </c>
    </row>
    <row r="5942" spans="1:3">
      <c r="A5942" s="177">
        <v>966200113</v>
      </c>
      <c r="B5942" s="116" t="str">
        <f t="shared" si="92"/>
        <v>96-966200113</v>
      </c>
      <c r="C5942" s="179" t="s">
        <v>8526</v>
      </c>
    </row>
    <row r="5943" spans="1:3">
      <c r="A5943" s="177">
        <v>956200419</v>
      </c>
      <c r="B5943" s="116" t="str">
        <f t="shared" si="92"/>
        <v>95-956200419</v>
      </c>
      <c r="C5943" s="179" t="s">
        <v>7419</v>
      </c>
    </row>
    <row r="5944" spans="1:3">
      <c r="A5944" s="177">
        <v>956200195</v>
      </c>
      <c r="B5944" s="116" t="str">
        <f t="shared" si="92"/>
        <v>95-956200195</v>
      </c>
      <c r="C5944" s="179" t="s">
        <v>7346</v>
      </c>
    </row>
    <row r="5945" spans="1:3">
      <c r="A5945" s="177">
        <v>952000228</v>
      </c>
      <c r="B5945" s="116" t="str">
        <f t="shared" si="92"/>
        <v>95-952000228</v>
      </c>
      <c r="C5945" s="179" t="s">
        <v>7385</v>
      </c>
    </row>
    <row r="5946" spans="1:3">
      <c r="A5946" s="177">
        <v>952000235</v>
      </c>
      <c r="B5946" s="116" t="str">
        <f t="shared" si="92"/>
        <v>95-952000235</v>
      </c>
      <c r="C5946" s="179" t="s">
        <v>8527</v>
      </c>
    </row>
    <row r="5947" spans="1:3">
      <c r="A5947" s="177">
        <v>962000006</v>
      </c>
      <c r="B5947" s="116" t="str">
        <f t="shared" si="92"/>
        <v>96-962000006</v>
      </c>
      <c r="C5947" s="179" t="s">
        <v>7112</v>
      </c>
    </row>
    <row r="5948" spans="1:3">
      <c r="A5948" s="177">
        <v>952000267</v>
      </c>
      <c r="B5948" s="116" t="str">
        <f t="shared" si="92"/>
        <v>95-952000267</v>
      </c>
      <c r="C5948" s="179" t="s">
        <v>7280</v>
      </c>
    </row>
    <row r="5949" spans="1:3">
      <c r="A5949" s="177">
        <v>962000055</v>
      </c>
      <c r="B5949" s="116" t="str">
        <f t="shared" si="92"/>
        <v>96-962000055</v>
      </c>
      <c r="C5949" s="179" t="s">
        <v>7112</v>
      </c>
    </row>
    <row r="5950" spans="1:3">
      <c r="A5950" s="177">
        <v>952000305</v>
      </c>
      <c r="B5950" s="116" t="str">
        <f t="shared" si="92"/>
        <v>95-952000305</v>
      </c>
      <c r="C5950" s="179" t="s">
        <v>7329</v>
      </c>
    </row>
    <row r="5951" spans="1:3">
      <c r="A5951" s="177">
        <v>962000081</v>
      </c>
      <c r="B5951" s="116" t="str">
        <f t="shared" si="92"/>
        <v>96-962000081</v>
      </c>
      <c r="C5951" s="179" t="s">
        <v>7112</v>
      </c>
    </row>
    <row r="5952" spans="1:3">
      <c r="A5952" s="177">
        <v>952000135</v>
      </c>
      <c r="B5952" s="116" t="str">
        <f t="shared" si="92"/>
        <v>95-952000135</v>
      </c>
      <c r="C5952" s="179" t="s">
        <v>7432</v>
      </c>
    </row>
    <row r="5953" spans="1:3">
      <c r="A5953" s="177">
        <v>952000048</v>
      </c>
      <c r="B5953" s="116" t="str">
        <f t="shared" si="92"/>
        <v>95-952000048</v>
      </c>
      <c r="C5953" s="179" t="s">
        <v>7331</v>
      </c>
    </row>
    <row r="5954" spans="1:3">
      <c r="A5954" s="177">
        <v>952000268</v>
      </c>
      <c r="B5954" s="116" t="str">
        <f t="shared" si="92"/>
        <v>95-952000268</v>
      </c>
      <c r="C5954" s="179" t="s">
        <v>7280</v>
      </c>
    </row>
    <row r="5955" spans="1:3">
      <c r="A5955" s="177">
        <v>952000112</v>
      </c>
      <c r="B5955" s="116" t="str">
        <f t="shared" ref="B5955:B6018" si="93">MID(A5955,1,2)&amp;"-"&amp;A5955</f>
        <v>95-952000112</v>
      </c>
      <c r="C5955" s="179" t="s">
        <v>7321</v>
      </c>
    </row>
    <row r="5956" spans="1:3">
      <c r="A5956" s="177">
        <v>952000097</v>
      </c>
      <c r="B5956" s="116" t="str">
        <f t="shared" si="93"/>
        <v>95-952000097</v>
      </c>
      <c r="C5956" s="179" t="s">
        <v>7321</v>
      </c>
    </row>
    <row r="5957" spans="1:3">
      <c r="A5957" s="177">
        <v>962000484</v>
      </c>
      <c r="B5957" s="116" t="str">
        <f t="shared" si="93"/>
        <v>96-962000484</v>
      </c>
      <c r="C5957" s="179" t="s">
        <v>12184</v>
      </c>
    </row>
    <row r="5958" spans="1:3">
      <c r="A5958" s="177">
        <v>951100134</v>
      </c>
      <c r="B5958" s="116" t="str">
        <f t="shared" si="93"/>
        <v>95-951100134</v>
      </c>
      <c r="C5958" s="179" t="s">
        <v>8528</v>
      </c>
    </row>
    <row r="5959" spans="1:3">
      <c r="A5959" s="177">
        <v>951100159</v>
      </c>
      <c r="B5959" s="116" t="str">
        <f t="shared" si="93"/>
        <v>95-951100159</v>
      </c>
      <c r="C5959" s="179" t="s">
        <v>8529</v>
      </c>
    </row>
    <row r="5960" spans="1:3">
      <c r="A5960" s="177">
        <v>961100039</v>
      </c>
      <c r="B5960" s="116" t="str">
        <f t="shared" si="93"/>
        <v>96-961100039</v>
      </c>
      <c r="C5960" s="179" t="s">
        <v>8530</v>
      </c>
    </row>
    <row r="5961" spans="1:3">
      <c r="A5961" s="177">
        <v>961100075</v>
      </c>
      <c r="B5961" s="116" t="str">
        <f t="shared" si="93"/>
        <v>96-961100075</v>
      </c>
      <c r="C5961" s="179" t="s">
        <v>8758</v>
      </c>
    </row>
    <row r="5962" spans="1:3">
      <c r="A5962" s="177">
        <v>952000242</v>
      </c>
      <c r="B5962" s="116" t="str">
        <f t="shared" si="93"/>
        <v>95-952000242</v>
      </c>
      <c r="C5962" s="179" t="s">
        <v>7327</v>
      </c>
    </row>
    <row r="5963" spans="1:3">
      <c r="A5963" s="177">
        <v>962000447</v>
      </c>
      <c r="B5963" s="116" t="str">
        <f t="shared" si="93"/>
        <v>96-962000447</v>
      </c>
      <c r="C5963" s="179" t="s">
        <v>12184</v>
      </c>
    </row>
    <row r="5964" spans="1:3">
      <c r="A5964" s="177">
        <v>962000025</v>
      </c>
      <c r="B5964" s="116" t="str">
        <f t="shared" si="93"/>
        <v>96-962000025</v>
      </c>
      <c r="C5964" s="179" t="s">
        <v>7112</v>
      </c>
    </row>
    <row r="5965" spans="1:3">
      <c r="A5965" s="177">
        <v>952000236</v>
      </c>
      <c r="B5965" s="116" t="str">
        <f t="shared" si="93"/>
        <v>95-952000236</v>
      </c>
      <c r="C5965" s="179" t="s">
        <v>7248</v>
      </c>
    </row>
    <row r="5966" spans="1:3">
      <c r="A5966" s="177">
        <v>962000053</v>
      </c>
      <c r="B5966" s="116" t="str">
        <f t="shared" si="93"/>
        <v>96-962000053</v>
      </c>
      <c r="C5966" s="179" t="s">
        <v>7112</v>
      </c>
    </row>
    <row r="5967" spans="1:3">
      <c r="A5967" s="177">
        <v>962000417</v>
      </c>
      <c r="B5967" s="116" t="str">
        <f t="shared" si="93"/>
        <v>96-962000417</v>
      </c>
      <c r="C5967" s="179" t="s">
        <v>12184</v>
      </c>
    </row>
    <row r="5968" spans="1:3">
      <c r="A5968" s="177">
        <v>962000180</v>
      </c>
      <c r="B5968" s="116" t="str">
        <f t="shared" si="93"/>
        <v>96-962000180</v>
      </c>
      <c r="C5968" s="179" t="s">
        <v>7112</v>
      </c>
    </row>
    <row r="5969" spans="1:3">
      <c r="A5969" s="177">
        <v>962000317</v>
      </c>
      <c r="B5969" s="116" t="str">
        <f t="shared" si="93"/>
        <v>96-962000317</v>
      </c>
      <c r="C5969" s="179" t="s">
        <v>7112</v>
      </c>
    </row>
    <row r="5970" spans="1:3">
      <c r="A5970" s="177">
        <v>962000147</v>
      </c>
      <c r="B5970" s="116" t="str">
        <f t="shared" si="93"/>
        <v>96-962000147</v>
      </c>
      <c r="C5970" s="179" t="s">
        <v>7112</v>
      </c>
    </row>
    <row r="5971" spans="1:3">
      <c r="A5971" s="177">
        <v>962000254</v>
      </c>
      <c r="B5971" s="116" t="str">
        <f t="shared" si="93"/>
        <v>96-962000254</v>
      </c>
      <c r="C5971" s="179" t="s">
        <v>7112</v>
      </c>
    </row>
    <row r="5972" spans="1:3">
      <c r="A5972" s="177">
        <v>952000348</v>
      </c>
      <c r="B5972" s="116" t="str">
        <f t="shared" si="93"/>
        <v>95-952000348</v>
      </c>
      <c r="C5972" s="179" t="s">
        <v>7420</v>
      </c>
    </row>
    <row r="5973" spans="1:3">
      <c r="A5973" s="177">
        <v>952000351</v>
      </c>
      <c r="B5973" s="116" t="str">
        <f t="shared" si="93"/>
        <v>95-952000351</v>
      </c>
      <c r="C5973" s="179" t="s">
        <v>7122</v>
      </c>
    </row>
    <row r="5974" spans="1:3">
      <c r="A5974" s="177">
        <v>961100112</v>
      </c>
      <c r="B5974" s="116" t="str">
        <f t="shared" si="93"/>
        <v>96-961100112</v>
      </c>
      <c r="C5974" s="179" t="s">
        <v>12408</v>
      </c>
    </row>
    <row r="5975" spans="1:3">
      <c r="A5975" s="177">
        <v>952000075</v>
      </c>
      <c r="B5975" s="116" t="str">
        <f t="shared" si="93"/>
        <v>95-952000075</v>
      </c>
      <c r="C5975" s="179" t="s">
        <v>7465</v>
      </c>
    </row>
    <row r="5976" spans="1:3">
      <c r="A5976" s="177">
        <v>952000131</v>
      </c>
      <c r="B5976" s="116" t="str">
        <f t="shared" si="93"/>
        <v>95-952000131</v>
      </c>
      <c r="C5976" s="179" t="s">
        <v>7405</v>
      </c>
    </row>
    <row r="5977" spans="1:3">
      <c r="A5977" s="177">
        <v>962000192</v>
      </c>
      <c r="B5977" s="116" t="str">
        <f t="shared" si="93"/>
        <v>96-962000192</v>
      </c>
      <c r="C5977" s="179" t="s">
        <v>7112</v>
      </c>
    </row>
    <row r="5978" spans="1:3">
      <c r="A5978" s="177">
        <v>952000068</v>
      </c>
      <c r="B5978" s="116" t="str">
        <f t="shared" si="93"/>
        <v>95-952000068</v>
      </c>
      <c r="C5978" s="179" t="s">
        <v>7465</v>
      </c>
    </row>
    <row r="5979" spans="1:3">
      <c r="A5979" s="177">
        <v>956200339</v>
      </c>
      <c r="B5979" s="116" t="str">
        <f t="shared" si="93"/>
        <v>95-956200339</v>
      </c>
      <c r="C5979" s="179" t="s">
        <v>7292</v>
      </c>
    </row>
    <row r="5980" spans="1:3">
      <c r="A5980" s="177">
        <v>956200342</v>
      </c>
      <c r="B5980" s="116" t="str">
        <f t="shared" si="93"/>
        <v>95-956200342</v>
      </c>
      <c r="C5980" s="179" t="s">
        <v>7292</v>
      </c>
    </row>
    <row r="5981" spans="1:3">
      <c r="A5981" s="177">
        <v>956200374</v>
      </c>
      <c r="B5981" s="116" t="str">
        <f t="shared" si="93"/>
        <v>95-956200374</v>
      </c>
      <c r="C5981" s="179" t="s">
        <v>7393</v>
      </c>
    </row>
    <row r="5982" spans="1:3">
      <c r="A5982" s="177">
        <v>956200375</v>
      </c>
      <c r="B5982" s="116" t="str">
        <f t="shared" si="93"/>
        <v>95-956200375</v>
      </c>
      <c r="C5982" s="179" t="s">
        <v>7393</v>
      </c>
    </row>
    <row r="5983" spans="1:3">
      <c r="A5983" s="177">
        <v>956200377</v>
      </c>
      <c r="B5983" s="116" t="str">
        <f t="shared" si="93"/>
        <v>95-956200377</v>
      </c>
      <c r="C5983" s="179" t="s">
        <v>7393</v>
      </c>
    </row>
    <row r="5984" spans="1:3">
      <c r="A5984" s="177">
        <v>962000019</v>
      </c>
      <c r="B5984" s="116" t="str">
        <f t="shared" si="93"/>
        <v>96-962000019</v>
      </c>
      <c r="C5984" s="179" t="s">
        <v>7112</v>
      </c>
    </row>
    <row r="5985" spans="1:3">
      <c r="A5985" s="177">
        <v>962000187</v>
      </c>
      <c r="B5985" s="116" t="str">
        <f t="shared" si="93"/>
        <v>96-962000187</v>
      </c>
      <c r="C5985" s="179" t="s">
        <v>7112</v>
      </c>
    </row>
    <row r="5986" spans="1:3">
      <c r="A5986" s="177">
        <v>962000018</v>
      </c>
      <c r="B5986" s="116" t="str">
        <f t="shared" si="93"/>
        <v>96-962000018</v>
      </c>
      <c r="C5986" s="179" t="s">
        <v>7112</v>
      </c>
    </row>
    <row r="5987" spans="1:3">
      <c r="A5987" s="177">
        <v>962000419</v>
      </c>
      <c r="B5987" s="116" t="str">
        <f t="shared" si="93"/>
        <v>96-962000419</v>
      </c>
      <c r="C5987" s="179" t="s">
        <v>12184</v>
      </c>
    </row>
    <row r="5988" spans="1:3">
      <c r="A5988" s="177">
        <v>962000213</v>
      </c>
      <c r="B5988" s="116" t="str">
        <f t="shared" si="93"/>
        <v>96-962000213</v>
      </c>
      <c r="C5988" s="179" t="s">
        <v>7112</v>
      </c>
    </row>
    <row r="5989" spans="1:3">
      <c r="A5989" s="177">
        <v>952000076</v>
      </c>
      <c r="B5989" s="116" t="str">
        <f t="shared" si="93"/>
        <v>95-952000076</v>
      </c>
      <c r="C5989" s="179" t="s">
        <v>8156</v>
      </c>
    </row>
    <row r="5990" spans="1:3">
      <c r="A5990" s="177">
        <v>952000315</v>
      </c>
      <c r="B5990" s="116" t="str">
        <f t="shared" si="93"/>
        <v>95-952000315</v>
      </c>
      <c r="C5990" s="179" t="s">
        <v>7420</v>
      </c>
    </row>
    <row r="5991" spans="1:3">
      <c r="A5991" s="177">
        <v>962000178</v>
      </c>
      <c r="B5991" s="116" t="str">
        <f t="shared" si="93"/>
        <v>96-962000178</v>
      </c>
      <c r="C5991" s="179" t="s">
        <v>7112</v>
      </c>
    </row>
    <row r="5992" spans="1:3">
      <c r="A5992" s="177">
        <v>956200351</v>
      </c>
      <c r="B5992" s="116" t="str">
        <f t="shared" si="93"/>
        <v>95-956200351</v>
      </c>
      <c r="C5992" s="179" t="s">
        <v>7292</v>
      </c>
    </row>
    <row r="5993" spans="1:3">
      <c r="A5993" s="177">
        <v>956200090</v>
      </c>
      <c r="B5993" s="116" t="str">
        <f t="shared" si="93"/>
        <v>95-956200090</v>
      </c>
      <c r="C5993" s="179" t="s">
        <v>7373</v>
      </c>
    </row>
    <row r="5994" spans="1:3">
      <c r="A5994" s="177">
        <v>966200018</v>
      </c>
      <c r="B5994" s="116" t="str">
        <f t="shared" si="93"/>
        <v>96-966200018</v>
      </c>
      <c r="C5994" s="179" t="s">
        <v>7370</v>
      </c>
    </row>
    <row r="5995" spans="1:3">
      <c r="A5995" s="177">
        <v>956200167</v>
      </c>
      <c r="B5995" s="116" t="str">
        <f t="shared" si="93"/>
        <v>95-956200167</v>
      </c>
      <c r="C5995" s="179" t="s">
        <v>7369</v>
      </c>
    </row>
    <row r="5996" spans="1:3">
      <c r="A5996" s="177">
        <v>966200443</v>
      </c>
      <c r="B5996" s="116" t="str">
        <f t="shared" si="93"/>
        <v>96-966200443</v>
      </c>
      <c r="C5996" s="179" t="s">
        <v>12187</v>
      </c>
    </row>
    <row r="5997" spans="1:3">
      <c r="A5997" s="177">
        <v>966200442</v>
      </c>
      <c r="B5997" s="116" t="str">
        <f t="shared" si="93"/>
        <v>96-966200442</v>
      </c>
      <c r="C5997" s="179" t="s">
        <v>12187</v>
      </c>
    </row>
    <row r="5998" spans="1:3">
      <c r="A5998" s="177">
        <v>966200468</v>
      </c>
      <c r="B5998" s="116" t="str">
        <f t="shared" si="93"/>
        <v>96-966200468</v>
      </c>
      <c r="C5998" s="179" t="s">
        <v>12185</v>
      </c>
    </row>
    <row r="5999" spans="1:3">
      <c r="A5999" s="177">
        <v>966200079</v>
      </c>
      <c r="B5999" s="116" t="str">
        <f t="shared" si="93"/>
        <v>96-966200079</v>
      </c>
      <c r="C5999" s="179" t="s">
        <v>7448</v>
      </c>
    </row>
    <row r="6000" spans="1:3">
      <c r="A6000" s="177">
        <v>966200394</v>
      </c>
      <c r="B6000" s="116" t="str">
        <f t="shared" si="93"/>
        <v>96-966200394</v>
      </c>
      <c r="C6000" s="179" t="s">
        <v>12239</v>
      </c>
    </row>
    <row r="6001" spans="1:3">
      <c r="A6001" s="177">
        <v>956200105</v>
      </c>
      <c r="B6001" s="116" t="str">
        <f t="shared" si="93"/>
        <v>95-956200105</v>
      </c>
      <c r="C6001" s="179" t="s">
        <v>8531</v>
      </c>
    </row>
    <row r="6002" spans="1:3">
      <c r="A6002" s="177">
        <v>966200322</v>
      </c>
      <c r="B6002" s="116" t="str">
        <f t="shared" si="93"/>
        <v>96-966200322</v>
      </c>
      <c r="C6002" s="179" t="s">
        <v>8697</v>
      </c>
    </row>
    <row r="6003" spans="1:3">
      <c r="A6003" s="177">
        <v>951100158</v>
      </c>
      <c r="B6003" s="116" t="str">
        <f t="shared" si="93"/>
        <v>95-951100158</v>
      </c>
      <c r="C6003" s="179" t="s">
        <v>8532</v>
      </c>
    </row>
    <row r="6004" spans="1:3">
      <c r="A6004" s="177">
        <v>956300023</v>
      </c>
      <c r="B6004" s="116" t="str">
        <f t="shared" si="93"/>
        <v>95-956300023</v>
      </c>
      <c r="C6004" s="179" t="s">
        <v>8533</v>
      </c>
    </row>
    <row r="6005" spans="1:3">
      <c r="A6005" s="177">
        <v>966300026</v>
      </c>
      <c r="B6005" s="116" t="str">
        <f t="shared" si="93"/>
        <v>96-966300026</v>
      </c>
      <c r="C6005" s="179" t="s">
        <v>12243</v>
      </c>
    </row>
    <row r="6006" spans="1:3">
      <c r="A6006" s="177">
        <v>966300032</v>
      </c>
      <c r="B6006" s="116" t="str">
        <f t="shared" si="93"/>
        <v>96-966300032</v>
      </c>
      <c r="C6006" s="179" t="s">
        <v>12237</v>
      </c>
    </row>
    <row r="6007" spans="1:3">
      <c r="A6007" s="177">
        <v>956200104</v>
      </c>
      <c r="B6007" s="116" t="str">
        <f t="shared" si="93"/>
        <v>95-956200104</v>
      </c>
      <c r="C6007" s="179" t="s">
        <v>8531</v>
      </c>
    </row>
    <row r="6008" spans="1:3">
      <c r="A6008" s="177">
        <v>966200402</v>
      </c>
      <c r="B6008" s="116" t="str">
        <f t="shared" si="93"/>
        <v>96-966200402</v>
      </c>
      <c r="C6008" s="179" t="s">
        <v>12239</v>
      </c>
    </row>
    <row r="6009" spans="1:3">
      <c r="A6009" s="177">
        <v>966200437</v>
      </c>
      <c r="B6009" s="116" t="str">
        <f t="shared" si="93"/>
        <v>96-966200437</v>
      </c>
      <c r="C6009" s="179" t="s">
        <v>12187</v>
      </c>
    </row>
    <row r="6010" spans="1:3">
      <c r="A6010" s="177">
        <v>952000188</v>
      </c>
      <c r="B6010" s="116" t="str">
        <f t="shared" si="93"/>
        <v>95-952000188</v>
      </c>
      <c r="C6010" s="179" t="s">
        <v>7342</v>
      </c>
    </row>
    <row r="6011" spans="1:3">
      <c r="A6011" s="177">
        <v>952000081</v>
      </c>
      <c r="B6011" s="116" t="str">
        <f t="shared" si="93"/>
        <v>95-952000081</v>
      </c>
      <c r="C6011" s="179" t="s">
        <v>7152</v>
      </c>
    </row>
    <row r="6012" spans="1:3">
      <c r="A6012" s="177">
        <v>962000466</v>
      </c>
      <c r="B6012" s="116" t="str">
        <f t="shared" si="93"/>
        <v>96-962000466</v>
      </c>
      <c r="C6012" s="179" t="s">
        <v>12184</v>
      </c>
    </row>
    <row r="6013" spans="1:3">
      <c r="A6013" s="177">
        <v>956200081</v>
      </c>
      <c r="B6013" s="116" t="str">
        <f t="shared" si="93"/>
        <v>95-956200081</v>
      </c>
      <c r="C6013" s="179" t="s">
        <v>8534</v>
      </c>
    </row>
    <row r="6014" spans="1:3">
      <c r="A6014" s="177">
        <v>952000318</v>
      </c>
      <c r="B6014" s="116" t="str">
        <f t="shared" si="93"/>
        <v>95-952000318</v>
      </c>
      <c r="C6014" s="179" t="s">
        <v>7420</v>
      </c>
    </row>
    <row r="6015" spans="1:3">
      <c r="A6015" s="177">
        <v>962000214</v>
      </c>
      <c r="B6015" s="116" t="str">
        <f t="shared" si="93"/>
        <v>96-962000214</v>
      </c>
      <c r="C6015" s="179" t="s">
        <v>7112</v>
      </c>
    </row>
    <row r="6016" spans="1:3">
      <c r="A6016" s="177">
        <v>952000331</v>
      </c>
      <c r="B6016" s="116" t="str">
        <f t="shared" si="93"/>
        <v>95-952000331</v>
      </c>
      <c r="C6016" s="179" t="s">
        <v>7420</v>
      </c>
    </row>
    <row r="6017" spans="1:3">
      <c r="A6017" s="177">
        <v>962000208</v>
      </c>
      <c r="B6017" s="116" t="str">
        <f t="shared" si="93"/>
        <v>96-962000208</v>
      </c>
      <c r="C6017" s="179" t="s">
        <v>7112</v>
      </c>
    </row>
    <row r="6018" spans="1:3">
      <c r="A6018" s="177">
        <v>952000344</v>
      </c>
      <c r="B6018" s="116" t="str">
        <f t="shared" si="93"/>
        <v>95-952000344</v>
      </c>
      <c r="C6018" s="179" t="s">
        <v>7413</v>
      </c>
    </row>
    <row r="6019" spans="1:3">
      <c r="A6019" s="177">
        <v>952000176</v>
      </c>
      <c r="B6019" s="116" t="str">
        <f t="shared" ref="B6019:B6082" si="94">MID(A6019,1,2)&amp;"-"&amp;A6019</f>
        <v>95-952000176</v>
      </c>
      <c r="C6019" s="179" t="s">
        <v>7392</v>
      </c>
    </row>
    <row r="6020" spans="1:3">
      <c r="A6020" s="177">
        <v>952000346</v>
      </c>
      <c r="B6020" s="116" t="str">
        <f t="shared" si="94"/>
        <v>95-952000346</v>
      </c>
      <c r="C6020" s="179" t="s">
        <v>7413</v>
      </c>
    </row>
    <row r="6021" spans="1:3">
      <c r="A6021" s="177">
        <v>952000253</v>
      </c>
      <c r="B6021" s="116" t="str">
        <f t="shared" si="94"/>
        <v>95-952000253</v>
      </c>
      <c r="C6021" s="179" t="s">
        <v>7327</v>
      </c>
    </row>
    <row r="6022" spans="1:3">
      <c r="A6022" s="177">
        <v>956200100</v>
      </c>
      <c r="B6022" s="116" t="str">
        <f t="shared" si="94"/>
        <v>95-956200100</v>
      </c>
      <c r="C6022" s="179" t="s">
        <v>7467</v>
      </c>
    </row>
    <row r="6023" spans="1:3">
      <c r="A6023" s="177">
        <v>956200103</v>
      </c>
      <c r="B6023" s="116" t="str">
        <f t="shared" si="94"/>
        <v>95-956200103</v>
      </c>
      <c r="C6023" s="179" t="s">
        <v>8531</v>
      </c>
    </row>
    <row r="6024" spans="1:3">
      <c r="A6024" s="177">
        <v>956300006</v>
      </c>
      <c r="B6024" s="116" t="str">
        <f t="shared" si="94"/>
        <v>95-956300006</v>
      </c>
      <c r="C6024" s="179" t="s">
        <v>8070</v>
      </c>
    </row>
    <row r="6025" spans="1:3">
      <c r="A6025" s="177">
        <v>956200110</v>
      </c>
      <c r="B6025" s="116" t="str">
        <f t="shared" si="94"/>
        <v>95-956200110</v>
      </c>
      <c r="C6025" s="179" t="s">
        <v>7358</v>
      </c>
    </row>
    <row r="6026" spans="1:3">
      <c r="A6026" s="177">
        <v>956300022</v>
      </c>
      <c r="B6026" s="116" t="str">
        <f t="shared" si="94"/>
        <v>95-956300022</v>
      </c>
      <c r="C6026" s="179" t="s">
        <v>8535</v>
      </c>
    </row>
    <row r="6027" spans="1:3">
      <c r="A6027" s="177">
        <v>966200450</v>
      </c>
      <c r="B6027" s="116" t="str">
        <f t="shared" si="94"/>
        <v>96-966200450</v>
      </c>
      <c r="C6027" s="179" t="s">
        <v>12188</v>
      </c>
    </row>
    <row r="6028" spans="1:3">
      <c r="A6028" s="177">
        <v>956200314</v>
      </c>
      <c r="B6028" s="116" t="str">
        <f t="shared" si="94"/>
        <v>95-956200314</v>
      </c>
      <c r="C6028" s="179" t="s">
        <v>7436</v>
      </c>
    </row>
    <row r="6029" spans="1:3">
      <c r="A6029" s="177">
        <v>956200250</v>
      </c>
      <c r="B6029" s="116" t="str">
        <f t="shared" si="94"/>
        <v>95-956200250</v>
      </c>
      <c r="C6029" s="179" t="s">
        <v>7428</v>
      </c>
    </row>
    <row r="6030" spans="1:3">
      <c r="A6030" s="177">
        <v>966200121</v>
      </c>
      <c r="B6030" s="116" t="str">
        <f t="shared" si="94"/>
        <v>96-966200121</v>
      </c>
      <c r="C6030" s="179" t="s">
        <v>7437</v>
      </c>
    </row>
    <row r="6031" spans="1:3">
      <c r="A6031" s="177">
        <v>966200363</v>
      </c>
      <c r="B6031" s="116" t="str">
        <f t="shared" si="94"/>
        <v>96-966200363</v>
      </c>
      <c r="C6031" s="179" t="s">
        <v>12240</v>
      </c>
    </row>
    <row r="6032" spans="1:3">
      <c r="A6032" s="177">
        <v>956200306</v>
      </c>
      <c r="B6032" s="116" t="str">
        <f t="shared" si="94"/>
        <v>95-956200306</v>
      </c>
      <c r="C6032" s="179" t="s">
        <v>8039</v>
      </c>
    </row>
    <row r="6033" spans="1:3">
      <c r="A6033" s="177">
        <v>956200332</v>
      </c>
      <c r="B6033" s="116" t="str">
        <f t="shared" si="94"/>
        <v>95-956200332</v>
      </c>
      <c r="C6033" s="179" t="s">
        <v>7289</v>
      </c>
    </row>
    <row r="6034" spans="1:3">
      <c r="A6034" s="177">
        <v>956200333</v>
      </c>
      <c r="B6034" s="116" t="str">
        <f t="shared" si="94"/>
        <v>95-956200333</v>
      </c>
      <c r="C6034" s="179" t="s">
        <v>8167</v>
      </c>
    </row>
    <row r="6035" spans="1:3">
      <c r="A6035" s="177">
        <v>956200382</v>
      </c>
      <c r="B6035" s="116" t="str">
        <f t="shared" si="94"/>
        <v>95-956200382</v>
      </c>
      <c r="C6035" s="179" t="s">
        <v>7393</v>
      </c>
    </row>
    <row r="6036" spans="1:3">
      <c r="A6036" s="177">
        <v>956200365</v>
      </c>
      <c r="B6036" s="116" t="str">
        <f t="shared" si="94"/>
        <v>95-956200365</v>
      </c>
      <c r="C6036" s="179" t="s">
        <v>7292</v>
      </c>
    </row>
    <row r="6037" spans="1:3">
      <c r="A6037" s="177">
        <v>956200389</v>
      </c>
      <c r="B6037" s="116" t="str">
        <f t="shared" si="94"/>
        <v>95-956200389</v>
      </c>
      <c r="C6037" s="179" t="s">
        <v>7393</v>
      </c>
    </row>
    <row r="6038" spans="1:3">
      <c r="A6038" s="177">
        <v>966200009</v>
      </c>
      <c r="B6038" s="116" t="str">
        <f t="shared" si="94"/>
        <v>96-966200009</v>
      </c>
      <c r="C6038" s="179" t="s">
        <v>7370</v>
      </c>
    </row>
    <row r="6039" spans="1:3">
      <c r="A6039" s="177">
        <v>956200426</v>
      </c>
      <c r="B6039" s="116" t="str">
        <f t="shared" si="94"/>
        <v>95-956200426</v>
      </c>
      <c r="C6039" s="179" t="s">
        <v>7419</v>
      </c>
    </row>
    <row r="6040" spans="1:3">
      <c r="A6040" s="177">
        <v>966200095</v>
      </c>
      <c r="B6040" s="116" t="str">
        <f t="shared" si="94"/>
        <v>96-966200095</v>
      </c>
      <c r="C6040" s="179" t="s">
        <v>7476</v>
      </c>
    </row>
    <row r="6041" spans="1:3">
      <c r="A6041" s="177">
        <v>966200103</v>
      </c>
      <c r="B6041" s="116" t="str">
        <f t="shared" si="94"/>
        <v>96-966200103</v>
      </c>
      <c r="C6041" s="179" t="s">
        <v>7270</v>
      </c>
    </row>
    <row r="6042" spans="1:3">
      <c r="A6042" s="177">
        <v>966200181</v>
      </c>
      <c r="B6042" s="116" t="str">
        <f t="shared" si="94"/>
        <v>96-966200181</v>
      </c>
      <c r="C6042" s="179" t="s">
        <v>7986</v>
      </c>
    </row>
    <row r="6043" spans="1:3">
      <c r="A6043" s="177">
        <v>966200211</v>
      </c>
      <c r="B6043" s="116" t="str">
        <f t="shared" si="94"/>
        <v>96-966200211</v>
      </c>
      <c r="C6043" s="179" t="s">
        <v>7478</v>
      </c>
    </row>
    <row r="6044" spans="1:3">
      <c r="A6044" s="177">
        <v>966200212</v>
      </c>
      <c r="B6044" s="116" t="str">
        <f t="shared" si="94"/>
        <v>96-966200212</v>
      </c>
      <c r="C6044" s="179" t="s">
        <v>7478</v>
      </c>
    </row>
    <row r="6045" spans="1:3">
      <c r="A6045" s="177">
        <v>966200244</v>
      </c>
      <c r="B6045" s="116" t="str">
        <f t="shared" si="94"/>
        <v>96-966200244</v>
      </c>
      <c r="C6045" s="179" t="s">
        <v>7333</v>
      </c>
    </row>
    <row r="6046" spans="1:3">
      <c r="A6046" s="177">
        <v>962000102</v>
      </c>
      <c r="B6046" s="116" t="str">
        <f t="shared" si="94"/>
        <v>96-962000102</v>
      </c>
      <c r="C6046" s="179" t="s">
        <v>7112</v>
      </c>
    </row>
    <row r="6047" spans="1:3">
      <c r="A6047" s="177">
        <v>962000137</v>
      </c>
      <c r="B6047" s="116" t="str">
        <f t="shared" si="94"/>
        <v>96-962000137</v>
      </c>
      <c r="C6047" s="179" t="s">
        <v>7112</v>
      </c>
    </row>
    <row r="6048" spans="1:3">
      <c r="A6048" s="177">
        <v>962000153</v>
      </c>
      <c r="B6048" s="116" t="str">
        <f t="shared" si="94"/>
        <v>96-962000153</v>
      </c>
      <c r="C6048" s="179" t="s">
        <v>7112</v>
      </c>
    </row>
    <row r="6049" spans="1:3">
      <c r="A6049" s="177">
        <v>962000289</v>
      </c>
      <c r="B6049" s="116" t="str">
        <f t="shared" si="94"/>
        <v>96-962000289</v>
      </c>
      <c r="C6049" s="179" t="s">
        <v>7112</v>
      </c>
    </row>
    <row r="6050" spans="1:3">
      <c r="A6050" s="177">
        <v>962000279</v>
      </c>
      <c r="B6050" s="116" t="str">
        <f t="shared" si="94"/>
        <v>96-962000279</v>
      </c>
      <c r="C6050" s="179" t="s">
        <v>7112</v>
      </c>
    </row>
    <row r="6051" spans="1:3">
      <c r="A6051" s="177">
        <v>962000170</v>
      </c>
      <c r="B6051" s="116" t="str">
        <f t="shared" si="94"/>
        <v>96-962000170</v>
      </c>
      <c r="C6051" s="179" t="s">
        <v>7112</v>
      </c>
    </row>
    <row r="6052" spans="1:3">
      <c r="A6052" s="177">
        <v>962000177</v>
      </c>
      <c r="B6052" s="116" t="str">
        <f t="shared" si="94"/>
        <v>96-962000177</v>
      </c>
      <c r="C6052" s="179" t="s">
        <v>7112</v>
      </c>
    </row>
    <row r="6053" spans="1:3">
      <c r="A6053" s="177">
        <v>962000184</v>
      </c>
      <c r="B6053" s="116" t="str">
        <f t="shared" si="94"/>
        <v>96-962000184</v>
      </c>
      <c r="C6053" s="179" t="s">
        <v>7112</v>
      </c>
    </row>
    <row r="6054" spans="1:3">
      <c r="A6054" s="177">
        <v>962000297</v>
      </c>
      <c r="B6054" s="116" t="str">
        <f t="shared" si="94"/>
        <v>96-962000297</v>
      </c>
      <c r="C6054" s="179" t="s">
        <v>7112</v>
      </c>
    </row>
    <row r="6055" spans="1:3">
      <c r="A6055" s="177">
        <v>962000191</v>
      </c>
      <c r="B6055" s="116" t="str">
        <f t="shared" si="94"/>
        <v>96-962000191</v>
      </c>
      <c r="C6055" s="179" t="s">
        <v>7112</v>
      </c>
    </row>
    <row r="6056" spans="1:3">
      <c r="A6056" s="177">
        <v>962000193</v>
      </c>
      <c r="B6056" s="116" t="str">
        <f t="shared" si="94"/>
        <v>96-962000193</v>
      </c>
      <c r="C6056" s="179" t="s">
        <v>7112</v>
      </c>
    </row>
    <row r="6057" spans="1:3">
      <c r="A6057" s="177">
        <v>962000194</v>
      </c>
      <c r="B6057" s="116" t="str">
        <f t="shared" si="94"/>
        <v>96-962000194</v>
      </c>
      <c r="C6057" s="179" t="s">
        <v>7112</v>
      </c>
    </row>
    <row r="6058" spans="1:3">
      <c r="A6058" s="177">
        <v>966200421</v>
      </c>
      <c r="B6058" s="116" t="str">
        <f t="shared" si="94"/>
        <v>96-966200421</v>
      </c>
      <c r="C6058" s="179" t="s">
        <v>12224</v>
      </c>
    </row>
    <row r="6059" spans="1:3">
      <c r="A6059" s="177">
        <v>962000283</v>
      </c>
      <c r="B6059" s="116" t="str">
        <f t="shared" si="94"/>
        <v>96-962000283</v>
      </c>
      <c r="C6059" s="179" t="s">
        <v>7112</v>
      </c>
    </row>
    <row r="6060" spans="1:3">
      <c r="A6060" s="177">
        <v>962000300</v>
      </c>
      <c r="B6060" s="116" t="str">
        <f t="shared" si="94"/>
        <v>96-962000300</v>
      </c>
      <c r="C6060" s="179" t="s">
        <v>7112</v>
      </c>
    </row>
    <row r="6061" spans="1:3">
      <c r="A6061" s="177">
        <v>962000304</v>
      </c>
      <c r="B6061" s="116" t="str">
        <f t="shared" si="94"/>
        <v>96-962000304</v>
      </c>
      <c r="C6061" s="179" t="s">
        <v>7112</v>
      </c>
    </row>
    <row r="6062" spans="1:3">
      <c r="A6062" s="177">
        <v>962000318</v>
      </c>
      <c r="B6062" s="116" t="str">
        <f t="shared" si="94"/>
        <v>96-962000318</v>
      </c>
      <c r="C6062" s="179" t="s">
        <v>7112</v>
      </c>
    </row>
    <row r="6063" spans="1:3">
      <c r="A6063" s="177">
        <v>962000345</v>
      </c>
      <c r="B6063" s="116" t="str">
        <f t="shared" si="94"/>
        <v>96-962000345</v>
      </c>
      <c r="C6063" s="179" t="s">
        <v>12184</v>
      </c>
    </row>
    <row r="6064" spans="1:3">
      <c r="A6064" s="177">
        <v>966300037</v>
      </c>
      <c r="B6064" s="116" t="str">
        <f t="shared" si="94"/>
        <v>96-966300037</v>
      </c>
      <c r="C6064" s="179" t="s">
        <v>12241</v>
      </c>
    </row>
    <row r="6065" spans="1:3">
      <c r="A6065" s="177">
        <v>954100002</v>
      </c>
      <c r="B6065" s="116" t="str">
        <f t="shared" si="94"/>
        <v>95-954100002</v>
      </c>
      <c r="C6065" s="179" t="s">
        <v>5615</v>
      </c>
    </row>
    <row r="6066" spans="1:3">
      <c r="A6066" s="177">
        <v>954100009</v>
      </c>
      <c r="B6066" s="116" t="str">
        <f t="shared" si="94"/>
        <v>95-954100009</v>
      </c>
      <c r="C6066" s="179" t="s">
        <v>5623</v>
      </c>
    </row>
    <row r="6067" spans="1:3">
      <c r="A6067" s="177">
        <v>954100018</v>
      </c>
      <c r="B6067" s="116" t="str">
        <f t="shared" si="94"/>
        <v>95-954100018</v>
      </c>
      <c r="C6067" s="179" t="s">
        <v>5691</v>
      </c>
    </row>
    <row r="6068" spans="1:3">
      <c r="A6068" s="177">
        <v>954100019</v>
      </c>
      <c r="B6068" s="116" t="str">
        <f t="shared" si="94"/>
        <v>95-954100019</v>
      </c>
      <c r="C6068" s="179" t="s">
        <v>5691</v>
      </c>
    </row>
    <row r="6069" spans="1:3">
      <c r="A6069" s="177">
        <v>954100028</v>
      </c>
      <c r="B6069" s="116" t="str">
        <f t="shared" si="94"/>
        <v>95-954100028</v>
      </c>
      <c r="C6069" s="179" t="s">
        <v>5749</v>
      </c>
    </row>
    <row r="6070" spans="1:3">
      <c r="A6070" s="177">
        <v>954100036</v>
      </c>
      <c r="B6070" s="116" t="str">
        <f t="shared" si="94"/>
        <v>95-954100036</v>
      </c>
      <c r="C6070" s="179" t="s">
        <v>5749</v>
      </c>
    </row>
    <row r="6071" spans="1:3">
      <c r="A6071" s="177">
        <v>954100040</v>
      </c>
      <c r="B6071" s="116" t="str">
        <f t="shared" si="94"/>
        <v>95-954100040</v>
      </c>
      <c r="C6071" s="179" t="s">
        <v>5761</v>
      </c>
    </row>
    <row r="6072" spans="1:3">
      <c r="A6072" s="177">
        <v>954100043</v>
      </c>
      <c r="B6072" s="116" t="str">
        <f t="shared" si="94"/>
        <v>95-954100043</v>
      </c>
      <c r="C6072" s="179" t="s">
        <v>5737</v>
      </c>
    </row>
    <row r="6073" spans="1:3">
      <c r="A6073" s="177">
        <v>964100036</v>
      </c>
      <c r="B6073" s="116" t="str">
        <f t="shared" si="94"/>
        <v>96-964100036</v>
      </c>
      <c r="C6073" s="179" t="s">
        <v>5824</v>
      </c>
    </row>
    <row r="6074" spans="1:3">
      <c r="A6074" s="177">
        <v>964100008</v>
      </c>
      <c r="B6074" s="116" t="str">
        <f t="shared" si="94"/>
        <v>96-964100008</v>
      </c>
      <c r="C6074" s="179" t="s">
        <v>5783</v>
      </c>
    </row>
    <row r="6075" spans="1:3">
      <c r="A6075" s="177">
        <v>964100017</v>
      </c>
      <c r="B6075" s="116" t="str">
        <f t="shared" si="94"/>
        <v>96-964100017</v>
      </c>
      <c r="C6075" s="179" t="s">
        <v>5804</v>
      </c>
    </row>
    <row r="6076" spans="1:3">
      <c r="A6076" s="177">
        <v>964100059</v>
      </c>
      <c r="B6076" s="116" t="str">
        <f t="shared" si="94"/>
        <v>96-964100059</v>
      </c>
      <c r="C6076" s="179" t="s">
        <v>7138</v>
      </c>
    </row>
    <row r="6077" spans="1:3">
      <c r="A6077" s="177">
        <v>964100063</v>
      </c>
      <c r="B6077" s="116" t="str">
        <f t="shared" si="94"/>
        <v>96-964100063</v>
      </c>
      <c r="C6077" s="179" t="s">
        <v>8706</v>
      </c>
    </row>
    <row r="6078" spans="1:3">
      <c r="A6078" s="177">
        <v>964100072</v>
      </c>
      <c r="B6078" s="116" t="str">
        <f t="shared" si="94"/>
        <v>96-964100072</v>
      </c>
      <c r="C6078" s="179" t="s">
        <v>9766</v>
      </c>
    </row>
    <row r="6079" spans="1:3">
      <c r="A6079" s="177">
        <v>964100078</v>
      </c>
      <c r="B6079" s="116" t="str">
        <f t="shared" si="94"/>
        <v>96-964100078</v>
      </c>
      <c r="C6079" s="179" t="s">
        <v>9911</v>
      </c>
    </row>
    <row r="6080" spans="1:3">
      <c r="A6080" s="177">
        <v>964100081</v>
      </c>
      <c r="B6080" s="116" t="str">
        <f t="shared" si="94"/>
        <v>96-964100081</v>
      </c>
      <c r="C6080" s="179" t="s">
        <v>9911</v>
      </c>
    </row>
    <row r="6081" spans="1:3">
      <c r="A6081" s="177">
        <v>964100085</v>
      </c>
      <c r="B6081" s="116" t="str">
        <f t="shared" si="94"/>
        <v>96-964100085</v>
      </c>
      <c r="C6081" s="179" t="s">
        <v>9911</v>
      </c>
    </row>
    <row r="6082" spans="1:3">
      <c r="A6082" s="177">
        <v>964300009</v>
      </c>
      <c r="B6082" s="116" t="str">
        <f t="shared" si="94"/>
        <v>96-964300009</v>
      </c>
      <c r="C6082" s="179" t="s">
        <v>7125</v>
      </c>
    </row>
    <row r="6083" spans="1:3">
      <c r="A6083" s="177">
        <v>964300015</v>
      </c>
      <c r="B6083" s="116" t="str">
        <f t="shared" ref="B6083:B6146" si="95">MID(A6083,1,2)&amp;"-"&amp;A6083</f>
        <v>96-964300015</v>
      </c>
      <c r="C6083" s="179" t="s">
        <v>7125</v>
      </c>
    </row>
    <row r="6084" spans="1:3">
      <c r="A6084" s="177">
        <v>964300017</v>
      </c>
      <c r="B6084" s="116" t="str">
        <f t="shared" si="95"/>
        <v>96-964300017</v>
      </c>
      <c r="C6084" s="179" t="s">
        <v>7125</v>
      </c>
    </row>
    <row r="6085" spans="1:3">
      <c r="A6085" s="177">
        <v>964300023</v>
      </c>
      <c r="B6085" s="116" t="str">
        <f t="shared" si="95"/>
        <v>96-964300023</v>
      </c>
      <c r="C6085" s="179" t="s">
        <v>8702</v>
      </c>
    </row>
    <row r="6086" spans="1:3">
      <c r="A6086" s="177">
        <v>964300026</v>
      </c>
      <c r="B6086" s="116" t="str">
        <f t="shared" si="95"/>
        <v>96-964300026</v>
      </c>
      <c r="C6086" s="179" t="s">
        <v>8702</v>
      </c>
    </row>
    <row r="6087" spans="1:3">
      <c r="A6087" s="177">
        <v>964300028</v>
      </c>
      <c r="B6087" s="116" t="str">
        <f t="shared" si="95"/>
        <v>96-964300028</v>
      </c>
      <c r="C6087" s="179" t="s">
        <v>9765</v>
      </c>
    </row>
    <row r="6088" spans="1:3">
      <c r="A6088" s="177">
        <v>964300032</v>
      </c>
      <c r="B6088" s="116" t="str">
        <f t="shared" si="95"/>
        <v>96-964300032</v>
      </c>
      <c r="C6088" s="179" t="s">
        <v>12197</v>
      </c>
    </row>
    <row r="6089" spans="1:3">
      <c r="A6089" s="177">
        <v>952200006</v>
      </c>
      <c r="B6089" s="116" t="str">
        <f t="shared" si="95"/>
        <v>95-952200006</v>
      </c>
      <c r="C6089" s="179" t="s">
        <v>7131</v>
      </c>
    </row>
    <row r="6090" spans="1:3">
      <c r="A6090" s="177">
        <v>952200031</v>
      </c>
      <c r="B6090" s="116" t="str">
        <f t="shared" si="95"/>
        <v>95-952200031</v>
      </c>
      <c r="C6090" s="179" t="s">
        <v>7126</v>
      </c>
    </row>
    <row r="6091" spans="1:3">
      <c r="A6091" s="177">
        <v>952200051</v>
      </c>
      <c r="B6091" s="116" t="str">
        <f t="shared" si="95"/>
        <v>95-952200051</v>
      </c>
      <c r="C6091" s="179" t="s">
        <v>7509</v>
      </c>
    </row>
    <row r="6092" spans="1:3">
      <c r="A6092" s="177">
        <v>952200065</v>
      </c>
      <c r="B6092" s="116" t="str">
        <f t="shared" si="95"/>
        <v>95-952200065</v>
      </c>
      <c r="C6092" s="179" t="s">
        <v>7451</v>
      </c>
    </row>
    <row r="6093" spans="1:3">
      <c r="A6093" s="177">
        <v>952200080</v>
      </c>
      <c r="B6093" s="116" t="str">
        <f t="shared" si="95"/>
        <v>95-952200080</v>
      </c>
      <c r="C6093" s="179" t="s">
        <v>7236</v>
      </c>
    </row>
    <row r="6094" spans="1:3">
      <c r="A6094" s="177">
        <v>962200011</v>
      </c>
      <c r="B6094" s="116" t="str">
        <f t="shared" si="95"/>
        <v>96-962200011</v>
      </c>
      <c r="C6094" s="179" t="s">
        <v>7484</v>
      </c>
    </row>
    <row r="6095" spans="1:3">
      <c r="A6095" s="177">
        <v>962200066</v>
      </c>
      <c r="B6095" s="116" t="str">
        <f t="shared" si="95"/>
        <v>96-962200066</v>
      </c>
      <c r="C6095" s="179" t="s">
        <v>7125</v>
      </c>
    </row>
    <row r="6096" spans="1:3">
      <c r="A6096" s="177">
        <v>962200077</v>
      </c>
      <c r="B6096" s="116" t="str">
        <f t="shared" si="95"/>
        <v>96-962200077</v>
      </c>
      <c r="C6096" s="179" t="s">
        <v>7452</v>
      </c>
    </row>
    <row r="6097" spans="1:3">
      <c r="A6097" s="177">
        <v>962200082</v>
      </c>
      <c r="B6097" s="116" t="str">
        <f t="shared" si="95"/>
        <v>96-962200082</v>
      </c>
      <c r="C6097" s="179" t="s">
        <v>7173</v>
      </c>
    </row>
    <row r="6098" spans="1:3">
      <c r="A6098" s="177">
        <v>962200098</v>
      </c>
      <c r="B6098" s="116" t="str">
        <f t="shared" si="95"/>
        <v>96-962200098</v>
      </c>
      <c r="C6098" s="179" t="s">
        <v>12423</v>
      </c>
    </row>
    <row r="6099" spans="1:3">
      <c r="A6099" s="177">
        <v>952500060</v>
      </c>
      <c r="B6099" s="116" t="str">
        <f t="shared" si="95"/>
        <v>95-952500060</v>
      </c>
      <c r="C6099" s="179" t="s">
        <v>5661</v>
      </c>
    </row>
    <row r="6100" spans="1:3">
      <c r="A6100" s="177">
        <v>952500098</v>
      </c>
      <c r="B6100" s="116" t="str">
        <f t="shared" si="95"/>
        <v>95-952500098</v>
      </c>
      <c r="C6100" s="179" t="s">
        <v>5753</v>
      </c>
    </row>
    <row r="6101" spans="1:3">
      <c r="A6101" s="177">
        <v>952500006</v>
      </c>
      <c r="B6101" s="116" t="str">
        <f t="shared" si="95"/>
        <v>95-952500006</v>
      </c>
      <c r="C6101" s="179" t="s">
        <v>5618</v>
      </c>
    </row>
    <row r="6102" spans="1:3">
      <c r="A6102" s="177">
        <v>952500031</v>
      </c>
      <c r="B6102" s="116" t="str">
        <f t="shared" si="95"/>
        <v>95-952500031</v>
      </c>
      <c r="C6102" s="179" t="s">
        <v>5630</v>
      </c>
    </row>
    <row r="6103" spans="1:3">
      <c r="A6103" s="177">
        <v>952500042</v>
      </c>
      <c r="B6103" s="116" t="str">
        <f t="shared" si="95"/>
        <v>95-952500042</v>
      </c>
      <c r="C6103" s="179" t="s">
        <v>5675</v>
      </c>
    </row>
    <row r="6104" spans="1:3">
      <c r="A6104" s="177">
        <v>952500049</v>
      </c>
      <c r="B6104" s="116" t="str">
        <f t="shared" si="95"/>
        <v>95-952500049</v>
      </c>
      <c r="C6104" s="179" t="s">
        <v>5675</v>
      </c>
    </row>
    <row r="6105" spans="1:3">
      <c r="A6105" s="177">
        <v>962500054</v>
      </c>
      <c r="B6105" s="116" t="str">
        <f t="shared" si="95"/>
        <v>96-962500054</v>
      </c>
      <c r="C6105" s="179" t="s">
        <v>5814</v>
      </c>
    </row>
    <row r="6106" spans="1:3">
      <c r="A6106" s="177">
        <v>962500061</v>
      </c>
      <c r="B6106" s="116" t="str">
        <f t="shared" si="95"/>
        <v>96-962500061</v>
      </c>
      <c r="C6106" s="179" t="s">
        <v>5814</v>
      </c>
    </row>
    <row r="6107" spans="1:3">
      <c r="A6107" s="177">
        <v>962500136</v>
      </c>
      <c r="B6107" s="116" t="str">
        <f t="shared" si="95"/>
        <v>96-962500136</v>
      </c>
      <c r="C6107" s="179" t="s">
        <v>8698</v>
      </c>
    </row>
    <row r="6108" spans="1:3">
      <c r="A6108" s="177">
        <v>962500139</v>
      </c>
      <c r="B6108" s="116" t="str">
        <f t="shared" si="95"/>
        <v>96-962500139</v>
      </c>
      <c r="C6108" s="179" t="s">
        <v>8698</v>
      </c>
    </row>
    <row r="6109" spans="1:3">
      <c r="A6109" s="177">
        <v>962500152</v>
      </c>
      <c r="B6109" s="116" t="str">
        <f t="shared" si="95"/>
        <v>96-962500152</v>
      </c>
      <c r="C6109" s="179" t="s">
        <v>8698</v>
      </c>
    </row>
    <row r="6110" spans="1:3">
      <c r="A6110" s="177">
        <v>962500171</v>
      </c>
      <c r="B6110" s="116" t="str">
        <f t="shared" si="95"/>
        <v>96-962500171</v>
      </c>
      <c r="C6110" s="179" t="s">
        <v>9769</v>
      </c>
    </row>
    <row r="6111" spans="1:3">
      <c r="A6111" s="177">
        <v>962500144</v>
      </c>
      <c r="B6111" s="116" t="str">
        <f t="shared" si="95"/>
        <v>96-962500144</v>
      </c>
      <c r="C6111" s="179" t="s">
        <v>9784</v>
      </c>
    </row>
    <row r="6112" spans="1:3">
      <c r="A6112" s="177">
        <v>962500174</v>
      </c>
      <c r="B6112" s="116" t="str">
        <f t="shared" si="95"/>
        <v>96-962500174</v>
      </c>
      <c r="C6112" s="179" t="s">
        <v>9784</v>
      </c>
    </row>
    <row r="6113" spans="1:3">
      <c r="A6113" s="177">
        <v>952500032</v>
      </c>
      <c r="B6113" s="116" t="str">
        <f t="shared" si="95"/>
        <v>95-952500032</v>
      </c>
      <c r="C6113" s="179" t="s">
        <v>5634</v>
      </c>
    </row>
    <row r="6114" spans="1:3">
      <c r="A6114" s="177">
        <v>952500099</v>
      </c>
      <c r="B6114" s="116" t="str">
        <f t="shared" si="95"/>
        <v>95-952500099</v>
      </c>
      <c r="C6114" s="179" t="s">
        <v>5748</v>
      </c>
    </row>
    <row r="6115" spans="1:3">
      <c r="A6115" s="177">
        <v>962500162</v>
      </c>
      <c r="B6115" s="116" t="str">
        <f t="shared" si="95"/>
        <v>96-962500162</v>
      </c>
      <c r="C6115" s="179" t="s">
        <v>8753</v>
      </c>
    </row>
    <row r="6116" spans="1:3">
      <c r="A6116" s="177">
        <v>962500009</v>
      </c>
      <c r="B6116" s="116" t="str">
        <f t="shared" si="95"/>
        <v>96-962500009</v>
      </c>
      <c r="C6116" s="179" t="s">
        <v>5778</v>
      </c>
    </row>
    <row r="6117" spans="1:3">
      <c r="A6117" s="177">
        <v>952500080</v>
      </c>
      <c r="B6117" s="116" t="str">
        <f t="shared" si="95"/>
        <v>95-952500080</v>
      </c>
      <c r="C6117" s="179" t="s">
        <v>5745</v>
      </c>
    </row>
    <row r="6118" spans="1:3">
      <c r="A6118" s="177">
        <v>962500130</v>
      </c>
      <c r="B6118" s="116" t="str">
        <f t="shared" si="95"/>
        <v>96-962500130</v>
      </c>
      <c r="C6118" s="179" t="s">
        <v>8081</v>
      </c>
    </row>
    <row r="6119" spans="1:3">
      <c r="A6119" s="177">
        <v>962500188</v>
      </c>
      <c r="B6119" s="116" t="str">
        <f t="shared" si="95"/>
        <v>96-962500188</v>
      </c>
      <c r="C6119" s="179" t="s">
        <v>12195</v>
      </c>
    </row>
    <row r="6120" spans="1:3">
      <c r="A6120" s="177">
        <v>962500059</v>
      </c>
      <c r="B6120" s="116" t="str">
        <f t="shared" si="95"/>
        <v>96-962500059</v>
      </c>
      <c r="C6120" s="179" t="s">
        <v>5856</v>
      </c>
    </row>
    <row r="6121" spans="1:3">
      <c r="A6121" s="177">
        <v>962500072</v>
      </c>
      <c r="B6121" s="116" t="str">
        <f t="shared" si="95"/>
        <v>96-962500072</v>
      </c>
      <c r="C6121" s="179" t="s">
        <v>5856</v>
      </c>
    </row>
    <row r="6122" spans="1:3">
      <c r="A6122" s="177">
        <v>962500181</v>
      </c>
      <c r="B6122" s="116" t="str">
        <f t="shared" si="95"/>
        <v>96-962500181</v>
      </c>
      <c r="C6122" s="179" t="s">
        <v>12119</v>
      </c>
    </row>
    <row r="6123" spans="1:3">
      <c r="A6123" s="177">
        <v>954200010</v>
      </c>
      <c r="B6123" s="116" t="str">
        <f t="shared" si="95"/>
        <v>95-954200010</v>
      </c>
      <c r="C6123" s="179" t="s">
        <v>5641</v>
      </c>
    </row>
    <row r="6124" spans="1:3">
      <c r="A6124" s="177">
        <v>954200024</v>
      </c>
      <c r="B6124" s="116" t="str">
        <f t="shared" si="95"/>
        <v>95-954200024</v>
      </c>
      <c r="C6124" s="179" t="s">
        <v>5641</v>
      </c>
    </row>
    <row r="6125" spans="1:3">
      <c r="A6125" s="177">
        <v>954200029</v>
      </c>
      <c r="B6125" s="116" t="str">
        <f t="shared" si="95"/>
        <v>95-954200029</v>
      </c>
      <c r="C6125" s="179" t="s">
        <v>5641</v>
      </c>
    </row>
    <row r="6126" spans="1:3">
      <c r="A6126" s="177">
        <v>954200032</v>
      </c>
      <c r="B6126" s="116" t="str">
        <f t="shared" si="95"/>
        <v>95-954200032</v>
      </c>
      <c r="C6126" s="179" t="s">
        <v>5641</v>
      </c>
    </row>
    <row r="6127" spans="1:3">
      <c r="A6127" s="177">
        <v>954200042</v>
      </c>
      <c r="B6127" s="116" t="str">
        <f t="shared" si="95"/>
        <v>95-954200042</v>
      </c>
      <c r="C6127" s="179" t="s">
        <v>5649</v>
      </c>
    </row>
    <row r="6128" spans="1:3">
      <c r="A6128" s="177">
        <v>954200043</v>
      </c>
      <c r="B6128" s="116" t="str">
        <f t="shared" si="95"/>
        <v>95-954200043</v>
      </c>
      <c r="C6128" s="179" t="s">
        <v>5675</v>
      </c>
    </row>
    <row r="6129" spans="1:3">
      <c r="A6129" s="177">
        <v>954200008</v>
      </c>
      <c r="B6129" s="116" t="str">
        <f t="shared" si="95"/>
        <v>95-954200008</v>
      </c>
      <c r="C6129" s="179" t="s">
        <v>5639</v>
      </c>
    </row>
    <row r="6130" spans="1:3">
      <c r="A6130" s="177">
        <v>966000026</v>
      </c>
      <c r="B6130" s="116" t="str">
        <f t="shared" si="95"/>
        <v>96-966000026</v>
      </c>
      <c r="C6130" s="179" t="s">
        <v>7146</v>
      </c>
    </row>
    <row r="6131" spans="1:3">
      <c r="A6131" s="177">
        <v>966000002</v>
      </c>
      <c r="B6131" s="116" t="str">
        <f t="shared" si="95"/>
        <v>96-966000002</v>
      </c>
      <c r="C6131" s="179" t="s">
        <v>8537</v>
      </c>
    </row>
    <row r="6132" spans="1:3">
      <c r="A6132" s="177">
        <v>959000002</v>
      </c>
      <c r="B6132" s="116" t="str">
        <f t="shared" si="95"/>
        <v>95-959000002</v>
      </c>
      <c r="C6132" s="179" t="s">
        <v>5625</v>
      </c>
    </row>
    <row r="6133" spans="1:3">
      <c r="A6133" s="177">
        <v>959000003</v>
      </c>
      <c r="B6133" s="116" t="str">
        <f t="shared" si="95"/>
        <v>95-959000003</v>
      </c>
      <c r="C6133" s="179" t="s">
        <v>5672</v>
      </c>
    </row>
    <row r="6134" spans="1:3">
      <c r="A6134" s="177">
        <v>951700059</v>
      </c>
      <c r="B6134" s="116" t="str">
        <f t="shared" si="95"/>
        <v>95-951700059</v>
      </c>
      <c r="C6134" s="179" t="s">
        <v>7566</v>
      </c>
    </row>
    <row r="6135" spans="1:3">
      <c r="A6135" s="177">
        <v>951900056</v>
      </c>
      <c r="B6135" s="116" t="str">
        <f t="shared" si="95"/>
        <v>95-951900056</v>
      </c>
      <c r="C6135" s="179" t="s">
        <v>8090</v>
      </c>
    </row>
    <row r="6136" spans="1:3">
      <c r="A6136" s="177">
        <v>951700315</v>
      </c>
      <c r="B6136" s="116" t="str">
        <f t="shared" si="95"/>
        <v>95-951700315</v>
      </c>
      <c r="C6136" s="179" t="s">
        <v>7161</v>
      </c>
    </row>
    <row r="6137" spans="1:3">
      <c r="A6137" s="177">
        <v>951700318</v>
      </c>
      <c r="B6137" s="116" t="str">
        <f t="shared" si="95"/>
        <v>95-951700318</v>
      </c>
      <c r="C6137" s="179" t="s">
        <v>7481</v>
      </c>
    </row>
    <row r="6138" spans="1:3">
      <c r="A6138" s="177">
        <v>951700320</v>
      </c>
      <c r="B6138" s="116" t="str">
        <f t="shared" si="95"/>
        <v>95-951700320</v>
      </c>
      <c r="C6138" s="179" t="s">
        <v>7481</v>
      </c>
    </row>
    <row r="6139" spans="1:3">
      <c r="A6139" s="177">
        <v>951700321</v>
      </c>
      <c r="B6139" s="116" t="str">
        <f t="shared" si="95"/>
        <v>95-951700321</v>
      </c>
      <c r="C6139" s="179" t="s">
        <v>7481</v>
      </c>
    </row>
    <row r="6140" spans="1:3">
      <c r="A6140" s="177">
        <v>951700340</v>
      </c>
      <c r="B6140" s="116" t="str">
        <f t="shared" si="95"/>
        <v>95-951700340</v>
      </c>
      <c r="C6140" s="179" t="s">
        <v>8538</v>
      </c>
    </row>
    <row r="6141" spans="1:3">
      <c r="A6141" s="177">
        <v>961700065</v>
      </c>
      <c r="B6141" s="116" t="str">
        <f t="shared" si="95"/>
        <v>96-961700065</v>
      </c>
      <c r="C6141" s="179" t="s">
        <v>7147</v>
      </c>
    </row>
    <row r="6142" spans="1:3">
      <c r="A6142" s="177">
        <v>961700066</v>
      </c>
      <c r="B6142" s="116" t="str">
        <f t="shared" si="95"/>
        <v>96-961700066</v>
      </c>
      <c r="C6142" s="179" t="s">
        <v>7147</v>
      </c>
    </row>
    <row r="6143" spans="1:3">
      <c r="A6143" s="177">
        <v>951600063</v>
      </c>
      <c r="B6143" s="116" t="str">
        <f t="shared" si="95"/>
        <v>95-951600063</v>
      </c>
      <c r="C6143" s="179" t="s">
        <v>7482</v>
      </c>
    </row>
    <row r="6144" spans="1:3">
      <c r="A6144" s="177">
        <v>951900054</v>
      </c>
      <c r="B6144" s="116" t="str">
        <f t="shared" si="95"/>
        <v>95-951900054</v>
      </c>
      <c r="C6144" s="179" t="s">
        <v>8539</v>
      </c>
    </row>
    <row r="6145" spans="1:3">
      <c r="A6145" s="177">
        <v>951900205</v>
      </c>
      <c r="B6145" s="116" t="str">
        <f t="shared" si="95"/>
        <v>95-951900205</v>
      </c>
      <c r="C6145" s="179" t="s">
        <v>8540</v>
      </c>
    </row>
    <row r="6146" spans="1:3">
      <c r="A6146" s="177">
        <v>951700352</v>
      </c>
      <c r="B6146" s="116" t="str">
        <f t="shared" si="95"/>
        <v>95-951700352</v>
      </c>
      <c r="C6146" s="179" t="s">
        <v>7486</v>
      </c>
    </row>
    <row r="6147" spans="1:3">
      <c r="A6147" s="177">
        <v>961900084</v>
      </c>
      <c r="B6147" s="116" t="str">
        <f t="shared" ref="B6147:B6210" si="96">MID(A6147,1,2)&amp;"-"&amp;A6147</f>
        <v>96-961900084</v>
      </c>
      <c r="C6147" s="179" t="s">
        <v>8147</v>
      </c>
    </row>
    <row r="6148" spans="1:3">
      <c r="A6148" s="177">
        <v>951400106</v>
      </c>
      <c r="B6148" s="116" t="str">
        <f t="shared" si="96"/>
        <v>95-951400106</v>
      </c>
      <c r="C6148" s="179" t="s">
        <v>8541</v>
      </c>
    </row>
    <row r="6149" spans="1:3">
      <c r="A6149" s="177">
        <v>951700317</v>
      </c>
      <c r="B6149" s="116" t="str">
        <f t="shared" si="96"/>
        <v>95-951700317</v>
      </c>
      <c r="C6149" s="179" t="s">
        <v>7127</v>
      </c>
    </row>
    <row r="6150" spans="1:3">
      <c r="A6150" s="177">
        <v>951600016</v>
      </c>
      <c r="B6150" s="116" t="str">
        <f t="shared" si="96"/>
        <v>95-951600016</v>
      </c>
      <c r="C6150" s="179" t="s">
        <v>8542</v>
      </c>
    </row>
    <row r="6151" spans="1:3">
      <c r="A6151" s="177">
        <v>951800121</v>
      </c>
      <c r="B6151" s="116" t="str">
        <f t="shared" si="96"/>
        <v>95-951800121</v>
      </c>
      <c r="C6151" s="179" t="s">
        <v>7197</v>
      </c>
    </row>
    <row r="6152" spans="1:3">
      <c r="A6152" s="177">
        <v>951800126</v>
      </c>
      <c r="B6152" s="116" t="str">
        <f t="shared" si="96"/>
        <v>95-951800126</v>
      </c>
      <c r="C6152" s="179" t="s">
        <v>7132</v>
      </c>
    </row>
    <row r="6153" spans="1:3">
      <c r="A6153" s="177">
        <v>951400103</v>
      </c>
      <c r="B6153" s="116" t="str">
        <f t="shared" si="96"/>
        <v>95-951400103</v>
      </c>
      <c r="C6153" s="179" t="s">
        <v>8543</v>
      </c>
    </row>
    <row r="6154" spans="1:3">
      <c r="A6154" s="177">
        <v>961900088</v>
      </c>
      <c r="B6154" s="116" t="str">
        <f t="shared" si="96"/>
        <v>96-961900088</v>
      </c>
      <c r="C6154" s="179" t="s">
        <v>8544</v>
      </c>
    </row>
    <row r="6155" spans="1:3">
      <c r="A6155" s="177">
        <v>956100010</v>
      </c>
      <c r="B6155" s="116" t="str">
        <f t="shared" si="96"/>
        <v>95-956100010</v>
      </c>
      <c r="C6155" s="179" t="s">
        <v>8114</v>
      </c>
    </row>
    <row r="6156" spans="1:3">
      <c r="A6156" s="177">
        <v>961900043</v>
      </c>
      <c r="B6156" s="116" t="str">
        <f t="shared" si="96"/>
        <v>96-961900043</v>
      </c>
      <c r="C6156" s="179" t="s">
        <v>8298</v>
      </c>
    </row>
    <row r="6157" spans="1:3">
      <c r="A6157" s="177">
        <v>951900098</v>
      </c>
      <c r="B6157" s="116" t="str">
        <f t="shared" si="96"/>
        <v>95-951900098</v>
      </c>
      <c r="C6157" s="179" t="s">
        <v>8545</v>
      </c>
    </row>
    <row r="6158" spans="1:3">
      <c r="A6158" s="177">
        <v>951700310</v>
      </c>
      <c r="B6158" s="116" t="str">
        <f t="shared" si="96"/>
        <v>95-951700310</v>
      </c>
      <c r="C6158" s="179" t="s">
        <v>7177</v>
      </c>
    </row>
    <row r="6159" spans="1:3">
      <c r="A6159" s="177">
        <v>961400011</v>
      </c>
      <c r="B6159" s="116" t="str">
        <f t="shared" si="96"/>
        <v>96-961400011</v>
      </c>
      <c r="C6159" s="179" t="s">
        <v>8116</v>
      </c>
    </row>
    <row r="6160" spans="1:3">
      <c r="A6160" s="177">
        <v>961700052</v>
      </c>
      <c r="B6160" s="116" t="str">
        <f t="shared" si="96"/>
        <v>96-961700052</v>
      </c>
      <c r="C6160" s="179" t="s">
        <v>7698</v>
      </c>
    </row>
    <row r="6161" spans="1:3">
      <c r="A6161" s="177">
        <v>961700083</v>
      </c>
      <c r="B6161" s="116" t="str">
        <f t="shared" si="96"/>
        <v>96-961700083</v>
      </c>
      <c r="C6161" s="179" t="s">
        <v>7178</v>
      </c>
    </row>
    <row r="6162" spans="1:3">
      <c r="A6162" s="177">
        <v>951900244</v>
      </c>
      <c r="B6162" s="116" t="str">
        <f t="shared" si="96"/>
        <v>95-951900244</v>
      </c>
      <c r="C6162" s="179" t="s">
        <v>7149</v>
      </c>
    </row>
    <row r="6163" spans="1:3">
      <c r="A6163" s="177">
        <v>961600013</v>
      </c>
      <c r="B6163" s="116" t="str">
        <f t="shared" si="96"/>
        <v>96-961600013</v>
      </c>
      <c r="C6163" s="179" t="s">
        <v>7699</v>
      </c>
    </row>
    <row r="6164" spans="1:3">
      <c r="A6164" s="177">
        <v>951900011</v>
      </c>
      <c r="B6164" s="116" t="str">
        <f t="shared" si="96"/>
        <v>95-951900011</v>
      </c>
      <c r="C6164" s="179" t="s">
        <v>7620</v>
      </c>
    </row>
    <row r="6165" spans="1:3">
      <c r="A6165" s="177">
        <v>951700007</v>
      </c>
      <c r="B6165" s="116" t="str">
        <f t="shared" si="96"/>
        <v>95-951700007</v>
      </c>
      <c r="C6165" s="179" t="s">
        <v>7620</v>
      </c>
    </row>
    <row r="6166" spans="1:3">
      <c r="A6166" s="177">
        <v>951400033</v>
      </c>
      <c r="B6166" s="116" t="str">
        <f t="shared" si="96"/>
        <v>95-951400033</v>
      </c>
      <c r="C6166" s="179" t="s">
        <v>7508</v>
      </c>
    </row>
    <row r="6167" spans="1:3">
      <c r="A6167" s="177">
        <v>951900035</v>
      </c>
      <c r="B6167" s="116" t="str">
        <f t="shared" si="96"/>
        <v>95-951900035</v>
      </c>
      <c r="C6167" s="179" t="s">
        <v>8548</v>
      </c>
    </row>
    <row r="6168" spans="1:3">
      <c r="A6168" s="177">
        <v>951700086</v>
      </c>
      <c r="B6168" s="116" t="str">
        <f t="shared" si="96"/>
        <v>95-951700086</v>
      </c>
      <c r="C6168" s="179" t="s">
        <v>8549</v>
      </c>
    </row>
    <row r="6169" spans="1:3">
      <c r="A6169" s="177">
        <v>951700234</v>
      </c>
      <c r="B6169" s="116" t="str">
        <f t="shared" si="96"/>
        <v>95-951700234</v>
      </c>
      <c r="C6169" s="179" t="s">
        <v>7703</v>
      </c>
    </row>
    <row r="6170" spans="1:3">
      <c r="A6170" s="177">
        <v>951700261</v>
      </c>
      <c r="B6170" s="116" t="str">
        <f t="shared" si="96"/>
        <v>95-951700261</v>
      </c>
      <c r="C6170" s="179" t="s">
        <v>7703</v>
      </c>
    </row>
    <row r="6171" spans="1:3">
      <c r="A6171" s="177">
        <v>951400133</v>
      </c>
      <c r="B6171" s="116" t="str">
        <f t="shared" si="96"/>
        <v>95-951400133</v>
      </c>
      <c r="C6171" s="179" t="s">
        <v>7150</v>
      </c>
    </row>
    <row r="6172" spans="1:3">
      <c r="A6172" s="177">
        <v>951400141</v>
      </c>
      <c r="B6172" s="116" t="str">
        <f t="shared" si="96"/>
        <v>95-951400141</v>
      </c>
      <c r="C6172" s="179" t="s">
        <v>7162</v>
      </c>
    </row>
    <row r="6173" spans="1:3">
      <c r="A6173" s="177">
        <v>951700360</v>
      </c>
      <c r="B6173" s="116" t="str">
        <f t="shared" si="96"/>
        <v>95-951700360</v>
      </c>
      <c r="C6173" s="179" t="s">
        <v>7514</v>
      </c>
    </row>
    <row r="6174" spans="1:3">
      <c r="A6174" s="177">
        <v>951400184</v>
      </c>
      <c r="B6174" s="116" t="str">
        <f t="shared" si="96"/>
        <v>95-951400184</v>
      </c>
      <c r="C6174" s="179" t="s">
        <v>7514</v>
      </c>
    </row>
    <row r="6175" spans="1:3">
      <c r="A6175" s="177">
        <v>961700093</v>
      </c>
      <c r="B6175" s="116" t="str">
        <f t="shared" si="96"/>
        <v>96-961700093</v>
      </c>
      <c r="C6175" s="179" t="s">
        <v>8130</v>
      </c>
    </row>
    <row r="6176" spans="1:3">
      <c r="A6176" s="177">
        <v>961700129</v>
      </c>
      <c r="B6176" s="116" t="str">
        <f t="shared" si="96"/>
        <v>96-961700129</v>
      </c>
      <c r="C6176" s="179" t="s">
        <v>7163</v>
      </c>
    </row>
    <row r="6177" spans="1:3">
      <c r="A6177" s="177">
        <v>961700128</v>
      </c>
      <c r="B6177" s="116" t="str">
        <f t="shared" si="96"/>
        <v>96-961700128</v>
      </c>
      <c r="C6177" s="179" t="s">
        <v>7163</v>
      </c>
    </row>
    <row r="6178" spans="1:3">
      <c r="A6178" s="177">
        <v>951900009</v>
      </c>
      <c r="B6178" s="116" t="str">
        <f t="shared" si="96"/>
        <v>95-951900009</v>
      </c>
      <c r="C6178" s="179" t="s">
        <v>8139</v>
      </c>
    </row>
    <row r="6179" spans="1:3">
      <c r="A6179" s="177">
        <v>951700017</v>
      </c>
      <c r="B6179" s="116" t="str">
        <f t="shared" si="96"/>
        <v>95-951700017</v>
      </c>
      <c r="C6179" s="179" t="s">
        <v>7517</v>
      </c>
    </row>
    <row r="6180" spans="1:3">
      <c r="A6180" s="177">
        <v>951700021</v>
      </c>
      <c r="B6180" s="116" t="str">
        <f t="shared" si="96"/>
        <v>95-951700021</v>
      </c>
      <c r="C6180" s="179" t="s">
        <v>8550</v>
      </c>
    </row>
    <row r="6181" spans="1:3">
      <c r="A6181" s="177">
        <v>951700070</v>
      </c>
      <c r="B6181" s="116" t="str">
        <f t="shared" si="96"/>
        <v>95-951700070</v>
      </c>
      <c r="C6181" s="179" t="s">
        <v>7518</v>
      </c>
    </row>
    <row r="6182" spans="1:3">
      <c r="A6182" s="177">
        <v>951700076</v>
      </c>
      <c r="B6182" s="116" t="str">
        <f t="shared" si="96"/>
        <v>95-951700076</v>
      </c>
      <c r="C6182" s="179" t="s">
        <v>7724</v>
      </c>
    </row>
    <row r="6183" spans="1:3">
      <c r="A6183" s="177">
        <v>951700177</v>
      </c>
      <c r="B6183" s="116" t="str">
        <f t="shared" si="96"/>
        <v>95-951700177</v>
      </c>
      <c r="C6183" s="179" t="s">
        <v>7528</v>
      </c>
    </row>
    <row r="6184" spans="1:3">
      <c r="A6184" s="177">
        <v>951700185</v>
      </c>
      <c r="B6184" s="116" t="str">
        <f t="shared" si="96"/>
        <v>95-951700185</v>
      </c>
      <c r="C6184" s="179" t="s">
        <v>7528</v>
      </c>
    </row>
    <row r="6185" spans="1:3">
      <c r="A6185" s="177">
        <v>951700189</v>
      </c>
      <c r="B6185" s="116" t="str">
        <f t="shared" si="96"/>
        <v>95-951700189</v>
      </c>
      <c r="C6185" s="179" t="s">
        <v>7528</v>
      </c>
    </row>
    <row r="6186" spans="1:3">
      <c r="A6186" s="177">
        <v>951700288</v>
      </c>
      <c r="B6186" s="116" t="str">
        <f t="shared" si="96"/>
        <v>95-951700288</v>
      </c>
      <c r="C6186" s="179" t="s">
        <v>7153</v>
      </c>
    </row>
    <row r="6187" spans="1:3">
      <c r="A6187" s="177">
        <v>951800048</v>
      </c>
      <c r="B6187" s="116" t="str">
        <f t="shared" si="96"/>
        <v>95-951800048</v>
      </c>
      <c r="C6187" s="179" t="s">
        <v>8551</v>
      </c>
    </row>
    <row r="6188" spans="1:3">
      <c r="A6188" s="177">
        <v>961800023</v>
      </c>
      <c r="B6188" s="116" t="str">
        <f t="shared" si="96"/>
        <v>96-961800023</v>
      </c>
      <c r="C6188" s="179" t="s">
        <v>8552</v>
      </c>
    </row>
    <row r="6189" spans="1:3">
      <c r="A6189" s="177">
        <v>951600069</v>
      </c>
      <c r="B6189" s="116" t="str">
        <f t="shared" si="96"/>
        <v>95-951600069</v>
      </c>
      <c r="C6189" s="179" t="s">
        <v>8553</v>
      </c>
    </row>
    <row r="6190" spans="1:3">
      <c r="A6190" s="177">
        <v>956100022</v>
      </c>
      <c r="B6190" s="116" t="str">
        <f t="shared" si="96"/>
        <v>95-956100022</v>
      </c>
      <c r="C6190" s="179" t="s">
        <v>7737</v>
      </c>
    </row>
    <row r="6191" spans="1:3">
      <c r="A6191" s="177">
        <v>961800034</v>
      </c>
      <c r="B6191" s="116" t="str">
        <f t="shared" si="96"/>
        <v>96-961800034</v>
      </c>
      <c r="C6191" s="179" t="s">
        <v>8554</v>
      </c>
    </row>
    <row r="6192" spans="1:3">
      <c r="A6192" s="177">
        <v>961900143</v>
      </c>
      <c r="B6192" s="116" t="str">
        <f t="shared" si="96"/>
        <v>96-961900143</v>
      </c>
      <c r="C6192" s="179" t="s">
        <v>8152</v>
      </c>
    </row>
    <row r="6193" spans="1:3">
      <c r="A6193" s="177">
        <v>951700205</v>
      </c>
      <c r="B6193" s="116" t="str">
        <f t="shared" si="96"/>
        <v>95-951700205</v>
      </c>
      <c r="C6193" s="179" t="s">
        <v>8555</v>
      </c>
    </row>
    <row r="6194" spans="1:3">
      <c r="A6194" s="177">
        <v>951700354</v>
      </c>
      <c r="B6194" s="116" t="str">
        <f t="shared" si="96"/>
        <v>95-951700354</v>
      </c>
      <c r="C6194" s="179" t="s">
        <v>8154</v>
      </c>
    </row>
    <row r="6195" spans="1:3">
      <c r="A6195" s="177">
        <v>961600009</v>
      </c>
      <c r="B6195" s="116" t="str">
        <f t="shared" si="96"/>
        <v>96-961600009</v>
      </c>
      <c r="C6195" s="179" t="s">
        <v>8556</v>
      </c>
    </row>
    <row r="6196" spans="1:3">
      <c r="A6196" s="177">
        <v>951900023</v>
      </c>
      <c r="B6196" s="116" t="str">
        <f t="shared" si="96"/>
        <v>95-951900023</v>
      </c>
      <c r="C6196" s="179" t="s">
        <v>8557</v>
      </c>
    </row>
    <row r="6197" spans="1:3">
      <c r="A6197" s="177">
        <v>961800018</v>
      </c>
      <c r="B6197" s="116" t="str">
        <f t="shared" si="96"/>
        <v>96-961800018</v>
      </c>
      <c r="C6197" s="179" t="s">
        <v>8558</v>
      </c>
    </row>
    <row r="6198" spans="1:3">
      <c r="A6198" s="177">
        <v>961900093</v>
      </c>
      <c r="B6198" s="116" t="str">
        <f t="shared" si="96"/>
        <v>96-961900093</v>
      </c>
      <c r="C6198" s="179" t="s">
        <v>8164</v>
      </c>
    </row>
    <row r="6199" spans="1:3">
      <c r="A6199" s="177">
        <v>951100161</v>
      </c>
      <c r="B6199" s="116" t="str">
        <f t="shared" si="96"/>
        <v>95-951100161</v>
      </c>
      <c r="C6199" s="179" t="s">
        <v>8559</v>
      </c>
    </row>
    <row r="6200" spans="1:3">
      <c r="A6200" s="177">
        <v>951800107</v>
      </c>
      <c r="B6200" s="116" t="str">
        <f t="shared" si="96"/>
        <v>95-951800107</v>
      </c>
      <c r="C6200" s="179" t="s">
        <v>7672</v>
      </c>
    </row>
    <row r="6201" spans="1:3">
      <c r="A6201" s="177">
        <v>951800148</v>
      </c>
      <c r="B6201" s="116" t="str">
        <f t="shared" si="96"/>
        <v>95-951800148</v>
      </c>
      <c r="C6201" s="179" t="s">
        <v>8560</v>
      </c>
    </row>
    <row r="6202" spans="1:3">
      <c r="A6202" s="177">
        <v>961900139</v>
      </c>
      <c r="B6202" s="116" t="str">
        <f t="shared" si="96"/>
        <v>96-961900139</v>
      </c>
      <c r="C6202" s="179" t="s">
        <v>7632</v>
      </c>
    </row>
    <row r="6203" spans="1:3">
      <c r="A6203" s="177">
        <v>951700269</v>
      </c>
      <c r="B6203" s="116" t="str">
        <f t="shared" si="96"/>
        <v>95-951700269</v>
      </c>
      <c r="C6203" s="179" t="s">
        <v>7549</v>
      </c>
    </row>
    <row r="6204" spans="1:3">
      <c r="A6204" s="177">
        <v>951700274</v>
      </c>
      <c r="B6204" s="116" t="str">
        <f t="shared" si="96"/>
        <v>95-951700274</v>
      </c>
      <c r="C6204" s="179" t="s">
        <v>7674</v>
      </c>
    </row>
    <row r="6205" spans="1:3">
      <c r="A6205" s="177">
        <v>951100148</v>
      </c>
      <c r="B6205" s="116" t="str">
        <f t="shared" si="96"/>
        <v>95-951100148</v>
      </c>
      <c r="C6205" s="179" t="s">
        <v>8561</v>
      </c>
    </row>
    <row r="6206" spans="1:3">
      <c r="A6206" s="177">
        <v>951600032</v>
      </c>
      <c r="B6206" s="116" t="str">
        <f t="shared" si="96"/>
        <v>95-951600032</v>
      </c>
      <c r="C6206" s="179" t="s">
        <v>8562</v>
      </c>
    </row>
    <row r="6207" spans="1:3">
      <c r="A6207" s="177">
        <v>961900149</v>
      </c>
      <c r="B6207" s="116" t="str">
        <f t="shared" si="96"/>
        <v>96-961900149</v>
      </c>
      <c r="C6207" s="179" t="s">
        <v>8563</v>
      </c>
    </row>
    <row r="6208" spans="1:3">
      <c r="A6208" s="177">
        <v>961800067</v>
      </c>
      <c r="B6208" s="116" t="str">
        <f t="shared" si="96"/>
        <v>96-961800067</v>
      </c>
      <c r="C6208" s="179" t="s">
        <v>8715</v>
      </c>
    </row>
    <row r="6209" spans="1:3">
      <c r="A6209" s="177">
        <v>951900253</v>
      </c>
      <c r="B6209" s="116" t="str">
        <f t="shared" si="96"/>
        <v>95-951900253</v>
      </c>
      <c r="C6209" s="179" t="s">
        <v>8188</v>
      </c>
    </row>
    <row r="6210" spans="1:3">
      <c r="A6210" s="177">
        <v>951600059</v>
      </c>
      <c r="B6210" s="116" t="str">
        <f t="shared" si="96"/>
        <v>95-951600059</v>
      </c>
      <c r="C6210" s="179" t="s">
        <v>8375</v>
      </c>
    </row>
    <row r="6211" spans="1:3">
      <c r="A6211" s="177">
        <v>951600084</v>
      </c>
      <c r="B6211" s="116" t="str">
        <f t="shared" ref="B6211:B6274" si="97">MID(A6211,1,2)&amp;"-"&amp;A6211</f>
        <v>95-951600084</v>
      </c>
      <c r="C6211" s="179" t="s">
        <v>8564</v>
      </c>
    </row>
    <row r="6212" spans="1:3">
      <c r="A6212" s="177">
        <v>951900133</v>
      </c>
      <c r="B6212" s="116" t="str">
        <f t="shared" si="97"/>
        <v>95-951900133</v>
      </c>
      <c r="C6212" s="179" t="s">
        <v>7722</v>
      </c>
    </row>
    <row r="6213" spans="1:3">
      <c r="A6213" s="177">
        <v>951900184</v>
      </c>
      <c r="B6213" s="116" t="str">
        <f t="shared" si="97"/>
        <v>95-951900184</v>
      </c>
      <c r="C6213" s="179" t="s">
        <v>8189</v>
      </c>
    </row>
    <row r="6214" spans="1:3">
      <c r="A6214" s="177">
        <v>951100089</v>
      </c>
      <c r="B6214" s="116" t="str">
        <f t="shared" si="97"/>
        <v>95-951100089</v>
      </c>
      <c r="C6214" s="179" t="s">
        <v>8565</v>
      </c>
    </row>
    <row r="6215" spans="1:3">
      <c r="A6215" s="177">
        <v>961900009</v>
      </c>
      <c r="B6215" s="116" t="str">
        <f t="shared" si="97"/>
        <v>96-961900009</v>
      </c>
      <c r="C6215" s="179" t="s">
        <v>7598</v>
      </c>
    </row>
    <row r="6216" spans="1:3">
      <c r="A6216" s="177">
        <v>951700171</v>
      </c>
      <c r="B6216" s="116" t="str">
        <f t="shared" si="97"/>
        <v>95-951700171</v>
      </c>
      <c r="C6216" s="179" t="s">
        <v>7725</v>
      </c>
    </row>
    <row r="6217" spans="1:3">
      <c r="A6217" s="177">
        <v>961100088</v>
      </c>
      <c r="B6217" s="116" t="str">
        <f t="shared" si="97"/>
        <v>96-961100088</v>
      </c>
      <c r="C6217" s="179" t="s">
        <v>12311</v>
      </c>
    </row>
    <row r="6218" spans="1:3">
      <c r="A6218" s="177">
        <v>951800111</v>
      </c>
      <c r="B6218" s="116" t="str">
        <f t="shared" si="97"/>
        <v>95-951800111</v>
      </c>
      <c r="C6218" s="179" t="s">
        <v>7728</v>
      </c>
    </row>
    <row r="6219" spans="1:3">
      <c r="A6219" s="177">
        <v>951800006</v>
      </c>
      <c r="B6219" s="116" t="str">
        <f t="shared" si="97"/>
        <v>95-951800006</v>
      </c>
      <c r="C6219" s="179" t="s">
        <v>8566</v>
      </c>
    </row>
    <row r="6220" spans="1:3">
      <c r="A6220" s="177">
        <v>951400049</v>
      </c>
      <c r="B6220" s="116" t="str">
        <f t="shared" si="97"/>
        <v>95-951400049</v>
      </c>
      <c r="C6220" s="179" t="s">
        <v>8568</v>
      </c>
    </row>
    <row r="6221" spans="1:3">
      <c r="A6221" s="177">
        <v>961600007</v>
      </c>
      <c r="B6221" s="116" t="str">
        <f t="shared" si="97"/>
        <v>96-961600007</v>
      </c>
      <c r="C6221" s="179" t="s">
        <v>8569</v>
      </c>
    </row>
    <row r="6222" spans="1:3">
      <c r="A6222" s="177">
        <v>951400020</v>
      </c>
      <c r="B6222" s="116" t="str">
        <f t="shared" si="97"/>
        <v>95-951400020</v>
      </c>
      <c r="C6222" s="179" t="s">
        <v>8570</v>
      </c>
    </row>
    <row r="6223" spans="1:3">
      <c r="A6223" s="177">
        <v>951400053</v>
      </c>
      <c r="B6223" s="116" t="str">
        <f t="shared" si="97"/>
        <v>95-951400053</v>
      </c>
      <c r="C6223" s="179" t="s">
        <v>8571</v>
      </c>
    </row>
    <row r="6224" spans="1:3">
      <c r="A6224" s="177">
        <v>951400087</v>
      </c>
      <c r="B6224" s="116" t="str">
        <f t="shared" si="97"/>
        <v>95-951400087</v>
      </c>
      <c r="C6224" s="179" t="s">
        <v>8571</v>
      </c>
    </row>
    <row r="6225" spans="1:3">
      <c r="A6225" s="177">
        <v>951700313</v>
      </c>
      <c r="B6225" s="116" t="str">
        <f t="shared" si="97"/>
        <v>95-951700313</v>
      </c>
      <c r="C6225" s="179" t="s">
        <v>7750</v>
      </c>
    </row>
    <row r="6226" spans="1:3">
      <c r="A6226" s="177">
        <v>951900108</v>
      </c>
      <c r="B6226" s="116" t="str">
        <f t="shared" si="97"/>
        <v>95-951900108</v>
      </c>
      <c r="C6226" s="179" t="s">
        <v>8572</v>
      </c>
    </row>
    <row r="6227" spans="1:3">
      <c r="A6227" s="177">
        <v>951900166</v>
      </c>
      <c r="B6227" s="116" t="str">
        <f t="shared" si="97"/>
        <v>95-951900166</v>
      </c>
      <c r="C6227" s="179" t="s">
        <v>7837</v>
      </c>
    </row>
    <row r="6228" spans="1:3">
      <c r="A6228" s="177">
        <v>951900206</v>
      </c>
      <c r="B6228" s="116" t="str">
        <f t="shared" si="97"/>
        <v>95-951900206</v>
      </c>
      <c r="C6228" s="179" t="s">
        <v>8573</v>
      </c>
    </row>
    <row r="6229" spans="1:3">
      <c r="A6229" s="177">
        <v>951900112</v>
      </c>
      <c r="B6229" s="116" t="str">
        <f t="shared" si="97"/>
        <v>95-951900112</v>
      </c>
      <c r="C6229" s="179" t="s">
        <v>7192</v>
      </c>
    </row>
    <row r="6230" spans="1:3">
      <c r="A6230" s="177">
        <v>951900241</v>
      </c>
      <c r="B6230" s="116" t="str">
        <f t="shared" si="97"/>
        <v>95-951900241</v>
      </c>
      <c r="C6230" s="179" t="s">
        <v>7839</v>
      </c>
    </row>
    <row r="6231" spans="1:3">
      <c r="A6231" s="177">
        <v>951900155</v>
      </c>
      <c r="B6231" s="116" t="str">
        <f t="shared" si="97"/>
        <v>95-951900155</v>
      </c>
      <c r="C6231" s="179" t="s">
        <v>8408</v>
      </c>
    </row>
    <row r="6232" spans="1:3">
      <c r="A6232" s="177">
        <v>951700073</v>
      </c>
      <c r="B6232" s="116" t="str">
        <f t="shared" si="97"/>
        <v>95-951700073</v>
      </c>
      <c r="C6232" s="179" t="s">
        <v>8297</v>
      </c>
    </row>
    <row r="6233" spans="1:3">
      <c r="A6233" s="177">
        <v>951700133</v>
      </c>
      <c r="B6233" s="116" t="str">
        <f t="shared" si="97"/>
        <v>95-951700133</v>
      </c>
      <c r="C6233" s="179" t="s">
        <v>7766</v>
      </c>
    </row>
    <row r="6234" spans="1:3">
      <c r="A6234" s="177">
        <v>951900050</v>
      </c>
      <c r="B6234" s="116" t="str">
        <f t="shared" si="97"/>
        <v>95-951900050</v>
      </c>
      <c r="C6234" s="179" t="s">
        <v>7858</v>
      </c>
    </row>
    <row r="6235" spans="1:3">
      <c r="A6235" s="177">
        <v>951900101</v>
      </c>
      <c r="B6235" s="116" t="str">
        <f t="shared" si="97"/>
        <v>95-951900101</v>
      </c>
      <c r="C6235" s="179" t="s">
        <v>7582</v>
      </c>
    </row>
    <row r="6236" spans="1:3">
      <c r="A6236" s="177">
        <v>961900156</v>
      </c>
      <c r="B6236" s="116" t="str">
        <f t="shared" si="97"/>
        <v>96-961900156</v>
      </c>
      <c r="C6236" s="179" t="s">
        <v>8410</v>
      </c>
    </row>
    <row r="6237" spans="1:3">
      <c r="A6237" s="177">
        <v>951700150</v>
      </c>
      <c r="B6237" s="116" t="str">
        <f t="shared" si="97"/>
        <v>95-951700150</v>
      </c>
      <c r="C6237" s="179" t="s">
        <v>7192</v>
      </c>
    </row>
    <row r="6238" spans="1:3">
      <c r="A6238" s="177">
        <v>951800055</v>
      </c>
      <c r="B6238" s="116" t="str">
        <f t="shared" si="97"/>
        <v>95-951800055</v>
      </c>
      <c r="C6238" s="179" t="s">
        <v>7609</v>
      </c>
    </row>
    <row r="6239" spans="1:3">
      <c r="A6239" s="177">
        <v>951600070</v>
      </c>
      <c r="B6239" s="116" t="str">
        <f t="shared" si="97"/>
        <v>95-951600070</v>
      </c>
      <c r="C6239" s="179" t="s">
        <v>7806</v>
      </c>
    </row>
    <row r="6240" spans="1:3">
      <c r="A6240" s="177">
        <v>951800136</v>
      </c>
      <c r="B6240" s="116" t="str">
        <f t="shared" si="97"/>
        <v>95-951800136</v>
      </c>
      <c r="C6240" s="179" t="s">
        <v>8574</v>
      </c>
    </row>
    <row r="6241" spans="1:3">
      <c r="A6241" s="177">
        <v>951900268</v>
      </c>
      <c r="B6241" s="116" t="str">
        <f t="shared" si="97"/>
        <v>95-951900268</v>
      </c>
      <c r="C6241" s="179" t="s">
        <v>7610</v>
      </c>
    </row>
    <row r="6242" spans="1:3">
      <c r="A6242" s="177">
        <v>951900279</v>
      </c>
      <c r="B6242" s="116" t="str">
        <f t="shared" si="97"/>
        <v>95-951900279</v>
      </c>
      <c r="C6242" s="179" t="s">
        <v>8575</v>
      </c>
    </row>
    <row r="6243" spans="1:3">
      <c r="A6243" s="177">
        <v>961900104</v>
      </c>
      <c r="B6243" s="116" t="str">
        <f t="shared" si="97"/>
        <v>96-961900104</v>
      </c>
      <c r="C6243" s="179" t="s">
        <v>7141</v>
      </c>
    </row>
    <row r="6244" spans="1:3">
      <c r="A6244" s="177">
        <v>961900160</v>
      </c>
      <c r="B6244" s="116" t="str">
        <f t="shared" si="97"/>
        <v>96-961900160</v>
      </c>
      <c r="C6244" s="179" t="s">
        <v>7212</v>
      </c>
    </row>
    <row r="6245" spans="1:3">
      <c r="A6245" s="177">
        <v>961900021</v>
      </c>
      <c r="B6245" s="116" t="str">
        <f t="shared" si="97"/>
        <v>96-961900021</v>
      </c>
      <c r="C6245" s="179" t="s">
        <v>7613</v>
      </c>
    </row>
    <row r="6246" spans="1:3">
      <c r="A6246" s="177">
        <v>961900023</v>
      </c>
      <c r="B6246" s="116" t="str">
        <f t="shared" si="97"/>
        <v>96-961900023</v>
      </c>
      <c r="C6246" s="179" t="s">
        <v>7786</v>
      </c>
    </row>
    <row r="6247" spans="1:3">
      <c r="A6247" s="177">
        <v>961900024</v>
      </c>
      <c r="B6247" s="116" t="str">
        <f t="shared" si="97"/>
        <v>96-961900024</v>
      </c>
      <c r="C6247" s="179" t="s">
        <v>7786</v>
      </c>
    </row>
    <row r="6248" spans="1:3">
      <c r="A6248" s="177">
        <v>961900025</v>
      </c>
      <c r="B6248" s="116" t="str">
        <f t="shared" si="97"/>
        <v>96-961900025</v>
      </c>
      <c r="C6248" s="179" t="s">
        <v>7786</v>
      </c>
    </row>
    <row r="6249" spans="1:3">
      <c r="A6249" s="177">
        <v>961900050</v>
      </c>
      <c r="B6249" s="116" t="str">
        <f t="shared" si="97"/>
        <v>96-961900050</v>
      </c>
      <c r="C6249" s="179" t="s">
        <v>7615</v>
      </c>
    </row>
    <row r="6250" spans="1:3">
      <c r="A6250" s="177">
        <v>961900101</v>
      </c>
      <c r="B6250" s="116" t="str">
        <f t="shared" si="97"/>
        <v>96-961900101</v>
      </c>
      <c r="C6250" s="179" t="s">
        <v>7787</v>
      </c>
    </row>
    <row r="6251" spans="1:3">
      <c r="A6251" s="177">
        <v>961900103</v>
      </c>
      <c r="B6251" s="116" t="str">
        <f t="shared" si="97"/>
        <v>96-961900103</v>
      </c>
      <c r="C6251" s="179" t="s">
        <v>7787</v>
      </c>
    </row>
    <row r="6252" spans="1:3">
      <c r="A6252" s="177">
        <v>961900180</v>
      </c>
      <c r="B6252" s="116" t="str">
        <f t="shared" si="97"/>
        <v>96-961900180</v>
      </c>
      <c r="C6252" s="179" t="s">
        <v>12290</v>
      </c>
    </row>
    <row r="6253" spans="1:3">
      <c r="A6253" s="177">
        <v>951800049</v>
      </c>
      <c r="B6253" s="116" t="str">
        <f t="shared" si="97"/>
        <v>95-951800049</v>
      </c>
      <c r="C6253" s="179" t="s">
        <v>8576</v>
      </c>
    </row>
    <row r="6254" spans="1:3">
      <c r="A6254" s="177">
        <v>961700074</v>
      </c>
      <c r="B6254" s="116" t="str">
        <f t="shared" si="97"/>
        <v>96-961700074</v>
      </c>
      <c r="C6254" s="179" t="s">
        <v>7159</v>
      </c>
    </row>
    <row r="6255" spans="1:3">
      <c r="A6255" s="177">
        <v>961700084</v>
      </c>
      <c r="B6255" s="116" t="str">
        <f t="shared" si="97"/>
        <v>96-961700084</v>
      </c>
      <c r="C6255" s="179" t="s">
        <v>8412</v>
      </c>
    </row>
    <row r="6256" spans="1:3">
      <c r="A6256" s="177">
        <v>956100006</v>
      </c>
      <c r="B6256" s="116" t="str">
        <f t="shared" si="97"/>
        <v>95-956100006</v>
      </c>
      <c r="C6256" s="179" t="s">
        <v>8577</v>
      </c>
    </row>
    <row r="6257" spans="1:3">
      <c r="A6257" s="177">
        <v>951800020</v>
      </c>
      <c r="B6257" s="116" t="str">
        <f t="shared" si="97"/>
        <v>95-951800020</v>
      </c>
      <c r="C6257" s="179" t="s">
        <v>8578</v>
      </c>
    </row>
    <row r="6258" spans="1:3">
      <c r="A6258" s="177">
        <v>951800101</v>
      </c>
      <c r="B6258" s="116" t="str">
        <f t="shared" si="97"/>
        <v>95-951800101</v>
      </c>
      <c r="C6258" s="179" t="s">
        <v>7626</v>
      </c>
    </row>
    <row r="6259" spans="1:3">
      <c r="A6259" s="177">
        <v>961800022</v>
      </c>
      <c r="B6259" s="116" t="str">
        <f t="shared" si="97"/>
        <v>96-961800022</v>
      </c>
      <c r="C6259" s="179" t="s">
        <v>8579</v>
      </c>
    </row>
    <row r="6260" spans="1:3">
      <c r="A6260" s="177">
        <v>951900224</v>
      </c>
      <c r="B6260" s="116" t="str">
        <f t="shared" si="97"/>
        <v>95-951900224</v>
      </c>
      <c r="C6260" s="179" t="s">
        <v>7630</v>
      </c>
    </row>
    <row r="6261" spans="1:3">
      <c r="A6261" s="177">
        <v>951900288</v>
      </c>
      <c r="B6261" s="116" t="str">
        <f t="shared" si="97"/>
        <v>95-951900288</v>
      </c>
      <c r="C6261" s="179" t="s">
        <v>7819</v>
      </c>
    </row>
    <row r="6262" spans="1:3">
      <c r="A6262" s="177">
        <v>951700350</v>
      </c>
      <c r="B6262" s="116" t="str">
        <f t="shared" si="97"/>
        <v>95-951700350</v>
      </c>
      <c r="C6262" s="179" t="s">
        <v>8229</v>
      </c>
    </row>
    <row r="6263" spans="1:3">
      <c r="A6263" s="177">
        <v>951700348</v>
      </c>
      <c r="B6263" s="116" t="str">
        <f t="shared" si="97"/>
        <v>95-951700348</v>
      </c>
      <c r="C6263" s="179" t="s">
        <v>7819</v>
      </c>
    </row>
    <row r="6264" spans="1:3">
      <c r="A6264" s="177">
        <v>961700027</v>
      </c>
      <c r="B6264" s="116" t="str">
        <f t="shared" si="97"/>
        <v>96-961700027</v>
      </c>
      <c r="C6264" s="179" t="s">
        <v>8253</v>
      </c>
    </row>
    <row r="6265" spans="1:3">
      <c r="A6265" s="177">
        <v>961700032</v>
      </c>
      <c r="B6265" s="116" t="str">
        <f t="shared" si="97"/>
        <v>96-961700032</v>
      </c>
      <c r="C6265" s="179" t="s">
        <v>8349</v>
      </c>
    </row>
    <row r="6266" spans="1:3">
      <c r="A6266" s="177">
        <v>966100009</v>
      </c>
      <c r="B6266" s="116" t="str">
        <f t="shared" si="97"/>
        <v>96-966100009</v>
      </c>
      <c r="C6266" s="179" t="s">
        <v>7644</v>
      </c>
    </row>
    <row r="6267" spans="1:3">
      <c r="A6267" s="177">
        <v>956100002</v>
      </c>
      <c r="B6267" s="116" t="str">
        <f t="shared" si="97"/>
        <v>95-956100002</v>
      </c>
      <c r="C6267" s="179" t="s">
        <v>8303</v>
      </c>
    </row>
    <row r="6268" spans="1:3">
      <c r="A6268" s="177">
        <v>951900122</v>
      </c>
      <c r="B6268" s="116" t="str">
        <f t="shared" si="97"/>
        <v>95-951900122</v>
      </c>
      <c r="C6268" s="179" t="s">
        <v>8581</v>
      </c>
    </row>
    <row r="6269" spans="1:3">
      <c r="A6269" s="177">
        <v>951900200</v>
      </c>
      <c r="B6269" s="116" t="str">
        <f t="shared" si="97"/>
        <v>95-951900200</v>
      </c>
      <c r="C6269" s="179" t="s">
        <v>8582</v>
      </c>
    </row>
    <row r="6270" spans="1:3">
      <c r="A6270" s="177">
        <v>951400057</v>
      </c>
      <c r="B6270" s="116" t="str">
        <f t="shared" si="97"/>
        <v>95-951400057</v>
      </c>
      <c r="C6270" s="179" t="s">
        <v>8583</v>
      </c>
    </row>
    <row r="6271" spans="1:3">
      <c r="A6271" s="177">
        <v>951700214</v>
      </c>
      <c r="B6271" s="116" t="str">
        <f t="shared" si="97"/>
        <v>95-951700214</v>
      </c>
      <c r="C6271" s="179" t="s">
        <v>8562</v>
      </c>
    </row>
    <row r="6272" spans="1:3">
      <c r="A6272" s="177">
        <v>951900131</v>
      </c>
      <c r="B6272" s="116" t="str">
        <f t="shared" si="97"/>
        <v>95-951900131</v>
      </c>
      <c r="C6272" s="179" t="s">
        <v>7722</v>
      </c>
    </row>
    <row r="6273" spans="1:3">
      <c r="A6273" s="177">
        <v>951800039</v>
      </c>
      <c r="B6273" s="116" t="str">
        <f t="shared" si="97"/>
        <v>95-951800039</v>
      </c>
      <c r="C6273" s="179" t="s">
        <v>8584</v>
      </c>
    </row>
    <row r="6274" spans="1:3">
      <c r="A6274" s="177">
        <v>966200198</v>
      </c>
      <c r="B6274" s="116" t="str">
        <f t="shared" si="97"/>
        <v>96-966200198</v>
      </c>
      <c r="C6274" s="179" t="s">
        <v>8585</v>
      </c>
    </row>
    <row r="6275" spans="1:3">
      <c r="A6275" s="177">
        <v>951900121</v>
      </c>
      <c r="B6275" s="116" t="str">
        <f t="shared" ref="B6275:B6338" si="98">MID(A6275,1,2)&amp;"-"&amp;A6275</f>
        <v>95-951900121</v>
      </c>
      <c r="C6275" s="179" t="s">
        <v>7808</v>
      </c>
    </row>
    <row r="6276" spans="1:3">
      <c r="A6276" s="177">
        <v>951700071</v>
      </c>
      <c r="B6276" s="116" t="str">
        <f t="shared" si="98"/>
        <v>95-951700071</v>
      </c>
      <c r="C6276" s="179" t="s">
        <v>8586</v>
      </c>
    </row>
    <row r="6277" spans="1:3">
      <c r="A6277" s="177">
        <v>951300013</v>
      </c>
      <c r="B6277" s="116" t="str">
        <f t="shared" si="98"/>
        <v>95-951300013</v>
      </c>
      <c r="C6277" s="179" t="s">
        <v>7680</v>
      </c>
    </row>
    <row r="6278" spans="1:3">
      <c r="A6278" s="177">
        <v>951900071</v>
      </c>
      <c r="B6278" s="116" t="str">
        <f t="shared" si="98"/>
        <v>95-951900071</v>
      </c>
      <c r="C6278" s="179" t="s">
        <v>7804</v>
      </c>
    </row>
    <row r="6279" spans="1:3">
      <c r="A6279" s="177">
        <v>951600004</v>
      </c>
      <c r="B6279" s="116" t="str">
        <f t="shared" si="98"/>
        <v>95-951600004</v>
      </c>
      <c r="C6279" s="179" t="s">
        <v>8587</v>
      </c>
    </row>
    <row r="6280" spans="1:3">
      <c r="A6280" s="177">
        <v>951900138</v>
      </c>
      <c r="B6280" s="116" t="str">
        <f t="shared" si="98"/>
        <v>95-951900138</v>
      </c>
      <c r="C6280" s="179" t="s">
        <v>8588</v>
      </c>
    </row>
    <row r="6281" spans="1:3">
      <c r="A6281" s="177">
        <v>951900173</v>
      </c>
      <c r="B6281" s="116" t="str">
        <f t="shared" si="98"/>
        <v>95-951900173</v>
      </c>
      <c r="C6281" s="179" t="s">
        <v>8588</v>
      </c>
    </row>
    <row r="6282" spans="1:3">
      <c r="A6282" s="177">
        <v>956100025</v>
      </c>
      <c r="B6282" s="116" t="str">
        <f t="shared" si="98"/>
        <v>95-956100025</v>
      </c>
      <c r="C6282" s="179" t="s">
        <v>7888</v>
      </c>
    </row>
    <row r="6283" spans="1:3">
      <c r="A6283" s="177">
        <v>951400144</v>
      </c>
      <c r="B6283" s="116" t="str">
        <f t="shared" si="98"/>
        <v>95-951400144</v>
      </c>
      <c r="C6283" s="179" t="s">
        <v>8589</v>
      </c>
    </row>
    <row r="6284" spans="1:3">
      <c r="A6284" s="177">
        <v>951400173</v>
      </c>
      <c r="B6284" s="116" t="str">
        <f t="shared" si="98"/>
        <v>95-951400173</v>
      </c>
      <c r="C6284" s="179" t="s">
        <v>7831</v>
      </c>
    </row>
    <row r="6285" spans="1:3">
      <c r="A6285" s="177">
        <v>961700115</v>
      </c>
      <c r="B6285" s="116" t="str">
        <f t="shared" si="98"/>
        <v>96-961700115</v>
      </c>
      <c r="C6285" s="179" t="s">
        <v>7160</v>
      </c>
    </row>
    <row r="6286" spans="1:3">
      <c r="A6286" s="177">
        <v>961700118</v>
      </c>
      <c r="B6286" s="116" t="str">
        <f t="shared" si="98"/>
        <v>96-961700118</v>
      </c>
      <c r="C6286" s="179" t="s">
        <v>7160</v>
      </c>
    </row>
    <row r="6287" spans="1:3">
      <c r="A6287" s="177">
        <v>961700123</v>
      </c>
      <c r="B6287" s="116" t="str">
        <f t="shared" si="98"/>
        <v>96-961700123</v>
      </c>
      <c r="C6287" s="179" t="s">
        <v>7160</v>
      </c>
    </row>
    <row r="6288" spans="1:3">
      <c r="A6288" s="177">
        <v>961700124</v>
      </c>
      <c r="B6288" s="116" t="str">
        <f t="shared" si="98"/>
        <v>96-961700124</v>
      </c>
      <c r="C6288" s="179" t="s">
        <v>7160</v>
      </c>
    </row>
    <row r="6289" spans="1:3">
      <c r="A6289" s="177">
        <v>961700081</v>
      </c>
      <c r="B6289" s="116" t="str">
        <f t="shared" si="98"/>
        <v>96-961700081</v>
      </c>
      <c r="C6289" s="179" t="s">
        <v>7544</v>
      </c>
    </row>
    <row r="6290" spans="1:3">
      <c r="A6290" s="177">
        <v>951900195</v>
      </c>
      <c r="B6290" s="116" t="str">
        <f t="shared" si="98"/>
        <v>95-951900195</v>
      </c>
      <c r="C6290" s="179" t="s">
        <v>7679</v>
      </c>
    </row>
    <row r="6291" spans="1:3">
      <c r="A6291" s="177">
        <v>951900222</v>
      </c>
      <c r="B6291" s="116" t="str">
        <f t="shared" si="98"/>
        <v>95-951900222</v>
      </c>
      <c r="C6291" s="179" t="s">
        <v>7679</v>
      </c>
    </row>
    <row r="6292" spans="1:3">
      <c r="A6292" s="177">
        <v>951900115</v>
      </c>
      <c r="B6292" s="116" t="str">
        <f t="shared" si="98"/>
        <v>95-951900115</v>
      </c>
      <c r="C6292" s="179" t="s">
        <v>7192</v>
      </c>
    </row>
    <row r="6293" spans="1:3">
      <c r="A6293" s="177">
        <v>951300016</v>
      </c>
      <c r="B6293" s="116" t="str">
        <f t="shared" si="98"/>
        <v>95-951300016</v>
      </c>
      <c r="C6293" s="179" t="s">
        <v>7804</v>
      </c>
    </row>
    <row r="6294" spans="1:3">
      <c r="A6294" s="177">
        <v>951700347</v>
      </c>
      <c r="B6294" s="116" t="str">
        <f t="shared" si="98"/>
        <v>95-951700347</v>
      </c>
      <c r="C6294" s="179" t="s">
        <v>7682</v>
      </c>
    </row>
    <row r="6295" spans="1:3">
      <c r="A6295" s="177">
        <v>951400101</v>
      </c>
      <c r="B6295" s="116" t="str">
        <f t="shared" si="98"/>
        <v>95-951400101</v>
      </c>
      <c r="C6295" s="179" t="s">
        <v>7188</v>
      </c>
    </row>
    <row r="6296" spans="1:3">
      <c r="A6296" s="177">
        <v>951400128</v>
      </c>
      <c r="B6296" s="116" t="str">
        <f t="shared" si="98"/>
        <v>95-951400128</v>
      </c>
      <c r="C6296" s="179" t="s">
        <v>7164</v>
      </c>
    </row>
    <row r="6297" spans="1:3">
      <c r="A6297" s="177">
        <v>951400149</v>
      </c>
      <c r="B6297" s="116" t="str">
        <f t="shared" si="98"/>
        <v>95-951400149</v>
      </c>
      <c r="C6297" s="179" t="s">
        <v>7832</v>
      </c>
    </row>
    <row r="6298" spans="1:3">
      <c r="A6298" s="177">
        <v>951900072</v>
      </c>
      <c r="B6298" s="116" t="str">
        <f t="shared" si="98"/>
        <v>95-951900072</v>
      </c>
      <c r="C6298" s="179" t="s">
        <v>7804</v>
      </c>
    </row>
    <row r="6299" spans="1:3">
      <c r="A6299" s="177">
        <v>951900143</v>
      </c>
      <c r="B6299" s="116" t="str">
        <f t="shared" si="98"/>
        <v>95-951900143</v>
      </c>
      <c r="C6299" s="179" t="s">
        <v>8295</v>
      </c>
    </row>
    <row r="6300" spans="1:3">
      <c r="A6300" s="177">
        <v>951900302</v>
      </c>
      <c r="B6300" s="116" t="str">
        <f t="shared" si="98"/>
        <v>95-951900302</v>
      </c>
      <c r="C6300" s="179" t="s">
        <v>7878</v>
      </c>
    </row>
    <row r="6301" spans="1:3">
      <c r="A6301" s="177">
        <v>951900034</v>
      </c>
      <c r="B6301" s="116" t="str">
        <f t="shared" si="98"/>
        <v>95-951900034</v>
      </c>
      <c r="C6301" s="179" t="s">
        <v>7765</v>
      </c>
    </row>
    <row r="6302" spans="1:3">
      <c r="A6302" s="177">
        <v>951900123</v>
      </c>
      <c r="B6302" s="116" t="str">
        <f t="shared" si="98"/>
        <v>95-951900123</v>
      </c>
      <c r="C6302" s="179" t="s">
        <v>8590</v>
      </c>
    </row>
    <row r="6303" spans="1:3">
      <c r="A6303" s="177">
        <v>951900019</v>
      </c>
      <c r="B6303" s="116" t="str">
        <f t="shared" si="98"/>
        <v>95-951900019</v>
      </c>
      <c r="C6303" s="179" t="s">
        <v>8591</v>
      </c>
    </row>
    <row r="6304" spans="1:3">
      <c r="A6304" s="177">
        <v>951900154</v>
      </c>
      <c r="B6304" s="116" t="str">
        <f t="shared" si="98"/>
        <v>95-951900154</v>
      </c>
      <c r="C6304" s="179" t="s">
        <v>7683</v>
      </c>
    </row>
    <row r="6305" spans="1:3">
      <c r="A6305" s="177">
        <v>961800014</v>
      </c>
      <c r="B6305" s="116" t="str">
        <f t="shared" si="98"/>
        <v>96-961800014</v>
      </c>
      <c r="C6305" s="179" t="s">
        <v>8423</v>
      </c>
    </row>
    <row r="6306" spans="1:3">
      <c r="A6306" s="177">
        <v>961700145</v>
      </c>
      <c r="B6306" s="116" t="str">
        <f t="shared" si="98"/>
        <v>96-961700145</v>
      </c>
      <c r="C6306" s="179" t="s">
        <v>12290</v>
      </c>
    </row>
    <row r="6307" spans="1:3">
      <c r="A6307" s="177">
        <v>951400115</v>
      </c>
      <c r="B6307" s="116" t="str">
        <f t="shared" si="98"/>
        <v>95-951400115</v>
      </c>
      <c r="C6307" s="179" t="s">
        <v>7695</v>
      </c>
    </row>
    <row r="6308" spans="1:3">
      <c r="A6308" s="177">
        <v>951900322</v>
      </c>
      <c r="B6308" s="116" t="str">
        <f t="shared" si="98"/>
        <v>95-951900322</v>
      </c>
      <c r="C6308" s="179" t="s">
        <v>7800</v>
      </c>
    </row>
    <row r="6309" spans="1:3">
      <c r="A6309" s="177">
        <v>951800017</v>
      </c>
      <c r="B6309" s="116" t="str">
        <f t="shared" si="98"/>
        <v>95-951800017</v>
      </c>
      <c r="C6309" s="179" t="s">
        <v>8311</v>
      </c>
    </row>
    <row r="6310" spans="1:3">
      <c r="A6310" s="177">
        <v>951800044</v>
      </c>
      <c r="B6310" s="116" t="str">
        <f t="shared" si="98"/>
        <v>95-951800044</v>
      </c>
      <c r="C6310" s="179" t="s">
        <v>8592</v>
      </c>
    </row>
    <row r="6311" spans="1:3">
      <c r="A6311" s="177">
        <v>966200253</v>
      </c>
      <c r="B6311" s="116" t="str">
        <f t="shared" si="98"/>
        <v>96-966200253</v>
      </c>
      <c r="C6311" s="179" t="s">
        <v>7730</v>
      </c>
    </row>
    <row r="6312" spans="1:3">
      <c r="A6312" s="177">
        <v>951400151</v>
      </c>
      <c r="B6312" s="116" t="str">
        <f t="shared" si="98"/>
        <v>95-951400151</v>
      </c>
      <c r="C6312" s="179" t="s">
        <v>7832</v>
      </c>
    </row>
    <row r="6313" spans="1:3">
      <c r="A6313" s="177">
        <v>951700351</v>
      </c>
      <c r="B6313" s="116" t="str">
        <f t="shared" si="98"/>
        <v>95-951700351</v>
      </c>
      <c r="C6313" s="179" t="s">
        <v>7878</v>
      </c>
    </row>
    <row r="6314" spans="1:3">
      <c r="A6314" s="177">
        <v>961800051</v>
      </c>
      <c r="B6314" s="116" t="str">
        <f t="shared" si="98"/>
        <v>96-961800051</v>
      </c>
      <c r="C6314" s="179" t="s">
        <v>8593</v>
      </c>
    </row>
    <row r="6315" spans="1:3">
      <c r="A6315" s="177">
        <v>951800147</v>
      </c>
      <c r="B6315" s="116" t="str">
        <f t="shared" si="98"/>
        <v>95-951800147</v>
      </c>
      <c r="C6315" s="179" t="s">
        <v>8575</v>
      </c>
    </row>
    <row r="6316" spans="1:3">
      <c r="A6316" s="177">
        <v>951300024</v>
      </c>
      <c r="B6316" s="116" t="str">
        <f t="shared" si="98"/>
        <v>95-951300024</v>
      </c>
      <c r="C6316" s="179" t="s">
        <v>7708</v>
      </c>
    </row>
    <row r="6317" spans="1:3">
      <c r="A6317" s="177">
        <v>951300025</v>
      </c>
      <c r="B6317" s="116" t="str">
        <f t="shared" si="98"/>
        <v>95-951300025</v>
      </c>
      <c r="C6317" s="179" t="s">
        <v>7708</v>
      </c>
    </row>
    <row r="6318" spans="1:3">
      <c r="A6318" s="177">
        <v>951300027</v>
      </c>
      <c r="B6318" s="116" t="str">
        <f t="shared" si="98"/>
        <v>95-951300027</v>
      </c>
      <c r="C6318" s="179" t="s">
        <v>7708</v>
      </c>
    </row>
    <row r="6319" spans="1:3">
      <c r="A6319" s="177">
        <v>966200273</v>
      </c>
      <c r="B6319" s="116" t="str">
        <f t="shared" si="98"/>
        <v>96-966200273</v>
      </c>
      <c r="C6319" s="179" t="s">
        <v>7167</v>
      </c>
    </row>
    <row r="6320" spans="1:3">
      <c r="A6320" s="177">
        <v>951900024</v>
      </c>
      <c r="B6320" s="116" t="str">
        <f t="shared" si="98"/>
        <v>95-951900024</v>
      </c>
      <c r="C6320" s="179" t="s">
        <v>7667</v>
      </c>
    </row>
    <row r="6321" spans="1:3">
      <c r="A6321" s="177">
        <v>951600026</v>
      </c>
      <c r="B6321" s="116" t="str">
        <f t="shared" si="98"/>
        <v>95-951600026</v>
      </c>
      <c r="C6321" s="179" t="s">
        <v>7719</v>
      </c>
    </row>
    <row r="6322" spans="1:3">
      <c r="A6322" s="177">
        <v>951900180</v>
      </c>
      <c r="B6322" s="116" t="str">
        <f t="shared" si="98"/>
        <v>95-951900180</v>
      </c>
      <c r="C6322" s="179" t="s">
        <v>7729</v>
      </c>
    </row>
    <row r="6323" spans="1:3">
      <c r="A6323" s="177">
        <v>951400054</v>
      </c>
      <c r="B6323" s="116" t="str">
        <f t="shared" si="98"/>
        <v>95-951400054</v>
      </c>
      <c r="C6323" s="179" t="s">
        <v>8594</v>
      </c>
    </row>
    <row r="6324" spans="1:3">
      <c r="A6324" s="177">
        <v>966200164</v>
      </c>
      <c r="B6324" s="116" t="str">
        <f t="shared" si="98"/>
        <v>96-966200164</v>
      </c>
      <c r="C6324" s="179" t="s">
        <v>7859</v>
      </c>
    </row>
    <row r="6325" spans="1:3">
      <c r="A6325" s="177">
        <v>966200540</v>
      </c>
      <c r="B6325" s="116" t="str">
        <f t="shared" si="98"/>
        <v>96-966200540</v>
      </c>
      <c r="C6325" s="179" t="s">
        <v>12457</v>
      </c>
    </row>
    <row r="6326" spans="1:3">
      <c r="A6326" s="177">
        <v>966200275</v>
      </c>
      <c r="B6326" s="116" t="str">
        <f t="shared" si="98"/>
        <v>96-966200275</v>
      </c>
      <c r="C6326" s="179" t="s">
        <v>7167</v>
      </c>
    </row>
    <row r="6327" spans="1:3">
      <c r="A6327" s="177">
        <v>966200515</v>
      </c>
      <c r="B6327" s="116" t="str">
        <f t="shared" si="98"/>
        <v>96-966200515</v>
      </c>
      <c r="C6327" s="179" t="s">
        <v>12418</v>
      </c>
    </row>
    <row r="6328" spans="1:3">
      <c r="A6328" s="177">
        <v>966200222</v>
      </c>
      <c r="B6328" s="116" t="str">
        <f t="shared" si="98"/>
        <v>96-966200222</v>
      </c>
      <c r="C6328" s="179" t="s">
        <v>7707</v>
      </c>
    </row>
    <row r="6329" spans="1:3">
      <c r="A6329" s="177">
        <v>966200281</v>
      </c>
      <c r="B6329" s="116" t="str">
        <f t="shared" si="98"/>
        <v>96-966200281</v>
      </c>
      <c r="C6329" s="179" t="s">
        <v>7210</v>
      </c>
    </row>
    <row r="6330" spans="1:3">
      <c r="A6330" s="177">
        <v>966200267</v>
      </c>
      <c r="B6330" s="116" t="str">
        <f t="shared" si="98"/>
        <v>96-966200267</v>
      </c>
      <c r="C6330" s="179" t="s">
        <v>7208</v>
      </c>
    </row>
    <row r="6331" spans="1:3">
      <c r="A6331" s="177">
        <v>961700095</v>
      </c>
      <c r="B6331" s="116" t="str">
        <f t="shared" si="98"/>
        <v>96-961700095</v>
      </c>
      <c r="C6331" s="179" t="s">
        <v>8370</v>
      </c>
    </row>
    <row r="6332" spans="1:3">
      <c r="A6332" s="177">
        <v>951900126</v>
      </c>
      <c r="B6332" s="116" t="str">
        <f t="shared" si="98"/>
        <v>95-951900126</v>
      </c>
      <c r="C6332" s="179" t="s">
        <v>8595</v>
      </c>
    </row>
    <row r="6333" spans="1:3">
      <c r="A6333" s="177">
        <v>951600022</v>
      </c>
      <c r="B6333" s="116" t="str">
        <f t="shared" si="98"/>
        <v>95-951600022</v>
      </c>
      <c r="C6333" s="179" t="s">
        <v>8401</v>
      </c>
    </row>
    <row r="6334" spans="1:3">
      <c r="A6334" s="177">
        <v>966200371</v>
      </c>
      <c r="B6334" s="116" t="str">
        <f t="shared" si="98"/>
        <v>96-966200371</v>
      </c>
      <c r="C6334" s="179" t="s">
        <v>12314</v>
      </c>
    </row>
    <row r="6335" spans="1:3">
      <c r="A6335" s="177">
        <v>961800070</v>
      </c>
      <c r="B6335" s="116" t="str">
        <f t="shared" si="98"/>
        <v>96-961800070</v>
      </c>
      <c r="C6335" s="179" t="s">
        <v>12298</v>
      </c>
    </row>
    <row r="6336" spans="1:3">
      <c r="A6336" s="177">
        <v>961800025</v>
      </c>
      <c r="B6336" s="116" t="str">
        <f t="shared" si="98"/>
        <v>96-961800025</v>
      </c>
      <c r="C6336" s="179" t="s">
        <v>8597</v>
      </c>
    </row>
    <row r="6337" spans="1:3">
      <c r="A6337" s="177">
        <v>966200454</v>
      </c>
      <c r="B6337" s="116" t="str">
        <f t="shared" si="98"/>
        <v>96-966200454</v>
      </c>
      <c r="C6337" s="179" t="s">
        <v>12257</v>
      </c>
    </row>
    <row r="6338" spans="1:3">
      <c r="A6338" s="177">
        <v>966200407</v>
      </c>
      <c r="B6338" s="116" t="str">
        <f t="shared" si="98"/>
        <v>96-966200407</v>
      </c>
      <c r="C6338" s="179" t="s">
        <v>12212</v>
      </c>
    </row>
    <row r="6339" spans="1:3">
      <c r="A6339" s="177">
        <v>966000020</v>
      </c>
      <c r="B6339" s="116" t="str">
        <f t="shared" ref="B6339:B6402" si="99">MID(A6339,1,2)&amp;"-"&amp;A6339</f>
        <v>96-966000020</v>
      </c>
      <c r="C6339" s="179" t="s">
        <v>7146</v>
      </c>
    </row>
    <row r="6340" spans="1:3">
      <c r="A6340" s="177">
        <v>951200075</v>
      </c>
      <c r="B6340" s="116" t="str">
        <f t="shared" si="99"/>
        <v>95-951200075</v>
      </c>
      <c r="C6340" s="179" t="s">
        <v>7451</v>
      </c>
    </row>
    <row r="6341" spans="1:3">
      <c r="A6341" s="177">
        <v>951200079</v>
      </c>
      <c r="B6341" s="116" t="str">
        <f t="shared" si="99"/>
        <v>95-951200079</v>
      </c>
      <c r="C6341" s="179" t="s">
        <v>7226</v>
      </c>
    </row>
    <row r="6342" spans="1:3">
      <c r="A6342" s="177">
        <v>951200080</v>
      </c>
      <c r="B6342" s="116" t="str">
        <f t="shared" si="99"/>
        <v>95-951200080</v>
      </c>
      <c r="C6342" s="179" t="s">
        <v>7226</v>
      </c>
    </row>
    <row r="6343" spans="1:3">
      <c r="A6343" s="177">
        <v>951200091</v>
      </c>
      <c r="B6343" s="116" t="str">
        <f t="shared" si="99"/>
        <v>95-951200091</v>
      </c>
      <c r="C6343" s="179" t="s">
        <v>7151</v>
      </c>
    </row>
    <row r="6344" spans="1:3">
      <c r="A6344" s="177">
        <v>951200073</v>
      </c>
      <c r="B6344" s="116" t="str">
        <f t="shared" si="99"/>
        <v>95-951200073</v>
      </c>
      <c r="C6344" s="179" t="s">
        <v>7226</v>
      </c>
    </row>
    <row r="6345" spans="1:3">
      <c r="A6345" s="177">
        <v>951200084</v>
      </c>
      <c r="B6345" s="116" t="str">
        <f t="shared" si="99"/>
        <v>95-951200084</v>
      </c>
      <c r="C6345" s="179" t="s">
        <v>7511</v>
      </c>
    </row>
    <row r="6346" spans="1:3">
      <c r="A6346" s="177">
        <v>952200077</v>
      </c>
      <c r="B6346" s="116" t="str">
        <f t="shared" si="99"/>
        <v>95-952200077</v>
      </c>
      <c r="C6346" s="179" t="s">
        <v>7218</v>
      </c>
    </row>
    <row r="6347" spans="1:3">
      <c r="A6347" s="177">
        <v>952200021</v>
      </c>
      <c r="B6347" s="116" t="str">
        <f t="shared" si="99"/>
        <v>95-952200021</v>
      </c>
      <c r="C6347" s="179" t="s">
        <v>7174</v>
      </c>
    </row>
    <row r="6348" spans="1:3">
      <c r="A6348" s="177">
        <v>952200055</v>
      </c>
      <c r="B6348" s="116" t="str">
        <f t="shared" si="99"/>
        <v>95-952200055</v>
      </c>
      <c r="C6348" s="179" t="s">
        <v>7226</v>
      </c>
    </row>
    <row r="6349" spans="1:3">
      <c r="A6349" s="177">
        <v>962200062</v>
      </c>
      <c r="B6349" s="116" t="str">
        <f t="shared" si="99"/>
        <v>96-962200062</v>
      </c>
      <c r="C6349" s="179" t="s">
        <v>7452</v>
      </c>
    </row>
    <row r="6350" spans="1:3">
      <c r="A6350" s="177">
        <v>952500048</v>
      </c>
      <c r="B6350" s="116" t="str">
        <f t="shared" si="99"/>
        <v>95-952500048</v>
      </c>
      <c r="C6350" s="179" t="s">
        <v>5661</v>
      </c>
    </row>
    <row r="6351" spans="1:3">
      <c r="A6351" s="177">
        <v>952500071</v>
      </c>
      <c r="B6351" s="116" t="str">
        <f t="shared" si="99"/>
        <v>95-952500071</v>
      </c>
      <c r="C6351" s="179" t="s">
        <v>5729</v>
      </c>
    </row>
    <row r="6352" spans="1:3">
      <c r="A6352" s="177">
        <v>952500100</v>
      </c>
      <c r="B6352" s="116" t="str">
        <f t="shared" si="99"/>
        <v>95-952500100</v>
      </c>
      <c r="C6352" s="179" t="s">
        <v>5710</v>
      </c>
    </row>
    <row r="6353" spans="1:3">
      <c r="A6353" s="177">
        <v>962500078</v>
      </c>
      <c r="B6353" s="116" t="str">
        <f t="shared" si="99"/>
        <v>96-962500078</v>
      </c>
      <c r="C6353" s="179" t="s">
        <v>5842</v>
      </c>
    </row>
    <row r="6354" spans="1:3">
      <c r="A6354" s="177">
        <v>962500098</v>
      </c>
      <c r="B6354" s="116" t="str">
        <f t="shared" si="99"/>
        <v>96-962500098</v>
      </c>
      <c r="C6354" s="179" t="s">
        <v>5842</v>
      </c>
    </row>
    <row r="6355" spans="1:3">
      <c r="A6355" s="177">
        <v>962500025</v>
      </c>
      <c r="B6355" s="116" t="str">
        <f t="shared" si="99"/>
        <v>96-962500025</v>
      </c>
      <c r="C6355" s="179" t="s">
        <v>5811</v>
      </c>
    </row>
    <row r="6356" spans="1:3">
      <c r="A6356" s="177">
        <v>962500186</v>
      </c>
      <c r="B6356" s="116" t="str">
        <f t="shared" si="99"/>
        <v>96-962500186</v>
      </c>
      <c r="C6356" s="179" t="s">
        <v>12195</v>
      </c>
    </row>
    <row r="6357" spans="1:3">
      <c r="A6357" s="177">
        <v>962500095</v>
      </c>
      <c r="B6357" s="116" t="str">
        <f t="shared" si="99"/>
        <v>96-962500095</v>
      </c>
      <c r="C6357" s="179" t="s">
        <v>5856</v>
      </c>
    </row>
    <row r="6358" spans="1:3">
      <c r="A6358" s="177">
        <v>954200012</v>
      </c>
      <c r="B6358" s="116" t="str">
        <f t="shared" si="99"/>
        <v>95-954200012</v>
      </c>
      <c r="C6358" s="179" t="s">
        <v>5642</v>
      </c>
    </row>
    <row r="6359" spans="1:3">
      <c r="A6359" s="177">
        <v>954200034</v>
      </c>
      <c r="B6359" s="116" t="str">
        <f t="shared" si="99"/>
        <v>95-954200034</v>
      </c>
      <c r="C6359" s="179" t="s">
        <v>5649</v>
      </c>
    </row>
    <row r="6360" spans="1:3">
      <c r="A6360" s="177">
        <v>951200009</v>
      </c>
      <c r="B6360" s="116" t="str">
        <f t="shared" si="99"/>
        <v>95-951200009</v>
      </c>
      <c r="C6360" s="179" t="s">
        <v>7172</v>
      </c>
    </row>
    <row r="6361" spans="1:3">
      <c r="A6361" s="177">
        <v>951200026</v>
      </c>
      <c r="B6361" s="116" t="str">
        <f t="shared" si="99"/>
        <v>95-951200026</v>
      </c>
      <c r="C6361" s="179" t="s">
        <v>7172</v>
      </c>
    </row>
    <row r="6362" spans="1:3">
      <c r="A6362" s="177">
        <v>951500448</v>
      </c>
      <c r="B6362" s="116" t="str">
        <f t="shared" si="99"/>
        <v>95-951500448</v>
      </c>
      <c r="C6362" s="179" t="s">
        <v>5701</v>
      </c>
    </row>
    <row r="6363" spans="1:3">
      <c r="A6363" s="177">
        <v>951500018</v>
      </c>
      <c r="B6363" s="116" t="str">
        <f t="shared" si="99"/>
        <v>95-951500018</v>
      </c>
      <c r="C6363" s="179" t="s">
        <v>5605</v>
      </c>
    </row>
    <row r="6364" spans="1:3">
      <c r="A6364" s="177">
        <v>951500208</v>
      </c>
      <c r="B6364" s="116" t="str">
        <f t="shared" si="99"/>
        <v>95-951500208</v>
      </c>
      <c r="C6364" s="179" t="s">
        <v>5618</v>
      </c>
    </row>
    <row r="6365" spans="1:3">
      <c r="A6365" s="177">
        <v>951500121</v>
      </c>
      <c r="B6365" s="116" t="str">
        <f t="shared" si="99"/>
        <v>95-951500121</v>
      </c>
      <c r="C6365" s="179" t="s">
        <v>5612</v>
      </c>
    </row>
    <row r="6366" spans="1:3">
      <c r="A6366" s="177">
        <v>951500210</v>
      </c>
      <c r="B6366" s="116" t="str">
        <f t="shared" si="99"/>
        <v>95-951500210</v>
      </c>
      <c r="C6366" s="179" t="s">
        <v>5630</v>
      </c>
    </row>
    <row r="6367" spans="1:3">
      <c r="A6367" s="177">
        <v>951500260</v>
      </c>
      <c r="B6367" s="116" t="str">
        <f t="shared" si="99"/>
        <v>95-951500260</v>
      </c>
      <c r="C6367" s="179" t="s">
        <v>5645</v>
      </c>
    </row>
    <row r="6368" spans="1:3">
      <c r="A6368" s="177">
        <v>951500292</v>
      </c>
      <c r="B6368" s="116" t="str">
        <f t="shared" si="99"/>
        <v>95-951500292</v>
      </c>
      <c r="C6368" s="179" t="s">
        <v>5659</v>
      </c>
    </row>
    <row r="6369" spans="1:3">
      <c r="A6369" s="177">
        <v>961500079</v>
      </c>
      <c r="B6369" s="116" t="str">
        <f t="shared" si="99"/>
        <v>96-961500079</v>
      </c>
      <c r="C6369" s="179" t="s">
        <v>5762</v>
      </c>
    </row>
    <row r="6370" spans="1:3">
      <c r="A6370" s="177">
        <v>961500263</v>
      </c>
      <c r="B6370" s="116" t="str">
        <f t="shared" si="99"/>
        <v>96-961500263</v>
      </c>
      <c r="C6370" s="179" t="s">
        <v>5814</v>
      </c>
    </row>
    <row r="6371" spans="1:3">
      <c r="A6371" s="177">
        <v>951500066</v>
      </c>
      <c r="B6371" s="116" t="str">
        <f t="shared" si="99"/>
        <v>95-951500066</v>
      </c>
      <c r="C6371" s="179" t="s">
        <v>5608</v>
      </c>
    </row>
    <row r="6372" spans="1:3">
      <c r="A6372" s="177">
        <v>951500108</v>
      </c>
      <c r="B6372" s="116" t="str">
        <f t="shared" si="99"/>
        <v>95-951500108</v>
      </c>
      <c r="C6372" s="179" t="s">
        <v>5608</v>
      </c>
    </row>
    <row r="6373" spans="1:3">
      <c r="A6373" s="177">
        <v>951500117</v>
      </c>
      <c r="B6373" s="116" t="str">
        <f t="shared" si="99"/>
        <v>95-951500117</v>
      </c>
      <c r="C6373" s="179" t="s">
        <v>5608</v>
      </c>
    </row>
    <row r="6374" spans="1:3">
      <c r="A6374" s="177">
        <v>951500456</v>
      </c>
      <c r="B6374" s="116" t="str">
        <f t="shared" si="99"/>
        <v>95-951500456</v>
      </c>
      <c r="C6374" s="179" t="s">
        <v>5690</v>
      </c>
    </row>
    <row r="6375" spans="1:3">
      <c r="A6375" s="177">
        <v>951500463</v>
      </c>
      <c r="B6375" s="116" t="str">
        <f t="shared" si="99"/>
        <v>95-951500463</v>
      </c>
      <c r="C6375" s="179" t="s">
        <v>5690</v>
      </c>
    </row>
    <row r="6376" spans="1:3">
      <c r="A6376" s="177">
        <v>951500503</v>
      </c>
      <c r="B6376" s="116" t="str">
        <f t="shared" si="99"/>
        <v>95-951500503</v>
      </c>
      <c r="C6376" s="179" t="s">
        <v>5690</v>
      </c>
    </row>
    <row r="6377" spans="1:3">
      <c r="A6377" s="177">
        <v>961500606</v>
      </c>
      <c r="B6377" s="116" t="str">
        <f t="shared" si="99"/>
        <v>96-961500606</v>
      </c>
      <c r="C6377" s="179" t="s">
        <v>8748</v>
      </c>
    </row>
    <row r="6378" spans="1:3">
      <c r="A6378" s="177">
        <v>961500638</v>
      </c>
      <c r="B6378" s="116" t="str">
        <f t="shared" si="99"/>
        <v>96-961500638</v>
      </c>
      <c r="C6378" s="179" t="s">
        <v>8724</v>
      </c>
    </row>
    <row r="6379" spans="1:3">
      <c r="A6379" s="177">
        <v>961500672</v>
      </c>
      <c r="B6379" s="116" t="str">
        <f t="shared" si="99"/>
        <v>96-961500672</v>
      </c>
      <c r="C6379" s="179" t="s">
        <v>9768</v>
      </c>
    </row>
    <row r="6380" spans="1:3">
      <c r="A6380" s="177">
        <v>961500024</v>
      </c>
      <c r="B6380" s="116" t="str">
        <f t="shared" si="99"/>
        <v>96-961500024</v>
      </c>
      <c r="C6380" s="179" t="s">
        <v>5751</v>
      </c>
    </row>
    <row r="6381" spans="1:3">
      <c r="A6381" s="177">
        <v>961500686</v>
      </c>
      <c r="B6381" s="116" t="str">
        <f t="shared" si="99"/>
        <v>96-961500686</v>
      </c>
      <c r="C6381" s="179" t="s">
        <v>9771</v>
      </c>
    </row>
    <row r="6382" spans="1:3">
      <c r="A6382" s="177">
        <v>961500090</v>
      </c>
      <c r="B6382" s="116" t="str">
        <f t="shared" si="99"/>
        <v>96-961500090</v>
      </c>
      <c r="C6382" s="179" t="s">
        <v>5794</v>
      </c>
    </row>
    <row r="6383" spans="1:3">
      <c r="A6383" s="177">
        <v>961500731</v>
      </c>
      <c r="B6383" s="116" t="str">
        <f t="shared" si="99"/>
        <v>96-961500731</v>
      </c>
      <c r="C6383" s="179" t="s">
        <v>12261</v>
      </c>
    </row>
    <row r="6384" spans="1:3">
      <c r="A6384" s="177">
        <v>951100021</v>
      </c>
      <c r="B6384" s="116" t="str">
        <f t="shared" si="99"/>
        <v>95-951100021</v>
      </c>
      <c r="C6384" s="179" t="s">
        <v>8598</v>
      </c>
    </row>
    <row r="6385" spans="1:3">
      <c r="A6385" s="177">
        <v>961100049</v>
      </c>
      <c r="B6385" s="116" t="str">
        <f t="shared" si="99"/>
        <v>96-961100049</v>
      </c>
      <c r="C6385" s="179" t="s">
        <v>8599</v>
      </c>
    </row>
    <row r="6386" spans="1:3">
      <c r="A6386" s="177">
        <v>961100066</v>
      </c>
      <c r="B6386" s="116" t="str">
        <f t="shared" si="99"/>
        <v>96-961100066</v>
      </c>
      <c r="C6386" s="179" t="s">
        <v>8600</v>
      </c>
    </row>
    <row r="6387" spans="1:3">
      <c r="A6387" s="177">
        <v>952000018</v>
      </c>
      <c r="B6387" s="116" t="str">
        <f t="shared" si="99"/>
        <v>95-952000018</v>
      </c>
      <c r="C6387" s="179" t="s">
        <v>7904</v>
      </c>
    </row>
    <row r="6388" spans="1:3">
      <c r="A6388" s="177">
        <v>952000220</v>
      </c>
      <c r="B6388" s="116" t="str">
        <f t="shared" si="99"/>
        <v>95-952000220</v>
      </c>
      <c r="C6388" s="179" t="s">
        <v>7905</v>
      </c>
    </row>
    <row r="6389" spans="1:3">
      <c r="A6389" s="177">
        <v>961100093</v>
      </c>
      <c r="B6389" s="116" t="str">
        <f t="shared" si="99"/>
        <v>96-961100093</v>
      </c>
      <c r="C6389" s="179" t="s">
        <v>12316</v>
      </c>
    </row>
    <row r="6390" spans="1:3">
      <c r="A6390" s="177">
        <v>956200036</v>
      </c>
      <c r="B6390" s="116" t="str">
        <f t="shared" si="99"/>
        <v>95-956200036</v>
      </c>
      <c r="C6390" s="179" t="s">
        <v>7910</v>
      </c>
    </row>
    <row r="6391" spans="1:3">
      <c r="A6391" s="177">
        <v>962000383</v>
      </c>
      <c r="B6391" s="116" t="str">
        <f t="shared" si="99"/>
        <v>96-962000383</v>
      </c>
      <c r="C6391" s="179" t="s">
        <v>12208</v>
      </c>
    </row>
    <row r="6392" spans="1:3">
      <c r="A6392" s="177">
        <v>952000205</v>
      </c>
      <c r="B6392" s="116" t="str">
        <f t="shared" si="99"/>
        <v>95-952000205</v>
      </c>
      <c r="C6392" s="179" t="s">
        <v>7909</v>
      </c>
    </row>
    <row r="6393" spans="1:3">
      <c r="A6393" s="177">
        <v>952000030</v>
      </c>
      <c r="B6393" s="116" t="str">
        <f t="shared" si="99"/>
        <v>95-952000030</v>
      </c>
      <c r="C6393" s="179" t="s">
        <v>7904</v>
      </c>
    </row>
    <row r="6394" spans="1:3">
      <c r="A6394" s="177">
        <v>962000392</v>
      </c>
      <c r="B6394" s="116" t="str">
        <f t="shared" si="99"/>
        <v>96-962000392</v>
      </c>
      <c r="C6394" s="179" t="s">
        <v>12208</v>
      </c>
    </row>
    <row r="6395" spans="1:3">
      <c r="A6395" s="177">
        <v>956200020</v>
      </c>
      <c r="B6395" s="116" t="str">
        <f t="shared" si="99"/>
        <v>95-956200020</v>
      </c>
      <c r="C6395" s="179" t="s">
        <v>8449</v>
      </c>
    </row>
    <row r="6396" spans="1:3">
      <c r="A6396" s="177">
        <v>952000052</v>
      </c>
      <c r="B6396" s="116" t="str">
        <f t="shared" si="99"/>
        <v>95-952000052</v>
      </c>
      <c r="C6396" s="179" t="s">
        <v>7908</v>
      </c>
    </row>
    <row r="6397" spans="1:3">
      <c r="A6397" s="177">
        <v>952000015</v>
      </c>
      <c r="B6397" s="116" t="str">
        <f t="shared" si="99"/>
        <v>95-952000015</v>
      </c>
      <c r="C6397" s="179" t="s">
        <v>7904</v>
      </c>
    </row>
    <row r="6398" spans="1:3">
      <c r="A6398" s="177">
        <v>952000026</v>
      </c>
      <c r="B6398" s="116" t="str">
        <f t="shared" si="99"/>
        <v>95-952000026</v>
      </c>
      <c r="C6398" s="179" t="s">
        <v>7904</v>
      </c>
    </row>
    <row r="6399" spans="1:3">
      <c r="A6399" s="177">
        <v>952000186</v>
      </c>
      <c r="B6399" s="116" t="str">
        <f t="shared" si="99"/>
        <v>95-952000186</v>
      </c>
      <c r="C6399" s="179" t="s">
        <v>8601</v>
      </c>
    </row>
    <row r="6400" spans="1:3">
      <c r="A6400" s="177">
        <v>952000024</v>
      </c>
      <c r="B6400" s="116" t="str">
        <f t="shared" si="99"/>
        <v>95-952000024</v>
      </c>
      <c r="C6400" s="179" t="s">
        <v>7904</v>
      </c>
    </row>
    <row r="6401" spans="1:3">
      <c r="A6401" s="177">
        <v>956200328</v>
      </c>
      <c r="B6401" s="116" t="str">
        <f t="shared" si="99"/>
        <v>95-956200328</v>
      </c>
      <c r="C6401" s="179" t="s">
        <v>7911</v>
      </c>
    </row>
    <row r="6402" spans="1:3">
      <c r="A6402" s="177">
        <v>966200364</v>
      </c>
      <c r="B6402" s="116" t="str">
        <f t="shared" si="99"/>
        <v>96-966200364</v>
      </c>
      <c r="C6402" s="179" t="s">
        <v>12317</v>
      </c>
    </row>
    <row r="6403" spans="1:3">
      <c r="A6403" s="177">
        <v>966200336</v>
      </c>
      <c r="B6403" s="116" t="str">
        <f t="shared" ref="B6403:B6466" si="100">MID(A6403,1,2)&amp;"-"&amp;A6403</f>
        <v>96-966200336</v>
      </c>
      <c r="C6403" s="179" t="s">
        <v>8740</v>
      </c>
    </row>
    <row r="6404" spans="1:3">
      <c r="A6404" s="177">
        <v>952000032</v>
      </c>
      <c r="B6404" s="116" t="str">
        <f t="shared" si="100"/>
        <v>95-952000032</v>
      </c>
      <c r="C6404" s="179" t="s">
        <v>7904</v>
      </c>
    </row>
    <row r="6405" spans="1:3">
      <c r="A6405" s="177">
        <v>962000373</v>
      </c>
      <c r="B6405" s="116" t="str">
        <f t="shared" si="100"/>
        <v>96-962000373</v>
      </c>
      <c r="C6405" s="179" t="s">
        <v>12208</v>
      </c>
    </row>
    <row r="6406" spans="1:3">
      <c r="A6406" s="177">
        <v>952000257</v>
      </c>
      <c r="B6406" s="116" t="str">
        <f t="shared" si="100"/>
        <v>95-952000257</v>
      </c>
      <c r="C6406" s="179" t="s">
        <v>8432</v>
      </c>
    </row>
    <row r="6407" spans="1:3">
      <c r="A6407" s="177">
        <v>966200419</v>
      </c>
      <c r="B6407" s="116" t="str">
        <f t="shared" si="100"/>
        <v>96-966200419</v>
      </c>
      <c r="C6407" s="179" t="s">
        <v>12209</v>
      </c>
    </row>
    <row r="6408" spans="1:3">
      <c r="A6408" s="177">
        <v>956200079</v>
      </c>
      <c r="B6408" s="116" t="str">
        <f t="shared" si="100"/>
        <v>95-956200079</v>
      </c>
      <c r="C6408" s="179" t="s">
        <v>8602</v>
      </c>
    </row>
    <row r="6409" spans="1:3">
      <c r="A6409" s="177">
        <v>956200097</v>
      </c>
      <c r="B6409" s="116" t="str">
        <f t="shared" si="100"/>
        <v>95-956200097</v>
      </c>
      <c r="C6409" s="179" t="s">
        <v>8603</v>
      </c>
    </row>
    <row r="6410" spans="1:3">
      <c r="A6410" s="177">
        <v>956200173</v>
      </c>
      <c r="B6410" s="116" t="str">
        <f t="shared" si="100"/>
        <v>95-956200173</v>
      </c>
      <c r="C6410" s="179" t="s">
        <v>7938</v>
      </c>
    </row>
    <row r="6411" spans="1:3">
      <c r="A6411" s="177">
        <v>956200188</v>
      </c>
      <c r="B6411" s="116" t="str">
        <f t="shared" si="100"/>
        <v>95-956200188</v>
      </c>
      <c r="C6411" s="179" t="s">
        <v>7941</v>
      </c>
    </row>
    <row r="6412" spans="1:3">
      <c r="A6412" s="177">
        <v>956200190</v>
      </c>
      <c r="B6412" s="116" t="str">
        <f t="shared" si="100"/>
        <v>95-956200190</v>
      </c>
      <c r="C6412" s="179" t="s">
        <v>8469</v>
      </c>
    </row>
    <row r="6413" spans="1:3">
      <c r="A6413" s="177">
        <v>966200187</v>
      </c>
      <c r="B6413" s="116" t="str">
        <f t="shared" si="100"/>
        <v>96-966200187</v>
      </c>
      <c r="C6413" s="179" t="s">
        <v>7942</v>
      </c>
    </row>
    <row r="6414" spans="1:3">
      <c r="A6414" s="177">
        <v>966200188</v>
      </c>
      <c r="B6414" s="116" t="str">
        <f t="shared" si="100"/>
        <v>96-966200188</v>
      </c>
      <c r="C6414" s="179" t="s">
        <v>8435</v>
      </c>
    </row>
    <row r="6415" spans="1:3">
      <c r="A6415" s="177">
        <v>956200344</v>
      </c>
      <c r="B6415" s="116" t="str">
        <f t="shared" si="100"/>
        <v>95-956200344</v>
      </c>
      <c r="C6415" s="179" t="s">
        <v>7949</v>
      </c>
    </row>
    <row r="6416" spans="1:3">
      <c r="A6416" s="177">
        <v>956200206</v>
      </c>
      <c r="B6416" s="116" t="str">
        <f t="shared" si="100"/>
        <v>95-956200206</v>
      </c>
      <c r="C6416" s="179" t="s">
        <v>7879</v>
      </c>
    </row>
    <row r="6417" spans="1:3">
      <c r="A6417" s="177">
        <v>956200223</v>
      </c>
      <c r="B6417" s="116" t="str">
        <f t="shared" si="100"/>
        <v>95-956200223</v>
      </c>
      <c r="C6417" s="179" t="s">
        <v>7919</v>
      </c>
    </row>
    <row r="6418" spans="1:3">
      <c r="A6418" s="177">
        <v>956200308</v>
      </c>
      <c r="B6418" s="116" t="str">
        <f t="shared" si="100"/>
        <v>95-956200308</v>
      </c>
      <c r="C6418" s="179" t="s">
        <v>7951</v>
      </c>
    </row>
    <row r="6419" spans="1:3">
      <c r="A6419" s="177">
        <v>956200320</v>
      </c>
      <c r="B6419" s="116" t="str">
        <f t="shared" si="100"/>
        <v>95-956200320</v>
      </c>
      <c r="C6419" s="179" t="s">
        <v>7880</v>
      </c>
    </row>
    <row r="6420" spans="1:3">
      <c r="A6420" s="177">
        <v>966200078</v>
      </c>
      <c r="B6420" s="116" t="str">
        <f t="shared" si="100"/>
        <v>96-966200078</v>
      </c>
      <c r="C6420" s="179" t="s">
        <v>8604</v>
      </c>
    </row>
    <row r="6421" spans="1:3">
      <c r="A6421" s="177">
        <v>951400045</v>
      </c>
      <c r="B6421" s="116" t="str">
        <f t="shared" si="100"/>
        <v>95-951400045</v>
      </c>
      <c r="C6421" s="179" t="s">
        <v>7196</v>
      </c>
    </row>
    <row r="6422" spans="1:3">
      <c r="A6422" s="177">
        <v>951100124</v>
      </c>
      <c r="B6422" s="116" t="str">
        <f t="shared" si="100"/>
        <v>95-951100124</v>
      </c>
      <c r="C6422" s="179" t="s">
        <v>8605</v>
      </c>
    </row>
    <row r="6423" spans="1:3">
      <c r="A6423" s="177">
        <v>951100034</v>
      </c>
      <c r="B6423" s="116" t="str">
        <f t="shared" si="100"/>
        <v>95-951100034</v>
      </c>
      <c r="C6423" s="179" t="s">
        <v>8606</v>
      </c>
    </row>
    <row r="6424" spans="1:3">
      <c r="A6424" s="177">
        <v>961100021</v>
      </c>
      <c r="B6424" s="116" t="str">
        <f t="shared" si="100"/>
        <v>96-961100021</v>
      </c>
      <c r="C6424" s="179" t="s">
        <v>7961</v>
      </c>
    </row>
    <row r="6425" spans="1:3">
      <c r="A6425" s="177">
        <v>956200154</v>
      </c>
      <c r="B6425" s="116" t="str">
        <f t="shared" si="100"/>
        <v>95-956200154</v>
      </c>
      <c r="C6425" s="179" t="s">
        <v>7980</v>
      </c>
    </row>
    <row r="6426" spans="1:3">
      <c r="A6426" s="177">
        <v>951100127</v>
      </c>
      <c r="B6426" s="116" t="str">
        <f t="shared" si="100"/>
        <v>95-951100127</v>
      </c>
      <c r="C6426" s="179" t="s">
        <v>8607</v>
      </c>
    </row>
    <row r="6427" spans="1:3">
      <c r="A6427" s="177">
        <v>961100109</v>
      </c>
      <c r="B6427" s="116" t="str">
        <f t="shared" si="100"/>
        <v>96-961100109</v>
      </c>
      <c r="C6427" s="179" t="s">
        <v>12458</v>
      </c>
    </row>
    <row r="6428" spans="1:3">
      <c r="A6428" s="177">
        <v>956200166</v>
      </c>
      <c r="B6428" s="116" t="str">
        <f t="shared" si="100"/>
        <v>95-956200166</v>
      </c>
      <c r="C6428" s="179" t="s">
        <v>7980</v>
      </c>
    </row>
    <row r="6429" spans="1:3">
      <c r="A6429" s="177">
        <v>966200199</v>
      </c>
      <c r="B6429" s="116" t="str">
        <f t="shared" si="100"/>
        <v>96-966200199</v>
      </c>
      <c r="C6429" s="179" t="s">
        <v>7224</v>
      </c>
    </row>
    <row r="6430" spans="1:3">
      <c r="A6430" s="177">
        <v>951100055</v>
      </c>
      <c r="B6430" s="116" t="str">
        <f t="shared" si="100"/>
        <v>95-951100055</v>
      </c>
      <c r="C6430" s="179" t="s">
        <v>8608</v>
      </c>
    </row>
    <row r="6431" spans="1:3">
      <c r="A6431" s="177">
        <v>961100009</v>
      </c>
      <c r="B6431" s="116" t="str">
        <f t="shared" si="100"/>
        <v>96-961100009</v>
      </c>
      <c r="C6431" s="179" t="s">
        <v>8609</v>
      </c>
    </row>
    <row r="6432" spans="1:3">
      <c r="A6432" s="177">
        <v>966200110</v>
      </c>
      <c r="B6432" s="116" t="str">
        <f t="shared" si="100"/>
        <v>96-966200110</v>
      </c>
      <c r="C6432" s="179" t="s">
        <v>7979</v>
      </c>
    </row>
    <row r="6433" spans="1:3">
      <c r="A6433" s="177">
        <v>966200076</v>
      </c>
      <c r="B6433" s="116" t="str">
        <f t="shared" si="100"/>
        <v>96-966200076</v>
      </c>
      <c r="C6433" s="179" t="s">
        <v>8610</v>
      </c>
    </row>
    <row r="6434" spans="1:3">
      <c r="A6434" s="177">
        <v>966200114</v>
      </c>
      <c r="B6434" s="116" t="str">
        <f t="shared" si="100"/>
        <v>96-966200114</v>
      </c>
      <c r="C6434" s="179" t="s">
        <v>7992</v>
      </c>
    </row>
    <row r="6435" spans="1:3">
      <c r="A6435" s="177">
        <v>951100098</v>
      </c>
      <c r="B6435" s="116" t="str">
        <f t="shared" si="100"/>
        <v>95-951100098</v>
      </c>
      <c r="C6435" s="179" t="s">
        <v>8611</v>
      </c>
    </row>
    <row r="6436" spans="1:3">
      <c r="A6436" s="177">
        <v>966200223</v>
      </c>
      <c r="B6436" s="116" t="str">
        <f t="shared" si="100"/>
        <v>96-966200223</v>
      </c>
      <c r="C6436" s="179" t="s">
        <v>8001</v>
      </c>
    </row>
    <row r="6437" spans="1:3">
      <c r="A6437" s="177">
        <v>966200398</v>
      </c>
      <c r="B6437" s="116" t="str">
        <f t="shared" si="100"/>
        <v>96-966200398</v>
      </c>
      <c r="C6437" s="179" t="s">
        <v>12204</v>
      </c>
    </row>
    <row r="6438" spans="1:3">
      <c r="A6438" s="177">
        <v>966200417</v>
      </c>
      <c r="B6438" s="116" t="str">
        <f t="shared" si="100"/>
        <v>96-966200417</v>
      </c>
      <c r="C6438" s="179" t="s">
        <v>12216</v>
      </c>
    </row>
    <row r="6439" spans="1:3">
      <c r="A6439" s="177">
        <v>952000340</v>
      </c>
      <c r="B6439" s="116" t="str">
        <f t="shared" si="100"/>
        <v>95-952000340</v>
      </c>
      <c r="C6439" s="179" t="s">
        <v>8612</v>
      </c>
    </row>
    <row r="6440" spans="1:3">
      <c r="A6440" s="177">
        <v>966200026</v>
      </c>
      <c r="B6440" s="116" t="str">
        <f t="shared" si="100"/>
        <v>96-966200026</v>
      </c>
      <c r="C6440" s="179" t="s">
        <v>8613</v>
      </c>
    </row>
    <row r="6441" spans="1:3">
      <c r="A6441" s="177">
        <v>966200043</v>
      </c>
      <c r="B6441" s="116" t="str">
        <f t="shared" si="100"/>
        <v>96-966200043</v>
      </c>
      <c r="C6441" s="179" t="s">
        <v>7998</v>
      </c>
    </row>
    <row r="6442" spans="1:3">
      <c r="A6442" s="177">
        <v>966200051</v>
      </c>
      <c r="B6442" s="116" t="str">
        <f t="shared" si="100"/>
        <v>96-966200051</v>
      </c>
      <c r="C6442" s="179" t="s">
        <v>7998</v>
      </c>
    </row>
    <row r="6443" spans="1:3">
      <c r="A6443" s="177">
        <v>966200133</v>
      </c>
      <c r="B6443" s="116" t="str">
        <f t="shared" si="100"/>
        <v>96-966200133</v>
      </c>
      <c r="C6443" s="179" t="s">
        <v>8614</v>
      </c>
    </row>
    <row r="6444" spans="1:3">
      <c r="A6444" s="177">
        <v>966200494</v>
      </c>
      <c r="B6444" s="116" t="str">
        <f t="shared" si="100"/>
        <v>96-966200494</v>
      </c>
      <c r="C6444" s="179" t="s">
        <v>12214</v>
      </c>
    </row>
    <row r="6445" spans="1:3">
      <c r="A6445" s="177">
        <v>966200235</v>
      </c>
      <c r="B6445" s="116" t="str">
        <f t="shared" si="100"/>
        <v>96-966200235</v>
      </c>
      <c r="C6445" s="179" t="s">
        <v>8495</v>
      </c>
    </row>
    <row r="6446" spans="1:3">
      <c r="A6446" s="177">
        <v>966200378</v>
      </c>
      <c r="B6446" s="116" t="str">
        <f t="shared" si="100"/>
        <v>96-966200378</v>
      </c>
      <c r="C6446" s="179" t="s">
        <v>12318</v>
      </c>
    </row>
    <row r="6447" spans="1:3">
      <c r="A6447" s="177">
        <v>966000017</v>
      </c>
      <c r="B6447" s="116" t="str">
        <f t="shared" si="100"/>
        <v>96-966000017</v>
      </c>
      <c r="C6447" s="179" t="s">
        <v>8757</v>
      </c>
    </row>
    <row r="6448" spans="1:3">
      <c r="A6448" s="177">
        <v>966000028</v>
      </c>
      <c r="B6448" s="116" t="str">
        <f t="shared" si="100"/>
        <v>96-966000028</v>
      </c>
      <c r="C6448" s="179" t="s">
        <v>7146</v>
      </c>
    </row>
    <row r="6449" spans="1:3">
      <c r="A6449" s="177">
        <v>966000004</v>
      </c>
      <c r="B6449" s="116" t="str">
        <f t="shared" si="100"/>
        <v>96-966000004</v>
      </c>
      <c r="C6449" s="179" t="s">
        <v>7146</v>
      </c>
    </row>
    <row r="6450" spans="1:3">
      <c r="A6450" s="181">
        <v>961500959</v>
      </c>
      <c r="B6450" s="116" t="str">
        <f t="shared" si="100"/>
        <v>96-961500959</v>
      </c>
      <c r="C6450" s="181" t="s">
        <v>12663</v>
      </c>
    </row>
    <row r="6451" spans="1:3">
      <c r="A6451" s="181">
        <v>964100108</v>
      </c>
      <c r="B6451" s="116" t="str">
        <f t="shared" si="100"/>
        <v>96-964100108</v>
      </c>
      <c r="C6451" s="181" t="s">
        <v>12664</v>
      </c>
    </row>
    <row r="6452" spans="1:3">
      <c r="A6452" s="181">
        <v>964200025</v>
      </c>
      <c r="B6452" s="116" t="str">
        <f t="shared" si="100"/>
        <v>96-964200025</v>
      </c>
      <c r="C6452" s="181" t="s">
        <v>12429</v>
      </c>
    </row>
    <row r="6453" spans="1:3">
      <c r="A6453" s="181">
        <v>964200023</v>
      </c>
      <c r="B6453" s="116" t="str">
        <f t="shared" si="100"/>
        <v>96-964200023</v>
      </c>
      <c r="C6453" s="181" t="s">
        <v>12665</v>
      </c>
    </row>
    <row r="6454" spans="1:3">
      <c r="A6454" s="181">
        <v>964200018</v>
      </c>
      <c r="B6454" s="116" t="str">
        <f t="shared" si="100"/>
        <v>96-964200018</v>
      </c>
      <c r="C6454" s="181" t="s">
        <v>12429</v>
      </c>
    </row>
    <row r="6455" spans="1:3">
      <c r="A6455" s="181">
        <v>964200024</v>
      </c>
      <c r="B6455" s="116" t="str">
        <f t="shared" si="100"/>
        <v>96-964200024</v>
      </c>
      <c r="C6455" s="181" t="s">
        <v>12429</v>
      </c>
    </row>
    <row r="6456" spans="1:3">
      <c r="A6456" s="181">
        <v>964200022</v>
      </c>
      <c r="B6456" s="116" t="str">
        <f t="shared" si="100"/>
        <v>96-964200022</v>
      </c>
      <c r="C6456" s="181" t="s">
        <v>12665</v>
      </c>
    </row>
    <row r="6457" spans="1:3">
      <c r="A6457" s="181">
        <v>962200109</v>
      </c>
      <c r="B6457" s="116" t="str">
        <f t="shared" si="100"/>
        <v>96-962200109</v>
      </c>
      <c r="C6457" s="181" t="s">
        <v>12666</v>
      </c>
    </row>
    <row r="6458" spans="1:3">
      <c r="A6458" s="181">
        <v>962500215</v>
      </c>
      <c r="B6458" s="116" t="str">
        <f t="shared" si="100"/>
        <v>96-962500215</v>
      </c>
      <c r="C6458" s="181" t="s">
        <v>12667</v>
      </c>
    </row>
    <row r="6459" spans="1:3">
      <c r="A6459" s="181">
        <v>964200019</v>
      </c>
      <c r="B6459" s="116" t="str">
        <f t="shared" si="100"/>
        <v>96-964200019</v>
      </c>
      <c r="C6459" s="181" t="s">
        <v>12429</v>
      </c>
    </row>
    <row r="6460" spans="1:3">
      <c r="A6460" s="181">
        <v>964200026</v>
      </c>
      <c r="B6460" s="116" t="str">
        <f t="shared" si="100"/>
        <v>96-964200026</v>
      </c>
      <c r="C6460" s="181" t="s">
        <v>12668</v>
      </c>
    </row>
    <row r="6461" spans="1:3">
      <c r="A6461" s="181">
        <v>964200016</v>
      </c>
      <c r="B6461" s="116" t="str">
        <f t="shared" si="100"/>
        <v>96-964200016</v>
      </c>
      <c r="C6461" s="181" t="s">
        <v>12429</v>
      </c>
    </row>
    <row r="6462" spans="1:3">
      <c r="A6462" s="181">
        <v>961200193</v>
      </c>
      <c r="B6462" s="116" t="str">
        <f t="shared" si="100"/>
        <v>96-961200193</v>
      </c>
      <c r="C6462" s="181" t="s">
        <v>12421</v>
      </c>
    </row>
    <row r="6463" spans="1:3">
      <c r="A6463" s="181">
        <v>961200189</v>
      </c>
      <c r="B6463" s="116" t="str">
        <f t="shared" si="100"/>
        <v>96-961200189</v>
      </c>
      <c r="C6463" s="181" t="s">
        <v>12421</v>
      </c>
    </row>
    <row r="6464" spans="1:3">
      <c r="A6464" s="181">
        <v>961200197</v>
      </c>
      <c r="B6464" s="116" t="str">
        <f t="shared" si="100"/>
        <v>96-961200197</v>
      </c>
      <c r="C6464" s="181" t="s">
        <v>12421</v>
      </c>
    </row>
    <row r="6465" spans="1:3">
      <c r="A6465" s="181">
        <v>961200176</v>
      </c>
      <c r="B6465" s="116" t="str">
        <f t="shared" si="100"/>
        <v>96-961200176</v>
      </c>
      <c r="C6465" s="181" t="s">
        <v>12421</v>
      </c>
    </row>
    <row r="6466" spans="1:3">
      <c r="A6466" s="181">
        <v>961200185</v>
      </c>
      <c r="B6466" s="116" t="str">
        <f t="shared" si="100"/>
        <v>96-961200185</v>
      </c>
      <c r="C6466" s="181" t="s">
        <v>12423</v>
      </c>
    </row>
    <row r="6467" spans="1:3">
      <c r="A6467" s="181">
        <v>961200186</v>
      </c>
      <c r="B6467" s="116" t="str">
        <f t="shared" ref="B6467:B6530" si="101">MID(A6467,1,2)&amp;"-"&amp;A6467</f>
        <v>96-961200186</v>
      </c>
      <c r="C6467" s="181" t="s">
        <v>12413</v>
      </c>
    </row>
    <row r="6468" spans="1:3">
      <c r="A6468" s="181">
        <v>961200187</v>
      </c>
      <c r="B6468" s="116" t="str">
        <f t="shared" si="101"/>
        <v>96-961200187</v>
      </c>
      <c r="C6468" s="181" t="s">
        <v>12421</v>
      </c>
    </row>
    <row r="6469" spans="1:3">
      <c r="A6469" s="181">
        <v>961200177</v>
      </c>
      <c r="B6469" s="116" t="str">
        <f t="shared" si="101"/>
        <v>96-961200177</v>
      </c>
      <c r="C6469" s="181" t="s">
        <v>12421</v>
      </c>
    </row>
    <row r="6470" spans="1:3">
      <c r="A6470" s="181">
        <v>961200198</v>
      </c>
      <c r="B6470" s="116" t="str">
        <f t="shared" si="101"/>
        <v>96-961200198</v>
      </c>
      <c r="C6470" s="181" t="s">
        <v>12421</v>
      </c>
    </row>
    <row r="6471" spans="1:3">
      <c r="A6471" s="181">
        <v>961200182</v>
      </c>
      <c r="B6471" s="116" t="str">
        <f t="shared" si="101"/>
        <v>96-961200182</v>
      </c>
      <c r="C6471" s="181" t="s">
        <v>12421</v>
      </c>
    </row>
    <row r="6472" spans="1:3">
      <c r="A6472" s="181">
        <v>961200202</v>
      </c>
      <c r="B6472" s="116" t="str">
        <f t="shared" si="101"/>
        <v>96-961200202</v>
      </c>
      <c r="C6472" s="181" t="s">
        <v>12421</v>
      </c>
    </row>
    <row r="6473" spans="1:3">
      <c r="A6473" s="181">
        <v>961200181</v>
      </c>
      <c r="B6473" s="116" t="str">
        <f t="shared" si="101"/>
        <v>96-961200181</v>
      </c>
      <c r="C6473" s="181" t="s">
        <v>12413</v>
      </c>
    </row>
    <row r="6474" spans="1:3">
      <c r="A6474" s="181">
        <v>961500850</v>
      </c>
      <c r="B6474" s="116" t="str">
        <f t="shared" si="101"/>
        <v>96-961500850</v>
      </c>
      <c r="C6474" s="181" t="s">
        <v>12429</v>
      </c>
    </row>
    <row r="6475" spans="1:3">
      <c r="A6475" s="181">
        <v>961500851</v>
      </c>
      <c r="B6475" s="116" t="str">
        <f t="shared" si="101"/>
        <v>96-961500851</v>
      </c>
      <c r="C6475" s="181" t="s">
        <v>12429</v>
      </c>
    </row>
    <row r="6476" spans="1:3">
      <c r="A6476" s="181">
        <v>961500855</v>
      </c>
      <c r="B6476" s="116" t="str">
        <f t="shared" si="101"/>
        <v>96-961500855</v>
      </c>
      <c r="C6476" s="181" t="s">
        <v>12260</v>
      </c>
    </row>
    <row r="6477" spans="1:3">
      <c r="A6477" s="181">
        <v>961500859</v>
      </c>
      <c r="B6477" s="116" t="str">
        <f t="shared" si="101"/>
        <v>96-961500859</v>
      </c>
      <c r="C6477" s="181" t="s">
        <v>12260</v>
      </c>
    </row>
    <row r="6478" spans="1:3">
      <c r="A6478" s="181">
        <v>961500870</v>
      </c>
      <c r="B6478" s="116" t="str">
        <f t="shared" si="101"/>
        <v>96-961500870</v>
      </c>
      <c r="C6478" s="181" t="s">
        <v>12260</v>
      </c>
    </row>
    <row r="6479" spans="1:3">
      <c r="A6479" s="181">
        <v>961500883</v>
      </c>
      <c r="B6479" s="116" t="str">
        <f t="shared" si="101"/>
        <v>96-961500883</v>
      </c>
      <c r="C6479" s="181" t="s">
        <v>12429</v>
      </c>
    </row>
    <row r="6480" spans="1:3">
      <c r="A6480" s="181">
        <v>961500933</v>
      </c>
      <c r="B6480" s="116" t="str">
        <f t="shared" si="101"/>
        <v>96-961500933</v>
      </c>
      <c r="C6480" s="181" t="s">
        <v>12668</v>
      </c>
    </row>
    <row r="6481" spans="1:3">
      <c r="A6481" s="181">
        <v>961500945</v>
      </c>
      <c r="B6481" s="116" t="str">
        <f t="shared" si="101"/>
        <v>96-961500945</v>
      </c>
      <c r="C6481" s="181" t="s">
        <v>12668</v>
      </c>
    </row>
    <row r="6482" spans="1:3">
      <c r="A6482" s="181">
        <v>961500887</v>
      </c>
      <c r="B6482" s="116" t="str">
        <f t="shared" si="101"/>
        <v>96-961500887</v>
      </c>
      <c r="C6482" s="181" t="s">
        <v>12429</v>
      </c>
    </row>
    <row r="6483" spans="1:3">
      <c r="A6483" s="181">
        <v>961500903</v>
      </c>
      <c r="B6483" s="116" t="str">
        <f t="shared" si="101"/>
        <v>96-961500903</v>
      </c>
      <c r="C6483" s="181" t="s">
        <v>12429</v>
      </c>
    </row>
    <row r="6484" spans="1:3">
      <c r="A6484" s="181">
        <v>961500885</v>
      </c>
      <c r="B6484" s="116" t="str">
        <f t="shared" si="101"/>
        <v>96-961500885</v>
      </c>
      <c r="C6484" s="181" t="s">
        <v>12306</v>
      </c>
    </row>
    <row r="6485" spans="1:3">
      <c r="A6485" s="181">
        <v>961500891</v>
      </c>
      <c r="B6485" s="116" t="str">
        <f t="shared" si="101"/>
        <v>96-961500891</v>
      </c>
      <c r="C6485" s="181" t="s">
        <v>12306</v>
      </c>
    </row>
    <row r="6486" spans="1:3">
      <c r="A6486" s="181">
        <v>961500892</v>
      </c>
      <c r="B6486" s="116" t="str">
        <f t="shared" si="101"/>
        <v>96-961500892</v>
      </c>
      <c r="C6486" s="181" t="s">
        <v>12306</v>
      </c>
    </row>
    <row r="6487" spans="1:3">
      <c r="A6487" s="181">
        <v>961500906</v>
      </c>
      <c r="B6487" s="116" t="str">
        <f t="shared" si="101"/>
        <v>96-961500906</v>
      </c>
      <c r="C6487" s="181" t="s">
        <v>12306</v>
      </c>
    </row>
    <row r="6488" spans="1:3">
      <c r="A6488" s="181">
        <v>961500907</v>
      </c>
      <c r="B6488" s="116" t="str">
        <f t="shared" si="101"/>
        <v>96-961500907</v>
      </c>
      <c r="C6488" s="181" t="s">
        <v>12306</v>
      </c>
    </row>
    <row r="6489" spans="1:3">
      <c r="A6489" s="181">
        <v>961500915</v>
      </c>
      <c r="B6489" s="116" t="str">
        <f t="shared" si="101"/>
        <v>96-961500915</v>
      </c>
      <c r="C6489" s="181" t="s">
        <v>12306</v>
      </c>
    </row>
    <row r="6490" spans="1:3">
      <c r="A6490" s="181">
        <v>961500909</v>
      </c>
      <c r="B6490" s="116" t="str">
        <f t="shared" si="101"/>
        <v>96-961500909</v>
      </c>
      <c r="C6490" s="181" t="s">
        <v>12414</v>
      </c>
    </row>
    <row r="6491" spans="1:3">
      <c r="A6491" s="181">
        <v>961500961</v>
      </c>
      <c r="B6491" s="116" t="str">
        <f t="shared" si="101"/>
        <v>96-961500961</v>
      </c>
      <c r="C6491" s="181" t="s">
        <v>12669</v>
      </c>
    </row>
    <row r="6492" spans="1:3">
      <c r="A6492" s="181">
        <v>961500873</v>
      </c>
      <c r="B6492" s="116" t="str">
        <f t="shared" si="101"/>
        <v>96-961500873</v>
      </c>
      <c r="C6492" s="181" t="s">
        <v>12670</v>
      </c>
    </row>
    <row r="6493" spans="1:3">
      <c r="A6493" s="181">
        <v>961500913</v>
      </c>
      <c r="B6493" s="116" t="str">
        <f t="shared" si="101"/>
        <v>96-961500913</v>
      </c>
      <c r="C6493" s="181" t="s">
        <v>12671</v>
      </c>
    </row>
    <row r="6494" spans="1:3">
      <c r="A6494" s="181">
        <v>961500902</v>
      </c>
      <c r="B6494" s="116" t="str">
        <f t="shared" si="101"/>
        <v>96-961500902</v>
      </c>
      <c r="C6494" s="181" t="s">
        <v>12428</v>
      </c>
    </row>
    <row r="6495" spans="1:3">
      <c r="A6495" s="181">
        <v>961500923</v>
      </c>
      <c r="B6495" s="116" t="str">
        <f t="shared" si="101"/>
        <v>96-961500923</v>
      </c>
      <c r="C6495" s="181" t="s">
        <v>12428</v>
      </c>
    </row>
    <row r="6496" spans="1:3">
      <c r="A6496" s="181">
        <v>961500852</v>
      </c>
      <c r="B6496" s="116" t="str">
        <f t="shared" si="101"/>
        <v>96-961500852</v>
      </c>
      <c r="C6496" s="181" t="s">
        <v>12425</v>
      </c>
    </row>
    <row r="6497" spans="1:3">
      <c r="A6497" s="181">
        <v>961500858</v>
      </c>
      <c r="B6497" s="116" t="str">
        <f t="shared" si="101"/>
        <v>96-961500858</v>
      </c>
      <c r="C6497" s="181" t="s">
        <v>12425</v>
      </c>
    </row>
    <row r="6498" spans="1:3">
      <c r="A6498" s="181">
        <v>961200178</v>
      </c>
      <c r="B6498" s="116" t="str">
        <f t="shared" si="101"/>
        <v>96-961200178</v>
      </c>
      <c r="C6498" s="181" t="s">
        <v>12419</v>
      </c>
    </row>
    <row r="6499" spans="1:3">
      <c r="A6499" s="181">
        <v>961500943</v>
      </c>
      <c r="B6499" s="116" t="str">
        <f t="shared" si="101"/>
        <v>96-961500943</v>
      </c>
      <c r="C6499" s="181" t="s">
        <v>12672</v>
      </c>
    </row>
    <row r="6500" spans="1:3">
      <c r="A6500" s="181">
        <v>961500889</v>
      </c>
      <c r="B6500" s="116" t="str">
        <f t="shared" si="101"/>
        <v>96-961500889</v>
      </c>
      <c r="C6500" s="181" t="s">
        <v>12425</v>
      </c>
    </row>
    <row r="6501" spans="1:3">
      <c r="A6501" s="181">
        <v>961500897</v>
      </c>
      <c r="B6501" s="116" t="str">
        <f t="shared" si="101"/>
        <v>96-961500897</v>
      </c>
      <c r="C6501" s="181" t="s">
        <v>12425</v>
      </c>
    </row>
    <row r="6502" spans="1:3">
      <c r="A6502" s="181">
        <v>961500935</v>
      </c>
      <c r="B6502" s="116" t="str">
        <f t="shared" si="101"/>
        <v>96-961500935</v>
      </c>
      <c r="C6502" s="181" t="s">
        <v>12668</v>
      </c>
    </row>
    <row r="6503" spans="1:3">
      <c r="A6503" s="181">
        <v>961500948</v>
      </c>
      <c r="B6503" s="116" t="str">
        <f t="shared" si="101"/>
        <v>96-961500948</v>
      </c>
      <c r="C6503" s="181" t="s">
        <v>12668</v>
      </c>
    </row>
    <row r="6504" spans="1:3">
      <c r="A6504" s="181">
        <v>961500956</v>
      </c>
      <c r="B6504" s="116" t="str">
        <f t="shared" si="101"/>
        <v>96-961500956</v>
      </c>
      <c r="C6504" s="181" t="s">
        <v>12668</v>
      </c>
    </row>
    <row r="6505" spans="1:3">
      <c r="A6505" s="181">
        <v>961200195</v>
      </c>
      <c r="B6505" s="116" t="str">
        <f t="shared" si="101"/>
        <v>96-961200195</v>
      </c>
      <c r="C6505" s="181" t="s">
        <v>12421</v>
      </c>
    </row>
    <row r="6506" spans="1:3">
      <c r="A6506" s="181">
        <v>961500857</v>
      </c>
      <c r="B6506" s="116" t="str">
        <f t="shared" si="101"/>
        <v>96-961500857</v>
      </c>
      <c r="C6506" s="181" t="s">
        <v>12306</v>
      </c>
    </row>
    <row r="6507" spans="1:3">
      <c r="A6507" s="181">
        <v>961500932</v>
      </c>
      <c r="B6507" s="116" t="str">
        <f t="shared" si="101"/>
        <v>96-961500932</v>
      </c>
      <c r="C6507" s="181" t="s">
        <v>12673</v>
      </c>
    </row>
    <row r="6508" spans="1:3">
      <c r="A6508" s="181">
        <v>961500951</v>
      </c>
      <c r="B6508" s="116" t="str">
        <f t="shared" si="101"/>
        <v>96-961500951</v>
      </c>
      <c r="C6508" s="181" t="s">
        <v>12673</v>
      </c>
    </row>
    <row r="6509" spans="1:3">
      <c r="A6509" s="181">
        <v>961500895</v>
      </c>
      <c r="B6509" s="116" t="str">
        <f t="shared" si="101"/>
        <v>96-961500895</v>
      </c>
      <c r="C6509" s="181" t="s">
        <v>12429</v>
      </c>
    </row>
    <row r="6510" spans="1:3">
      <c r="A6510" s="181">
        <v>961500910</v>
      </c>
      <c r="B6510" s="116" t="str">
        <f t="shared" si="101"/>
        <v>96-961500910</v>
      </c>
      <c r="C6510" s="181" t="s">
        <v>12429</v>
      </c>
    </row>
    <row r="6511" spans="1:3">
      <c r="A6511" s="181">
        <v>961500930</v>
      </c>
      <c r="B6511" s="116" t="str">
        <f t="shared" si="101"/>
        <v>96-961500930</v>
      </c>
      <c r="C6511" s="181" t="s">
        <v>12429</v>
      </c>
    </row>
    <row r="6512" spans="1:3">
      <c r="A6512" s="181">
        <v>961500958</v>
      </c>
      <c r="B6512" s="116" t="str">
        <f t="shared" si="101"/>
        <v>96-961500958</v>
      </c>
      <c r="C6512" s="181" t="s">
        <v>12668</v>
      </c>
    </row>
    <row r="6513" spans="1:3">
      <c r="A6513" s="181">
        <v>961500962</v>
      </c>
      <c r="B6513" s="116" t="str">
        <f t="shared" si="101"/>
        <v>96-961500962</v>
      </c>
      <c r="C6513" s="181" t="s">
        <v>12673</v>
      </c>
    </row>
    <row r="6514" spans="1:3">
      <c r="A6514" s="181">
        <v>961500854</v>
      </c>
      <c r="B6514" s="116" t="str">
        <f t="shared" si="101"/>
        <v>96-961500854</v>
      </c>
      <c r="C6514" s="181" t="s">
        <v>12414</v>
      </c>
    </row>
    <row r="6515" spans="1:3">
      <c r="A6515" s="181">
        <v>961500919</v>
      </c>
      <c r="B6515" s="116" t="str">
        <f t="shared" si="101"/>
        <v>96-961500919</v>
      </c>
      <c r="C6515" s="181" t="s">
        <v>12414</v>
      </c>
    </row>
    <row r="6516" spans="1:3">
      <c r="A6516" s="181">
        <v>961500949</v>
      </c>
      <c r="B6516" s="116" t="str">
        <f t="shared" si="101"/>
        <v>96-961500949</v>
      </c>
      <c r="C6516" s="181" t="s">
        <v>12414</v>
      </c>
    </row>
    <row r="6517" spans="1:3">
      <c r="A6517" s="181">
        <v>961500950</v>
      </c>
      <c r="B6517" s="116" t="str">
        <f t="shared" si="101"/>
        <v>96-961500950</v>
      </c>
      <c r="C6517" s="181" t="s">
        <v>12414</v>
      </c>
    </row>
    <row r="6518" spans="1:3">
      <c r="A6518" s="181">
        <v>961500900</v>
      </c>
      <c r="B6518" s="116" t="str">
        <f t="shared" si="101"/>
        <v>96-961500900</v>
      </c>
      <c r="C6518" s="181" t="s">
        <v>12429</v>
      </c>
    </row>
    <row r="6519" spans="1:3">
      <c r="A6519" s="181">
        <v>961500946</v>
      </c>
      <c r="B6519" s="116" t="str">
        <f t="shared" si="101"/>
        <v>96-961500946</v>
      </c>
      <c r="C6519" s="181" t="s">
        <v>12668</v>
      </c>
    </row>
    <row r="6520" spans="1:3">
      <c r="A6520" s="181">
        <v>961500947</v>
      </c>
      <c r="B6520" s="116" t="str">
        <f t="shared" si="101"/>
        <v>96-961500947</v>
      </c>
      <c r="C6520" s="181" t="s">
        <v>12668</v>
      </c>
    </row>
    <row r="6521" spans="1:3">
      <c r="A6521" s="181">
        <v>961500957</v>
      </c>
      <c r="B6521" s="116" t="str">
        <f t="shared" si="101"/>
        <v>96-961500957</v>
      </c>
      <c r="C6521" s="181" t="s">
        <v>12668</v>
      </c>
    </row>
    <row r="6522" spans="1:3">
      <c r="A6522" s="181">
        <v>961500916</v>
      </c>
      <c r="B6522" s="116" t="str">
        <f t="shared" si="101"/>
        <v>96-961500916</v>
      </c>
      <c r="C6522" s="181" t="s">
        <v>12306</v>
      </c>
    </row>
    <row r="6523" spans="1:3">
      <c r="A6523" s="181">
        <v>961500869</v>
      </c>
      <c r="B6523" s="116" t="str">
        <f t="shared" si="101"/>
        <v>96-961500869</v>
      </c>
      <c r="C6523" s="181" t="s">
        <v>12260</v>
      </c>
    </row>
    <row r="6524" spans="1:3">
      <c r="A6524" s="181">
        <v>961500877</v>
      </c>
      <c r="B6524" s="116" t="str">
        <f t="shared" si="101"/>
        <v>96-961500877</v>
      </c>
      <c r="C6524" s="181" t="s">
        <v>12429</v>
      </c>
    </row>
    <row r="6525" spans="1:3">
      <c r="A6525" s="181">
        <v>961500849</v>
      </c>
      <c r="B6525" s="116" t="str">
        <f t="shared" si="101"/>
        <v>96-961500849</v>
      </c>
      <c r="C6525" s="181" t="s">
        <v>12424</v>
      </c>
    </row>
    <row r="6526" spans="1:3">
      <c r="A6526" s="181">
        <v>961500860</v>
      </c>
      <c r="B6526" s="116" t="str">
        <f t="shared" si="101"/>
        <v>96-961500860</v>
      </c>
      <c r="C6526" s="181" t="s">
        <v>12674</v>
      </c>
    </row>
    <row r="6527" spans="1:3">
      <c r="A6527" s="181">
        <v>961500867</v>
      </c>
      <c r="B6527" s="116" t="str">
        <f t="shared" si="101"/>
        <v>96-961500867</v>
      </c>
      <c r="C6527" s="181" t="s">
        <v>12675</v>
      </c>
    </row>
    <row r="6528" spans="1:3">
      <c r="A6528" s="181">
        <v>961500846</v>
      </c>
      <c r="B6528" s="116" t="str">
        <f t="shared" si="101"/>
        <v>96-961500846</v>
      </c>
      <c r="C6528" s="181" t="s">
        <v>12414</v>
      </c>
    </row>
    <row r="6529" spans="1:3">
      <c r="A6529" s="181">
        <v>961500853</v>
      </c>
      <c r="B6529" s="116" t="str">
        <f t="shared" si="101"/>
        <v>96-961500853</v>
      </c>
      <c r="C6529" s="181" t="s">
        <v>12414</v>
      </c>
    </row>
    <row r="6530" spans="1:3">
      <c r="A6530" s="181">
        <v>961500952</v>
      </c>
      <c r="B6530" s="116" t="str">
        <f t="shared" si="101"/>
        <v>96-961500952</v>
      </c>
      <c r="C6530" s="181" t="s">
        <v>12673</v>
      </c>
    </row>
    <row r="6531" spans="1:3">
      <c r="A6531" s="181">
        <v>961500872</v>
      </c>
      <c r="B6531" s="116" t="str">
        <f t="shared" ref="B6531:B6594" si="102">MID(A6531,1,2)&amp;"-"&amp;A6531</f>
        <v>96-961500872</v>
      </c>
      <c r="C6531" s="181" t="s">
        <v>12414</v>
      </c>
    </row>
    <row r="6532" spans="1:3">
      <c r="A6532" s="181">
        <v>961500896</v>
      </c>
      <c r="B6532" s="116" t="str">
        <f t="shared" si="102"/>
        <v>96-961500896</v>
      </c>
      <c r="C6532" s="181" t="s">
        <v>12414</v>
      </c>
    </row>
    <row r="6533" spans="1:3">
      <c r="A6533" s="181">
        <v>961500941</v>
      </c>
      <c r="B6533" s="116" t="str">
        <f t="shared" si="102"/>
        <v>96-961500941</v>
      </c>
      <c r="C6533" s="181" t="s">
        <v>12414</v>
      </c>
    </row>
    <row r="6534" spans="1:3">
      <c r="A6534" s="181">
        <v>961500921</v>
      </c>
      <c r="B6534" s="116" t="str">
        <f t="shared" si="102"/>
        <v>96-961500921</v>
      </c>
      <c r="C6534" s="181" t="s">
        <v>12427</v>
      </c>
    </row>
    <row r="6535" spans="1:3">
      <c r="A6535" s="181">
        <v>961500856</v>
      </c>
      <c r="B6535" s="116" t="str">
        <f t="shared" si="102"/>
        <v>96-961500856</v>
      </c>
      <c r="C6535" s="181" t="s">
        <v>12428</v>
      </c>
    </row>
    <row r="6536" spans="1:3">
      <c r="A6536" s="181">
        <v>961500914</v>
      </c>
      <c r="B6536" s="116" t="str">
        <f t="shared" si="102"/>
        <v>96-961500914</v>
      </c>
      <c r="C6536" s="181" t="s">
        <v>12428</v>
      </c>
    </row>
    <row r="6537" spans="1:3">
      <c r="A6537" s="181">
        <v>961500882</v>
      </c>
      <c r="B6537" s="116" t="str">
        <f t="shared" si="102"/>
        <v>96-961500882</v>
      </c>
      <c r="C6537" s="181" t="s">
        <v>12414</v>
      </c>
    </row>
    <row r="6538" spans="1:3">
      <c r="A6538" s="181">
        <v>961500929</v>
      </c>
      <c r="B6538" s="116" t="str">
        <f t="shared" si="102"/>
        <v>96-961500929</v>
      </c>
      <c r="C6538" s="181" t="s">
        <v>12414</v>
      </c>
    </row>
    <row r="6539" spans="1:3">
      <c r="A6539" s="181">
        <v>961500937</v>
      </c>
      <c r="B6539" s="116" t="str">
        <f t="shared" si="102"/>
        <v>96-961500937</v>
      </c>
      <c r="C6539" s="181" t="s">
        <v>12414</v>
      </c>
    </row>
    <row r="6540" spans="1:3">
      <c r="A6540" s="181">
        <v>961500944</v>
      </c>
      <c r="B6540" s="116" t="str">
        <f t="shared" si="102"/>
        <v>96-961500944</v>
      </c>
      <c r="C6540" s="181" t="s">
        <v>12414</v>
      </c>
    </row>
    <row r="6541" spans="1:3">
      <c r="A6541" s="181">
        <v>961500960</v>
      </c>
      <c r="B6541" s="116" t="str">
        <f t="shared" si="102"/>
        <v>96-961500960</v>
      </c>
      <c r="C6541" s="181" t="s">
        <v>12669</v>
      </c>
    </row>
    <row r="6542" spans="1:3">
      <c r="A6542" s="181">
        <v>961500890</v>
      </c>
      <c r="B6542" s="116" t="str">
        <f t="shared" si="102"/>
        <v>96-961500890</v>
      </c>
      <c r="C6542" s="181" t="s">
        <v>12424</v>
      </c>
    </row>
    <row r="6543" spans="1:3">
      <c r="A6543" s="181">
        <v>961500901</v>
      </c>
      <c r="B6543" s="116" t="str">
        <f t="shared" si="102"/>
        <v>96-961500901</v>
      </c>
      <c r="C6543" s="181" t="s">
        <v>12676</v>
      </c>
    </row>
    <row r="6544" spans="1:3">
      <c r="A6544" s="181">
        <v>961500866</v>
      </c>
      <c r="B6544" s="116" t="str">
        <f t="shared" si="102"/>
        <v>96-961500866</v>
      </c>
      <c r="C6544" s="181" t="s">
        <v>12675</v>
      </c>
    </row>
    <row r="6545" spans="1:3">
      <c r="A6545" s="181">
        <v>961500912</v>
      </c>
      <c r="B6545" s="116" t="str">
        <f t="shared" si="102"/>
        <v>96-961500912</v>
      </c>
      <c r="C6545" s="181" t="s">
        <v>12424</v>
      </c>
    </row>
    <row r="6546" spans="1:3">
      <c r="A6546" s="181">
        <v>961500942</v>
      </c>
      <c r="B6546" s="116" t="str">
        <f t="shared" si="102"/>
        <v>96-961500942</v>
      </c>
      <c r="C6546" s="181" t="s">
        <v>12673</v>
      </c>
    </row>
    <row r="6547" spans="1:3">
      <c r="A6547" s="181">
        <v>961500874</v>
      </c>
      <c r="B6547" s="116" t="str">
        <f t="shared" si="102"/>
        <v>96-961500874</v>
      </c>
      <c r="C6547" s="181" t="s">
        <v>12676</v>
      </c>
    </row>
    <row r="6548" spans="1:3">
      <c r="A6548" s="181">
        <v>961500925</v>
      </c>
      <c r="B6548" s="116" t="str">
        <f t="shared" si="102"/>
        <v>96-961500925</v>
      </c>
      <c r="C6548" s="181" t="s">
        <v>12427</v>
      </c>
    </row>
    <row r="6549" spans="1:3">
      <c r="A6549" s="181">
        <v>961500868</v>
      </c>
      <c r="B6549" s="116" t="str">
        <f t="shared" si="102"/>
        <v>96-961500868</v>
      </c>
      <c r="C6549" s="181" t="s">
        <v>12428</v>
      </c>
    </row>
    <row r="6550" spans="1:3">
      <c r="A6550" s="181">
        <v>961500936</v>
      </c>
      <c r="B6550" s="116" t="str">
        <f t="shared" si="102"/>
        <v>96-961500936</v>
      </c>
      <c r="C6550" s="181" t="s">
        <v>12428</v>
      </c>
    </row>
    <row r="6551" spans="1:3">
      <c r="A6551" s="181">
        <v>961500880</v>
      </c>
      <c r="B6551" s="116" t="str">
        <f t="shared" si="102"/>
        <v>96-961500880</v>
      </c>
      <c r="C6551" s="181" t="s">
        <v>12428</v>
      </c>
    </row>
    <row r="6552" spans="1:3">
      <c r="A6552" s="181">
        <v>961500905</v>
      </c>
      <c r="B6552" s="116" t="str">
        <f t="shared" si="102"/>
        <v>96-961500905</v>
      </c>
      <c r="C6552" s="181" t="s">
        <v>12428</v>
      </c>
    </row>
    <row r="6553" spans="1:3">
      <c r="A6553" s="181">
        <v>961500926</v>
      </c>
      <c r="B6553" s="116" t="str">
        <f t="shared" si="102"/>
        <v>96-961500926</v>
      </c>
      <c r="C6553" s="181" t="s">
        <v>12428</v>
      </c>
    </row>
    <row r="6554" spans="1:3">
      <c r="A6554" s="181">
        <v>961500954</v>
      </c>
      <c r="B6554" s="116" t="str">
        <f t="shared" si="102"/>
        <v>96-961500954</v>
      </c>
      <c r="C6554" s="181" t="s">
        <v>12672</v>
      </c>
    </row>
    <row r="6555" spans="1:3">
      <c r="A6555" s="181">
        <v>961500898</v>
      </c>
      <c r="B6555" s="116" t="str">
        <f t="shared" si="102"/>
        <v>96-961500898</v>
      </c>
      <c r="C6555" s="181" t="s">
        <v>12677</v>
      </c>
    </row>
    <row r="6556" spans="1:3">
      <c r="A6556" s="181">
        <v>961500924</v>
      </c>
      <c r="B6556" s="116" t="str">
        <f t="shared" si="102"/>
        <v>96-961500924</v>
      </c>
      <c r="C6556" s="181" t="s">
        <v>12677</v>
      </c>
    </row>
    <row r="6557" spans="1:3">
      <c r="A6557" s="181">
        <v>961500848</v>
      </c>
      <c r="B6557" s="116" t="str">
        <f t="shared" si="102"/>
        <v>96-961500848</v>
      </c>
      <c r="C6557" s="181" t="s">
        <v>12414</v>
      </c>
    </row>
    <row r="6558" spans="1:3">
      <c r="A6558" s="181">
        <v>961500888</v>
      </c>
      <c r="B6558" s="116" t="str">
        <f t="shared" si="102"/>
        <v>96-961500888</v>
      </c>
      <c r="C6558" s="181" t="s">
        <v>12414</v>
      </c>
    </row>
    <row r="6559" spans="1:3">
      <c r="A6559" s="181">
        <v>961500927</v>
      </c>
      <c r="B6559" s="116" t="str">
        <f t="shared" si="102"/>
        <v>96-961500927</v>
      </c>
      <c r="C6559" s="181" t="s">
        <v>12414</v>
      </c>
    </row>
    <row r="6560" spans="1:3">
      <c r="A6560" s="181">
        <v>961500911</v>
      </c>
      <c r="B6560" s="116" t="str">
        <f t="shared" si="102"/>
        <v>96-961500911</v>
      </c>
      <c r="C6560" s="181" t="s">
        <v>12674</v>
      </c>
    </row>
    <row r="6561" spans="1:3">
      <c r="A6561" s="181">
        <v>961500920</v>
      </c>
      <c r="B6561" s="116" t="str">
        <f t="shared" si="102"/>
        <v>96-961500920</v>
      </c>
      <c r="C6561" s="181" t="s">
        <v>12674</v>
      </c>
    </row>
    <row r="6562" spans="1:3">
      <c r="A6562" s="181">
        <v>961500928</v>
      </c>
      <c r="B6562" s="116" t="str">
        <f t="shared" si="102"/>
        <v>96-961500928</v>
      </c>
      <c r="C6562" s="181" t="s">
        <v>12678</v>
      </c>
    </row>
    <row r="6563" spans="1:3">
      <c r="A6563" s="181">
        <v>961500963</v>
      </c>
      <c r="B6563" s="116" t="str">
        <f t="shared" si="102"/>
        <v>96-961500963</v>
      </c>
      <c r="C6563" s="181" t="s">
        <v>9774</v>
      </c>
    </row>
    <row r="6564" spans="1:3">
      <c r="A6564" s="181">
        <v>961500893</v>
      </c>
      <c r="B6564" s="116" t="str">
        <f t="shared" si="102"/>
        <v>96-961500893</v>
      </c>
      <c r="C6564" s="181" t="s">
        <v>12671</v>
      </c>
    </row>
    <row r="6565" spans="1:3">
      <c r="A6565" s="181">
        <v>961500953</v>
      </c>
      <c r="B6565" s="116" t="str">
        <f t="shared" si="102"/>
        <v>96-961500953</v>
      </c>
      <c r="C6565" s="181" t="s">
        <v>12677</v>
      </c>
    </row>
    <row r="6566" spans="1:3">
      <c r="A6566" s="181">
        <v>961500931</v>
      </c>
      <c r="B6566" s="116" t="str">
        <f t="shared" si="102"/>
        <v>96-961500931</v>
      </c>
      <c r="C6566" s="181" t="s">
        <v>12429</v>
      </c>
    </row>
    <row r="6567" spans="1:3">
      <c r="A6567" s="181">
        <v>961500934</v>
      </c>
      <c r="B6567" s="116" t="str">
        <f t="shared" si="102"/>
        <v>96-961500934</v>
      </c>
      <c r="C6567" s="181" t="s">
        <v>12668</v>
      </c>
    </row>
    <row r="6568" spans="1:3">
      <c r="A6568" s="181">
        <v>961500917</v>
      </c>
      <c r="B6568" s="116" t="str">
        <f t="shared" si="102"/>
        <v>96-961500917</v>
      </c>
      <c r="C6568" s="181" t="s">
        <v>12673</v>
      </c>
    </row>
    <row r="6569" spans="1:3">
      <c r="A6569" s="181">
        <v>961500922</v>
      </c>
      <c r="B6569" s="116" t="str">
        <f t="shared" si="102"/>
        <v>96-961500922</v>
      </c>
      <c r="C6569" s="181" t="s">
        <v>12673</v>
      </c>
    </row>
    <row r="6570" spans="1:3">
      <c r="A6570" s="181">
        <v>961500938</v>
      </c>
      <c r="B6570" s="116" t="str">
        <f t="shared" si="102"/>
        <v>96-961500938</v>
      </c>
      <c r="C6570" s="181" t="s">
        <v>12673</v>
      </c>
    </row>
    <row r="6571" spans="1:3">
      <c r="A6571" s="181">
        <v>961500955</v>
      </c>
      <c r="B6571" s="116" t="str">
        <f t="shared" si="102"/>
        <v>96-961500955</v>
      </c>
      <c r="C6571" s="181" t="s">
        <v>12673</v>
      </c>
    </row>
    <row r="6572" spans="1:3">
      <c r="A6572" s="181">
        <v>961500864</v>
      </c>
      <c r="B6572" s="116" t="str">
        <f t="shared" si="102"/>
        <v>96-961500864</v>
      </c>
      <c r="C6572" s="181" t="s">
        <v>12414</v>
      </c>
    </row>
    <row r="6573" spans="1:3">
      <c r="A6573" s="181">
        <v>961500871</v>
      </c>
      <c r="B6573" s="116" t="str">
        <f t="shared" si="102"/>
        <v>96-961500871</v>
      </c>
      <c r="C6573" s="181" t="s">
        <v>12663</v>
      </c>
    </row>
    <row r="6574" spans="1:3">
      <c r="A6574" s="181">
        <v>961200201</v>
      </c>
      <c r="B6574" s="116" t="str">
        <f t="shared" si="102"/>
        <v>96-961200201</v>
      </c>
      <c r="C6574" s="181" t="s">
        <v>12679</v>
      </c>
    </row>
    <row r="6575" spans="1:3">
      <c r="A6575" s="181">
        <v>961200179</v>
      </c>
      <c r="B6575" s="116" t="str">
        <f t="shared" si="102"/>
        <v>96-961200179</v>
      </c>
      <c r="C6575" s="181" t="s">
        <v>12680</v>
      </c>
    </row>
    <row r="6576" spans="1:3">
      <c r="A6576" s="181">
        <v>961200190</v>
      </c>
      <c r="B6576" s="116" t="str">
        <f t="shared" si="102"/>
        <v>96-961200190</v>
      </c>
      <c r="C6576" s="181" t="s">
        <v>12681</v>
      </c>
    </row>
    <row r="6577" spans="1:3">
      <c r="A6577" s="181">
        <v>961200188</v>
      </c>
      <c r="B6577" s="116" t="str">
        <f t="shared" si="102"/>
        <v>96-961200188</v>
      </c>
      <c r="C6577" s="181" t="s">
        <v>12682</v>
      </c>
    </row>
    <row r="6578" spans="1:3">
      <c r="A6578" s="181">
        <v>961200194</v>
      </c>
      <c r="B6578" s="116" t="str">
        <f t="shared" si="102"/>
        <v>96-961200194</v>
      </c>
      <c r="C6578" s="181" t="s">
        <v>12682</v>
      </c>
    </row>
    <row r="6579" spans="1:3">
      <c r="A6579" s="181">
        <v>961200196</v>
      </c>
      <c r="B6579" s="116" t="str">
        <f t="shared" si="102"/>
        <v>96-961200196</v>
      </c>
      <c r="C6579" s="181" t="s">
        <v>12682</v>
      </c>
    </row>
    <row r="6580" spans="1:3">
      <c r="A6580" s="181">
        <v>964100097</v>
      </c>
      <c r="B6580" s="116" t="str">
        <f t="shared" si="102"/>
        <v>96-964100097</v>
      </c>
      <c r="C6580" s="181" t="s">
        <v>5782</v>
      </c>
    </row>
    <row r="6581" spans="1:3">
      <c r="A6581" s="181">
        <v>964300039</v>
      </c>
      <c r="B6581" s="116" t="str">
        <f t="shared" si="102"/>
        <v>96-964300039</v>
      </c>
      <c r="C6581" s="181" t="s">
        <v>12421</v>
      </c>
    </row>
    <row r="6582" spans="1:3">
      <c r="A6582" s="181">
        <v>964300043</v>
      </c>
      <c r="B6582" s="116" t="str">
        <f t="shared" si="102"/>
        <v>96-964300043</v>
      </c>
      <c r="C6582" s="181" t="s">
        <v>12683</v>
      </c>
    </row>
    <row r="6583" spans="1:3">
      <c r="A6583" s="181">
        <v>964300046</v>
      </c>
      <c r="B6583" s="116" t="str">
        <f t="shared" si="102"/>
        <v>96-964300046</v>
      </c>
      <c r="C6583" s="181" t="s">
        <v>12683</v>
      </c>
    </row>
    <row r="6584" spans="1:3">
      <c r="A6584" s="181">
        <v>962500204</v>
      </c>
      <c r="B6584" s="116" t="str">
        <f t="shared" si="102"/>
        <v>96-962500204</v>
      </c>
      <c r="C6584" s="181" t="s">
        <v>12444</v>
      </c>
    </row>
    <row r="6585" spans="1:3">
      <c r="A6585" s="181">
        <v>964100095</v>
      </c>
      <c r="B6585" s="116" t="str">
        <f t="shared" si="102"/>
        <v>96-964100095</v>
      </c>
      <c r="C6585" s="181" t="s">
        <v>9911</v>
      </c>
    </row>
    <row r="6586" spans="1:3">
      <c r="A6586" s="181">
        <v>964100099</v>
      </c>
      <c r="B6586" s="116" t="str">
        <f t="shared" si="102"/>
        <v>96-964100099</v>
      </c>
      <c r="C6586" s="181" t="s">
        <v>5783</v>
      </c>
    </row>
    <row r="6587" spans="1:3">
      <c r="A6587" s="181">
        <v>964300040</v>
      </c>
      <c r="B6587" s="116" t="str">
        <f t="shared" si="102"/>
        <v>96-964300040</v>
      </c>
      <c r="C6587" s="181" t="s">
        <v>12421</v>
      </c>
    </row>
    <row r="6588" spans="1:3">
      <c r="A6588" s="181">
        <v>964300041</v>
      </c>
      <c r="B6588" s="116" t="str">
        <f t="shared" si="102"/>
        <v>96-964300041</v>
      </c>
      <c r="C6588" s="181" t="s">
        <v>12421</v>
      </c>
    </row>
    <row r="6589" spans="1:3">
      <c r="A6589" s="181">
        <v>962200102</v>
      </c>
      <c r="B6589" s="116" t="str">
        <f t="shared" si="102"/>
        <v>96-962200102</v>
      </c>
      <c r="C6589" s="181" t="s">
        <v>12666</v>
      </c>
    </row>
    <row r="6590" spans="1:3">
      <c r="A6590" s="181">
        <v>962500207</v>
      </c>
      <c r="B6590" s="116" t="str">
        <f t="shared" si="102"/>
        <v>96-962500207</v>
      </c>
      <c r="C6590" s="181" t="s">
        <v>5858</v>
      </c>
    </row>
    <row r="6591" spans="1:3">
      <c r="A6591" s="181">
        <v>962500199</v>
      </c>
      <c r="B6591" s="116" t="str">
        <f t="shared" si="102"/>
        <v>96-962500199</v>
      </c>
      <c r="C6591" s="181" t="s">
        <v>12195</v>
      </c>
    </row>
    <row r="6592" spans="1:3">
      <c r="A6592" s="181">
        <v>964200011</v>
      </c>
      <c r="B6592" s="116" t="str">
        <f t="shared" si="102"/>
        <v>96-964200011</v>
      </c>
      <c r="C6592" s="181" t="s">
        <v>12260</v>
      </c>
    </row>
    <row r="6593" spans="1:3">
      <c r="A6593" s="181">
        <v>964100096</v>
      </c>
      <c r="B6593" s="116" t="str">
        <f t="shared" si="102"/>
        <v>96-964100096</v>
      </c>
      <c r="C6593" s="181" t="s">
        <v>7138</v>
      </c>
    </row>
    <row r="6594" spans="1:3">
      <c r="A6594" s="181">
        <v>964100104</v>
      </c>
      <c r="B6594" s="116" t="str">
        <f t="shared" si="102"/>
        <v>96-964100104</v>
      </c>
      <c r="C6594" s="181" t="s">
        <v>12664</v>
      </c>
    </row>
    <row r="6595" spans="1:3">
      <c r="A6595" s="181">
        <v>964100105</v>
      </c>
      <c r="B6595" s="116" t="str">
        <f t="shared" ref="B6595:B6658" si="103">MID(A6595,1,2)&amp;"-"&amp;A6595</f>
        <v>96-964100105</v>
      </c>
      <c r="C6595" s="181" t="s">
        <v>12664</v>
      </c>
    </row>
    <row r="6596" spans="1:3">
      <c r="A6596" s="181">
        <v>962500214</v>
      </c>
      <c r="B6596" s="116" t="str">
        <f t="shared" si="103"/>
        <v>96-962500214</v>
      </c>
      <c r="C6596" s="181" t="s">
        <v>12673</v>
      </c>
    </row>
    <row r="6597" spans="1:3">
      <c r="A6597" s="181">
        <v>962500200</v>
      </c>
      <c r="B6597" s="116" t="str">
        <f t="shared" si="103"/>
        <v>96-962500200</v>
      </c>
      <c r="C6597" s="181" t="s">
        <v>12667</v>
      </c>
    </row>
    <row r="6598" spans="1:3">
      <c r="A6598" s="181">
        <v>962200103</v>
      </c>
      <c r="B6598" s="116" t="str">
        <f t="shared" si="103"/>
        <v>96-962200103</v>
      </c>
      <c r="C6598" s="181" t="s">
        <v>12423</v>
      </c>
    </row>
    <row r="6599" spans="1:3">
      <c r="A6599" s="181">
        <v>962500205</v>
      </c>
      <c r="B6599" s="116" t="str">
        <f t="shared" si="103"/>
        <v>96-962500205</v>
      </c>
      <c r="C6599" s="181" t="s">
        <v>12667</v>
      </c>
    </row>
    <row r="6600" spans="1:3">
      <c r="A6600" s="181">
        <v>964200013</v>
      </c>
      <c r="B6600" s="116" t="str">
        <f t="shared" si="103"/>
        <v>96-964200013</v>
      </c>
      <c r="C6600" s="181" t="s">
        <v>12260</v>
      </c>
    </row>
    <row r="6601" spans="1:3">
      <c r="A6601" s="181">
        <v>962500212</v>
      </c>
      <c r="B6601" s="116" t="str">
        <f t="shared" si="103"/>
        <v>96-962500212</v>
      </c>
      <c r="C6601" s="181" t="s">
        <v>12684</v>
      </c>
    </row>
    <row r="6602" spans="1:3">
      <c r="A6602" s="181">
        <v>964200014</v>
      </c>
      <c r="B6602" s="116" t="str">
        <f t="shared" si="103"/>
        <v>96-964200014</v>
      </c>
      <c r="C6602" s="181" t="s">
        <v>12260</v>
      </c>
    </row>
    <row r="6603" spans="1:3">
      <c r="A6603" s="181">
        <v>961200174</v>
      </c>
      <c r="B6603" s="116" t="str">
        <f t="shared" si="103"/>
        <v>96-961200174</v>
      </c>
      <c r="C6603" s="181" t="s">
        <v>12431</v>
      </c>
    </row>
    <row r="6604" spans="1:3">
      <c r="A6604" s="181">
        <v>961200173</v>
      </c>
      <c r="B6604" s="116" t="str">
        <f t="shared" si="103"/>
        <v>96-961200173</v>
      </c>
      <c r="C6604" s="181" t="s">
        <v>12441</v>
      </c>
    </row>
    <row r="6605" spans="1:3">
      <c r="A6605" s="181">
        <v>961200203</v>
      </c>
      <c r="B6605" s="116" t="str">
        <f t="shared" si="103"/>
        <v>96-961200203</v>
      </c>
      <c r="C6605" s="181" t="s">
        <v>12682</v>
      </c>
    </row>
    <row r="6606" spans="1:3">
      <c r="A6606" s="181">
        <v>961200205</v>
      </c>
      <c r="B6606" s="116" t="str">
        <f t="shared" si="103"/>
        <v>96-961200205</v>
      </c>
      <c r="C6606" s="181" t="s">
        <v>12682</v>
      </c>
    </row>
    <row r="6607" spans="1:3">
      <c r="A6607" s="181">
        <v>964100107</v>
      </c>
      <c r="B6607" s="116" t="str">
        <f t="shared" si="103"/>
        <v>96-964100107</v>
      </c>
      <c r="C6607" s="181" t="s">
        <v>9774</v>
      </c>
    </row>
    <row r="6608" spans="1:3">
      <c r="A6608" s="181">
        <v>964100102</v>
      </c>
      <c r="B6608" s="116" t="str">
        <f t="shared" si="103"/>
        <v>96-964100102</v>
      </c>
      <c r="C6608" s="181" t="s">
        <v>12664</v>
      </c>
    </row>
    <row r="6609" spans="1:3">
      <c r="A6609" s="181">
        <v>964100103</v>
      </c>
      <c r="B6609" s="116" t="str">
        <f t="shared" si="103"/>
        <v>96-964100103</v>
      </c>
      <c r="C6609" s="181" t="s">
        <v>12664</v>
      </c>
    </row>
    <row r="6610" spans="1:3">
      <c r="A6610" s="181">
        <v>964300042</v>
      </c>
      <c r="B6610" s="116" t="str">
        <f t="shared" si="103"/>
        <v>96-964300042</v>
      </c>
      <c r="C6610" s="181" t="s">
        <v>12421</v>
      </c>
    </row>
    <row r="6611" spans="1:3">
      <c r="A6611" s="181">
        <v>964300045</v>
      </c>
      <c r="B6611" s="116" t="str">
        <f t="shared" si="103"/>
        <v>96-964300045</v>
      </c>
      <c r="C6611" s="181" t="s">
        <v>12421</v>
      </c>
    </row>
    <row r="6612" spans="1:3">
      <c r="A6612" s="181">
        <v>962500206</v>
      </c>
      <c r="B6612" s="116" t="str">
        <f t="shared" si="103"/>
        <v>96-962500206</v>
      </c>
      <c r="C6612" s="181" t="s">
        <v>12444</v>
      </c>
    </row>
    <row r="6613" spans="1:3">
      <c r="A6613" s="181">
        <v>961200183</v>
      </c>
      <c r="B6613" s="116" t="str">
        <f t="shared" si="103"/>
        <v>96-961200183</v>
      </c>
      <c r="C6613" s="181" t="s">
        <v>12441</v>
      </c>
    </row>
    <row r="6614" spans="1:3">
      <c r="A6614" s="181">
        <v>961200184</v>
      </c>
      <c r="B6614" s="116" t="str">
        <f t="shared" si="103"/>
        <v>96-961200184</v>
      </c>
      <c r="C6614" s="181" t="s">
        <v>12441</v>
      </c>
    </row>
    <row r="6615" spans="1:3">
      <c r="A6615" s="181">
        <v>961200199</v>
      </c>
      <c r="B6615" s="116" t="str">
        <f t="shared" si="103"/>
        <v>96-961200199</v>
      </c>
      <c r="C6615" s="181" t="s">
        <v>12682</v>
      </c>
    </row>
    <row r="6616" spans="1:3">
      <c r="A6616" s="181">
        <v>961200204</v>
      </c>
      <c r="B6616" s="116" t="str">
        <f t="shared" si="103"/>
        <v>96-961200204</v>
      </c>
      <c r="C6616" s="181" t="s">
        <v>12682</v>
      </c>
    </row>
    <row r="6617" spans="1:3">
      <c r="A6617" s="181">
        <v>964100093</v>
      </c>
      <c r="B6617" s="116" t="str">
        <f t="shared" si="103"/>
        <v>96-964100093</v>
      </c>
      <c r="C6617" s="181" t="s">
        <v>12409</v>
      </c>
    </row>
    <row r="6618" spans="1:3">
      <c r="A6618" s="181">
        <v>964100094</v>
      </c>
      <c r="B6618" s="116" t="str">
        <f t="shared" si="103"/>
        <v>96-964100094</v>
      </c>
      <c r="C6618" s="181" t="s">
        <v>12409</v>
      </c>
    </row>
    <row r="6619" spans="1:3">
      <c r="A6619" s="181">
        <v>964100098</v>
      </c>
      <c r="B6619" s="116" t="str">
        <f t="shared" si="103"/>
        <v>96-964100098</v>
      </c>
      <c r="C6619" s="181" t="s">
        <v>12409</v>
      </c>
    </row>
    <row r="6620" spans="1:3">
      <c r="A6620" s="181">
        <v>964100106</v>
      </c>
      <c r="B6620" s="116" t="str">
        <f t="shared" si="103"/>
        <v>96-964100106</v>
      </c>
      <c r="C6620" s="181" t="s">
        <v>12664</v>
      </c>
    </row>
    <row r="6621" spans="1:3">
      <c r="A6621" s="181">
        <v>962200105</v>
      </c>
      <c r="B6621" s="116" t="str">
        <f t="shared" si="103"/>
        <v>96-962200105</v>
      </c>
      <c r="C6621" s="181" t="s">
        <v>12423</v>
      </c>
    </row>
    <row r="6622" spans="1:3">
      <c r="A6622" s="181">
        <v>964300038</v>
      </c>
      <c r="B6622" s="116" t="str">
        <f t="shared" si="103"/>
        <v>96-964300038</v>
      </c>
      <c r="C6622" s="181" t="s">
        <v>12421</v>
      </c>
    </row>
    <row r="6623" spans="1:3">
      <c r="A6623" s="181">
        <v>964300036</v>
      </c>
      <c r="B6623" s="116" t="str">
        <f t="shared" si="103"/>
        <v>96-964300036</v>
      </c>
      <c r="C6623" s="181" t="s">
        <v>12421</v>
      </c>
    </row>
    <row r="6624" spans="1:3">
      <c r="A6624" s="181">
        <v>964300044</v>
      </c>
      <c r="B6624" s="116" t="str">
        <f t="shared" si="103"/>
        <v>96-964300044</v>
      </c>
      <c r="C6624" s="181" t="s">
        <v>12683</v>
      </c>
    </row>
    <row r="6625" spans="1:3">
      <c r="A6625" s="181">
        <v>962500201</v>
      </c>
      <c r="B6625" s="116" t="str">
        <f t="shared" si="103"/>
        <v>96-962500201</v>
      </c>
      <c r="C6625" s="181" t="s">
        <v>12195</v>
      </c>
    </row>
    <row r="6626" spans="1:3">
      <c r="A6626" s="181">
        <v>964200015</v>
      </c>
      <c r="B6626" s="116" t="str">
        <f t="shared" si="103"/>
        <v>96-964200015</v>
      </c>
      <c r="C6626" s="181" t="s">
        <v>12429</v>
      </c>
    </row>
    <row r="6627" spans="1:3">
      <c r="A6627" s="181">
        <v>964200017</v>
      </c>
      <c r="B6627" s="116" t="str">
        <f t="shared" si="103"/>
        <v>96-964200017</v>
      </c>
      <c r="C6627" s="181" t="s">
        <v>12429</v>
      </c>
    </row>
    <row r="6628" spans="1:3">
      <c r="A6628" s="181">
        <v>964200012</v>
      </c>
      <c r="B6628" s="116" t="str">
        <f t="shared" si="103"/>
        <v>96-964200012</v>
      </c>
      <c r="C6628" s="181" t="s">
        <v>12260</v>
      </c>
    </row>
    <row r="6629" spans="1:3">
      <c r="A6629" s="181">
        <v>962500202</v>
      </c>
      <c r="B6629" s="116" t="str">
        <f t="shared" si="103"/>
        <v>96-962500202</v>
      </c>
      <c r="C6629" s="181" t="s">
        <v>12444</v>
      </c>
    </row>
    <row r="6630" spans="1:3">
      <c r="A6630" s="181">
        <v>962500211</v>
      </c>
      <c r="B6630" s="116" t="str">
        <f t="shared" si="103"/>
        <v>96-962500211</v>
      </c>
      <c r="C6630" s="181" t="s">
        <v>12684</v>
      </c>
    </row>
    <row r="6631" spans="1:3">
      <c r="A6631" s="181">
        <v>962200106</v>
      </c>
      <c r="B6631" s="116" t="str">
        <f t="shared" si="103"/>
        <v>96-962200106</v>
      </c>
      <c r="C6631" s="181" t="s">
        <v>12666</v>
      </c>
    </row>
    <row r="6632" spans="1:3">
      <c r="A6632" s="181">
        <v>962200107</v>
      </c>
      <c r="B6632" s="116" t="str">
        <f t="shared" si="103"/>
        <v>96-962200107</v>
      </c>
      <c r="C6632" s="181" t="s">
        <v>12666</v>
      </c>
    </row>
    <row r="6633" spans="1:3">
      <c r="A6633" s="181">
        <v>962500213</v>
      </c>
      <c r="B6633" s="116" t="str">
        <f t="shared" si="103"/>
        <v>96-962500213</v>
      </c>
      <c r="C6633" s="181" t="s">
        <v>12685</v>
      </c>
    </row>
    <row r="6634" spans="1:3">
      <c r="A6634" s="181">
        <v>962500208</v>
      </c>
      <c r="B6634" s="116" t="str">
        <f t="shared" si="103"/>
        <v>96-962500208</v>
      </c>
      <c r="C6634" s="181" t="s">
        <v>5858</v>
      </c>
    </row>
    <row r="6635" spans="1:3">
      <c r="A6635" s="181">
        <v>961500940</v>
      </c>
      <c r="B6635" s="116" t="str">
        <f t="shared" si="103"/>
        <v>96-961500940</v>
      </c>
      <c r="C6635" s="181" t="s">
        <v>12668</v>
      </c>
    </row>
    <row r="6636" spans="1:3">
      <c r="A6636" s="181">
        <v>961500863</v>
      </c>
      <c r="B6636" s="116" t="str">
        <f t="shared" si="103"/>
        <v>96-961500863</v>
      </c>
      <c r="C6636" s="181" t="s">
        <v>12414</v>
      </c>
    </row>
    <row r="6637" spans="1:3">
      <c r="A6637" s="181">
        <v>962500209</v>
      </c>
      <c r="B6637" s="116" t="str">
        <f t="shared" si="103"/>
        <v>96-962500209</v>
      </c>
      <c r="C6637" s="181" t="s">
        <v>12444</v>
      </c>
    </row>
    <row r="6638" spans="1:3">
      <c r="A6638" s="181">
        <v>962500203</v>
      </c>
      <c r="B6638" s="116" t="str">
        <f t="shared" si="103"/>
        <v>96-962500203</v>
      </c>
      <c r="C6638" s="181" t="s">
        <v>12684</v>
      </c>
    </row>
    <row r="6639" spans="1:3">
      <c r="A6639" s="181">
        <v>962500210</v>
      </c>
      <c r="B6639" s="116" t="str">
        <f t="shared" si="103"/>
        <v>96-962500210</v>
      </c>
      <c r="C6639" s="181" t="s">
        <v>12684</v>
      </c>
    </row>
    <row r="6640" spans="1:3">
      <c r="A6640" s="181">
        <v>964200010</v>
      </c>
      <c r="B6640" s="116" t="str">
        <f t="shared" si="103"/>
        <v>96-964200010</v>
      </c>
      <c r="C6640" s="181" t="s">
        <v>12260</v>
      </c>
    </row>
    <row r="6641" spans="1:3">
      <c r="A6641" s="181">
        <v>961500886</v>
      </c>
      <c r="B6641" s="116" t="str">
        <f t="shared" si="103"/>
        <v>96-961500886</v>
      </c>
      <c r="C6641" s="181" t="s">
        <v>12429</v>
      </c>
    </row>
    <row r="6642" spans="1:3">
      <c r="A6642" s="181">
        <v>961200192</v>
      </c>
      <c r="B6642" s="116" t="str">
        <f t="shared" si="103"/>
        <v>96-961200192</v>
      </c>
      <c r="C6642" s="181" t="s">
        <v>12421</v>
      </c>
    </row>
    <row r="6643" spans="1:3">
      <c r="A6643" s="181">
        <v>961500861</v>
      </c>
      <c r="B6643" s="116" t="str">
        <f t="shared" si="103"/>
        <v>96-961500861</v>
      </c>
      <c r="C6643" s="181" t="s">
        <v>12260</v>
      </c>
    </row>
    <row r="6644" spans="1:3">
      <c r="A6644" s="181">
        <v>961500876</v>
      </c>
      <c r="B6644" s="116" t="str">
        <f t="shared" si="103"/>
        <v>96-961500876</v>
      </c>
      <c r="C6644" s="181" t="s">
        <v>12429</v>
      </c>
    </row>
    <row r="6645" spans="1:3">
      <c r="A6645" s="181">
        <v>961500904</v>
      </c>
      <c r="B6645" s="116" t="str">
        <f t="shared" si="103"/>
        <v>96-961500904</v>
      </c>
      <c r="C6645" s="181" t="s">
        <v>12429</v>
      </c>
    </row>
    <row r="6646" spans="1:3">
      <c r="A6646" s="181">
        <v>961500847</v>
      </c>
      <c r="B6646" s="116" t="str">
        <f t="shared" si="103"/>
        <v>96-961500847</v>
      </c>
      <c r="C6646" s="181" t="s">
        <v>12306</v>
      </c>
    </row>
    <row r="6647" spans="1:3">
      <c r="A6647" s="181">
        <v>961500862</v>
      </c>
      <c r="B6647" s="116" t="str">
        <f t="shared" si="103"/>
        <v>96-961500862</v>
      </c>
      <c r="C6647" s="181" t="s">
        <v>12306</v>
      </c>
    </row>
    <row r="6648" spans="1:3">
      <c r="A6648" s="181">
        <v>961500865</v>
      </c>
      <c r="B6648" s="116" t="str">
        <f t="shared" si="103"/>
        <v>96-961500865</v>
      </c>
      <c r="C6648" s="181" t="s">
        <v>12306</v>
      </c>
    </row>
    <row r="6649" spans="1:3">
      <c r="A6649" s="181">
        <v>961500875</v>
      </c>
      <c r="B6649" s="116" t="str">
        <f t="shared" si="103"/>
        <v>96-961500875</v>
      </c>
      <c r="C6649" s="181" t="s">
        <v>12306</v>
      </c>
    </row>
    <row r="6650" spans="1:3">
      <c r="A6650" s="181">
        <v>961500878</v>
      </c>
      <c r="B6650" s="116" t="str">
        <f t="shared" si="103"/>
        <v>96-961500878</v>
      </c>
      <c r="C6650" s="181" t="s">
        <v>12306</v>
      </c>
    </row>
    <row r="6651" spans="1:3">
      <c r="A6651" s="181">
        <v>961500879</v>
      </c>
      <c r="B6651" s="116" t="str">
        <f t="shared" si="103"/>
        <v>96-961500879</v>
      </c>
      <c r="C6651" s="181" t="s">
        <v>12306</v>
      </c>
    </row>
    <row r="6652" spans="1:3">
      <c r="A6652" s="181">
        <v>961500881</v>
      </c>
      <c r="B6652" s="116" t="str">
        <f t="shared" si="103"/>
        <v>96-961500881</v>
      </c>
      <c r="C6652" s="181" t="s">
        <v>12414</v>
      </c>
    </row>
    <row r="6653" spans="1:3">
      <c r="A6653" s="181">
        <v>961500899</v>
      </c>
      <c r="B6653" s="116" t="str">
        <f t="shared" si="103"/>
        <v>96-961500899</v>
      </c>
      <c r="C6653" s="181" t="s">
        <v>12414</v>
      </c>
    </row>
    <row r="6654" spans="1:3">
      <c r="A6654" s="181">
        <v>961500884</v>
      </c>
      <c r="B6654" s="116" t="str">
        <f t="shared" si="103"/>
        <v>96-961500884</v>
      </c>
      <c r="C6654" s="181" t="s">
        <v>12675</v>
      </c>
    </row>
    <row r="6655" spans="1:3">
      <c r="A6655" s="181">
        <v>961500894</v>
      </c>
      <c r="B6655" s="116" t="str">
        <f t="shared" si="103"/>
        <v>96-961500894</v>
      </c>
      <c r="C6655" s="181" t="s">
        <v>12428</v>
      </c>
    </row>
    <row r="6656" spans="1:3">
      <c r="A6656" s="181">
        <v>961200175</v>
      </c>
      <c r="B6656" s="116" t="str">
        <f t="shared" si="103"/>
        <v>96-961200175</v>
      </c>
      <c r="C6656" s="181" t="s">
        <v>12438</v>
      </c>
    </row>
    <row r="6657" spans="1:3">
      <c r="A6657" s="181">
        <v>961200180</v>
      </c>
      <c r="B6657" s="116" t="str">
        <f t="shared" si="103"/>
        <v>96-961200180</v>
      </c>
      <c r="C6657" s="181" t="s">
        <v>12441</v>
      </c>
    </row>
    <row r="6658" spans="1:3">
      <c r="A6658" s="181">
        <v>961200191</v>
      </c>
      <c r="B6658" s="116" t="str">
        <f t="shared" si="103"/>
        <v>96-961200191</v>
      </c>
      <c r="C6658" s="181" t="s">
        <v>12682</v>
      </c>
    </row>
    <row r="6659" spans="1:3">
      <c r="A6659" s="181">
        <v>961200200</v>
      </c>
      <c r="B6659" s="116" t="str">
        <f t="shared" ref="B6659:B6722" si="104">MID(A6659,1,2)&amp;"-"&amp;A6659</f>
        <v>96-961200200</v>
      </c>
      <c r="C6659" s="181" t="s">
        <v>12682</v>
      </c>
    </row>
    <row r="6660" spans="1:3">
      <c r="A6660" s="181">
        <v>964100100</v>
      </c>
      <c r="B6660" s="116" t="str">
        <f t="shared" si="104"/>
        <v>96-964100100</v>
      </c>
      <c r="C6660" s="181" t="s">
        <v>12664</v>
      </c>
    </row>
    <row r="6661" spans="1:3">
      <c r="A6661" s="181">
        <v>964100101</v>
      </c>
      <c r="B6661" s="116" t="str">
        <f t="shared" si="104"/>
        <v>96-964100101</v>
      </c>
      <c r="C6661" s="181" t="s">
        <v>12664</v>
      </c>
    </row>
    <row r="6662" spans="1:3">
      <c r="A6662" s="181">
        <v>962200108</v>
      </c>
      <c r="B6662" s="116" t="str">
        <f t="shared" si="104"/>
        <v>96-962200108</v>
      </c>
      <c r="C6662" s="181" t="s">
        <v>12666</v>
      </c>
    </row>
    <row r="6663" spans="1:3">
      <c r="A6663" s="181">
        <v>964200020</v>
      </c>
      <c r="B6663" s="116" t="str">
        <f t="shared" si="104"/>
        <v>96-964200020</v>
      </c>
      <c r="C6663" s="181" t="s">
        <v>12429</v>
      </c>
    </row>
    <row r="6664" spans="1:3">
      <c r="A6664" s="181">
        <v>964200021</v>
      </c>
      <c r="B6664" s="116" t="str">
        <f t="shared" si="104"/>
        <v>96-964200021</v>
      </c>
      <c r="C6664" s="181" t="s">
        <v>12429</v>
      </c>
    </row>
    <row r="6665" spans="1:3">
      <c r="A6665" s="181">
        <v>962200104</v>
      </c>
      <c r="B6665" s="116" t="str">
        <f t="shared" si="104"/>
        <v>96-962200104</v>
      </c>
      <c r="C6665" s="181" t="s">
        <v>12423</v>
      </c>
    </row>
    <row r="6666" spans="1:3">
      <c r="A6666" s="181">
        <v>961500939</v>
      </c>
      <c r="B6666" s="116" t="str">
        <f t="shared" si="104"/>
        <v>96-961500939</v>
      </c>
      <c r="C6666" s="181" t="s">
        <v>12429</v>
      </c>
    </row>
    <row r="6667" spans="1:3">
      <c r="A6667" s="181">
        <v>961500918</v>
      </c>
      <c r="B6667" s="116" t="str">
        <f t="shared" si="104"/>
        <v>96-961500918</v>
      </c>
      <c r="C6667" s="181" t="s">
        <v>12673</v>
      </c>
    </row>
    <row r="6668" spans="1:3">
      <c r="A6668" s="181">
        <v>961500908</v>
      </c>
      <c r="B6668" s="116" t="str">
        <f t="shared" si="104"/>
        <v>96-961500908</v>
      </c>
      <c r="C6668" s="181" t="s">
        <v>12414</v>
      </c>
    </row>
    <row r="6669" spans="1:3">
      <c r="A6669" s="182">
        <v>961501046</v>
      </c>
      <c r="B6669" s="116" t="str">
        <f t="shared" si="104"/>
        <v>96-961501046</v>
      </c>
      <c r="C6669" s="183" t="s">
        <v>12929</v>
      </c>
    </row>
    <row r="6670" spans="1:3">
      <c r="A6670" s="182">
        <v>964100117</v>
      </c>
      <c r="B6670" s="116" t="str">
        <f t="shared" si="104"/>
        <v>96-964100117</v>
      </c>
      <c r="C6670" s="183" t="s">
        <v>12930</v>
      </c>
    </row>
    <row r="6671" spans="1:3">
      <c r="A6671" s="182">
        <v>961200219</v>
      </c>
      <c r="B6671" s="116" t="str">
        <f t="shared" si="104"/>
        <v>96-961200219</v>
      </c>
      <c r="C6671" s="183" t="s">
        <v>12666</v>
      </c>
    </row>
    <row r="6672" spans="1:3">
      <c r="A6672" s="182">
        <v>961200220</v>
      </c>
      <c r="B6672" s="116" t="str">
        <f t="shared" si="104"/>
        <v>96-961200220</v>
      </c>
      <c r="C6672" s="183" t="s">
        <v>12931</v>
      </c>
    </row>
    <row r="6673" spans="1:3">
      <c r="A6673" s="182">
        <v>964100118</v>
      </c>
      <c r="B6673" s="116" t="str">
        <f t="shared" si="104"/>
        <v>96-964100118</v>
      </c>
      <c r="C6673" s="183" t="s">
        <v>12930</v>
      </c>
    </row>
    <row r="6674" spans="1:3">
      <c r="A6674" s="182">
        <v>964300049</v>
      </c>
      <c r="B6674" s="116" t="str">
        <f t="shared" si="104"/>
        <v>96-964300049</v>
      </c>
      <c r="C6674" s="183" t="s">
        <v>12683</v>
      </c>
    </row>
    <row r="6675" spans="1:3">
      <c r="A6675" s="182">
        <v>964200027</v>
      </c>
      <c r="B6675" s="116" t="str">
        <f t="shared" si="104"/>
        <v>96-964200027</v>
      </c>
      <c r="C6675" s="183" t="s">
        <v>12429</v>
      </c>
    </row>
    <row r="6676" spans="1:3">
      <c r="A6676" s="182">
        <v>962200114</v>
      </c>
      <c r="B6676" s="116" t="str">
        <f t="shared" si="104"/>
        <v>96-962200114</v>
      </c>
      <c r="C6676" s="183" t="s">
        <v>12932</v>
      </c>
    </row>
    <row r="6677" spans="1:3">
      <c r="A6677" s="182">
        <v>964200029</v>
      </c>
      <c r="B6677" s="116" t="str">
        <f t="shared" si="104"/>
        <v>96-964200029</v>
      </c>
      <c r="C6677" s="183" t="s">
        <v>12668</v>
      </c>
    </row>
    <row r="6678" spans="1:3">
      <c r="A6678" s="182">
        <v>964200035</v>
      </c>
      <c r="B6678" s="116" t="str">
        <f t="shared" si="104"/>
        <v>96-964200035</v>
      </c>
      <c r="C6678" s="183" t="s">
        <v>12668</v>
      </c>
    </row>
    <row r="6679" spans="1:3">
      <c r="A6679" s="182">
        <v>962200113</v>
      </c>
      <c r="B6679" s="116" t="str">
        <f t="shared" si="104"/>
        <v>96-962200113</v>
      </c>
      <c r="C6679" s="183" t="s">
        <v>12932</v>
      </c>
    </row>
    <row r="6680" spans="1:3">
      <c r="A6680" s="182">
        <v>961200212</v>
      </c>
      <c r="B6680" s="116" t="str">
        <f t="shared" si="104"/>
        <v>96-961200212</v>
      </c>
      <c r="C6680" s="183" t="s">
        <v>12666</v>
      </c>
    </row>
    <row r="6681" spans="1:3">
      <c r="A6681" s="182">
        <v>961200213</v>
      </c>
      <c r="B6681" s="116" t="str">
        <f t="shared" si="104"/>
        <v>96-961200213</v>
      </c>
      <c r="C6681" s="183" t="s">
        <v>12666</v>
      </c>
    </row>
    <row r="6682" spans="1:3">
      <c r="A6682" s="182">
        <v>961200215</v>
      </c>
      <c r="B6682" s="116" t="str">
        <f t="shared" si="104"/>
        <v>96-961200215</v>
      </c>
      <c r="C6682" s="183" t="s">
        <v>12933</v>
      </c>
    </row>
    <row r="6683" spans="1:3">
      <c r="A6683" s="182">
        <v>961200216</v>
      </c>
      <c r="B6683" s="116" t="str">
        <f t="shared" si="104"/>
        <v>96-961200216</v>
      </c>
      <c r="C6683" s="183" t="s">
        <v>12933</v>
      </c>
    </row>
    <row r="6684" spans="1:3">
      <c r="A6684" s="182">
        <v>961500978</v>
      </c>
      <c r="B6684" s="116" t="str">
        <f t="shared" si="104"/>
        <v>96-961500978</v>
      </c>
      <c r="C6684" s="183" t="s">
        <v>12668</v>
      </c>
    </row>
    <row r="6685" spans="1:3">
      <c r="A6685" s="182">
        <v>961500989</v>
      </c>
      <c r="B6685" s="116" t="str">
        <f t="shared" si="104"/>
        <v>96-961500989</v>
      </c>
      <c r="C6685" s="183" t="s">
        <v>12934</v>
      </c>
    </row>
    <row r="6686" spans="1:3">
      <c r="A6686" s="182">
        <v>961501008</v>
      </c>
      <c r="B6686" s="116" t="str">
        <f t="shared" si="104"/>
        <v>96-961501008</v>
      </c>
      <c r="C6686" s="183" t="s">
        <v>12934</v>
      </c>
    </row>
    <row r="6687" spans="1:3">
      <c r="A6687" s="182">
        <v>961501027</v>
      </c>
      <c r="B6687" s="116" t="str">
        <f t="shared" si="104"/>
        <v>96-961501027</v>
      </c>
      <c r="C6687" s="183" t="s">
        <v>12934</v>
      </c>
    </row>
    <row r="6688" spans="1:3">
      <c r="A6688" s="182">
        <v>961500955</v>
      </c>
      <c r="B6688" s="116" t="str">
        <f t="shared" si="104"/>
        <v>96-961500955</v>
      </c>
      <c r="C6688" s="183" t="s">
        <v>12673</v>
      </c>
    </row>
    <row r="6689" spans="1:3">
      <c r="A6689" s="182">
        <v>961500967</v>
      </c>
      <c r="B6689" s="116" t="str">
        <f t="shared" si="104"/>
        <v>96-961500967</v>
      </c>
      <c r="C6689" s="183" t="s">
        <v>12668</v>
      </c>
    </row>
    <row r="6690" spans="1:3">
      <c r="A6690" s="182">
        <v>961500979</v>
      </c>
      <c r="B6690" s="116" t="str">
        <f t="shared" si="104"/>
        <v>96-961500979</v>
      </c>
      <c r="C6690" s="183" t="s">
        <v>12668</v>
      </c>
    </row>
    <row r="6691" spans="1:3">
      <c r="A6691" s="182">
        <v>961501015</v>
      </c>
      <c r="B6691" s="116" t="str">
        <f t="shared" si="104"/>
        <v>96-961501015</v>
      </c>
      <c r="C6691" s="183" t="s">
        <v>12934</v>
      </c>
    </row>
    <row r="6692" spans="1:3">
      <c r="A6692" s="182">
        <v>961501022</v>
      </c>
      <c r="B6692" s="116" t="str">
        <f t="shared" si="104"/>
        <v>96-961501022</v>
      </c>
      <c r="C6692" s="183" t="s">
        <v>12669</v>
      </c>
    </row>
    <row r="6693" spans="1:3">
      <c r="A6693" s="182">
        <v>961501035</v>
      </c>
      <c r="B6693" s="116" t="str">
        <f t="shared" si="104"/>
        <v>96-961501035</v>
      </c>
      <c r="C6693" s="183" t="s">
        <v>12669</v>
      </c>
    </row>
    <row r="6694" spans="1:3">
      <c r="A6694" s="182">
        <v>961501037</v>
      </c>
      <c r="B6694" s="116" t="str">
        <f t="shared" si="104"/>
        <v>96-961501037</v>
      </c>
      <c r="C6694" s="183" t="s">
        <v>12935</v>
      </c>
    </row>
    <row r="6695" spans="1:3">
      <c r="A6695" s="182">
        <v>961501042</v>
      </c>
      <c r="B6695" s="116" t="str">
        <f t="shared" si="104"/>
        <v>96-961501042</v>
      </c>
      <c r="C6695" s="183" t="s">
        <v>12675</v>
      </c>
    </row>
    <row r="6696" spans="1:3">
      <c r="A6696" s="182">
        <v>961501005</v>
      </c>
      <c r="B6696" s="116" t="str">
        <f t="shared" si="104"/>
        <v>96-961501005</v>
      </c>
      <c r="C6696" s="183" t="s">
        <v>12672</v>
      </c>
    </row>
    <row r="6697" spans="1:3">
      <c r="A6697" s="182">
        <v>961501016</v>
      </c>
      <c r="B6697" s="116" t="str">
        <f t="shared" si="104"/>
        <v>96-961501016</v>
      </c>
      <c r="C6697" s="183" t="s">
        <v>12672</v>
      </c>
    </row>
    <row r="6698" spans="1:3">
      <c r="A6698" s="182">
        <v>961500969</v>
      </c>
      <c r="B6698" s="116" t="str">
        <f t="shared" si="104"/>
        <v>96-961500969</v>
      </c>
      <c r="C6698" s="183" t="s">
        <v>12677</v>
      </c>
    </row>
    <row r="6699" spans="1:3">
      <c r="A6699" s="182">
        <v>961501034</v>
      </c>
      <c r="B6699" s="116" t="str">
        <f t="shared" si="104"/>
        <v>96-961501034</v>
      </c>
      <c r="C6699" s="183" t="s">
        <v>12673</v>
      </c>
    </row>
    <row r="6700" spans="1:3">
      <c r="A6700" s="182">
        <v>961500959</v>
      </c>
      <c r="B6700" s="116" t="str">
        <f t="shared" si="104"/>
        <v>96-961500959</v>
      </c>
      <c r="C6700" s="183" t="s">
        <v>12663</v>
      </c>
    </row>
    <row r="6701" spans="1:3">
      <c r="A6701" s="182">
        <v>961500995</v>
      </c>
      <c r="B6701" s="116" t="str">
        <f t="shared" si="104"/>
        <v>96-961500995</v>
      </c>
      <c r="C6701" s="183" t="s">
        <v>12663</v>
      </c>
    </row>
    <row r="6702" spans="1:3">
      <c r="A6702" s="182">
        <v>961501007</v>
      </c>
      <c r="B6702" s="116" t="str">
        <f t="shared" si="104"/>
        <v>96-961501007</v>
      </c>
      <c r="C6702" s="183" t="s">
        <v>12663</v>
      </c>
    </row>
    <row r="6703" spans="1:3">
      <c r="A6703" s="182">
        <v>961501006</v>
      </c>
      <c r="B6703" s="116" t="str">
        <f t="shared" si="104"/>
        <v>96-961501006</v>
      </c>
      <c r="C6703" s="183" t="s">
        <v>12936</v>
      </c>
    </row>
    <row r="6704" spans="1:3">
      <c r="A6704" s="182">
        <v>961501044</v>
      </c>
      <c r="B6704" s="116" t="str">
        <f t="shared" si="104"/>
        <v>96-961501044</v>
      </c>
      <c r="C6704" s="183" t="s">
        <v>12675</v>
      </c>
    </row>
    <row r="6705" spans="1:3">
      <c r="A6705" s="182">
        <v>961500993</v>
      </c>
      <c r="B6705" s="116" t="str">
        <f t="shared" si="104"/>
        <v>96-961500993</v>
      </c>
      <c r="C6705" s="183" t="s">
        <v>12934</v>
      </c>
    </row>
    <row r="6706" spans="1:3">
      <c r="A6706" s="182">
        <v>961500999</v>
      </c>
      <c r="B6706" s="116" t="str">
        <f t="shared" si="104"/>
        <v>96-961500999</v>
      </c>
      <c r="C6706" s="183" t="s">
        <v>12934</v>
      </c>
    </row>
    <row r="6707" spans="1:3">
      <c r="A6707" s="182">
        <v>961501000</v>
      </c>
      <c r="B6707" s="116" t="str">
        <f t="shared" si="104"/>
        <v>96-961501000</v>
      </c>
      <c r="C6707" s="183" t="s">
        <v>12934</v>
      </c>
    </row>
    <row r="6708" spans="1:3">
      <c r="A6708" s="182">
        <v>961501026</v>
      </c>
      <c r="B6708" s="116" t="str">
        <f t="shared" si="104"/>
        <v>96-961501026</v>
      </c>
      <c r="C6708" s="183" t="s">
        <v>12934</v>
      </c>
    </row>
    <row r="6709" spans="1:3">
      <c r="A6709" s="182">
        <v>961501045</v>
      </c>
      <c r="B6709" s="116" t="str">
        <f t="shared" si="104"/>
        <v>96-961501045</v>
      </c>
      <c r="C6709" s="183" t="s">
        <v>12934</v>
      </c>
    </row>
    <row r="6710" spans="1:3">
      <c r="A6710" s="182">
        <v>961501028</v>
      </c>
      <c r="B6710" s="116" t="str">
        <f t="shared" si="104"/>
        <v>96-961501028</v>
      </c>
      <c r="C6710" s="183" t="s">
        <v>12934</v>
      </c>
    </row>
    <row r="6711" spans="1:3">
      <c r="A6711" s="182">
        <v>961501011</v>
      </c>
      <c r="B6711" s="116" t="str">
        <f t="shared" si="104"/>
        <v>96-961501011</v>
      </c>
      <c r="C6711" s="183" t="s">
        <v>12673</v>
      </c>
    </row>
    <row r="6712" spans="1:3">
      <c r="A6712" s="182">
        <v>961501019</v>
      </c>
      <c r="B6712" s="116" t="str">
        <f t="shared" si="104"/>
        <v>96-961501019</v>
      </c>
      <c r="C6712" s="183" t="s">
        <v>12673</v>
      </c>
    </row>
    <row r="6713" spans="1:3">
      <c r="A6713" s="182">
        <v>961501025</v>
      </c>
      <c r="B6713" s="116" t="str">
        <f t="shared" si="104"/>
        <v>96-961501025</v>
      </c>
      <c r="C6713" s="183" t="s">
        <v>12673</v>
      </c>
    </row>
    <row r="6714" spans="1:3">
      <c r="A6714" s="182">
        <v>961500972</v>
      </c>
      <c r="B6714" s="116" t="str">
        <f t="shared" si="104"/>
        <v>96-961500972</v>
      </c>
      <c r="C6714" s="183" t="s">
        <v>12663</v>
      </c>
    </row>
    <row r="6715" spans="1:3">
      <c r="A6715" s="182">
        <v>961501002</v>
      </c>
      <c r="B6715" s="116" t="str">
        <f t="shared" si="104"/>
        <v>96-961501002</v>
      </c>
      <c r="C6715" s="183" t="s">
        <v>12663</v>
      </c>
    </row>
    <row r="6716" spans="1:3">
      <c r="A6716" s="182">
        <v>961501012</v>
      </c>
      <c r="B6716" s="116" t="str">
        <f t="shared" si="104"/>
        <v>96-961501012</v>
      </c>
      <c r="C6716" s="183" t="s">
        <v>12669</v>
      </c>
    </row>
    <row r="6717" spans="1:3">
      <c r="A6717" s="182">
        <v>961500982</v>
      </c>
      <c r="B6717" s="116" t="str">
        <f t="shared" si="104"/>
        <v>96-961500982</v>
      </c>
      <c r="C6717" s="183" t="s">
        <v>12444</v>
      </c>
    </row>
    <row r="6718" spans="1:3">
      <c r="A6718" s="182">
        <v>961500974</v>
      </c>
      <c r="B6718" s="116" t="str">
        <f t="shared" si="104"/>
        <v>96-961500974</v>
      </c>
      <c r="C6718" s="183" t="s">
        <v>12668</v>
      </c>
    </row>
    <row r="6719" spans="1:3">
      <c r="A6719" s="182">
        <v>961501004</v>
      </c>
      <c r="B6719" s="116" t="str">
        <f t="shared" si="104"/>
        <v>96-961501004</v>
      </c>
      <c r="C6719" s="183" t="s">
        <v>12934</v>
      </c>
    </row>
    <row r="6720" spans="1:3">
      <c r="A6720" s="182">
        <v>961500963</v>
      </c>
      <c r="B6720" s="116" t="str">
        <f t="shared" si="104"/>
        <v>96-961500963</v>
      </c>
      <c r="C6720" s="183" t="s">
        <v>9774</v>
      </c>
    </row>
    <row r="6721" spans="1:3">
      <c r="A6721" s="182">
        <v>961500996</v>
      </c>
      <c r="B6721" s="116" t="str">
        <f t="shared" si="104"/>
        <v>96-961500996</v>
      </c>
      <c r="C6721" s="183" t="s">
        <v>12937</v>
      </c>
    </row>
    <row r="6722" spans="1:3">
      <c r="A6722" s="182">
        <v>961500991</v>
      </c>
      <c r="B6722" s="116" t="str">
        <f t="shared" si="104"/>
        <v>96-961500991</v>
      </c>
      <c r="C6722" s="183" t="s">
        <v>12938</v>
      </c>
    </row>
    <row r="6723" spans="1:3">
      <c r="A6723" s="182">
        <v>961501013</v>
      </c>
      <c r="B6723" s="116" t="str">
        <f t="shared" ref="B6723:B6786" si="105">MID(A6723,1,2)&amp;"-"&amp;A6723</f>
        <v>96-961501013</v>
      </c>
      <c r="C6723" s="183" t="s">
        <v>12220</v>
      </c>
    </row>
    <row r="6724" spans="1:3">
      <c r="A6724" s="182">
        <v>961500948</v>
      </c>
      <c r="B6724" s="116" t="str">
        <f t="shared" si="105"/>
        <v>96-961500948</v>
      </c>
      <c r="C6724" s="183" t="s">
        <v>12668</v>
      </c>
    </row>
    <row r="6725" spans="1:3">
      <c r="A6725" s="182">
        <v>961500956</v>
      </c>
      <c r="B6725" s="116" t="str">
        <f t="shared" si="105"/>
        <v>96-961500956</v>
      </c>
      <c r="C6725" s="183" t="s">
        <v>12668</v>
      </c>
    </row>
    <row r="6726" spans="1:3">
      <c r="A6726" s="182">
        <v>961500988</v>
      </c>
      <c r="B6726" s="116" t="str">
        <f t="shared" si="105"/>
        <v>96-961500988</v>
      </c>
      <c r="C6726" s="183" t="s">
        <v>12934</v>
      </c>
    </row>
    <row r="6727" spans="1:3">
      <c r="A6727" s="182">
        <v>961501009</v>
      </c>
      <c r="B6727" s="116" t="str">
        <f t="shared" si="105"/>
        <v>96-961501009</v>
      </c>
      <c r="C6727" s="183" t="s">
        <v>12934</v>
      </c>
    </row>
    <row r="6728" spans="1:3">
      <c r="A6728" s="182">
        <v>961500953</v>
      </c>
      <c r="B6728" s="116" t="str">
        <f t="shared" si="105"/>
        <v>96-961500953</v>
      </c>
      <c r="C6728" s="183" t="s">
        <v>12677</v>
      </c>
    </row>
    <row r="6729" spans="1:3">
      <c r="A6729" s="182">
        <v>961500964</v>
      </c>
      <c r="B6729" s="116" t="str">
        <f t="shared" si="105"/>
        <v>96-961500964</v>
      </c>
      <c r="C6729" s="183" t="s">
        <v>12677</v>
      </c>
    </row>
    <row r="6730" spans="1:3">
      <c r="A6730" s="182">
        <v>961501040</v>
      </c>
      <c r="B6730" s="116" t="str">
        <f t="shared" si="105"/>
        <v>96-961501040</v>
      </c>
      <c r="C6730" s="183" t="s">
        <v>12939</v>
      </c>
    </row>
    <row r="6731" spans="1:3">
      <c r="A6731" s="182">
        <v>961501020</v>
      </c>
      <c r="B6731" s="116" t="str">
        <f t="shared" si="105"/>
        <v>96-961501020</v>
      </c>
      <c r="C6731" s="183" t="s">
        <v>12673</v>
      </c>
    </row>
    <row r="6732" spans="1:3">
      <c r="A6732" s="182">
        <v>961500946</v>
      </c>
      <c r="B6732" s="116" t="str">
        <f t="shared" si="105"/>
        <v>96-961500946</v>
      </c>
      <c r="C6732" s="183" t="s">
        <v>12668</v>
      </c>
    </row>
    <row r="6733" spans="1:3">
      <c r="A6733" s="182">
        <v>961500947</v>
      </c>
      <c r="B6733" s="116" t="str">
        <f t="shared" si="105"/>
        <v>96-961500947</v>
      </c>
      <c r="C6733" s="183" t="s">
        <v>12668</v>
      </c>
    </row>
    <row r="6734" spans="1:3">
      <c r="A6734" s="182">
        <v>961500957</v>
      </c>
      <c r="B6734" s="116" t="str">
        <f t="shared" si="105"/>
        <v>96-961500957</v>
      </c>
      <c r="C6734" s="183" t="s">
        <v>12668</v>
      </c>
    </row>
    <row r="6735" spans="1:3">
      <c r="A6735" s="182">
        <v>961500966</v>
      </c>
      <c r="B6735" s="116" t="str">
        <f t="shared" si="105"/>
        <v>96-961500966</v>
      </c>
      <c r="C6735" s="183" t="s">
        <v>12668</v>
      </c>
    </row>
    <row r="6736" spans="1:3">
      <c r="A6736" s="182">
        <v>961500961</v>
      </c>
      <c r="B6736" s="116" t="str">
        <f t="shared" si="105"/>
        <v>96-961500961</v>
      </c>
      <c r="C6736" s="183" t="s">
        <v>12669</v>
      </c>
    </row>
    <row r="6737" spans="1:3">
      <c r="A6737" s="182">
        <v>961500980</v>
      </c>
      <c r="B6737" s="116" t="str">
        <f t="shared" si="105"/>
        <v>96-961500980</v>
      </c>
      <c r="C6737" s="183" t="s">
        <v>12940</v>
      </c>
    </row>
    <row r="6738" spans="1:3">
      <c r="A6738" s="182">
        <v>961501021</v>
      </c>
      <c r="B6738" s="116" t="str">
        <f t="shared" si="105"/>
        <v>96-961501021</v>
      </c>
      <c r="C6738" s="183" t="s">
        <v>12669</v>
      </c>
    </row>
    <row r="6739" spans="1:3">
      <c r="A6739" s="182">
        <v>961501031</v>
      </c>
      <c r="B6739" s="116" t="str">
        <f t="shared" si="105"/>
        <v>96-961501031</v>
      </c>
      <c r="C6739" s="183" t="s">
        <v>12934</v>
      </c>
    </row>
    <row r="6740" spans="1:3">
      <c r="A6740" s="182">
        <v>961500973</v>
      </c>
      <c r="B6740" s="116" t="str">
        <f t="shared" si="105"/>
        <v>96-961500973</v>
      </c>
      <c r="C6740" s="183" t="s">
        <v>12668</v>
      </c>
    </row>
    <row r="6741" spans="1:3">
      <c r="A6741" s="182">
        <v>961501029</v>
      </c>
      <c r="B6741" s="116" t="str">
        <f t="shared" si="105"/>
        <v>96-961501029</v>
      </c>
      <c r="C6741" s="183" t="s">
        <v>12934</v>
      </c>
    </row>
    <row r="6742" spans="1:3">
      <c r="A6742" s="182">
        <v>961501030</v>
      </c>
      <c r="B6742" s="116" t="str">
        <f t="shared" si="105"/>
        <v>96-961501030</v>
      </c>
      <c r="C6742" s="183" t="s">
        <v>12934</v>
      </c>
    </row>
    <row r="6743" spans="1:3">
      <c r="A6743" s="182">
        <v>961501038</v>
      </c>
      <c r="B6743" s="116" t="str">
        <f t="shared" si="105"/>
        <v>96-961501038</v>
      </c>
      <c r="C6743" s="183" t="s">
        <v>12934</v>
      </c>
    </row>
    <row r="6744" spans="1:3">
      <c r="A6744" s="182">
        <v>961501043</v>
      </c>
      <c r="B6744" s="116" t="str">
        <f t="shared" si="105"/>
        <v>96-961501043</v>
      </c>
      <c r="C6744" s="183" t="s">
        <v>12934</v>
      </c>
    </row>
    <row r="6745" spans="1:3">
      <c r="A6745" s="182">
        <v>961500952</v>
      </c>
      <c r="B6745" s="116" t="str">
        <f t="shared" si="105"/>
        <v>96-961500952</v>
      </c>
      <c r="C6745" s="183" t="s">
        <v>12673</v>
      </c>
    </row>
    <row r="6746" spans="1:3">
      <c r="A6746" s="182">
        <v>961500992</v>
      </c>
      <c r="B6746" s="116" t="str">
        <f t="shared" si="105"/>
        <v>96-961500992</v>
      </c>
      <c r="C6746" s="183" t="s">
        <v>12929</v>
      </c>
    </row>
    <row r="6747" spans="1:3">
      <c r="A6747" s="182">
        <v>961501001</v>
      </c>
      <c r="B6747" s="116" t="str">
        <f t="shared" si="105"/>
        <v>96-961501001</v>
      </c>
      <c r="C6747" s="183" t="s">
        <v>12673</v>
      </c>
    </row>
    <row r="6748" spans="1:3">
      <c r="A6748" s="182">
        <v>961500960</v>
      </c>
      <c r="B6748" s="116" t="str">
        <f t="shared" si="105"/>
        <v>96-961500960</v>
      </c>
      <c r="C6748" s="183" t="s">
        <v>12669</v>
      </c>
    </row>
    <row r="6749" spans="1:3">
      <c r="A6749" s="182">
        <v>961500971</v>
      </c>
      <c r="B6749" s="116" t="str">
        <f t="shared" si="105"/>
        <v>96-961500971</v>
      </c>
      <c r="C6749" s="183" t="s">
        <v>12663</v>
      </c>
    </row>
    <row r="6750" spans="1:3">
      <c r="A6750" s="182">
        <v>961500981</v>
      </c>
      <c r="B6750" s="116" t="str">
        <f t="shared" si="105"/>
        <v>96-961500981</v>
      </c>
      <c r="C6750" s="183" t="s">
        <v>12663</v>
      </c>
    </row>
    <row r="6751" spans="1:3">
      <c r="A6751" s="182">
        <v>961500951</v>
      </c>
      <c r="B6751" s="116" t="str">
        <f t="shared" si="105"/>
        <v>96-961500951</v>
      </c>
      <c r="C6751" s="183" t="s">
        <v>12673</v>
      </c>
    </row>
    <row r="6752" spans="1:3">
      <c r="A6752" s="182">
        <v>961500962</v>
      </c>
      <c r="B6752" s="116" t="str">
        <f t="shared" si="105"/>
        <v>96-961500962</v>
      </c>
      <c r="C6752" s="183" t="s">
        <v>12673</v>
      </c>
    </row>
    <row r="6753" spans="1:3">
      <c r="A6753" s="182">
        <v>961500976</v>
      </c>
      <c r="B6753" s="116" t="str">
        <f t="shared" si="105"/>
        <v>96-961500976</v>
      </c>
      <c r="C6753" s="183" t="s">
        <v>12673</v>
      </c>
    </row>
    <row r="6754" spans="1:3">
      <c r="A6754" s="182">
        <v>961500983</v>
      </c>
      <c r="B6754" s="116" t="str">
        <f t="shared" si="105"/>
        <v>96-961500983</v>
      </c>
      <c r="C6754" s="183" t="s">
        <v>12673</v>
      </c>
    </row>
    <row r="6755" spans="1:3">
      <c r="A6755" s="182">
        <v>961501018</v>
      </c>
      <c r="B6755" s="116" t="str">
        <f t="shared" si="105"/>
        <v>96-961501018</v>
      </c>
      <c r="C6755" s="183" t="s">
        <v>12675</v>
      </c>
    </row>
    <row r="6756" spans="1:3">
      <c r="A6756" s="182">
        <v>961501033</v>
      </c>
      <c r="B6756" s="116" t="str">
        <f t="shared" si="105"/>
        <v>96-961501033</v>
      </c>
      <c r="C6756" s="183" t="s">
        <v>12675</v>
      </c>
    </row>
    <row r="6757" spans="1:3">
      <c r="A6757" s="182">
        <v>961501041</v>
      </c>
      <c r="B6757" s="116" t="str">
        <f t="shared" si="105"/>
        <v>96-961501041</v>
      </c>
      <c r="C6757" s="183" t="s">
        <v>12675</v>
      </c>
    </row>
    <row r="6758" spans="1:3">
      <c r="A6758" s="182">
        <v>961501010</v>
      </c>
      <c r="B6758" s="116" t="str">
        <f t="shared" si="105"/>
        <v>96-961501010</v>
      </c>
      <c r="C6758" s="183" t="s">
        <v>12672</v>
      </c>
    </row>
    <row r="6759" spans="1:3">
      <c r="A6759" s="182">
        <v>961500985</v>
      </c>
      <c r="B6759" s="116" t="str">
        <f t="shared" si="105"/>
        <v>96-961500985</v>
      </c>
      <c r="C6759" s="183" t="s">
        <v>12673</v>
      </c>
    </row>
    <row r="6760" spans="1:3">
      <c r="A6760" s="182">
        <v>961500949</v>
      </c>
      <c r="B6760" s="116" t="str">
        <f t="shared" si="105"/>
        <v>96-961500949</v>
      </c>
      <c r="C6760" s="183" t="s">
        <v>12414</v>
      </c>
    </row>
    <row r="6761" spans="1:3">
      <c r="A6761" s="182">
        <v>961500950</v>
      </c>
      <c r="B6761" s="116" t="str">
        <f t="shared" si="105"/>
        <v>96-961500950</v>
      </c>
      <c r="C6761" s="183" t="s">
        <v>12414</v>
      </c>
    </row>
    <row r="6762" spans="1:3">
      <c r="A6762" s="182">
        <v>961501003</v>
      </c>
      <c r="B6762" s="116" t="str">
        <f t="shared" si="105"/>
        <v>96-961501003</v>
      </c>
      <c r="C6762" s="183" t="s">
        <v>12663</v>
      </c>
    </row>
    <row r="6763" spans="1:3">
      <c r="A6763" s="182">
        <v>961500970</v>
      </c>
      <c r="B6763" s="116" t="str">
        <f t="shared" si="105"/>
        <v>96-961500970</v>
      </c>
      <c r="C6763" s="183" t="s">
        <v>12672</v>
      </c>
    </row>
    <row r="6764" spans="1:3">
      <c r="A6764" s="182">
        <v>961500984</v>
      </c>
      <c r="B6764" s="116" t="str">
        <f t="shared" si="105"/>
        <v>96-961500984</v>
      </c>
      <c r="C6764" s="183" t="s">
        <v>12672</v>
      </c>
    </row>
    <row r="6765" spans="1:3">
      <c r="A6765" s="182">
        <v>961500990</v>
      </c>
      <c r="B6765" s="116" t="str">
        <f t="shared" si="105"/>
        <v>96-961500990</v>
      </c>
      <c r="C6765" s="183" t="s">
        <v>12672</v>
      </c>
    </row>
    <row r="6766" spans="1:3">
      <c r="A6766" s="182">
        <v>961501032</v>
      </c>
      <c r="B6766" s="116" t="str">
        <f t="shared" si="105"/>
        <v>96-961501032</v>
      </c>
      <c r="C6766" s="183" t="s">
        <v>12672</v>
      </c>
    </row>
    <row r="6767" spans="1:3">
      <c r="A6767" s="182">
        <v>961501023</v>
      </c>
      <c r="B6767" s="116" t="str">
        <f t="shared" si="105"/>
        <v>96-961501023</v>
      </c>
      <c r="C6767" s="183" t="s">
        <v>12939</v>
      </c>
    </row>
    <row r="6768" spans="1:3">
      <c r="A6768" s="182">
        <v>961200210</v>
      </c>
      <c r="B6768" s="116" t="str">
        <f t="shared" si="105"/>
        <v>96-961200210</v>
      </c>
      <c r="C6768" s="183" t="s">
        <v>12931</v>
      </c>
    </row>
    <row r="6769" spans="1:3">
      <c r="A6769" s="182">
        <v>964100106</v>
      </c>
      <c r="B6769" s="116" t="str">
        <f t="shared" si="105"/>
        <v>96-964100106</v>
      </c>
      <c r="C6769" s="183" t="s">
        <v>12664</v>
      </c>
    </row>
    <row r="6770" spans="1:3">
      <c r="A6770" s="182">
        <v>964100110</v>
      </c>
      <c r="B6770" s="116" t="str">
        <f t="shared" si="105"/>
        <v>96-964100110</v>
      </c>
      <c r="C6770" s="183" t="s">
        <v>12664</v>
      </c>
    </row>
    <row r="6771" spans="1:3">
      <c r="A6771" s="182">
        <v>964100114</v>
      </c>
      <c r="B6771" s="116" t="str">
        <f t="shared" si="105"/>
        <v>96-964100114</v>
      </c>
      <c r="C6771" s="183" t="s">
        <v>12664</v>
      </c>
    </row>
    <row r="6772" spans="1:3">
      <c r="A6772" s="182">
        <v>964100116</v>
      </c>
      <c r="B6772" s="116" t="str">
        <f t="shared" si="105"/>
        <v>96-964100116</v>
      </c>
      <c r="C6772" s="183" t="s">
        <v>12930</v>
      </c>
    </row>
    <row r="6773" spans="1:3">
      <c r="A6773" s="182">
        <v>961200214</v>
      </c>
      <c r="B6773" s="116" t="str">
        <f t="shared" si="105"/>
        <v>96-961200214</v>
      </c>
      <c r="C6773" s="183" t="s">
        <v>12941</v>
      </c>
    </row>
    <row r="6774" spans="1:3">
      <c r="A6774" s="182">
        <v>962200117</v>
      </c>
      <c r="B6774" s="116" t="str">
        <f t="shared" si="105"/>
        <v>96-962200117</v>
      </c>
      <c r="C6774" s="183" t="s">
        <v>12933</v>
      </c>
    </row>
    <row r="6775" spans="1:3">
      <c r="A6775" s="182">
        <v>962500219</v>
      </c>
      <c r="B6775" s="116" t="str">
        <f t="shared" si="105"/>
        <v>96-962500219</v>
      </c>
      <c r="C6775" s="183" t="s">
        <v>12685</v>
      </c>
    </row>
    <row r="6776" spans="1:3">
      <c r="A6776" s="182">
        <v>962500223</v>
      </c>
      <c r="B6776" s="116" t="str">
        <f t="shared" si="105"/>
        <v>96-962500223</v>
      </c>
      <c r="C6776" s="183" t="s">
        <v>12685</v>
      </c>
    </row>
    <row r="6777" spans="1:3">
      <c r="A6777" s="182">
        <v>962500216</v>
      </c>
      <c r="B6777" s="116" t="str">
        <f t="shared" si="105"/>
        <v>96-962500216</v>
      </c>
      <c r="C6777" s="183" t="s">
        <v>12685</v>
      </c>
    </row>
    <row r="6778" spans="1:3">
      <c r="A6778" s="182">
        <v>962500220</v>
      </c>
      <c r="B6778" s="116" t="str">
        <f t="shared" si="105"/>
        <v>96-962500220</v>
      </c>
      <c r="C6778" s="183" t="s">
        <v>12942</v>
      </c>
    </row>
    <row r="6779" spans="1:3">
      <c r="A6779" s="182">
        <v>964200028</v>
      </c>
      <c r="B6779" s="116" t="str">
        <f t="shared" si="105"/>
        <v>96-964200028</v>
      </c>
      <c r="C6779" s="183" t="s">
        <v>12429</v>
      </c>
    </row>
    <row r="6780" spans="1:3">
      <c r="A6780" s="182">
        <v>964200022</v>
      </c>
      <c r="B6780" s="116" t="str">
        <f t="shared" si="105"/>
        <v>96-964200022</v>
      </c>
      <c r="C6780" s="183" t="s">
        <v>12665</v>
      </c>
    </row>
    <row r="6781" spans="1:3">
      <c r="A6781" s="182">
        <v>961200208</v>
      </c>
      <c r="B6781" s="116" t="str">
        <f t="shared" si="105"/>
        <v>96-961200208</v>
      </c>
      <c r="C6781" s="183" t="s">
        <v>12680</v>
      </c>
    </row>
    <row r="6782" spans="1:3">
      <c r="A6782" s="182">
        <v>964200030</v>
      </c>
      <c r="B6782" s="116" t="str">
        <f t="shared" si="105"/>
        <v>96-964200030</v>
      </c>
      <c r="C6782" s="183" t="s">
        <v>12668</v>
      </c>
    </row>
    <row r="6783" spans="1:3">
      <c r="A6783" s="182">
        <v>964200032</v>
      </c>
      <c r="B6783" s="116" t="str">
        <f t="shared" si="105"/>
        <v>96-964200032</v>
      </c>
      <c r="C6783" s="183" t="s">
        <v>12668</v>
      </c>
    </row>
    <row r="6784" spans="1:3">
      <c r="A6784" s="182">
        <v>964100115</v>
      </c>
      <c r="B6784" s="116" t="str">
        <f t="shared" si="105"/>
        <v>96-964100115</v>
      </c>
      <c r="C6784" s="183" t="s">
        <v>12664</v>
      </c>
    </row>
    <row r="6785" spans="1:3">
      <c r="A6785" s="182">
        <v>962200109</v>
      </c>
      <c r="B6785" s="116" t="str">
        <f t="shared" si="105"/>
        <v>96-962200109</v>
      </c>
      <c r="C6785" s="183" t="s">
        <v>12666</v>
      </c>
    </row>
    <row r="6786" spans="1:3">
      <c r="A6786" s="182">
        <v>962500221</v>
      </c>
      <c r="B6786" s="116" t="str">
        <f t="shared" si="105"/>
        <v>96-962500221</v>
      </c>
      <c r="C6786" s="183" t="s">
        <v>12673</v>
      </c>
    </row>
    <row r="6787" spans="1:3">
      <c r="A6787" s="182">
        <v>962500218</v>
      </c>
      <c r="B6787" s="116" t="str">
        <f t="shared" ref="B6787:B6850" si="106">MID(A6787,1,2)&amp;"-"&amp;A6787</f>
        <v>96-962500218</v>
      </c>
      <c r="C6787" s="183" t="s">
        <v>12685</v>
      </c>
    </row>
    <row r="6788" spans="1:3">
      <c r="A6788" s="182">
        <v>962500225</v>
      </c>
      <c r="B6788" s="116" t="str">
        <f t="shared" si="106"/>
        <v>96-962500225</v>
      </c>
      <c r="C6788" s="183" t="s">
        <v>12942</v>
      </c>
    </row>
    <row r="6789" spans="1:3">
      <c r="A6789" s="182">
        <v>964200025</v>
      </c>
      <c r="B6789" s="116" t="str">
        <f t="shared" si="106"/>
        <v>96-964200025</v>
      </c>
      <c r="C6789" s="183" t="s">
        <v>12429</v>
      </c>
    </row>
    <row r="6790" spans="1:3">
      <c r="A6790" s="182">
        <v>964200031</v>
      </c>
      <c r="B6790" s="116" t="str">
        <f t="shared" si="106"/>
        <v>96-964200031</v>
      </c>
      <c r="C6790" s="183" t="s">
        <v>12668</v>
      </c>
    </row>
    <row r="6791" spans="1:3">
      <c r="A6791" s="182">
        <v>961501036</v>
      </c>
      <c r="B6791" s="116" t="str">
        <f t="shared" si="106"/>
        <v>96-961501036</v>
      </c>
      <c r="C6791" s="183" t="s">
        <v>12675</v>
      </c>
    </row>
    <row r="6792" spans="1:3">
      <c r="A6792" s="182">
        <v>961200211</v>
      </c>
      <c r="B6792" s="116" t="str">
        <f t="shared" si="106"/>
        <v>96-961200211</v>
      </c>
      <c r="C6792" s="183" t="s">
        <v>12931</v>
      </c>
    </row>
    <row r="6793" spans="1:3">
      <c r="A6793" s="182">
        <v>964200024</v>
      </c>
      <c r="B6793" s="116" t="str">
        <f t="shared" si="106"/>
        <v>96-964200024</v>
      </c>
      <c r="C6793" s="183" t="s">
        <v>12429</v>
      </c>
    </row>
    <row r="6794" spans="1:3">
      <c r="A6794" s="182">
        <v>964100109</v>
      </c>
      <c r="B6794" s="116" t="str">
        <f t="shared" si="106"/>
        <v>96-964100109</v>
      </c>
      <c r="C6794" s="183" t="s">
        <v>12664</v>
      </c>
    </row>
    <row r="6795" spans="1:3">
      <c r="A6795" s="182">
        <v>964100112</v>
      </c>
      <c r="B6795" s="116" t="str">
        <f t="shared" si="106"/>
        <v>96-964100112</v>
      </c>
      <c r="C6795" s="183" t="s">
        <v>12664</v>
      </c>
    </row>
    <row r="6796" spans="1:3">
      <c r="A6796" s="182">
        <v>964300047</v>
      </c>
      <c r="B6796" s="116" t="str">
        <f t="shared" si="106"/>
        <v>96-964300047</v>
      </c>
      <c r="C6796" s="183" t="s">
        <v>12932</v>
      </c>
    </row>
    <row r="6797" spans="1:3">
      <c r="A6797" s="182">
        <v>964300048</v>
      </c>
      <c r="B6797" s="116" t="str">
        <f t="shared" si="106"/>
        <v>96-964300048</v>
      </c>
      <c r="C6797" s="183" t="s">
        <v>12932</v>
      </c>
    </row>
    <row r="6798" spans="1:3">
      <c r="A6798" s="182">
        <v>964100108</v>
      </c>
      <c r="B6798" s="116" t="str">
        <f t="shared" si="106"/>
        <v>96-964100108</v>
      </c>
      <c r="C6798" s="183" t="s">
        <v>12664</v>
      </c>
    </row>
    <row r="6799" spans="1:3">
      <c r="A6799" s="182">
        <v>962500224</v>
      </c>
      <c r="B6799" s="116" t="str">
        <f t="shared" si="106"/>
        <v>96-962500224</v>
      </c>
      <c r="C6799" s="183" t="s">
        <v>12942</v>
      </c>
    </row>
    <row r="6800" spans="1:3">
      <c r="A6800" s="182">
        <v>962500228</v>
      </c>
      <c r="B6800" s="116" t="str">
        <f t="shared" si="106"/>
        <v>96-962500228</v>
      </c>
      <c r="C6800" s="183" t="s">
        <v>12667</v>
      </c>
    </row>
    <row r="6801" spans="1:3">
      <c r="A6801" s="182">
        <v>964200033</v>
      </c>
      <c r="B6801" s="116" t="str">
        <f t="shared" si="106"/>
        <v>96-964200033</v>
      </c>
      <c r="C6801" s="183" t="s">
        <v>12668</v>
      </c>
    </row>
    <row r="6802" spans="1:3">
      <c r="A6802" s="182">
        <v>964300050</v>
      </c>
      <c r="B6802" s="116" t="str">
        <f t="shared" si="106"/>
        <v>96-964300050</v>
      </c>
      <c r="C6802" s="183" t="s">
        <v>12666</v>
      </c>
    </row>
    <row r="6803" spans="1:3">
      <c r="A6803" s="182">
        <v>964100113</v>
      </c>
      <c r="B6803" s="116" t="str">
        <f t="shared" si="106"/>
        <v>96-964100113</v>
      </c>
      <c r="C6803" s="183" t="s">
        <v>12664</v>
      </c>
    </row>
    <row r="6804" spans="1:3">
      <c r="A6804" s="182">
        <v>962200111</v>
      </c>
      <c r="B6804" s="116" t="str">
        <f t="shared" si="106"/>
        <v>96-962200111</v>
      </c>
      <c r="C6804" s="183" t="s">
        <v>12932</v>
      </c>
    </row>
    <row r="6805" spans="1:3">
      <c r="A6805" s="182">
        <v>962500217</v>
      </c>
      <c r="B6805" s="116" t="str">
        <f t="shared" si="106"/>
        <v>96-962500217</v>
      </c>
      <c r="C6805" s="183" t="s">
        <v>12685</v>
      </c>
    </row>
    <row r="6806" spans="1:3">
      <c r="A6806" s="182">
        <v>962500222</v>
      </c>
      <c r="B6806" s="116" t="str">
        <f t="shared" si="106"/>
        <v>96-962500222</v>
      </c>
      <c r="C6806" s="183" t="s">
        <v>12685</v>
      </c>
    </row>
    <row r="6807" spans="1:3">
      <c r="A6807" s="182">
        <v>962500215</v>
      </c>
      <c r="B6807" s="116" t="str">
        <f t="shared" si="106"/>
        <v>96-962500215</v>
      </c>
      <c r="C6807" s="183" t="s">
        <v>12667</v>
      </c>
    </row>
    <row r="6808" spans="1:3">
      <c r="A6808" s="182">
        <v>964200034</v>
      </c>
      <c r="B6808" s="116" t="str">
        <f t="shared" si="106"/>
        <v>96-964200034</v>
      </c>
      <c r="C6808" s="183" t="s">
        <v>12668</v>
      </c>
    </row>
    <row r="6809" spans="1:3">
      <c r="A6809" s="182">
        <v>964200023</v>
      </c>
      <c r="B6809" s="116" t="str">
        <f t="shared" si="106"/>
        <v>96-964200023</v>
      </c>
      <c r="C6809" s="183" t="s">
        <v>12665</v>
      </c>
    </row>
    <row r="6810" spans="1:3">
      <c r="A6810" s="182">
        <v>962200116</v>
      </c>
      <c r="B6810" s="116" t="str">
        <f t="shared" si="106"/>
        <v>96-962200116</v>
      </c>
      <c r="C6810" s="183" t="s">
        <v>12932</v>
      </c>
    </row>
    <row r="6811" spans="1:3">
      <c r="A6811" s="182">
        <v>961500998</v>
      </c>
      <c r="B6811" s="116" t="str">
        <f t="shared" si="106"/>
        <v>96-961500998</v>
      </c>
      <c r="C6811" s="183" t="s">
        <v>12677</v>
      </c>
    </row>
    <row r="6812" spans="1:3">
      <c r="A6812" s="182">
        <v>961500987</v>
      </c>
      <c r="B6812" s="116" t="str">
        <f t="shared" si="106"/>
        <v>96-961500987</v>
      </c>
      <c r="C6812" s="183" t="s">
        <v>12677</v>
      </c>
    </row>
    <row r="6813" spans="1:3">
      <c r="A6813" s="182">
        <v>961200206</v>
      </c>
      <c r="B6813" s="116" t="str">
        <f t="shared" si="106"/>
        <v>96-961200206</v>
      </c>
      <c r="C6813" s="183" t="s">
        <v>12666</v>
      </c>
    </row>
    <row r="6814" spans="1:3">
      <c r="A6814" s="182">
        <v>961500958</v>
      </c>
      <c r="B6814" s="116" t="str">
        <f t="shared" si="106"/>
        <v>96-961500958</v>
      </c>
      <c r="C6814" s="183" t="s">
        <v>12668</v>
      </c>
    </row>
    <row r="6815" spans="1:3">
      <c r="A6815" s="182">
        <v>961500975</v>
      </c>
      <c r="B6815" s="116" t="str">
        <f t="shared" si="106"/>
        <v>96-961500975</v>
      </c>
      <c r="C6815" s="183" t="s">
        <v>12668</v>
      </c>
    </row>
    <row r="6816" spans="1:3">
      <c r="A6816" s="182">
        <v>961500977</v>
      </c>
      <c r="B6816" s="116" t="str">
        <f t="shared" si="106"/>
        <v>96-961500977</v>
      </c>
      <c r="C6816" s="183" t="s">
        <v>12668</v>
      </c>
    </row>
    <row r="6817" spans="1:3">
      <c r="A6817" s="182">
        <v>961500994</v>
      </c>
      <c r="B6817" s="116" t="str">
        <f t="shared" si="106"/>
        <v>96-961500994</v>
      </c>
      <c r="C6817" s="183" t="s">
        <v>12934</v>
      </c>
    </row>
    <row r="6818" spans="1:3">
      <c r="A6818" s="182">
        <v>961501039</v>
      </c>
      <c r="B6818" s="116" t="str">
        <f t="shared" si="106"/>
        <v>96-961501039</v>
      </c>
      <c r="C6818" s="183" t="s">
        <v>12934</v>
      </c>
    </row>
    <row r="6819" spans="1:3">
      <c r="A6819" s="182">
        <v>961500968</v>
      </c>
      <c r="B6819" s="116" t="str">
        <f t="shared" si="106"/>
        <v>96-961500968</v>
      </c>
      <c r="C6819" s="183" t="s">
        <v>12673</v>
      </c>
    </row>
    <row r="6820" spans="1:3">
      <c r="A6820" s="182">
        <v>961501017</v>
      </c>
      <c r="B6820" s="116" t="str">
        <f t="shared" si="106"/>
        <v>96-961501017</v>
      </c>
      <c r="C6820" s="183" t="s">
        <v>12669</v>
      </c>
    </row>
    <row r="6821" spans="1:3">
      <c r="A6821" s="182">
        <v>961500954</v>
      </c>
      <c r="B6821" s="116" t="str">
        <f t="shared" si="106"/>
        <v>96-961500954</v>
      </c>
      <c r="C6821" s="183" t="s">
        <v>12672</v>
      </c>
    </row>
    <row r="6822" spans="1:3">
      <c r="A6822" s="182">
        <v>961500965</v>
      </c>
      <c r="B6822" s="116" t="str">
        <f t="shared" si="106"/>
        <v>96-961500965</v>
      </c>
      <c r="C6822" s="183" t="s">
        <v>12672</v>
      </c>
    </row>
    <row r="6823" spans="1:3">
      <c r="A6823" s="182">
        <v>961501024</v>
      </c>
      <c r="B6823" s="116" t="str">
        <f t="shared" si="106"/>
        <v>96-961501024</v>
      </c>
      <c r="C6823" s="183" t="s">
        <v>12672</v>
      </c>
    </row>
    <row r="6824" spans="1:3">
      <c r="A6824" s="182">
        <v>961500986</v>
      </c>
      <c r="B6824" s="116" t="str">
        <f t="shared" si="106"/>
        <v>96-961500986</v>
      </c>
      <c r="C6824" s="183" t="s">
        <v>12677</v>
      </c>
    </row>
    <row r="6825" spans="1:3">
      <c r="A6825" s="182">
        <v>961500997</v>
      </c>
      <c r="B6825" s="116" t="str">
        <f t="shared" si="106"/>
        <v>96-961500997</v>
      </c>
      <c r="C6825" s="183" t="s">
        <v>12677</v>
      </c>
    </row>
    <row r="6826" spans="1:3">
      <c r="A6826" s="182">
        <v>961501014</v>
      </c>
      <c r="B6826" s="116" t="str">
        <f t="shared" si="106"/>
        <v>96-961501014</v>
      </c>
      <c r="C6826" s="183" t="s">
        <v>12677</v>
      </c>
    </row>
    <row r="6827" spans="1:3">
      <c r="A6827" s="182">
        <v>961200207</v>
      </c>
      <c r="B6827" s="116" t="str">
        <f t="shared" si="106"/>
        <v>96-961200207</v>
      </c>
      <c r="C6827" s="183" t="s">
        <v>12680</v>
      </c>
    </row>
    <row r="6828" spans="1:3">
      <c r="A6828" s="182">
        <v>961200217</v>
      </c>
      <c r="B6828" s="116" t="str">
        <f t="shared" si="106"/>
        <v>96-961200217</v>
      </c>
      <c r="C6828" s="183" t="s">
        <v>12941</v>
      </c>
    </row>
    <row r="6829" spans="1:3">
      <c r="A6829" s="182">
        <v>961200218</v>
      </c>
      <c r="B6829" s="116" t="str">
        <f t="shared" si="106"/>
        <v>96-961200218</v>
      </c>
      <c r="C6829" s="183" t="s">
        <v>12941</v>
      </c>
    </row>
    <row r="6830" spans="1:3">
      <c r="A6830" s="182">
        <v>961200209</v>
      </c>
      <c r="B6830" s="116" t="str">
        <f t="shared" si="106"/>
        <v>96-961200209</v>
      </c>
      <c r="C6830" s="183" t="s">
        <v>12931</v>
      </c>
    </row>
    <row r="6831" spans="1:3">
      <c r="A6831" s="182">
        <v>964100107</v>
      </c>
      <c r="B6831" s="116" t="str">
        <f t="shared" si="106"/>
        <v>96-964100107</v>
      </c>
      <c r="C6831" s="183" t="s">
        <v>9774</v>
      </c>
    </row>
    <row r="6832" spans="1:3">
      <c r="A6832" s="182">
        <v>964100111</v>
      </c>
      <c r="B6832" s="116" t="str">
        <f t="shared" si="106"/>
        <v>96-964100111</v>
      </c>
      <c r="C6832" s="183" t="s">
        <v>12664</v>
      </c>
    </row>
    <row r="6833" spans="1:3">
      <c r="A6833" s="182">
        <v>964300046</v>
      </c>
      <c r="B6833" s="116" t="str">
        <f t="shared" si="106"/>
        <v>96-964300046</v>
      </c>
      <c r="C6833" s="183" t="s">
        <v>12683</v>
      </c>
    </row>
    <row r="6834" spans="1:3">
      <c r="A6834" s="182">
        <v>962200110</v>
      </c>
      <c r="B6834" s="116" t="str">
        <f t="shared" si="106"/>
        <v>96-962200110</v>
      </c>
      <c r="C6834" s="183" t="s">
        <v>12683</v>
      </c>
    </row>
    <row r="6835" spans="1:3">
      <c r="A6835" s="182">
        <v>962500227</v>
      </c>
      <c r="B6835" s="116" t="str">
        <f t="shared" si="106"/>
        <v>96-962500227</v>
      </c>
      <c r="C6835" s="183" t="s">
        <v>12942</v>
      </c>
    </row>
    <row r="6836" spans="1:3">
      <c r="A6836" s="182">
        <v>964200026</v>
      </c>
      <c r="B6836" s="116" t="str">
        <f t="shared" si="106"/>
        <v>96-964200026</v>
      </c>
      <c r="C6836" s="183" t="s">
        <v>12668</v>
      </c>
    </row>
    <row r="6837" spans="1:3">
      <c r="A6837" s="182">
        <v>962200112</v>
      </c>
      <c r="B6837" s="116" t="str">
        <f t="shared" si="106"/>
        <v>96-962200112</v>
      </c>
      <c r="C6837" s="183" t="s">
        <v>12932</v>
      </c>
    </row>
    <row r="6838" spans="1:3">
      <c r="A6838" s="182">
        <v>962200115</v>
      </c>
      <c r="B6838" s="116" t="str">
        <f t="shared" si="106"/>
        <v>96-962200115</v>
      </c>
      <c r="C6838" s="183" t="s">
        <v>12932</v>
      </c>
    </row>
    <row r="6839" spans="1:3">
      <c r="A6839" s="182">
        <v>962500226</v>
      </c>
      <c r="B6839" s="116" t="str">
        <f t="shared" si="106"/>
        <v>96-962500226</v>
      </c>
      <c r="C6839" s="183" t="s">
        <v>12667</v>
      </c>
    </row>
    <row r="6840" spans="1:3">
      <c r="A6840" s="184">
        <v>966000034</v>
      </c>
      <c r="B6840" s="116" t="str">
        <f t="shared" si="106"/>
        <v>96-966000034</v>
      </c>
      <c r="C6840" s="185" t="s">
        <v>7146</v>
      </c>
    </row>
    <row r="6841" spans="1:3">
      <c r="A6841" s="184">
        <v>971500036</v>
      </c>
      <c r="B6841" s="116" t="str">
        <f t="shared" si="106"/>
        <v>97-971500036</v>
      </c>
      <c r="C6841" s="185" t="s">
        <v>12934</v>
      </c>
    </row>
    <row r="6842" spans="1:3">
      <c r="A6842" s="184">
        <v>971200003</v>
      </c>
      <c r="B6842" s="116" t="str">
        <f t="shared" si="106"/>
        <v>97-971200003</v>
      </c>
      <c r="C6842" s="185" t="s">
        <v>12941</v>
      </c>
    </row>
    <row r="6843" spans="1:3">
      <c r="A6843" s="184">
        <v>972000121</v>
      </c>
      <c r="B6843" s="116" t="str">
        <f t="shared" si="106"/>
        <v>97-972000121</v>
      </c>
      <c r="C6843" s="185" t="s">
        <v>13003</v>
      </c>
    </row>
    <row r="6844" spans="1:3">
      <c r="A6844" s="184">
        <v>972000051</v>
      </c>
      <c r="B6844" s="116" t="str">
        <f t="shared" si="106"/>
        <v>97-972000051</v>
      </c>
      <c r="C6844" s="185" t="s">
        <v>13003</v>
      </c>
    </row>
    <row r="6845" spans="1:3">
      <c r="A6845" s="184">
        <v>966000033</v>
      </c>
      <c r="B6845" s="116" t="str">
        <f t="shared" si="106"/>
        <v>96-966000033</v>
      </c>
      <c r="C6845" s="185" t="s">
        <v>7146</v>
      </c>
    </row>
    <row r="6846" spans="1:3">
      <c r="A6846" s="184">
        <v>966000035</v>
      </c>
      <c r="B6846" s="116" t="str">
        <f t="shared" si="106"/>
        <v>96-966000035</v>
      </c>
      <c r="C6846" s="185" t="s">
        <v>7146</v>
      </c>
    </row>
    <row r="6847" spans="1:3">
      <c r="A6847" s="184">
        <v>971500028</v>
      </c>
      <c r="B6847" s="116" t="str">
        <f t="shared" si="106"/>
        <v>97-971500028</v>
      </c>
      <c r="C6847" s="185" t="s">
        <v>12934</v>
      </c>
    </row>
    <row r="6848" spans="1:3">
      <c r="A6848" s="184">
        <v>971500056</v>
      </c>
      <c r="B6848" s="116" t="str">
        <f t="shared" si="106"/>
        <v>97-971500056</v>
      </c>
      <c r="C6848" s="185" t="s">
        <v>12934</v>
      </c>
    </row>
    <row r="6849" spans="1:3">
      <c r="A6849" s="184">
        <v>971500057</v>
      </c>
      <c r="B6849" s="116" t="str">
        <f t="shared" si="106"/>
        <v>97-971500057</v>
      </c>
      <c r="C6849" s="185" t="s">
        <v>12934</v>
      </c>
    </row>
    <row r="6850" spans="1:3">
      <c r="A6850" s="184">
        <v>971500049</v>
      </c>
      <c r="B6850" s="116" t="str">
        <f t="shared" si="106"/>
        <v>97-971500049</v>
      </c>
      <c r="C6850" s="185" t="s">
        <v>12939</v>
      </c>
    </row>
    <row r="6851" spans="1:3">
      <c r="A6851" s="184">
        <v>972000127</v>
      </c>
      <c r="B6851" s="116" t="str">
        <f t="shared" ref="B6851:B6914" si="107">MID(A6851,1,2)&amp;"-"&amp;A6851</f>
        <v>97-972000127</v>
      </c>
      <c r="C6851" s="185" t="s">
        <v>13003</v>
      </c>
    </row>
    <row r="6852" spans="1:3">
      <c r="A6852" s="184">
        <v>972000128</v>
      </c>
      <c r="B6852" s="116" t="str">
        <f t="shared" si="107"/>
        <v>97-972000128</v>
      </c>
      <c r="C6852" s="185" t="s">
        <v>13003</v>
      </c>
    </row>
    <row r="6853" spans="1:3">
      <c r="A6853" s="184">
        <v>966200683</v>
      </c>
      <c r="B6853" s="116" t="str">
        <f t="shared" si="107"/>
        <v>96-966200683</v>
      </c>
      <c r="C6853" s="185" t="s">
        <v>13004</v>
      </c>
    </row>
    <row r="6854" spans="1:3">
      <c r="A6854" s="184">
        <v>966000036</v>
      </c>
      <c r="B6854" s="116" t="str">
        <f t="shared" si="107"/>
        <v>96-966000036</v>
      </c>
      <c r="C6854" s="185" t="s">
        <v>7146</v>
      </c>
    </row>
    <row r="6855" spans="1:3">
      <c r="A6855" s="184">
        <v>966000033</v>
      </c>
      <c r="B6855" s="116" t="str">
        <f t="shared" si="107"/>
        <v>96-966000033</v>
      </c>
      <c r="C6855" s="185" t="s">
        <v>7146</v>
      </c>
    </row>
    <row r="6856" spans="1:3">
      <c r="A6856" s="184">
        <v>966000034</v>
      </c>
      <c r="B6856" s="116" t="str">
        <f t="shared" si="107"/>
        <v>96-966000034</v>
      </c>
      <c r="C6856" s="185" t="s">
        <v>7146</v>
      </c>
    </row>
    <row r="6857" spans="1:3">
      <c r="A6857" s="184">
        <v>966000037</v>
      </c>
      <c r="B6857" s="116" t="str">
        <f t="shared" si="107"/>
        <v>96-966000037</v>
      </c>
      <c r="C6857" s="185" t="s">
        <v>7146</v>
      </c>
    </row>
    <row r="6858" spans="1:3">
      <c r="A6858" s="184">
        <v>961200164</v>
      </c>
      <c r="B6858" s="116" t="str">
        <f t="shared" si="107"/>
        <v>96-961200164</v>
      </c>
      <c r="C6858" s="185" t="s">
        <v>12413</v>
      </c>
    </row>
    <row r="6859" spans="1:3">
      <c r="A6859" s="184">
        <v>971500050</v>
      </c>
      <c r="B6859" s="116" t="str">
        <f t="shared" si="107"/>
        <v>97-971500050</v>
      </c>
      <c r="C6859" s="185" t="s">
        <v>12929</v>
      </c>
    </row>
    <row r="6860" spans="1:3">
      <c r="A6860" s="184">
        <v>971500058</v>
      </c>
      <c r="B6860" s="116" t="str">
        <f t="shared" si="107"/>
        <v>97-971500058</v>
      </c>
      <c r="C6860" s="185" t="s">
        <v>12929</v>
      </c>
    </row>
    <row r="6861" spans="1:3">
      <c r="A6861" s="184">
        <v>971500047</v>
      </c>
      <c r="B6861" s="116" t="str">
        <f t="shared" si="107"/>
        <v>97-971500047</v>
      </c>
      <c r="C6861" s="185" t="s">
        <v>12669</v>
      </c>
    </row>
    <row r="6862" spans="1:3">
      <c r="A6862" s="184">
        <v>972000110</v>
      </c>
      <c r="B6862" s="116" t="str">
        <f t="shared" si="107"/>
        <v>97-972000110</v>
      </c>
      <c r="C6862" s="185" t="s">
        <v>13003</v>
      </c>
    </row>
    <row r="6863" spans="1:3">
      <c r="A6863" s="184">
        <v>972000116</v>
      </c>
      <c r="B6863" s="116" t="str">
        <f t="shared" si="107"/>
        <v>97-972000116</v>
      </c>
      <c r="C6863" s="185" t="s">
        <v>13003</v>
      </c>
    </row>
    <row r="6864" spans="1:3">
      <c r="A6864" s="184">
        <v>972000063</v>
      </c>
      <c r="B6864" s="116" t="str">
        <f t="shared" si="107"/>
        <v>97-972000063</v>
      </c>
      <c r="C6864" s="185" t="s">
        <v>13003</v>
      </c>
    </row>
    <row r="6865" spans="1:3">
      <c r="A6865" s="184">
        <v>966000034</v>
      </c>
      <c r="B6865" s="116" t="str">
        <f t="shared" si="107"/>
        <v>96-966000034</v>
      </c>
      <c r="C6865" s="185" t="s">
        <v>7146</v>
      </c>
    </row>
    <row r="6866" spans="1:3">
      <c r="A6866" s="184">
        <v>971500039</v>
      </c>
      <c r="B6866" s="116" t="str">
        <f t="shared" si="107"/>
        <v>97-971500039</v>
      </c>
      <c r="C6866" s="185" t="s">
        <v>12934</v>
      </c>
    </row>
    <row r="6867" spans="1:3">
      <c r="A6867" s="184">
        <v>971500043</v>
      </c>
      <c r="B6867" s="116" t="str">
        <f t="shared" si="107"/>
        <v>97-971500043</v>
      </c>
      <c r="C6867" s="185" t="s">
        <v>12669</v>
      </c>
    </row>
    <row r="6868" spans="1:3">
      <c r="A6868" s="184">
        <v>971500059</v>
      </c>
      <c r="B6868" s="116" t="str">
        <f t="shared" si="107"/>
        <v>97-971500059</v>
      </c>
      <c r="C6868" s="185" t="s">
        <v>12669</v>
      </c>
    </row>
    <row r="6869" spans="1:3">
      <c r="A6869" s="184">
        <v>976200003</v>
      </c>
      <c r="B6869" s="116" t="str">
        <f t="shared" si="107"/>
        <v>97-976200003</v>
      </c>
      <c r="C6869" s="185" t="s">
        <v>13005</v>
      </c>
    </row>
    <row r="6870" spans="1:3">
      <c r="A6870" s="184">
        <v>972000100</v>
      </c>
      <c r="B6870" s="116" t="str">
        <f t="shared" si="107"/>
        <v>97-972000100</v>
      </c>
      <c r="C6870" s="185" t="s">
        <v>13003</v>
      </c>
    </row>
    <row r="6871" spans="1:3">
      <c r="A6871" s="184">
        <v>972000062</v>
      </c>
      <c r="B6871" s="116" t="str">
        <f t="shared" si="107"/>
        <v>97-972000062</v>
      </c>
      <c r="C6871" s="185" t="s">
        <v>13003</v>
      </c>
    </row>
    <row r="6872" spans="1:3">
      <c r="A6872" s="184">
        <v>972000111</v>
      </c>
      <c r="B6872" s="116" t="str">
        <f t="shared" si="107"/>
        <v>97-972000111</v>
      </c>
      <c r="C6872" s="185" t="s">
        <v>13003</v>
      </c>
    </row>
    <row r="6873" spans="1:3">
      <c r="A6873" s="184">
        <v>972000133</v>
      </c>
      <c r="B6873" s="116" t="str">
        <f t="shared" si="107"/>
        <v>97-972000133</v>
      </c>
      <c r="C6873" s="185" t="s">
        <v>13003</v>
      </c>
    </row>
    <row r="6874" spans="1:3">
      <c r="A6874" s="184">
        <v>966000035</v>
      </c>
      <c r="B6874" s="116" t="str">
        <f t="shared" si="107"/>
        <v>96-966000035</v>
      </c>
      <c r="C6874" s="185" t="s">
        <v>7146</v>
      </c>
    </row>
    <row r="6875" spans="1:3">
      <c r="A6875" s="184">
        <v>966000037</v>
      </c>
      <c r="B6875" s="116" t="str">
        <f t="shared" si="107"/>
        <v>96-966000037</v>
      </c>
      <c r="C6875" s="185" t="s">
        <v>7146</v>
      </c>
    </row>
    <row r="6876" spans="1:3">
      <c r="A6876" s="184">
        <v>971500044</v>
      </c>
      <c r="B6876" s="116" t="str">
        <f t="shared" si="107"/>
        <v>97-971500044</v>
      </c>
      <c r="C6876" s="185" t="s">
        <v>12669</v>
      </c>
    </row>
    <row r="6877" spans="1:3">
      <c r="A6877" s="184">
        <v>971500054</v>
      </c>
      <c r="B6877" s="116" t="str">
        <f t="shared" si="107"/>
        <v>97-971500054</v>
      </c>
      <c r="C6877" s="185" t="s">
        <v>12939</v>
      </c>
    </row>
    <row r="6878" spans="1:3">
      <c r="A6878" s="184">
        <v>976200001</v>
      </c>
      <c r="B6878" s="116" t="str">
        <f t="shared" si="107"/>
        <v>97-976200001</v>
      </c>
      <c r="C6878" s="185" t="s">
        <v>13005</v>
      </c>
    </row>
    <row r="6879" spans="1:3">
      <c r="A6879" s="184">
        <v>972000057</v>
      </c>
      <c r="B6879" s="116" t="str">
        <f t="shared" si="107"/>
        <v>97-972000057</v>
      </c>
      <c r="C6879" s="185" t="s">
        <v>13003</v>
      </c>
    </row>
    <row r="6880" spans="1:3">
      <c r="A6880" s="184">
        <v>972000064</v>
      </c>
      <c r="B6880" s="116" t="str">
        <f t="shared" si="107"/>
        <v>97-972000064</v>
      </c>
      <c r="C6880" s="185" t="s">
        <v>13003</v>
      </c>
    </row>
    <row r="6881" spans="1:3">
      <c r="A6881" s="184">
        <v>972000047</v>
      </c>
      <c r="B6881" s="116" t="str">
        <f t="shared" si="107"/>
        <v>97-972000047</v>
      </c>
      <c r="C6881" s="185" t="s">
        <v>13003</v>
      </c>
    </row>
    <row r="6882" spans="1:3">
      <c r="A6882" s="184">
        <v>972000087</v>
      </c>
      <c r="B6882" s="116" t="str">
        <f t="shared" si="107"/>
        <v>97-972000087</v>
      </c>
      <c r="C6882" s="185" t="s">
        <v>13003</v>
      </c>
    </row>
    <row r="6883" spans="1:3">
      <c r="A6883" s="184">
        <v>966000036</v>
      </c>
      <c r="B6883" s="116" t="str">
        <f t="shared" si="107"/>
        <v>96-966000036</v>
      </c>
      <c r="C6883" s="185" t="s">
        <v>7146</v>
      </c>
    </row>
    <row r="6884" spans="1:3">
      <c r="A6884" s="184">
        <v>966000036</v>
      </c>
      <c r="B6884" s="116" t="str">
        <f t="shared" si="107"/>
        <v>96-966000036</v>
      </c>
      <c r="C6884" s="185" t="s">
        <v>7146</v>
      </c>
    </row>
    <row r="6885" spans="1:3">
      <c r="A6885" s="184">
        <v>972000044</v>
      </c>
      <c r="B6885" s="116" t="str">
        <f t="shared" si="107"/>
        <v>97-972000044</v>
      </c>
      <c r="C6885" s="185" t="s">
        <v>13003</v>
      </c>
    </row>
    <row r="6886" spans="1:3">
      <c r="A6886" s="184">
        <v>971100002</v>
      </c>
      <c r="B6886" s="116" t="str">
        <f t="shared" si="107"/>
        <v>97-971100002</v>
      </c>
      <c r="C6886" s="185" t="s">
        <v>13006</v>
      </c>
    </row>
    <row r="6887" spans="1:3">
      <c r="A6887" s="184">
        <v>972000114</v>
      </c>
      <c r="B6887" s="116" t="str">
        <f t="shared" si="107"/>
        <v>97-972000114</v>
      </c>
      <c r="C6887" s="185" t="s">
        <v>13003</v>
      </c>
    </row>
    <row r="6888" spans="1:3">
      <c r="A6888" s="184">
        <v>972000059</v>
      </c>
      <c r="B6888" s="116" t="str">
        <f t="shared" si="107"/>
        <v>97-972000059</v>
      </c>
      <c r="C6888" s="185" t="s">
        <v>13003</v>
      </c>
    </row>
    <row r="6889" spans="1:3">
      <c r="A6889" s="184">
        <v>972000055</v>
      </c>
      <c r="B6889" s="116" t="str">
        <f t="shared" si="107"/>
        <v>97-972000055</v>
      </c>
      <c r="C6889" s="185" t="s">
        <v>13003</v>
      </c>
    </row>
    <row r="6890" spans="1:3">
      <c r="A6890" s="184">
        <v>972000109</v>
      </c>
      <c r="B6890" s="116" t="str">
        <f t="shared" si="107"/>
        <v>97-972000109</v>
      </c>
      <c r="C6890" s="185" t="s">
        <v>13003</v>
      </c>
    </row>
    <row r="6891" spans="1:3">
      <c r="A6891" s="184">
        <v>972000124</v>
      </c>
      <c r="B6891" s="116" t="str">
        <f t="shared" si="107"/>
        <v>97-972000124</v>
      </c>
      <c r="C6891" s="185" t="s">
        <v>13003</v>
      </c>
    </row>
    <row r="6892" spans="1:3">
      <c r="A6892" s="184">
        <v>972000090</v>
      </c>
      <c r="B6892" s="116" t="str">
        <f t="shared" si="107"/>
        <v>97-972000090</v>
      </c>
      <c r="C6892" s="185" t="s">
        <v>13003</v>
      </c>
    </row>
    <row r="6893" spans="1:3">
      <c r="A6893" s="184">
        <v>971500034</v>
      </c>
      <c r="B6893" s="116" t="str">
        <f t="shared" si="107"/>
        <v>97-971500034</v>
      </c>
      <c r="C6893" s="185" t="s">
        <v>12934</v>
      </c>
    </row>
    <row r="6894" spans="1:3">
      <c r="A6894" s="184">
        <v>972000091</v>
      </c>
      <c r="B6894" s="116" t="str">
        <f t="shared" si="107"/>
        <v>97-972000091</v>
      </c>
      <c r="C6894" s="185" t="s">
        <v>13003</v>
      </c>
    </row>
    <row r="6895" spans="1:3">
      <c r="A6895" s="184">
        <v>961100138</v>
      </c>
      <c r="B6895" s="116" t="str">
        <f t="shared" si="107"/>
        <v>96-961100138</v>
      </c>
      <c r="C6895" s="185" t="s">
        <v>13007</v>
      </c>
    </row>
    <row r="6896" spans="1:3">
      <c r="A6896" s="184">
        <v>976200004</v>
      </c>
      <c r="B6896" s="116" t="str">
        <f t="shared" si="107"/>
        <v>97-976200004</v>
      </c>
      <c r="C6896" s="185" t="s">
        <v>13005</v>
      </c>
    </row>
    <row r="6897" spans="1:3">
      <c r="A6897" s="184">
        <v>966200751</v>
      </c>
      <c r="B6897" s="116" t="str">
        <f t="shared" si="107"/>
        <v>96-966200751</v>
      </c>
      <c r="C6897" s="185" t="s">
        <v>13008</v>
      </c>
    </row>
    <row r="6898" spans="1:3">
      <c r="A6898" s="184">
        <v>972000046</v>
      </c>
      <c r="B6898" s="116" t="str">
        <f t="shared" si="107"/>
        <v>97-972000046</v>
      </c>
      <c r="C6898" s="185" t="s">
        <v>13003</v>
      </c>
    </row>
    <row r="6899" spans="1:3">
      <c r="A6899" s="184">
        <v>972000050</v>
      </c>
      <c r="B6899" s="116" t="str">
        <f t="shared" si="107"/>
        <v>97-972000050</v>
      </c>
      <c r="C6899" s="185" t="s">
        <v>13003</v>
      </c>
    </row>
    <row r="6900" spans="1:3">
      <c r="A6900" s="184">
        <v>972000070</v>
      </c>
      <c r="B6900" s="116" t="str">
        <f t="shared" si="107"/>
        <v>97-972000070</v>
      </c>
      <c r="C6900" s="185" t="s">
        <v>13003</v>
      </c>
    </row>
    <row r="6901" spans="1:3">
      <c r="A6901" s="184">
        <v>972000125</v>
      </c>
      <c r="B6901" s="116" t="str">
        <f t="shared" si="107"/>
        <v>97-972000125</v>
      </c>
      <c r="C6901" s="185" t="s">
        <v>13003</v>
      </c>
    </row>
    <row r="6902" spans="1:3">
      <c r="A6902" s="184">
        <v>972000112</v>
      </c>
      <c r="B6902" s="116" t="str">
        <f t="shared" si="107"/>
        <v>97-972000112</v>
      </c>
      <c r="C6902" s="185" t="s">
        <v>13003</v>
      </c>
    </row>
    <row r="6903" spans="1:3">
      <c r="A6903" s="184">
        <v>972000134</v>
      </c>
      <c r="B6903" s="116" t="str">
        <f t="shared" si="107"/>
        <v>97-972000134</v>
      </c>
      <c r="C6903" s="185" t="s">
        <v>13003</v>
      </c>
    </row>
    <row r="6904" spans="1:3">
      <c r="A6904" s="184">
        <v>972000145</v>
      </c>
      <c r="B6904" s="116" t="str">
        <f t="shared" si="107"/>
        <v>97-972000145</v>
      </c>
      <c r="C6904" s="185" t="s">
        <v>13003</v>
      </c>
    </row>
    <row r="6905" spans="1:3">
      <c r="A6905" s="184">
        <v>972000140</v>
      </c>
      <c r="B6905" s="116" t="str">
        <f t="shared" si="107"/>
        <v>97-972000140</v>
      </c>
      <c r="C6905" s="185" t="s">
        <v>13003</v>
      </c>
    </row>
    <row r="6906" spans="1:3">
      <c r="A6906" s="184">
        <v>972000088</v>
      </c>
      <c r="B6906" s="116" t="str">
        <f t="shared" si="107"/>
        <v>97-972000088</v>
      </c>
      <c r="C6906" s="185" t="s">
        <v>13003</v>
      </c>
    </row>
    <row r="6907" spans="1:3">
      <c r="A6907" s="184">
        <v>966200740</v>
      </c>
      <c r="B6907" s="116" t="str">
        <f t="shared" si="107"/>
        <v>96-966200740</v>
      </c>
      <c r="C6907" s="185" t="s">
        <v>13008</v>
      </c>
    </row>
    <row r="6908" spans="1:3">
      <c r="A6908" s="184">
        <v>966000033</v>
      </c>
      <c r="B6908" s="116" t="str">
        <f t="shared" si="107"/>
        <v>96-966000033</v>
      </c>
      <c r="C6908" s="185" t="s">
        <v>7146</v>
      </c>
    </row>
    <row r="6909" spans="1:3">
      <c r="A6909" s="184">
        <v>966000035</v>
      </c>
      <c r="B6909" s="116" t="str">
        <f t="shared" si="107"/>
        <v>96-966000035</v>
      </c>
      <c r="C6909" s="185" t="s">
        <v>7146</v>
      </c>
    </row>
    <row r="6910" spans="1:3">
      <c r="A6910" s="184">
        <v>961200161</v>
      </c>
      <c r="B6910" s="116" t="str">
        <f t="shared" si="107"/>
        <v>96-961200161</v>
      </c>
      <c r="C6910" s="185" t="s">
        <v>12413</v>
      </c>
    </row>
    <row r="6911" spans="1:3">
      <c r="A6911" s="184">
        <v>971500055</v>
      </c>
      <c r="B6911" s="116" t="str">
        <f t="shared" si="107"/>
        <v>97-971500055</v>
      </c>
      <c r="C6911" s="185" t="s">
        <v>12934</v>
      </c>
    </row>
    <row r="6912" spans="1:3">
      <c r="A6912" s="184">
        <v>972000039</v>
      </c>
      <c r="B6912" s="116" t="str">
        <f t="shared" si="107"/>
        <v>97-972000039</v>
      </c>
      <c r="C6912" s="185" t="s">
        <v>13003</v>
      </c>
    </row>
    <row r="6913" spans="1:3">
      <c r="A6913" s="184">
        <v>972000103</v>
      </c>
      <c r="B6913" s="116" t="str">
        <f t="shared" si="107"/>
        <v>97-972000103</v>
      </c>
      <c r="C6913" s="185" t="s">
        <v>13003</v>
      </c>
    </row>
    <row r="6914" spans="1:3">
      <c r="A6914" s="184">
        <v>972000132</v>
      </c>
      <c r="B6914" s="116" t="str">
        <f t="shared" si="107"/>
        <v>97-972000132</v>
      </c>
      <c r="C6914" s="185" t="s">
        <v>13003</v>
      </c>
    </row>
    <row r="6915" spans="1:3">
      <c r="A6915" s="184">
        <v>972000041</v>
      </c>
      <c r="B6915" s="116" t="str">
        <f t="shared" ref="B6915:B6978" si="108">MID(A6915,1,2)&amp;"-"&amp;A6915</f>
        <v>97-972000041</v>
      </c>
      <c r="C6915" s="185" t="s">
        <v>13003</v>
      </c>
    </row>
    <row r="6916" spans="1:3">
      <c r="A6916" s="184">
        <v>972000054</v>
      </c>
      <c r="B6916" s="116" t="str">
        <f t="shared" si="108"/>
        <v>97-972000054</v>
      </c>
      <c r="C6916" s="185" t="s">
        <v>13003</v>
      </c>
    </row>
    <row r="6917" spans="1:3">
      <c r="A6917" s="184">
        <v>972000001</v>
      </c>
      <c r="B6917" s="116" t="str">
        <f t="shared" si="108"/>
        <v>97-972000001</v>
      </c>
      <c r="C6917" s="185" t="s">
        <v>13009</v>
      </c>
    </row>
    <row r="6918" spans="1:3">
      <c r="A6918" s="184">
        <v>972000135</v>
      </c>
      <c r="B6918" s="116" t="str">
        <f t="shared" si="108"/>
        <v>97-972000135</v>
      </c>
      <c r="C6918" s="185" t="s">
        <v>13003</v>
      </c>
    </row>
    <row r="6919" spans="1:3">
      <c r="A6919" s="184">
        <v>972000078</v>
      </c>
      <c r="B6919" s="116" t="str">
        <f t="shared" si="108"/>
        <v>97-972000078</v>
      </c>
      <c r="C6919" s="185" t="s">
        <v>13003</v>
      </c>
    </row>
    <row r="6920" spans="1:3">
      <c r="A6920" s="184">
        <v>972000095</v>
      </c>
      <c r="B6920" s="116" t="str">
        <f t="shared" si="108"/>
        <v>97-972000095</v>
      </c>
      <c r="C6920" s="185" t="s">
        <v>13003</v>
      </c>
    </row>
    <row r="6921" spans="1:3">
      <c r="A6921" s="184">
        <v>972000083</v>
      </c>
      <c r="B6921" s="116" t="str">
        <f t="shared" si="108"/>
        <v>97-972000083</v>
      </c>
      <c r="C6921" s="185" t="s">
        <v>13003</v>
      </c>
    </row>
    <row r="6922" spans="1:3">
      <c r="A6922" s="184">
        <v>972000148</v>
      </c>
      <c r="B6922" s="116" t="str">
        <f t="shared" si="108"/>
        <v>97-972000148</v>
      </c>
      <c r="C6922" s="185" t="s">
        <v>13003</v>
      </c>
    </row>
    <row r="6923" spans="1:3">
      <c r="A6923" s="184">
        <v>972000074</v>
      </c>
      <c r="B6923" s="116" t="str">
        <f t="shared" si="108"/>
        <v>97-972000074</v>
      </c>
      <c r="C6923" s="185" t="s">
        <v>13003</v>
      </c>
    </row>
    <row r="6924" spans="1:3">
      <c r="A6924" s="184">
        <v>972000102</v>
      </c>
      <c r="B6924" s="116" t="str">
        <f t="shared" si="108"/>
        <v>97-972000102</v>
      </c>
      <c r="C6924" s="185" t="s">
        <v>13003</v>
      </c>
    </row>
    <row r="6925" spans="1:3">
      <c r="A6925" s="184">
        <v>972000081</v>
      </c>
      <c r="B6925" s="116" t="str">
        <f t="shared" si="108"/>
        <v>97-972000081</v>
      </c>
      <c r="C6925" s="185" t="s">
        <v>13003</v>
      </c>
    </row>
    <row r="6926" spans="1:3">
      <c r="A6926" s="184">
        <v>972000144</v>
      </c>
      <c r="B6926" s="116" t="str">
        <f t="shared" si="108"/>
        <v>97-972000144</v>
      </c>
      <c r="C6926" s="185" t="s">
        <v>13003</v>
      </c>
    </row>
    <row r="6927" spans="1:3">
      <c r="A6927" s="184">
        <v>972000086</v>
      </c>
      <c r="B6927" s="116" t="str">
        <f t="shared" si="108"/>
        <v>97-972000086</v>
      </c>
      <c r="C6927" s="185" t="s">
        <v>13003</v>
      </c>
    </row>
    <row r="6928" spans="1:3">
      <c r="A6928" s="184">
        <v>972000082</v>
      </c>
      <c r="B6928" s="116" t="str">
        <f t="shared" si="108"/>
        <v>97-972000082</v>
      </c>
      <c r="C6928" s="185" t="s">
        <v>13003</v>
      </c>
    </row>
    <row r="6929" spans="1:3">
      <c r="A6929" s="184">
        <v>972000156</v>
      </c>
      <c r="B6929" s="116" t="str">
        <f t="shared" si="108"/>
        <v>97-972000156</v>
      </c>
      <c r="C6929" s="185" t="s">
        <v>13003</v>
      </c>
    </row>
    <row r="6930" spans="1:3">
      <c r="A6930" s="184">
        <v>972000085</v>
      </c>
      <c r="B6930" s="116" t="str">
        <f t="shared" si="108"/>
        <v>97-972000085</v>
      </c>
      <c r="C6930" s="185" t="s">
        <v>13003</v>
      </c>
    </row>
    <row r="6931" spans="1:3">
      <c r="A6931" s="184">
        <v>966200739</v>
      </c>
      <c r="B6931" s="116" t="str">
        <f t="shared" si="108"/>
        <v>96-966200739</v>
      </c>
      <c r="C6931" s="185" t="s">
        <v>13008</v>
      </c>
    </row>
    <row r="6932" spans="1:3">
      <c r="A6932" s="184">
        <v>966200676</v>
      </c>
      <c r="B6932" s="116" t="str">
        <f t="shared" si="108"/>
        <v>96-966200676</v>
      </c>
      <c r="C6932" s="185" t="s">
        <v>13010</v>
      </c>
    </row>
    <row r="6933" spans="1:3">
      <c r="A6933" s="184">
        <v>972000115</v>
      </c>
      <c r="B6933" s="116" t="str">
        <f t="shared" si="108"/>
        <v>97-972000115</v>
      </c>
      <c r="C6933" s="185" t="s">
        <v>13003</v>
      </c>
    </row>
    <row r="6934" spans="1:3">
      <c r="A6934" s="184">
        <v>962000259</v>
      </c>
      <c r="B6934" s="116" t="str">
        <f t="shared" si="108"/>
        <v>96-962000259</v>
      </c>
      <c r="C6934" s="185" t="s">
        <v>7112</v>
      </c>
    </row>
    <row r="6935" spans="1:3">
      <c r="A6935" s="184">
        <v>972000120</v>
      </c>
      <c r="B6935" s="116" t="str">
        <f t="shared" si="108"/>
        <v>97-972000120</v>
      </c>
      <c r="C6935" s="185" t="s">
        <v>13003</v>
      </c>
    </row>
    <row r="6936" spans="1:3">
      <c r="A6936" s="184">
        <v>972000092</v>
      </c>
      <c r="B6936" s="116" t="str">
        <f t="shared" si="108"/>
        <v>97-972000092</v>
      </c>
      <c r="C6936" s="185" t="s">
        <v>13003</v>
      </c>
    </row>
    <row r="6937" spans="1:3">
      <c r="A6937" s="184">
        <v>972000089</v>
      </c>
      <c r="B6937" s="116" t="str">
        <f t="shared" si="108"/>
        <v>97-972000089</v>
      </c>
      <c r="C6937" s="185" t="s">
        <v>13003</v>
      </c>
    </row>
    <row r="6938" spans="1:3">
      <c r="A6938" s="184">
        <v>972000061</v>
      </c>
      <c r="B6938" s="116" t="str">
        <f t="shared" si="108"/>
        <v>97-972000061</v>
      </c>
      <c r="C6938" s="185" t="s">
        <v>13003</v>
      </c>
    </row>
    <row r="6939" spans="1:3">
      <c r="A6939" s="184">
        <v>972000122</v>
      </c>
      <c r="B6939" s="116" t="str">
        <f t="shared" si="108"/>
        <v>97-972000122</v>
      </c>
      <c r="C6939" s="185" t="s">
        <v>13003</v>
      </c>
    </row>
    <row r="6940" spans="1:3">
      <c r="A6940" s="184">
        <v>972000058</v>
      </c>
      <c r="B6940" s="116" t="str">
        <f t="shared" si="108"/>
        <v>97-972000058</v>
      </c>
      <c r="C6940" s="185" t="s">
        <v>13003</v>
      </c>
    </row>
    <row r="6941" spans="1:3">
      <c r="A6941" s="184">
        <v>966200601</v>
      </c>
      <c r="B6941" s="116" t="str">
        <f t="shared" si="108"/>
        <v>96-966200601</v>
      </c>
      <c r="C6941" s="185" t="s">
        <v>13011</v>
      </c>
    </row>
    <row r="6942" spans="1:3">
      <c r="A6942" s="184">
        <v>976200018</v>
      </c>
      <c r="B6942" s="116" t="str">
        <f t="shared" si="108"/>
        <v>97-976200018</v>
      </c>
      <c r="C6942" s="185" t="s">
        <v>13012</v>
      </c>
    </row>
    <row r="6943" spans="1:3">
      <c r="A6943" s="184">
        <v>972000138</v>
      </c>
      <c r="B6943" s="116" t="str">
        <f t="shared" si="108"/>
        <v>97-972000138</v>
      </c>
      <c r="C6943" s="185" t="s">
        <v>13003</v>
      </c>
    </row>
    <row r="6944" spans="1:3">
      <c r="A6944" s="184">
        <v>972000068</v>
      </c>
      <c r="B6944" s="116" t="str">
        <f t="shared" si="108"/>
        <v>97-972000068</v>
      </c>
      <c r="C6944" s="185" t="s">
        <v>13003</v>
      </c>
    </row>
    <row r="6945" spans="1:3">
      <c r="A6945" s="184">
        <v>972000065</v>
      </c>
      <c r="B6945" s="116" t="str">
        <f t="shared" si="108"/>
        <v>97-972000065</v>
      </c>
      <c r="C6945" s="185" t="s">
        <v>13003</v>
      </c>
    </row>
    <row r="6946" spans="1:3">
      <c r="A6946" s="184">
        <v>966200729</v>
      </c>
      <c r="B6946" s="116" t="str">
        <f t="shared" si="108"/>
        <v>96-966200729</v>
      </c>
      <c r="C6946" s="185" t="s">
        <v>13013</v>
      </c>
    </row>
    <row r="6947" spans="1:3">
      <c r="A6947" s="184">
        <v>972000136</v>
      </c>
      <c r="B6947" s="116" t="str">
        <f t="shared" si="108"/>
        <v>97-972000136</v>
      </c>
      <c r="C6947" s="185" t="s">
        <v>13003</v>
      </c>
    </row>
    <row r="6948" spans="1:3">
      <c r="A6948" s="184">
        <v>972000069</v>
      </c>
      <c r="B6948" s="116" t="str">
        <f t="shared" si="108"/>
        <v>97-972000069</v>
      </c>
      <c r="C6948" s="185" t="s">
        <v>13003</v>
      </c>
    </row>
    <row r="6949" spans="1:3">
      <c r="A6949" s="184">
        <v>972000137</v>
      </c>
      <c r="B6949" s="116" t="str">
        <f t="shared" si="108"/>
        <v>97-972000137</v>
      </c>
      <c r="C6949" s="185" t="s">
        <v>13003</v>
      </c>
    </row>
    <row r="6950" spans="1:3">
      <c r="A6950" s="184">
        <v>972000066</v>
      </c>
      <c r="B6950" s="116" t="str">
        <f t="shared" si="108"/>
        <v>97-972000066</v>
      </c>
      <c r="C6950" s="185" t="s">
        <v>13003</v>
      </c>
    </row>
    <row r="6951" spans="1:3">
      <c r="A6951" s="184">
        <v>972000154</v>
      </c>
      <c r="B6951" s="116" t="str">
        <f t="shared" si="108"/>
        <v>97-972000154</v>
      </c>
      <c r="C6951" s="185" t="s">
        <v>13003</v>
      </c>
    </row>
    <row r="6952" spans="1:3">
      <c r="A6952" s="184">
        <v>966200757</v>
      </c>
      <c r="B6952" s="116" t="str">
        <f t="shared" si="108"/>
        <v>96-966200757</v>
      </c>
      <c r="C6952" s="185" t="s">
        <v>13014</v>
      </c>
    </row>
    <row r="6953" spans="1:3">
      <c r="A6953" s="184">
        <v>966200701</v>
      </c>
      <c r="B6953" s="116" t="str">
        <f t="shared" si="108"/>
        <v>96-966200701</v>
      </c>
      <c r="C6953" s="185" t="s">
        <v>13015</v>
      </c>
    </row>
    <row r="6954" spans="1:3">
      <c r="A6954" s="184">
        <v>972000106</v>
      </c>
      <c r="B6954" s="116" t="str">
        <f t="shared" si="108"/>
        <v>97-972000106</v>
      </c>
      <c r="C6954" s="185" t="s">
        <v>13003</v>
      </c>
    </row>
    <row r="6955" spans="1:3">
      <c r="A6955" s="184">
        <v>972000097</v>
      </c>
      <c r="B6955" s="116" t="str">
        <f t="shared" si="108"/>
        <v>97-972000097</v>
      </c>
      <c r="C6955" s="185" t="s">
        <v>13003</v>
      </c>
    </row>
    <row r="6956" spans="1:3">
      <c r="A6956" s="184">
        <v>972000056</v>
      </c>
      <c r="B6956" s="116" t="str">
        <f t="shared" si="108"/>
        <v>97-972000056</v>
      </c>
      <c r="C6956" s="185" t="s">
        <v>13003</v>
      </c>
    </row>
    <row r="6957" spans="1:3">
      <c r="A6957" s="184">
        <v>972000129</v>
      </c>
      <c r="B6957" s="116" t="str">
        <f t="shared" si="108"/>
        <v>97-972000129</v>
      </c>
      <c r="C6957" s="185" t="s">
        <v>13003</v>
      </c>
    </row>
    <row r="6958" spans="1:3">
      <c r="A6958" s="184">
        <v>972000077</v>
      </c>
      <c r="B6958" s="116" t="str">
        <f t="shared" si="108"/>
        <v>97-972000077</v>
      </c>
      <c r="C6958" s="185" t="s">
        <v>13003</v>
      </c>
    </row>
    <row r="6959" spans="1:3">
      <c r="A6959" s="184">
        <v>972000073</v>
      </c>
      <c r="B6959" s="116" t="str">
        <f t="shared" si="108"/>
        <v>97-972000073</v>
      </c>
      <c r="C6959" s="185" t="s">
        <v>13003</v>
      </c>
    </row>
    <row r="6960" spans="1:3">
      <c r="A6960" s="184">
        <v>972000152</v>
      </c>
      <c r="B6960" s="116" t="str">
        <f t="shared" si="108"/>
        <v>97-972000152</v>
      </c>
      <c r="C6960" s="185" t="s">
        <v>13003</v>
      </c>
    </row>
    <row r="6961" spans="1:3">
      <c r="A6961" s="184">
        <v>976200015</v>
      </c>
      <c r="B6961" s="116" t="str">
        <f t="shared" si="108"/>
        <v>97-976200015</v>
      </c>
      <c r="C6961" s="185" t="s">
        <v>13012</v>
      </c>
    </row>
    <row r="6962" spans="1:3">
      <c r="A6962" s="184">
        <v>966300078</v>
      </c>
      <c r="B6962" s="116" t="str">
        <f t="shared" si="108"/>
        <v>96-966300078</v>
      </c>
      <c r="C6962" s="185" t="s">
        <v>13016</v>
      </c>
    </row>
    <row r="6963" spans="1:3">
      <c r="A6963" s="184">
        <v>966300082</v>
      </c>
      <c r="B6963" s="116" t="str">
        <f t="shared" si="108"/>
        <v>96-966300082</v>
      </c>
      <c r="C6963" s="185" t="s">
        <v>13016</v>
      </c>
    </row>
    <row r="6964" spans="1:3">
      <c r="A6964" s="184">
        <v>972000071</v>
      </c>
      <c r="B6964" s="116" t="str">
        <f t="shared" si="108"/>
        <v>97-972000071</v>
      </c>
      <c r="C6964" s="185" t="s">
        <v>13003</v>
      </c>
    </row>
    <row r="6965" spans="1:3">
      <c r="A6965" s="184">
        <v>966200767</v>
      </c>
      <c r="B6965" s="116" t="str">
        <f t="shared" si="108"/>
        <v>96-966200767</v>
      </c>
      <c r="C6965" s="185" t="s">
        <v>13014</v>
      </c>
    </row>
    <row r="6966" spans="1:3">
      <c r="A6966" s="184">
        <v>972000080</v>
      </c>
      <c r="B6966" s="116" t="str">
        <f t="shared" si="108"/>
        <v>97-972000080</v>
      </c>
      <c r="C6966" s="185" t="s">
        <v>13003</v>
      </c>
    </row>
    <row r="6967" spans="1:3">
      <c r="A6967" s="184">
        <v>972000123</v>
      </c>
      <c r="B6967" s="116" t="str">
        <f t="shared" si="108"/>
        <v>97-972000123</v>
      </c>
      <c r="C6967" s="185" t="s">
        <v>13003</v>
      </c>
    </row>
    <row r="6968" spans="1:3">
      <c r="A6968" s="184">
        <v>972000096</v>
      </c>
      <c r="B6968" s="116" t="str">
        <f t="shared" si="108"/>
        <v>97-972000096</v>
      </c>
      <c r="C6968" s="185" t="s">
        <v>13003</v>
      </c>
    </row>
    <row r="6969" spans="1:3">
      <c r="A6969" s="184">
        <v>972000084</v>
      </c>
      <c r="B6969" s="116" t="str">
        <f t="shared" si="108"/>
        <v>97-972000084</v>
      </c>
      <c r="C6969" s="185" t="s">
        <v>13003</v>
      </c>
    </row>
    <row r="6970" spans="1:3">
      <c r="A6970" s="184">
        <v>972000079</v>
      </c>
      <c r="B6970" s="116" t="str">
        <f t="shared" si="108"/>
        <v>97-972000079</v>
      </c>
      <c r="C6970" s="185" t="s">
        <v>13003</v>
      </c>
    </row>
    <row r="6971" spans="1:3">
      <c r="A6971" s="184">
        <v>972000113</v>
      </c>
      <c r="B6971" s="116" t="str">
        <f t="shared" si="108"/>
        <v>97-972000113</v>
      </c>
      <c r="C6971" s="185" t="s">
        <v>13003</v>
      </c>
    </row>
    <row r="6972" spans="1:3">
      <c r="A6972" s="184">
        <v>972000093</v>
      </c>
      <c r="B6972" s="116" t="str">
        <f t="shared" si="108"/>
        <v>97-972000093</v>
      </c>
      <c r="C6972" s="185" t="s">
        <v>13003</v>
      </c>
    </row>
    <row r="6973" spans="1:3">
      <c r="A6973" s="184">
        <v>972000155</v>
      </c>
      <c r="B6973" s="116" t="str">
        <f t="shared" si="108"/>
        <v>97-972000155</v>
      </c>
      <c r="C6973" s="185" t="s">
        <v>13003</v>
      </c>
    </row>
    <row r="6974" spans="1:3">
      <c r="A6974" s="184">
        <v>972000004</v>
      </c>
      <c r="B6974" s="116" t="str">
        <f t="shared" si="108"/>
        <v>97-972000004</v>
      </c>
      <c r="C6974" s="185" t="s">
        <v>13009</v>
      </c>
    </row>
    <row r="6975" spans="1:3">
      <c r="A6975" s="184">
        <v>966200738</v>
      </c>
      <c r="B6975" s="116" t="str">
        <f t="shared" si="108"/>
        <v>96-966200738</v>
      </c>
      <c r="C6975" s="185" t="s">
        <v>13008</v>
      </c>
    </row>
    <row r="6976" spans="1:3">
      <c r="A6976" s="184">
        <v>966200654</v>
      </c>
      <c r="B6976" s="116" t="str">
        <f t="shared" si="108"/>
        <v>96-966200654</v>
      </c>
      <c r="C6976" s="185" t="s">
        <v>13017</v>
      </c>
    </row>
    <row r="6977" spans="1:3">
      <c r="A6977" s="184">
        <v>966300081</v>
      </c>
      <c r="B6977" s="116" t="str">
        <f t="shared" si="108"/>
        <v>96-966300081</v>
      </c>
      <c r="C6977" s="185" t="s">
        <v>13016</v>
      </c>
    </row>
    <row r="6978" spans="1:3">
      <c r="A6978" s="184">
        <v>972000139</v>
      </c>
      <c r="B6978" s="116" t="str">
        <f t="shared" si="108"/>
        <v>97-972000139</v>
      </c>
      <c r="C6978" s="185" t="s">
        <v>13003</v>
      </c>
    </row>
    <row r="6979" spans="1:3">
      <c r="A6979" s="184">
        <v>966200731</v>
      </c>
      <c r="B6979" s="116" t="str">
        <f t="shared" ref="B6979:B7042" si="109">MID(A6979,1,2)&amp;"-"&amp;A6979</f>
        <v>96-966200731</v>
      </c>
      <c r="C6979" s="185" t="s">
        <v>13013</v>
      </c>
    </row>
    <row r="6980" spans="1:3">
      <c r="A6980" s="184">
        <v>972000151</v>
      </c>
      <c r="B6980" s="116" t="str">
        <f t="shared" si="109"/>
        <v>97-972000151</v>
      </c>
      <c r="C6980" s="185" t="s">
        <v>13003</v>
      </c>
    </row>
    <row r="6981" spans="1:3">
      <c r="A6981" s="184">
        <v>972000104</v>
      </c>
      <c r="B6981" s="116" t="str">
        <f t="shared" si="109"/>
        <v>97-972000104</v>
      </c>
      <c r="C6981" s="185" t="s">
        <v>13003</v>
      </c>
    </row>
    <row r="6982" spans="1:3">
      <c r="A6982" s="184">
        <v>972000075</v>
      </c>
      <c r="B6982" s="116" t="str">
        <f t="shared" si="109"/>
        <v>97-972000075</v>
      </c>
      <c r="C6982" s="185" t="s">
        <v>13003</v>
      </c>
    </row>
    <row r="6983" spans="1:3">
      <c r="A6983" s="184">
        <v>974100007</v>
      </c>
      <c r="B6983" s="116" t="str">
        <f t="shared" si="109"/>
        <v>97-974100007</v>
      </c>
      <c r="C6983" s="185" t="s">
        <v>12930</v>
      </c>
    </row>
    <row r="6984" spans="1:3">
      <c r="A6984" s="184">
        <v>974200007</v>
      </c>
      <c r="B6984" s="116" t="str">
        <f t="shared" si="109"/>
        <v>97-974200007</v>
      </c>
      <c r="C6984" s="185" t="s">
        <v>12668</v>
      </c>
    </row>
    <row r="6985" spans="1:3">
      <c r="A6985" s="184">
        <v>961700225</v>
      </c>
      <c r="B6985" s="116" t="str">
        <f t="shared" si="109"/>
        <v>96-961700225</v>
      </c>
      <c r="C6985" s="185" t="s">
        <v>13018</v>
      </c>
    </row>
    <row r="6986" spans="1:3">
      <c r="A6986" s="184">
        <v>972000060</v>
      </c>
      <c r="B6986" s="116" t="str">
        <f t="shared" si="109"/>
        <v>97-972000060</v>
      </c>
      <c r="C6986" s="185" t="s">
        <v>13003</v>
      </c>
    </row>
    <row r="6987" spans="1:3">
      <c r="A6987" s="184">
        <v>974100002</v>
      </c>
      <c r="B6987" s="116" t="str">
        <f t="shared" si="109"/>
        <v>97-974100002</v>
      </c>
      <c r="C6987" s="185" t="s">
        <v>12930</v>
      </c>
    </row>
    <row r="6988" spans="1:3">
      <c r="A6988" s="184">
        <v>972500014</v>
      </c>
      <c r="B6988" s="116" t="str">
        <f t="shared" si="109"/>
        <v>97-972500014</v>
      </c>
      <c r="C6988" s="185" t="s">
        <v>13019</v>
      </c>
    </row>
    <row r="6989" spans="1:3">
      <c r="A6989" s="184">
        <v>966100020</v>
      </c>
      <c r="B6989" s="116" t="str">
        <f t="shared" si="109"/>
        <v>96-966100020</v>
      </c>
      <c r="C6989" s="185" t="s">
        <v>7128</v>
      </c>
    </row>
    <row r="6990" spans="1:3">
      <c r="A6990" s="184">
        <v>966300080</v>
      </c>
      <c r="B6990" s="116" t="str">
        <f t="shared" si="109"/>
        <v>96-966300080</v>
      </c>
      <c r="C6990" s="185" t="s">
        <v>13016</v>
      </c>
    </row>
    <row r="6991" spans="1:3">
      <c r="A6991" s="184">
        <v>976200008</v>
      </c>
      <c r="B6991" s="116" t="str">
        <f t="shared" si="109"/>
        <v>97-976200008</v>
      </c>
      <c r="C6991" s="185" t="s">
        <v>13005</v>
      </c>
    </row>
    <row r="6992" spans="1:3">
      <c r="A6992" s="184">
        <v>972000014</v>
      </c>
      <c r="B6992" s="116" t="str">
        <f t="shared" si="109"/>
        <v>97-972000014</v>
      </c>
      <c r="C6992" s="185" t="s">
        <v>13009</v>
      </c>
    </row>
    <row r="6993" spans="1:3">
      <c r="A6993" s="184">
        <v>972000153</v>
      </c>
      <c r="B6993" s="116" t="str">
        <f t="shared" si="109"/>
        <v>97-972000153</v>
      </c>
      <c r="C6993" s="185" t="s">
        <v>13003</v>
      </c>
    </row>
    <row r="6994" spans="1:3">
      <c r="A6994" s="184">
        <v>972000108</v>
      </c>
      <c r="B6994" s="116" t="str">
        <f t="shared" si="109"/>
        <v>97-972000108</v>
      </c>
      <c r="C6994" s="185" t="s">
        <v>13003</v>
      </c>
    </row>
    <row r="6995" spans="1:3">
      <c r="A6995" s="184">
        <v>966200766</v>
      </c>
      <c r="B6995" s="116" t="str">
        <f t="shared" si="109"/>
        <v>96-966200766</v>
      </c>
      <c r="C6995" s="185" t="s">
        <v>13014</v>
      </c>
    </row>
    <row r="6996" spans="1:3">
      <c r="A6996" s="184">
        <v>972000098</v>
      </c>
      <c r="B6996" s="116" t="str">
        <f t="shared" si="109"/>
        <v>97-972000098</v>
      </c>
      <c r="C6996" s="185" t="s">
        <v>13003</v>
      </c>
    </row>
    <row r="6997" spans="1:3">
      <c r="A6997" s="184">
        <v>974100004</v>
      </c>
      <c r="B6997" s="116" t="str">
        <f t="shared" si="109"/>
        <v>97-974100004</v>
      </c>
      <c r="C6997" s="185" t="s">
        <v>12930</v>
      </c>
    </row>
    <row r="6998" spans="1:3">
      <c r="A6998" s="184">
        <v>974100008</v>
      </c>
      <c r="B6998" s="116" t="str">
        <f t="shared" si="109"/>
        <v>97-974100008</v>
      </c>
      <c r="C6998" s="185" t="s">
        <v>12930</v>
      </c>
    </row>
    <row r="6999" spans="1:3">
      <c r="A6999" s="184">
        <v>964300049</v>
      </c>
      <c r="B6999" s="116" t="str">
        <f t="shared" si="109"/>
        <v>96-964300049</v>
      </c>
      <c r="C6999" s="185" t="s">
        <v>12683</v>
      </c>
    </row>
    <row r="7000" spans="1:3">
      <c r="A7000" s="184">
        <v>972500008</v>
      </c>
      <c r="B7000" s="116" t="str">
        <f t="shared" si="109"/>
        <v>97-972500008</v>
      </c>
      <c r="C7000" s="185" t="s">
        <v>12667</v>
      </c>
    </row>
    <row r="7001" spans="1:3">
      <c r="A7001" s="184">
        <v>966200700</v>
      </c>
      <c r="B7001" s="116" t="str">
        <f t="shared" si="109"/>
        <v>96-966200700</v>
      </c>
      <c r="C7001" s="185" t="s">
        <v>13015</v>
      </c>
    </row>
    <row r="7002" spans="1:3">
      <c r="A7002" s="184">
        <v>972000130</v>
      </c>
      <c r="B7002" s="116" t="str">
        <f t="shared" si="109"/>
        <v>97-972000130</v>
      </c>
      <c r="C7002" s="185" t="s">
        <v>13003</v>
      </c>
    </row>
    <row r="7003" spans="1:3">
      <c r="A7003" s="184">
        <v>972000142</v>
      </c>
      <c r="B7003" s="116" t="str">
        <f t="shared" si="109"/>
        <v>97-972000142</v>
      </c>
      <c r="C7003" s="185" t="s">
        <v>13003</v>
      </c>
    </row>
    <row r="7004" spans="1:3">
      <c r="A7004" s="184">
        <v>972000076</v>
      </c>
      <c r="B7004" s="116" t="str">
        <f t="shared" si="109"/>
        <v>97-972000076</v>
      </c>
      <c r="C7004" s="185" t="s">
        <v>13003</v>
      </c>
    </row>
    <row r="7005" spans="1:3">
      <c r="A7005" s="184">
        <v>972000146</v>
      </c>
      <c r="B7005" s="116" t="str">
        <f t="shared" si="109"/>
        <v>97-972000146</v>
      </c>
      <c r="C7005" s="185" t="s">
        <v>13003</v>
      </c>
    </row>
    <row r="7006" spans="1:3">
      <c r="A7006" s="184">
        <v>972000105</v>
      </c>
      <c r="B7006" s="116" t="str">
        <f t="shared" si="109"/>
        <v>97-972000105</v>
      </c>
      <c r="C7006" s="185" t="s">
        <v>13003</v>
      </c>
    </row>
    <row r="7007" spans="1:3">
      <c r="A7007" s="184">
        <v>966200736</v>
      </c>
      <c r="B7007" s="116" t="str">
        <f t="shared" si="109"/>
        <v>96-966200736</v>
      </c>
      <c r="C7007" s="185" t="s">
        <v>13008</v>
      </c>
    </row>
    <row r="7008" spans="1:3">
      <c r="A7008" s="184">
        <v>966200721</v>
      </c>
      <c r="B7008" s="116" t="str">
        <f t="shared" si="109"/>
        <v>96-966200721</v>
      </c>
      <c r="C7008" s="185" t="s">
        <v>13020</v>
      </c>
    </row>
    <row r="7009" spans="1:3">
      <c r="A7009" s="184">
        <v>966300079</v>
      </c>
      <c r="B7009" s="116" t="str">
        <f t="shared" si="109"/>
        <v>96-966300079</v>
      </c>
      <c r="C7009" s="185" t="s">
        <v>13016</v>
      </c>
    </row>
    <row r="7010" spans="1:3">
      <c r="A7010" s="184">
        <v>972000141</v>
      </c>
      <c r="B7010" s="116" t="str">
        <f t="shared" si="109"/>
        <v>97-972000141</v>
      </c>
      <c r="C7010" s="185" t="s">
        <v>13003</v>
      </c>
    </row>
    <row r="7011" spans="1:3">
      <c r="A7011" s="184">
        <v>972000043</v>
      </c>
      <c r="B7011" s="116" t="str">
        <f t="shared" si="109"/>
        <v>97-972000043</v>
      </c>
      <c r="C7011" s="185" t="s">
        <v>13003</v>
      </c>
    </row>
    <row r="7012" spans="1:3">
      <c r="A7012" s="184">
        <v>972000119</v>
      </c>
      <c r="B7012" s="116" t="str">
        <f t="shared" si="109"/>
        <v>97-972000119</v>
      </c>
      <c r="C7012" s="185" t="s">
        <v>13003</v>
      </c>
    </row>
    <row r="7013" spans="1:3">
      <c r="A7013" s="184">
        <v>976200013</v>
      </c>
      <c r="B7013" s="116" t="str">
        <f t="shared" si="109"/>
        <v>97-976200013</v>
      </c>
      <c r="C7013" s="185" t="s">
        <v>13021</v>
      </c>
    </row>
    <row r="7014" spans="1:3">
      <c r="A7014" s="184">
        <v>964100120</v>
      </c>
      <c r="B7014" s="116" t="str">
        <f t="shared" si="109"/>
        <v>96-964100120</v>
      </c>
      <c r="C7014" s="185" t="s">
        <v>12930</v>
      </c>
    </row>
    <row r="7015" spans="1:3">
      <c r="A7015" s="184">
        <v>974100001</v>
      </c>
      <c r="B7015" s="116" t="str">
        <f t="shared" si="109"/>
        <v>97-974100001</v>
      </c>
      <c r="C7015" s="185" t="s">
        <v>12930</v>
      </c>
    </row>
    <row r="7016" spans="1:3">
      <c r="A7016" s="184">
        <v>972200004</v>
      </c>
      <c r="B7016" s="116" t="str">
        <f t="shared" si="109"/>
        <v>97-972200004</v>
      </c>
      <c r="C7016" s="185" t="s">
        <v>13022</v>
      </c>
    </row>
    <row r="7017" spans="1:3">
      <c r="A7017" s="184">
        <v>972500009</v>
      </c>
      <c r="B7017" s="116" t="str">
        <f t="shared" si="109"/>
        <v>97-972500009</v>
      </c>
      <c r="C7017" s="185" t="s">
        <v>12667</v>
      </c>
    </row>
    <row r="7018" spans="1:3">
      <c r="A7018" s="184">
        <v>974200001</v>
      </c>
      <c r="B7018" s="116" t="str">
        <f t="shared" si="109"/>
        <v>97-974200001</v>
      </c>
      <c r="C7018" s="185" t="s">
        <v>12934</v>
      </c>
    </row>
    <row r="7019" spans="1:3">
      <c r="A7019" s="184">
        <v>961700224</v>
      </c>
      <c r="B7019" s="116" t="str">
        <f t="shared" si="109"/>
        <v>96-961700224</v>
      </c>
      <c r="C7019" s="185" t="s">
        <v>13018</v>
      </c>
    </row>
    <row r="7020" spans="1:3">
      <c r="A7020" s="184">
        <v>961700234</v>
      </c>
      <c r="B7020" s="116" t="str">
        <f t="shared" si="109"/>
        <v>96-961700234</v>
      </c>
      <c r="C7020" s="185" t="s">
        <v>13018</v>
      </c>
    </row>
    <row r="7021" spans="1:3">
      <c r="A7021" s="184">
        <v>972000099</v>
      </c>
      <c r="B7021" s="116" t="str">
        <f t="shared" si="109"/>
        <v>97-972000099</v>
      </c>
      <c r="C7021" s="185" t="s">
        <v>13003</v>
      </c>
    </row>
    <row r="7022" spans="1:3">
      <c r="A7022" s="184">
        <v>972000101</v>
      </c>
      <c r="B7022" s="116" t="str">
        <f t="shared" si="109"/>
        <v>97-972000101</v>
      </c>
      <c r="C7022" s="185" t="s">
        <v>13003</v>
      </c>
    </row>
    <row r="7023" spans="1:3">
      <c r="A7023" s="184">
        <v>972000158</v>
      </c>
      <c r="B7023" s="116" t="str">
        <f t="shared" si="109"/>
        <v>97-972000158</v>
      </c>
      <c r="C7023" s="185" t="s">
        <v>13003</v>
      </c>
    </row>
    <row r="7024" spans="1:3">
      <c r="A7024" s="184">
        <v>972000107</v>
      </c>
      <c r="B7024" s="116" t="str">
        <f t="shared" si="109"/>
        <v>97-972000107</v>
      </c>
      <c r="C7024" s="185" t="s">
        <v>13003</v>
      </c>
    </row>
    <row r="7025" spans="1:3">
      <c r="A7025" s="184">
        <v>966200675</v>
      </c>
      <c r="B7025" s="116" t="str">
        <f t="shared" si="109"/>
        <v>96-966200675</v>
      </c>
      <c r="C7025" s="185" t="s">
        <v>13010</v>
      </c>
    </row>
    <row r="7026" spans="1:3">
      <c r="A7026" s="184">
        <v>976200006</v>
      </c>
      <c r="B7026" s="116" t="str">
        <f t="shared" si="109"/>
        <v>97-976200006</v>
      </c>
      <c r="C7026" s="185" t="s">
        <v>13005</v>
      </c>
    </row>
    <row r="7027" spans="1:3">
      <c r="A7027" s="184">
        <v>966200758</v>
      </c>
      <c r="B7027" s="116" t="str">
        <f t="shared" si="109"/>
        <v>96-966200758</v>
      </c>
      <c r="C7027" s="185" t="s">
        <v>13014</v>
      </c>
    </row>
    <row r="7028" spans="1:3">
      <c r="A7028" s="184">
        <v>972000117</v>
      </c>
      <c r="B7028" s="116" t="str">
        <f t="shared" si="109"/>
        <v>97-972000117</v>
      </c>
      <c r="C7028" s="185" t="s">
        <v>13003</v>
      </c>
    </row>
    <row r="7029" spans="1:3">
      <c r="A7029" s="184">
        <v>972000072</v>
      </c>
      <c r="B7029" s="116" t="str">
        <f t="shared" si="109"/>
        <v>97-972000072</v>
      </c>
      <c r="C7029" s="185" t="s">
        <v>13003</v>
      </c>
    </row>
    <row r="7030" spans="1:3">
      <c r="A7030" s="184">
        <v>966200715</v>
      </c>
      <c r="B7030" s="116" t="str">
        <f t="shared" si="109"/>
        <v>96-966200715</v>
      </c>
      <c r="C7030" s="185" t="s">
        <v>13020</v>
      </c>
    </row>
    <row r="7031" spans="1:3">
      <c r="A7031" s="184">
        <v>972000094</v>
      </c>
      <c r="B7031" s="116" t="str">
        <f t="shared" si="109"/>
        <v>97-972000094</v>
      </c>
      <c r="C7031" s="185" t="s">
        <v>13003</v>
      </c>
    </row>
    <row r="7032" spans="1:3">
      <c r="A7032" s="184">
        <v>974200002</v>
      </c>
      <c r="B7032" s="116" t="str">
        <f t="shared" si="109"/>
        <v>97-974200002</v>
      </c>
      <c r="C7032" s="185" t="s">
        <v>12934</v>
      </c>
    </row>
    <row r="7033" spans="1:3">
      <c r="A7033" s="184">
        <v>974200003</v>
      </c>
      <c r="B7033" s="116" t="str">
        <f t="shared" si="109"/>
        <v>97-974200003</v>
      </c>
      <c r="C7033" s="185" t="s">
        <v>13023</v>
      </c>
    </row>
    <row r="7034" spans="1:3">
      <c r="A7034" s="184">
        <v>961700223</v>
      </c>
      <c r="B7034" s="116" t="str">
        <f t="shared" si="109"/>
        <v>96-961700223</v>
      </c>
      <c r="C7034" s="185" t="s">
        <v>13018</v>
      </c>
    </row>
    <row r="7035" spans="1:3">
      <c r="A7035" s="184">
        <v>961700164</v>
      </c>
      <c r="B7035" s="116" t="str">
        <f t="shared" si="109"/>
        <v>96-961700164</v>
      </c>
      <c r="C7035" s="185" t="s">
        <v>12194</v>
      </c>
    </row>
    <row r="7036" spans="1:3">
      <c r="A7036" s="184">
        <v>971000004</v>
      </c>
      <c r="B7036" s="116" t="str">
        <f t="shared" si="109"/>
        <v>97-971000004</v>
      </c>
      <c r="C7036" s="185" t="s">
        <v>13024</v>
      </c>
    </row>
    <row r="7037" spans="1:3">
      <c r="A7037" s="184">
        <v>961700171</v>
      </c>
      <c r="B7037" s="116" t="str">
        <f t="shared" si="109"/>
        <v>96-961700171</v>
      </c>
      <c r="C7037" s="185" t="s">
        <v>13025</v>
      </c>
    </row>
    <row r="7038" spans="1:3">
      <c r="A7038" s="184">
        <v>971800007</v>
      </c>
      <c r="B7038" s="116" t="str">
        <f t="shared" si="109"/>
        <v>97-971800007</v>
      </c>
      <c r="C7038" s="185" t="s">
        <v>13026</v>
      </c>
    </row>
    <row r="7039" spans="1:3">
      <c r="A7039" s="184">
        <v>971900005</v>
      </c>
      <c r="B7039" s="116" t="str">
        <f t="shared" si="109"/>
        <v>97-971900005</v>
      </c>
      <c r="C7039" s="185" t="s">
        <v>13027</v>
      </c>
    </row>
    <row r="7040" spans="1:3">
      <c r="A7040" s="184">
        <v>961700199</v>
      </c>
      <c r="B7040" s="116" t="str">
        <f t="shared" si="109"/>
        <v>96-961700199</v>
      </c>
      <c r="C7040" s="185" t="s">
        <v>13028</v>
      </c>
    </row>
    <row r="7041" spans="1:3">
      <c r="A7041" s="184">
        <v>961700245</v>
      </c>
      <c r="B7041" s="116" t="str">
        <f t="shared" si="109"/>
        <v>96-961700245</v>
      </c>
      <c r="C7041" s="185" t="s">
        <v>13028</v>
      </c>
    </row>
    <row r="7042" spans="1:3">
      <c r="A7042" s="184">
        <v>961700211</v>
      </c>
      <c r="B7042" s="116" t="str">
        <f t="shared" si="109"/>
        <v>96-961700211</v>
      </c>
      <c r="C7042" s="185" t="s">
        <v>13029</v>
      </c>
    </row>
    <row r="7043" spans="1:3">
      <c r="A7043" s="184">
        <v>961700222</v>
      </c>
      <c r="B7043" s="116" t="str">
        <f t="shared" ref="B7043:B7106" si="110">MID(A7043,1,2)&amp;"-"&amp;A7043</f>
        <v>96-961700222</v>
      </c>
      <c r="C7043" s="185" t="s">
        <v>13030</v>
      </c>
    </row>
    <row r="7044" spans="1:3">
      <c r="A7044" s="184">
        <v>976200020</v>
      </c>
      <c r="B7044" s="116" t="str">
        <f t="shared" si="110"/>
        <v>97-976200020</v>
      </c>
      <c r="C7044" s="185" t="s">
        <v>13031</v>
      </c>
    </row>
    <row r="7045" spans="1:3">
      <c r="A7045" s="184">
        <v>966300084</v>
      </c>
      <c r="B7045" s="116" t="str">
        <f t="shared" si="110"/>
        <v>96-966300084</v>
      </c>
      <c r="C7045" s="185" t="s">
        <v>13016</v>
      </c>
    </row>
    <row r="7046" spans="1:3">
      <c r="A7046" s="184">
        <v>976200017</v>
      </c>
      <c r="B7046" s="116" t="str">
        <f t="shared" si="110"/>
        <v>97-976200017</v>
      </c>
      <c r="C7046" s="185" t="s">
        <v>13032</v>
      </c>
    </row>
    <row r="7047" spans="1:3">
      <c r="A7047" s="184">
        <v>972000147</v>
      </c>
      <c r="B7047" s="116" t="str">
        <f t="shared" si="110"/>
        <v>97-972000147</v>
      </c>
      <c r="C7047" s="185" t="s">
        <v>13003</v>
      </c>
    </row>
    <row r="7048" spans="1:3">
      <c r="A7048" s="184">
        <v>972000143</v>
      </c>
      <c r="B7048" s="116" t="str">
        <f t="shared" si="110"/>
        <v>97-972000143</v>
      </c>
      <c r="C7048" s="185" t="s">
        <v>13003</v>
      </c>
    </row>
    <row r="7049" spans="1:3">
      <c r="A7049" s="184">
        <v>972000157</v>
      </c>
      <c r="B7049" s="116" t="str">
        <f t="shared" si="110"/>
        <v>97-972000157</v>
      </c>
      <c r="C7049" s="185" t="s">
        <v>13003</v>
      </c>
    </row>
    <row r="7050" spans="1:3">
      <c r="A7050" s="184">
        <v>972000160</v>
      </c>
      <c r="B7050" s="116" t="str">
        <f t="shared" si="110"/>
        <v>97-972000160</v>
      </c>
      <c r="C7050" s="185" t="s">
        <v>13003</v>
      </c>
    </row>
    <row r="7051" spans="1:3">
      <c r="A7051" s="184">
        <v>972000131</v>
      </c>
      <c r="B7051" s="116" t="str">
        <f t="shared" si="110"/>
        <v>97-972000131</v>
      </c>
      <c r="C7051" s="185" t="s">
        <v>13003</v>
      </c>
    </row>
    <row r="7052" spans="1:3">
      <c r="A7052" s="184">
        <v>974100003</v>
      </c>
      <c r="B7052" s="116" t="str">
        <f t="shared" si="110"/>
        <v>97-974100003</v>
      </c>
      <c r="C7052" s="185" t="s">
        <v>12930</v>
      </c>
    </row>
    <row r="7053" spans="1:3">
      <c r="A7053" s="184">
        <v>971800002</v>
      </c>
      <c r="B7053" s="116" t="str">
        <f t="shared" si="110"/>
        <v>97-971800002</v>
      </c>
      <c r="C7053" s="185" t="s">
        <v>13033</v>
      </c>
    </row>
    <row r="7054" spans="1:3">
      <c r="A7054" s="184">
        <v>961700177</v>
      </c>
      <c r="B7054" s="116" t="str">
        <f t="shared" si="110"/>
        <v>96-961700177</v>
      </c>
      <c r="C7054" s="185" t="s">
        <v>13034</v>
      </c>
    </row>
    <row r="7055" spans="1:3">
      <c r="A7055" s="184">
        <v>971700003</v>
      </c>
      <c r="B7055" s="116" t="str">
        <f t="shared" si="110"/>
        <v>97-971700003</v>
      </c>
      <c r="C7055" s="185" t="s">
        <v>13035</v>
      </c>
    </row>
    <row r="7056" spans="1:3">
      <c r="A7056" s="184">
        <v>966200735</v>
      </c>
      <c r="B7056" s="116" t="str">
        <f t="shared" si="110"/>
        <v>96-966200735</v>
      </c>
      <c r="C7056" s="185" t="s">
        <v>13008</v>
      </c>
    </row>
    <row r="7057" spans="1:3">
      <c r="A7057" s="184">
        <v>972000067</v>
      </c>
      <c r="B7057" s="116" t="str">
        <f t="shared" si="110"/>
        <v>97-972000067</v>
      </c>
      <c r="C7057" s="185" t="s">
        <v>13003</v>
      </c>
    </row>
    <row r="7058" spans="1:3">
      <c r="A7058" s="184">
        <v>966200714</v>
      </c>
      <c r="B7058" s="116" t="str">
        <f t="shared" si="110"/>
        <v>96-966200714</v>
      </c>
      <c r="C7058" s="185" t="s">
        <v>13013</v>
      </c>
    </row>
    <row r="7059" spans="1:3">
      <c r="A7059" s="184">
        <v>972500010</v>
      </c>
      <c r="B7059" s="116" t="str">
        <f t="shared" si="110"/>
        <v>97-972500010</v>
      </c>
      <c r="C7059" s="185" t="s">
        <v>12667</v>
      </c>
    </row>
    <row r="7060" spans="1:3">
      <c r="A7060" s="184">
        <v>961700228</v>
      </c>
      <c r="B7060" s="116" t="str">
        <f t="shared" si="110"/>
        <v>96-961700228</v>
      </c>
      <c r="C7060" s="185" t="s">
        <v>13018</v>
      </c>
    </row>
    <row r="7061" spans="1:3">
      <c r="A7061" s="184">
        <v>972500011</v>
      </c>
      <c r="B7061" s="116" t="str">
        <f t="shared" si="110"/>
        <v>97-972500011</v>
      </c>
      <c r="C7061" s="185" t="s">
        <v>12667</v>
      </c>
    </row>
    <row r="7062" spans="1:3">
      <c r="A7062" s="184">
        <v>972500015</v>
      </c>
      <c r="B7062" s="116" t="str">
        <f t="shared" si="110"/>
        <v>97-972500015</v>
      </c>
      <c r="C7062" s="185" t="s">
        <v>13019</v>
      </c>
    </row>
    <row r="7063" spans="1:3">
      <c r="A7063" s="184">
        <v>974200006</v>
      </c>
      <c r="B7063" s="116" t="str">
        <f t="shared" si="110"/>
        <v>97-974200006</v>
      </c>
      <c r="C7063" s="185" t="s">
        <v>12934</v>
      </c>
    </row>
    <row r="7064" spans="1:3">
      <c r="A7064" s="184">
        <v>961700235</v>
      </c>
      <c r="B7064" s="116" t="str">
        <f t="shared" si="110"/>
        <v>96-961700235</v>
      </c>
      <c r="C7064" s="185" t="s">
        <v>13018</v>
      </c>
    </row>
    <row r="7065" spans="1:3">
      <c r="A7065" s="184">
        <v>971000001</v>
      </c>
      <c r="B7065" s="116" t="str">
        <f t="shared" si="110"/>
        <v>97-971000001</v>
      </c>
      <c r="C7065" s="185" t="s">
        <v>13024</v>
      </c>
    </row>
    <row r="7066" spans="1:3">
      <c r="A7066" s="184">
        <v>961700218</v>
      </c>
      <c r="B7066" s="116" t="str">
        <f t="shared" si="110"/>
        <v>96-961700218</v>
      </c>
      <c r="C7066" s="185" t="s">
        <v>13036</v>
      </c>
    </row>
    <row r="7067" spans="1:3">
      <c r="A7067" s="184">
        <v>961700193</v>
      </c>
      <c r="B7067" s="116" t="str">
        <f t="shared" si="110"/>
        <v>96-961700193</v>
      </c>
      <c r="C7067" s="185" t="s">
        <v>13028</v>
      </c>
    </row>
    <row r="7068" spans="1:3">
      <c r="A7068" s="184">
        <v>961700197</v>
      </c>
      <c r="B7068" s="116" t="str">
        <f t="shared" si="110"/>
        <v>96-961700197</v>
      </c>
      <c r="C7068" s="185" t="s">
        <v>13028</v>
      </c>
    </row>
    <row r="7069" spans="1:3">
      <c r="A7069" s="184">
        <v>961700236</v>
      </c>
      <c r="B7069" s="116" t="str">
        <f t="shared" si="110"/>
        <v>96-961700236</v>
      </c>
      <c r="C7069" s="185" t="s">
        <v>13018</v>
      </c>
    </row>
    <row r="7070" spans="1:3">
      <c r="A7070" s="184">
        <v>961700237</v>
      </c>
      <c r="B7070" s="116" t="str">
        <f t="shared" si="110"/>
        <v>96-961700237</v>
      </c>
      <c r="C7070" s="185" t="s">
        <v>13018</v>
      </c>
    </row>
    <row r="7071" spans="1:3">
      <c r="A7071" s="184">
        <v>961700163</v>
      </c>
      <c r="B7071" s="116" t="str">
        <f t="shared" si="110"/>
        <v>96-961700163</v>
      </c>
      <c r="C7071" s="185" t="s">
        <v>12194</v>
      </c>
    </row>
    <row r="7072" spans="1:3">
      <c r="A7072" s="184">
        <v>961700195</v>
      </c>
      <c r="B7072" s="116" t="str">
        <f t="shared" si="110"/>
        <v>96-961700195</v>
      </c>
      <c r="C7072" s="185" t="s">
        <v>13028</v>
      </c>
    </row>
    <row r="7073" spans="1:3">
      <c r="A7073" s="184">
        <v>961700246</v>
      </c>
      <c r="B7073" s="116" t="str">
        <f t="shared" si="110"/>
        <v>96-961700246</v>
      </c>
      <c r="C7073" s="185" t="s">
        <v>13028</v>
      </c>
    </row>
    <row r="7074" spans="1:3">
      <c r="A7074" s="184">
        <v>971900002</v>
      </c>
      <c r="B7074" s="116" t="str">
        <f t="shared" si="110"/>
        <v>97-971900002</v>
      </c>
      <c r="C7074" s="185" t="s">
        <v>13037</v>
      </c>
    </row>
    <row r="7075" spans="1:3">
      <c r="A7075" s="184">
        <v>971800003</v>
      </c>
      <c r="B7075" s="116" t="str">
        <f t="shared" si="110"/>
        <v>97-971800003</v>
      </c>
      <c r="C7075" s="185" t="s">
        <v>13038</v>
      </c>
    </row>
    <row r="7076" spans="1:3">
      <c r="A7076" s="184">
        <v>961700227</v>
      </c>
      <c r="B7076" s="116" t="str">
        <f t="shared" si="110"/>
        <v>96-961700227</v>
      </c>
      <c r="C7076" s="185" t="s">
        <v>13018</v>
      </c>
    </row>
    <row r="7077" spans="1:3">
      <c r="A7077" s="184">
        <v>961700221</v>
      </c>
      <c r="B7077" s="116" t="str">
        <f t="shared" si="110"/>
        <v>96-961700221</v>
      </c>
      <c r="C7077" s="185" t="s">
        <v>13039</v>
      </c>
    </row>
    <row r="7078" spans="1:3">
      <c r="A7078" s="184">
        <v>961700209</v>
      </c>
      <c r="B7078" s="116" t="str">
        <f t="shared" si="110"/>
        <v>96-961700209</v>
      </c>
      <c r="C7078" s="185" t="s">
        <v>13040</v>
      </c>
    </row>
    <row r="7079" spans="1:3">
      <c r="A7079" s="184">
        <v>976200014</v>
      </c>
      <c r="B7079" s="116" t="str">
        <f t="shared" si="110"/>
        <v>97-976200014</v>
      </c>
      <c r="C7079" s="185" t="s">
        <v>13012</v>
      </c>
    </row>
    <row r="7080" spans="1:3">
      <c r="A7080" s="184">
        <v>974100005</v>
      </c>
      <c r="B7080" s="116" t="str">
        <f t="shared" si="110"/>
        <v>97-974100005</v>
      </c>
      <c r="C7080" s="185" t="s">
        <v>12930</v>
      </c>
    </row>
    <row r="7081" spans="1:3">
      <c r="A7081" s="184">
        <v>974100006</v>
      </c>
      <c r="B7081" s="116" t="str">
        <f t="shared" si="110"/>
        <v>97-974100006</v>
      </c>
      <c r="C7081" s="185" t="s">
        <v>12930</v>
      </c>
    </row>
    <row r="7082" spans="1:3">
      <c r="A7082" s="184">
        <v>964200035</v>
      </c>
      <c r="B7082" s="116" t="str">
        <f t="shared" si="110"/>
        <v>96-964200035</v>
      </c>
      <c r="C7082" s="185" t="s">
        <v>12668</v>
      </c>
    </row>
    <row r="7083" spans="1:3">
      <c r="A7083" s="184">
        <v>974200004</v>
      </c>
      <c r="B7083" s="116" t="str">
        <f t="shared" si="110"/>
        <v>97-974200004</v>
      </c>
      <c r="C7083" s="185" t="s">
        <v>12668</v>
      </c>
    </row>
    <row r="7084" spans="1:3">
      <c r="A7084" s="184">
        <v>971900008</v>
      </c>
      <c r="B7084" s="116" t="str">
        <f t="shared" si="110"/>
        <v>97-971900008</v>
      </c>
      <c r="C7084" s="185" t="s">
        <v>13041</v>
      </c>
    </row>
    <row r="7085" spans="1:3">
      <c r="A7085" s="184">
        <v>971800004</v>
      </c>
      <c r="B7085" s="116" t="str">
        <f t="shared" si="110"/>
        <v>97-971800004</v>
      </c>
      <c r="C7085" s="185" t="s">
        <v>13042</v>
      </c>
    </row>
    <row r="7086" spans="1:3">
      <c r="A7086" s="184">
        <v>971900003</v>
      </c>
      <c r="B7086" s="116" t="str">
        <f t="shared" si="110"/>
        <v>97-971900003</v>
      </c>
      <c r="C7086" s="185" t="s">
        <v>13043</v>
      </c>
    </row>
    <row r="7087" spans="1:3">
      <c r="A7087" s="184">
        <v>961900188</v>
      </c>
      <c r="B7087" s="116" t="str">
        <f t="shared" si="110"/>
        <v>96-961900188</v>
      </c>
      <c r="C7087" s="185" t="s">
        <v>12201</v>
      </c>
    </row>
    <row r="7088" spans="1:3">
      <c r="A7088" s="184">
        <v>972000005</v>
      </c>
      <c r="B7088" s="116" t="str">
        <f t="shared" si="110"/>
        <v>97-972000005</v>
      </c>
      <c r="C7088" s="185" t="s">
        <v>13009</v>
      </c>
    </row>
    <row r="7089" spans="1:3">
      <c r="A7089" s="184">
        <v>961700191</v>
      </c>
      <c r="B7089" s="116" t="str">
        <f t="shared" si="110"/>
        <v>96-961700191</v>
      </c>
      <c r="C7089" s="185" t="s">
        <v>13028</v>
      </c>
    </row>
    <row r="7090" spans="1:3">
      <c r="A7090" s="184">
        <v>961700239</v>
      </c>
      <c r="B7090" s="116" t="str">
        <f t="shared" si="110"/>
        <v>96-961700239</v>
      </c>
      <c r="C7090" s="185" t="s">
        <v>13028</v>
      </c>
    </row>
    <row r="7091" spans="1:3">
      <c r="A7091" s="184">
        <v>971900004</v>
      </c>
      <c r="B7091" s="116" t="str">
        <f t="shared" si="110"/>
        <v>97-971900004</v>
      </c>
      <c r="C7091" s="185" t="s">
        <v>13044</v>
      </c>
    </row>
    <row r="7092" spans="1:3">
      <c r="A7092" s="184">
        <v>966000031</v>
      </c>
      <c r="B7092" s="116" t="str">
        <f t="shared" si="110"/>
        <v>96-966000031</v>
      </c>
      <c r="C7092" s="185" t="s">
        <v>7146</v>
      </c>
    </row>
    <row r="7093" spans="1:3">
      <c r="A7093" s="184">
        <v>972200001</v>
      </c>
      <c r="B7093" s="116" t="str">
        <f t="shared" si="110"/>
        <v>97-972200001</v>
      </c>
      <c r="C7093" s="185" t="s">
        <v>12933</v>
      </c>
    </row>
    <row r="7094" spans="1:3">
      <c r="A7094" s="184">
        <v>972000033</v>
      </c>
      <c r="B7094" s="116" t="str">
        <f t="shared" si="110"/>
        <v>97-972000033</v>
      </c>
      <c r="C7094" s="185" t="s">
        <v>13009</v>
      </c>
    </row>
    <row r="7095" spans="1:3">
      <c r="A7095" s="184">
        <v>966200744</v>
      </c>
      <c r="B7095" s="116" t="str">
        <f t="shared" si="110"/>
        <v>96-966200744</v>
      </c>
      <c r="C7095" s="185" t="s">
        <v>13045</v>
      </c>
    </row>
    <row r="7096" spans="1:3">
      <c r="A7096" s="184">
        <v>966200684</v>
      </c>
      <c r="B7096" s="116" t="str">
        <f t="shared" si="110"/>
        <v>96-966200684</v>
      </c>
      <c r="C7096" s="185" t="s">
        <v>13046</v>
      </c>
    </row>
    <row r="7097" spans="1:3">
      <c r="A7097" s="184">
        <v>976200009</v>
      </c>
      <c r="B7097" s="116" t="str">
        <f t="shared" si="110"/>
        <v>97-976200009</v>
      </c>
      <c r="C7097" s="185" t="s">
        <v>13047</v>
      </c>
    </row>
    <row r="7098" spans="1:3">
      <c r="A7098" s="184">
        <v>961700230</v>
      </c>
      <c r="B7098" s="116" t="str">
        <f t="shared" si="110"/>
        <v>96-961700230</v>
      </c>
      <c r="C7098" s="185" t="s">
        <v>13018</v>
      </c>
    </row>
    <row r="7099" spans="1:3">
      <c r="A7099" s="184">
        <v>971000003</v>
      </c>
      <c r="B7099" s="116" t="str">
        <f t="shared" si="110"/>
        <v>97-971000003</v>
      </c>
      <c r="C7099" s="185" t="s">
        <v>13024</v>
      </c>
    </row>
    <row r="7100" spans="1:3">
      <c r="A7100" s="184">
        <v>971700002</v>
      </c>
      <c r="B7100" s="116" t="str">
        <f t="shared" si="110"/>
        <v>97-971700002</v>
      </c>
      <c r="C7100" s="185" t="s">
        <v>13035</v>
      </c>
    </row>
    <row r="7101" spans="1:3">
      <c r="A7101" s="184">
        <v>961700210</v>
      </c>
      <c r="B7101" s="116" t="str">
        <f t="shared" si="110"/>
        <v>96-961700210</v>
      </c>
      <c r="C7101" s="185" t="s">
        <v>13048</v>
      </c>
    </row>
    <row r="7102" spans="1:3">
      <c r="A7102" s="184">
        <v>971800006</v>
      </c>
      <c r="B7102" s="116" t="str">
        <f t="shared" si="110"/>
        <v>97-971800006</v>
      </c>
      <c r="C7102" s="185" t="s">
        <v>13049</v>
      </c>
    </row>
    <row r="7103" spans="1:3">
      <c r="A7103" s="184">
        <v>961800071</v>
      </c>
      <c r="B7103" s="116" t="str">
        <f t="shared" si="110"/>
        <v>96-961800071</v>
      </c>
      <c r="C7103" s="185" t="s">
        <v>13050</v>
      </c>
    </row>
    <row r="7104" spans="1:3">
      <c r="A7104" s="184">
        <v>961700176</v>
      </c>
      <c r="B7104" s="116" t="str">
        <f t="shared" si="110"/>
        <v>96-961700176</v>
      </c>
      <c r="C7104" s="185" t="s">
        <v>13051</v>
      </c>
    </row>
    <row r="7105" spans="1:3">
      <c r="A7105" s="184">
        <v>972000010</v>
      </c>
      <c r="B7105" s="116" t="str">
        <f t="shared" si="110"/>
        <v>97-972000010</v>
      </c>
      <c r="C7105" s="185" t="s">
        <v>13009</v>
      </c>
    </row>
    <row r="7106" spans="1:3">
      <c r="A7106" s="184">
        <v>966200698</v>
      </c>
      <c r="B7106" s="116" t="str">
        <f t="shared" si="110"/>
        <v>96-966200698</v>
      </c>
      <c r="C7106" s="185" t="s">
        <v>13052</v>
      </c>
    </row>
    <row r="7107" spans="1:3">
      <c r="A7107" s="184">
        <v>961900195</v>
      </c>
      <c r="B7107" s="116" t="str">
        <f t="shared" ref="B7107:B7170" si="111">MID(A7107,1,2)&amp;"-"&amp;A7107</f>
        <v>96-961900195</v>
      </c>
      <c r="C7107" s="185" t="s">
        <v>13053</v>
      </c>
    </row>
    <row r="7108" spans="1:3">
      <c r="A7108" s="184">
        <v>962200114</v>
      </c>
      <c r="B7108" s="116" t="str">
        <f t="shared" si="111"/>
        <v>96-962200114</v>
      </c>
      <c r="C7108" s="185" t="s">
        <v>12932</v>
      </c>
    </row>
    <row r="7109" spans="1:3">
      <c r="A7109" s="184">
        <v>972000023</v>
      </c>
      <c r="B7109" s="116" t="str">
        <f t="shared" si="111"/>
        <v>97-972000023</v>
      </c>
      <c r="C7109" s="185" t="s">
        <v>13009</v>
      </c>
    </row>
    <row r="7110" spans="1:3">
      <c r="A7110" s="184">
        <v>972000003</v>
      </c>
      <c r="B7110" s="116" t="str">
        <f t="shared" si="111"/>
        <v>97-972000003</v>
      </c>
      <c r="C7110" s="185" t="s">
        <v>13009</v>
      </c>
    </row>
    <row r="7111" spans="1:3">
      <c r="A7111" s="184">
        <v>972000016</v>
      </c>
      <c r="B7111" s="116" t="str">
        <f t="shared" si="111"/>
        <v>97-972000016</v>
      </c>
      <c r="C7111" s="185" t="s">
        <v>13009</v>
      </c>
    </row>
    <row r="7112" spans="1:3">
      <c r="A7112" s="184">
        <v>972000021</v>
      </c>
      <c r="B7112" s="116" t="str">
        <f t="shared" si="111"/>
        <v>97-972000021</v>
      </c>
      <c r="C7112" s="185" t="s">
        <v>13009</v>
      </c>
    </row>
    <row r="7113" spans="1:3">
      <c r="A7113" s="184">
        <v>961700262</v>
      </c>
      <c r="B7113" s="116" t="str">
        <f t="shared" si="111"/>
        <v>96-961700262</v>
      </c>
      <c r="C7113" s="185" t="s">
        <v>13054</v>
      </c>
    </row>
    <row r="7114" spans="1:3">
      <c r="A7114" s="184">
        <v>961700190</v>
      </c>
      <c r="B7114" s="116" t="str">
        <f t="shared" si="111"/>
        <v>96-961700190</v>
      </c>
      <c r="C7114" s="185" t="s">
        <v>13028</v>
      </c>
    </row>
    <row r="7115" spans="1:3">
      <c r="A7115" s="184">
        <v>961700192</v>
      </c>
      <c r="B7115" s="116" t="str">
        <f t="shared" si="111"/>
        <v>96-961700192</v>
      </c>
      <c r="C7115" s="185" t="s">
        <v>13028</v>
      </c>
    </row>
    <row r="7116" spans="1:3">
      <c r="A7116" s="184">
        <v>961700198</v>
      </c>
      <c r="B7116" s="116" t="str">
        <f t="shared" si="111"/>
        <v>96-961700198</v>
      </c>
      <c r="C7116" s="185" t="s">
        <v>13028</v>
      </c>
    </row>
    <row r="7117" spans="1:3">
      <c r="A7117" s="184">
        <v>961700200</v>
      </c>
      <c r="B7117" s="116" t="str">
        <f t="shared" si="111"/>
        <v>96-961700200</v>
      </c>
      <c r="C7117" s="185" t="s">
        <v>13028</v>
      </c>
    </row>
    <row r="7118" spans="1:3">
      <c r="A7118" s="184">
        <v>971900001</v>
      </c>
      <c r="B7118" s="116" t="str">
        <f t="shared" si="111"/>
        <v>97-971900001</v>
      </c>
      <c r="C7118" s="185" t="s">
        <v>13037</v>
      </c>
    </row>
    <row r="7119" spans="1:3">
      <c r="A7119" s="184">
        <v>974200005</v>
      </c>
      <c r="B7119" s="116" t="str">
        <f t="shared" si="111"/>
        <v>97-974200005</v>
      </c>
      <c r="C7119" s="185" t="s">
        <v>12934</v>
      </c>
    </row>
    <row r="7120" spans="1:3">
      <c r="A7120" s="184">
        <v>972000011</v>
      </c>
      <c r="B7120" s="116" t="str">
        <f t="shared" si="111"/>
        <v>97-972000011</v>
      </c>
      <c r="C7120" s="185" t="s">
        <v>13009</v>
      </c>
    </row>
    <row r="7121" spans="1:3">
      <c r="A7121" s="184">
        <v>971900006</v>
      </c>
      <c r="B7121" s="116" t="str">
        <f t="shared" si="111"/>
        <v>97-971900006</v>
      </c>
      <c r="C7121" s="185" t="s">
        <v>13055</v>
      </c>
    </row>
    <row r="7122" spans="1:3">
      <c r="A7122" s="184">
        <v>971800005</v>
      </c>
      <c r="B7122" s="116" t="str">
        <f t="shared" si="111"/>
        <v>97-971800005</v>
      </c>
      <c r="C7122" s="185" t="s">
        <v>13056</v>
      </c>
    </row>
    <row r="7123" spans="1:3">
      <c r="A7123" s="184">
        <v>961700204</v>
      </c>
      <c r="B7123" s="116" t="str">
        <f t="shared" si="111"/>
        <v>96-961700204</v>
      </c>
      <c r="C7123" s="185" t="s">
        <v>13028</v>
      </c>
    </row>
    <row r="7124" spans="1:3">
      <c r="A7124" s="184">
        <v>971800001</v>
      </c>
      <c r="B7124" s="116" t="str">
        <f t="shared" si="111"/>
        <v>97-971800001</v>
      </c>
      <c r="C7124" s="185" t="s">
        <v>13037</v>
      </c>
    </row>
    <row r="7125" spans="1:3">
      <c r="A7125" s="184">
        <v>966200633</v>
      </c>
      <c r="B7125" s="116" t="str">
        <f t="shared" si="111"/>
        <v>96-966200633</v>
      </c>
      <c r="C7125" s="185" t="s">
        <v>13057</v>
      </c>
    </row>
    <row r="7126" spans="1:3">
      <c r="A7126" s="184">
        <v>972000019</v>
      </c>
      <c r="B7126" s="116" t="str">
        <f t="shared" si="111"/>
        <v>97-972000019</v>
      </c>
      <c r="C7126" s="185" t="s">
        <v>13009</v>
      </c>
    </row>
    <row r="7127" spans="1:3">
      <c r="A7127" s="184">
        <v>972000030</v>
      </c>
      <c r="B7127" s="116" t="str">
        <f t="shared" si="111"/>
        <v>97-972000030</v>
      </c>
      <c r="C7127" s="185" t="s">
        <v>13009</v>
      </c>
    </row>
    <row r="7128" spans="1:3">
      <c r="A7128" s="184">
        <v>972000032</v>
      </c>
      <c r="B7128" s="116" t="str">
        <f t="shared" si="111"/>
        <v>97-972000032</v>
      </c>
      <c r="C7128" s="185" t="s">
        <v>13009</v>
      </c>
    </row>
    <row r="7129" spans="1:3">
      <c r="A7129" s="184">
        <v>972000012</v>
      </c>
      <c r="B7129" s="116" t="str">
        <f t="shared" si="111"/>
        <v>97-972000012</v>
      </c>
      <c r="C7129" s="185" t="s">
        <v>13009</v>
      </c>
    </row>
    <row r="7130" spans="1:3">
      <c r="A7130" s="184">
        <v>972000022</v>
      </c>
      <c r="B7130" s="116" t="str">
        <f t="shared" si="111"/>
        <v>97-972000022</v>
      </c>
      <c r="C7130" s="185" t="s">
        <v>13009</v>
      </c>
    </row>
    <row r="7131" spans="1:3">
      <c r="A7131" s="184">
        <v>972000028</v>
      </c>
      <c r="B7131" s="116" t="str">
        <f t="shared" si="111"/>
        <v>97-972000028</v>
      </c>
      <c r="C7131" s="185" t="s">
        <v>13009</v>
      </c>
    </row>
    <row r="7132" spans="1:3">
      <c r="A7132" s="184">
        <v>972000015</v>
      </c>
      <c r="B7132" s="116" t="str">
        <f t="shared" si="111"/>
        <v>97-972000015</v>
      </c>
      <c r="C7132" s="185" t="s">
        <v>13009</v>
      </c>
    </row>
    <row r="7133" spans="1:3">
      <c r="A7133" s="184">
        <v>966200697</v>
      </c>
      <c r="B7133" s="116" t="str">
        <f t="shared" si="111"/>
        <v>96-966200697</v>
      </c>
      <c r="C7133" s="185" t="s">
        <v>13052</v>
      </c>
    </row>
    <row r="7134" spans="1:3">
      <c r="A7134" s="184">
        <v>971000002</v>
      </c>
      <c r="B7134" s="116" t="str">
        <f t="shared" si="111"/>
        <v>97-971000002</v>
      </c>
      <c r="C7134" s="185" t="s">
        <v>13024</v>
      </c>
    </row>
    <row r="7135" spans="1:3">
      <c r="A7135" s="184">
        <v>961700178</v>
      </c>
      <c r="B7135" s="116" t="str">
        <f t="shared" si="111"/>
        <v>96-961700178</v>
      </c>
      <c r="C7135" s="185" t="s">
        <v>13034</v>
      </c>
    </row>
    <row r="7136" spans="1:3">
      <c r="A7136" s="184">
        <v>966200668</v>
      </c>
      <c r="B7136" s="116" t="str">
        <f t="shared" si="111"/>
        <v>96-966200668</v>
      </c>
      <c r="C7136" s="185" t="s">
        <v>13058</v>
      </c>
    </row>
    <row r="7137" spans="1:3">
      <c r="A7137" s="184">
        <v>961700156</v>
      </c>
      <c r="B7137" s="116" t="str">
        <f t="shared" si="111"/>
        <v>96-961700156</v>
      </c>
      <c r="C7137" s="185" t="s">
        <v>12201</v>
      </c>
    </row>
    <row r="7138" spans="1:3">
      <c r="A7138" s="184">
        <v>972000037</v>
      </c>
      <c r="B7138" s="116" t="str">
        <f t="shared" si="111"/>
        <v>97-972000037</v>
      </c>
      <c r="C7138" s="185" t="s">
        <v>13009</v>
      </c>
    </row>
    <row r="7139" spans="1:3">
      <c r="A7139" s="184">
        <v>972000126</v>
      </c>
      <c r="B7139" s="116" t="str">
        <f t="shared" si="111"/>
        <v>97-972000126</v>
      </c>
      <c r="C7139" s="185" t="s">
        <v>13059</v>
      </c>
    </row>
    <row r="7140" spans="1:3">
      <c r="A7140" s="184">
        <v>966200765</v>
      </c>
      <c r="B7140" s="116" t="str">
        <f t="shared" si="111"/>
        <v>96-966200765</v>
      </c>
      <c r="C7140" s="185" t="s">
        <v>13060</v>
      </c>
    </row>
    <row r="7141" spans="1:3">
      <c r="A7141" s="184">
        <v>961100133</v>
      </c>
      <c r="B7141" s="116" t="str">
        <f t="shared" si="111"/>
        <v>96-961100133</v>
      </c>
      <c r="C7141" s="185" t="s">
        <v>13061</v>
      </c>
    </row>
    <row r="7142" spans="1:3">
      <c r="A7142" s="184">
        <v>966200635</v>
      </c>
      <c r="B7142" s="116" t="str">
        <f t="shared" si="111"/>
        <v>96-966200635</v>
      </c>
      <c r="C7142" s="185" t="s">
        <v>13062</v>
      </c>
    </row>
    <row r="7143" spans="1:3">
      <c r="A7143" s="184">
        <v>976200016</v>
      </c>
      <c r="B7143" s="116" t="str">
        <f t="shared" si="111"/>
        <v>97-976200016</v>
      </c>
      <c r="C7143" s="185" t="s">
        <v>13063</v>
      </c>
    </row>
    <row r="7144" spans="1:3">
      <c r="A7144" s="184">
        <v>966200747</v>
      </c>
      <c r="B7144" s="116" t="str">
        <f t="shared" si="111"/>
        <v>96-966200747</v>
      </c>
      <c r="C7144" s="185" t="s">
        <v>13064</v>
      </c>
    </row>
    <row r="7145" spans="1:3">
      <c r="A7145" s="184">
        <v>976200019</v>
      </c>
      <c r="B7145" s="116" t="str">
        <f t="shared" si="111"/>
        <v>97-976200019</v>
      </c>
      <c r="C7145" s="185" t="s">
        <v>13063</v>
      </c>
    </row>
    <row r="7146" spans="1:3">
      <c r="A7146" s="184">
        <v>972000035</v>
      </c>
      <c r="B7146" s="116" t="str">
        <f t="shared" si="111"/>
        <v>97-972000035</v>
      </c>
      <c r="C7146" s="185" t="s">
        <v>13009</v>
      </c>
    </row>
    <row r="7147" spans="1:3">
      <c r="A7147" s="184">
        <v>972000027</v>
      </c>
      <c r="B7147" s="116" t="str">
        <f t="shared" si="111"/>
        <v>97-972000027</v>
      </c>
      <c r="C7147" s="185" t="s">
        <v>13009</v>
      </c>
    </row>
    <row r="7148" spans="1:3">
      <c r="A7148" s="184">
        <v>964200036</v>
      </c>
      <c r="B7148" s="116" t="str">
        <f t="shared" si="111"/>
        <v>96-964200036</v>
      </c>
      <c r="C7148" s="185" t="s">
        <v>12429</v>
      </c>
    </row>
    <row r="7149" spans="1:3">
      <c r="A7149" s="184">
        <v>972000024</v>
      </c>
      <c r="B7149" s="116" t="str">
        <f t="shared" si="111"/>
        <v>97-972000024</v>
      </c>
      <c r="C7149" s="185" t="s">
        <v>13009</v>
      </c>
    </row>
    <row r="7150" spans="1:3">
      <c r="A7150" s="184">
        <v>972000029</v>
      </c>
      <c r="B7150" s="116" t="str">
        <f t="shared" si="111"/>
        <v>97-972000029</v>
      </c>
      <c r="C7150" s="185" t="s">
        <v>13009</v>
      </c>
    </row>
    <row r="7151" spans="1:3">
      <c r="A7151" s="184">
        <v>972000038</v>
      </c>
      <c r="B7151" s="116" t="str">
        <f t="shared" si="111"/>
        <v>97-972000038</v>
      </c>
      <c r="C7151" s="185" t="s">
        <v>13009</v>
      </c>
    </row>
    <row r="7152" spans="1:3">
      <c r="A7152" s="184">
        <v>972000009</v>
      </c>
      <c r="B7152" s="116" t="str">
        <f t="shared" si="111"/>
        <v>97-972000009</v>
      </c>
      <c r="C7152" s="185" t="s">
        <v>13009</v>
      </c>
    </row>
    <row r="7153" spans="1:3">
      <c r="A7153" s="184">
        <v>972000026</v>
      </c>
      <c r="B7153" s="116" t="str">
        <f t="shared" si="111"/>
        <v>97-972000026</v>
      </c>
      <c r="C7153" s="185" t="s">
        <v>13009</v>
      </c>
    </row>
    <row r="7154" spans="1:3">
      <c r="A7154" s="184">
        <v>972000008</v>
      </c>
      <c r="B7154" s="116" t="str">
        <f t="shared" si="111"/>
        <v>97-972000008</v>
      </c>
      <c r="C7154" s="185" t="s">
        <v>13009</v>
      </c>
    </row>
    <row r="7155" spans="1:3">
      <c r="A7155" s="184">
        <v>961700253</v>
      </c>
      <c r="B7155" s="116" t="str">
        <f t="shared" si="111"/>
        <v>96-961700253</v>
      </c>
      <c r="C7155" s="185" t="s">
        <v>13028</v>
      </c>
    </row>
    <row r="7156" spans="1:3">
      <c r="A7156" s="184">
        <v>971700001</v>
      </c>
      <c r="B7156" s="116" t="str">
        <f t="shared" si="111"/>
        <v>97-971700001</v>
      </c>
      <c r="C7156" s="185" t="s">
        <v>13065</v>
      </c>
    </row>
    <row r="7157" spans="1:3">
      <c r="A7157" s="184">
        <v>961900199</v>
      </c>
      <c r="B7157" s="116" t="str">
        <f t="shared" si="111"/>
        <v>96-961900199</v>
      </c>
      <c r="C7157" s="185" t="s">
        <v>12201</v>
      </c>
    </row>
    <row r="7158" spans="1:3">
      <c r="A7158" s="184">
        <v>971900007</v>
      </c>
      <c r="B7158" s="116" t="str">
        <f t="shared" si="111"/>
        <v>97-971900007</v>
      </c>
      <c r="C7158" s="185" t="s">
        <v>13066</v>
      </c>
    </row>
    <row r="7159" spans="1:3">
      <c r="A7159" s="184">
        <v>972000002</v>
      </c>
      <c r="B7159" s="116" t="str">
        <f t="shared" si="111"/>
        <v>97-972000002</v>
      </c>
      <c r="C7159" s="185" t="s">
        <v>13009</v>
      </c>
    </row>
    <row r="7160" spans="1:3">
      <c r="A7160" s="184">
        <v>972000007</v>
      </c>
      <c r="B7160" s="116" t="str">
        <f t="shared" si="111"/>
        <v>97-972000007</v>
      </c>
      <c r="C7160" s="185" t="s">
        <v>13009</v>
      </c>
    </row>
    <row r="7161" spans="1:3">
      <c r="A7161" s="184">
        <v>972000020</v>
      </c>
      <c r="B7161" s="116" t="str">
        <f t="shared" si="111"/>
        <v>97-972000020</v>
      </c>
      <c r="C7161" s="185" t="s">
        <v>13009</v>
      </c>
    </row>
    <row r="7162" spans="1:3">
      <c r="A7162" s="184">
        <v>966000029</v>
      </c>
      <c r="B7162" s="116" t="str">
        <f t="shared" si="111"/>
        <v>96-966000029</v>
      </c>
      <c r="C7162" s="185" t="s">
        <v>7146</v>
      </c>
    </row>
    <row r="7163" spans="1:3">
      <c r="A7163" s="184">
        <v>972000118</v>
      </c>
      <c r="B7163" s="116" t="str">
        <f t="shared" si="111"/>
        <v>97-972000118</v>
      </c>
      <c r="C7163" s="185" t="s">
        <v>13059</v>
      </c>
    </row>
    <row r="7164" spans="1:3">
      <c r="A7164" s="184">
        <v>966200589</v>
      </c>
      <c r="B7164" s="116" t="str">
        <f t="shared" si="111"/>
        <v>96-966200589</v>
      </c>
      <c r="C7164" s="185" t="s">
        <v>13067</v>
      </c>
    </row>
    <row r="7165" spans="1:3">
      <c r="A7165" s="184">
        <v>972000025</v>
      </c>
      <c r="B7165" s="116" t="str">
        <f t="shared" si="111"/>
        <v>97-972000025</v>
      </c>
      <c r="C7165" s="185" t="s">
        <v>13009</v>
      </c>
    </row>
    <row r="7166" spans="1:3">
      <c r="A7166" s="184">
        <v>966200591</v>
      </c>
      <c r="B7166" s="116" t="str">
        <f t="shared" si="111"/>
        <v>96-966200591</v>
      </c>
      <c r="C7166" s="185" t="s">
        <v>13067</v>
      </c>
    </row>
    <row r="7167" spans="1:3">
      <c r="A7167" s="184">
        <v>976200011</v>
      </c>
      <c r="B7167" s="116" t="str">
        <f t="shared" si="111"/>
        <v>97-976200011</v>
      </c>
      <c r="C7167" s="185" t="s">
        <v>13047</v>
      </c>
    </row>
    <row r="7168" spans="1:3">
      <c r="A7168" s="184">
        <v>966200749</v>
      </c>
      <c r="B7168" s="116" t="str">
        <f t="shared" si="111"/>
        <v>96-966200749</v>
      </c>
      <c r="C7168" s="185" t="s">
        <v>13064</v>
      </c>
    </row>
    <row r="7169" spans="1:3">
      <c r="A7169" s="184">
        <v>976200007</v>
      </c>
      <c r="B7169" s="116" t="str">
        <f t="shared" si="111"/>
        <v>97-976200007</v>
      </c>
      <c r="C7169" s="185" t="s">
        <v>13047</v>
      </c>
    </row>
    <row r="7170" spans="1:3">
      <c r="A7170" s="184">
        <v>961200124</v>
      </c>
      <c r="B7170" s="116" t="str">
        <f t="shared" si="111"/>
        <v>96-961200124</v>
      </c>
      <c r="C7170" s="185" t="s">
        <v>9765</v>
      </c>
    </row>
    <row r="7171" spans="1:3">
      <c r="A7171" s="184">
        <v>961200141</v>
      </c>
      <c r="B7171" s="116" t="str">
        <f t="shared" ref="B7171:B7234" si="112">MID(A7171,1,2)&amp;"-"&amp;A7171</f>
        <v>96-961200141</v>
      </c>
      <c r="C7171" s="185" t="s">
        <v>12197</v>
      </c>
    </row>
    <row r="7172" spans="1:3">
      <c r="A7172" s="184">
        <v>961200156</v>
      </c>
      <c r="B7172" s="116" t="str">
        <f t="shared" si="112"/>
        <v>96-961200156</v>
      </c>
      <c r="C7172" s="185" t="s">
        <v>12413</v>
      </c>
    </row>
    <row r="7173" spans="1:3">
      <c r="A7173" s="184">
        <v>961200163</v>
      </c>
      <c r="B7173" s="116" t="str">
        <f t="shared" si="112"/>
        <v>96-961200163</v>
      </c>
      <c r="C7173" s="185" t="s">
        <v>12413</v>
      </c>
    </row>
    <row r="7174" spans="1:3">
      <c r="A7174" s="184">
        <v>961200166</v>
      </c>
      <c r="B7174" s="116" t="str">
        <f t="shared" si="112"/>
        <v>96-961200166</v>
      </c>
      <c r="C7174" s="185" t="s">
        <v>12423</v>
      </c>
    </row>
    <row r="7175" spans="1:3">
      <c r="A7175" s="184">
        <v>961200167</v>
      </c>
      <c r="B7175" s="116" t="str">
        <f t="shared" si="112"/>
        <v>96-961200167</v>
      </c>
      <c r="C7175" s="185" t="s">
        <v>12413</v>
      </c>
    </row>
    <row r="7176" spans="1:3">
      <c r="A7176" s="184">
        <v>961200181</v>
      </c>
      <c r="B7176" s="116" t="str">
        <f t="shared" si="112"/>
        <v>96-961200181</v>
      </c>
      <c r="C7176" s="185" t="s">
        <v>12413</v>
      </c>
    </row>
    <row r="7177" spans="1:3">
      <c r="A7177" s="184">
        <v>971200004</v>
      </c>
      <c r="B7177" s="116" t="str">
        <f t="shared" si="112"/>
        <v>97-971200004</v>
      </c>
      <c r="C7177" s="185" t="s">
        <v>12666</v>
      </c>
    </row>
    <row r="7178" spans="1:3">
      <c r="A7178" s="184">
        <v>961200160</v>
      </c>
      <c r="B7178" s="116" t="str">
        <f t="shared" si="112"/>
        <v>96-961200160</v>
      </c>
      <c r="C7178" s="185" t="s">
        <v>12413</v>
      </c>
    </row>
    <row r="7179" spans="1:3">
      <c r="A7179" s="184">
        <v>961200169</v>
      </c>
      <c r="B7179" s="116" t="str">
        <f t="shared" si="112"/>
        <v>96-961200169</v>
      </c>
      <c r="C7179" s="185" t="s">
        <v>12421</v>
      </c>
    </row>
    <row r="7180" spans="1:3">
      <c r="A7180" s="184">
        <v>961200172</v>
      </c>
      <c r="B7180" s="116" t="str">
        <f t="shared" si="112"/>
        <v>96-961200172</v>
      </c>
      <c r="C7180" s="185" t="s">
        <v>12421</v>
      </c>
    </row>
    <row r="7181" spans="1:3">
      <c r="A7181" s="184">
        <v>961200189</v>
      </c>
      <c r="B7181" s="116" t="str">
        <f t="shared" si="112"/>
        <v>96-961200189</v>
      </c>
      <c r="C7181" s="185" t="s">
        <v>12421</v>
      </c>
    </row>
    <row r="7182" spans="1:3">
      <c r="A7182" s="184">
        <v>961200197</v>
      </c>
      <c r="B7182" s="116" t="str">
        <f t="shared" si="112"/>
        <v>96-961200197</v>
      </c>
      <c r="C7182" s="185" t="s">
        <v>12421</v>
      </c>
    </row>
    <row r="7183" spans="1:3">
      <c r="A7183" s="184">
        <v>961200219</v>
      </c>
      <c r="B7183" s="116" t="str">
        <f t="shared" si="112"/>
        <v>96-961200219</v>
      </c>
      <c r="C7183" s="185" t="s">
        <v>12666</v>
      </c>
    </row>
    <row r="7184" spans="1:3">
      <c r="A7184" s="184">
        <v>961200132</v>
      </c>
      <c r="B7184" s="116" t="str">
        <f t="shared" si="112"/>
        <v>96-961200132</v>
      </c>
      <c r="C7184" s="185" t="s">
        <v>9765</v>
      </c>
    </row>
    <row r="7185" spans="1:3">
      <c r="A7185" s="184">
        <v>961200133</v>
      </c>
      <c r="B7185" s="116" t="str">
        <f t="shared" si="112"/>
        <v>96-961200133</v>
      </c>
      <c r="C7185" s="185" t="s">
        <v>9765</v>
      </c>
    </row>
    <row r="7186" spans="1:3">
      <c r="A7186" s="184">
        <v>961200182</v>
      </c>
      <c r="B7186" s="116" t="str">
        <f t="shared" si="112"/>
        <v>96-961200182</v>
      </c>
      <c r="C7186" s="185" t="s">
        <v>12421</v>
      </c>
    </row>
    <row r="7187" spans="1:3">
      <c r="A7187" s="184">
        <v>961200202</v>
      </c>
      <c r="B7187" s="116" t="str">
        <f t="shared" si="112"/>
        <v>96-961200202</v>
      </c>
      <c r="C7187" s="185" t="s">
        <v>12421</v>
      </c>
    </row>
    <row r="7188" spans="1:3">
      <c r="A7188" s="184">
        <v>961200216</v>
      </c>
      <c r="B7188" s="116" t="str">
        <f t="shared" si="112"/>
        <v>96-961200216</v>
      </c>
      <c r="C7188" s="185" t="s">
        <v>12933</v>
      </c>
    </row>
    <row r="7189" spans="1:3">
      <c r="A7189" s="184">
        <v>961200192</v>
      </c>
      <c r="B7189" s="116" t="str">
        <f t="shared" si="112"/>
        <v>96-961200192</v>
      </c>
      <c r="C7189" s="185" t="s">
        <v>12421</v>
      </c>
    </row>
    <row r="7190" spans="1:3">
      <c r="A7190" s="184">
        <v>961200213</v>
      </c>
      <c r="B7190" s="116" t="str">
        <f t="shared" si="112"/>
        <v>96-961200213</v>
      </c>
      <c r="C7190" s="185" t="s">
        <v>12666</v>
      </c>
    </row>
    <row r="7191" spans="1:3">
      <c r="A7191" s="184">
        <v>961200215</v>
      </c>
      <c r="B7191" s="116" t="str">
        <f t="shared" si="112"/>
        <v>96-961200215</v>
      </c>
      <c r="C7191" s="185" t="s">
        <v>12933</v>
      </c>
    </row>
    <row r="7192" spans="1:3">
      <c r="A7192" s="184">
        <v>961200120</v>
      </c>
      <c r="B7192" s="116" t="str">
        <f t="shared" si="112"/>
        <v>96-961200120</v>
      </c>
      <c r="C7192" s="185" t="s">
        <v>9765</v>
      </c>
    </row>
    <row r="7193" spans="1:3">
      <c r="A7193" s="184">
        <v>961200121</v>
      </c>
      <c r="B7193" s="116" t="str">
        <f t="shared" si="112"/>
        <v>96-961200121</v>
      </c>
      <c r="C7193" s="185" t="s">
        <v>9765</v>
      </c>
    </row>
    <row r="7194" spans="1:3">
      <c r="A7194" s="184">
        <v>961200155</v>
      </c>
      <c r="B7194" s="116" t="str">
        <f t="shared" si="112"/>
        <v>96-961200155</v>
      </c>
      <c r="C7194" s="185" t="s">
        <v>12413</v>
      </c>
    </row>
    <row r="7195" spans="1:3">
      <c r="A7195" s="184">
        <v>961200168</v>
      </c>
      <c r="B7195" s="116" t="str">
        <f t="shared" si="112"/>
        <v>96-961200168</v>
      </c>
      <c r="C7195" s="185" t="s">
        <v>12423</v>
      </c>
    </row>
    <row r="7196" spans="1:3">
      <c r="A7196" s="184">
        <v>961200195</v>
      </c>
      <c r="B7196" s="116" t="str">
        <f t="shared" si="112"/>
        <v>96-961200195</v>
      </c>
      <c r="C7196" s="185" t="s">
        <v>12421</v>
      </c>
    </row>
    <row r="7197" spans="1:3">
      <c r="A7197" s="184">
        <v>961200212</v>
      </c>
      <c r="B7197" s="116" t="str">
        <f t="shared" si="112"/>
        <v>96-961200212</v>
      </c>
      <c r="C7197" s="185" t="s">
        <v>12666</v>
      </c>
    </row>
    <row r="7198" spans="1:3">
      <c r="A7198" s="184">
        <v>961200128</v>
      </c>
      <c r="B7198" s="116" t="str">
        <f t="shared" si="112"/>
        <v>96-961200128</v>
      </c>
      <c r="C7198" s="185" t="s">
        <v>9765</v>
      </c>
    </row>
    <row r="7199" spans="1:3">
      <c r="A7199" s="184">
        <v>961200171</v>
      </c>
      <c r="B7199" s="116" t="str">
        <f t="shared" si="112"/>
        <v>96-961200171</v>
      </c>
      <c r="C7199" s="185" t="s">
        <v>12421</v>
      </c>
    </row>
    <row r="7200" spans="1:3">
      <c r="A7200" s="184">
        <v>961200193</v>
      </c>
      <c r="B7200" s="116" t="str">
        <f t="shared" si="112"/>
        <v>96-961200193</v>
      </c>
      <c r="C7200" s="185" t="s">
        <v>12421</v>
      </c>
    </row>
    <row r="7201" spans="1:3">
      <c r="A7201" s="184">
        <v>961500693</v>
      </c>
      <c r="B7201" s="116" t="str">
        <f t="shared" si="112"/>
        <v>96-961500693</v>
      </c>
      <c r="C7201" s="185" t="s">
        <v>9783</v>
      </c>
    </row>
    <row r="7202" spans="1:3">
      <c r="A7202" s="184">
        <v>961500694</v>
      </c>
      <c r="B7202" s="116" t="str">
        <f t="shared" si="112"/>
        <v>96-961500694</v>
      </c>
      <c r="C7202" s="185" t="s">
        <v>9783</v>
      </c>
    </row>
    <row r="7203" spans="1:3">
      <c r="A7203" s="184">
        <v>961500715</v>
      </c>
      <c r="B7203" s="116" t="str">
        <f t="shared" si="112"/>
        <v>96-961500715</v>
      </c>
      <c r="C7203" s="185" t="s">
        <v>9783</v>
      </c>
    </row>
    <row r="7204" spans="1:3">
      <c r="A7204" s="184">
        <v>961500740</v>
      </c>
      <c r="B7204" s="116" t="str">
        <f t="shared" si="112"/>
        <v>96-961500740</v>
      </c>
      <c r="C7204" s="185" t="s">
        <v>9769</v>
      </c>
    </row>
    <row r="7205" spans="1:3">
      <c r="A7205" s="184">
        <v>961500741</v>
      </c>
      <c r="B7205" s="116" t="str">
        <f t="shared" si="112"/>
        <v>96-961500741</v>
      </c>
      <c r="C7205" s="185" t="s">
        <v>9769</v>
      </c>
    </row>
    <row r="7206" spans="1:3">
      <c r="A7206" s="184">
        <v>961500772</v>
      </c>
      <c r="B7206" s="116" t="str">
        <f t="shared" si="112"/>
        <v>96-961500772</v>
      </c>
      <c r="C7206" s="185" t="s">
        <v>9763</v>
      </c>
    </row>
    <row r="7207" spans="1:3">
      <c r="A7207" s="184">
        <v>961500824</v>
      </c>
      <c r="B7207" s="116" t="str">
        <f t="shared" si="112"/>
        <v>96-961500824</v>
      </c>
      <c r="C7207" s="185" t="s">
        <v>12260</v>
      </c>
    </row>
    <row r="7208" spans="1:3">
      <c r="A7208" s="184">
        <v>961500869</v>
      </c>
      <c r="B7208" s="116" t="str">
        <f t="shared" si="112"/>
        <v>96-961500869</v>
      </c>
      <c r="C7208" s="185" t="s">
        <v>12260</v>
      </c>
    </row>
    <row r="7209" spans="1:3">
      <c r="A7209" s="184">
        <v>961500877</v>
      </c>
      <c r="B7209" s="116" t="str">
        <f t="shared" si="112"/>
        <v>96-961500877</v>
      </c>
      <c r="C7209" s="185" t="s">
        <v>12429</v>
      </c>
    </row>
    <row r="7210" spans="1:3">
      <c r="A7210" s="184">
        <v>961500993</v>
      </c>
      <c r="B7210" s="116" t="str">
        <f t="shared" si="112"/>
        <v>96-961500993</v>
      </c>
      <c r="C7210" s="185" t="s">
        <v>12934</v>
      </c>
    </row>
    <row r="7211" spans="1:3">
      <c r="A7211" s="184">
        <v>961500999</v>
      </c>
      <c r="B7211" s="116" t="str">
        <f t="shared" si="112"/>
        <v>96-961500999</v>
      </c>
      <c r="C7211" s="185" t="s">
        <v>12934</v>
      </c>
    </row>
    <row r="7212" spans="1:3">
      <c r="A7212" s="184">
        <v>961501000</v>
      </c>
      <c r="B7212" s="116" t="str">
        <f t="shared" si="112"/>
        <v>96-961501000</v>
      </c>
      <c r="C7212" s="185" t="s">
        <v>12934</v>
      </c>
    </row>
    <row r="7213" spans="1:3">
      <c r="A7213" s="184">
        <v>961501028</v>
      </c>
      <c r="B7213" s="116" t="str">
        <f t="shared" si="112"/>
        <v>96-961501028</v>
      </c>
      <c r="C7213" s="185" t="s">
        <v>12934</v>
      </c>
    </row>
    <row r="7214" spans="1:3">
      <c r="A7214" s="184">
        <v>961500695</v>
      </c>
      <c r="B7214" s="116" t="str">
        <f t="shared" si="112"/>
        <v>96-961500695</v>
      </c>
      <c r="C7214" s="185" t="s">
        <v>9783</v>
      </c>
    </row>
    <row r="7215" spans="1:3">
      <c r="A7215" s="184">
        <v>961500703</v>
      </c>
      <c r="B7215" s="116" t="str">
        <f t="shared" si="112"/>
        <v>96-961500703</v>
      </c>
      <c r="C7215" s="185" t="s">
        <v>9783</v>
      </c>
    </row>
    <row r="7216" spans="1:3">
      <c r="A7216" s="184">
        <v>961500704</v>
      </c>
      <c r="B7216" s="116" t="str">
        <f t="shared" si="112"/>
        <v>96-961500704</v>
      </c>
      <c r="C7216" s="185" t="s">
        <v>9783</v>
      </c>
    </row>
    <row r="7217" spans="1:3">
      <c r="A7217" s="184">
        <v>961500716</v>
      </c>
      <c r="B7217" s="116" t="str">
        <f t="shared" si="112"/>
        <v>96-961500716</v>
      </c>
      <c r="C7217" s="185" t="s">
        <v>9783</v>
      </c>
    </row>
    <row r="7218" spans="1:3">
      <c r="A7218" s="184">
        <v>961500764</v>
      </c>
      <c r="B7218" s="116" t="str">
        <f t="shared" si="112"/>
        <v>96-961500764</v>
      </c>
      <c r="C7218" s="185" t="s">
        <v>9763</v>
      </c>
    </row>
    <row r="7219" spans="1:3">
      <c r="A7219" s="184">
        <v>961500831</v>
      </c>
      <c r="B7219" s="116" t="str">
        <f t="shared" si="112"/>
        <v>96-961500831</v>
      </c>
      <c r="C7219" s="185" t="s">
        <v>12260</v>
      </c>
    </row>
    <row r="7220" spans="1:3">
      <c r="A7220" s="184">
        <v>961500887</v>
      </c>
      <c r="B7220" s="116" t="str">
        <f t="shared" si="112"/>
        <v>96-961500887</v>
      </c>
      <c r="C7220" s="185" t="s">
        <v>12429</v>
      </c>
    </row>
    <row r="7221" spans="1:3">
      <c r="A7221" s="184">
        <v>961500903</v>
      </c>
      <c r="B7221" s="116" t="str">
        <f t="shared" si="112"/>
        <v>96-961500903</v>
      </c>
      <c r="C7221" s="185" t="s">
        <v>12429</v>
      </c>
    </row>
    <row r="7222" spans="1:3">
      <c r="A7222" s="184">
        <v>961500974</v>
      </c>
      <c r="B7222" s="116" t="str">
        <f t="shared" si="112"/>
        <v>96-961500974</v>
      </c>
      <c r="C7222" s="185" t="s">
        <v>12668</v>
      </c>
    </row>
    <row r="7223" spans="1:3">
      <c r="A7223" s="184">
        <v>961501004</v>
      </c>
      <c r="B7223" s="116" t="str">
        <f t="shared" si="112"/>
        <v>96-961501004</v>
      </c>
      <c r="C7223" s="185" t="s">
        <v>12934</v>
      </c>
    </row>
    <row r="7224" spans="1:3">
      <c r="A7224" s="184">
        <v>971500001</v>
      </c>
      <c r="B7224" s="116" t="str">
        <f t="shared" si="112"/>
        <v>97-971500001</v>
      </c>
      <c r="C7224" s="185" t="s">
        <v>12934</v>
      </c>
    </row>
    <row r="7225" spans="1:3">
      <c r="A7225" s="184">
        <v>971500040</v>
      </c>
      <c r="B7225" s="116" t="str">
        <f t="shared" si="112"/>
        <v>97-971500040</v>
      </c>
      <c r="C7225" s="185" t="s">
        <v>12934</v>
      </c>
    </row>
    <row r="7226" spans="1:3">
      <c r="A7226" s="184">
        <v>971500041</v>
      </c>
      <c r="B7226" s="116" t="str">
        <f t="shared" si="112"/>
        <v>97-971500041</v>
      </c>
      <c r="C7226" s="185" t="s">
        <v>12934</v>
      </c>
    </row>
    <row r="7227" spans="1:3">
      <c r="A7227" s="184">
        <v>961200122</v>
      </c>
      <c r="B7227" s="116" t="str">
        <f t="shared" si="112"/>
        <v>96-961200122</v>
      </c>
      <c r="C7227" s="185" t="s">
        <v>7125</v>
      </c>
    </row>
    <row r="7228" spans="1:3">
      <c r="A7228" s="184">
        <v>961200158</v>
      </c>
      <c r="B7228" s="116" t="str">
        <f t="shared" si="112"/>
        <v>96-961200158</v>
      </c>
      <c r="C7228" s="185" t="s">
        <v>12413</v>
      </c>
    </row>
    <row r="7229" spans="1:3">
      <c r="A7229" s="184">
        <v>961200176</v>
      </c>
      <c r="B7229" s="116" t="str">
        <f t="shared" si="112"/>
        <v>96-961200176</v>
      </c>
      <c r="C7229" s="185" t="s">
        <v>12421</v>
      </c>
    </row>
    <row r="7230" spans="1:3">
      <c r="A7230" s="184">
        <v>961200185</v>
      </c>
      <c r="B7230" s="116" t="str">
        <f t="shared" si="112"/>
        <v>96-961200185</v>
      </c>
      <c r="C7230" s="185" t="s">
        <v>12423</v>
      </c>
    </row>
    <row r="7231" spans="1:3">
      <c r="A7231" s="184">
        <v>961200186</v>
      </c>
      <c r="B7231" s="116" t="str">
        <f t="shared" si="112"/>
        <v>96-961200186</v>
      </c>
      <c r="C7231" s="185" t="s">
        <v>12413</v>
      </c>
    </row>
    <row r="7232" spans="1:3">
      <c r="A7232" s="184">
        <v>961200187</v>
      </c>
      <c r="B7232" s="116" t="str">
        <f t="shared" si="112"/>
        <v>96-961200187</v>
      </c>
      <c r="C7232" s="185" t="s">
        <v>12421</v>
      </c>
    </row>
    <row r="7233" spans="1:3">
      <c r="A7233" s="184">
        <v>961500697</v>
      </c>
      <c r="B7233" s="116" t="str">
        <f t="shared" si="112"/>
        <v>96-961500697</v>
      </c>
      <c r="C7233" s="185" t="s">
        <v>9770</v>
      </c>
    </row>
    <row r="7234" spans="1:3">
      <c r="A7234" s="184">
        <v>961500714</v>
      </c>
      <c r="B7234" s="116" t="str">
        <f t="shared" si="112"/>
        <v>96-961500714</v>
      </c>
      <c r="C7234" s="185" t="s">
        <v>9770</v>
      </c>
    </row>
    <row r="7235" spans="1:3">
      <c r="A7235" s="184">
        <v>961500799</v>
      </c>
      <c r="B7235" s="116" t="str">
        <f t="shared" ref="B7235:B7298" si="113">MID(A7235,1,2)&amp;"-"&amp;A7235</f>
        <v>96-961500799</v>
      </c>
      <c r="C7235" s="185" t="s">
        <v>12306</v>
      </c>
    </row>
    <row r="7236" spans="1:3">
      <c r="A7236" s="184">
        <v>961500942</v>
      </c>
      <c r="B7236" s="116" t="str">
        <f t="shared" si="113"/>
        <v>96-961500942</v>
      </c>
      <c r="C7236" s="185" t="s">
        <v>12673</v>
      </c>
    </row>
    <row r="7237" spans="1:3">
      <c r="A7237" s="184">
        <v>961501046</v>
      </c>
      <c r="B7237" s="116" t="str">
        <f t="shared" si="113"/>
        <v>96-961501046</v>
      </c>
      <c r="C7237" s="185" t="s">
        <v>12929</v>
      </c>
    </row>
    <row r="7238" spans="1:3">
      <c r="A7238" s="184">
        <v>971500019</v>
      </c>
      <c r="B7238" s="116" t="str">
        <f t="shared" si="113"/>
        <v>97-971500019</v>
      </c>
      <c r="C7238" s="185" t="s">
        <v>12929</v>
      </c>
    </row>
    <row r="7239" spans="1:3">
      <c r="A7239" s="184">
        <v>971500024</v>
      </c>
      <c r="B7239" s="116" t="str">
        <f t="shared" si="113"/>
        <v>97-971500024</v>
      </c>
      <c r="C7239" s="185" t="s">
        <v>12929</v>
      </c>
    </row>
    <row r="7240" spans="1:3">
      <c r="A7240" s="184">
        <v>971500029</v>
      </c>
      <c r="B7240" s="116" t="str">
        <f t="shared" si="113"/>
        <v>97-971500029</v>
      </c>
      <c r="C7240" s="185" t="s">
        <v>12929</v>
      </c>
    </row>
    <row r="7241" spans="1:3">
      <c r="A7241" s="184">
        <v>961500701</v>
      </c>
      <c r="B7241" s="116" t="str">
        <f t="shared" si="113"/>
        <v>96-961500701</v>
      </c>
      <c r="C7241" s="185" t="s">
        <v>9768</v>
      </c>
    </row>
    <row r="7242" spans="1:3">
      <c r="A7242" s="184">
        <v>961500736</v>
      </c>
      <c r="B7242" s="116" t="str">
        <f t="shared" si="113"/>
        <v>96-961500736</v>
      </c>
      <c r="C7242" s="185" t="s">
        <v>9789</v>
      </c>
    </row>
    <row r="7243" spans="1:3">
      <c r="A7243" s="184">
        <v>961500744</v>
      </c>
      <c r="B7243" s="116" t="str">
        <f t="shared" si="113"/>
        <v>96-961500744</v>
      </c>
      <c r="C7243" s="185" t="s">
        <v>9789</v>
      </c>
    </row>
    <row r="7244" spans="1:3">
      <c r="A7244" s="184">
        <v>961500746</v>
      </c>
      <c r="B7244" s="116" t="str">
        <f t="shared" si="113"/>
        <v>96-961500746</v>
      </c>
      <c r="C7244" s="185" t="s">
        <v>9784</v>
      </c>
    </row>
    <row r="7245" spans="1:3">
      <c r="A7245" s="184">
        <v>961500748</v>
      </c>
      <c r="B7245" s="116" t="str">
        <f t="shared" si="113"/>
        <v>96-961500748</v>
      </c>
      <c r="C7245" s="185" t="s">
        <v>9789</v>
      </c>
    </row>
    <row r="7246" spans="1:3">
      <c r="A7246" s="184">
        <v>961500756</v>
      </c>
      <c r="B7246" s="116" t="str">
        <f t="shared" si="113"/>
        <v>96-961500756</v>
      </c>
      <c r="C7246" s="185" t="s">
        <v>9789</v>
      </c>
    </row>
    <row r="7247" spans="1:3">
      <c r="A7247" s="184">
        <v>961500758</v>
      </c>
      <c r="B7247" s="116" t="str">
        <f t="shared" si="113"/>
        <v>96-961500758</v>
      </c>
      <c r="C7247" s="185" t="s">
        <v>9797</v>
      </c>
    </row>
    <row r="7248" spans="1:3">
      <c r="A7248" s="184">
        <v>961500759</v>
      </c>
      <c r="B7248" s="116" t="str">
        <f t="shared" si="113"/>
        <v>96-961500759</v>
      </c>
      <c r="C7248" s="185" t="s">
        <v>9797</v>
      </c>
    </row>
    <row r="7249" spans="1:3">
      <c r="A7249" s="184">
        <v>961500823</v>
      </c>
      <c r="B7249" s="116" t="str">
        <f t="shared" si="113"/>
        <v>96-961500823</v>
      </c>
      <c r="C7249" s="185" t="s">
        <v>12221</v>
      </c>
    </row>
    <row r="7250" spans="1:3">
      <c r="A7250" s="184">
        <v>961500848</v>
      </c>
      <c r="B7250" s="116" t="str">
        <f t="shared" si="113"/>
        <v>96-961500848</v>
      </c>
      <c r="C7250" s="185" t="s">
        <v>12414</v>
      </c>
    </row>
    <row r="7251" spans="1:3">
      <c r="A7251" s="184">
        <v>961500888</v>
      </c>
      <c r="B7251" s="116" t="str">
        <f t="shared" si="113"/>
        <v>96-961500888</v>
      </c>
      <c r="C7251" s="185" t="s">
        <v>12414</v>
      </c>
    </row>
    <row r="7252" spans="1:3">
      <c r="A7252" s="184">
        <v>961500753</v>
      </c>
      <c r="B7252" s="116" t="str">
        <f t="shared" si="113"/>
        <v>96-961500753</v>
      </c>
      <c r="C7252" s="185" t="s">
        <v>9769</v>
      </c>
    </row>
    <row r="7253" spans="1:3">
      <c r="A7253" s="184">
        <v>961500814</v>
      </c>
      <c r="B7253" s="116" t="str">
        <f t="shared" si="113"/>
        <v>96-961500814</v>
      </c>
      <c r="C7253" s="185" t="s">
        <v>12260</v>
      </c>
    </row>
    <row r="7254" spans="1:3">
      <c r="A7254" s="184">
        <v>961500861</v>
      </c>
      <c r="B7254" s="116" t="str">
        <f t="shared" si="113"/>
        <v>96-961500861</v>
      </c>
      <c r="C7254" s="185" t="s">
        <v>12260</v>
      </c>
    </row>
    <row r="7255" spans="1:3">
      <c r="A7255" s="184">
        <v>961500876</v>
      </c>
      <c r="B7255" s="116" t="str">
        <f t="shared" si="113"/>
        <v>96-961500876</v>
      </c>
      <c r="C7255" s="185" t="s">
        <v>12429</v>
      </c>
    </row>
    <row r="7256" spans="1:3">
      <c r="A7256" s="184">
        <v>961500904</v>
      </c>
      <c r="B7256" s="116" t="str">
        <f t="shared" si="113"/>
        <v>96-961500904</v>
      </c>
      <c r="C7256" s="185" t="s">
        <v>12429</v>
      </c>
    </row>
    <row r="7257" spans="1:3">
      <c r="A7257" s="184">
        <v>961501026</v>
      </c>
      <c r="B7257" s="116" t="str">
        <f t="shared" si="113"/>
        <v>96-961501026</v>
      </c>
      <c r="C7257" s="185" t="s">
        <v>12934</v>
      </c>
    </row>
    <row r="7258" spans="1:3">
      <c r="A7258" s="184">
        <v>961501045</v>
      </c>
      <c r="B7258" s="116" t="str">
        <f t="shared" si="113"/>
        <v>96-961501045</v>
      </c>
      <c r="C7258" s="185" t="s">
        <v>12934</v>
      </c>
    </row>
    <row r="7259" spans="1:3">
      <c r="A7259" s="184">
        <v>961501052</v>
      </c>
      <c r="B7259" s="116" t="str">
        <f t="shared" si="113"/>
        <v>96-961501052</v>
      </c>
      <c r="C7259" s="185" t="s">
        <v>12934</v>
      </c>
    </row>
    <row r="7260" spans="1:3">
      <c r="A7260" s="184">
        <v>961500687</v>
      </c>
      <c r="B7260" s="116" t="str">
        <f t="shared" si="113"/>
        <v>96-961500687</v>
      </c>
      <c r="C7260" s="185" t="s">
        <v>9770</v>
      </c>
    </row>
    <row r="7261" spans="1:3">
      <c r="A7261" s="184">
        <v>961500730</v>
      </c>
      <c r="B7261" s="116" t="str">
        <f t="shared" si="113"/>
        <v>96-961500730</v>
      </c>
      <c r="C7261" s="185" t="s">
        <v>9770</v>
      </c>
    </row>
    <row r="7262" spans="1:3">
      <c r="A7262" s="184">
        <v>961500891</v>
      </c>
      <c r="B7262" s="116" t="str">
        <f t="shared" si="113"/>
        <v>96-961500891</v>
      </c>
      <c r="C7262" s="185" t="s">
        <v>12306</v>
      </c>
    </row>
    <row r="7263" spans="1:3">
      <c r="A7263" s="184">
        <v>961500892</v>
      </c>
      <c r="B7263" s="116" t="str">
        <f t="shared" si="113"/>
        <v>96-961500892</v>
      </c>
      <c r="C7263" s="185" t="s">
        <v>12306</v>
      </c>
    </row>
    <row r="7264" spans="1:3">
      <c r="A7264" s="184">
        <v>961500906</v>
      </c>
      <c r="B7264" s="116" t="str">
        <f t="shared" si="113"/>
        <v>96-961500906</v>
      </c>
      <c r="C7264" s="185" t="s">
        <v>12306</v>
      </c>
    </row>
    <row r="7265" spans="1:3">
      <c r="A7265" s="184">
        <v>961500907</v>
      </c>
      <c r="B7265" s="116" t="str">
        <f t="shared" si="113"/>
        <v>96-961500907</v>
      </c>
      <c r="C7265" s="185" t="s">
        <v>12306</v>
      </c>
    </row>
    <row r="7266" spans="1:3">
      <c r="A7266" s="184">
        <v>961500915</v>
      </c>
      <c r="B7266" s="116" t="str">
        <f t="shared" si="113"/>
        <v>96-961500915</v>
      </c>
      <c r="C7266" s="185" t="s">
        <v>12306</v>
      </c>
    </row>
    <row r="7267" spans="1:3">
      <c r="A7267" s="184">
        <v>961501020</v>
      </c>
      <c r="B7267" s="116" t="str">
        <f t="shared" si="113"/>
        <v>96-961501020</v>
      </c>
      <c r="C7267" s="185" t="s">
        <v>12673</v>
      </c>
    </row>
    <row r="7268" spans="1:3">
      <c r="A7268" s="184">
        <v>971500045</v>
      </c>
      <c r="B7268" s="116" t="str">
        <f t="shared" si="113"/>
        <v>97-971500045</v>
      </c>
      <c r="C7268" s="185" t="s">
        <v>12929</v>
      </c>
    </row>
    <row r="7269" spans="1:3">
      <c r="A7269" s="184">
        <v>961500927</v>
      </c>
      <c r="B7269" s="116" t="str">
        <f t="shared" si="113"/>
        <v>96-961500927</v>
      </c>
      <c r="C7269" s="185" t="s">
        <v>12414</v>
      </c>
    </row>
    <row r="7270" spans="1:3">
      <c r="A7270" s="184">
        <v>961500982</v>
      </c>
      <c r="B7270" s="116" t="str">
        <f t="shared" si="113"/>
        <v>96-961500982</v>
      </c>
      <c r="C7270" s="185" t="s">
        <v>12444</v>
      </c>
    </row>
    <row r="7271" spans="1:3">
      <c r="A7271" s="184">
        <v>961501049</v>
      </c>
      <c r="B7271" s="116" t="str">
        <f t="shared" si="113"/>
        <v>96-961501049</v>
      </c>
      <c r="C7271" s="185" t="s">
        <v>12669</v>
      </c>
    </row>
    <row r="7272" spans="1:3">
      <c r="A7272" s="184">
        <v>971500011</v>
      </c>
      <c r="B7272" s="116" t="str">
        <f t="shared" si="113"/>
        <v>97-971500011</v>
      </c>
      <c r="C7272" s="185" t="s">
        <v>12669</v>
      </c>
    </row>
    <row r="7273" spans="1:3">
      <c r="A7273" s="184">
        <v>961500726</v>
      </c>
      <c r="B7273" s="116" t="str">
        <f t="shared" si="113"/>
        <v>96-961500726</v>
      </c>
      <c r="C7273" s="185" t="s">
        <v>9796</v>
      </c>
    </row>
    <row r="7274" spans="1:3">
      <c r="A7274" s="184">
        <v>961500770</v>
      </c>
      <c r="B7274" s="116" t="str">
        <f t="shared" si="113"/>
        <v>96-961500770</v>
      </c>
      <c r="C7274" s="185" t="s">
        <v>9790</v>
      </c>
    </row>
    <row r="7275" spans="1:3">
      <c r="A7275" s="184">
        <v>961500787</v>
      </c>
      <c r="B7275" s="116" t="str">
        <f t="shared" si="113"/>
        <v>96-961500787</v>
      </c>
      <c r="C7275" s="185" t="s">
        <v>12218</v>
      </c>
    </row>
    <row r="7276" spans="1:3">
      <c r="A7276" s="184">
        <v>961500797</v>
      </c>
      <c r="B7276" s="116" t="str">
        <f t="shared" si="113"/>
        <v>96-961500797</v>
      </c>
      <c r="C7276" s="185" t="s">
        <v>12221</v>
      </c>
    </row>
    <row r="7277" spans="1:3">
      <c r="A7277" s="184">
        <v>961500806</v>
      </c>
      <c r="B7277" s="116" t="str">
        <f t="shared" si="113"/>
        <v>96-961500806</v>
      </c>
      <c r="C7277" s="185" t="s">
        <v>12221</v>
      </c>
    </row>
    <row r="7278" spans="1:3">
      <c r="A7278" s="184">
        <v>961500811</v>
      </c>
      <c r="B7278" s="116" t="str">
        <f t="shared" si="113"/>
        <v>96-961500811</v>
      </c>
      <c r="C7278" s="185" t="s">
        <v>12221</v>
      </c>
    </row>
    <row r="7279" spans="1:3">
      <c r="A7279" s="184">
        <v>961500909</v>
      </c>
      <c r="B7279" s="116" t="str">
        <f t="shared" si="113"/>
        <v>96-961500909</v>
      </c>
      <c r="C7279" s="185" t="s">
        <v>12414</v>
      </c>
    </row>
    <row r="7280" spans="1:3">
      <c r="A7280" s="184">
        <v>961500762</v>
      </c>
      <c r="B7280" s="116" t="str">
        <f t="shared" si="113"/>
        <v>96-961500762</v>
      </c>
      <c r="C7280" s="185" t="s">
        <v>9774</v>
      </c>
    </row>
    <row r="7281" spans="1:3">
      <c r="A7281" s="184">
        <v>961500767</v>
      </c>
      <c r="B7281" s="116" t="str">
        <f t="shared" si="113"/>
        <v>96-961500767</v>
      </c>
      <c r="C7281" s="185" t="s">
        <v>12217</v>
      </c>
    </row>
    <row r="7282" spans="1:3">
      <c r="A7282" s="184">
        <v>961500911</v>
      </c>
      <c r="B7282" s="116" t="str">
        <f t="shared" si="113"/>
        <v>96-961500911</v>
      </c>
      <c r="C7282" s="185" t="s">
        <v>12674</v>
      </c>
    </row>
    <row r="7283" spans="1:3">
      <c r="A7283" s="184">
        <v>961500920</v>
      </c>
      <c r="B7283" s="116" t="str">
        <f t="shared" si="113"/>
        <v>96-961500920</v>
      </c>
      <c r="C7283" s="185" t="s">
        <v>12674</v>
      </c>
    </row>
    <row r="7284" spans="1:3">
      <c r="A7284" s="184">
        <v>961500928</v>
      </c>
      <c r="B7284" s="116" t="str">
        <f t="shared" si="113"/>
        <v>96-961500928</v>
      </c>
      <c r="C7284" s="185" t="s">
        <v>12678</v>
      </c>
    </row>
    <row r="7285" spans="1:3">
      <c r="A7285" s="184">
        <v>961500963</v>
      </c>
      <c r="B7285" s="116" t="str">
        <f t="shared" si="113"/>
        <v>96-961500963</v>
      </c>
      <c r="C7285" s="185" t="s">
        <v>9774</v>
      </c>
    </row>
    <row r="7286" spans="1:3">
      <c r="A7286" s="184">
        <v>961500996</v>
      </c>
      <c r="B7286" s="116" t="str">
        <f t="shared" si="113"/>
        <v>96-961500996</v>
      </c>
      <c r="C7286" s="185" t="s">
        <v>12937</v>
      </c>
    </row>
    <row r="7287" spans="1:3">
      <c r="A7287" s="184">
        <v>961500991</v>
      </c>
      <c r="B7287" s="116" t="str">
        <f t="shared" si="113"/>
        <v>96-961500991</v>
      </c>
      <c r="C7287" s="185" t="s">
        <v>12938</v>
      </c>
    </row>
    <row r="7288" spans="1:3">
      <c r="A7288" s="184">
        <v>961500961</v>
      </c>
      <c r="B7288" s="116" t="str">
        <f t="shared" si="113"/>
        <v>96-961500961</v>
      </c>
      <c r="C7288" s="185" t="s">
        <v>12669</v>
      </c>
    </row>
    <row r="7289" spans="1:3">
      <c r="A7289" s="184">
        <v>961500980</v>
      </c>
      <c r="B7289" s="116" t="str">
        <f t="shared" si="113"/>
        <v>96-961500980</v>
      </c>
      <c r="C7289" s="185" t="s">
        <v>12940</v>
      </c>
    </row>
    <row r="7290" spans="1:3">
      <c r="A7290" s="184">
        <v>961501021</v>
      </c>
      <c r="B7290" s="116" t="str">
        <f t="shared" si="113"/>
        <v>96-961501021</v>
      </c>
      <c r="C7290" s="185" t="s">
        <v>12669</v>
      </c>
    </row>
    <row r="7291" spans="1:3">
      <c r="A7291" s="184">
        <v>971500005</v>
      </c>
      <c r="B7291" s="116" t="str">
        <f t="shared" si="113"/>
        <v>97-971500005</v>
      </c>
      <c r="C7291" s="185" t="s">
        <v>12669</v>
      </c>
    </row>
    <row r="7292" spans="1:3">
      <c r="A7292" s="184">
        <v>961501013</v>
      </c>
      <c r="B7292" s="116" t="str">
        <f t="shared" si="113"/>
        <v>96-961501013</v>
      </c>
      <c r="C7292" s="185" t="s">
        <v>12220</v>
      </c>
    </row>
    <row r="7293" spans="1:3">
      <c r="A7293" s="184">
        <v>971500038</v>
      </c>
      <c r="B7293" s="116" t="str">
        <f t="shared" si="113"/>
        <v>97-971500038</v>
      </c>
      <c r="C7293" s="185" t="s">
        <v>9785</v>
      </c>
    </row>
    <row r="7294" spans="1:3">
      <c r="A7294" s="184">
        <v>961500901</v>
      </c>
      <c r="B7294" s="116" t="str">
        <f t="shared" si="113"/>
        <v>96-961500901</v>
      </c>
      <c r="C7294" s="185" t="s">
        <v>12676</v>
      </c>
    </row>
    <row r="7295" spans="1:3">
      <c r="A7295" s="184">
        <v>961200144</v>
      </c>
      <c r="B7295" s="116" t="str">
        <f t="shared" si="113"/>
        <v>96-961200144</v>
      </c>
      <c r="C7295" s="185" t="s">
        <v>9778</v>
      </c>
    </row>
    <row r="7296" spans="1:3">
      <c r="A7296" s="184">
        <v>961500773</v>
      </c>
      <c r="B7296" s="116" t="str">
        <f t="shared" si="113"/>
        <v>96-961500773</v>
      </c>
      <c r="C7296" s="185" t="s">
        <v>12217</v>
      </c>
    </row>
    <row r="7297" spans="1:3">
      <c r="A7297" s="184">
        <v>961500779</v>
      </c>
      <c r="B7297" s="116" t="str">
        <f t="shared" si="113"/>
        <v>96-961500779</v>
      </c>
      <c r="C7297" s="185" t="s">
        <v>12217</v>
      </c>
    </row>
    <row r="7298" spans="1:3">
      <c r="A7298" s="184">
        <v>971500037</v>
      </c>
      <c r="B7298" s="116" t="str">
        <f t="shared" si="113"/>
        <v>97-971500037</v>
      </c>
      <c r="C7298" s="185" t="s">
        <v>12220</v>
      </c>
    </row>
    <row r="7299" spans="1:3">
      <c r="A7299" s="184">
        <v>961200145</v>
      </c>
      <c r="B7299" s="116" t="str">
        <f t="shared" ref="B7299:B7362" si="114">MID(A7299,1,2)&amp;"-"&amp;A7299</f>
        <v>96-961200145</v>
      </c>
      <c r="C7299" s="185" t="s">
        <v>9778</v>
      </c>
    </row>
    <row r="7300" spans="1:3">
      <c r="A7300" s="184">
        <v>961500893</v>
      </c>
      <c r="B7300" s="116" t="str">
        <f t="shared" si="114"/>
        <v>96-961500893</v>
      </c>
      <c r="C7300" s="185" t="s">
        <v>12671</v>
      </c>
    </row>
    <row r="7301" spans="1:3">
      <c r="A7301" s="184">
        <v>971500048</v>
      </c>
      <c r="B7301" s="116" t="str">
        <f t="shared" si="114"/>
        <v>97-971500048</v>
      </c>
      <c r="C7301" s="185" t="s">
        <v>12427</v>
      </c>
    </row>
    <row r="7302" spans="1:3">
      <c r="A7302" s="184">
        <v>961500837</v>
      </c>
      <c r="B7302" s="116" t="str">
        <f t="shared" si="114"/>
        <v>96-961500837</v>
      </c>
      <c r="C7302" s="185" t="s">
        <v>12428</v>
      </c>
    </row>
    <row r="7303" spans="1:3">
      <c r="A7303" s="184">
        <v>961500953</v>
      </c>
      <c r="B7303" s="116" t="str">
        <f t="shared" si="114"/>
        <v>96-961500953</v>
      </c>
      <c r="C7303" s="185" t="s">
        <v>12677</v>
      </c>
    </row>
    <row r="7304" spans="1:3">
      <c r="A7304" s="184">
        <v>961500964</v>
      </c>
      <c r="B7304" s="116" t="str">
        <f t="shared" si="114"/>
        <v>96-961500964</v>
      </c>
      <c r="C7304" s="185" t="s">
        <v>12677</v>
      </c>
    </row>
    <row r="7305" spans="1:3">
      <c r="A7305" s="184">
        <v>961501040</v>
      </c>
      <c r="B7305" s="116" t="str">
        <f t="shared" si="114"/>
        <v>96-961501040</v>
      </c>
      <c r="C7305" s="185" t="s">
        <v>12939</v>
      </c>
    </row>
    <row r="7306" spans="1:3">
      <c r="A7306" s="184">
        <v>961501048</v>
      </c>
      <c r="B7306" s="116" t="str">
        <f t="shared" si="114"/>
        <v>96-961501048</v>
      </c>
      <c r="C7306" s="185" t="s">
        <v>12939</v>
      </c>
    </row>
    <row r="7307" spans="1:3">
      <c r="A7307" s="184">
        <v>971500016</v>
      </c>
      <c r="B7307" s="116" t="str">
        <f t="shared" si="114"/>
        <v>97-971500016</v>
      </c>
      <c r="C7307" s="185" t="s">
        <v>13068</v>
      </c>
    </row>
    <row r="7308" spans="1:3">
      <c r="A7308" s="184">
        <v>961501018</v>
      </c>
      <c r="B7308" s="116" t="str">
        <f t="shared" si="114"/>
        <v>96-961501018</v>
      </c>
      <c r="C7308" s="185" t="s">
        <v>12675</v>
      </c>
    </row>
    <row r="7309" spans="1:3">
      <c r="A7309" s="184">
        <v>961501033</v>
      </c>
      <c r="B7309" s="116" t="str">
        <f t="shared" si="114"/>
        <v>96-961501033</v>
      </c>
      <c r="C7309" s="185" t="s">
        <v>12675</v>
      </c>
    </row>
    <row r="7310" spans="1:3">
      <c r="A7310" s="184">
        <v>961501041</v>
      </c>
      <c r="B7310" s="116" t="str">
        <f t="shared" si="114"/>
        <v>96-961501041</v>
      </c>
      <c r="C7310" s="185" t="s">
        <v>12675</v>
      </c>
    </row>
    <row r="7311" spans="1:3">
      <c r="A7311" s="184">
        <v>961200130</v>
      </c>
      <c r="B7311" s="116" t="str">
        <f t="shared" si="114"/>
        <v>96-961200130</v>
      </c>
      <c r="C7311" s="185" t="s">
        <v>9778</v>
      </c>
    </row>
    <row r="7312" spans="1:3">
      <c r="A7312" s="184">
        <v>961200139</v>
      </c>
      <c r="B7312" s="116" t="str">
        <f t="shared" si="114"/>
        <v>96-961200139</v>
      </c>
      <c r="C7312" s="185" t="s">
        <v>9778</v>
      </c>
    </row>
    <row r="7313" spans="1:3">
      <c r="A7313" s="184">
        <v>961200148</v>
      </c>
      <c r="B7313" s="116" t="str">
        <f t="shared" si="114"/>
        <v>96-961200148</v>
      </c>
      <c r="C7313" s="185" t="s">
        <v>9778</v>
      </c>
    </row>
    <row r="7314" spans="1:3">
      <c r="A7314" s="184">
        <v>961500943</v>
      </c>
      <c r="B7314" s="116" t="str">
        <f t="shared" si="114"/>
        <v>96-961500943</v>
      </c>
      <c r="C7314" s="185" t="s">
        <v>12672</v>
      </c>
    </row>
    <row r="7315" spans="1:3">
      <c r="A7315" s="184">
        <v>961501010</v>
      </c>
      <c r="B7315" s="116" t="str">
        <f t="shared" si="114"/>
        <v>96-961501010</v>
      </c>
      <c r="C7315" s="185" t="s">
        <v>12672</v>
      </c>
    </row>
    <row r="7316" spans="1:3">
      <c r="A7316" s="184">
        <v>961500889</v>
      </c>
      <c r="B7316" s="116" t="str">
        <f t="shared" si="114"/>
        <v>96-961500889</v>
      </c>
      <c r="C7316" s="185" t="s">
        <v>12425</v>
      </c>
    </row>
    <row r="7317" spans="1:3">
      <c r="A7317" s="184">
        <v>961500897</v>
      </c>
      <c r="B7317" s="116" t="str">
        <f t="shared" si="114"/>
        <v>96-961500897</v>
      </c>
      <c r="C7317" s="185" t="s">
        <v>12425</v>
      </c>
    </row>
    <row r="7318" spans="1:3">
      <c r="A7318" s="184">
        <v>971500022</v>
      </c>
      <c r="B7318" s="116" t="str">
        <f t="shared" si="114"/>
        <v>97-971500022</v>
      </c>
      <c r="C7318" s="185" t="s">
        <v>12939</v>
      </c>
    </row>
    <row r="7319" spans="1:3">
      <c r="A7319" s="184">
        <v>971500009</v>
      </c>
      <c r="B7319" s="116" t="str">
        <f t="shared" si="114"/>
        <v>97-971500009</v>
      </c>
      <c r="C7319" s="185" t="s">
        <v>13069</v>
      </c>
    </row>
    <row r="7320" spans="1:3">
      <c r="A7320" s="184">
        <v>961500685</v>
      </c>
      <c r="B7320" s="116" t="str">
        <f t="shared" si="114"/>
        <v>96-961500685</v>
      </c>
      <c r="C7320" s="185" t="s">
        <v>9770</v>
      </c>
    </row>
    <row r="7321" spans="1:3">
      <c r="A7321" s="184">
        <v>961500709</v>
      </c>
      <c r="B7321" s="116" t="str">
        <f t="shared" si="114"/>
        <v>96-961500709</v>
      </c>
      <c r="C7321" s="185" t="s">
        <v>9770</v>
      </c>
    </row>
    <row r="7322" spans="1:3">
      <c r="A7322" s="184">
        <v>961500713</v>
      </c>
      <c r="B7322" s="116" t="str">
        <f t="shared" si="114"/>
        <v>96-961500713</v>
      </c>
      <c r="C7322" s="185" t="s">
        <v>9770</v>
      </c>
    </row>
    <row r="7323" spans="1:3">
      <c r="A7323" s="184">
        <v>961500815</v>
      </c>
      <c r="B7323" s="116" t="str">
        <f t="shared" si="114"/>
        <v>96-961500815</v>
      </c>
      <c r="C7323" s="185" t="s">
        <v>12306</v>
      </c>
    </row>
    <row r="7324" spans="1:3">
      <c r="A7324" s="184">
        <v>961500847</v>
      </c>
      <c r="B7324" s="116" t="str">
        <f t="shared" si="114"/>
        <v>96-961500847</v>
      </c>
      <c r="C7324" s="185" t="s">
        <v>12306</v>
      </c>
    </row>
    <row r="7325" spans="1:3">
      <c r="A7325" s="184">
        <v>961500862</v>
      </c>
      <c r="B7325" s="116" t="str">
        <f t="shared" si="114"/>
        <v>96-961500862</v>
      </c>
      <c r="C7325" s="185" t="s">
        <v>12306</v>
      </c>
    </row>
    <row r="7326" spans="1:3">
      <c r="A7326" s="184">
        <v>961500865</v>
      </c>
      <c r="B7326" s="116" t="str">
        <f t="shared" si="114"/>
        <v>96-961500865</v>
      </c>
      <c r="C7326" s="185" t="s">
        <v>12306</v>
      </c>
    </row>
    <row r="7327" spans="1:3">
      <c r="A7327" s="184">
        <v>961500875</v>
      </c>
      <c r="B7327" s="116" t="str">
        <f t="shared" si="114"/>
        <v>96-961500875</v>
      </c>
      <c r="C7327" s="185" t="s">
        <v>12306</v>
      </c>
    </row>
    <row r="7328" spans="1:3">
      <c r="A7328" s="184">
        <v>961500878</v>
      </c>
      <c r="B7328" s="116" t="str">
        <f t="shared" si="114"/>
        <v>96-961500878</v>
      </c>
      <c r="C7328" s="185" t="s">
        <v>12306</v>
      </c>
    </row>
    <row r="7329" spans="1:3">
      <c r="A7329" s="184">
        <v>961500879</v>
      </c>
      <c r="B7329" s="116" t="str">
        <f t="shared" si="114"/>
        <v>96-961500879</v>
      </c>
      <c r="C7329" s="185" t="s">
        <v>12306</v>
      </c>
    </row>
    <row r="7330" spans="1:3">
      <c r="A7330" s="184">
        <v>961500916</v>
      </c>
      <c r="B7330" s="116" t="str">
        <f t="shared" si="114"/>
        <v>96-961500916</v>
      </c>
      <c r="C7330" s="185" t="s">
        <v>12306</v>
      </c>
    </row>
    <row r="7331" spans="1:3">
      <c r="A7331" s="184">
        <v>961501011</v>
      </c>
      <c r="B7331" s="116" t="str">
        <f t="shared" si="114"/>
        <v>96-961501011</v>
      </c>
      <c r="C7331" s="185" t="s">
        <v>12673</v>
      </c>
    </row>
    <row r="7332" spans="1:3">
      <c r="A7332" s="184">
        <v>961501019</v>
      </c>
      <c r="B7332" s="116" t="str">
        <f t="shared" si="114"/>
        <v>96-961501019</v>
      </c>
      <c r="C7332" s="185" t="s">
        <v>12673</v>
      </c>
    </row>
    <row r="7333" spans="1:3">
      <c r="A7333" s="184">
        <v>961501025</v>
      </c>
      <c r="B7333" s="116" t="str">
        <f t="shared" si="114"/>
        <v>96-961501025</v>
      </c>
      <c r="C7333" s="185" t="s">
        <v>12673</v>
      </c>
    </row>
    <row r="7334" spans="1:3">
      <c r="A7334" s="184">
        <v>971500006</v>
      </c>
      <c r="B7334" s="116" t="str">
        <f t="shared" si="114"/>
        <v>97-971500006</v>
      </c>
      <c r="C7334" s="185" t="s">
        <v>12929</v>
      </c>
    </row>
    <row r="7335" spans="1:3">
      <c r="A7335" s="184">
        <v>971500046</v>
      </c>
      <c r="B7335" s="116" t="str">
        <f t="shared" si="114"/>
        <v>97-971500046</v>
      </c>
      <c r="C7335" s="185" t="s">
        <v>12929</v>
      </c>
    </row>
    <row r="7336" spans="1:3">
      <c r="A7336" s="184">
        <v>961500733</v>
      </c>
      <c r="B7336" s="116" t="str">
        <f t="shared" si="114"/>
        <v>96-961500733</v>
      </c>
      <c r="C7336" s="185" t="s">
        <v>9769</v>
      </c>
    </row>
    <row r="7337" spans="1:3">
      <c r="A7337" s="184">
        <v>961500781</v>
      </c>
      <c r="B7337" s="116" t="str">
        <f t="shared" si="114"/>
        <v>96-961500781</v>
      </c>
      <c r="C7337" s="185" t="s">
        <v>9763</v>
      </c>
    </row>
    <row r="7338" spans="1:3">
      <c r="A7338" s="184">
        <v>961500843</v>
      </c>
      <c r="B7338" s="116" t="str">
        <f t="shared" si="114"/>
        <v>96-961500843</v>
      </c>
      <c r="C7338" s="185" t="s">
        <v>12260</v>
      </c>
    </row>
    <row r="7339" spans="1:3">
      <c r="A7339" s="184">
        <v>961500900</v>
      </c>
      <c r="B7339" s="116" t="str">
        <f t="shared" si="114"/>
        <v>96-961500900</v>
      </c>
      <c r="C7339" s="185" t="s">
        <v>12429</v>
      </c>
    </row>
    <row r="7340" spans="1:3">
      <c r="A7340" s="184">
        <v>961500946</v>
      </c>
      <c r="B7340" s="116" t="str">
        <f t="shared" si="114"/>
        <v>96-961500946</v>
      </c>
      <c r="C7340" s="185" t="s">
        <v>12668</v>
      </c>
    </row>
    <row r="7341" spans="1:3">
      <c r="A7341" s="184">
        <v>961500947</v>
      </c>
      <c r="B7341" s="116" t="str">
        <f t="shared" si="114"/>
        <v>96-961500947</v>
      </c>
      <c r="C7341" s="185" t="s">
        <v>12668</v>
      </c>
    </row>
    <row r="7342" spans="1:3">
      <c r="A7342" s="184">
        <v>961500957</v>
      </c>
      <c r="B7342" s="116" t="str">
        <f t="shared" si="114"/>
        <v>96-961500957</v>
      </c>
      <c r="C7342" s="185" t="s">
        <v>12668</v>
      </c>
    </row>
    <row r="7343" spans="1:3">
      <c r="A7343" s="184">
        <v>961500700</v>
      </c>
      <c r="B7343" s="116" t="str">
        <f t="shared" si="114"/>
        <v>96-961500700</v>
      </c>
      <c r="C7343" s="185" t="s">
        <v>9768</v>
      </c>
    </row>
    <row r="7344" spans="1:3">
      <c r="A7344" s="184">
        <v>961500727</v>
      </c>
      <c r="B7344" s="116" t="str">
        <f t="shared" si="114"/>
        <v>96-961500727</v>
      </c>
      <c r="C7344" s="185" t="s">
        <v>9796</v>
      </c>
    </row>
    <row r="7345" spans="1:3">
      <c r="A7345" s="184">
        <v>961500734</v>
      </c>
      <c r="B7345" s="116" t="str">
        <f t="shared" si="114"/>
        <v>96-961500734</v>
      </c>
      <c r="C7345" s="185" t="s">
        <v>9796</v>
      </c>
    </row>
    <row r="7346" spans="1:3">
      <c r="A7346" s="184">
        <v>961500735</v>
      </c>
      <c r="B7346" s="116" t="str">
        <f t="shared" si="114"/>
        <v>96-961500735</v>
      </c>
      <c r="C7346" s="185" t="s">
        <v>9789</v>
      </c>
    </row>
    <row r="7347" spans="1:3">
      <c r="A7347" s="184">
        <v>961500749</v>
      </c>
      <c r="B7347" s="116" t="str">
        <f t="shared" si="114"/>
        <v>96-961500749</v>
      </c>
      <c r="C7347" s="185" t="s">
        <v>9789</v>
      </c>
    </row>
    <row r="7348" spans="1:3">
      <c r="A7348" s="184">
        <v>961500768</v>
      </c>
      <c r="B7348" s="116" t="str">
        <f t="shared" si="114"/>
        <v>96-961500768</v>
      </c>
      <c r="C7348" s="185" t="s">
        <v>9797</v>
      </c>
    </row>
    <row r="7349" spans="1:3">
      <c r="A7349" s="184">
        <v>961500774</v>
      </c>
      <c r="B7349" s="116" t="str">
        <f t="shared" si="114"/>
        <v>96-961500774</v>
      </c>
      <c r="C7349" s="185" t="s">
        <v>9790</v>
      </c>
    </row>
    <row r="7350" spans="1:3">
      <c r="A7350" s="184">
        <v>961500783</v>
      </c>
      <c r="B7350" s="116" t="str">
        <f t="shared" si="114"/>
        <v>96-961500783</v>
      </c>
      <c r="C7350" s="185" t="s">
        <v>12218</v>
      </c>
    </row>
    <row r="7351" spans="1:3">
      <c r="A7351" s="184">
        <v>961500798</v>
      </c>
      <c r="B7351" s="116" t="str">
        <f t="shared" si="114"/>
        <v>96-961500798</v>
      </c>
      <c r="C7351" s="185" t="s">
        <v>12218</v>
      </c>
    </row>
    <row r="7352" spans="1:3">
      <c r="A7352" s="184">
        <v>961500966</v>
      </c>
      <c r="B7352" s="116" t="str">
        <f t="shared" si="114"/>
        <v>96-961500966</v>
      </c>
      <c r="C7352" s="185" t="s">
        <v>12668</v>
      </c>
    </row>
    <row r="7353" spans="1:3">
      <c r="A7353" s="184">
        <v>961500973</v>
      </c>
      <c r="B7353" s="116" t="str">
        <f t="shared" si="114"/>
        <v>96-961500973</v>
      </c>
      <c r="C7353" s="185" t="s">
        <v>12668</v>
      </c>
    </row>
    <row r="7354" spans="1:3">
      <c r="A7354" s="184">
        <v>961501029</v>
      </c>
      <c r="B7354" s="116" t="str">
        <f t="shared" si="114"/>
        <v>96-961501029</v>
      </c>
      <c r="C7354" s="185" t="s">
        <v>12934</v>
      </c>
    </row>
    <row r="7355" spans="1:3">
      <c r="A7355" s="184">
        <v>961501030</v>
      </c>
      <c r="B7355" s="116" t="str">
        <f t="shared" si="114"/>
        <v>96-961501030</v>
      </c>
      <c r="C7355" s="185" t="s">
        <v>12934</v>
      </c>
    </row>
    <row r="7356" spans="1:3">
      <c r="A7356" s="184">
        <v>961501038</v>
      </c>
      <c r="B7356" s="116" t="str">
        <f t="shared" si="114"/>
        <v>96-961501038</v>
      </c>
      <c r="C7356" s="185" t="s">
        <v>12934</v>
      </c>
    </row>
    <row r="7357" spans="1:3">
      <c r="A7357" s="184">
        <v>961501043</v>
      </c>
      <c r="B7357" s="116" t="str">
        <f t="shared" si="114"/>
        <v>96-961501043</v>
      </c>
      <c r="C7357" s="185" t="s">
        <v>12934</v>
      </c>
    </row>
    <row r="7358" spans="1:3">
      <c r="A7358" s="184">
        <v>971500013</v>
      </c>
      <c r="B7358" s="116" t="str">
        <f t="shared" si="114"/>
        <v>97-971500013</v>
      </c>
      <c r="C7358" s="185" t="s">
        <v>12934</v>
      </c>
    </row>
    <row r="7359" spans="1:3">
      <c r="A7359" s="184">
        <v>971500018</v>
      </c>
      <c r="B7359" s="116" t="str">
        <f t="shared" si="114"/>
        <v>97-971500018</v>
      </c>
      <c r="C7359" s="185" t="s">
        <v>12934</v>
      </c>
    </row>
    <row r="7360" spans="1:3">
      <c r="A7360" s="184">
        <v>971500042</v>
      </c>
      <c r="B7360" s="116" t="str">
        <f t="shared" si="114"/>
        <v>97-971500042</v>
      </c>
      <c r="C7360" s="185" t="s">
        <v>12934</v>
      </c>
    </row>
    <row r="7361" spans="1:3">
      <c r="A7361" s="184">
        <v>971500051</v>
      </c>
      <c r="B7361" s="116" t="str">
        <f t="shared" si="114"/>
        <v>97-971500051</v>
      </c>
      <c r="C7361" s="185" t="s">
        <v>12934</v>
      </c>
    </row>
    <row r="7362" spans="1:3">
      <c r="A7362" s="184">
        <v>961500803</v>
      </c>
      <c r="B7362" s="116" t="str">
        <f t="shared" si="114"/>
        <v>96-961500803</v>
      </c>
      <c r="C7362" s="185" t="s">
        <v>12221</v>
      </c>
    </row>
    <row r="7363" spans="1:3">
      <c r="A7363" s="184">
        <v>961500833</v>
      </c>
      <c r="B7363" s="116" t="str">
        <f t="shared" ref="B7363:B7426" si="115">MID(A7363,1,2)&amp;"-"&amp;A7363</f>
        <v>96-961500833</v>
      </c>
      <c r="C7363" s="185" t="s">
        <v>12414</v>
      </c>
    </row>
    <row r="7364" spans="1:3">
      <c r="A7364" s="184">
        <v>961500841</v>
      </c>
      <c r="B7364" s="116" t="str">
        <f t="shared" si="115"/>
        <v>96-961500841</v>
      </c>
      <c r="C7364" s="185" t="s">
        <v>12414</v>
      </c>
    </row>
    <row r="7365" spans="1:3">
      <c r="A7365" s="184">
        <v>961500881</v>
      </c>
      <c r="B7365" s="116" t="str">
        <f t="shared" si="115"/>
        <v>96-961500881</v>
      </c>
      <c r="C7365" s="185" t="s">
        <v>12414</v>
      </c>
    </row>
    <row r="7366" spans="1:3">
      <c r="A7366" s="184">
        <v>961500899</v>
      </c>
      <c r="B7366" s="116" t="str">
        <f t="shared" si="115"/>
        <v>96-961500899</v>
      </c>
      <c r="C7366" s="185" t="s">
        <v>12414</v>
      </c>
    </row>
    <row r="7367" spans="1:3">
      <c r="A7367" s="184">
        <v>961500972</v>
      </c>
      <c r="B7367" s="116" t="str">
        <f t="shared" si="115"/>
        <v>96-961500972</v>
      </c>
      <c r="C7367" s="185" t="s">
        <v>12663</v>
      </c>
    </row>
    <row r="7368" spans="1:3">
      <c r="A7368" s="184">
        <v>961501002</v>
      </c>
      <c r="B7368" s="116" t="str">
        <f t="shared" si="115"/>
        <v>96-961501002</v>
      </c>
      <c r="C7368" s="185" t="s">
        <v>12663</v>
      </c>
    </row>
    <row r="7369" spans="1:3">
      <c r="A7369" s="184">
        <v>961501012</v>
      </c>
      <c r="B7369" s="116" t="str">
        <f t="shared" si="115"/>
        <v>96-961501012</v>
      </c>
      <c r="C7369" s="185" t="s">
        <v>12669</v>
      </c>
    </row>
    <row r="7370" spans="1:3">
      <c r="A7370" s="184">
        <v>961500690</v>
      </c>
      <c r="B7370" s="116" t="str">
        <f t="shared" si="115"/>
        <v>96-961500690</v>
      </c>
      <c r="C7370" s="185" t="s">
        <v>9762</v>
      </c>
    </row>
    <row r="7371" spans="1:3">
      <c r="A7371" s="184">
        <v>961500722</v>
      </c>
      <c r="B7371" s="116" t="str">
        <f t="shared" si="115"/>
        <v>96-961500722</v>
      </c>
      <c r="C7371" s="185" t="s">
        <v>9795</v>
      </c>
    </row>
    <row r="7372" spans="1:3">
      <c r="A7372" s="184">
        <v>961500738</v>
      </c>
      <c r="B7372" s="116" t="str">
        <f t="shared" si="115"/>
        <v>96-961500738</v>
      </c>
      <c r="C7372" s="185" t="s">
        <v>9795</v>
      </c>
    </row>
    <row r="7373" spans="1:3">
      <c r="A7373" s="184">
        <v>961500752</v>
      </c>
      <c r="B7373" s="116" t="str">
        <f t="shared" si="115"/>
        <v>96-961500752</v>
      </c>
      <c r="C7373" s="185" t="s">
        <v>12219</v>
      </c>
    </row>
    <row r="7374" spans="1:3">
      <c r="A7374" s="184">
        <v>961500708</v>
      </c>
      <c r="B7374" s="116" t="str">
        <f t="shared" si="115"/>
        <v>96-961500708</v>
      </c>
      <c r="C7374" s="185" t="s">
        <v>9770</v>
      </c>
    </row>
    <row r="7375" spans="1:3">
      <c r="A7375" s="184">
        <v>961500729</v>
      </c>
      <c r="B7375" s="116" t="str">
        <f t="shared" si="115"/>
        <v>96-961500729</v>
      </c>
      <c r="C7375" s="185" t="s">
        <v>9770</v>
      </c>
    </row>
    <row r="7376" spans="1:3">
      <c r="A7376" s="184">
        <v>961500796</v>
      </c>
      <c r="B7376" s="116" t="str">
        <f t="shared" si="115"/>
        <v>96-961500796</v>
      </c>
      <c r="C7376" s="185" t="s">
        <v>12306</v>
      </c>
    </row>
    <row r="7377" spans="1:3">
      <c r="A7377" s="184">
        <v>961500829</v>
      </c>
      <c r="B7377" s="116" t="str">
        <f t="shared" si="115"/>
        <v>96-961500829</v>
      </c>
      <c r="C7377" s="185" t="s">
        <v>12306</v>
      </c>
    </row>
    <row r="7378" spans="1:3">
      <c r="A7378" s="184">
        <v>961500838</v>
      </c>
      <c r="B7378" s="116" t="str">
        <f t="shared" si="115"/>
        <v>96-961500838</v>
      </c>
      <c r="C7378" s="185" t="s">
        <v>12306</v>
      </c>
    </row>
    <row r="7379" spans="1:3">
      <c r="A7379" s="184">
        <v>961500952</v>
      </c>
      <c r="B7379" s="116" t="str">
        <f t="shared" si="115"/>
        <v>96-961500952</v>
      </c>
      <c r="C7379" s="185" t="s">
        <v>12673</v>
      </c>
    </row>
    <row r="7380" spans="1:3">
      <c r="A7380" s="184">
        <v>961500992</v>
      </c>
      <c r="B7380" s="116" t="str">
        <f t="shared" si="115"/>
        <v>96-961500992</v>
      </c>
      <c r="C7380" s="185" t="s">
        <v>12929</v>
      </c>
    </row>
    <row r="7381" spans="1:3">
      <c r="A7381" s="184">
        <v>961501001</v>
      </c>
      <c r="B7381" s="116" t="str">
        <f t="shared" si="115"/>
        <v>96-961501001</v>
      </c>
      <c r="C7381" s="185" t="s">
        <v>12673</v>
      </c>
    </row>
    <row r="7382" spans="1:3">
      <c r="A7382" s="184">
        <v>961500825</v>
      </c>
      <c r="B7382" s="116" t="str">
        <f t="shared" si="115"/>
        <v>96-961500825</v>
      </c>
      <c r="C7382" s="185" t="s">
        <v>12220</v>
      </c>
    </row>
    <row r="7383" spans="1:3">
      <c r="A7383" s="184">
        <v>961500788</v>
      </c>
      <c r="B7383" s="116" t="str">
        <f t="shared" si="115"/>
        <v>96-961500788</v>
      </c>
      <c r="C7383" s="185" t="s">
        <v>12222</v>
      </c>
    </row>
    <row r="7384" spans="1:3">
      <c r="A7384" s="184">
        <v>961500751</v>
      </c>
      <c r="B7384" s="116" t="str">
        <f t="shared" si="115"/>
        <v>96-961500751</v>
      </c>
      <c r="C7384" s="185" t="s">
        <v>9789</v>
      </c>
    </row>
    <row r="7385" spans="1:3">
      <c r="A7385" s="184">
        <v>961500769</v>
      </c>
      <c r="B7385" s="116" t="str">
        <f t="shared" si="115"/>
        <v>96-961500769</v>
      </c>
      <c r="C7385" s="185" t="s">
        <v>9797</v>
      </c>
    </row>
    <row r="7386" spans="1:3">
      <c r="A7386" s="184">
        <v>961500780</v>
      </c>
      <c r="B7386" s="116" t="str">
        <f t="shared" si="115"/>
        <v>96-961500780</v>
      </c>
      <c r="C7386" s="185" t="s">
        <v>9790</v>
      </c>
    </row>
    <row r="7387" spans="1:3">
      <c r="A7387" s="184">
        <v>961500793</v>
      </c>
      <c r="B7387" s="116" t="str">
        <f t="shared" si="115"/>
        <v>96-961500793</v>
      </c>
      <c r="C7387" s="185" t="s">
        <v>12218</v>
      </c>
    </row>
    <row r="7388" spans="1:3">
      <c r="A7388" s="184">
        <v>961500845</v>
      </c>
      <c r="B7388" s="116" t="str">
        <f t="shared" si="115"/>
        <v>96-961500845</v>
      </c>
      <c r="C7388" s="185" t="s">
        <v>12414</v>
      </c>
    </row>
    <row r="7389" spans="1:3">
      <c r="A7389" s="184">
        <v>961500882</v>
      </c>
      <c r="B7389" s="116" t="str">
        <f t="shared" si="115"/>
        <v>96-961500882</v>
      </c>
      <c r="C7389" s="185" t="s">
        <v>12414</v>
      </c>
    </row>
    <row r="7390" spans="1:3">
      <c r="A7390" s="184">
        <v>961500929</v>
      </c>
      <c r="B7390" s="116" t="str">
        <f t="shared" si="115"/>
        <v>96-961500929</v>
      </c>
      <c r="C7390" s="185" t="s">
        <v>12414</v>
      </c>
    </row>
    <row r="7391" spans="1:3">
      <c r="A7391" s="184">
        <v>961500937</v>
      </c>
      <c r="B7391" s="116" t="str">
        <f t="shared" si="115"/>
        <v>96-961500937</v>
      </c>
      <c r="C7391" s="185" t="s">
        <v>12414</v>
      </c>
    </row>
    <row r="7392" spans="1:3">
      <c r="A7392" s="184">
        <v>961500944</v>
      </c>
      <c r="B7392" s="116" t="str">
        <f t="shared" si="115"/>
        <v>96-961500944</v>
      </c>
      <c r="C7392" s="185" t="s">
        <v>12414</v>
      </c>
    </row>
    <row r="7393" spans="1:3">
      <c r="A7393" s="184">
        <v>961500884</v>
      </c>
      <c r="B7393" s="116" t="str">
        <f t="shared" si="115"/>
        <v>96-961500884</v>
      </c>
      <c r="C7393" s="185" t="s">
        <v>12675</v>
      </c>
    </row>
    <row r="7394" spans="1:3">
      <c r="A7394" s="184">
        <v>961200126</v>
      </c>
      <c r="B7394" s="116" t="str">
        <f t="shared" si="115"/>
        <v>96-961200126</v>
      </c>
      <c r="C7394" s="185" t="s">
        <v>9778</v>
      </c>
    </row>
    <row r="7395" spans="1:3">
      <c r="A7395" s="184">
        <v>961500720</v>
      </c>
      <c r="B7395" s="116" t="str">
        <f t="shared" si="115"/>
        <v>96-961500720</v>
      </c>
      <c r="C7395" s="185" t="s">
        <v>9798</v>
      </c>
    </row>
    <row r="7396" spans="1:3">
      <c r="A7396" s="184">
        <v>961500894</v>
      </c>
      <c r="B7396" s="116" t="str">
        <f t="shared" si="115"/>
        <v>96-961500894</v>
      </c>
      <c r="C7396" s="185" t="s">
        <v>12428</v>
      </c>
    </row>
    <row r="7397" spans="1:3">
      <c r="A7397" s="184">
        <v>961500827</v>
      </c>
      <c r="B7397" s="116" t="str">
        <f t="shared" si="115"/>
        <v>96-961500827</v>
      </c>
      <c r="C7397" s="185" t="s">
        <v>12425</v>
      </c>
    </row>
    <row r="7398" spans="1:3">
      <c r="A7398" s="184">
        <v>971500008</v>
      </c>
      <c r="B7398" s="116" t="str">
        <f t="shared" si="115"/>
        <v>97-971500008</v>
      </c>
      <c r="C7398" s="185" t="s">
        <v>12939</v>
      </c>
    </row>
    <row r="7399" spans="1:3">
      <c r="A7399" s="184">
        <v>971500023</v>
      </c>
      <c r="B7399" s="116" t="str">
        <f t="shared" si="115"/>
        <v>97-971500023</v>
      </c>
      <c r="C7399" s="185" t="s">
        <v>13069</v>
      </c>
    </row>
    <row r="7400" spans="1:3">
      <c r="A7400" s="184">
        <v>961500960</v>
      </c>
      <c r="B7400" s="116" t="str">
        <f t="shared" si="115"/>
        <v>96-961500960</v>
      </c>
      <c r="C7400" s="185" t="s">
        <v>12669</v>
      </c>
    </row>
    <row r="7401" spans="1:3">
      <c r="A7401" s="184">
        <v>961500971</v>
      </c>
      <c r="B7401" s="116" t="str">
        <f t="shared" si="115"/>
        <v>96-961500971</v>
      </c>
      <c r="C7401" s="185" t="s">
        <v>12663</v>
      </c>
    </row>
    <row r="7402" spans="1:3">
      <c r="A7402" s="184">
        <v>961500981</v>
      </c>
      <c r="B7402" s="116" t="str">
        <f t="shared" si="115"/>
        <v>96-961500981</v>
      </c>
      <c r="C7402" s="185" t="s">
        <v>12663</v>
      </c>
    </row>
    <row r="7403" spans="1:3">
      <c r="A7403" s="184">
        <v>971500015</v>
      </c>
      <c r="B7403" s="116" t="str">
        <f t="shared" si="115"/>
        <v>97-971500015</v>
      </c>
      <c r="C7403" s="185" t="s">
        <v>12669</v>
      </c>
    </row>
    <row r="7404" spans="1:3">
      <c r="A7404" s="184">
        <v>971500020</v>
      </c>
      <c r="B7404" s="116" t="str">
        <f t="shared" si="115"/>
        <v>97-971500020</v>
      </c>
      <c r="C7404" s="185" t="s">
        <v>12669</v>
      </c>
    </row>
    <row r="7405" spans="1:3">
      <c r="A7405" s="184">
        <v>961500723</v>
      </c>
      <c r="B7405" s="116" t="str">
        <f t="shared" si="115"/>
        <v>96-961500723</v>
      </c>
      <c r="C7405" s="185" t="s">
        <v>9795</v>
      </c>
    </row>
    <row r="7406" spans="1:3">
      <c r="A7406" s="184">
        <v>961500757</v>
      </c>
      <c r="B7406" s="116" t="str">
        <f t="shared" si="115"/>
        <v>96-961500757</v>
      </c>
      <c r="C7406" s="185" t="s">
        <v>12219</v>
      </c>
    </row>
    <row r="7407" spans="1:3">
      <c r="A7407" s="184">
        <v>961500766</v>
      </c>
      <c r="B7407" s="116" t="str">
        <f t="shared" si="115"/>
        <v>96-961500766</v>
      </c>
      <c r="C7407" s="185" t="s">
        <v>9794</v>
      </c>
    </row>
    <row r="7408" spans="1:3">
      <c r="A7408" s="184">
        <v>961500790</v>
      </c>
      <c r="B7408" s="116" t="str">
        <f t="shared" si="115"/>
        <v>96-961500790</v>
      </c>
      <c r="C7408" s="185" t="s">
        <v>12220</v>
      </c>
    </row>
    <row r="7409" spans="1:3">
      <c r="A7409" s="184">
        <v>961500912</v>
      </c>
      <c r="B7409" s="116" t="str">
        <f t="shared" si="115"/>
        <v>96-961500912</v>
      </c>
      <c r="C7409" s="185" t="s">
        <v>12424</v>
      </c>
    </row>
    <row r="7410" spans="1:3">
      <c r="A7410" s="184">
        <v>961500710</v>
      </c>
      <c r="B7410" s="116" t="str">
        <f t="shared" si="115"/>
        <v>96-961500710</v>
      </c>
      <c r="C7410" s="185" t="s">
        <v>9913</v>
      </c>
    </row>
    <row r="7411" spans="1:3">
      <c r="A7411" s="184">
        <v>961500683</v>
      </c>
      <c r="B7411" s="116" t="str">
        <f t="shared" si="115"/>
        <v>96-961500683</v>
      </c>
      <c r="C7411" s="185" t="s">
        <v>7253</v>
      </c>
    </row>
    <row r="7412" spans="1:3">
      <c r="A7412" s="184">
        <v>961500925</v>
      </c>
      <c r="B7412" s="116" t="str">
        <f t="shared" si="115"/>
        <v>96-961500925</v>
      </c>
      <c r="C7412" s="185" t="s">
        <v>12427</v>
      </c>
    </row>
    <row r="7413" spans="1:3">
      <c r="A7413" s="184">
        <v>962000448</v>
      </c>
      <c r="B7413" s="116" t="str">
        <f t="shared" si="115"/>
        <v>96-962000448</v>
      </c>
      <c r="C7413" s="185" t="s">
        <v>12184</v>
      </c>
    </row>
    <row r="7414" spans="1:3">
      <c r="A7414" s="184">
        <v>961500868</v>
      </c>
      <c r="B7414" s="116" t="str">
        <f t="shared" si="115"/>
        <v>96-961500868</v>
      </c>
      <c r="C7414" s="185" t="s">
        <v>12428</v>
      </c>
    </row>
    <row r="7415" spans="1:3">
      <c r="A7415" s="184">
        <v>961500936</v>
      </c>
      <c r="B7415" s="116" t="str">
        <f t="shared" si="115"/>
        <v>96-961500936</v>
      </c>
      <c r="C7415" s="185" t="s">
        <v>12428</v>
      </c>
    </row>
    <row r="7416" spans="1:3">
      <c r="A7416" s="184">
        <v>961500970</v>
      </c>
      <c r="B7416" s="116" t="str">
        <f t="shared" si="115"/>
        <v>96-961500970</v>
      </c>
      <c r="C7416" s="185" t="s">
        <v>12672</v>
      </c>
    </row>
    <row r="7417" spans="1:3">
      <c r="A7417" s="184">
        <v>962000238</v>
      </c>
      <c r="B7417" s="116" t="str">
        <f t="shared" si="115"/>
        <v>96-962000238</v>
      </c>
      <c r="C7417" s="185" t="s">
        <v>7112</v>
      </c>
    </row>
    <row r="7418" spans="1:3">
      <c r="A7418" s="184">
        <v>962000428</v>
      </c>
      <c r="B7418" s="116" t="str">
        <f t="shared" si="115"/>
        <v>96-962000428</v>
      </c>
      <c r="C7418" s="185" t="s">
        <v>12184</v>
      </c>
    </row>
    <row r="7419" spans="1:3">
      <c r="A7419" s="184">
        <v>961500717</v>
      </c>
      <c r="B7419" s="116" t="str">
        <f t="shared" si="115"/>
        <v>96-961500717</v>
      </c>
      <c r="C7419" s="185" t="s">
        <v>9783</v>
      </c>
    </row>
    <row r="7420" spans="1:3">
      <c r="A7420" s="184">
        <v>961500801</v>
      </c>
      <c r="B7420" s="116" t="str">
        <f t="shared" si="115"/>
        <v>96-961500801</v>
      </c>
      <c r="C7420" s="185" t="s">
        <v>12260</v>
      </c>
    </row>
    <row r="7421" spans="1:3">
      <c r="A7421" s="184">
        <v>961500850</v>
      </c>
      <c r="B7421" s="116" t="str">
        <f t="shared" si="115"/>
        <v>96-961500850</v>
      </c>
      <c r="C7421" s="185" t="s">
        <v>12429</v>
      </c>
    </row>
    <row r="7422" spans="1:3">
      <c r="A7422" s="184">
        <v>961500851</v>
      </c>
      <c r="B7422" s="116" t="str">
        <f t="shared" si="115"/>
        <v>96-961500851</v>
      </c>
      <c r="C7422" s="185" t="s">
        <v>12429</v>
      </c>
    </row>
    <row r="7423" spans="1:3">
      <c r="A7423" s="184">
        <v>961500855</v>
      </c>
      <c r="B7423" s="116" t="str">
        <f t="shared" si="115"/>
        <v>96-961500855</v>
      </c>
      <c r="C7423" s="185" t="s">
        <v>12260</v>
      </c>
    </row>
    <row r="7424" spans="1:3">
      <c r="A7424" s="184">
        <v>961500859</v>
      </c>
      <c r="B7424" s="116" t="str">
        <f t="shared" si="115"/>
        <v>96-961500859</v>
      </c>
      <c r="C7424" s="185" t="s">
        <v>12260</v>
      </c>
    </row>
    <row r="7425" spans="1:3">
      <c r="A7425" s="184">
        <v>961500870</v>
      </c>
      <c r="B7425" s="116" t="str">
        <f t="shared" si="115"/>
        <v>96-961500870</v>
      </c>
      <c r="C7425" s="185" t="s">
        <v>12260</v>
      </c>
    </row>
    <row r="7426" spans="1:3">
      <c r="A7426" s="184">
        <v>961500883</v>
      </c>
      <c r="B7426" s="116" t="str">
        <f t="shared" si="115"/>
        <v>96-961500883</v>
      </c>
      <c r="C7426" s="185" t="s">
        <v>12429</v>
      </c>
    </row>
    <row r="7427" spans="1:3">
      <c r="A7427" s="184">
        <v>961500933</v>
      </c>
      <c r="B7427" s="116" t="str">
        <f t="shared" ref="B7427:B7490" si="116">MID(A7427,1,2)&amp;"-"&amp;A7427</f>
        <v>96-961500933</v>
      </c>
      <c r="C7427" s="185" t="s">
        <v>12668</v>
      </c>
    </row>
    <row r="7428" spans="1:3">
      <c r="A7428" s="184">
        <v>961500945</v>
      </c>
      <c r="B7428" s="116" t="str">
        <f t="shared" si="116"/>
        <v>96-961500945</v>
      </c>
      <c r="C7428" s="185" t="s">
        <v>12668</v>
      </c>
    </row>
    <row r="7429" spans="1:3">
      <c r="A7429" s="184">
        <v>961500967</v>
      </c>
      <c r="B7429" s="116" t="str">
        <f t="shared" si="116"/>
        <v>96-961500967</v>
      </c>
      <c r="C7429" s="185" t="s">
        <v>12668</v>
      </c>
    </row>
    <row r="7430" spans="1:3">
      <c r="A7430" s="184">
        <v>961500979</v>
      </c>
      <c r="B7430" s="116" t="str">
        <f t="shared" si="116"/>
        <v>96-961500979</v>
      </c>
      <c r="C7430" s="185" t="s">
        <v>12668</v>
      </c>
    </row>
    <row r="7431" spans="1:3">
      <c r="A7431" s="184">
        <v>961501015</v>
      </c>
      <c r="B7431" s="116" t="str">
        <f t="shared" si="116"/>
        <v>96-961501015</v>
      </c>
      <c r="C7431" s="185" t="s">
        <v>12934</v>
      </c>
    </row>
    <row r="7432" spans="1:3">
      <c r="A7432" s="184">
        <v>961501051</v>
      </c>
      <c r="B7432" s="116" t="str">
        <f t="shared" si="116"/>
        <v>96-961501051</v>
      </c>
      <c r="C7432" s="185" t="s">
        <v>12429</v>
      </c>
    </row>
    <row r="7433" spans="1:3">
      <c r="A7433" s="184">
        <v>971500052</v>
      </c>
      <c r="B7433" s="116" t="str">
        <f t="shared" si="116"/>
        <v>97-971500052</v>
      </c>
      <c r="C7433" s="185" t="s">
        <v>12934</v>
      </c>
    </row>
    <row r="7434" spans="1:3">
      <c r="A7434" s="184">
        <v>966300056</v>
      </c>
      <c r="B7434" s="116" t="str">
        <f t="shared" si="116"/>
        <v>96-966300056</v>
      </c>
      <c r="C7434" s="185" t="s">
        <v>13070</v>
      </c>
    </row>
    <row r="7435" spans="1:3">
      <c r="A7435" s="184">
        <v>961500688</v>
      </c>
      <c r="B7435" s="116" t="str">
        <f t="shared" si="116"/>
        <v>96-961500688</v>
      </c>
      <c r="C7435" s="185" t="s">
        <v>9770</v>
      </c>
    </row>
    <row r="7436" spans="1:3">
      <c r="A7436" s="184">
        <v>961500707</v>
      </c>
      <c r="B7436" s="116" t="str">
        <f t="shared" si="116"/>
        <v>96-961500707</v>
      </c>
      <c r="C7436" s="185" t="s">
        <v>9770</v>
      </c>
    </row>
    <row r="7437" spans="1:3">
      <c r="A7437" s="184">
        <v>961500712</v>
      </c>
      <c r="B7437" s="116" t="str">
        <f t="shared" si="116"/>
        <v>96-961500712</v>
      </c>
      <c r="C7437" s="185" t="s">
        <v>9770</v>
      </c>
    </row>
    <row r="7438" spans="1:3">
      <c r="A7438" s="184">
        <v>961500809</v>
      </c>
      <c r="B7438" s="116" t="str">
        <f t="shared" si="116"/>
        <v>96-961500809</v>
      </c>
      <c r="C7438" s="185" t="s">
        <v>12306</v>
      </c>
    </row>
    <row r="7439" spans="1:3">
      <c r="A7439" s="184">
        <v>961500813</v>
      </c>
      <c r="B7439" s="116" t="str">
        <f t="shared" si="116"/>
        <v>96-961500813</v>
      </c>
      <c r="C7439" s="185" t="s">
        <v>12306</v>
      </c>
    </row>
    <row r="7440" spans="1:3">
      <c r="A7440" s="184">
        <v>961500822</v>
      </c>
      <c r="B7440" s="116" t="str">
        <f t="shared" si="116"/>
        <v>96-961500822</v>
      </c>
      <c r="C7440" s="185" t="s">
        <v>12306</v>
      </c>
    </row>
    <row r="7441" spans="1:3">
      <c r="A7441" s="184">
        <v>961500885</v>
      </c>
      <c r="B7441" s="116" t="str">
        <f t="shared" si="116"/>
        <v>96-961500885</v>
      </c>
      <c r="C7441" s="185" t="s">
        <v>12306</v>
      </c>
    </row>
    <row r="7442" spans="1:3">
      <c r="A7442" s="184">
        <v>961501034</v>
      </c>
      <c r="B7442" s="116" t="str">
        <f t="shared" si="116"/>
        <v>96-961501034</v>
      </c>
      <c r="C7442" s="185" t="s">
        <v>12673</v>
      </c>
    </row>
    <row r="7443" spans="1:3">
      <c r="A7443" s="184">
        <v>961500706</v>
      </c>
      <c r="B7443" s="116" t="str">
        <f t="shared" si="116"/>
        <v>96-961500706</v>
      </c>
      <c r="C7443" s="185" t="s">
        <v>9768</v>
      </c>
    </row>
    <row r="7444" spans="1:3">
      <c r="A7444" s="184">
        <v>961500737</v>
      </c>
      <c r="B7444" s="116" t="str">
        <f t="shared" si="116"/>
        <v>96-961500737</v>
      </c>
      <c r="C7444" s="185" t="s">
        <v>9789</v>
      </c>
    </row>
    <row r="7445" spans="1:3">
      <c r="A7445" s="184">
        <v>961500791</v>
      </c>
      <c r="B7445" s="116" t="str">
        <f t="shared" si="116"/>
        <v>96-961500791</v>
      </c>
      <c r="C7445" s="185" t="s">
        <v>12221</v>
      </c>
    </row>
    <row r="7446" spans="1:3">
      <c r="A7446" s="184">
        <v>961500959</v>
      </c>
      <c r="B7446" s="116" t="str">
        <f t="shared" si="116"/>
        <v>96-961500959</v>
      </c>
      <c r="C7446" s="185" t="s">
        <v>12663</v>
      </c>
    </row>
    <row r="7447" spans="1:3">
      <c r="A7447" s="184">
        <v>961500995</v>
      </c>
      <c r="B7447" s="116" t="str">
        <f t="shared" si="116"/>
        <v>96-961500995</v>
      </c>
      <c r="C7447" s="185" t="s">
        <v>12663</v>
      </c>
    </row>
    <row r="7448" spans="1:3">
      <c r="A7448" s="184">
        <v>961501007</v>
      </c>
      <c r="B7448" s="116" t="str">
        <f t="shared" si="116"/>
        <v>96-961501007</v>
      </c>
      <c r="C7448" s="185" t="s">
        <v>12663</v>
      </c>
    </row>
    <row r="7449" spans="1:3">
      <c r="A7449" s="184">
        <v>971500007</v>
      </c>
      <c r="B7449" s="116" t="str">
        <f t="shared" si="116"/>
        <v>97-971500007</v>
      </c>
      <c r="C7449" s="185" t="s">
        <v>12669</v>
      </c>
    </row>
    <row r="7450" spans="1:3">
      <c r="A7450" s="184">
        <v>971500033</v>
      </c>
      <c r="B7450" s="116" t="str">
        <f t="shared" si="116"/>
        <v>97-971500033</v>
      </c>
      <c r="C7450" s="185" t="s">
        <v>12669</v>
      </c>
    </row>
    <row r="7451" spans="1:3">
      <c r="A7451" s="184">
        <v>966200641</v>
      </c>
      <c r="B7451" s="116" t="str">
        <f t="shared" si="116"/>
        <v>96-966200641</v>
      </c>
      <c r="C7451" s="185" t="s">
        <v>13071</v>
      </c>
    </row>
    <row r="7452" spans="1:3">
      <c r="A7452" s="184">
        <v>961500719</v>
      </c>
      <c r="B7452" s="116" t="str">
        <f t="shared" si="116"/>
        <v>96-961500719</v>
      </c>
      <c r="C7452" s="185" t="s">
        <v>9771</v>
      </c>
    </row>
    <row r="7453" spans="1:3">
      <c r="A7453" s="184">
        <v>961500721</v>
      </c>
      <c r="B7453" s="116" t="str">
        <f t="shared" si="116"/>
        <v>96-961500721</v>
      </c>
      <c r="C7453" s="185" t="s">
        <v>9795</v>
      </c>
    </row>
    <row r="7454" spans="1:3">
      <c r="A7454" s="184">
        <v>961500805</v>
      </c>
      <c r="B7454" s="116" t="str">
        <f t="shared" si="116"/>
        <v>96-961500805</v>
      </c>
      <c r="C7454" s="185" t="s">
        <v>12220</v>
      </c>
    </row>
    <row r="7455" spans="1:3">
      <c r="A7455" s="184">
        <v>961500873</v>
      </c>
      <c r="B7455" s="116" t="str">
        <f t="shared" si="116"/>
        <v>96-961500873</v>
      </c>
      <c r="C7455" s="185" t="s">
        <v>12670</v>
      </c>
    </row>
    <row r="7456" spans="1:3">
      <c r="A7456" s="184">
        <v>961501006</v>
      </c>
      <c r="B7456" s="116" t="str">
        <f t="shared" si="116"/>
        <v>96-961501006</v>
      </c>
      <c r="C7456" s="185" t="s">
        <v>12936</v>
      </c>
    </row>
    <row r="7457" spans="1:3">
      <c r="A7457" s="184">
        <v>961501044</v>
      </c>
      <c r="B7457" s="116" t="str">
        <f t="shared" si="116"/>
        <v>96-961501044</v>
      </c>
      <c r="C7457" s="185" t="s">
        <v>12675</v>
      </c>
    </row>
    <row r="7458" spans="1:3">
      <c r="A7458" s="184">
        <v>961200136</v>
      </c>
      <c r="B7458" s="116" t="str">
        <f t="shared" si="116"/>
        <v>96-961200136</v>
      </c>
      <c r="C7458" s="185" t="s">
        <v>9778</v>
      </c>
    </row>
    <row r="7459" spans="1:3">
      <c r="A7459" s="184">
        <v>961500913</v>
      </c>
      <c r="B7459" s="116" t="str">
        <f t="shared" si="116"/>
        <v>96-961500913</v>
      </c>
      <c r="C7459" s="185" t="s">
        <v>12671</v>
      </c>
    </row>
    <row r="7460" spans="1:3">
      <c r="A7460" s="184">
        <v>961500902</v>
      </c>
      <c r="B7460" s="116" t="str">
        <f t="shared" si="116"/>
        <v>96-961500902</v>
      </c>
      <c r="C7460" s="185" t="s">
        <v>12428</v>
      </c>
    </row>
    <row r="7461" spans="1:3">
      <c r="A7461" s="184">
        <v>961500923</v>
      </c>
      <c r="B7461" s="116" t="str">
        <f t="shared" si="116"/>
        <v>96-961500923</v>
      </c>
      <c r="C7461" s="185" t="s">
        <v>12428</v>
      </c>
    </row>
    <row r="7462" spans="1:3">
      <c r="A7462" s="184">
        <v>961500692</v>
      </c>
      <c r="B7462" s="116" t="str">
        <f t="shared" si="116"/>
        <v>96-961500692</v>
      </c>
      <c r="C7462" s="185" t="s">
        <v>9783</v>
      </c>
    </row>
    <row r="7463" spans="1:3">
      <c r="A7463" s="184">
        <v>971500025</v>
      </c>
      <c r="B7463" s="116" t="str">
        <f t="shared" si="116"/>
        <v>97-971500025</v>
      </c>
      <c r="C7463" s="185" t="s">
        <v>12672</v>
      </c>
    </row>
    <row r="7464" spans="1:3">
      <c r="A7464" s="184">
        <v>961500812</v>
      </c>
      <c r="B7464" s="116" t="str">
        <f t="shared" si="116"/>
        <v>96-961500812</v>
      </c>
      <c r="C7464" s="185" t="s">
        <v>12425</v>
      </c>
    </row>
    <row r="7465" spans="1:3">
      <c r="A7465" s="184">
        <v>961500826</v>
      </c>
      <c r="B7465" s="116" t="str">
        <f t="shared" si="116"/>
        <v>96-961500826</v>
      </c>
      <c r="C7465" s="185" t="s">
        <v>12425</v>
      </c>
    </row>
    <row r="7466" spans="1:3">
      <c r="A7466" s="184">
        <v>961500852</v>
      </c>
      <c r="B7466" s="116" t="str">
        <f t="shared" si="116"/>
        <v>96-961500852</v>
      </c>
      <c r="C7466" s="185" t="s">
        <v>12425</v>
      </c>
    </row>
    <row r="7467" spans="1:3">
      <c r="A7467" s="184">
        <v>961500858</v>
      </c>
      <c r="B7467" s="116" t="str">
        <f t="shared" si="116"/>
        <v>96-961500858</v>
      </c>
      <c r="C7467" s="185" t="s">
        <v>12425</v>
      </c>
    </row>
    <row r="7468" spans="1:3">
      <c r="A7468" s="184">
        <v>961500898</v>
      </c>
      <c r="B7468" s="116" t="str">
        <f t="shared" si="116"/>
        <v>96-961500898</v>
      </c>
      <c r="C7468" s="185" t="s">
        <v>12677</v>
      </c>
    </row>
    <row r="7469" spans="1:3">
      <c r="A7469" s="184">
        <v>971500004</v>
      </c>
      <c r="B7469" s="116" t="str">
        <f t="shared" si="116"/>
        <v>97-971500004</v>
      </c>
      <c r="C7469" s="185" t="s">
        <v>12939</v>
      </c>
    </row>
    <row r="7470" spans="1:3">
      <c r="A7470" s="184">
        <v>961200178</v>
      </c>
      <c r="B7470" s="116" t="str">
        <f t="shared" si="116"/>
        <v>96-961200178</v>
      </c>
      <c r="C7470" s="185" t="s">
        <v>12419</v>
      </c>
    </row>
    <row r="7471" spans="1:3">
      <c r="A7471" s="184">
        <v>961500732</v>
      </c>
      <c r="B7471" s="116" t="str">
        <f t="shared" si="116"/>
        <v>96-961500732</v>
      </c>
      <c r="C7471" s="185" t="s">
        <v>9769</v>
      </c>
    </row>
    <row r="7472" spans="1:3">
      <c r="A7472" s="184">
        <v>961500754</v>
      </c>
      <c r="B7472" s="116" t="str">
        <f t="shared" si="116"/>
        <v>96-961500754</v>
      </c>
      <c r="C7472" s="185" t="s">
        <v>9769</v>
      </c>
    </row>
    <row r="7473" spans="1:3">
      <c r="A7473" s="184">
        <v>961500795</v>
      </c>
      <c r="B7473" s="116" t="str">
        <f t="shared" si="116"/>
        <v>96-961500795</v>
      </c>
      <c r="C7473" s="185" t="s">
        <v>12260</v>
      </c>
    </row>
    <row r="7474" spans="1:3">
      <c r="A7474" s="184">
        <v>961500931</v>
      </c>
      <c r="B7474" s="116" t="str">
        <f t="shared" si="116"/>
        <v>96-961500931</v>
      </c>
      <c r="C7474" s="185" t="s">
        <v>12429</v>
      </c>
    </row>
    <row r="7475" spans="1:3">
      <c r="A7475" s="184">
        <v>961500934</v>
      </c>
      <c r="B7475" s="116" t="str">
        <f t="shared" si="116"/>
        <v>96-961500934</v>
      </c>
      <c r="C7475" s="185" t="s">
        <v>12668</v>
      </c>
    </row>
    <row r="7476" spans="1:3">
      <c r="A7476" s="184">
        <v>961500978</v>
      </c>
      <c r="B7476" s="116" t="str">
        <f t="shared" si="116"/>
        <v>96-961500978</v>
      </c>
      <c r="C7476" s="185" t="s">
        <v>12668</v>
      </c>
    </row>
    <row r="7477" spans="1:3">
      <c r="A7477" s="184">
        <v>961500989</v>
      </c>
      <c r="B7477" s="116" t="str">
        <f t="shared" si="116"/>
        <v>96-961500989</v>
      </c>
      <c r="C7477" s="185" t="s">
        <v>12934</v>
      </c>
    </row>
    <row r="7478" spans="1:3">
      <c r="A7478" s="184">
        <v>961501008</v>
      </c>
      <c r="B7478" s="116" t="str">
        <f t="shared" si="116"/>
        <v>96-961501008</v>
      </c>
      <c r="C7478" s="185" t="s">
        <v>12934</v>
      </c>
    </row>
    <row r="7479" spans="1:3">
      <c r="A7479" s="184">
        <v>961501027</v>
      </c>
      <c r="B7479" s="116" t="str">
        <f t="shared" si="116"/>
        <v>96-961501027</v>
      </c>
      <c r="C7479" s="185" t="s">
        <v>12934</v>
      </c>
    </row>
    <row r="7480" spans="1:3">
      <c r="A7480" s="184">
        <v>971500012</v>
      </c>
      <c r="B7480" s="116" t="str">
        <f t="shared" si="116"/>
        <v>97-971500012</v>
      </c>
      <c r="C7480" s="185" t="s">
        <v>12934</v>
      </c>
    </row>
    <row r="7481" spans="1:3">
      <c r="A7481" s="184">
        <v>971500035</v>
      </c>
      <c r="B7481" s="116" t="str">
        <f t="shared" si="116"/>
        <v>97-971500035</v>
      </c>
      <c r="C7481" s="185" t="s">
        <v>12934</v>
      </c>
    </row>
    <row r="7482" spans="1:3">
      <c r="A7482" s="184">
        <v>962000276</v>
      </c>
      <c r="B7482" s="116" t="str">
        <f t="shared" si="116"/>
        <v>96-962000276</v>
      </c>
      <c r="C7482" s="185" t="s">
        <v>7112</v>
      </c>
    </row>
    <row r="7483" spans="1:3">
      <c r="A7483" s="184">
        <v>961500702</v>
      </c>
      <c r="B7483" s="116" t="str">
        <f t="shared" si="116"/>
        <v>96-961500702</v>
      </c>
      <c r="C7483" s="185" t="s">
        <v>9783</v>
      </c>
    </row>
    <row r="7484" spans="1:3">
      <c r="A7484" s="184">
        <v>961500761</v>
      </c>
      <c r="B7484" s="116" t="str">
        <f t="shared" si="116"/>
        <v>96-961500761</v>
      </c>
      <c r="C7484" s="185" t="s">
        <v>9763</v>
      </c>
    </row>
    <row r="7485" spans="1:3">
      <c r="A7485" s="184">
        <v>961500782</v>
      </c>
      <c r="B7485" s="116" t="str">
        <f t="shared" si="116"/>
        <v>96-961500782</v>
      </c>
      <c r="C7485" s="185" t="s">
        <v>9763</v>
      </c>
    </row>
    <row r="7486" spans="1:3">
      <c r="A7486" s="184">
        <v>961500935</v>
      </c>
      <c r="B7486" s="116" t="str">
        <f t="shared" si="116"/>
        <v>96-961500935</v>
      </c>
      <c r="C7486" s="185" t="s">
        <v>12668</v>
      </c>
    </row>
    <row r="7487" spans="1:3">
      <c r="A7487" s="184">
        <v>961500948</v>
      </c>
      <c r="B7487" s="116" t="str">
        <f t="shared" si="116"/>
        <v>96-961500948</v>
      </c>
      <c r="C7487" s="185" t="s">
        <v>12668</v>
      </c>
    </row>
    <row r="7488" spans="1:3">
      <c r="A7488" s="184">
        <v>961500956</v>
      </c>
      <c r="B7488" s="116" t="str">
        <f t="shared" si="116"/>
        <v>96-961500956</v>
      </c>
      <c r="C7488" s="185" t="s">
        <v>12668</v>
      </c>
    </row>
    <row r="7489" spans="1:3">
      <c r="A7489" s="184">
        <v>961500988</v>
      </c>
      <c r="B7489" s="116" t="str">
        <f t="shared" si="116"/>
        <v>96-961500988</v>
      </c>
      <c r="C7489" s="185" t="s">
        <v>12934</v>
      </c>
    </row>
    <row r="7490" spans="1:3">
      <c r="A7490" s="184">
        <v>961501009</v>
      </c>
      <c r="B7490" s="116" t="str">
        <f t="shared" si="116"/>
        <v>96-961501009</v>
      </c>
      <c r="C7490" s="185" t="s">
        <v>12934</v>
      </c>
    </row>
    <row r="7491" spans="1:3">
      <c r="A7491" s="184">
        <v>961501031</v>
      </c>
      <c r="B7491" s="116" t="str">
        <f t="shared" ref="B7491:B7554" si="117">MID(A7491,1,2)&amp;"-"&amp;A7491</f>
        <v>96-961501031</v>
      </c>
      <c r="C7491" s="185" t="s">
        <v>12934</v>
      </c>
    </row>
    <row r="7492" spans="1:3">
      <c r="A7492" s="184">
        <v>961500689</v>
      </c>
      <c r="B7492" s="116" t="str">
        <f t="shared" si="117"/>
        <v>96-961500689</v>
      </c>
      <c r="C7492" s="185" t="s">
        <v>9770</v>
      </c>
    </row>
    <row r="7493" spans="1:3">
      <c r="A7493" s="184">
        <v>961500802</v>
      </c>
      <c r="B7493" s="116" t="str">
        <f t="shared" si="117"/>
        <v>96-961500802</v>
      </c>
      <c r="C7493" s="185" t="s">
        <v>12306</v>
      </c>
    </row>
    <row r="7494" spans="1:3">
      <c r="A7494" s="184">
        <v>961500821</v>
      </c>
      <c r="B7494" s="116" t="str">
        <f t="shared" si="117"/>
        <v>96-961500821</v>
      </c>
      <c r="C7494" s="185" t="s">
        <v>12306</v>
      </c>
    </row>
    <row r="7495" spans="1:3">
      <c r="A7495" s="184">
        <v>961500839</v>
      </c>
      <c r="B7495" s="116" t="str">
        <f t="shared" si="117"/>
        <v>96-961500839</v>
      </c>
      <c r="C7495" s="185" t="s">
        <v>12306</v>
      </c>
    </row>
    <row r="7496" spans="1:3">
      <c r="A7496" s="184">
        <v>961500917</v>
      </c>
      <c r="B7496" s="116" t="str">
        <f t="shared" si="117"/>
        <v>96-961500917</v>
      </c>
      <c r="C7496" s="185" t="s">
        <v>12673</v>
      </c>
    </row>
    <row r="7497" spans="1:3">
      <c r="A7497" s="184">
        <v>961500922</v>
      </c>
      <c r="B7497" s="116" t="str">
        <f t="shared" si="117"/>
        <v>96-961500922</v>
      </c>
      <c r="C7497" s="185" t="s">
        <v>12673</v>
      </c>
    </row>
    <row r="7498" spans="1:3">
      <c r="A7498" s="184">
        <v>961500938</v>
      </c>
      <c r="B7498" s="116" t="str">
        <f t="shared" si="117"/>
        <v>96-961500938</v>
      </c>
      <c r="C7498" s="185" t="s">
        <v>12673</v>
      </c>
    </row>
    <row r="7499" spans="1:3">
      <c r="A7499" s="184">
        <v>961500955</v>
      </c>
      <c r="B7499" s="116" t="str">
        <f t="shared" si="117"/>
        <v>96-961500955</v>
      </c>
      <c r="C7499" s="185" t="s">
        <v>12673</v>
      </c>
    </row>
    <row r="7500" spans="1:3">
      <c r="A7500" s="184">
        <v>961501053</v>
      </c>
      <c r="B7500" s="116" t="str">
        <f t="shared" si="117"/>
        <v>96-961501053</v>
      </c>
      <c r="C7500" s="185" t="s">
        <v>12929</v>
      </c>
    </row>
    <row r="7501" spans="1:3">
      <c r="A7501" s="184">
        <v>971500014</v>
      </c>
      <c r="B7501" s="116" t="str">
        <f t="shared" si="117"/>
        <v>97-971500014</v>
      </c>
      <c r="C7501" s="185" t="s">
        <v>12929</v>
      </c>
    </row>
    <row r="7502" spans="1:3">
      <c r="A7502" s="184">
        <v>961200201</v>
      </c>
      <c r="B7502" s="116" t="str">
        <f t="shared" si="117"/>
        <v>96-961200201</v>
      </c>
      <c r="C7502" s="185" t="s">
        <v>12679</v>
      </c>
    </row>
    <row r="7503" spans="1:3">
      <c r="A7503" s="184">
        <v>961500691</v>
      </c>
      <c r="B7503" s="116" t="str">
        <f t="shared" si="117"/>
        <v>96-961500691</v>
      </c>
      <c r="C7503" s="185" t="s">
        <v>9768</v>
      </c>
    </row>
    <row r="7504" spans="1:3">
      <c r="A7504" s="184">
        <v>961500745</v>
      </c>
      <c r="B7504" s="116" t="str">
        <f t="shared" si="117"/>
        <v>96-961500745</v>
      </c>
      <c r="C7504" s="185" t="s">
        <v>9789</v>
      </c>
    </row>
    <row r="7505" spans="1:3">
      <c r="A7505" s="184">
        <v>961500747</v>
      </c>
      <c r="B7505" s="116" t="str">
        <f t="shared" si="117"/>
        <v>96-961500747</v>
      </c>
      <c r="C7505" s="185" t="s">
        <v>9784</v>
      </c>
    </row>
    <row r="7506" spans="1:3">
      <c r="A7506" s="184">
        <v>961500777</v>
      </c>
      <c r="B7506" s="116" t="str">
        <f t="shared" si="117"/>
        <v>96-961500777</v>
      </c>
      <c r="C7506" s="185" t="s">
        <v>9790</v>
      </c>
    </row>
    <row r="7507" spans="1:3">
      <c r="A7507" s="184">
        <v>961500832</v>
      </c>
      <c r="B7507" s="116" t="str">
        <f t="shared" si="117"/>
        <v>96-961500832</v>
      </c>
      <c r="C7507" s="185" t="s">
        <v>12414</v>
      </c>
    </row>
    <row r="7508" spans="1:3">
      <c r="A7508" s="184">
        <v>961500835</v>
      </c>
      <c r="B7508" s="116" t="str">
        <f t="shared" si="117"/>
        <v>96-961500835</v>
      </c>
      <c r="C7508" s="185" t="s">
        <v>12414</v>
      </c>
    </row>
    <row r="7509" spans="1:3">
      <c r="A7509" s="184">
        <v>961500840</v>
      </c>
      <c r="B7509" s="116" t="str">
        <f t="shared" si="117"/>
        <v>96-961500840</v>
      </c>
      <c r="C7509" s="185" t="s">
        <v>12414</v>
      </c>
    </row>
    <row r="7510" spans="1:3">
      <c r="A7510" s="184">
        <v>961500864</v>
      </c>
      <c r="B7510" s="116" t="str">
        <f t="shared" si="117"/>
        <v>96-961500864</v>
      </c>
      <c r="C7510" s="185" t="s">
        <v>12414</v>
      </c>
    </row>
    <row r="7511" spans="1:3">
      <c r="A7511" s="184">
        <v>961500871</v>
      </c>
      <c r="B7511" s="116" t="str">
        <f t="shared" si="117"/>
        <v>96-961500871</v>
      </c>
      <c r="C7511" s="185" t="s">
        <v>12663</v>
      </c>
    </row>
    <row r="7512" spans="1:3">
      <c r="A7512" s="184">
        <v>961501022</v>
      </c>
      <c r="B7512" s="116" t="str">
        <f t="shared" si="117"/>
        <v>96-961501022</v>
      </c>
      <c r="C7512" s="185" t="s">
        <v>12669</v>
      </c>
    </row>
    <row r="7513" spans="1:3">
      <c r="A7513" s="184">
        <v>961501035</v>
      </c>
      <c r="B7513" s="116" t="str">
        <f t="shared" si="117"/>
        <v>96-961501035</v>
      </c>
      <c r="C7513" s="185" t="s">
        <v>12669</v>
      </c>
    </row>
    <row r="7514" spans="1:3">
      <c r="A7514" s="184">
        <v>961500684</v>
      </c>
      <c r="B7514" s="116" t="str">
        <f t="shared" si="117"/>
        <v>96-961500684</v>
      </c>
      <c r="C7514" s="185" t="s">
        <v>9770</v>
      </c>
    </row>
    <row r="7515" spans="1:3">
      <c r="A7515" s="184">
        <v>961500844</v>
      </c>
      <c r="B7515" s="116" t="str">
        <f t="shared" si="117"/>
        <v>96-961500844</v>
      </c>
      <c r="C7515" s="185" t="s">
        <v>12306</v>
      </c>
    </row>
    <row r="7516" spans="1:3">
      <c r="A7516" s="184">
        <v>961500857</v>
      </c>
      <c r="B7516" s="116" t="str">
        <f t="shared" si="117"/>
        <v>96-961500857</v>
      </c>
      <c r="C7516" s="185" t="s">
        <v>12306</v>
      </c>
    </row>
    <row r="7517" spans="1:3">
      <c r="A7517" s="184">
        <v>961500932</v>
      </c>
      <c r="B7517" s="116" t="str">
        <f t="shared" si="117"/>
        <v>96-961500932</v>
      </c>
      <c r="C7517" s="185" t="s">
        <v>12673</v>
      </c>
    </row>
    <row r="7518" spans="1:3">
      <c r="A7518" s="184">
        <v>961500951</v>
      </c>
      <c r="B7518" s="116" t="str">
        <f t="shared" si="117"/>
        <v>96-961500951</v>
      </c>
      <c r="C7518" s="185" t="s">
        <v>12673</v>
      </c>
    </row>
    <row r="7519" spans="1:3">
      <c r="A7519" s="184">
        <v>961500962</v>
      </c>
      <c r="B7519" s="116" t="str">
        <f t="shared" si="117"/>
        <v>96-961500962</v>
      </c>
      <c r="C7519" s="185" t="s">
        <v>12673</v>
      </c>
    </row>
    <row r="7520" spans="1:3">
      <c r="A7520" s="184">
        <v>961500976</v>
      </c>
      <c r="B7520" s="116" t="str">
        <f t="shared" si="117"/>
        <v>96-961500976</v>
      </c>
      <c r="C7520" s="185" t="s">
        <v>12673</v>
      </c>
    </row>
    <row r="7521" spans="1:3">
      <c r="A7521" s="184">
        <v>961500983</v>
      </c>
      <c r="B7521" s="116" t="str">
        <f t="shared" si="117"/>
        <v>96-961500983</v>
      </c>
      <c r="C7521" s="185" t="s">
        <v>12673</v>
      </c>
    </row>
    <row r="7522" spans="1:3">
      <c r="A7522" s="184">
        <v>961500985</v>
      </c>
      <c r="B7522" s="116" t="str">
        <f t="shared" si="117"/>
        <v>96-961500985</v>
      </c>
      <c r="C7522" s="185" t="s">
        <v>12673</v>
      </c>
    </row>
    <row r="7523" spans="1:3">
      <c r="A7523" s="184">
        <v>971500003</v>
      </c>
      <c r="B7523" s="116" t="str">
        <f t="shared" si="117"/>
        <v>97-971500003</v>
      </c>
      <c r="C7523" s="185" t="s">
        <v>12929</v>
      </c>
    </row>
    <row r="7524" spans="1:3">
      <c r="A7524" s="184">
        <v>961500724</v>
      </c>
      <c r="B7524" s="116" t="str">
        <f t="shared" si="117"/>
        <v>96-961500724</v>
      </c>
      <c r="C7524" s="185" t="s">
        <v>9796</v>
      </c>
    </row>
    <row r="7525" spans="1:3">
      <c r="A7525" s="184">
        <v>961500725</v>
      </c>
      <c r="B7525" s="116" t="str">
        <f t="shared" si="117"/>
        <v>96-961500725</v>
      </c>
      <c r="C7525" s="185" t="s">
        <v>9796</v>
      </c>
    </row>
    <row r="7526" spans="1:3">
      <c r="A7526" s="184">
        <v>961500760</v>
      </c>
      <c r="B7526" s="116" t="str">
        <f t="shared" si="117"/>
        <v>96-961500760</v>
      </c>
      <c r="C7526" s="185" t="s">
        <v>9797</v>
      </c>
    </row>
    <row r="7527" spans="1:3">
      <c r="A7527" s="184">
        <v>962000269</v>
      </c>
      <c r="B7527" s="116" t="str">
        <f t="shared" si="117"/>
        <v>96-962000269</v>
      </c>
      <c r="C7527" s="185" t="s">
        <v>7112</v>
      </c>
    </row>
    <row r="7528" spans="1:3">
      <c r="A7528" s="184">
        <v>971500010</v>
      </c>
      <c r="B7528" s="116" t="str">
        <f t="shared" si="117"/>
        <v>97-971500010</v>
      </c>
      <c r="C7528" s="185" t="s">
        <v>12669</v>
      </c>
    </row>
    <row r="7529" spans="1:3">
      <c r="A7529" s="184">
        <v>961500792</v>
      </c>
      <c r="B7529" s="116" t="str">
        <f t="shared" si="117"/>
        <v>96-961500792</v>
      </c>
      <c r="C7529" s="185" t="s">
        <v>12218</v>
      </c>
    </row>
    <row r="7530" spans="1:3">
      <c r="A7530" s="184">
        <v>961500830</v>
      </c>
      <c r="B7530" s="116" t="str">
        <f t="shared" si="117"/>
        <v>96-961500830</v>
      </c>
      <c r="C7530" s="185" t="s">
        <v>12221</v>
      </c>
    </row>
    <row r="7531" spans="1:3">
      <c r="A7531" s="184">
        <v>961500834</v>
      </c>
      <c r="B7531" s="116" t="str">
        <f t="shared" si="117"/>
        <v>96-961500834</v>
      </c>
      <c r="C7531" s="185" t="s">
        <v>12414</v>
      </c>
    </row>
    <row r="7532" spans="1:3">
      <c r="A7532" s="184">
        <v>961500854</v>
      </c>
      <c r="B7532" s="116" t="str">
        <f t="shared" si="117"/>
        <v>96-961500854</v>
      </c>
      <c r="C7532" s="185" t="s">
        <v>12414</v>
      </c>
    </row>
    <row r="7533" spans="1:3">
      <c r="A7533" s="184">
        <v>961500919</v>
      </c>
      <c r="B7533" s="116" t="str">
        <f t="shared" si="117"/>
        <v>96-961500919</v>
      </c>
      <c r="C7533" s="185" t="s">
        <v>12414</v>
      </c>
    </row>
    <row r="7534" spans="1:3">
      <c r="A7534" s="184">
        <v>961500949</v>
      </c>
      <c r="B7534" s="116" t="str">
        <f t="shared" si="117"/>
        <v>96-961500949</v>
      </c>
      <c r="C7534" s="185" t="s">
        <v>12414</v>
      </c>
    </row>
    <row r="7535" spans="1:3">
      <c r="A7535" s="184">
        <v>961500950</v>
      </c>
      <c r="B7535" s="116" t="str">
        <f t="shared" si="117"/>
        <v>96-961500950</v>
      </c>
      <c r="C7535" s="185" t="s">
        <v>12414</v>
      </c>
    </row>
    <row r="7536" spans="1:3">
      <c r="A7536" s="184">
        <v>961501003</v>
      </c>
      <c r="B7536" s="116" t="str">
        <f t="shared" si="117"/>
        <v>96-961501003</v>
      </c>
      <c r="C7536" s="185" t="s">
        <v>12663</v>
      </c>
    </row>
    <row r="7537" spans="1:3">
      <c r="A7537" s="184">
        <v>971500053</v>
      </c>
      <c r="B7537" s="116" t="str">
        <f t="shared" si="117"/>
        <v>97-971500053</v>
      </c>
      <c r="C7537" s="185" t="s">
        <v>12669</v>
      </c>
    </row>
    <row r="7538" spans="1:3">
      <c r="A7538" s="184">
        <v>961500696</v>
      </c>
      <c r="B7538" s="116" t="str">
        <f t="shared" si="117"/>
        <v>96-961500696</v>
      </c>
      <c r="C7538" s="185" t="s">
        <v>9762</v>
      </c>
    </row>
    <row r="7539" spans="1:3">
      <c r="A7539" s="184">
        <v>961500711</v>
      </c>
      <c r="B7539" s="116" t="str">
        <f t="shared" si="117"/>
        <v>96-961500711</v>
      </c>
      <c r="C7539" s="185" t="s">
        <v>9762</v>
      </c>
    </row>
    <row r="7540" spans="1:3">
      <c r="A7540" s="184">
        <v>961500743</v>
      </c>
      <c r="B7540" s="116" t="str">
        <f t="shared" si="117"/>
        <v>96-961500743</v>
      </c>
      <c r="C7540" s="185" t="s">
        <v>9794</v>
      </c>
    </row>
    <row r="7541" spans="1:3">
      <c r="A7541" s="184">
        <v>961500775</v>
      </c>
      <c r="B7541" s="116" t="str">
        <f t="shared" si="117"/>
        <v>96-961500775</v>
      </c>
      <c r="C7541" s="185" t="s">
        <v>12217</v>
      </c>
    </row>
    <row r="7542" spans="1:3">
      <c r="A7542" s="184">
        <v>961501037</v>
      </c>
      <c r="B7542" s="116" t="str">
        <f t="shared" si="117"/>
        <v>96-961501037</v>
      </c>
      <c r="C7542" s="185" t="s">
        <v>12935</v>
      </c>
    </row>
    <row r="7543" spans="1:3">
      <c r="A7543" s="184">
        <v>961501042</v>
      </c>
      <c r="B7543" s="116" t="str">
        <f t="shared" si="117"/>
        <v>96-961501042</v>
      </c>
      <c r="C7543" s="185" t="s">
        <v>12675</v>
      </c>
    </row>
    <row r="7544" spans="1:3">
      <c r="A7544" s="184">
        <v>961500718</v>
      </c>
      <c r="B7544" s="116" t="str">
        <f t="shared" si="117"/>
        <v>96-961500718</v>
      </c>
      <c r="C7544" s="185" t="s">
        <v>9762</v>
      </c>
    </row>
    <row r="7545" spans="1:3">
      <c r="A7545" s="184">
        <v>961500776</v>
      </c>
      <c r="B7545" s="116" t="str">
        <f t="shared" si="117"/>
        <v>96-961500776</v>
      </c>
      <c r="C7545" s="185" t="s">
        <v>12217</v>
      </c>
    </row>
    <row r="7546" spans="1:3">
      <c r="A7546" s="184">
        <v>961500849</v>
      </c>
      <c r="B7546" s="116" t="str">
        <f t="shared" si="117"/>
        <v>96-961500849</v>
      </c>
      <c r="C7546" s="185" t="s">
        <v>12424</v>
      </c>
    </row>
    <row r="7547" spans="1:3">
      <c r="A7547" s="184">
        <v>961500860</v>
      </c>
      <c r="B7547" s="116" t="str">
        <f t="shared" si="117"/>
        <v>96-961500860</v>
      </c>
      <c r="C7547" s="185" t="s">
        <v>12674</v>
      </c>
    </row>
    <row r="7548" spans="1:3">
      <c r="A7548" s="184">
        <v>971500026</v>
      </c>
      <c r="B7548" s="116" t="str">
        <f t="shared" si="117"/>
        <v>97-971500026</v>
      </c>
      <c r="C7548" s="185" t="s">
        <v>12220</v>
      </c>
    </row>
    <row r="7549" spans="1:3">
      <c r="A7549" s="184">
        <v>961500818</v>
      </c>
      <c r="B7549" s="116" t="str">
        <f t="shared" si="117"/>
        <v>96-961500818</v>
      </c>
      <c r="C7549" s="185" t="s">
        <v>12426</v>
      </c>
    </row>
    <row r="7550" spans="1:3">
      <c r="A7550" s="184">
        <v>961500705</v>
      </c>
      <c r="B7550" s="116" t="str">
        <f t="shared" si="117"/>
        <v>96-961500705</v>
      </c>
      <c r="C7550" s="185" t="s">
        <v>9798</v>
      </c>
    </row>
    <row r="7551" spans="1:3">
      <c r="A7551" s="184">
        <v>961500836</v>
      </c>
      <c r="B7551" s="116" t="str">
        <f t="shared" si="117"/>
        <v>96-961500836</v>
      </c>
      <c r="C7551" s="185" t="s">
        <v>12427</v>
      </c>
    </row>
    <row r="7552" spans="1:3">
      <c r="A7552" s="184">
        <v>961501005</v>
      </c>
      <c r="B7552" s="116" t="str">
        <f t="shared" si="117"/>
        <v>96-961501005</v>
      </c>
      <c r="C7552" s="185" t="s">
        <v>12672</v>
      </c>
    </row>
    <row r="7553" spans="1:3">
      <c r="A7553" s="184">
        <v>961501016</v>
      </c>
      <c r="B7553" s="116" t="str">
        <f t="shared" si="117"/>
        <v>96-961501016</v>
      </c>
      <c r="C7553" s="185" t="s">
        <v>12672</v>
      </c>
    </row>
    <row r="7554" spans="1:3">
      <c r="A7554" s="184">
        <v>961500969</v>
      </c>
      <c r="B7554" s="116" t="str">
        <f t="shared" si="117"/>
        <v>96-961500969</v>
      </c>
      <c r="C7554" s="185" t="s">
        <v>12677</v>
      </c>
    </row>
    <row r="7555" spans="1:3">
      <c r="A7555" s="184">
        <v>961500867</v>
      </c>
      <c r="B7555" s="116" t="str">
        <f t="shared" ref="B7555:B7618" si="118">MID(A7555,1,2)&amp;"-"&amp;A7555</f>
        <v>96-961500867</v>
      </c>
      <c r="C7555" s="185" t="s">
        <v>12675</v>
      </c>
    </row>
    <row r="7556" spans="1:3">
      <c r="A7556" s="184">
        <v>961501047</v>
      </c>
      <c r="B7556" s="116" t="str">
        <f t="shared" si="118"/>
        <v>96-961501047</v>
      </c>
      <c r="C7556" s="185" t="s">
        <v>12675</v>
      </c>
    </row>
    <row r="7557" spans="1:3">
      <c r="A7557" s="184">
        <v>961500921</v>
      </c>
      <c r="B7557" s="116" t="str">
        <f t="shared" si="118"/>
        <v>96-961500921</v>
      </c>
      <c r="C7557" s="185" t="s">
        <v>12427</v>
      </c>
    </row>
    <row r="7558" spans="1:3">
      <c r="A7558" s="184">
        <v>961500856</v>
      </c>
      <c r="B7558" s="116" t="str">
        <f t="shared" si="118"/>
        <v>96-961500856</v>
      </c>
      <c r="C7558" s="185" t="s">
        <v>12428</v>
      </c>
    </row>
    <row r="7559" spans="1:3">
      <c r="A7559" s="184">
        <v>961500914</v>
      </c>
      <c r="B7559" s="116" t="str">
        <f t="shared" si="118"/>
        <v>96-961500914</v>
      </c>
      <c r="C7559" s="185" t="s">
        <v>12428</v>
      </c>
    </row>
    <row r="7560" spans="1:3">
      <c r="A7560" s="184">
        <v>961500984</v>
      </c>
      <c r="B7560" s="116" t="str">
        <f t="shared" si="118"/>
        <v>96-961500984</v>
      </c>
      <c r="C7560" s="185" t="s">
        <v>12672</v>
      </c>
    </row>
    <row r="7561" spans="1:3">
      <c r="A7561" s="184">
        <v>961500990</v>
      </c>
      <c r="B7561" s="116" t="str">
        <f t="shared" si="118"/>
        <v>96-961500990</v>
      </c>
      <c r="C7561" s="185" t="s">
        <v>12672</v>
      </c>
    </row>
    <row r="7562" spans="1:3">
      <c r="A7562" s="184">
        <v>961501032</v>
      </c>
      <c r="B7562" s="116" t="str">
        <f t="shared" si="118"/>
        <v>96-961501032</v>
      </c>
      <c r="C7562" s="185" t="s">
        <v>12672</v>
      </c>
    </row>
    <row r="7563" spans="1:3">
      <c r="A7563" s="184">
        <v>971500032</v>
      </c>
      <c r="B7563" s="116" t="str">
        <f t="shared" si="118"/>
        <v>97-971500032</v>
      </c>
      <c r="C7563" s="185" t="s">
        <v>13019</v>
      </c>
    </row>
    <row r="7564" spans="1:3">
      <c r="A7564" s="184">
        <v>961501023</v>
      </c>
      <c r="B7564" s="116" t="str">
        <f t="shared" si="118"/>
        <v>96-961501023</v>
      </c>
      <c r="C7564" s="185" t="s">
        <v>12939</v>
      </c>
    </row>
    <row r="7565" spans="1:3">
      <c r="A7565" s="184">
        <v>961100098</v>
      </c>
      <c r="B7565" s="116" t="str">
        <f t="shared" si="118"/>
        <v>96-961100098</v>
      </c>
      <c r="C7565" s="185" t="s">
        <v>12230</v>
      </c>
    </row>
    <row r="7566" spans="1:3">
      <c r="A7566" s="184">
        <v>962000326</v>
      </c>
      <c r="B7566" s="116" t="str">
        <f t="shared" si="118"/>
        <v>96-962000326</v>
      </c>
      <c r="C7566" s="185" t="s">
        <v>7112</v>
      </c>
    </row>
    <row r="7567" spans="1:3">
      <c r="A7567" s="184">
        <v>966200640</v>
      </c>
      <c r="B7567" s="116" t="str">
        <f t="shared" si="118"/>
        <v>96-966200640</v>
      </c>
      <c r="C7567" s="185" t="s">
        <v>13071</v>
      </c>
    </row>
    <row r="7568" spans="1:3">
      <c r="A7568" s="184">
        <v>966200761</v>
      </c>
      <c r="B7568" s="116" t="str">
        <f t="shared" si="118"/>
        <v>96-966200761</v>
      </c>
      <c r="C7568" s="185" t="s">
        <v>13014</v>
      </c>
    </row>
    <row r="7569" spans="1:3">
      <c r="A7569" s="184">
        <v>966300065</v>
      </c>
      <c r="B7569" s="116" t="str">
        <f t="shared" si="118"/>
        <v>96-966300065</v>
      </c>
      <c r="C7569" s="185" t="s">
        <v>13072</v>
      </c>
    </row>
    <row r="7570" spans="1:3">
      <c r="A7570" s="184">
        <v>962000231</v>
      </c>
      <c r="B7570" s="116" t="str">
        <f t="shared" si="118"/>
        <v>96-962000231</v>
      </c>
      <c r="C7570" s="185" t="s">
        <v>7112</v>
      </c>
    </row>
    <row r="7571" spans="1:3">
      <c r="A7571" s="184">
        <v>962000265</v>
      </c>
      <c r="B7571" s="116" t="str">
        <f t="shared" si="118"/>
        <v>96-962000265</v>
      </c>
      <c r="C7571" s="185" t="s">
        <v>7112</v>
      </c>
    </row>
    <row r="7572" spans="1:3">
      <c r="A7572" s="184">
        <v>962000252</v>
      </c>
      <c r="B7572" s="116" t="str">
        <f t="shared" si="118"/>
        <v>96-962000252</v>
      </c>
      <c r="C7572" s="185" t="s">
        <v>7112</v>
      </c>
    </row>
    <row r="7573" spans="1:3">
      <c r="A7573" s="184">
        <v>966200563</v>
      </c>
      <c r="B7573" s="116" t="str">
        <f t="shared" si="118"/>
        <v>96-966200563</v>
      </c>
      <c r="C7573" s="185" t="s">
        <v>13073</v>
      </c>
    </row>
    <row r="7574" spans="1:3">
      <c r="A7574" s="184">
        <v>966200508</v>
      </c>
      <c r="B7574" s="116" t="str">
        <f t="shared" si="118"/>
        <v>96-966200508</v>
      </c>
      <c r="C7574" s="185" t="s">
        <v>12430</v>
      </c>
    </row>
    <row r="7575" spans="1:3">
      <c r="A7575" s="184">
        <v>966300044</v>
      </c>
      <c r="B7575" s="116" t="str">
        <f t="shared" si="118"/>
        <v>96-966300044</v>
      </c>
      <c r="C7575" s="185" t="s">
        <v>12227</v>
      </c>
    </row>
    <row r="7576" spans="1:3">
      <c r="A7576" s="184">
        <v>966300058</v>
      </c>
      <c r="B7576" s="116" t="str">
        <f t="shared" si="118"/>
        <v>96-966300058</v>
      </c>
      <c r="C7576" s="185" t="s">
        <v>13074</v>
      </c>
    </row>
    <row r="7577" spans="1:3">
      <c r="A7577" s="184">
        <v>966300048</v>
      </c>
      <c r="B7577" s="116" t="str">
        <f t="shared" si="118"/>
        <v>96-966300048</v>
      </c>
      <c r="C7577" s="185" t="s">
        <v>12223</v>
      </c>
    </row>
    <row r="7578" spans="1:3">
      <c r="A7578" s="184">
        <v>966300034</v>
      </c>
      <c r="B7578" s="116" t="str">
        <f t="shared" si="118"/>
        <v>96-966300034</v>
      </c>
      <c r="C7578" s="185" t="s">
        <v>12235</v>
      </c>
    </row>
    <row r="7579" spans="1:3">
      <c r="A7579" s="184">
        <v>966300063</v>
      </c>
      <c r="B7579" s="116" t="str">
        <f t="shared" si="118"/>
        <v>96-966300063</v>
      </c>
      <c r="C7579" s="185" t="s">
        <v>13075</v>
      </c>
    </row>
    <row r="7580" spans="1:3">
      <c r="A7580" s="184">
        <v>966200541</v>
      </c>
      <c r="B7580" s="116" t="str">
        <f t="shared" si="118"/>
        <v>96-966200541</v>
      </c>
      <c r="C7580" s="185" t="s">
        <v>13076</v>
      </c>
    </row>
    <row r="7581" spans="1:3">
      <c r="A7581" s="184">
        <v>962000332</v>
      </c>
      <c r="B7581" s="116" t="str">
        <f t="shared" si="118"/>
        <v>96-962000332</v>
      </c>
      <c r="C7581" s="185" t="s">
        <v>7112</v>
      </c>
    </row>
    <row r="7582" spans="1:3">
      <c r="A7582" s="184">
        <v>961200131</v>
      </c>
      <c r="B7582" s="116" t="str">
        <f t="shared" si="118"/>
        <v>96-961200131</v>
      </c>
      <c r="C7582" s="185" t="s">
        <v>12225</v>
      </c>
    </row>
    <row r="7583" spans="1:3">
      <c r="A7583" s="184">
        <v>966300051</v>
      </c>
      <c r="B7583" s="116" t="str">
        <f t="shared" si="118"/>
        <v>96-966300051</v>
      </c>
      <c r="C7583" s="185" t="s">
        <v>12190</v>
      </c>
    </row>
    <row r="7584" spans="1:3">
      <c r="A7584" s="184">
        <v>966200412</v>
      </c>
      <c r="B7584" s="116" t="str">
        <f t="shared" si="118"/>
        <v>96-966200412</v>
      </c>
      <c r="C7584" s="185" t="s">
        <v>12224</v>
      </c>
    </row>
    <row r="7585" spans="1:3">
      <c r="A7585" s="184">
        <v>961100106</v>
      </c>
      <c r="B7585" s="116" t="str">
        <f t="shared" si="118"/>
        <v>96-961100106</v>
      </c>
      <c r="C7585" s="185" t="s">
        <v>12432</v>
      </c>
    </row>
    <row r="7586" spans="1:3">
      <c r="A7586" s="184">
        <v>966300070</v>
      </c>
      <c r="B7586" s="116" t="str">
        <f t="shared" si="118"/>
        <v>96-966300070</v>
      </c>
      <c r="C7586" s="185" t="s">
        <v>13077</v>
      </c>
    </row>
    <row r="7587" spans="1:3">
      <c r="A7587" s="184">
        <v>962000429</v>
      </c>
      <c r="B7587" s="116" t="str">
        <f t="shared" si="118"/>
        <v>96-962000429</v>
      </c>
      <c r="C7587" s="185" t="s">
        <v>12184</v>
      </c>
    </row>
    <row r="7588" spans="1:3">
      <c r="A7588" s="184">
        <v>962000339</v>
      </c>
      <c r="B7588" s="116" t="str">
        <f t="shared" si="118"/>
        <v>96-962000339</v>
      </c>
      <c r="C7588" s="185" t="s">
        <v>12184</v>
      </c>
    </row>
    <row r="7589" spans="1:3">
      <c r="A7589" s="184">
        <v>962000267</v>
      </c>
      <c r="B7589" s="116" t="str">
        <f t="shared" si="118"/>
        <v>96-962000267</v>
      </c>
      <c r="C7589" s="185" t="s">
        <v>7112</v>
      </c>
    </row>
    <row r="7590" spans="1:3">
      <c r="A7590" s="184">
        <v>966200504</v>
      </c>
      <c r="B7590" s="116" t="str">
        <f t="shared" si="118"/>
        <v>96-966200504</v>
      </c>
      <c r="C7590" s="185" t="s">
        <v>12415</v>
      </c>
    </row>
    <row r="7591" spans="1:3">
      <c r="A7591" s="184">
        <v>962000256</v>
      </c>
      <c r="B7591" s="116" t="str">
        <f t="shared" si="118"/>
        <v>96-962000256</v>
      </c>
      <c r="C7591" s="185" t="s">
        <v>7112</v>
      </c>
    </row>
    <row r="7592" spans="1:3">
      <c r="A7592" s="184">
        <v>962000441</v>
      </c>
      <c r="B7592" s="116" t="str">
        <f t="shared" si="118"/>
        <v>96-962000441</v>
      </c>
      <c r="C7592" s="185" t="s">
        <v>12184</v>
      </c>
    </row>
    <row r="7593" spans="1:3">
      <c r="A7593" s="184">
        <v>966200582</v>
      </c>
      <c r="B7593" s="116" t="str">
        <f t="shared" si="118"/>
        <v>96-966200582</v>
      </c>
      <c r="C7593" s="185" t="s">
        <v>13078</v>
      </c>
    </row>
    <row r="7594" spans="1:3">
      <c r="A7594" s="184">
        <v>962000463</v>
      </c>
      <c r="B7594" s="116" t="str">
        <f t="shared" si="118"/>
        <v>96-962000463</v>
      </c>
      <c r="C7594" s="185" t="s">
        <v>12184</v>
      </c>
    </row>
    <row r="7595" spans="1:3">
      <c r="A7595" s="184">
        <v>972000052</v>
      </c>
      <c r="B7595" s="116" t="str">
        <f t="shared" si="118"/>
        <v>97-972000052</v>
      </c>
      <c r="C7595" s="185" t="s">
        <v>13003</v>
      </c>
    </row>
    <row r="7596" spans="1:3">
      <c r="A7596" s="184">
        <v>966200691</v>
      </c>
      <c r="B7596" s="116" t="str">
        <f t="shared" si="118"/>
        <v>96-966200691</v>
      </c>
      <c r="C7596" s="185" t="s">
        <v>13079</v>
      </c>
    </row>
    <row r="7597" spans="1:3">
      <c r="A7597" s="184">
        <v>966200404</v>
      </c>
      <c r="B7597" s="116" t="str">
        <f t="shared" si="118"/>
        <v>96-966200404</v>
      </c>
      <c r="C7597" s="185" t="s">
        <v>12239</v>
      </c>
    </row>
    <row r="7598" spans="1:3">
      <c r="A7598" s="184">
        <v>962000243</v>
      </c>
      <c r="B7598" s="116" t="str">
        <f t="shared" si="118"/>
        <v>96-962000243</v>
      </c>
      <c r="C7598" s="185" t="s">
        <v>7112</v>
      </c>
    </row>
    <row r="7599" spans="1:3">
      <c r="A7599" s="184">
        <v>966300045</v>
      </c>
      <c r="B7599" s="116" t="str">
        <f t="shared" si="118"/>
        <v>96-966300045</v>
      </c>
      <c r="C7599" s="185" t="s">
        <v>12263</v>
      </c>
    </row>
    <row r="7600" spans="1:3">
      <c r="A7600" s="184">
        <v>966200760</v>
      </c>
      <c r="B7600" s="116" t="str">
        <f t="shared" si="118"/>
        <v>96-966200760</v>
      </c>
      <c r="C7600" s="185" t="s">
        <v>13014</v>
      </c>
    </row>
    <row r="7601" spans="1:3">
      <c r="A7601" s="184">
        <v>966200550</v>
      </c>
      <c r="B7601" s="116" t="str">
        <f t="shared" si="118"/>
        <v>96-966200550</v>
      </c>
      <c r="C7601" s="185" t="s">
        <v>13073</v>
      </c>
    </row>
    <row r="7602" spans="1:3">
      <c r="A7602" s="184">
        <v>966200690</v>
      </c>
      <c r="B7602" s="116" t="str">
        <f t="shared" si="118"/>
        <v>96-966200690</v>
      </c>
      <c r="C7602" s="185" t="s">
        <v>13079</v>
      </c>
    </row>
    <row r="7603" spans="1:3">
      <c r="A7603" s="184">
        <v>961200153</v>
      </c>
      <c r="B7603" s="116" t="str">
        <f t="shared" si="118"/>
        <v>96-961200153</v>
      </c>
      <c r="C7603" s="185" t="s">
        <v>12443</v>
      </c>
    </row>
    <row r="7604" spans="1:3">
      <c r="A7604" s="184">
        <v>962000249</v>
      </c>
      <c r="B7604" s="116" t="str">
        <f t="shared" si="118"/>
        <v>96-962000249</v>
      </c>
      <c r="C7604" s="185" t="s">
        <v>7112</v>
      </c>
    </row>
    <row r="7605" spans="1:3">
      <c r="A7605" s="184">
        <v>962000341</v>
      </c>
      <c r="B7605" s="116" t="str">
        <f t="shared" si="118"/>
        <v>96-962000341</v>
      </c>
      <c r="C7605" s="185" t="s">
        <v>12184</v>
      </c>
    </row>
    <row r="7606" spans="1:3">
      <c r="A7606" s="184">
        <v>962000311</v>
      </c>
      <c r="B7606" s="116" t="str">
        <f t="shared" si="118"/>
        <v>96-962000311</v>
      </c>
      <c r="C7606" s="185" t="s">
        <v>7112</v>
      </c>
    </row>
    <row r="7607" spans="1:3">
      <c r="A7607" s="184">
        <v>966200522</v>
      </c>
      <c r="B7607" s="116" t="str">
        <f t="shared" si="118"/>
        <v>96-966200522</v>
      </c>
      <c r="C7607" s="185" t="s">
        <v>12411</v>
      </c>
    </row>
    <row r="7608" spans="1:3">
      <c r="A7608" s="184">
        <v>966200542</v>
      </c>
      <c r="B7608" s="116" t="str">
        <f t="shared" si="118"/>
        <v>96-966200542</v>
      </c>
      <c r="C7608" s="185" t="s">
        <v>13076</v>
      </c>
    </row>
    <row r="7609" spans="1:3">
      <c r="A7609" s="184">
        <v>961200214</v>
      </c>
      <c r="B7609" s="116" t="str">
        <f t="shared" si="118"/>
        <v>96-961200214</v>
      </c>
      <c r="C7609" s="185" t="s">
        <v>12941</v>
      </c>
    </row>
    <row r="7610" spans="1:3">
      <c r="A7610" s="184">
        <v>966200495</v>
      </c>
      <c r="B7610" s="116" t="str">
        <f t="shared" si="118"/>
        <v>96-966200495</v>
      </c>
      <c r="C7610" s="185" t="s">
        <v>12189</v>
      </c>
    </row>
    <row r="7611" spans="1:3">
      <c r="A7611" s="184">
        <v>966200524</v>
      </c>
      <c r="B7611" s="116" t="str">
        <f t="shared" si="118"/>
        <v>96-966200524</v>
      </c>
      <c r="C7611" s="185" t="s">
        <v>12411</v>
      </c>
    </row>
    <row r="7612" spans="1:3">
      <c r="A7612" s="184">
        <v>966200579</v>
      </c>
      <c r="B7612" s="116" t="str">
        <f t="shared" si="118"/>
        <v>96-966200579</v>
      </c>
      <c r="C7612" s="185" t="s">
        <v>13078</v>
      </c>
    </row>
    <row r="7613" spans="1:3">
      <c r="A7613" s="184">
        <v>962000237</v>
      </c>
      <c r="B7613" s="116" t="str">
        <f t="shared" si="118"/>
        <v>96-962000237</v>
      </c>
      <c r="C7613" s="185" t="s">
        <v>7112</v>
      </c>
    </row>
    <row r="7614" spans="1:3">
      <c r="A7614" s="184">
        <v>966200499</v>
      </c>
      <c r="B7614" s="116" t="str">
        <f t="shared" si="118"/>
        <v>96-966200499</v>
      </c>
      <c r="C7614" s="185" t="s">
        <v>12415</v>
      </c>
    </row>
    <row r="7615" spans="1:3">
      <c r="A7615" s="184">
        <v>962000272</v>
      </c>
      <c r="B7615" s="116" t="str">
        <f t="shared" si="118"/>
        <v>96-962000272</v>
      </c>
      <c r="C7615" s="185" t="s">
        <v>7112</v>
      </c>
    </row>
    <row r="7616" spans="1:3">
      <c r="A7616" s="184">
        <v>962000312</v>
      </c>
      <c r="B7616" s="116" t="str">
        <f t="shared" si="118"/>
        <v>96-962000312</v>
      </c>
      <c r="C7616" s="185" t="s">
        <v>7112</v>
      </c>
    </row>
    <row r="7617" spans="1:3">
      <c r="A7617" s="184">
        <v>961100116</v>
      </c>
      <c r="B7617" s="116" t="str">
        <f t="shared" si="118"/>
        <v>96-961100116</v>
      </c>
      <c r="C7617" s="185" t="s">
        <v>13080</v>
      </c>
    </row>
    <row r="7618" spans="1:3">
      <c r="A7618" s="184">
        <v>961200125</v>
      </c>
      <c r="B7618" s="116" t="str">
        <f t="shared" si="118"/>
        <v>96-961200125</v>
      </c>
      <c r="C7618" s="185" t="s">
        <v>9791</v>
      </c>
    </row>
    <row r="7619" spans="1:3">
      <c r="A7619" s="184">
        <v>961200174</v>
      </c>
      <c r="B7619" s="116" t="str">
        <f t="shared" ref="B7619:B7682" si="119">MID(A7619,1,2)&amp;"-"&amp;A7619</f>
        <v>96-961200174</v>
      </c>
      <c r="C7619" s="185" t="s">
        <v>12431</v>
      </c>
    </row>
    <row r="7620" spans="1:3">
      <c r="A7620" s="184">
        <v>961200208</v>
      </c>
      <c r="B7620" s="116" t="str">
        <f t="shared" si="119"/>
        <v>96-961200208</v>
      </c>
      <c r="C7620" s="185" t="s">
        <v>12680</v>
      </c>
    </row>
    <row r="7621" spans="1:3">
      <c r="A7621" s="184">
        <v>962000456</v>
      </c>
      <c r="B7621" s="116" t="str">
        <f t="shared" si="119"/>
        <v>96-962000456</v>
      </c>
      <c r="C7621" s="185" t="s">
        <v>12184</v>
      </c>
    </row>
    <row r="7622" spans="1:3">
      <c r="A7622" s="184">
        <v>966200434</v>
      </c>
      <c r="B7622" s="116" t="str">
        <f t="shared" si="119"/>
        <v>96-966200434</v>
      </c>
      <c r="C7622" s="185" t="s">
        <v>12236</v>
      </c>
    </row>
    <row r="7623" spans="1:3">
      <c r="A7623" s="184">
        <v>961100102</v>
      </c>
      <c r="B7623" s="116" t="str">
        <f t="shared" si="119"/>
        <v>96-961100102</v>
      </c>
      <c r="C7623" s="185" t="s">
        <v>12268</v>
      </c>
    </row>
    <row r="7624" spans="1:3">
      <c r="A7624" s="184">
        <v>962000266</v>
      </c>
      <c r="B7624" s="116" t="str">
        <f t="shared" si="119"/>
        <v>96-962000266</v>
      </c>
      <c r="C7624" s="185" t="s">
        <v>7112</v>
      </c>
    </row>
    <row r="7625" spans="1:3">
      <c r="A7625" s="184">
        <v>961200127</v>
      </c>
      <c r="B7625" s="116" t="str">
        <f t="shared" si="119"/>
        <v>96-961200127</v>
      </c>
      <c r="C7625" s="185" t="s">
        <v>9764</v>
      </c>
    </row>
    <row r="7626" spans="1:3">
      <c r="A7626" s="184">
        <v>961200162</v>
      </c>
      <c r="B7626" s="116" t="str">
        <f t="shared" si="119"/>
        <v>96-961200162</v>
      </c>
      <c r="C7626" s="185" t="s">
        <v>12441</v>
      </c>
    </row>
    <row r="7627" spans="1:3">
      <c r="A7627" s="184">
        <v>961200165</v>
      </c>
      <c r="B7627" s="116" t="str">
        <f t="shared" si="119"/>
        <v>96-961200165</v>
      </c>
      <c r="C7627" s="185" t="s">
        <v>12441</v>
      </c>
    </row>
    <row r="7628" spans="1:3">
      <c r="A7628" s="184">
        <v>961200188</v>
      </c>
      <c r="B7628" s="116" t="str">
        <f t="shared" si="119"/>
        <v>96-961200188</v>
      </c>
      <c r="C7628" s="185" t="s">
        <v>12682</v>
      </c>
    </row>
    <row r="7629" spans="1:3">
      <c r="A7629" s="184">
        <v>961200194</v>
      </c>
      <c r="B7629" s="116" t="str">
        <f t="shared" si="119"/>
        <v>96-961200194</v>
      </c>
      <c r="C7629" s="185" t="s">
        <v>12682</v>
      </c>
    </row>
    <row r="7630" spans="1:3">
      <c r="A7630" s="184">
        <v>961200196</v>
      </c>
      <c r="B7630" s="116" t="str">
        <f t="shared" si="119"/>
        <v>96-961200196</v>
      </c>
      <c r="C7630" s="185" t="s">
        <v>12682</v>
      </c>
    </row>
    <row r="7631" spans="1:3">
      <c r="A7631" s="184">
        <v>972000042</v>
      </c>
      <c r="B7631" s="116" t="str">
        <f t="shared" si="119"/>
        <v>97-972000042</v>
      </c>
      <c r="C7631" s="185" t="s">
        <v>13003</v>
      </c>
    </row>
    <row r="7632" spans="1:3">
      <c r="A7632" s="184">
        <v>962000400</v>
      </c>
      <c r="B7632" s="116" t="str">
        <f t="shared" si="119"/>
        <v>96-962000400</v>
      </c>
      <c r="C7632" s="185" t="s">
        <v>12184</v>
      </c>
    </row>
    <row r="7633" spans="1:3">
      <c r="A7633" s="184">
        <v>962000395</v>
      </c>
      <c r="B7633" s="116" t="str">
        <f t="shared" si="119"/>
        <v>96-962000395</v>
      </c>
      <c r="C7633" s="185" t="s">
        <v>12184</v>
      </c>
    </row>
    <row r="7634" spans="1:3">
      <c r="A7634" s="184">
        <v>962000246</v>
      </c>
      <c r="B7634" s="116" t="str">
        <f t="shared" si="119"/>
        <v>96-962000246</v>
      </c>
      <c r="C7634" s="185" t="s">
        <v>7112</v>
      </c>
    </row>
    <row r="7635" spans="1:3">
      <c r="A7635" s="184">
        <v>966200452</v>
      </c>
      <c r="B7635" s="116" t="str">
        <f t="shared" si="119"/>
        <v>96-966200452</v>
      </c>
      <c r="C7635" s="185" t="s">
        <v>12192</v>
      </c>
    </row>
    <row r="7636" spans="1:3">
      <c r="A7636" s="184">
        <v>966200486</v>
      </c>
      <c r="B7636" s="116" t="str">
        <f t="shared" si="119"/>
        <v>96-966200486</v>
      </c>
      <c r="C7636" s="185" t="s">
        <v>12186</v>
      </c>
    </row>
    <row r="7637" spans="1:3">
      <c r="A7637" s="184">
        <v>961200150</v>
      </c>
      <c r="B7637" s="116" t="str">
        <f t="shared" si="119"/>
        <v>96-961200150</v>
      </c>
      <c r="C7637" s="185" t="s">
        <v>12231</v>
      </c>
    </row>
    <row r="7638" spans="1:3">
      <c r="A7638" s="184">
        <v>961200220</v>
      </c>
      <c r="B7638" s="116" t="str">
        <f t="shared" si="119"/>
        <v>96-961200220</v>
      </c>
      <c r="C7638" s="185" t="s">
        <v>12931</v>
      </c>
    </row>
    <row r="7639" spans="1:3">
      <c r="A7639" s="184">
        <v>962000401</v>
      </c>
      <c r="B7639" s="116" t="str">
        <f t="shared" si="119"/>
        <v>96-962000401</v>
      </c>
      <c r="C7639" s="185" t="s">
        <v>12184</v>
      </c>
    </row>
    <row r="7640" spans="1:3">
      <c r="A7640" s="184">
        <v>962000409</v>
      </c>
      <c r="B7640" s="116" t="str">
        <f t="shared" si="119"/>
        <v>96-962000409</v>
      </c>
      <c r="C7640" s="185" t="s">
        <v>12184</v>
      </c>
    </row>
    <row r="7641" spans="1:3">
      <c r="A7641" s="184">
        <v>962000502</v>
      </c>
      <c r="B7641" s="116" t="str">
        <f t="shared" si="119"/>
        <v>96-962000502</v>
      </c>
      <c r="C7641" s="185" t="s">
        <v>12184</v>
      </c>
    </row>
    <row r="7642" spans="1:3">
      <c r="A7642" s="184">
        <v>961200175</v>
      </c>
      <c r="B7642" s="116" t="str">
        <f t="shared" si="119"/>
        <v>96-961200175</v>
      </c>
      <c r="C7642" s="185" t="s">
        <v>12438</v>
      </c>
    </row>
    <row r="7643" spans="1:3">
      <c r="A7643" s="184">
        <v>962000446</v>
      </c>
      <c r="B7643" s="116" t="str">
        <f t="shared" si="119"/>
        <v>96-962000446</v>
      </c>
      <c r="C7643" s="185" t="s">
        <v>12184</v>
      </c>
    </row>
    <row r="7644" spans="1:3">
      <c r="A7644" s="184">
        <v>966200505</v>
      </c>
      <c r="B7644" s="116" t="str">
        <f t="shared" si="119"/>
        <v>96-966200505</v>
      </c>
      <c r="C7644" s="185" t="s">
        <v>12415</v>
      </c>
    </row>
    <row r="7645" spans="1:3">
      <c r="A7645" s="184">
        <v>962000327</v>
      </c>
      <c r="B7645" s="116" t="str">
        <f t="shared" si="119"/>
        <v>96-962000327</v>
      </c>
      <c r="C7645" s="185" t="s">
        <v>7112</v>
      </c>
    </row>
    <row r="7646" spans="1:3">
      <c r="A7646" s="184">
        <v>966200488</v>
      </c>
      <c r="B7646" s="116" t="str">
        <f t="shared" si="119"/>
        <v>96-966200488</v>
      </c>
      <c r="C7646" s="185" t="s">
        <v>12186</v>
      </c>
    </row>
    <row r="7647" spans="1:3">
      <c r="A7647" s="184">
        <v>966200489</v>
      </c>
      <c r="B7647" s="116" t="str">
        <f t="shared" si="119"/>
        <v>96-966200489</v>
      </c>
      <c r="C7647" s="185" t="s">
        <v>12186</v>
      </c>
    </row>
    <row r="7648" spans="1:3">
      <c r="A7648" s="184">
        <v>966300024</v>
      </c>
      <c r="B7648" s="116" t="str">
        <f t="shared" si="119"/>
        <v>96-966300024</v>
      </c>
      <c r="C7648" s="185" t="s">
        <v>12275</v>
      </c>
    </row>
    <row r="7649" spans="1:3">
      <c r="A7649" s="184">
        <v>962000235</v>
      </c>
      <c r="B7649" s="116" t="str">
        <f t="shared" si="119"/>
        <v>96-962000235</v>
      </c>
      <c r="C7649" s="185" t="s">
        <v>7112</v>
      </c>
    </row>
    <row r="7650" spans="1:3">
      <c r="A7650" s="184">
        <v>962000479</v>
      </c>
      <c r="B7650" s="116" t="str">
        <f t="shared" si="119"/>
        <v>96-962000479</v>
      </c>
      <c r="C7650" s="185" t="s">
        <v>12184</v>
      </c>
    </row>
    <row r="7651" spans="1:3">
      <c r="A7651" s="184">
        <v>962000255</v>
      </c>
      <c r="B7651" s="116" t="str">
        <f t="shared" si="119"/>
        <v>96-962000255</v>
      </c>
      <c r="C7651" s="185" t="s">
        <v>7112</v>
      </c>
    </row>
    <row r="7652" spans="1:3">
      <c r="A7652" s="184">
        <v>966200594</v>
      </c>
      <c r="B7652" s="116" t="str">
        <f t="shared" si="119"/>
        <v>96-966200594</v>
      </c>
      <c r="C7652" s="185" t="s">
        <v>13081</v>
      </c>
    </row>
    <row r="7653" spans="1:3">
      <c r="A7653" s="184">
        <v>962000470</v>
      </c>
      <c r="B7653" s="116" t="str">
        <f t="shared" si="119"/>
        <v>96-962000470</v>
      </c>
      <c r="C7653" s="185" t="s">
        <v>12184</v>
      </c>
    </row>
    <row r="7654" spans="1:3">
      <c r="A7654" s="184">
        <v>962000413</v>
      </c>
      <c r="B7654" s="116" t="str">
        <f t="shared" si="119"/>
        <v>96-962000413</v>
      </c>
      <c r="C7654" s="185" t="s">
        <v>12184</v>
      </c>
    </row>
    <row r="7655" spans="1:3">
      <c r="A7655" s="184">
        <v>962000398</v>
      </c>
      <c r="B7655" s="116" t="str">
        <f t="shared" si="119"/>
        <v>96-962000398</v>
      </c>
      <c r="C7655" s="185" t="s">
        <v>12184</v>
      </c>
    </row>
    <row r="7656" spans="1:3">
      <c r="A7656" s="184">
        <v>962000482</v>
      </c>
      <c r="B7656" s="116" t="str">
        <f t="shared" si="119"/>
        <v>96-962000482</v>
      </c>
      <c r="C7656" s="185" t="s">
        <v>12184</v>
      </c>
    </row>
    <row r="7657" spans="1:3">
      <c r="A7657" s="184">
        <v>962000439</v>
      </c>
      <c r="B7657" s="116" t="str">
        <f t="shared" si="119"/>
        <v>96-962000439</v>
      </c>
      <c r="C7657" s="185" t="s">
        <v>12184</v>
      </c>
    </row>
    <row r="7658" spans="1:3">
      <c r="A7658" s="184">
        <v>966200599</v>
      </c>
      <c r="B7658" s="116" t="str">
        <f t="shared" si="119"/>
        <v>96-966200599</v>
      </c>
      <c r="C7658" s="185" t="s">
        <v>13011</v>
      </c>
    </row>
    <row r="7659" spans="1:3">
      <c r="A7659" s="184">
        <v>962000458</v>
      </c>
      <c r="B7659" s="116" t="str">
        <f t="shared" si="119"/>
        <v>96-962000458</v>
      </c>
      <c r="C7659" s="185" t="s">
        <v>12184</v>
      </c>
    </row>
    <row r="7660" spans="1:3">
      <c r="A7660" s="184">
        <v>962000330</v>
      </c>
      <c r="B7660" s="116" t="str">
        <f t="shared" si="119"/>
        <v>96-962000330</v>
      </c>
      <c r="C7660" s="185" t="s">
        <v>7112</v>
      </c>
    </row>
    <row r="7661" spans="1:3">
      <c r="A7661" s="184">
        <v>962000460</v>
      </c>
      <c r="B7661" s="116" t="str">
        <f t="shared" si="119"/>
        <v>96-962000460</v>
      </c>
      <c r="C7661" s="185" t="s">
        <v>12184</v>
      </c>
    </row>
    <row r="7662" spans="1:3">
      <c r="A7662" s="184">
        <v>962000264</v>
      </c>
      <c r="B7662" s="116" t="str">
        <f t="shared" si="119"/>
        <v>96-962000264</v>
      </c>
      <c r="C7662" s="185" t="s">
        <v>7112</v>
      </c>
    </row>
    <row r="7663" spans="1:3">
      <c r="A7663" s="184">
        <v>966200476</v>
      </c>
      <c r="B7663" s="116" t="str">
        <f t="shared" si="119"/>
        <v>96-966200476</v>
      </c>
      <c r="C7663" s="185" t="s">
        <v>12185</v>
      </c>
    </row>
    <row r="7664" spans="1:3">
      <c r="A7664" s="184">
        <v>962000258</v>
      </c>
      <c r="B7664" s="116" t="str">
        <f t="shared" si="119"/>
        <v>96-962000258</v>
      </c>
      <c r="C7664" s="185" t="s">
        <v>7112</v>
      </c>
    </row>
    <row r="7665" spans="1:3">
      <c r="A7665" s="184">
        <v>962000427</v>
      </c>
      <c r="B7665" s="116" t="str">
        <f t="shared" si="119"/>
        <v>96-962000427</v>
      </c>
      <c r="C7665" s="185" t="s">
        <v>12184</v>
      </c>
    </row>
    <row r="7666" spans="1:3">
      <c r="A7666" s="184">
        <v>962000430</v>
      </c>
      <c r="B7666" s="116" t="str">
        <f t="shared" si="119"/>
        <v>96-962000430</v>
      </c>
      <c r="C7666" s="185" t="s">
        <v>12184</v>
      </c>
    </row>
    <row r="7667" spans="1:3">
      <c r="A7667" s="184">
        <v>961200221</v>
      </c>
      <c r="B7667" s="116" t="str">
        <f t="shared" si="119"/>
        <v>96-961200221</v>
      </c>
      <c r="C7667" s="185" t="s">
        <v>12941</v>
      </c>
    </row>
    <row r="7668" spans="1:3">
      <c r="A7668" s="184">
        <v>962000346</v>
      </c>
      <c r="B7668" s="116" t="str">
        <f t="shared" si="119"/>
        <v>96-962000346</v>
      </c>
      <c r="C7668" s="185" t="s">
        <v>12184</v>
      </c>
    </row>
    <row r="7669" spans="1:3">
      <c r="A7669" s="184">
        <v>962000440</v>
      </c>
      <c r="B7669" s="116" t="str">
        <f t="shared" si="119"/>
        <v>96-962000440</v>
      </c>
      <c r="C7669" s="185" t="s">
        <v>12184</v>
      </c>
    </row>
    <row r="7670" spans="1:3">
      <c r="A7670" s="184">
        <v>966200474</v>
      </c>
      <c r="B7670" s="116" t="str">
        <f t="shared" si="119"/>
        <v>96-966200474</v>
      </c>
      <c r="C7670" s="185" t="s">
        <v>12185</v>
      </c>
    </row>
    <row r="7671" spans="1:3">
      <c r="A7671" s="184">
        <v>966200716</v>
      </c>
      <c r="B7671" s="116" t="str">
        <f t="shared" si="119"/>
        <v>96-966200716</v>
      </c>
      <c r="C7671" s="185" t="s">
        <v>13013</v>
      </c>
    </row>
    <row r="7672" spans="1:3">
      <c r="A7672" s="184">
        <v>966200590</v>
      </c>
      <c r="B7672" s="116" t="str">
        <f t="shared" si="119"/>
        <v>96-966200590</v>
      </c>
      <c r="C7672" s="185" t="s">
        <v>13082</v>
      </c>
    </row>
    <row r="7673" spans="1:3">
      <c r="A7673" s="184">
        <v>961100103</v>
      </c>
      <c r="B7673" s="116" t="str">
        <f t="shared" si="119"/>
        <v>96-961100103</v>
      </c>
      <c r="C7673" s="185" t="s">
        <v>12269</v>
      </c>
    </row>
    <row r="7674" spans="1:3">
      <c r="A7674" s="184">
        <v>961100110</v>
      </c>
      <c r="B7674" s="116" t="str">
        <f t="shared" si="119"/>
        <v>96-961100110</v>
      </c>
      <c r="C7674" s="185" t="s">
        <v>12448</v>
      </c>
    </row>
    <row r="7675" spans="1:3">
      <c r="A7675" s="184">
        <v>966200750</v>
      </c>
      <c r="B7675" s="116" t="str">
        <f t="shared" si="119"/>
        <v>96-966200750</v>
      </c>
      <c r="C7675" s="185" t="s">
        <v>13008</v>
      </c>
    </row>
    <row r="7676" spans="1:3">
      <c r="A7676" s="184">
        <v>966200764</v>
      </c>
      <c r="B7676" s="116" t="str">
        <f t="shared" si="119"/>
        <v>96-966200764</v>
      </c>
      <c r="C7676" s="185" t="s">
        <v>13014</v>
      </c>
    </row>
    <row r="7677" spans="1:3">
      <c r="A7677" s="184">
        <v>966200742</v>
      </c>
      <c r="B7677" s="116" t="str">
        <f t="shared" si="119"/>
        <v>96-966200742</v>
      </c>
      <c r="C7677" s="185" t="s">
        <v>13008</v>
      </c>
    </row>
    <row r="7678" spans="1:3">
      <c r="A7678" s="184">
        <v>966200614</v>
      </c>
      <c r="B7678" s="116" t="str">
        <f t="shared" si="119"/>
        <v>96-966200614</v>
      </c>
      <c r="C7678" s="185" t="s">
        <v>13011</v>
      </c>
    </row>
    <row r="7679" spans="1:3">
      <c r="A7679" s="184">
        <v>966200607</v>
      </c>
      <c r="B7679" s="116" t="str">
        <f t="shared" si="119"/>
        <v>96-966200607</v>
      </c>
      <c r="C7679" s="185" t="s">
        <v>13011</v>
      </c>
    </row>
    <row r="7680" spans="1:3">
      <c r="A7680" s="184">
        <v>962000497</v>
      </c>
      <c r="B7680" s="116" t="str">
        <f t="shared" si="119"/>
        <v>96-962000497</v>
      </c>
      <c r="C7680" s="185" t="s">
        <v>12184</v>
      </c>
    </row>
    <row r="7681" spans="1:3">
      <c r="A7681" s="184">
        <v>962000444</v>
      </c>
      <c r="B7681" s="116" t="str">
        <f t="shared" si="119"/>
        <v>96-962000444</v>
      </c>
      <c r="C7681" s="185" t="s">
        <v>12184</v>
      </c>
    </row>
    <row r="7682" spans="1:3">
      <c r="A7682" s="184">
        <v>962000307</v>
      </c>
      <c r="B7682" s="116" t="str">
        <f t="shared" si="119"/>
        <v>96-962000307</v>
      </c>
      <c r="C7682" s="185" t="s">
        <v>7112</v>
      </c>
    </row>
    <row r="7683" spans="1:3">
      <c r="A7683" s="184">
        <v>962000349</v>
      </c>
      <c r="B7683" s="116" t="str">
        <f t="shared" ref="B7683:B7746" si="120">MID(A7683,1,2)&amp;"-"&amp;A7683</f>
        <v>96-962000349</v>
      </c>
      <c r="C7683" s="185" t="s">
        <v>12184</v>
      </c>
    </row>
    <row r="7684" spans="1:3">
      <c r="A7684" s="184">
        <v>962000475</v>
      </c>
      <c r="B7684" s="116" t="str">
        <f t="shared" si="120"/>
        <v>96-962000475</v>
      </c>
      <c r="C7684" s="185" t="s">
        <v>12184</v>
      </c>
    </row>
    <row r="7685" spans="1:3">
      <c r="A7685" s="184">
        <v>962000451</v>
      </c>
      <c r="B7685" s="116" t="str">
        <f t="shared" si="120"/>
        <v>96-962000451</v>
      </c>
      <c r="C7685" s="185" t="s">
        <v>12184</v>
      </c>
    </row>
    <row r="7686" spans="1:3">
      <c r="A7686" s="184">
        <v>966200472</v>
      </c>
      <c r="B7686" s="116" t="str">
        <f t="shared" si="120"/>
        <v>96-966200472</v>
      </c>
      <c r="C7686" s="185" t="s">
        <v>12185</v>
      </c>
    </row>
    <row r="7687" spans="1:3">
      <c r="A7687" s="184">
        <v>976200010</v>
      </c>
      <c r="B7687" s="116" t="str">
        <f t="shared" si="120"/>
        <v>97-976200010</v>
      </c>
      <c r="C7687" s="185" t="s">
        <v>13005</v>
      </c>
    </row>
    <row r="7688" spans="1:3">
      <c r="A7688" s="184">
        <v>966200466</v>
      </c>
      <c r="B7688" s="116" t="str">
        <f t="shared" si="120"/>
        <v>96-966200466</v>
      </c>
      <c r="C7688" s="185" t="s">
        <v>12185</v>
      </c>
    </row>
    <row r="7689" spans="1:3">
      <c r="A7689" s="184">
        <v>966200602</v>
      </c>
      <c r="B7689" s="116" t="str">
        <f t="shared" si="120"/>
        <v>96-966200602</v>
      </c>
      <c r="C7689" s="185" t="s">
        <v>13011</v>
      </c>
    </row>
    <row r="7690" spans="1:3">
      <c r="A7690" s="184">
        <v>966200598</v>
      </c>
      <c r="B7690" s="116" t="str">
        <f t="shared" si="120"/>
        <v>96-966200598</v>
      </c>
      <c r="C7690" s="185" t="s">
        <v>13011</v>
      </c>
    </row>
    <row r="7691" spans="1:3">
      <c r="A7691" s="184">
        <v>966200483</v>
      </c>
      <c r="B7691" s="116" t="str">
        <f t="shared" si="120"/>
        <v>96-966200483</v>
      </c>
      <c r="C7691" s="185" t="s">
        <v>12185</v>
      </c>
    </row>
    <row r="7692" spans="1:3">
      <c r="A7692" s="184">
        <v>966200737</v>
      </c>
      <c r="B7692" s="116" t="str">
        <f t="shared" si="120"/>
        <v>96-966200737</v>
      </c>
      <c r="C7692" s="185" t="s">
        <v>13008</v>
      </c>
    </row>
    <row r="7693" spans="1:3">
      <c r="A7693" s="184">
        <v>966200630</v>
      </c>
      <c r="B7693" s="116" t="str">
        <f t="shared" si="120"/>
        <v>96-966200630</v>
      </c>
      <c r="C7693" s="185" t="s">
        <v>13083</v>
      </c>
    </row>
    <row r="7694" spans="1:3">
      <c r="A7694" s="184">
        <v>966200447</v>
      </c>
      <c r="B7694" s="116" t="str">
        <f t="shared" si="120"/>
        <v>96-966200447</v>
      </c>
      <c r="C7694" s="185" t="s">
        <v>12187</v>
      </c>
    </row>
    <row r="7695" spans="1:3">
      <c r="A7695" s="184">
        <v>966200709</v>
      </c>
      <c r="B7695" s="116" t="str">
        <f t="shared" si="120"/>
        <v>96-966200709</v>
      </c>
      <c r="C7695" s="185" t="s">
        <v>13020</v>
      </c>
    </row>
    <row r="7696" spans="1:3">
      <c r="A7696" s="184">
        <v>962000343</v>
      </c>
      <c r="B7696" s="116" t="str">
        <f t="shared" si="120"/>
        <v>96-962000343</v>
      </c>
      <c r="C7696" s="185" t="s">
        <v>12184</v>
      </c>
    </row>
    <row r="7697" spans="1:3">
      <c r="A7697" s="184">
        <v>966200603</v>
      </c>
      <c r="B7697" s="116" t="str">
        <f t="shared" si="120"/>
        <v>96-966200603</v>
      </c>
      <c r="C7697" s="185" t="s">
        <v>13011</v>
      </c>
    </row>
    <row r="7698" spans="1:3">
      <c r="A7698" s="184">
        <v>966200711</v>
      </c>
      <c r="B7698" s="116" t="str">
        <f t="shared" si="120"/>
        <v>96-966200711</v>
      </c>
      <c r="C7698" s="185" t="s">
        <v>13020</v>
      </c>
    </row>
    <row r="7699" spans="1:3">
      <c r="A7699" s="184">
        <v>966200481</v>
      </c>
      <c r="B7699" s="116" t="str">
        <f t="shared" si="120"/>
        <v>96-966200481</v>
      </c>
      <c r="C7699" s="185" t="s">
        <v>12185</v>
      </c>
    </row>
    <row r="7700" spans="1:3">
      <c r="A7700" s="184">
        <v>966200704</v>
      </c>
      <c r="B7700" s="116" t="str">
        <f t="shared" si="120"/>
        <v>96-966200704</v>
      </c>
      <c r="C7700" s="185" t="s">
        <v>13020</v>
      </c>
    </row>
    <row r="7701" spans="1:3">
      <c r="A7701" s="184">
        <v>966300064</v>
      </c>
      <c r="B7701" s="116" t="str">
        <f t="shared" si="120"/>
        <v>96-966300064</v>
      </c>
      <c r="C7701" s="185" t="s">
        <v>13084</v>
      </c>
    </row>
    <row r="7702" spans="1:3">
      <c r="A7702" s="184">
        <v>966200728</v>
      </c>
      <c r="B7702" s="116" t="str">
        <f t="shared" si="120"/>
        <v>96-966200728</v>
      </c>
      <c r="C7702" s="185" t="s">
        <v>13013</v>
      </c>
    </row>
    <row r="7703" spans="1:3">
      <c r="A7703" s="184">
        <v>976200002</v>
      </c>
      <c r="B7703" s="116" t="str">
        <f t="shared" si="120"/>
        <v>97-976200002</v>
      </c>
      <c r="C7703" s="185" t="s">
        <v>13005</v>
      </c>
    </row>
    <row r="7704" spans="1:3">
      <c r="A7704" s="184">
        <v>966300073</v>
      </c>
      <c r="B7704" s="116" t="str">
        <f t="shared" si="120"/>
        <v>96-966300073</v>
      </c>
      <c r="C7704" s="185" t="s">
        <v>13085</v>
      </c>
    </row>
    <row r="7705" spans="1:3">
      <c r="A7705" s="184">
        <v>966300075</v>
      </c>
      <c r="B7705" s="116" t="str">
        <f t="shared" si="120"/>
        <v>96-966300075</v>
      </c>
      <c r="C7705" s="185" t="s">
        <v>13086</v>
      </c>
    </row>
    <row r="7706" spans="1:3">
      <c r="A7706" s="184">
        <v>961100136</v>
      </c>
      <c r="B7706" s="116" t="str">
        <f t="shared" si="120"/>
        <v>96-961100136</v>
      </c>
      <c r="C7706" s="185" t="s">
        <v>13016</v>
      </c>
    </row>
    <row r="7707" spans="1:3">
      <c r="A7707" s="184">
        <v>966200380</v>
      </c>
      <c r="B7707" s="116" t="str">
        <f t="shared" si="120"/>
        <v>96-966200380</v>
      </c>
      <c r="C7707" s="185" t="s">
        <v>12239</v>
      </c>
    </row>
    <row r="7708" spans="1:3">
      <c r="A7708" s="184">
        <v>966200382</v>
      </c>
      <c r="B7708" s="116" t="str">
        <f t="shared" si="120"/>
        <v>96-966200382</v>
      </c>
      <c r="C7708" s="185" t="s">
        <v>12239</v>
      </c>
    </row>
    <row r="7709" spans="1:3">
      <c r="A7709" s="184">
        <v>966300059</v>
      </c>
      <c r="B7709" s="116" t="str">
        <f t="shared" si="120"/>
        <v>96-966300059</v>
      </c>
      <c r="C7709" s="185" t="s">
        <v>13087</v>
      </c>
    </row>
    <row r="7710" spans="1:3">
      <c r="A7710" s="184">
        <v>966300061</v>
      </c>
      <c r="B7710" s="116" t="str">
        <f t="shared" si="120"/>
        <v>96-966300061</v>
      </c>
      <c r="C7710" s="185" t="s">
        <v>13088</v>
      </c>
    </row>
    <row r="7711" spans="1:3">
      <c r="A7711" s="184">
        <v>966300062</v>
      </c>
      <c r="B7711" s="116" t="str">
        <f t="shared" si="120"/>
        <v>96-966300062</v>
      </c>
      <c r="C7711" s="185" t="s">
        <v>13088</v>
      </c>
    </row>
    <row r="7712" spans="1:3">
      <c r="A7712" s="184">
        <v>966300077</v>
      </c>
      <c r="B7712" s="116" t="str">
        <f t="shared" si="120"/>
        <v>96-966300077</v>
      </c>
      <c r="C7712" s="185" t="s">
        <v>13086</v>
      </c>
    </row>
    <row r="7713" spans="1:3">
      <c r="A7713" s="184">
        <v>966200708</v>
      </c>
      <c r="B7713" s="116" t="str">
        <f t="shared" si="120"/>
        <v>96-966200708</v>
      </c>
      <c r="C7713" s="185" t="s">
        <v>13013</v>
      </c>
    </row>
    <row r="7714" spans="1:3">
      <c r="A7714" s="184">
        <v>966200617</v>
      </c>
      <c r="B7714" s="116" t="str">
        <f t="shared" si="120"/>
        <v>96-966200617</v>
      </c>
      <c r="C7714" s="185" t="s">
        <v>13011</v>
      </c>
    </row>
    <row r="7715" spans="1:3">
      <c r="A7715" s="184">
        <v>972000040</v>
      </c>
      <c r="B7715" s="116" t="str">
        <f t="shared" si="120"/>
        <v>97-972000040</v>
      </c>
      <c r="C7715" s="185" t="s">
        <v>13003</v>
      </c>
    </row>
    <row r="7716" spans="1:3">
      <c r="A7716" s="184">
        <v>966200439</v>
      </c>
      <c r="B7716" s="116" t="str">
        <f t="shared" si="120"/>
        <v>96-966200439</v>
      </c>
      <c r="C7716" s="185" t="s">
        <v>12187</v>
      </c>
    </row>
    <row r="7717" spans="1:3">
      <c r="A7717" s="184">
        <v>966200746</v>
      </c>
      <c r="B7717" s="116" t="str">
        <f t="shared" si="120"/>
        <v>96-966200746</v>
      </c>
      <c r="C7717" s="185" t="s">
        <v>13008</v>
      </c>
    </row>
    <row r="7718" spans="1:3">
      <c r="A7718" s="184">
        <v>966200727</v>
      </c>
      <c r="B7718" s="116" t="str">
        <f t="shared" si="120"/>
        <v>96-966200727</v>
      </c>
      <c r="C7718" s="185" t="s">
        <v>13013</v>
      </c>
    </row>
    <row r="7719" spans="1:3">
      <c r="A7719" s="184">
        <v>962000424</v>
      </c>
      <c r="B7719" s="116" t="str">
        <f t="shared" si="120"/>
        <v>96-962000424</v>
      </c>
      <c r="C7719" s="185" t="s">
        <v>12184</v>
      </c>
    </row>
    <row r="7720" spans="1:3">
      <c r="A7720" s="184">
        <v>962000491</v>
      </c>
      <c r="B7720" s="116" t="str">
        <f t="shared" si="120"/>
        <v>96-962000491</v>
      </c>
      <c r="C7720" s="185" t="s">
        <v>12184</v>
      </c>
    </row>
    <row r="7721" spans="1:3">
      <c r="A7721" s="184">
        <v>966200733</v>
      </c>
      <c r="B7721" s="116" t="str">
        <f t="shared" si="120"/>
        <v>96-966200733</v>
      </c>
      <c r="C7721" s="185" t="s">
        <v>13008</v>
      </c>
    </row>
    <row r="7722" spans="1:3">
      <c r="A7722" s="184">
        <v>972000053</v>
      </c>
      <c r="B7722" s="116" t="str">
        <f t="shared" si="120"/>
        <v>97-972000053</v>
      </c>
      <c r="C7722" s="185" t="s">
        <v>13003</v>
      </c>
    </row>
    <row r="7723" spans="1:3">
      <c r="A7723" s="184">
        <v>966200414</v>
      </c>
      <c r="B7723" s="116" t="str">
        <f t="shared" si="120"/>
        <v>96-966200414</v>
      </c>
      <c r="C7723" s="185" t="s">
        <v>12224</v>
      </c>
    </row>
    <row r="7724" spans="1:3">
      <c r="A7724" s="184">
        <v>966200384</v>
      </c>
      <c r="B7724" s="116" t="str">
        <f t="shared" si="120"/>
        <v>96-966200384</v>
      </c>
      <c r="C7724" s="185" t="s">
        <v>12239</v>
      </c>
    </row>
    <row r="7725" spans="1:3">
      <c r="A7725" s="184">
        <v>966200491</v>
      </c>
      <c r="B7725" s="116" t="str">
        <f t="shared" si="120"/>
        <v>96-966200491</v>
      </c>
      <c r="C7725" s="185" t="s">
        <v>12186</v>
      </c>
    </row>
    <row r="7726" spans="1:3">
      <c r="A7726" s="184">
        <v>966200584</v>
      </c>
      <c r="B7726" s="116" t="str">
        <f t="shared" si="120"/>
        <v>96-966200584</v>
      </c>
      <c r="C7726" s="185" t="s">
        <v>13089</v>
      </c>
    </row>
    <row r="7727" spans="1:3">
      <c r="A7727" s="184">
        <v>962000494</v>
      </c>
      <c r="B7727" s="116" t="str">
        <f t="shared" si="120"/>
        <v>96-962000494</v>
      </c>
      <c r="C7727" s="185" t="s">
        <v>12184</v>
      </c>
    </row>
    <row r="7728" spans="1:3">
      <c r="A7728" s="184">
        <v>966200525</v>
      </c>
      <c r="B7728" s="116" t="str">
        <f t="shared" si="120"/>
        <v>96-966200525</v>
      </c>
      <c r="C7728" s="185" t="s">
        <v>12410</v>
      </c>
    </row>
    <row r="7729" spans="1:3">
      <c r="A7729" s="184">
        <v>966200555</v>
      </c>
      <c r="B7729" s="116" t="str">
        <f t="shared" si="120"/>
        <v>96-966200555</v>
      </c>
      <c r="C7729" s="185" t="s">
        <v>13073</v>
      </c>
    </row>
    <row r="7730" spans="1:3">
      <c r="A7730" s="184">
        <v>966200501</v>
      </c>
      <c r="B7730" s="116" t="str">
        <f t="shared" si="120"/>
        <v>96-966200501</v>
      </c>
      <c r="C7730" s="185" t="s">
        <v>12415</v>
      </c>
    </row>
    <row r="7731" spans="1:3">
      <c r="A7731" s="184">
        <v>966200643</v>
      </c>
      <c r="B7731" s="116" t="str">
        <f t="shared" si="120"/>
        <v>96-966200643</v>
      </c>
      <c r="C7731" s="185" t="s">
        <v>13071</v>
      </c>
    </row>
    <row r="7732" spans="1:3">
      <c r="A7732" s="184">
        <v>966200453</v>
      </c>
      <c r="B7732" s="116" t="str">
        <f t="shared" si="120"/>
        <v>96-966200453</v>
      </c>
      <c r="C7732" s="185" t="s">
        <v>12192</v>
      </c>
    </row>
    <row r="7733" spans="1:3">
      <c r="A7733" s="184">
        <v>966200396</v>
      </c>
      <c r="B7733" s="116" t="str">
        <f t="shared" si="120"/>
        <v>96-966200396</v>
      </c>
      <c r="C7733" s="185" t="s">
        <v>12239</v>
      </c>
    </row>
    <row r="7734" spans="1:3">
      <c r="A7734" s="184">
        <v>966200496</v>
      </c>
      <c r="B7734" s="116" t="str">
        <f t="shared" si="120"/>
        <v>96-966200496</v>
      </c>
      <c r="C7734" s="185" t="s">
        <v>12189</v>
      </c>
    </row>
    <row r="7735" spans="1:3">
      <c r="A7735" s="184">
        <v>966200759</v>
      </c>
      <c r="B7735" s="116" t="str">
        <f t="shared" si="120"/>
        <v>96-966200759</v>
      </c>
      <c r="C7735" s="185" t="s">
        <v>13014</v>
      </c>
    </row>
    <row r="7736" spans="1:3">
      <c r="A7736" s="184">
        <v>966200502</v>
      </c>
      <c r="B7736" s="116" t="str">
        <f t="shared" si="120"/>
        <v>96-966200502</v>
      </c>
      <c r="C7736" s="185" t="s">
        <v>12415</v>
      </c>
    </row>
    <row r="7737" spans="1:3">
      <c r="A7737" s="184">
        <v>966200552</v>
      </c>
      <c r="B7737" s="116" t="str">
        <f t="shared" si="120"/>
        <v>96-966200552</v>
      </c>
      <c r="C7737" s="185" t="s">
        <v>13073</v>
      </c>
    </row>
    <row r="7738" spans="1:3">
      <c r="A7738" s="184">
        <v>966200538</v>
      </c>
      <c r="B7738" s="116" t="str">
        <f t="shared" si="120"/>
        <v>96-966200538</v>
      </c>
      <c r="C7738" s="185" t="s">
        <v>12412</v>
      </c>
    </row>
    <row r="7739" spans="1:3">
      <c r="A7739" s="184">
        <v>962000333</v>
      </c>
      <c r="B7739" s="116" t="str">
        <f t="shared" si="120"/>
        <v>96-962000333</v>
      </c>
      <c r="C7739" s="185" t="s">
        <v>7112</v>
      </c>
    </row>
    <row r="7740" spans="1:3">
      <c r="A7740" s="184">
        <v>962000335</v>
      </c>
      <c r="B7740" s="116" t="str">
        <f t="shared" si="120"/>
        <v>96-962000335</v>
      </c>
      <c r="C7740" s="185" t="s">
        <v>7112</v>
      </c>
    </row>
    <row r="7741" spans="1:3">
      <c r="A7741" s="184">
        <v>962000329</v>
      </c>
      <c r="B7741" s="116" t="str">
        <f t="shared" si="120"/>
        <v>96-962000329</v>
      </c>
      <c r="C7741" s="185" t="s">
        <v>7112</v>
      </c>
    </row>
    <row r="7742" spans="1:3">
      <c r="A7742" s="184">
        <v>962000280</v>
      </c>
      <c r="B7742" s="116" t="str">
        <f t="shared" si="120"/>
        <v>96-962000280</v>
      </c>
      <c r="C7742" s="185" t="s">
        <v>7112</v>
      </c>
    </row>
    <row r="7743" spans="1:3">
      <c r="A7743" s="184">
        <v>961200157</v>
      </c>
      <c r="B7743" s="116" t="str">
        <f t="shared" si="120"/>
        <v>96-961200157</v>
      </c>
      <c r="C7743" s="185" t="s">
        <v>12440</v>
      </c>
    </row>
    <row r="7744" spans="1:3">
      <c r="A7744" s="184">
        <v>966200656</v>
      </c>
      <c r="B7744" s="116" t="str">
        <f t="shared" si="120"/>
        <v>96-966200656</v>
      </c>
      <c r="C7744" s="185" t="s">
        <v>13017</v>
      </c>
    </row>
    <row r="7745" spans="1:3">
      <c r="A7745" s="184">
        <v>962000248</v>
      </c>
      <c r="B7745" s="116" t="str">
        <f t="shared" si="120"/>
        <v>96-962000248</v>
      </c>
      <c r="C7745" s="185" t="s">
        <v>7112</v>
      </c>
    </row>
    <row r="7746" spans="1:3">
      <c r="A7746" s="184">
        <v>962000291</v>
      </c>
      <c r="B7746" s="116" t="str">
        <f t="shared" si="120"/>
        <v>96-962000291</v>
      </c>
      <c r="C7746" s="185" t="s">
        <v>7112</v>
      </c>
    </row>
    <row r="7747" spans="1:3">
      <c r="A7747" s="184">
        <v>962000293</v>
      </c>
      <c r="B7747" s="116" t="str">
        <f t="shared" ref="B7747:B7810" si="121">MID(A7747,1,2)&amp;"-"&amp;A7747</f>
        <v>96-962000293</v>
      </c>
      <c r="C7747" s="185" t="s">
        <v>7112</v>
      </c>
    </row>
    <row r="7748" spans="1:3">
      <c r="A7748" s="184">
        <v>962000306</v>
      </c>
      <c r="B7748" s="116" t="str">
        <f t="shared" si="121"/>
        <v>96-962000306</v>
      </c>
      <c r="C7748" s="185" t="s">
        <v>7112</v>
      </c>
    </row>
    <row r="7749" spans="1:3">
      <c r="A7749" s="184">
        <v>962000315</v>
      </c>
      <c r="B7749" s="116" t="str">
        <f t="shared" si="121"/>
        <v>96-962000315</v>
      </c>
      <c r="C7749" s="185" t="s">
        <v>7112</v>
      </c>
    </row>
    <row r="7750" spans="1:3">
      <c r="A7750" s="184">
        <v>966200743</v>
      </c>
      <c r="B7750" s="116" t="str">
        <f t="shared" si="121"/>
        <v>96-966200743</v>
      </c>
      <c r="C7750" s="185" t="s">
        <v>13008</v>
      </c>
    </row>
    <row r="7751" spans="1:3">
      <c r="A7751" s="184">
        <v>966200702</v>
      </c>
      <c r="B7751" s="116" t="str">
        <f t="shared" si="121"/>
        <v>96-966200702</v>
      </c>
      <c r="C7751" s="185" t="s">
        <v>13079</v>
      </c>
    </row>
    <row r="7752" spans="1:3">
      <c r="A7752" s="184">
        <v>962000426</v>
      </c>
      <c r="B7752" s="116" t="str">
        <f t="shared" si="121"/>
        <v>96-962000426</v>
      </c>
      <c r="C7752" s="185" t="s">
        <v>12184</v>
      </c>
    </row>
    <row r="7753" spans="1:3">
      <c r="A7753" s="184">
        <v>962000438</v>
      </c>
      <c r="B7753" s="116" t="str">
        <f t="shared" si="121"/>
        <v>96-962000438</v>
      </c>
      <c r="C7753" s="185" t="s">
        <v>12184</v>
      </c>
    </row>
    <row r="7754" spans="1:3">
      <c r="A7754" s="184">
        <v>972000048</v>
      </c>
      <c r="B7754" s="116" t="str">
        <f t="shared" si="121"/>
        <v>97-972000048</v>
      </c>
      <c r="C7754" s="185" t="s">
        <v>13003</v>
      </c>
    </row>
    <row r="7755" spans="1:3">
      <c r="A7755" s="184">
        <v>966200580</v>
      </c>
      <c r="B7755" s="116" t="str">
        <f t="shared" si="121"/>
        <v>96-966200580</v>
      </c>
      <c r="C7755" s="185" t="s">
        <v>13078</v>
      </c>
    </row>
    <row r="7756" spans="1:3">
      <c r="A7756" s="184">
        <v>964100084</v>
      </c>
      <c r="B7756" s="116" t="str">
        <f t="shared" si="121"/>
        <v>96-964100084</v>
      </c>
      <c r="C7756" s="185" t="s">
        <v>9911</v>
      </c>
    </row>
    <row r="7757" spans="1:3">
      <c r="A7757" s="184">
        <v>964100086</v>
      </c>
      <c r="B7757" s="116" t="str">
        <f t="shared" si="121"/>
        <v>96-964100086</v>
      </c>
      <c r="C7757" s="185" t="s">
        <v>9911</v>
      </c>
    </row>
    <row r="7758" spans="1:3">
      <c r="A7758" s="184">
        <v>964100095</v>
      </c>
      <c r="B7758" s="116" t="str">
        <f t="shared" si="121"/>
        <v>96-964100095</v>
      </c>
      <c r="C7758" s="185" t="s">
        <v>9911</v>
      </c>
    </row>
    <row r="7759" spans="1:3">
      <c r="A7759" s="184">
        <v>964100099</v>
      </c>
      <c r="B7759" s="116" t="str">
        <f t="shared" si="121"/>
        <v>96-964100099</v>
      </c>
      <c r="C7759" s="185" t="s">
        <v>5783</v>
      </c>
    </row>
    <row r="7760" spans="1:3">
      <c r="A7760" s="184">
        <v>964100115</v>
      </c>
      <c r="B7760" s="116" t="str">
        <f t="shared" si="121"/>
        <v>96-964100115</v>
      </c>
      <c r="C7760" s="185" t="s">
        <v>12664</v>
      </c>
    </row>
    <row r="7761" spans="1:3">
      <c r="A7761" s="184">
        <v>962000285</v>
      </c>
      <c r="B7761" s="116" t="str">
        <f t="shared" si="121"/>
        <v>96-962000285</v>
      </c>
      <c r="C7761" s="185" t="s">
        <v>7112</v>
      </c>
    </row>
    <row r="7762" spans="1:3">
      <c r="A7762" s="184">
        <v>962000296</v>
      </c>
      <c r="B7762" s="116" t="str">
        <f t="shared" si="121"/>
        <v>96-962000296</v>
      </c>
      <c r="C7762" s="185" t="s">
        <v>7112</v>
      </c>
    </row>
    <row r="7763" spans="1:3">
      <c r="A7763" s="184">
        <v>962000314</v>
      </c>
      <c r="B7763" s="116" t="str">
        <f t="shared" si="121"/>
        <v>96-962000314</v>
      </c>
      <c r="C7763" s="185" t="s">
        <v>7112</v>
      </c>
    </row>
    <row r="7764" spans="1:3">
      <c r="A7764" s="184">
        <v>962000337</v>
      </c>
      <c r="B7764" s="116" t="str">
        <f t="shared" si="121"/>
        <v>96-962000337</v>
      </c>
      <c r="C7764" s="185" t="s">
        <v>7112</v>
      </c>
    </row>
    <row r="7765" spans="1:3">
      <c r="A7765" s="184">
        <v>966200410</v>
      </c>
      <c r="B7765" s="116" t="str">
        <f t="shared" si="121"/>
        <v>96-966200410</v>
      </c>
      <c r="C7765" s="185" t="s">
        <v>12239</v>
      </c>
    </row>
    <row r="7766" spans="1:3">
      <c r="A7766" s="184">
        <v>966200674</v>
      </c>
      <c r="B7766" s="116" t="str">
        <f t="shared" si="121"/>
        <v>96-966200674</v>
      </c>
      <c r="C7766" s="185" t="s">
        <v>13010</v>
      </c>
    </row>
    <row r="7767" spans="1:3">
      <c r="A7767" s="184">
        <v>962000303</v>
      </c>
      <c r="B7767" s="116" t="str">
        <f t="shared" si="121"/>
        <v>96-962000303</v>
      </c>
      <c r="C7767" s="185" t="s">
        <v>7112</v>
      </c>
    </row>
    <row r="7768" spans="1:3">
      <c r="A7768" s="184">
        <v>962000319</v>
      </c>
      <c r="B7768" s="116" t="str">
        <f t="shared" si="121"/>
        <v>96-962000319</v>
      </c>
      <c r="C7768" s="185" t="s">
        <v>7112</v>
      </c>
    </row>
    <row r="7769" spans="1:3">
      <c r="A7769" s="184">
        <v>962000350</v>
      </c>
      <c r="B7769" s="116" t="str">
        <f t="shared" si="121"/>
        <v>96-962000350</v>
      </c>
      <c r="C7769" s="185" t="s">
        <v>12184</v>
      </c>
    </row>
    <row r="7770" spans="1:3">
      <c r="A7770" s="184">
        <v>966300040</v>
      </c>
      <c r="B7770" s="116" t="str">
        <f t="shared" si="121"/>
        <v>96-966300040</v>
      </c>
      <c r="C7770" s="185" t="s">
        <v>12246</v>
      </c>
    </row>
    <row r="7771" spans="1:3">
      <c r="A7771" s="184">
        <v>966200543</v>
      </c>
      <c r="B7771" s="116" t="str">
        <f t="shared" si="121"/>
        <v>96-966200543</v>
      </c>
      <c r="C7771" s="185" t="s">
        <v>13076</v>
      </c>
    </row>
    <row r="7772" spans="1:3">
      <c r="A7772" s="184">
        <v>966200693</v>
      </c>
      <c r="B7772" s="116" t="str">
        <f t="shared" si="121"/>
        <v>96-966200693</v>
      </c>
      <c r="C7772" s="185" t="s">
        <v>13079</v>
      </c>
    </row>
    <row r="7773" spans="1:3">
      <c r="A7773" s="184">
        <v>966200652</v>
      </c>
      <c r="B7773" s="116" t="str">
        <f t="shared" si="121"/>
        <v>96-966200652</v>
      </c>
      <c r="C7773" s="185" t="s">
        <v>13071</v>
      </c>
    </row>
    <row r="7774" spans="1:3">
      <c r="A7774" s="184">
        <v>966200663</v>
      </c>
      <c r="B7774" s="116" t="str">
        <f t="shared" si="121"/>
        <v>96-966200663</v>
      </c>
      <c r="C7774" s="185" t="s">
        <v>13017</v>
      </c>
    </row>
    <row r="7775" spans="1:3">
      <c r="A7775" s="184">
        <v>966200753</v>
      </c>
      <c r="B7775" s="116" t="str">
        <f t="shared" si="121"/>
        <v>96-966200753</v>
      </c>
      <c r="C7775" s="185" t="s">
        <v>13090</v>
      </c>
    </row>
    <row r="7776" spans="1:3">
      <c r="A7776" s="184">
        <v>964300037</v>
      </c>
      <c r="B7776" s="116" t="str">
        <f t="shared" si="121"/>
        <v>96-964300037</v>
      </c>
      <c r="C7776" s="185" t="s">
        <v>12421</v>
      </c>
    </row>
    <row r="7777" spans="1:3">
      <c r="A7777" s="184">
        <v>964300040</v>
      </c>
      <c r="B7777" s="116" t="str">
        <f t="shared" si="121"/>
        <v>96-964300040</v>
      </c>
      <c r="C7777" s="185" t="s">
        <v>12421</v>
      </c>
    </row>
    <row r="7778" spans="1:3">
      <c r="A7778" s="184">
        <v>964300041</v>
      </c>
      <c r="B7778" s="116" t="str">
        <f t="shared" si="121"/>
        <v>96-964300041</v>
      </c>
      <c r="C7778" s="185" t="s">
        <v>12421</v>
      </c>
    </row>
    <row r="7779" spans="1:3">
      <c r="A7779" s="184">
        <v>966000043</v>
      </c>
      <c r="B7779" s="116" t="str">
        <f t="shared" si="121"/>
        <v>96-966000043</v>
      </c>
      <c r="C7779" s="185" t="s">
        <v>8722</v>
      </c>
    </row>
    <row r="7780" spans="1:3">
      <c r="A7780" s="184">
        <v>964100076</v>
      </c>
      <c r="B7780" s="116" t="str">
        <f t="shared" si="121"/>
        <v>96-964100076</v>
      </c>
      <c r="C7780" s="185" t="s">
        <v>9766</v>
      </c>
    </row>
    <row r="7781" spans="1:3">
      <c r="A7781" s="184">
        <v>964100096</v>
      </c>
      <c r="B7781" s="116" t="str">
        <f t="shared" si="121"/>
        <v>96-964100096</v>
      </c>
      <c r="C7781" s="185" t="s">
        <v>7138</v>
      </c>
    </row>
    <row r="7782" spans="1:3">
      <c r="A7782" s="184">
        <v>964100104</v>
      </c>
      <c r="B7782" s="116" t="str">
        <f t="shared" si="121"/>
        <v>96-964100104</v>
      </c>
      <c r="C7782" s="185" t="s">
        <v>12664</v>
      </c>
    </row>
    <row r="7783" spans="1:3">
      <c r="A7783" s="184">
        <v>964100105</v>
      </c>
      <c r="B7783" s="116" t="str">
        <f t="shared" si="121"/>
        <v>96-964100105</v>
      </c>
      <c r="C7783" s="185" t="s">
        <v>12664</v>
      </c>
    </row>
    <row r="7784" spans="1:3">
      <c r="A7784" s="184">
        <v>964100109</v>
      </c>
      <c r="B7784" s="116" t="str">
        <f t="shared" si="121"/>
        <v>96-964100109</v>
      </c>
      <c r="C7784" s="185" t="s">
        <v>12664</v>
      </c>
    </row>
    <row r="7785" spans="1:3">
      <c r="A7785" s="184">
        <v>964300030</v>
      </c>
      <c r="B7785" s="116" t="str">
        <f t="shared" si="121"/>
        <v>96-964300030</v>
      </c>
      <c r="C7785" s="185" t="s">
        <v>12197</v>
      </c>
    </row>
    <row r="7786" spans="1:3">
      <c r="A7786" s="184">
        <v>964300031</v>
      </c>
      <c r="B7786" s="116" t="str">
        <f t="shared" si="121"/>
        <v>96-964300031</v>
      </c>
      <c r="C7786" s="185" t="s">
        <v>12197</v>
      </c>
    </row>
    <row r="7787" spans="1:3">
      <c r="A7787" s="184">
        <v>966300086</v>
      </c>
      <c r="B7787" s="116" t="str">
        <f t="shared" si="121"/>
        <v>96-966300086</v>
      </c>
      <c r="C7787" s="185" t="s">
        <v>13091</v>
      </c>
    </row>
    <row r="7788" spans="1:3">
      <c r="A7788" s="184">
        <v>966200664</v>
      </c>
      <c r="B7788" s="116" t="str">
        <f t="shared" si="121"/>
        <v>96-966200664</v>
      </c>
      <c r="C7788" s="185" t="s">
        <v>13010</v>
      </c>
    </row>
    <row r="7789" spans="1:3">
      <c r="A7789" s="184">
        <v>966200672</v>
      </c>
      <c r="B7789" s="116" t="str">
        <f t="shared" si="121"/>
        <v>96-966200672</v>
      </c>
      <c r="C7789" s="185" t="s">
        <v>13010</v>
      </c>
    </row>
    <row r="7790" spans="1:3">
      <c r="A7790" s="184">
        <v>966200498</v>
      </c>
      <c r="B7790" s="116" t="str">
        <f t="shared" si="121"/>
        <v>96-966200498</v>
      </c>
      <c r="C7790" s="185" t="s">
        <v>12415</v>
      </c>
    </row>
    <row r="7791" spans="1:3">
      <c r="A7791" s="184">
        <v>966200500</v>
      </c>
      <c r="B7791" s="116" t="str">
        <f t="shared" si="121"/>
        <v>96-966200500</v>
      </c>
      <c r="C7791" s="185" t="s">
        <v>12415</v>
      </c>
    </row>
    <row r="7792" spans="1:3">
      <c r="A7792" s="184">
        <v>966200592</v>
      </c>
      <c r="B7792" s="116" t="str">
        <f t="shared" si="121"/>
        <v>96-966200592</v>
      </c>
      <c r="C7792" s="185" t="s">
        <v>13081</v>
      </c>
    </row>
    <row r="7793" spans="1:3">
      <c r="A7793" s="184">
        <v>962200088</v>
      </c>
      <c r="B7793" s="116" t="str">
        <f t="shared" si="121"/>
        <v>96-962200088</v>
      </c>
      <c r="C7793" s="185" t="s">
        <v>9765</v>
      </c>
    </row>
    <row r="7794" spans="1:3">
      <c r="A7794" s="184">
        <v>962200094</v>
      </c>
      <c r="B7794" s="116" t="str">
        <f t="shared" si="121"/>
        <v>96-962200094</v>
      </c>
      <c r="C7794" s="185" t="s">
        <v>9765</v>
      </c>
    </row>
    <row r="7795" spans="1:3">
      <c r="A7795" s="184">
        <v>962200102</v>
      </c>
      <c r="B7795" s="116" t="str">
        <f t="shared" si="121"/>
        <v>96-962200102</v>
      </c>
      <c r="C7795" s="185" t="s">
        <v>12666</v>
      </c>
    </row>
    <row r="7796" spans="1:3">
      <c r="A7796" s="184">
        <v>962200109</v>
      </c>
      <c r="B7796" s="116" t="str">
        <f t="shared" si="121"/>
        <v>96-962200109</v>
      </c>
      <c r="C7796" s="185" t="s">
        <v>12666</v>
      </c>
    </row>
    <row r="7797" spans="1:3">
      <c r="A7797" s="184">
        <v>966200490</v>
      </c>
      <c r="B7797" s="116" t="str">
        <f t="shared" si="121"/>
        <v>96-966200490</v>
      </c>
      <c r="C7797" s="185" t="s">
        <v>12186</v>
      </c>
    </row>
    <row r="7798" spans="1:3">
      <c r="A7798" s="184">
        <v>962000454</v>
      </c>
      <c r="B7798" s="116" t="str">
        <f t="shared" si="121"/>
        <v>96-962000454</v>
      </c>
      <c r="C7798" s="185" t="s">
        <v>12184</v>
      </c>
    </row>
    <row r="7799" spans="1:3">
      <c r="A7799" s="184">
        <v>962200092</v>
      </c>
      <c r="B7799" s="116" t="str">
        <f t="shared" si="121"/>
        <v>96-962200092</v>
      </c>
      <c r="C7799" s="185" t="s">
        <v>9765</v>
      </c>
    </row>
    <row r="7800" spans="1:3">
      <c r="A7800" s="184">
        <v>962000449</v>
      </c>
      <c r="B7800" s="116" t="str">
        <f t="shared" si="121"/>
        <v>96-962000449</v>
      </c>
      <c r="C7800" s="185" t="s">
        <v>12184</v>
      </c>
    </row>
    <row r="7801" spans="1:3">
      <c r="A7801" s="184">
        <v>966200551</v>
      </c>
      <c r="B7801" s="116" t="str">
        <f t="shared" si="121"/>
        <v>96-966200551</v>
      </c>
      <c r="C7801" s="185" t="s">
        <v>13073</v>
      </c>
    </row>
    <row r="7802" spans="1:3">
      <c r="A7802" s="184">
        <v>962000234</v>
      </c>
      <c r="B7802" s="116" t="str">
        <f t="shared" si="121"/>
        <v>96-962000234</v>
      </c>
      <c r="C7802" s="185" t="s">
        <v>7112</v>
      </c>
    </row>
    <row r="7803" spans="1:3">
      <c r="A7803" s="184">
        <v>962000473</v>
      </c>
      <c r="B7803" s="116" t="str">
        <f t="shared" si="121"/>
        <v>96-962000473</v>
      </c>
      <c r="C7803" s="185" t="s">
        <v>12184</v>
      </c>
    </row>
    <row r="7804" spans="1:3">
      <c r="A7804" s="184">
        <v>962000351</v>
      </c>
      <c r="B7804" s="116" t="str">
        <f t="shared" si="121"/>
        <v>96-962000351</v>
      </c>
      <c r="C7804" s="185" t="s">
        <v>12184</v>
      </c>
    </row>
    <row r="7805" spans="1:3">
      <c r="A7805" s="184">
        <v>962500192</v>
      </c>
      <c r="B7805" s="116" t="str">
        <f t="shared" si="121"/>
        <v>96-962500192</v>
      </c>
      <c r="C7805" s="185" t="s">
        <v>8717</v>
      </c>
    </row>
    <row r="7806" spans="1:3">
      <c r="A7806" s="184">
        <v>962000288</v>
      </c>
      <c r="B7806" s="116" t="str">
        <f t="shared" si="121"/>
        <v>96-962000288</v>
      </c>
      <c r="C7806" s="185" t="s">
        <v>7112</v>
      </c>
    </row>
    <row r="7807" spans="1:3">
      <c r="A7807" s="184">
        <v>962500182</v>
      </c>
      <c r="B7807" s="116" t="str">
        <f t="shared" si="121"/>
        <v>96-962500182</v>
      </c>
      <c r="C7807" s="185" t="s">
        <v>9763</v>
      </c>
    </row>
    <row r="7808" spans="1:3">
      <c r="A7808" s="184">
        <v>962500196</v>
      </c>
      <c r="B7808" s="116" t="str">
        <f t="shared" si="121"/>
        <v>96-962500196</v>
      </c>
      <c r="C7808" s="185" t="s">
        <v>12260</v>
      </c>
    </row>
    <row r="7809" spans="1:3">
      <c r="A7809" s="184">
        <v>962500221</v>
      </c>
      <c r="B7809" s="116" t="str">
        <f t="shared" si="121"/>
        <v>96-962500221</v>
      </c>
      <c r="C7809" s="185" t="s">
        <v>12673</v>
      </c>
    </row>
    <row r="7810" spans="1:3">
      <c r="A7810" s="184">
        <v>962500218</v>
      </c>
      <c r="B7810" s="116" t="str">
        <f t="shared" si="121"/>
        <v>96-962500218</v>
      </c>
      <c r="C7810" s="185" t="s">
        <v>12685</v>
      </c>
    </row>
    <row r="7811" spans="1:3">
      <c r="A7811" s="184">
        <v>962500225</v>
      </c>
      <c r="B7811" s="116" t="str">
        <f t="shared" ref="B7811:B7874" si="122">MID(A7811,1,2)&amp;"-"&amp;A7811</f>
        <v>96-962500225</v>
      </c>
      <c r="C7811" s="185" t="s">
        <v>12942</v>
      </c>
    </row>
    <row r="7812" spans="1:3">
      <c r="A7812" s="184">
        <v>962500207</v>
      </c>
      <c r="B7812" s="116" t="str">
        <f t="shared" si="122"/>
        <v>96-962500207</v>
      </c>
      <c r="C7812" s="185" t="s">
        <v>5858</v>
      </c>
    </row>
    <row r="7813" spans="1:3">
      <c r="A7813" s="184">
        <v>962500179</v>
      </c>
      <c r="B7813" s="116" t="str">
        <f t="shared" si="122"/>
        <v>96-962500179</v>
      </c>
      <c r="C7813" s="185" t="s">
        <v>7211</v>
      </c>
    </row>
    <row r="7814" spans="1:3">
      <c r="A7814" s="184">
        <v>962500184</v>
      </c>
      <c r="B7814" s="116" t="str">
        <f t="shared" si="122"/>
        <v>96-962500184</v>
      </c>
      <c r="C7814" s="185" t="s">
        <v>7211</v>
      </c>
    </row>
    <row r="7815" spans="1:3">
      <c r="A7815" s="184">
        <v>962500191</v>
      </c>
      <c r="B7815" s="116" t="str">
        <f t="shared" si="122"/>
        <v>96-962500191</v>
      </c>
      <c r="C7815" s="185" t="s">
        <v>12195</v>
      </c>
    </row>
    <row r="7816" spans="1:3">
      <c r="A7816" s="184">
        <v>962000342</v>
      </c>
      <c r="B7816" s="116" t="str">
        <f t="shared" si="122"/>
        <v>96-962000342</v>
      </c>
      <c r="C7816" s="185" t="s">
        <v>12184</v>
      </c>
    </row>
    <row r="7817" spans="1:3">
      <c r="A7817" s="184">
        <v>962500199</v>
      </c>
      <c r="B7817" s="116" t="str">
        <f t="shared" si="122"/>
        <v>96-962500199</v>
      </c>
      <c r="C7817" s="185" t="s">
        <v>12195</v>
      </c>
    </row>
    <row r="7818" spans="1:3">
      <c r="A7818" s="184">
        <v>962200091</v>
      </c>
      <c r="B7818" s="116" t="str">
        <f t="shared" si="122"/>
        <v>96-962200091</v>
      </c>
      <c r="C7818" s="185" t="s">
        <v>12447</v>
      </c>
    </row>
    <row r="7819" spans="1:3">
      <c r="A7819" s="184">
        <v>962500172</v>
      </c>
      <c r="B7819" s="116" t="str">
        <f t="shared" si="122"/>
        <v>96-962500172</v>
      </c>
      <c r="C7819" s="185" t="s">
        <v>12119</v>
      </c>
    </row>
    <row r="7820" spans="1:3">
      <c r="A7820" s="184">
        <v>962500176</v>
      </c>
      <c r="B7820" s="116" t="str">
        <f t="shared" si="122"/>
        <v>96-962500176</v>
      </c>
      <c r="C7820" s="185" t="s">
        <v>9763</v>
      </c>
    </row>
    <row r="7821" spans="1:3">
      <c r="A7821" s="184">
        <v>962500214</v>
      </c>
      <c r="B7821" s="116" t="str">
        <f t="shared" si="122"/>
        <v>96-962500214</v>
      </c>
      <c r="C7821" s="185" t="s">
        <v>12673</v>
      </c>
    </row>
    <row r="7822" spans="1:3">
      <c r="A7822" s="184">
        <v>964200011</v>
      </c>
      <c r="B7822" s="116" t="str">
        <f t="shared" si="122"/>
        <v>96-964200011</v>
      </c>
      <c r="C7822" s="185" t="s">
        <v>12260</v>
      </c>
    </row>
    <row r="7823" spans="1:3">
      <c r="A7823" s="184">
        <v>964200019</v>
      </c>
      <c r="B7823" s="116" t="str">
        <f t="shared" si="122"/>
        <v>96-964200019</v>
      </c>
      <c r="C7823" s="185" t="s">
        <v>12429</v>
      </c>
    </row>
    <row r="7824" spans="1:3">
      <c r="A7824" s="184">
        <v>964200025</v>
      </c>
      <c r="B7824" s="116" t="str">
        <f t="shared" si="122"/>
        <v>96-964200025</v>
      </c>
      <c r="C7824" s="185" t="s">
        <v>12429</v>
      </c>
    </row>
    <row r="7825" spans="1:3">
      <c r="A7825" s="184">
        <v>964200031</v>
      </c>
      <c r="B7825" s="116" t="str">
        <f t="shared" si="122"/>
        <v>96-964200031</v>
      </c>
      <c r="C7825" s="185" t="s">
        <v>12668</v>
      </c>
    </row>
    <row r="7826" spans="1:3">
      <c r="A7826" s="184">
        <v>962000271</v>
      </c>
      <c r="B7826" s="116" t="str">
        <f t="shared" si="122"/>
        <v>96-962000271</v>
      </c>
      <c r="C7826" s="185" t="s">
        <v>7112</v>
      </c>
    </row>
    <row r="7827" spans="1:3">
      <c r="A7827" s="184">
        <v>961200143</v>
      </c>
      <c r="B7827" s="116" t="str">
        <f t="shared" si="122"/>
        <v>96-961200143</v>
      </c>
      <c r="C7827" s="185" t="s">
        <v>12232</v>
      </c>
    </row>
    <row r="7828" spans="1:3">
      <c r="A7828" s="184">
        <v>961200159</v>
      </c>
      <c r="B7828" s="116" t="str">
        <f t="shared" si="122"/>
        <v>96-961200159</v>
      </c>
      <c r="C7828" s="185" t="s">
        <v>12441</v>
      </c>
    </row>
    <row r="7829" spans="1:3">
      <c r="A7829" s="184">
        <v>961200170</v>
      </c>
      <c r="B7829" s="116" t="str">
        <f t="shared" si="122"/>
        <v>96-961200170</v>
      </c>
      <c r="C7829" s="185" t="s">
        <v>12441</v>
      </c>
    </row>
    <row r="7830" spans="1:3">
      <c r="A7830" s="184">
        <v>961200180</v>
      </c>
      <c r="B7830" s="116" t="str">
        <f t="shared" si="122"/>
        <v>96-961200180</v>
      </c>
      <c r="C7830" s="185" t="s">
        <v>12441</v>
      </c>
    </row>
    <row r="7831" spans="1:3">
      <c r="A7831" s="184">
        <v>961200191</v>
      </c>
      <c r="B7831" s="116" t="str">
        <f t="shared" si="122"/>
        <v>96-961200191</v>
      </c>
      <c r="C7831" s="185" t="s">
        <v>12682</v>
      </c>
    </row>
    <row r="7832" spans="1:3">
      <c r="A7832" s="184">
        <v>961200200</v>
      </c>
      <c r="B7832" s="116" t="str">
        <f t="shared" si="122"/>
        <v>96-961200200</v>
      </c>
      <c r="C7832" s="185" t="s">
        <v>12682</v>
      </c>
    </row>
    <row r="7833" spans="1:3">
      <c r="A7833" s="184">
        <v>961200211</v>
      </c>
      <c r="B7833" s="116" t="str">
        <f t="shared" si="122"/>
        <v>96-961200211</v>
      </c>
      <c r="C7833" s="185" t="s">
        <v>12931</v>
      </c>
    </row>
    <row r="7834" spans="1:3">
      <c r="A7834" s="184">
        <v>962500169</v>
      </c>
      <c r="B7834" s="116" t="str">
        <f t="shared" si="122"/>
        <v>96-962500169</v>
      </c>
      <c r="C7834" s="185" t="s">
        <v>9785</v>
      </c>
    </row>
    <row r="7835" spans="1:3">
      <c r="A7835" s="184">
        <v>972500012</v>
      </c>
      <c r="B7835" s="116" t="str">
        <f t="shared" si="122"/>
        <v>97-972500012</v>
      </c>
      <c r="C7835" s="185" t="s">
        <v>12942</v>
      </c>
    </row>
    <row r="7836" spans="1:3">
      <c r="A7836" s="184">
        <v>962500194</v>
      </c>
      <c r="B7836" s="116" t="str">
        <f t="shared" si="122"/>
        <v>96-962500194</v>
      </c>
      <c r="C7836" s="185" t="s">
        <v>12195</v>
      </c>
    </row>
    <row r="7837" spans="1:3">
      <c r="A7837" s="184">
        <v>962500200</v>
      </c>
      <c r="B7837" s="116" t="str">
        <f t="shared" si="122"/>
        <v>96-962500200</v>
      </c>
      <c r="C7837" s="185" t="s">
        <v>12667</v>
      </c>
    </row>
    <row r="7838" spans="1:3">
      <c r="A7838" s="184">
        <v>962500230</v>
      </c>
      <c r="B7838" s="116" t="str">
        <f t="shared" si="122"/>
        <v>96-962500230</v>
      </c>
      <c r="C7838" s="185" t="s">
        <v>13092</v>
      </c>
    </row>
    <row r="7839" spans="1:3">
      <c r="A7839" s="184">
        <v>962500231</v>
      </c>
      <c r="B7839" s="116" t="str">
        <f t="shared" si="122"/>
        <v>96-962500231</v>
      </c>
      <c r="C7839" s="185" t="s">
        <v>12667</v>
      </c>
    </row>
    <row r="7840" spans="1:3">
      <c r="A7840" s="184">
        <v>961900204</v>
      </c>
      <c r="B7840" s="116" t="str">
        <f t="shared" si="122"/>
        <v>96-961900204</v>
      </c>
      <c r="C7840" s="185" t="s">
        <v>13093</v>
      </c>
    </row>
    <row r="7841" spans="1:3">
      <c r="A7841" s="184">
        <v>962000356</v>
      </c>
      <c r="B7841" s="116" t="str">
        <f t="shared" si="122"/>
        <v>96-962000356</v>
      </c>
      <c r="C7841" s="185" t="s">
        <v>12184</v>
      </c>
    </row>
    <row r="7842" spans="1:3">
      <c r="A7842" s="184">
        <v>961100135</v>
      </c>
      <c r="B7842" s="116" t="str">
        <f t="shared" si="122"/>
        <v>96-961100135</v>
      </c>
      <c r="C7842" s="185" t="s">
        <v>13094</v>
      </c>
    </row>
    <row r="7843" spans="1:3">
      <c r="A7843" s="184">
        <v>962000406</v>
      </c>
      <c r="B7843" s="116" t="str">
        <f t="shared" si="122"/>
        <v>96-962000406</v>
      </c>
      <c r="C7843" s="185" t="s">
        <v>12184</v>
      </c>
    </row>
    <row r="7844" spans="1:3">
      <c r="A7844" s="184">
        <v>961700232</v>
      </c>
      <c r="B7844" s="116" t="str">
        <f t="shared" si="122"/>
        <v>96-961700232</v>
      </c>
      <c r="C7844" s="185" t="s">
        <v>13018</v>
      </c>
    </row>
    <row r="7845" spans="1:3">
      <c r="A7845" s="184">
        <v>961600021</v>
      </c>
      <c r="B7845" s="116" t="str">
        <f t="shared" si="122"/>
        <v>96-961600021</v>
      </c>
      <c r="C7845" s="185" t="s">
        <v>12250</v>
      </c>
    </row>
    <row r="7846" spans="1:3">
      <c r="A7846" s="184">
        <v>966200658</v>
      </c>
      <c r="B7846" s="116" t="str">
        <f t="shared" si="122"/>
        <v>96-966200658</v>
      </c>
      <c r="C7846" s="185" t="s">
        <v>13017</v>
      </c>
    </row>
    <row r="7847" spans="1:3">
      <c r="A7847" s="184">
        <v>961200140</v>
      </c>
      <c r="B7847" s="116" t="str">
        <f t="shared" si="122"/>
        <v>96-961200140</v>
      </c>
      <c r="C7847" s="185" t="s">
        <v>12232</v>
      </c>
    </row>
    <row r="7848" spans="1:3">
      <c r="A7848" s="184">
        <v>961200205</v>
      </c>
      <c r="B7848" s="116" t="str">
        <f t="shared" si="122"/>
        <v>96-961200205</v>
      </c>
      <c r="C7848" s="185" t="s">
        <v>12682</v>
      </c>
    </row>
    <row r="7849" spans="1:3">
      <c r="A7849" s="184">
        <v>961100104</v>
      </c>
      <c r="B7849" s="116" t="str">
        <f t="shared" si="122"/>
        <v>96-961100104</v>
      </c>
      <c r="C7849" s="185" t="s">
        <v>12233</v>
      </c>
    </row>
    <row r="7850" spans="1:3">
      <c r="A7850" s="184">
        <v>962000261</v>
      </c>
      <c r="B7850" s="116" t="str">
        <f t="shared" si="122"/>
        <v>96-962000261</v>
      </c>
      <c r="C7850" s="185" t="s">
        <v>7112</v>
      </c>
    </row>
    <row r="7851" spans="1:3">
      <c r="A7851" s="184">
        <v>966200386</v>
      </c>
      <c r="B7851" s="116" t="str">
        <f t="shared" si="122"/>
        <v>96-966200386</v>
      </c>
      <c r="C7851" s="185" t="s">
        <v>12239</v>
      </c>
    </row>
    <row r="7852" spans="1:3">
      <c r="A7852" s="184">
        <v>966200554</v>
      </c>
      <c r="B7852" s="116" t="str">
        <f t="shared" si="122"/>
        <v>96-966200554</v>
      </c>
      <c r="C7852" s="185" t="s">
        <v>13073</v>
      </c>
    </row>
    <row r="7853" spans="1:3">
      <c r="A7853" s="184">
        <v>962000486</v>
      </c>
      <c r="B7853" s="116" t="str">
        <f t="shared" si="122"/>
        <v>96-962000486</v>
      </c>
      <c r="C7853" s="185" t="s">
        <v>12184</v>
      </c>
    </row>
    <row r="7854" spans="1:3">
      <c r="A7854" s="184">
        <v>961600031</v>
      </c>
      <c r="B7854" s="116" t="str">
        <f t="shared" si="122"/>
        <v>96-961600031</v>
      </c>
      <c r="C7854" s="185" t="s">
        <v>13095</v>
      </c>
    </row>
    <row r="7855" spans="1:3">
      <c r="A7855" s="184">
        <v>962000461</v>
      </c>
      <c r="B7855" s="116" t="str">
        <f t="shared" si="122"/>
        <v>96-962000461</v>
      </c>
      <c r="C7855" s="185" t="s">
        <v>12184</v>
      </c>
    </row>
    <row r="7856" spans="1:3">
      <c r="A7856" s="184">
        <v>961100132</v>
      </c>
      <c r="B7856" s="116" t="str">
        <f t="shared" si="122"/>
        <v>96-961100132</v>
      </c>
      <c r="C7856" s="185" t="s">
        <v>13096</v>
      </c>
    </row>
    <row r="7857" spans="1:3">
      <c r="A7857" s="184">
        <v>961700167</v>
      </c>
      <c r="B7857" s="116" t="str">
        <f t="shared" si="122"/>
        <v>96-961700167</v>
      </c>
      <c r="C7857" s="185" t="s">
        <v>13097</v>
      </c>
    </row>
    <row r="7858" spans="1:3">
      <c r="A7858" s="184">
        <v>961700180</v>
      </c>
      <c r="B7858" s="116" t="str">
        <f t="shared" si="122"/>
        <v>96-961700180</v>
      </c>
      <c r="C7858" s="185" t="s">
        <v>13034</v>
      </c>
    </row>
    <row r="7859" spans="1:3">
      <c r="A7859" s="184">
        <v>962000431</v>
      </c>
      <c r="B7859" s="116" t="str">
        <f t="shared" si="122"/>
        <v>96-962000431</v>
      </c>
      <c r="C7859" s="185" t="s">
        <v>12184</v>
      </c>
    </row>
    <row r="7860" spans="1:3">
      <c r="A7860" s="184">
        <v>961600026</v>
      </c>
      <c r="B7860" s="116" t="str">
        <f t="shared" si="122"/>
        <v>96-961600026</v>
      </c>
      <c r="C7860" s="185" t="s">
        <v>13098</v>
      </c>
    </row>
    <row r="7861" spans="1:3">
      <c r="A7861" s="184">
        <v>966300066</v>
      </c>
      <c r="B7861" s="116" t="str">
        <f t="shared" si="122"/>
        <v>96-966300066</v>
      </c>
      <c r="C7861" s="185" t="s">
        <v>13099</v>
      </c>
    </row>
    <row r="7862" spans="1:3">
      <c r="A7862" s="184">
        <v>961700213</v>
      </c>
      <c r="B7862" s="116" t="str">
        <f t="shared" si="122"/>
        <v>96-961700213</v>
      </c>
      <c r="C7862" s="185" t="s">
        <v>13048</v>
      </c>
    </row>
    <row r="7863" spans="1:3">
      <c r="A7863" s="184">
        <v>966200390</v>
      </c>
      <c r="B7863" s="116" t="str">
        <f t="shared" si="122"/>
        <v>96-966200390</v>
      </c>
      <c r="C7863" s="185" t="s">
        <v>12239</v>
      </c>
    </row>
    <row r="7864" spans="1:3">
      <c r="A7864" s="184">
        <v>962000253</v>
      </c>
      <c r="B7864" s="116" t="str">
        <f t="shared" si="122"/>
        <v>96-962000253</v>
      </c>
      <c r="C7864" s="185" t="s">
        <v>7112</v>
      </c>
    </row>
    <row r="7865" spans="1:3">
      <c r="A7865" s="184">
        <v>961900184</v>
      </c>
      <c r="B7865" s="116" t="str">
        <f t="shared" si="122"/>
        <v>96-961900184</v>
      </c>
      <c r="C7865" s="185" t="s">
        <v>12279</v>
      </c>
    </row>
    <row r="7866" spans="1:3">
      <c r="A7866" s="184">
        <v>966200642</v>
      </c>
      <c r="B7866" s="116" t="str">
        <f t="shared" si="122"/>
        <v>96-966200642</v>
      </c>
      <c r="C7866" s="185" t="s">
        <v>13071</v>
      </c>
    </row>
    <row r="7867" spans="1:3">
      <c r="A7867" s="184">
        <v>962000443</v>
      </c>
      <c r="B7867" s="116" t="str">
        <f t="shared" si="122"/>
        <v>96-962000443</v>
      </c>
      <c r="C7867" s="185" t="s">
        <v>12184</v>
      </c>
    </row>
    <row r="7868" spans="1:3">
      <c r="A7868" s="184">
        <v>962000469</v>
      </c>
      <c r="B7868" s="116" t="str">
        <f t="shared" si="122"/>
        <v>96-962000469</v>
      </c>
      <c r="C7868" s="185" t="s">
        <v>12184</v>
      </c>
    </row>
    <row r="7869" spans="1:3">
      <c r="A7869" s="184">
        <v>962000457</v>
      </c>
      <c r="B7869" s="116" t="str">
        <f t="shared" si="122"/>
        <v>96-962000457</v>
      </c>
      <c r="C7869" s="185" t="s">
        <v>12184</v>
      </c>
    </row>
    <row r="7870" spans="1:3">
      <c r="A7870" s="184">
        <v>962000416</v>
      </c>
      <c r="B7870" s="116" t="str">
        <f t="shared" si="122"/>
        <v>96-962000416</v>
      </c>
      <c r="C7870" s="185" t="s">
        <v>12184</v>
      </c>
    </row>
    <row r="7871" spans="1:3">
      <c r="A7871" s="184">
        <v>966200673</v>
      </c>
      <c r="B7871" s="116" t="str">
        <f t="shared" si="122"/>
        <v>96-966200673</v>
      </c>
      <c r="C7871" s="185" t="s">
        <v>13010</v>
      </c>
    </row>
    <row r="7872" spans="1:3">
      <c r="A7872" s="184">
        <v>962000485</v>
      </c>
      <c r="B7872" s="116" t="str">
        <f t="shared" si="122"/>
        <v>96-962000485</v>
      </c>
      <c r="C7872" s="185" t="s">
        <v>12184</v>
      </c>
    </row>
    <row r="7873" spans="1:3">
      <c r="A7873" s="184">
        <v>962000425</v>
      </c>
      <c r="B7873" s="116" t="str">
        <f t="shared" si="122"/>
        <v>96-962000425</v>
      </c>
      <c r="C7873" s="185" t="s">
        <v>12184</v>
      </c>
    </row>
    <row r="7874" spans="1:3">
      <c r="A7874" s="184">
        <v>962000408</v>
      </c>
      <c r="B7874" s="116" t="str">
        <f t="shared" si="122"/>
        <v>96-962000408</v>
      </c>
      <c r="C7874" s="185" t="s">
        <v>12184</v>
      </c>
    </row>
    <row r="7875" spans="1:3">
      <c r="A7875" s="184">
        <v>966200595</v>
      </c>
      <c r="B7875" s="116" t="str">
        <f t="shared" ref="B7875:B7938" si="123">MID(A7875,1,2)&amp;"-"&amp;A7875</f>
        <v>96-966200595</v>
      </c>
      <c r="C7875" s="185" t="s">
        <v>13100</v>
      </c>
    </row>
    <row r="7876" spans="1:3">
      <c r="A7876" s="184">
        <v>966200535</v>
      </c>
      <c r="B7876" s="116" t="str">
        <f t="shared" si="123"/>
        <v>96-966200535</v>
      </c>
      <c r="C7876" s="185" t="s">
        <v>12412</v>
      </c>
    </row>
    <row r="7877" spans="1:3">
      <c r="A7877" s="184">
        <v>972000149</v>
      </c>
      <c r="B7877" s="116" t="str">
        <f t="shared" si="123"/>
        <v>97-972000149</v>
      </c>
      <c r="C7877" s="185" t="s">
        <v>13003</v>
      </c>
    </row>
    <row r="7878" spans="1:3">
      <c r="A7878" s="184">
        <v>962000236</v>
      </c>
      <c r="B7878" s="116" t="str">
        <f t="shared" si="123"/>
        <v>96-962000236</v>
      </c>
      <c r="C7878" s="185" t="s">
        <v>7112</v>
      </c>
    </row>
    <row r="7879" spans="1:3">
      <c r="A7879" s="184">
        <v>962000242</v>
      </c>
      <c r="B7879" s="116" t="str">
        <f t="shared" si="123"/>
        <v>96-962000242</v>
      </c>
      <c r="C7879" s="185" t="s">
        <v>7112</v>
      </c>
    </row>
    <row r="7880" spans="1:3">
      <c r="A7880" s="184">
        <v>962000355</v>
      </c>
      <c r="B7880" s="116" t="str">
        <f t="shared" si="123"/>
        <v>96-962000355</v>
      </c>
      <c r="C7880" s="185" t="s">
        <v>12184</v>
      </c>
    </row>
    <row r="7881" spans="1:3">
      <c r="A7881" s="184">
        <v>961700158</v>
      </c>
      <c r="B7881" s="116" t="str">
        <f t="shared" si="123"/>
        <v>96-961700158</v>
      </c>
      <c r="C7881" s="185" t="s">
        <v>12198</v>
      </c>
    </row>
    <row r="7882" spans="1:3">
      <c r="A7882" s="184">
        <v>961700157</v>
      </c>
      <c r="B7882" s="116" t="str">
        <f t="shared" si="123"/>
        <v>96-961700157</v>
      </c>
      <c r="C7882" s="185" t="s">
        <v>12201</v>
      </c>
    </row>
    <row r="7883" spans="1:3">
      <c r="A7883" s="184">
        <v>966200537</v>
      </c>
      <c r="B7883" s="116" t="str">
        <f t="shared" si="123"/>
        <v>96-966200537</v>
      </c>
      <c r="C7883" s="185" t="s">
        <v>12412</v>
      </c>
    </row>
    <row r="7884" spans="1:3">
      <c r="A7884" s="184">
        <v>966200593</v>
      </c>
      <c r="B7884" s="116" t="str">
        <f t="shared" si="123"/>
        <v>96-966200593</v>
      </c>
      <c r="C7884" s="185" t="s">
        <v>13081</v>
      </c>
    </row>
    <row r="7885" spans="1:3">
      <c r="A7885" s="184">
        <v>966200726</v>
      </c>
      <c r="B7885" s="116" t="str">
        <f t="shared" si="123"/>
        <v>96-966200726</v>
      </c>
      <c r="C7885" s="185" t="s">
        <v>13013</v>
      </c>
    </row>
    <row r="7886" spans="1:3">
      <c r="A7886" s="184">
        <v>962000336</v>
      </c>
      <c r="B7886" s="116" t="str">
        <f t="shared" si="123"/>
        <v>96-962000336</v>
      </c>
      <c r="C7886" s="185" t="s">
        <v>7112</v>
      </c>
    </row>
    <row r="7887" spans="1:3">
      <c r="A7887" s="184">
        <v>966200536</v>
      </c>
      <c r="B7887" s="116" t="str">
        <f t="shared" si="123"/>
        <v>96-966200536</v>
      </c>
      <c r="C7887" s="185" t="s">
        <v>12412</v>
      </c>
    </row>
    <row r="7888" spans="1:3">
      <c r="A7888" s="184">
        <v>966200578</v>
      </c>
      <c r="B7888" s="116" t="str">
        <f t="shared" si="123"/>
        <v>96-966200578</v>
      </c>
      <c r="C7888" s="185" t="s">
        <v>13078</v>
      </c>
    </row>
    <row r="7889" spans="1:3">
      <c r="A7889" s="184">
        <v>962000354</v>
      </c>
      <c r="B7889" s="116" t="str">
        <f t="shared" si="123"/>
        <v>96-962000354</v>
      </c>
      <c r="C7889" s="185" t="s">
        <v>12184</v>
      </c>
    </row>
    <row r="7890" spans="1:3">
      <c r="A7890" s="184">
        <v>966200657</v>
      </c>
      <c r="B7890" s="116" t="str">
        <f t="shared" si="123"/>
        <v>96-966200657</v>
      </c>
      <c r="C7890" s="185" t="s">
        <v>13017</v>
      </c>
    </row>
    <row r="7891" spans="1:3">
      <c r="A7891" s="184">
        <v>962000394</v>
      </c>
      <c r="B7891" s="116" t="str">
        <f t="shared" si="123"/>
        <v>96-962000394</v>
      </c>
      <c r="C7891" s="185" t="s">
        <v>12184</v>
      </c>
    </row>
    <row r="7892" spans="1:3">
      <c r="A7892" s="184">
        <v>962000437</v>
      </c>
      <c r="B7892" s="116" t="str">
        <f t="shared" si="123"/>
        <v>96-962000437</v>
      </c>
      <c r="C7892" s="185" t="s">
        <v>12184</v>
      </c>
    </row>
    <row r="7893" spans="1:3">
      <c r="A7893" s="184">
        <v>962000483</v>
      </c>
      <c r="B7893" s="116" t="str">
        <f t="shared" si="123"/>
        <v>96-962000483</v>
      </c>
      <c r="C7893" s="185" t="s">
        <v>12184</v>
      </c>
    </row>
    <row r="7894" spans="1:3">
      <c r="A7894" s="184">
        <v>962000433</v>
      </c>
      <c r="B7894" s="116" t="str">
        <f t="shared" si="123"/>
        <v>96-962000433</v>
      </c>
      <c r="C7894" s="185" t="s">
        <v>12184</v>
      </c>
    </row>
    <row r="7895" spans="1:3">
      <c r="A7895" s="184">
        <v>962000399</v>
      </c>
      <c r="B7895" s="116" t="str">
        <f t="shared" si="123"/>
        <v>96-962000399</v>
      </c>
      <c r="C7895" s="185" t="s">
        <v>12184</v>
      </c>
    </row>
    <row r="7896" spans="1:3">
      <c r="A7896" s="184">
        <v>962000263</v>
      </c>
      <c r="B7896" s="116" t="str">
        <f t="shared" si="123"/>
        <v>96-962000263</v>
      </c>
      <c r="C7896" s="185" t="s">
        <v>7112</v>
      </c>
    </row>
    <row r="7897" spans="1:3">
      <c r="A7897" s="184">
        <v>962000403</v>
      </c>
      <c r="B7897" s="116" t="str">
        <f t="shared" si="123"/>
        <v>96-962000403</v>
      </c>
      <c r="C7897" s="185" t="s">
        <v>12184</v>
      </c>
    </row>
    <row r="7898" spans="1:3">
      <c r="A7898" s="184">
        <v>962000450</v>
      </c>
      <c r="B7898" s="116" t="str">
        <f t="shared" si="123"/>
        <v>96-962000450</v>
      </c>
      <c r="C7898" s="185" t="s">
        <v>12184</v>
      </c>
    </row>
    <row r="7899" spans="1:3">
      <c r="A7899" s="184">
        <v>962000498</v>
      </c>
      <c r="B7899" s="116" t="str">
        <f t="shared" si="123"/>
        <v>96-962000498</v>
      </c>
      <c r="C7899" s="185" t="s">
        <v>12184</v>
      </c>
    </row>
    <row r="7900" spans="1:3">
      <c r="A7900" s="184">
        <v>962000340</v>
      </c>
      <c r="B7900" s="116" t="str">
        <f t="shared" si="123"/>
        <v>96-962000340</v>
      </c>
      <c r="C7900" s="185" t="s">
        <v>12184</v>
      </c>
    </row>
    <row r="7901" spans="1:3">
      <c r="A7901" s="184">
        <v>966200662</v>
      </c>
      <c r="B7901" s="116" t="str">
        <f t="shared" si="123"/>
        <v>96-966200662</v>
      </c>
      <c r="C7901" s="185" t="s">
        <v>13017</v>
      </c>
    </row>
    <row r="7902" spans="1:3">
      <c r="A7902" s="184">
        <v>961200147</v>
      </c>
      <c r="B7902" s="116" t="str">
        <f t="shared" si="123"/>
        <v>96-961200147</v>
      </c>
      <c r="C7902" s="185" t="s">
        <v>12231</v>
      </c>
    </row>
    <row r="7903" spans="1:3">
      <c r="A7903" s="184">
        <v>961200151</v>
      </c>
      <c r="B7903" s="116" t="str">
        <f t="shared" si="123"/>
        <v>96-961200151</v>
      </c>
      <c r="C7903" s="185" t="s">
        <v>12231</v>
      </c>
    </row>
    <row r="7904" spans="1:3">
      <c r="A7904" s="184">
        <v>961200183</v>
      </c>
      <c r="B7904" s="116" t="str">
        <f t="shared" si="123"/>
        <v>96-961200183</v>
      </c>
      <c r="C7904" s="185" t="s">
        <v>12441</v>
      </c>
    </row>
    <row r="7905" spans="1:3">
      <c r="A7905" s="184">
        <v>971200002</v>
      </c>
      <c r="B7905" s="116" t="str">
        <f t="shared" si="123"/>
        <v>97-971200002</v>
      </c>
      <c r="C7905" s="185" t="s">
        <v>12931</v>
      </c>
    </row>
    <row r="7906" spans="1:3">
      <c r="A7906" s="184">
        <v>966200392</v>
      </c>
      <c r="B7906" s="116" t="str">
        <f t="shared" si="123"/>
        <v>96-966200392</v>
      </c>
      <c r="C7906" s="185" t="s">
        <v>12239</v>
      </c>
    </row>
    <row r="7907" spans="1:3">
      <c r="A7907" s="184">
        <v>962000412</v>
      </c>
      <c r="B7907" s="116" t="str">
        <f t="shared" si="123"/>
        <v>96-962000412</v>
      </c>
      <c r="C7907" s="185" t="s">
        <v>12184</v>
      </c>
    </row>
    <row r="7908" spans="1:3">
      <c r="A7908" s="184">
        <v>962000347</v>
      </c>
      <c r="B7908" s="116" t="str">
        <f t="shared" si="123"/>
        <v>96-962000347</v>
      </c>
      <c r="C7908" s="185" t="s">
        <v>12184</v>
      </c>
    </row>
    <row r="7909" spans="1:3">
      <c r="A7909" s="184">
        <v>966200650</v>
      </c>
      <c r="B7909" s="116" t="str">
        <f t="shared" si="123"/>
        <v>96-966200650</v>
      </c>
      <c r="C7909" s="185" t="s">
        <v>13071</v>
      </c>
    </row>
    <row r="7910" spans="1:3">
      <c r="A7910" s="184">
        <v>966200651</v>
      </c>
      <c r="B7910" s="116" t="str">
        <f t="shared" si="123"/>
        <v>96-966200651</v>
      </c>
      <c r="C7910" s="185" t="s">
        <v>13071</v>
      </c>
    </row>
    <row r="7911" spans="1:3">
      <c r="A7911" s="184">
        <v>966200388</v>
      </c>
      <c r="B7911" s="116" t="str">
        <f t="shared" si="123"/>
        <v>96-966200388</v>
      </c>
      <c r="C7911" s="185" t="s">
        <v>12239</v>
      </c>
    </row>
    <row r="7912" spans="1:3">
      <c r="A7912" s="184">
        <v>966200411</v>
      </c>
      <c r="B7912" s="116" t="str">
        <f t="shared" si="123"/>
        <v>96-966200411</v>
      </c>
      <c r="C7912" s="185" t="s">
        <v>12224</v>
      </c>
    </row>
    <row r="7913" spans="1:3">
      <c r="A7913" s="184">
        <v>966200464</v>
      </c>
      <c r="B7913" s="116" t="str">
        <f t="shared" si="123"/>
        <v>96-966200464</v>
      </c>
      <c r="C7913" s="185" t="s">
        <v>12185</v>
      </c>
    </row>
    <row r="7914" spans="1:3">
      <c r="A7914" s="184">
        <v>962000334</v>
      </c>
      <c r="B7914" s="116" t="str">
        <f t="shared" si="123"/>
        <v>96-962000334</v>
      </c>
      <c r="C7914" s="185" t="s">
        <v>7112</v>
      </c>
    </row>
    <row r="7915" spans="1:3">
      <c r="A7915" s="184">
        <v>962000499</v>
      </c>
      <c r="B7915" s="116" t="str">
        <f t="shared" si="123"/>
        <v>96-962000499</v>
      </c>
      <c r="C7915" s="185" t="s">
        <v>12184</v>
      </c>
    </row>
    <row r="7916" spans="1:3">
      <c r="A7916" s="184">
        <v>961900185</v>
      </c>
      <c r="B7916" s="116" t="str">
        <f t="shared" si="123"/>
        <v>96-961900185</v>
      </c>
      <c r="C7916" s="185" t="s">
        <v>12199</v>
      </c>
    </row>
    <row r="7917" spans="1:3">
      <c r="A7917" s="184">
        <v>966200669</v>
      </c>
      <c r="B7917" s="116" t="str">
        <f t="shared" si="123"/>
        <v>96-966200669</v>
      </c>
      <c r="C7917" s="185" t="s">
        <v>13058</v>
      </c>
    </row>
    <row r="7918" spans="1:3">
      <c r="A7918" s="184">
        <v>961900205</v>
      </c>
      <c r="B7918" s="116" t="str">
        <f t="shared" si="123"/>
        <v>96-961900205</v>
      </c>
      <c r="C7918" s="185" t="s">
        <v>13101</v>
      </c>
    </row>
    <row r="7919" spans="1:3">
      <c r="A7919" s="184">
        <v>962000477</v>
      </c>
      <c r="B7919" s="116" t="str">
        <f t="shared" si="123"/>
        <v>96-962000477</v>
      </c>
      <c r="C7919" s="185" t="s">
        <v>12184</v>
      </c>
    </row>
    <row r="7920" spans="1:3">
      <c r="A7920" s="184">
        <v>966200588</v>
      </c>
      <c r="B7920" s="116" t="str">
        <f t="shared" si="123"/>
        <v>96-966200588</v>
      </c>
      <c r="C7920" s="185" t="s">
        <v>13082</v>
      </c>
    </row>
    <row r="7921" spans="1:3">
      <c r="A7921" s="184">
        <v>966200478</v>
      </c>
      <c r="B7921" s="116" t="str">
        <f t="shared" si="123"/>
        <v>96-966200478</v>
      </c>
      <c r="C7921" s="185" t="s">
        <v>12185</v>
      </c>
    </row>
    <row r="7922" spans="1:3">
      <c r="A7922" s="184">
        <v>966200732</v>
      </c>
      <c r="B7922" s="116" t="str">
        <f t="shared" si="123"/>
        <v>96-966200732</v>
      </c>
      <c r="C7922" s="185" t="s">
        <v>13013</v>
      </c>
    </row>
    <row r="7923" spans="1:3">
      <c r="A7923" s="184">
        <v>966200718</v>
      </c>
      <c r="B7923" s="116" t="str">
        <f t="shared" si="123"/>
        <v>96-966200718</v>
      </c>
      <c r="C7923" s="185" t="s">
        <v>13020</v>
      </c>
    </row>
    <row r="7924" spans="1:3">
      <c r="A7924" s="184">
        <v>966200720</v>
      </c>
      <c r="B7924" s="116" t="str">
        <f t="shared" si="123"/>
        <v>96-966200720</v>
      </c>
      <c r="C7924" s="185" t="s">
        <v>13020</v>
      </c>
    </row>
    <row r="7925" spans="1:3">
      <c r="A7925" s="184">
        <v>966200446</v>
      </c>
      <c r="B7925" s="116" t="str">
        <f t="shared" si="123"/>
        <v>96-966200446</v>
      </c>
      <c r="C7925" s="185" t="s">
        <v>12187</v>
      </c>
    </row>
    <row r="7926" spans="1:3">
      <c r="A7926" s="184">
        <v>966200710</v>
      </c>
      <c r="B7926" s="116" t="str">
        <f t="shared" si="123"/>
        <v>96-966200710</v>
      </c>
      <c r="C7926" s="185" t="s">
        <v>13020</v>
      </c>
    </row>
    <row r="7927" spans="1:3">
      <c r="A7927" s="184">
        <v>966300021</v>
      </c>
      <c r="B7927" s="116" t="str">
        <f t="shared" si="123"/>
        <v>96-966300021</v>
      </c>
      <c r="C7927" s="185" t="s">
        <v>12285</v>
      </c>
    </row>
    <row r="7928" spans="1:3">
      <c r="A7928" s="184">
        <v>961200129</v>
      </c>
      <c r="B7928" s="116" t="str">
        <f t="shared" si="123"/>
        <v>96-961200129</v>
      </c>
      <c r="C7928" s="185" t="s">
        <v>9764</v>
      </c>
    </row>
    <row r="7929" spans="1:3">
      <c r="A7929" s="184">
        <v>961200173</v>
      </c>
      <c r="B7929" s="116" t="str">
        <f t="shared" si="123"/>
        <v>96-961200173</v>
      </c>
      <c r="C7929" s="185" t="s">
        <v>12441</v>
      </c>
    </row>
    <row r="7930" spans="1:3">
      <c r="A7930" s="184">
        <v>961200203</v>
      </c>
      <c r="B7930" s="116" t="str">
        <f t="shared" si="123"/>
        <v>96-961200203</v>
      </c>
      <c r="C7930" s="185" t="s">
        <v>12682</v>
      </c>
    </row>
    <row r="7931" spans="1:3">
      <c r="A7931" s="184">
        <v>966200479</v>
      </c>
      <c r="B7931" s="116" t="str">
        <f t="shared" si="123"/>
        <v>96-966200479</v>
      </c>
      <c r="C7931" s="185" t="s">
        <v>12185</v>
      </c>
    </row>
    <row r="7932" spans="1:3">
      <c r="A7932" s="184">
        <v>966200719</v>
      </c>
      <c r="B7932" s="116" t="str">
        <f t="shared" si="123"/>
        <v>96-966200719</v>
      </c>
      <c r="C7932" s="185" t="s">
        <v>13020</v>
      </c>
    </row>
    <row r="7933" spans="1:3">
      <c r="A7933" s="184">
        <v>966200613</v>
      </c>
      <c r="B7933" s="116" t="str">
        <f t="shared" si="123"/>
        <v>96-966200613</v>
      </c>
      <c r="C7933" s="185" t="s">
        <v>13011</v>
      </c>
    </row>
    <row r="7934" spans="1:3">
      <c r="A7934" s="184">
        <v>966200511</v>
      </c>
      <c r="B7934" s="116" t="str">
        <f t="shared" si="123"/>
        <v>96-966200511</v>
      </c>
      <c r="C7934" s="185" t="s">
        <v>12446</v>
      </c>
    </row>
    <row r="7935" spans="1:3">
      <c r="A7935" s="184">
        <v>966200637</v>
      </c>
      <c r="B7935" s="116" t="str">
        <f t="shared" si="123"/>
        <v>96-966200637</v>
      </c>
      <c r="C7935" s="185" t="s">
        <v>13071</v>
      </c>
    </row>
    <row r="7936" spans="1:3">
      <c r="A7936" s="184">
        <v>966300042</v>
      </c>
      <c r="B7936" s="116" t="str">
        <f t="shared" si="123"/>
        <v>96-966300042</v>
      </c>
      <c r="C7936" s="185" t="s">
        <v>12283</v>
      </c>
    </row>
    <row r="7937" spans="1:3">
      <c r="A7937" s="184">
        <v>966300043</v>
      </c>
      <c r="B7937" s="116" t="str">
        <f t="shared" si="123"/>
        <v>96-966300043</v>
      </c>
      <c r="C7937" s="185" t="s">
        <v>12283</v>
      </c>
    </row>
    <row r="7938" spans="1:3">
      <c r="A7938" s="184">
        <v>966300047</v>
      </c>
      <c r="B7938" s="116" t="str">
        <f t="shared" si="123"/>
        <v>96-966300047</v>
      </c>
      <c r="C7938" s="185" t="s">
        <v>12196</v>
      </c>
    </row>
    <row r="7939" spans="1:3">
      <c r="A7939" s="184">
        <v>966300050</v>
      </c>
      <c r="B7939" s="116" t="str">
        <f t="shared" ref="B7939:B8002" si="124">MID(A7939,1,2)&amp;"-"&amp;A7939</f>
        <v>96-966300050</v>
      </c>
      <c r="C7939" s="185" t="s">
        <v>12191</v>
      </c>
    </row>
    <row r="7940" spans="1:3">
      <c r="A7940" s="184">
        <v>966200685</v>
      </c>
      <c r="B7940" s="116" t="str">
        <f t="shared" si="124"/>
        <v>96-966200685</v>
      </c>
      <c r="C7940" s="185" t="s">
        <v>13004</v>
      </c>
    </row>
    <row r="7941" spans="1:3">
      <c r="A7941" s="184">
        <v>962000487</v>
      </c>
      <c r="B7941" s="116" t="str">
        <f t="shared" si="124"/>
        <v>96-962000487</v>
      </c>
      <c r="C7941" s="185" t="s">
        <v>12184</v>
      </c>
    </row>
    <row r="7942" spans="1:3">
      <c r="A7942" s="184">
        <v>966200610</v>
      </c>
      <c r="B7942" s="116" t="str">
        <f t="shared" si="124"/>
        <v>96-966200610</v>
      </c>
      <c r="C7942" s="185" t="s">
        <v>13011</v>
      </c>
    </row>
    <row r="7943" spans="1:3">
      <c r="A7943" s="184">
        <v>966200611</v>
      </c>
      <c r="B7943" s="116" t="str">
        <f t="shared" si="124"/>
        <v>96-966200611</v>
      </c>
      <c r="C7943" s="185" t="s">
        <v>13011</v>
      </c>
    </row>
    <row r="7944" spans="1:3">
      <c r="A7944" s="184">
        <v>966200394</v>
      </c>
      <c r="B7944" s="116" t="str">
        <f t="shared" si="124"/>
        <v>96-966200394</v>
      </c>
      <c r="C7944" s="185" t="s">
        <v>12239</v>
      </c>
    </row>
    <row r="7945" spans="1:3">
      <c r="A7945" s="184">
        <v>966300030</v>
      </c>
      <c r="B7945" s="116" t="str">
        <f t="shared" si="124"/>
        <v>96-966300030</v>
      </c>
      <c r="C7945" s="185" t="s">
        <v>12237</v>
      </c>
    </row>
    <row r="7946" spans="1:3">
      <c r="A7946" s="184">
        <v>966300071</v>
      </c>
      <c r="B7946" s="116" t="str">
        <f t="shared" si="124"/>
        <v>96-966300071</v>
      </c>
      <c r="C7946" s="185" t="s">
        <v>13085</v>
      </c>
    </row>
    <row r="7947" spans="1:3">
      <c r="A7947" s="184">
        <v>966200659</v>
      </c>
      <c r="B7947" s="116" t="str">
        <f t="shared" si="124"/>
        <v>96-966200659</v>
      </c>
      <c r="C7947" s="185" t="s">
        <v>13017</v>
      </c>
    </row>
    <row r="7948" spans="1:3">
      <c r="A7948" s="184">
        <v>961900206</v>
      </c>
      <c r="B7948" s="116" t="str">
        <f t="shared" si="124"/>
        <v>96-961900206</v>
      </c>
      <c r="C7948" s="185" t="s">
        <v>13101</v>
      </c>
    </row>
    <row r="7949" spans="1:3">
      <c r="A7949" s="184">
        <v>961900186</v>
      </c>
      <c r="B7949" s="116" t="str">
        <f t="shared" si="124"/>
        <v>96-961900186</v>
      </c>
      <c r="C7949" s="185" t="s">
        <v>12211</v>
      </c>
    </row>
    <row r="7950" spans="1:3">
      <c r="A7950" s="184">
        <v>966200725</v>
      </c>
      <c r="B7950" s="116" t="str">
        <f t="shared" si="124"/>
        <v>96-966200725</v>
      </c>
      <c r="C7950" s="185" t="s">
        <v>13013</v>
      </c>
    </row>
    <row r="7951" spans="1:3">
      <c r="A7951" s="184">
        <v>962000445</v>
      </c>
      <c r="B7951" s="116" t="str">
        <f t="shared" si="124"/>
        <v>96-962000445</v>
      </c>
      <c r="C7951" s="185" t="s">
        <v>12184</v>
      </c>
    </row>
    <row r="7952" spans="1:3">
      <c r="A7952" s="184">
        <v>962000500</v>
      </c>
      <c r="B7952" s="116" t="str">
        <f t="shared" si="124"/>
        <v>96-962000500</v>
      </c>
      <c r="C7952" s="185" t="s">
        <v>12184</v>
      </c>
    </row>
    <row r="7953" spans="1:3">
      <c r="A7953" s="184">
        <v>962000453</v>
      </c>
      <c r="B7953" s="116" t="str">
        <f t="shared" si="124"/>
        <v>96-962000453</v>
      </c>
      <c r="C7953" s="185" t="s">
        <v>12184</v>
      </c>
    </row>
    <row r="7954" spans="1:3">
      <c r="A7954" s="184">
        <v>962000245</v>
      </c>
      <c r="B7954" s="116" t="str">
        <f t="shared" si="124"/>
        <v>96-962000245</v>
      </c>
      <c r="C7954" s="185" t="s">
        <v>7112</v>
      </c>
    </row>
    <row r="7955" spans="1:3">
      <c r="A7955" s="184">
        <v>962000495</v>
      </c>
      <c r="B7955" s="116" t="str">
        <f t="shared" si="124"/>
        <v>96-962000495</v>
      </c>
      <c r="C7955" s="185" t="s">
        <v>12184</v>
      </c>
    </row>
    <row r="7956" spans="1:3">
      <c r="A7956" s="184">
        <v>962000496</v>
      </c>
      <c r="B7956" s="116" t="str">
        <f t="shared" si="124"/>
        <v>96-962000496</v>
      </c>
      <c r="C7956" s="185" t="s">
        <v>12184</v>
      </c>
    </row>
    <row r="7957" spans="1:3">
      <c r="A7957" s="184">
        <v>962000405</v>
      </c>
      <c r="B7957" s="116" t="str">
        <f t="shared" si="124"/>
        <v>96-962000405</v>
      </c>
      <c r="C7957" s="185" t="s">
        <v>12184</v>
      </c>
    </row>
    <row r="7958" spans="1:3">
      <c r="A7958" s="184">
        <v>962000396</v>
      </c>
      <c r="B7958" s="116" t="str">
        <f t="shared" si="124"/>
        <v>96-962000396</v>
      </c>
      <c r="C7958" s="185" t="s">
        <v>12184</v>
      </c>
    </row>
    <row r="7959" spans="1:3">
      <c r="A7959" s="184">
        <v>966200638</v>
      </c>
      <c r="B7959" s="116" t="str">
        <f t="shared" si="124"/>
        <v>96-966200638</v>
      </c>
      <c r="C7959" s="185" t="s">
        <v>13071</v>
      </c>
    </row>
    <row r="7960" spans="1:3">
      <c r="A7960" s="184">
        <v>962000239</v>
      </c>
      <c r="B7960" s="116" t="str">
        <f t="shared" si="124"/>
        <v>96-962000239</v>
      </c>
      <c r="C7960" s="185" t="s">
        <v>7112</v>
      </c>
    </row>
    <row r="7961" spans="1:3">
      <c r="A7961" s="184">
        <v>966100024</v>
      </c>
      <c r="B7961" s="116" t="str">
        <f t="shared" si="124"/>
        <v>96-966100024</v>
      </c>
      <c r="C7961" s="185" t="s">
        <v>13102</v>
      </c>
    </row>
    <row r="7962" spans="1:3">
      <c r="A7962" s="184">
        <v>966200600</v>
      </c>
      <c r="B7962" s="116" t="str">
        <f t="shared" si="124"/>
        <v>96-966200600</v>
      </c>
      <c r="C7962" s="185" t="s">
        <v>13011</v>
      </c>
    </row>
    <row r="7963" spans="1:3">
      <c r="A7963" s="184">
        <v>966200734</v>
      </c>
      <c r="B7963" s="116" t="str">
        <f t="shared" si="124"/>
        <v>96-966200734</v>
      </c>
      <c r="C7963" s="185" t="s">
        <v>13008</v>
      </c>
    </row>
    <row r="7964" spans="1:3">
      <c r="A7964" s="184">
        <v>966200606</v>
      </c>
      <c r="B7964" s="116" t="str">
        <f t="shared" si="124"/>
        <v>96-966200606</v>
      </c>
      <c r="C7964" s="185" t="s">
        <v>13011</v>
      </c>
    </row>
    <row r="7965" spans="1:3">
      <c r="A7965" s="184">
        <v>961600024</v>
      </c>
      <c r="B7965" s="116" t="str">
        <f t="shared" si="124"/>
        <v>96-961600024</v>
      </c>
      <c r="C7965" s="185" t="s">
        <v>13103</v>
      </c>
    </row>
    <row r="7966" spans="1:3">
      <c r="A7966" s="184">
        <v>966200681</v>
      </c>
      <c r="B7966" s="116" t="str">
        <f t="shared" si="124"/>
        <v>96-966200681</v>
      </c>
      <c r="C7966" s="185" t="s">
        <v>13004</v>
      </c>
    </row>
    <row r="7967" spans="1:3">
      <c r="A7967" s="184">
        <v>966200401</v>
      </c>
      <c r="B7967" s="116" t="str">
        <f t="shared" si="124"/>
        <v>96-966200401</v>
      </c>
      <c r="C7967" s="185" t="s">
        <v>12239</v>
      </c>
    </row>
    <row r="7968" spans="1:3">
      <c r="A7968" s="184">
        <v>962000240</v>
      </c>
      <c r="B7968" s="116" t="str">
        <f t="shared" si="124"/>
        <v>96-962000240</v>
      </c>
      <c r="C7968" s="185" t="s">
        <v>7112</v>
      </c>
    </row>
    <row r="7969" spans="1:3">
      <c r="A7969" s="184">
        <v>961100111</v>
      </c>
      <c r="B7969" s="116" t="str">
        <f t="shared" si="124"/>
        <v>96-961100111</v>
      </c>
      <c r="C7969" s="185" t="s">
        <v>12433</v>
      </c>
    </row>
    <row r="7970" spans="1:3">
      <c r="A7970" s="184">
        <v>962000260</v>
      </c>
      <c r="B7970" s="116" t="str">
        <f t="shared" si="124"/>
        <v>96-962000260</v>
      </c>
      <c r="C7970" s="185" t="s">
        <v>7112</v>
      </c>
    </row>
    <row r="7971" spans="1:3">
      <c r="A7971" s="184">
        <v>966200482</v>
      </c>
      <c r="B7971" s="116" t="str">
        <f t="shared" si="124"/>
        <v>96-966200482</v>
      </c>
      <c r="C7971" s="185" t="s">
        <v>12185</v>
      </c>
    </row>
    <row r="7972" spans="1:3">
      <c r="A7972" s="184">
        <v>966200471</v>
      </c>
      <c r="B7972" s="116" t="str">
        <f t="shared" si="124"/>
        <v>96-966200471</v>
      </c>
      <c r="C7972" s="185" t="s">
        <v>12185</v>
      </c>
    </row>
    <row r="7973" spans="1:3">
      <c r="A7973" s="184">
        <v>962000465</v>
      </c>
      <c r="B7973" s="116" t="str">
        <f t="shared" si="124"/>
        <v>96-962000465</v>
      </c>
      <c r="C7973" s="185" t="s">
        <v>12184</v>
      </c>
    </row>
    <row r="7974" spans="1:3">
      <c r="A7974" s="184">
        <v>962000490</v>
      </c>
      <c r="B7974" s="116" t="str">
        <f t="shared" si="124"/>
        <v>96-962000490</v>
      </c>
      <c r="C7974" s="185" t="s">
        <v>12184</v>
      </c>
    </row>
    <row r="7975" spans="1:3">
      <c r="A7975" s="184">
        <v>972000159</v>
      </c>
      <c r="B7975" s="116" t="str">
        <f t="shared" si="124"/>
        <v>97-972000159</v>
      </c>
      <c r="C7975" s="185" t="s">
        <v>13003</v>
      </c>
    </row>
    <row r="7976" spans="1:3">
      <c r="A7976" s="184">
        <v>966200548</v>
      </c>
      <c r="B7976" s="116" t="str">
        <f t="shared" si="124"/>
        <v>96-966200548</v>
      </c>
      <c r="C7976" s="185" t="s">
        <v>13104</v>
      </c>
    </row>
    <row r="7977" spans="1:3">
      <c r="A7977" s="184">
        <v>962000410</v>
      </c>
      <c r="B7977" s="116" t="str">
        <f t="shared" si="124"/>
        <v>96-962000410</v>
      </c>
      <c r="C7977" s="185" t="s">
        <v>12184</v>
      </c>
    </row>
    <row r="7978" spans="1:3">
      <c r="A7978" s="184">
        <v>961700184</v>
      </c>
      <c r="B7978" s="116" t="str">
        <f t="shared" si="124"/>
        <v>96-961700184</v>
      </c>
      <c r="C7978" s="185" t="s">
        <v>13028</v>
      </c>
    </row>
    <row r="7979" spans="1:3">
      <c r="A7979" s="184">
        <v>961700241</v>
      </c>
      <c r="B7979" s="116" t="str">
        <f t="shared" si="124"/>
        <v>96-961700241</v>
      </c>
      <c r="C7979" s="185" t="s">
        <v>13028</v>
      </c>
    </row>
    <row r="7980" spans="1:3">
      <c r="A7980" s="184">
        <v>966200429</v>
      </c>
      <c r="B7980" s="116" t="str">
        <f t="shared" si="124"/>
        <v>96-966200429</v>
      </c>
      <c r="C7980" s="185" t="s">
        <v>12236</v>
      </c>
    </row>
    <row r="7981" spans="1:3">
      <c r="A7981" s="184">
        <v>966200645</v>
      </c>
      <c r="B7981" s="116" t="str">
        <f t="shared" si="124"/>
        <v>96-966200645</v>
      </c>
      <c r="C7981" s="185" t="s">
        <v>13071</v>
      </c>
    </row>
    <row r="7982" spans="1:3">
      <c r="A7982" s="184">
        <v>966200440</v>
      </c>
      <c r="B7982" s="116" t="str">
        <f t="shared" si="124"/>
        <v>96-966200440</v>
      </c>
      <c r="C7982" s="185" t="s">
        <v>12187</v>
      </c>
    </row>
    <row r="7983" spans="1:3">
      <c r="A7983" s="184">
        <v>966200547</v>
      </c>
      <c r="B7983" s="116" t="str">
        <f t="shared" si="124"/>
        <v>96-966200547</v>
      </c>
      <c r="C7983" s="185" t="s">
        <v>13105</v>
      </c>
    </row>
    <row r="7984" spans="1:3">
      <c r="A7984" s="184">
        <v>966200534</v>
      </c>
      <c r="B7984" s="116" t="str">
        <f t="shared" si="124"/>
        <v>96-966200534</v>
      </c>
      <c r="C7984" s="185" t="s">
        <v>12412</v>
      </c>
    </row>
    <row r="7985" spans="1:3">
      <c r="A7985" s="184">
        <v>966200458</v>
      </c>
      <c r="B7985" s="116" t="str">
        <f t="shared" si="124"/>
        <v>96-966200458</v>
      </c>
      <c r="C7985" s="185" t="s">
        <v>12192</v>
      </c>
    </row>
    <row r="7986" spans="1:3">
      <c r="A7986" s="184">
        <v>966200469</v>
      </c>
      <c r="B7986" s="116" t="str">
        <f t="shared" si="124"/>
        <v>96-966200469</v>
      </c>
      <c r="C7986" s="185" t="s">
        <v>12185</v>
      </c>
    </row>
    <row r="7987" spans="1:3">
      <c r="A7987" s="184">
        <v>966200688</v>
      </c>
      <c r="B7987" s="116" t="str">
        <f t="shared" si="124"/>
        <v>96-966200688</v>
      </c>
      <c r="C7987" s="185" t="s">
        <v>13079</v>
      </c>
    </row>
    <row r="7988" spans="1:3">
      <c r="A7988" s="184">
        <v>961700182</v>
      </c>
      <c r="B7988" s="116" t="str">
        <f t="shared" si="124"/>
        <v>96-961700182</v>
      </c>
      <c r="C7988" s="185" t="s">
        <v>13028</v>
      </c>
    </row>
    <row r="7989" spans="1:3">
      <c r="A7989" s="184">
        <v>961700251</v>
      </c>
      <c r="B7989" s="116" t="str">
        <f t="shared" si="124"/>
        <v>96-961700251</v>
      </c>
      <c r="C7989" s="185" t="s">
        <v>13028</v>
      </c>
    </row>
    <row r="7990" spans="1:3">
      <c r="A7990" s="184">
        <v>966200583</v>
      </c>
      <c r="B7990" s="116" t="str">
        <f t="shared" si="124"/>
        <v>96-966200583</v>
      </c>
      <c r="C7990" s="185" t="s">
        <v>13078</v>
      </c>
    </row>
    <row r="7991" spans="1:3">
      <c r="A7991" s="184">
        <v>966200459</v>
      </c>
      <c r="B7991" s="116" t="str">
        <f t="shared" si="124"/>
        <v>96-966200459</v>
      </c>
      <c r="C7991" s="185" t="s">
        <v>12192</v>
      </c>
    </row>
    <row r="7992" spans="1:3">
      <c r="A7992" s="184">
        <v>962000322</v>
      </c>
      <c r="B7992" s="116" t="str">
        <f t="shared" si="124"/>
        <v>96-962000322</v>
      </c>
      <c r="C7992" s="185" t="s">
        <v>7112</v>
      </c>
    </row>
    <row r="7993" spans="1:3">
      <c r="A7993" s="184">
        <v>962000281</v>
      </c>
      <c r="B7993" s="116" t="str">
        <f t="shared" si="124"/>
        <v>96-962000281</v>
      </c>
      <c r="C7993" s="185" t="s">
        <v>7112</v>
      </c>
    </row>
    <row r="7994" spans="1:3">
      <c r="A7994" s="184">
        <v>962000325</v>
      </c>
      <c r="B7994" s="116" t="str">
        <f t="shared" si="124"/>
        <v>96-962000325</v>
      </c>
      <c r="C7994" s="185" t="s">
        <v>7112</v>
      </c>
    </row>
    <row r="7995" spans="1:3">
      <c r="A7995" s="184">
        <v>962000308</v>
      </c>
      <c r="B7995" s="116" t="str">
        <f t="shared" si="124"/>
        <v>96-962000308</v>
      </c>
      <c r="C7995" s="185" t="s">
        <v>7112</v>
      </c>
    </row>
    <row r="7996" spans="1:3">
      <c r="A7996" s="184">
        <v>966200395</v>
      </c>
      <c r="B7996" s="116" t="str">
        <f t="shared" si="124"/>
        <v>96-966200395</v>
      </c>
      <c r="C7996" s="185" t="s">
        <v>12239</v>
      </c>
    </row>
    <row r="7997" spans="1:3">
      <c r="A7997" s="184">
        <v>966200661</v>
      </c>
      <c r="B7997" s="116" t="str">
        <f t="shared" si="124"/>
        <v>96-966200661</v>
      </c>
      <c r="C7997" s="185" t="s">
        <v>13017</v>
      </c>
    </row>
    <row r="7998" spans="1:3">
      <c r="A7998" s="184">
        <v>966200665</v>
      </c>
      <c r="B7998" s="116" t="str">
        <f t="shared" si="124"/>
        <v>96-966200665</v>
      </c>
      <c r="C7998" s="185" t="s">
        <v>13010</v>
      </c>
    </row>
    <row r="7999" spans="1:3">
      <c r="A7999" s="184">
        <v>966200397</v>
      </c>
      <c r="B7999" s="116" t="str">
        <f t="shared" si="124"/>
        <v>96-966200397</v>
      </c>
      <c r="C7999" s="185" t="s">
        <v>12239</v>
      </c>
    </row>
    <row r="8000" spans="1:3">
      <c r="A8000" s="184">
        <v>966300028</v>
      </c>
      <c r="B8000" s="116" t="str">
        <f t="shared" si="124"/>
        <v>96-966300028</v>
      </c>
      <c r="C8000" s="185" t="s">
        <v>12287</v>
      </c>
    </row>
    <row r="8001" spans="1:3">
      <c r="A8001" s="184">
        <v>962000313</v>
      </c>
      <c r="B8001" s="116" t="str">
        <f t="shared" si="124"/>
        <v>96-962000313</v>
      </c>
      <c r="C8001" s="185" t="s">
        <v>7112</v>
      </c>
    </row>
    <row r="8002" spans="1:3">
      <c r="A8002" s="184">
        <v>962000331</v>
      </c>
      <c r="B8002" s="116" t="str">
        <f t="shared" si="124"/>
        <v>96-962000331</v>
      </c>
      <c r="C8002" s="185" t="s">
        <v>7112</v>
      </c>
    </row>
    <row r="8003" spans="1:3">
      <c r="A8003" s="184">
        <v>966200626</v>
      </c>
      <c r="B8003" s="116" t="str">
        <f t="shared" ref="B8003:B8066" si="125">MID(A8003,1,2)&amp;"-"&amp;A8003</f>
        <v>96-966200626</v>
      </c>
      <c r="C8003" s="185" t="s">
        <v>13083</v>
      </c>
    </row>
    <row r="8004" spans="1:3">
      <c r="A8004" s="184">
        <v>966200526</v>
      </c>
      <c r="B8004" s="116" t="str">
        <f t="shared" si="125"/>
        <v>96-966200526</v>
      </c>
      <c r="C8004" s="185" t="s">
        <v>12410</v>
      </c>
    </row>
    <row r="8005" spans="1:3">
      <c r="A8005" s="184">
        <v>964300050</v>
      </c>
      <c r="B8005" s="116" t="str">
        <f t="shared" si="125"/>
        <v>96-964300050</v>
      </c>
      <c r="C8005" s="185" t="s">
        <v>12666</v>
      </c>
    </row>
    <row r="8006" spans="1:3">
      <c r="A8006" s="184">
        <v>962000309</v>
      </c>
      <c r="B8006" s="116" t="str">
        <f t="shared" si="125"/>
        <v>96-962000309</v>
      </c>
      <c r="C8006" s="185" t="s">
        <v>7112</v>
      </c>
    </row>
    <row r="8007" spans="1:3">
      <c r="A8007" s="184">
        <v>962000310</v>
      </c>
      <c r="B8007" s="116" t="str">
        <f t="shared" si="125"/>
        <v>96-962000310</v>
      </c>
      <c r="C8007" s="185" t="s">
        <v>7112</v>
      </c>
    </row>
    <row r="8008" spans="1:3">
      <c r="A8008" s="184">
        <v>962000299</v>
      </c>
      <c r="B8008" s="116" t="str">
        <f t="shared" si="125"/>
        <v>96-962000299</v>
      </c>
      <c r="C8008" s="185" t="s">
        <v>7112</v>
      </c>
    </row>
    <row r="8009" spans="1:3">
      <c r="A8009" s="184">
        <v>966200527</v>
      </c>
      <c r="B8009" s="116" t="str">
        <f t="shared" si="125"/>
        <v>96-966200527</v>
      </c>
      <c r="C8009" s="185" t="s">
        <v>12410</v>
      </c>
    </row>
    <row r="8010" spans="1:3">
      <c r="A8010" s="184">
        <v>964100077</v>
      </c>
      <c r="B8010" s="116" t="str">
        <f t="shared" si="125"/>
        <v>96-964100077</v>
      </c>
      <c r="C8010" s="185" t="s">
        <v>8706</v>
      </c>
    </row>
    <row r="8011" spans="1:3">
      <c r="A8011" s="184">
        <v>964100080</v>
      </c>
      <c r="B8011" s="116" t="str">
        <f t="shared" si="125"/>
        <v>96-964100080</v>
      </c>
      <c r="C8011" s="185" t="s">
        <v>9911</v>
      </c>
    </row>
    <row r="8012" spans="1:3">
      <c r="A8012" s="184">
        <v>964100091</v>
      </c>
      <c r="B8012" s="116" t="str">
        <f t="shared" si="125"/>
        <v>96-964100091</v>
      </c>
      <c r="C8012" s="185" t="s">
        <v>12442</v>
      </c>
    </row>
    <row r="8013" spans="1:3">
      <c r="A8013" s="184">
        <v>962000353</v>
      </c>
      <c r="B8013" s="116" t="str">
        <f t="shared" si="125"/>
        <v>96-962000353</v>
      </c>
      <c r="C8013" s="185" t="s">
        <v>12184</v>
      </c>
    </row>
    <row r="8014" spans="1:3">
      <c r="A8014" s="184">
        <v>966300033</v>
      </c>
      <c r="B8014" s="116" t="str">
        <f t="shared" si="125"/>
        <v>96-966300033</v>
      </c>
      <c r="C8014" s="185" t="s">
        <v>12245</v>
      </c>
    </row>
    <row r="8015" spans="1:3">
      <c r="A8015" s="184">
        <v>962000338</v>
      </c>
      <c r="B8015" s="116" t="str">
        <f t="shared" si="125"/>
        <v>96-962000338</v>
      </c>
      <c r="C8015" s="185" t="s">
        <v>7112</v>
      </c>
    </row>
    <row r="8016" spans="1:3">
      <c r="A8016" s="184">
        <v>966300035</v>
      </c>
      <c r="B8016" s="116" t="str">
        <f t="shared" si="125"/>
        <v>96-966300035</v>
      </c>
      <c r="C8016" s="185" t="s">
        <v>12241</v>
      </c>
    </row>
    <row r="8017" spans="1:3">
      <c r="A8017" s="184">
        <v>966200586</v>
      </c>
      <c r="B8017" s="116" t="str">
        <f t="shared" si="125"/>
        <v>96-966200586</v>
      </c>
      <c r="C8017" s="185" t="s">
        <v>13089</v>
      </c>
    </row>
    <row r="8018" spans="1:3">
      <c r="A8018" s="184">
        <v>966200644</v>
      </c>
      <c r="B8018" s="116" t="str">
        <f t="shared" si="125"/>
        <v>96-966200644</v>
      </c>
      <c r="C8018" s="185" t="s">
        <v>13071</v>
      </c>
    </row>
    <row r="8019" spans="1:3">
      <c r="A8019" s="184">
        <v>966300054</v>
      </c>
      <c r="B8019" s="116" t="str">
        <f t="shared" si="125"/>
        <v>96-966300054</v>
      </c>
      <c r="C8019" s="185" t="s">
        <v>12436</v>
      </c>
    </row>
    <row r="8020" spans="1:3">
      <c r="A8020" s="184">
        <v>966200557</v>
      </c>
      <c r="B8020" s="116" t="str">
        <f t="shared" si="125"/>
        <v>96-966200557</v>
      </c>
      <c r="C8020" s="185" t="s">
        <v>13073</v>
      </c>
    </row>
    <row r="8021" spans="1:3">
      <c r="A8021" s="184">
        <v>966300068</v>
      </c>
      <c r="B8021" s="116" t="str">
        <f t="shared" si="125"/>
        <v>96-966300068</v>
      </c>
      <c r="C8021" s="185" t="s">
        <v>13106</v>
      </c>
    </row>
    <row r="8022" spans="1:3">
      <c r="A8022" s="184">
        <v>966200506</v>
      </c>
      <c r="B8022" s="116" t="str">
        <f t="shared" si="125"/>
        <v>96-966200506</v>
      </c>
      <c r="C8022" s="185" t="s">
        <v>12434</v>
      </c>
    </row>
    <row r="8023" spans="1:3">
      <c r="A8023" s="184">
        <v>964100100</v>
      </c>
      <c r="B8023" s="116" t="str">
        <f t="shared" si="125"/>
        <v>96-964100100</v>
      </c>
      <c r="C8023" s="185" t="s">
        <v>12664</v>
      </c>
    </row>
    <row r="8024" spans="1:3">
      <c r="A8024" s="184">
        <v>964100101</v>
      </c>
      <c r="B8024" s="116" t="str">
        <f t="shared" si="125"/>
        <v>96-964100101</v>
      </c>
      <c r="C8024" s="185" t="s">
        <v>12664</v>
      </c>
    </row>
    <row r="8025" spans="1:3">
      <c r="A8025" s="184">
        <v>964100113</v>
      </c>
      <c r="B8025" s="116" t="str">
        <f t="shared" si="125"/>
        <v>96-964100113</v>
      </c>
      <c r="C8025" s="185" t="s">
        <v>12664</v>
      </c>
    </row>
    <row r="8026" spans="1:3">
      <c r="A8026" s="184">
        <v>964300029</v>
      </c>
      <c r="B8026" s="116" t="str">
        <f t="shared" si="125"/>
        <v>96-964300029</v>
      </c>
      <c r="C8026" s="185" t="s">
        <v>9765</v>
      </c>
    </row>
    <row r="8027" spans="1:3">
      <c r="A8027" s="184">
        <v>961100120</v>
      </c>
      <c r="B8027" s="116" t="str">
        <f t="shared" si="125"/>
        <v>96-961100120</v>
      </c>
      <c r="C8027" s="185" t="s">
        <v>13107</v>
      </c>
    </row>
    <row r="8028" spans="1:3">
      <c r="A8028" s="184">
        <v>961200146</v>
      </c>
      <c r="B8028" s="116" t="str">
        <f t="shared" si="125"/>
        <v>96-961200146</v>
      </c>
      <c r="C8028" s="185" t="s">
        <v>12231</v>
      </c>
    </row>
    <row r="8029" spans="1:3">
      <c r="A8029" s="184">
        <v>961200184</v>
      </c>
      <c r="B8029" s="116" t="str">
        <f t="shared" si="125"/>
        <v>96-961200184</v>
      </c>
      <c r="C8029" s="185" t="s">
        <v>12441</v>
      </c>
    </row>
    <row r="8030" spans="1:3">
      <c r="A8030" s="184">
        <v>961200199</v>
      </c>
      <c r="B8030" s="116" t="str">
        <f t="shared" si="125"/>
        <v>96-961200199</v>
      </c>
      <c r="C8030" s="185" t="s">
        <v>12682</v>
      </c>
    </row>
    <row r="8031" spans="1:3">
      <c r="A8031" s="184">
        <v>961200204</v>
      </c>
      <c r="B8031" s="116" t="str">
        <f t="shared" si="125"/>
        <v>96-961200204</v>
      </c>
      <c r="C8031" s="185" t="s">
        <v>12682</v>
      </c>
    </row>
    <row r="8032" spans="1:3">
      <c r="A8032" s="184">
        <v>961200210</v>
      </c>
      <c r="B8032" s="116" t="str">
        <f t="shared" si="125"/>
        <v>96-961200210</v>
      </c>
      <c r="C8032" s="185" t="s">
        <v>12931</v>
      </c>
    </row>
    <row r="8033" spans="1:3">
      <c r="A8033" s="184">
        <v>971200001</v>
      </c>
      <c r="B8033" s="116" t="str">
        <f t="shared" si="125"/>
        <v>97-971200001</v>
      </c>
      <c r="C8033" s="185" t="s">
        <v>12931</v>
      </c>
    </row>
    <row r="8034" spans="1:3">
      <c r="A8034" s="184">
        <v>966300057</v>
      </c>
      <c r="B8034" s="116" t="str">
        <f t="shared" si="125"/>
        <v>96-966300057</v>
      </c>
      <c r="C8034" s="185" t="s">
        <v>13108</v>
      </c>
    </row>
    <row r="8035" spans="1:3">
      <c r="A8035" s="184">
        <v>966300067</v>
      </c>
      <c r="B8035" s="116" t="str">
        <f t="shared" si="125"/>
        <v>96-966300067</v>
      </c>
      <c r="C8035" s="185" t="s">
        <v>13099</v>
      </c>
    </row>
    <row r="8036" spans="1:3">
      <c r="A8036" s="184">
        <v>964100082</v>
      </c>
      <c r="B8036" s="116" t="str">
        <f t="shared" si="125"/>
        <v>96-964100082</v>
      </c>
      <c r="C8036" s="185" t="s">
        <v>9911</v>
      </c>
    </row>
    <row r="8037" spans="1:3">
      <c r="A8037" s="184">
        <v>964100088</v>
      </c>
      <c r="B8037" s="116" t="str">
        <f t="shared" si="125"/>
        <v>96-964100088</v>
      </c>
      <c r="C8037" s="185" t="s">
        <v>9911</v>
      </c>
    </row>
    <row r="8038" spans="1:3">
      <c r="A8038" s="184">
        <v>964100089</v>
      </c>
      <c r="B8038" s="116" t="str">
        <f t="shared" si="125"/>
        <v>96-964100089</v>
      </c>
      <c r="C8038" s="185" t="s">
        <v>9911</v>
      </c>
    </row>
    <row r="8039" spans="1:3">
      <c r="A8039" s="184">
        <v>964100090</v>
      </c>
      <c r="B8039" s="116" t="str">
        <f t="shared" si="125"/>
        <v>96-964100090</v>
      </c>
      <c r="C8039" s="185" t="s">
        <v>9911</v>
      </c>
    </row>
    <row r="8040" spans="1:3">
      <c r="A8040" s="184">
        <v>964100092</v>
      </c>
      <c r="B8040" s="116" t="str">
        <f t="shared" si="125"/>
        <v>96-964100092</v>
      </c>
      <c r="C8040" s="185" t="s">
        <v>12409</v>
      </c>
    </row>
    <row r="8041" spans="1:3">
      <c r="A8041" s="184">
        <v>964100093</v>
      </c>
      <c r="B8041" s="116" t="str">
        <f t="shared" si="125"/>
        <v>96-964100093</v>
      </c>
      <c r="C8041" s="185" t="s">
        <v>12409</v>
      </c>
    </row>
    <row r="8042" spans="1:3">
      <c r="A8042" s="184">
        <v>964100094</v>
      </c>
      <c r="B8042" s="116" t="str">
        <f t="shared" si="125"/>
        <v>96-964100094</v>
      </c>
      <c r="C8042" s="185" t="s">
        <v>12409</v>
      </c>
    </row>
    <row r="8043" spans="1:3">
      <c r="A8043" s="184">
        <v>964100098</v>
      </c>
      <c r="B8043" s="116" t="str">
        <f t="shared" si="125"/>
        <v>96-964100098</v>
      </c>
      <c r="C8043" s="185" t="s">
        <v>12409</v>
      </c>
    </row>
    <row r="8044" spans="1:3">
      <c r="A8044" s="184">
        <v>964100106</v>
      </c>
      <c r="B8044" s="116" t="str">
        <f t="shared" si="125"/>
        <v>96-964100106</v>
      </c>
      <c r="C8044" s="185" t="s">
        <v>12664</v>
      </c>
    </row>
    <row r="8045" spans="1:3">
      <c r="A8045" s="184">
        <v>964100110</v>
      </c>
      <c r="B8045" s="116" t="str">
        <f t="shared" si="125"/>
        <v>96-964100110</v>
      </c>
      <c r="C8045" s="185" t="s">
        <v>12664</v>
      </c>
    </row>
    <row r="8046" spans="1:3">
      <c r="A8046" s="184">
        <v>964100114</v>
      </c>
      <c r="B8046" s="116" t="str">
        <f t="shared" si="125"/>
        <v>96-964100114</v>
      </c>
      <c r="C8046" s="185" t="s">
        <v>12664</v>
      </c>
    </row>
    <row r="8047" spans="1:3">
      <c r="A8047" s="184">
        <v>964300033</v>
      </c>
      <c r="B8047" s="116" t="str">
        <f t="shared" si="125"/>
        <v>96-964300033</v>
      </c>
      <c r="C8047" s="185" t="s">
        <v>12413</v>
      </c>
    </row>
    <row r="8048" spans="1:3">
      <c r="A8048" s="184">
        <v>961700214</v>
      </c>
      <c r="B8048" s="116" t="str">
        <f t="shared" si="125"/>
        <v>96-961700214</v>
      </c>
      <c r="C8048" s="185" t="s">
        <v>13048</v>
      </c>
    </row>
    <row r="8049" spans="1:3">
      <c r="A8049" s="184">
        <v>961100119</v>
      </c>
      <c r="B8049" s="116" t="str">
        <f t="shared" si="125"/>
        <v>96-961100119</v>
      </c>
      <c r="C8049" s="185" t="s">
        <v>13109</v>
      </c>
    </row>
    <row r="8050" spans="1:3">
      <c r="A8050" s="184">
        <v>966200647</v>
      </c>
      <c r="B8050" s="116" t="str">
        <f t="shared" si="125"/>
        <v>96-966200647</v>
      </c>
      <c r="C8050" s="185" t="s">
        <v>13110</v>
      </c>
    </row>
    <row r="8051" spans="1:3">
      <c r="A8051" s="184">
        <v>961600030</v>
      </c>
      <c r="B8051" s="116" t="str">
        <f t="shared" si="125"/>
        <v>96-961600030</v>
      </c>
      <c r="C8051" s="185" t="s">
        <v>13111</v>
      </c>
    </row>
    <row r="8052" spans="1:3">
      <c r="A8052" s="184">
        <v>961700259</v>
      </c>
      <c r="B8052" s="116" t="str">
        <f t="shared" si="125"/>
        <v>96-961700259</v>
      </c>
      <c r="C8052" s="185" t="s">
        <v>13112</v>
      </c>
    </row>
    <row r="8053" spans="1:3">
      <c r="A8053" s="184">
        <v>962200084</v>
      </c>
      <c r="B8053" s="116" t="str">
        <f t="shared" si="125"/>
        <v>96-962200084</v>
      </c>
      <c r="C8053" s="185" t="s">
        <v>8721</v>
      </c>
    </row>
    <row r="8054" spans="1:3">
      <c r="A8054" s="184">
        <v>962200085</v>
      </c>
      <c r="B8054" s="116" t="str">
        <f t="shared" si="125"/>
        <v>96-962200085</v>
      </c>
      <c r="C8054" s="185" t="s">
        <v>9765</v>
      </c>
    </row>
    <row r="8055" spans="1:3">
      <c r="A8055" s="184">
        <v>962200108</v>
      </c>
      <c r="B8055" s="116" t="str">
        <f t="shared" si="125"/>
        <v>96-962200108</v>
      </c>
      <c r="C8055" s="185" t="s">
        <v>12666</v>
      </c>
    </row>
    <row r="8056" spans="1:3">
      <c r="A8056" s="184">
        <v>972200002</v>
      </c>
      <c r="B8056" s="116" t="str">
        <f t="shared" si="125"/>
        <v>97-972200002</v>
      </c>
      <c r="C8056" s="185" t="s">
        <v>12933</v>
      </c>
    </row>
    <row r="8057" spans="1:3">
      <c r="A8057" s="184">
        <v>966200519</v>
      </c>
      <c r="B8057" s="116" t="str">
        <f t="shared" si="125"/>
        <v>96-966200519</v>
      </c>
      <c r="C8057" s="185" t="s">
        <v>12418</v>
      </c>
    </row>
    <row r="8058" spans="1:3">
      <c r="A8058" s="184">
        <v>966200546</v>
      </c>
      <c r="B8058" s="116" t="str">
        <f t="shared" si="125"/>
        <v>96-966200546</v>
      </c>
      <c r="C8058" s="185" t="s">
        <v>13113</v>
      </c>
    </row>
    <row r="8059" spans="1:3">
      <c r="A8059" s="184">
        <v>966200569</v>
      </c>
      <c r="B8059" s="116" t="str">
        <f t="shared" si="125"/>
        <v>96-966200569</v>
      </c>
      <c r="C8059" s="185" t="s">
        <v>13114</v>
      </c>
    </row>
    <row r="8060" spans="1:3">
      <c r="A8060" s="184">
        <v>966200695</v>
      </c>
      <c r="B8060" s="116" t="str">
        <f t="shared" si="125"/>
        <v>96-966200695</v>
      </c>
      <c r="C8060" s="185" t="s">
        <v>13115</v>
      </c>
    </row>
    <row r="8061" spans="1:3">
      <c r="A8061" s="184">
        <v>962000422</v>
      </c>
      <c r="B8061" s="116" t="str">
        <f t="shared" si="125"/>
        <v>96-962000422</v>
      </c>
      <c r="C8061" s="185" t="s">
        <v>12184</v>
      </c>
    </row>
    <row r="8062" spans="1:3">
      <c r="A8062" s="184">
        <v>966200530</v>
      </c>
      <c r="B8062" s="116" t="str">
        <f t="shared" si="125"/>
        <v>96-966200530</v>
      </c>
      <c r="C8062" s="185" t="s">
        <v>12422</v>
      </c>
    </row>
    <row r="8063" spans="1:3">
      <c r="A8063" s="184">
        <v>966200572</v>
      </c>
      <c r="B8063" s="116" t="str">
        <f t="shared" si="125"/>
        <v>96-966200572</v>
      </c>
      <c r="C8063" s="185" t="s">
        <v>13116</v>
      </c>
    </row>
    <row r="8064" spans="1:3">
      <c r="A8064" s="184">
        <v>966200493</v>
      </c>
      <c r="B8064" s="116" t="str">
        <f t="shared" si="125"/>
        <v>96-966200493</v>
      </c>
      <c r="C8064" s="185" t="s">
        <v>12289</v>
      </c>
    </row>
    <row r="8065" spans="1:3">
      <c r="A8065" s="184">
        <v>966200427</v>
      </c>
      <c r="B8065" s="116" t="str">
        <f t="shared" si="125"/>
        <v>96-966200427</v>
      </c>
      <c r="C8065" s="185" t="s">
        <v>12256</v>
      </c>
    </row>
    <row r="8066" spans="1:3">
      <c r="A8066" s="184">
        <v>966200634</v>
      </c>
      <c r="B8066" s="116" t="str">
        <f t="shared" si="125"/>
        <v>96-966200634</v>
      </c>
      <c r="C8066" s="185" t="s">
        <v>13057</v>
      </c>
    </row>
    <row r="8067" spans="1:3">
      <c r="A8067" s="184">
        <v>961900187</v>
      </c>
      <c r="B8067" s="116" t="str">
        <f t="shared" ref="B8067:B8130" si="126">MID(A8067,1,2)&amp;"-"&amp;A8067</f>
        <v>96-961900187</v>
      </c>
      <c r="C8067" s="185" t="s">
        <v>12315</v>
      </c>
    </row>
    <row r="8068" spans="1:3">
      <c r="A8068" s="184">
        <v>966000038</v>
      </c>
      <c r="B8068" s="116" t="str">
        <f t="shared" si="126"/>
        <v>96-966000038</v>
      </c>
      <c r="C8068" s="185" t="s">
        <v>7146</v>
      </c>
    </row>
    <row r="8069" spans="1:3">
      <c r="A8069" s="184">
        <v>966200730</v>
      </c>
      <c r="B8069" s="116" t="str">
        <f t="shared" si="126"/>
        <v>96-966200730</v>
      </c>
      <c r="C8069" s="185" t="s">
        <v>13013</v>
      </c>
    </row>
    <row r="8070" spans="1:3">
      <c r="A8070" s="184">
        <v>966200463</v>
      </c>
      <c r="B8070" s="116" t="str">
        <f t="shared" si="126"/>
        <v>96-966200463</v>
      </c>
      <c r="C8070" s="185" t="s">
        <v>12185</v>
      </c>
    </row>
    <row r="8071" spans="1:3">
      <c r="A8071" s="184">
        <v>966200455</v>
      </c>
      <c r="B8071" s="116" t="str">
        <f t="shared" si="126"/>
        <v>96-966200455</v>
      </c>
      <c r="C8071" s="185" t="s">
        <v>12192</v>
      </c>
    </row>
    <row r="8072" spans="1:3">
      <c r="A8072" s="184">
        <v>966200507</v>
      </c>
      <c r="B8072" s="116" t="str">
        <f t="shared" si="126"/>
        <v>96-966200507</v>
      </c>
      <c r="C8072" s="185" t="s">
        <v>12449</v>
      </c>
    </row>
    <row r="8073" spans="1:3">
      <c r="A8073" s="184">
        <v>966200687</v>
      </c>
      <c r="B8073" s="116" t="str">
        <f t="shared" si="126"/>
        <v>96-966200687</v>
      </c>
      <c r="C8073" s="185" t="s">
        <v>13117</v>
      </c>
    </row>
    <row r="8074" spans="1:3">
      <c r="A8074" s="184">
        <v>961700172</v>
      </c>
      <c r="B8074" s="116" t="str">
        <f t="shared" si="126"/>
        <v>96-961700172</v>
      </c>
      <c r="C8074" s="185" t="s">
        <v>13118</v>
      </c>
    </row>
    <row r="8075" spans="1:3">
      <c r="A8075" s="184">
        <v>961100123</v>
      </c>
      <c r="B8075" s="116" t="str">
        <f t="shared" si="126"/>
        <v>96-961100123</v>
      </c>
      <c r="C8075" s="185" t="s">
        <v>13119</v>
      </c>
    </row>
    <row r="8076" spans="1:3">
      <c r="A8076" s="184">
        <v>961900189</v>
      </c>
      <c r="B8076" s="116" t="str">
        <f t="shared" si="126"/>
        <v>96-961900189</v>
      </c>
      <c r="C8076" s="185" t="s">
        <v>12313</v>
      </c>
    </row>
    <row r="8077" spans="1:3">
      <c r="A8077" s="184">
        <v>961600028</v>
      </c>
      <c r="B8077" s="116" t="str">
        <f t="shared" si="126"/>
        <v>96-961600028</v>
      </c>
      <c r="C8077" s="185" t="s">
        <v>13120</v>
      </c>
    </row>
    <row r="8078" spans="1:3">
      <c r="A8078" s="184">
        <v>966200423</v>
      </c>
      <c r="B8078" s="116" t="str">
        <f t="shared" si="126"/>
        <v>96-966200423</v>
      </c>
      <c r="C8078" s="185" t="s">
        <v>12236</v>
      </c>
    </row>
    <row r="8079" spans="1:3">
      <c r="A8079" s="184">
        <v>966300087</v>
      </c>
      <c r="B8079" s="116" t="str">
        <f t="shared" si="126"/>
        <v>96-966300087</v>
      </c>
      <c r="C8079" s="185" t="s">
        <v>13121</v>
      </c>
    </row>
    <row r="8080" spans="1:3">
      <c r="A8080" s="184">
        <v>961100096</v>
      </c>
      <c r="B8080" s="116" t="str">
        <f t="shared" si="126"/>
        <v>96-961100096</v>
      </c>
      <c r="C8080" s="185" t="s">
        <v>12234</v>
      </c>
    </row>
    <row r="8081" spans="1:3">
      <c r="A8081" s="184">
        <v>972500004</v>
      </c>
      <c r="B8081" s="116" t="str">
        <f t="shared" si="126"/>
        <v>97-972500004</v>
      </c>
      <c r="C8081" s="185" t="s">
        <v>12934</v>
      </c>
    </row>
    <row r="8082" spans="1:3">
      <c r="A8082" s="184">
        <v>962500193</v>
      </c>
      <c r="B8082" s="116" t="str">
        <f t="shared" si="126"/>
        <v>96-962500193</v>
      </c>
      <c r="C8082" s="185" t="s">
        <v>12444</v>
      </c>
    </row>
    <row r="8083" spans="1:3">
      <c r="A8083" s="184">
        <v>962500177</v>
      </c>
      <c r="B8083" s="116" t="str">
        <f t="shared" si="126"/>
        <v>96-962500177</v>
      </c>
      <c r="C8083" s="185" t="s">
        <v>9794</v>
      </c>
    </row>
    <row r="8084" spans="1:3">
      <c r="A8084" s="184">
        <v>962200095</v>
      </c>
      <c r="B8084" s="116" t="str">
        <f t="shared" si="126"/>
        <v>96-962200095</v>
      </c>
      <c r="C8084" s="185" t="s">
        <v>12450</v>
      </c>
    </row>
    <row r="8085" spans="1:3">
      <c r="A8085" s="184">
        <v>962200097</v>
      </c>
      <c r="B8085" s="116" t="str">
        <f t="shared" si="126"/>
        <v>96-962200097</v>
      </c>
      <c r="C8085" s="185" t="s">
        <v>12423</v>
      </c>
    </row>
    <row r="8086" spans="1:3">
      <c r="A8086" s="184">
        <v>962200105</v>
      </c>
      <c r="B8086" s="116" t="str">
        <f t="shared" si="126"/>
        <v>96-962200105</v>
      </c>
      <c r="C8086" s="185" t="s">
        <v>12423</v>
      </c>
    </row>
    <row r="8087" spans="1:3">
      <c r="A8087" s="184">
        <v>966200497</v>
      </c>
      <c r="B8087" s="116" t="str">
        <f t="shared" si="126"/>
        <v>96-966200497</v>
      </c>
      <c r="C8087" s="185" t="s">
        <v>12281</v>
      </c>
    </row>
    <row r="8088" spans="1:3">
      <c r="A8088" s="184">
        <v>966200564</v>
      </c>
      <c r="B8088" s="116" t="str">
        <f t="shared" si="126"/>
        <v>96-966200564</v>
      </c>
      <c r="C8088" s="185" t="s">
        <v>13122</v>
      </c>
    </row>
    <row r="8089" spans="1:3">
      <c r="A8089" s="184">
        <v>966200605</v>
      </c>
      <c r="B8089" s="116" t="str">
        <f t="shared" si="126"/>
        <v>96-966200605</v>
      </c>
      <c r="C8089" s="185" t="s">
        <v>13011</v>
      </c>
    </row>
    <row r="8090" spans="1:3">
      <c r="A8090" s="184">
        <v>966200480</v>
      </c>
      <c r="B8090" s="116" t="str">
        <f t="shared" si="126"/>
        <v>96-966200480</v>
      </c>
      <c r="C8090" s="185" t="s">
        <v>12185</v>
      </c>
    </row>
    <row r="8091" spans="1:3">
      <c r="A8091" s="184">
        <v>966200609</v>
      </c>
      <c r="B8091" s="116" t="str">
        <f t="shared" si="126"/>
        <v>96-966200609</v>
      </c>
      <c r="C8091" s="185" t="s">
        <v>13011</v>
      </c>
    </row>
    <row r="8092" spans="1:3">
      <c r="A8092" s="184">
        <v>966200539</v>
      </c>
      <c r="B8092" s="116" t="str">
        <f t="shared" si="126"/>
        <v>96-966200539</v>
      </c>
      <c r="C8092" s="185" t="s">
        <v>12412</v>
      </c>
    </row>
    <row r="8093" spans="1:3">
      <c r="A8093" s="184">
        <v>962000420</v>
      </c>
      <c r="B8093" s="116" t="str">
        <f t="shared" si="126"/>
        <v>96-962000420</v>
      </c>
      <c r="C8093" s="185" t="s">
        <v>12184</v>
      </c>
    </row>
    <row r="8094" spans="1:3">
      <c r="A8094" s="184">
        <v>962000397</v>
      </c>
      <c r="B8094" s="116" t="str">
        <f t="shared" si="126"/>
        <v>96-962000397</v>
      </c>
      <c r="C8094" s="185" t="s">
        <v>12184</v>
      </c>
    </row>
    <row r="8095" spans="1:3">
      <c r="A8095" s="184">
        <v>962000474</v>
      </c>
      <c r="B8095" s="116" t="str">
        <f t="shared" si="126"/>
        <v>96-962000474</v>
      </c>
      <c r="C8095" s="185" t="s">
        <v>12184</v>
      </c>
    </row>
    <row r="8096" spans="1:3">
      <c r="A8096" s="184">
        <v>962000418</v>
      </c>
      <c r="B8096" s="116" t="str">
        <f t="shared" si="126"/>
        <v>96-962000418</v>
      </c>
      <c r="C8096" s="185" t="s">
        <v>12184</v>
      </c>
    </row>
    <row r="8097" spans="1:3">
      <c r="A8097" s="184">
        <v>962200111</v>
      </c>
      <c r="B8097" s="116" t="str">
        <f t="shared" si="126"/>
        <v>96-962200111</v>
      </c>
      <c r="C8097" s="185" t="s">
        <v>12932</v>
      </c>
    </row>
    <row r="8098" spans="1:3">
      <c r="A8098" s="184">
        <v>972500013</v>
      </c>
      <c r="B8098" s="116" t="str">
        <f t="shared" si="126"/>
        <v>97-972500013</v>
      </c>
      <c r="C8098" s="185" t="s">
        <v>12220</v>
      </c>
    </row>
    <row r="8099" spans="1:3">
      <c r="A8099" s="184">
        <v>962000270</v>
      </c>
      <c r="B8099" s="116" t="str">
        <f t="shared" si="126"/>
        <v>96-962000270</v>
      </c>
      <c r="C8099" s="185" t="s">
        <v>7112</v>
      </c>
    </row>
    <row r="8100" spans="1:3">
      <c r="A8100" s="184">
        <v>962000414</v>
      </c>
      <c r="B8100" s="116" t="str">
        <f t="shared" si="126"/>
        <v>96-962000414</v>
      </c>
      <c r="C8100" s="185" t="s">
        <v>12184</v>
      </c>
    </row>
    <row r="8101" spans="1:3">
      <c r="A8101" s="184">
        <v>962500187</v>
      </c>
      <c r="B8101" s="116" t="str">
        <f t="shared" si="126"/>
        <v>96-962500187</v>
      </c>
      <c r="C8101" s="185" t="s">
        <v>12195</v>
      </c>
    </row>
    <row r="8102" spans="1:3">
      <c r="A8102" s="184">
        <v>964200024</v>
      </c>
      <c r="B8102" s="116" t="str">
        <f t="shared" si="126"/>
        <v>96-964200024</v>
      </c>
      <c r="C8102" s="185" t="s">
        <v>12429</v>
      </c>
    </row>
    <row r="8103" spans="1:3">
      <c r="A8103" s="184">
        <v>962000352</v>
      </c>
      <c r="B8103" s="116" t="str">
        <f t="shared" si="126"/>
        <v>96-962000352</v>
      </c>
      <c r="C8103" s="185" t="s">
        <v>12184</v>
      </c>
    </row>
    <row r="8104" spans="1:3">
      <c r="A8104" s="184">
        <v>962000478</v>
      </c>
      <c r="B8104" s="116" t="str">
        <f t="shared" si="126"/>
        <v>96-962000478</v>
      </c>
      <c r="C8104" s="185" t="s">
        <v>12184</v>
      </c>
    </row>
    <row r="8105" spans="1:3">
      <c r="A8105" s="184">
        <v>962000323</v>
      </c>
      <c r="B8105" s="116" t="str">
        <f t="shared" si="126"/>
        <v>96-962000323</v>
      </c>
      <c r="C8105" s="185" t="s">
        <v>7112</v>
      </c>
    </row>
    <row r="8106" spans="1:3">
      <c r="A8106" s="184">
        <v>962500195</v>
      </c>
      <c r="B8106" s="116" t="str">
        <f t="shared" si="126"/>
        <v>96-962500195</v>
      </c>
      <c r="C8106" s="185" t="s">
        <v>8717</v>
      </c>
    </row>
    <row r="8107" spans="1:3">
      <c r="A8107" s="184">
        <v>962000286</v>
      </c>
      <c r="B8107" s="116" t="str">
        <f t="shared" si="126"/>
        <v>96-962000286</v>
      </c>
      <c r="C8107" s="185" t="s">
        <v>7112</v>
      </c>
    </row>
    <row r="8108" spans="1:3">
      <c r="A8108" s="184">
        <v>964200020</v>
      </c>
      <c r="B8108" s="116" t="str">
        <f t="shared" si="126"/>
        <v>96-964200020</v>
      </c>
      <c r="C8108" s="185" t="s">
        <v>12429</v>
      </c>
    </row>
    <row r="8109" spans="1:3">
      <c r="A8109" s="184">
        <v>964200021</v>
      </c>
      <c r="B8109" s="116" t="str">
        <f t="shared" si="126"/>
        <v>96-964200021</v>
      </c>
      <c r="C8109" s="185" t="s">
        <v>12429</v>
      </c>
    </row>
    <row r="8110" spans="1:3">
      <c r="A8110" s="184">
        <v>964200034</v>
      </c>
      <c r="B8110" s="116" t="str">
        <f t="shared" si="126"/>
        <v>96-964200034</v>
      </c>
      <c r="C8110" s="185" t="s">
        <v>12668</v>
      </c>
    </row>
    <row r="8111" spans="1:3">
      <c r="A8111" s="184">
        <v>964200023</v>
      </c>
      <c r="B8111" s="116" t="str">
        <f t="shared" si="126"/>
        <v>96-964200023</v>
      </c>
      <c r="C8111" s="185" t="s">
        <v>12665</v>
      </c>
    </row>
    <row r="8112" spans="1:3">
      <c r="A8112" s="184">
        <v>962000481</v>
      </c>
      <c r="B8112" s="116" t="str">
        <f t="shared" si="126"/>
        <v>96-962000481</v>
      </c>
      <c r="C8112" s="185" t="s">
        <v>12184</v>
      </c>
    </row>
    <row r="8113" spans="1:3">
      <c r="A8113" s="184">
        <v>962000404</v>
      </c>
      <c r="B8113" s="116" t="str">
        <f t="shared" si="126"/>
        <v>96-962000404</v>
      </c>
      <c r="C8113" s="185" t="s">
        <v>12184</v>
      </c>
    </row>
    <row r="8114" spans="1:3">
      <c r="A8114" s="184">
        <v>962000436</v>
      </c>
      <c r="B8114" s="116" t="str">
        <f t="shared" si="126"/>
        <v>96-962000436</v>
      </c>
      <c r="C8114" s="185" t="s">
        <v>12184</v>
      </c>
    </row>
    <row r="8115" spans="1:3">
      <c r="A8115" s="184">
        <v>962000434</v>
      </c>
      <c r="B8115" s="116" t="str">
        <f t="shared" si="126"/>
        <v>96-962000434</v>
      </c>
      <c r="C8115" s="185" t="s">
        <v>12184</v>
      </c>
    </row>
    <row r="8116" spans="1:3">
      <c r="A8116" s="184">
        <v>966200616</v>
      </c>
      <c r="B8116" s="116" t="str">
        <f t="shared" si="126"/>
        <v>96-966200616</v>
      </c>
      <c r="C8116" s="185" t="s">
        <v>13011</v>
      </c>
    </row>
    <row r="8117" spans="1:3">
      <c r="A8117" s="184">
        <v>966200713</v>
      </c>
      <c r="B8117" s="116" t="str">
        <f t="shared" si="126"/>
        <v>96-966200713</v>
      </c>
      <c r="C8117" s="185" t="s">
        <v>13020</v>
      </c>
    </row>
    <row r="8118" spans="1:3">
      <c r="A8118" s="184">
        <v>966200441</v>
      </c>
      <c r="B8118" s="116" t="str">
        <f t="shared" si="126"/>
        <v>96-966200441</v>
      </c>
      <c r="C8118" s="185" t="s">
        <v>12187</v>
      </c>
    </row>
    <row r="8119" spans="1:3">
      <c r="A8119" s="184">
        <v>966200465</v>
      </c>
      <c r="B8119" s="116" t="str">
        <f t="shared" si="126"/>
        <v>96-966200465</v>
      </c>
      <c r="C8119" s="185" t="s">
        <v>12185</v>
      </c>
    </row>
    <row r="8120" spans="1:3">
      <c r="A8120" s="184">
        <v>966200510</v>
      </c>
      <c r="B8120" s="116" t="str">
        <f t="shared" si="126"/>
        <v>96-966200510</v>
      </c>
      <c r="C8120" s="185" t="s">
        <v>12415</v>
      </c>
    </row>
    <row r="8121" spans="1:3">
      <c r="A8121" s="184">
        <v>962500217</v>
      </c>
      <c r="B8121" s="116" t="str">
        <f t="shared" si="126"/>
        <v>96-962500217</v>
      </c>
      <c r="C8121" s="185" t="s">
        <v>12685</v>
      </c>
    </row>
    <row r="8122" spans="1:3">
      <c r="A8122" s="184">
        <v>962500222</v>
      </c>
      <c r="B8122" s="116" t="str">
        <f t="shared" si="126"/>
        <v>96-962500222</v>
      </c>
      <c r="C8122" s="185" t="s">
        <v>12685</v>
      </c>
    </row>
    <row r="8123" spans="1:3">
      <c r="A8123" s="184">
        <v>962500212</v>
      </c>
      <c r="B8123" s="116" t="str">
        <f t="shared" si="126"/>
        <v>96-962500212</v>
      </c>
      <c r="C8123" s="185" t="s">
        <v>12684</v>
      </c>
    </row>
    <row r="8124" spans="1:3">
      <c r="A8124" s="184">
        <v>962500215</v>
      </c>
      <c r="B8124" s="116" t="str">
        <f t="shared" si="126"/>
        <v>96-962500215</v>
      </c>
      <c r="C8124" s="185" t="s">
        <v>12667</v>
      </c>
    </row>
    <row r="8125" spans="1:3">
      <c r="A8125" s="184">
        <v>964200014</v>
      </c>
      <c r="B8125" s="116" t="str">
        <f t="shared" si="126"/>
        <v>96-964200014</v>
      </c>
      <c r="C8125" s="185" t="s">
        <v>12260</v>
      </c>
    </row>
    <row r="8126" spans="1:3">
      <c r="A8126" s="184">
        <v>964200016</v>
      </c>
      <c r="B8126" s="116" t="str">
        <f t="shared" si="126"/>
        <v>96-964200016</v>
      </c>
      <c r="C8126" s="185" t="s">
        <v>12429</v>
      </c>
    </row>
    <row r="8127" spans="1:3">
      <c r="A8127" s="184">
        <v>966000032</v>
      </c>
      <c r="B8127" s="116" t="str">
        <f t="shared" si="126"/>
        <v>96-966000032</v>
      </c>
      <c r="C8127" s="185" t="s">
        <v>7146</v>
      </c>
    </row>
    <row r="8128" spans="1:3">
      <c r="A8128" s="184">
        <v>966000027</v>
      </c>
      <c r="B8128" s="116" t="str">
        <f t="shared" si="126"/>
        <v>96-966000027</v>
      </c>
      <c r="C8128" s="185" t="s">
        <v>7146</v>
      </c>
    </row>
    <row r="8129" spans="1:3">
      <c r="A8129" s="184">
        <v>961700229</v>
      </c>
      <c r="B8129" s="116" t="str">
        <f t="shared" si="126"/>
        <v>96-961700229</v>
      </c>
      <c r="C8129" s="185" t="s">
        <v>13018</v>
      </c>
    </row>
    <row r="8130" spans="1:3">
      <c r="A8130" s="184">
        <v>961700233</v>
      </c>
      <c r="B8130" s="116" t="str">
        <f t="shared" si="126"/>
        <v>96-961700233</v>
      </c>
      <c r="C8130" s="185" t="s">
        <v>13018</v>
      </c>
    </row>
    <row r="8131" spans="1:3">
      <c r="A8131" s="184">
        <v>966300060</v>
      </c>
      <c r="B8131" s="116" t="str">
        <f t="shared" ref="B8131:B8194" si="127">MID(A8131,1,2)&amp;"-"&amp;A8131</f>
        <v>96-966300060</v>
      </c>
      <c r="C8131" s="185" t="s">
        <v>13087</v>
      </c>
    </row>
    <row r="8132" spans="1:3">
      <c r="A8132" s="184">
        <v>966300083</v>
      </c>
      <c r="B8132" s="116" t="str">
        <f t="shared" si="127"/>
        <v>96-966300083</v>
      </c>
      <c r="C8132" s="185" t="s">
        <v>13016</v>
      </c>
    </row>
    <row r="8133" spans="1:3">
      <c r="A8133" s="184">
        <v>962000348</v>
      </c>
      <c r="B8133" s="116" t="str">
        <f t="shared" si="127"/>
        <v>96-962000348</v>
      </c>
      <c r="C8133" s="185" t="s">
        <v>12184</v>
      </c>
    </row>
    <row r="8134" spans="1:3">
      <c r="A8134" s="184">
        <v>966200473</v>
      </c>
      <c r="B8134" s="116" t="str">
        <f t="shared" si="127"/>
        <v>96-966200473</v>
      </c>
      <c r="C8134" s="185" t="s">
        <v>12185</v>
      </c>
    </row>
    <row r="8135" spans="1:3">
      <c r="A8135" s="184">
        <v>961600029</v>
      </c>
      <c r="B8135" s="116" t="str">
        <f t="shared" si="127"/>
        <v>96-961600029</v>
      </c>
      <c r="C8135" s="185" t="s">
        <v>13123</v>
      </c>
    </row>
    <row r="8136" spans="1:3">
      <c r="A8136" s="184">
        <v>966200416</v>
      </c>
      <c r="B8136" s="116" t="str">
        <f t="shared" si="127"/>
        <v>96-966200416</v>
      </c>
      <c r="C8136" s="185" t="s">
        <v>12224</v>
      </c>
    </row>
    <row r="8137" spans="1:3">
      <c r="A8137" s="184">
        <v>966200462</v>
      </c>
      <c r="B8137" s="116" t="str">
        <f t="shared" si="127"/>
        <v>96-966200462</v>
      </c>
      <c r="C8137" s="185" t="s">
        <v>12185</v>
      </c>
    </row>
    <row r="8138" spans="1:3">
      <c r="A8138" s="184">
        <v>966200475</v>
      </c>
      <c r="B8138" s="116" t="str">
        <f t="shared" si="127"/>
        <v>96-966200475</v>
      </c>
      <c r="C8138" s="185" t="s">
        <v>12185</v>
      </c>
    </row>
    <row r="8139" spans="1:3">
      <c r="A8139" s="184">
        <v>966200615</v>
      </c>
      <c r="B8139" s="116" t="str">
        <f t="shared" si="127"/>
        <v>96-966200615</v>
      </c>
      <c r="C8139" s="185" t="s">
        <v>13011</v>
      </c>
    </row>
    <row r="8140" spans="1:3">
      <c r="A8140" s="184">
        <v>966200625</v>
      </c>
      <c r="B8140" s="116" t="str">
        <f t="shared" si="127"/>
        <v>96-966200625</v>
      </c>
      <c r="C8140" s="185" t="s">
        <v>13083</v>
      </c>
    </row>
    <row r="8141" spans="1:3">
      <c r="A8141" s="184">
        <v>966200712</v>
      </c>
      <c r="B8141" s="116" t="str">
        <f t="shared" si="127"/>
        <v>96-966200712</v>
      </c>
      <c r="C8141" s="185" t="s">
        <v>13020</v>
      </c>
    </row>
    <row r="8142" spans="1:3">
      <c r="A8142" s="184">
        <v>966200432</v>
      </c>
      <c r="B8142" s="116" t="str">
        <f t="shared" si="127"/>
        <v>96-966200432</v>
      </c>
      <c r="C8142" s="185" t="s">
        <v>12236</v>
      </c>
    </row>
    <row r="8143" spans="1:3">
      <c r="A8143" s="184">
        <v>966200752</v>
      </c>
      <c r="B8143" s="116" t="str">
        <f t="shared" si="127"/>
        <v>96-966200752</v>
      </c>
      <c r="C8143" s="185" t="s">
        <v>13020</v>
      </c>
    </row>
    <row r="8144" spans="1:3">
      <c r="A8144" s="184">
        <v>966200741</v>
      </c>
      <c r="B8144" s="116" t="str">
        <f t="shared" si="127"/>
        <v>96-966200741</v>
      </c>
      <c r="C8144" s="185" t="s">
        <v>13008</v>
      </c>
    </row>
    <row r="8145" spans="1:3">
      <c r="A8145" s="184">
        <v>966300031</v>
      </c>
      <c r="B8145" s="116" t="str">
        <f t="shared" si="127"/>
        <v>96-966300031</v>
      </c>
      <c r="C8145" s="185" t="s">
        <v>12237</v>
      </c>
    </row>
    <row r="8146" spans="1:3">
      <c r="A8146" s="184">
        <v>966300049</v>
      </c>
      <c r="B8146" s="116" t="str">
        <f t="shared" si="127"/>
        <v>96-966300049</v>
      </c>
      <c r="C8146" s="185" t="s">
        <v>12191</v>
      </c>
    </row>
    <row r="8147" spans="1:3">
      <c r="A8147" s="184">
        <v>962000233</v>
      </c>
      <c r="B8147" s="116" t="str">
        <f t="shared" si="127"/>
        <v>96-962000233</v>
      </c>
      <c r="C8147" s="185" t="s">
        <v>7112</v>
      </c>
    </row>
    <row r="8148" spans="1:3">
      <c r="A8148" s="184">
        <v>962000244</v>
      </c>
      <c r="B8148" s="116" t="str">
        <f t="shared" si="127"/>
        <v>96-962000244</v>
      </c>
      <c r="C8148" s="185" t="s">
        <v>7112</v>
      </c>
    </row>
    <row r="8149" spans="1:3">
      <c r="A8149" s="184">
        <v>966200608</v>
      </c>
      <c r="B8149" s="116" t="str">
        <f t="shared" si="127"/>
        <v>96-966200608</v>
      </c>
      <c r="C8149" s="185" t="s">
        <v>13011</v>
      </c>
    </row>
    <row r="8150" spans="1:3">
      <c r="A8150" s="184">
        <v>966200666</v>
      </c>
      <c r="B8150" s="116" t="str">
        <f t="shared" si="127"/>
        <v>96-966200666</v>
      </c>
      <c r="C8150" s="185" t="s">
        <v>13010</v>
      </c>
    </row>
    <row r="8151" spans="1:3">
      <c r="A8151" s="184">
        <v>966300052</v>
      </c>
      <c r="B8151" s="116" t="str">
        <f t="shared" si="127"/>
        <v>96-966300052</v>
      </c>
      <c r="C8151" s="185" t="s">
        <v>12445</v>
      </c>
    </row>
    <row r="8152" spans="1:3">
      <c r="A8152" s="184">
        <v>966300085</v>
      </c>
      <c r="B8152" s="116" t="str">
        <f t="shared" si="127"/>
        <v>96-966300085</v>
      </c>
      <c r="C8152" s="185" t="s">
        <v>13016</v>
      </c>
    </row>
    <row r="8153" spans="1:3">
      <c r="A8153" s="184">
        <v>966200576</v>
      </c>
      <c r="B8153" s="116" t="str">
        <f t="shared" si="127"/>
        <v>96-966200576</v>
      </c>
      <c r="C8153" s="185" t="s">
        <v>13078</v>
      </c>
    </row>
    <row r="8154" spans="1:3">
      <c r="A8154" s="184">
        <v>962000476</v>
      </c>
      <c r="B8154" s="116" t="str">
        <f t="shared" si="127"/>
        <v>96-962000476</v>
      </c>
      <c r="C8154" s="185" t="s">
        <v>12184</v>
      </c>
    </row>
    <row r="8155" spans="1:3">
      <c r="A8155" s="184">
        <v>966200470</v>
      </c>
      <c r="B8155" s="116" t="str">
        <f t="shared" si="127"/>
        <v>96-966200470</v>
      </c>
      <c r="C8155" s="185" t="s">
        <v>12185</v>
      </c>
    </row>
    <row r="8156" spans="1:3">
      <c r="A8156" s="184">
        <v>962000467</v>
      </c>
      <c r="B8156" s="116" t="str">
        <f t="shared" si="127"/>
        <v>96-962000467</v>
      </c>
      <c r="C8156" s="185" t="s">
        <v>12184</v>
      </c>
    </row>
    <row r="8157" spans="1:3">
      <c r="A8157" s="184">
        <v>962500219</v>
      </c>
      <c r="B8157" s="116" t="str">
        <f t="shared" si="127"/>
        <v>96-962500219</v>
      </c>
      <c r="C8157" s="185" t="s">
        <v>12685</v>
      </c>
    </row>
    <row r="8158" spans="1:3">
      <c r="A8158" s="184">
        <v>962500223</v>
      </c>
      <c r="B8158" s="116" t="str">
        <f t="shared" si="127"/>
        <v>96-962500223</v>
      </c>
      <c r="C8158" s="185" t="s">
        <v>12685</v>
      </c>
    </row>
    <row r="8159" spans="1:3">
      <c r="A8159" s="184">
        <v>962500190</v>
      </c>
      <c r="B8159" s="116" t="str">
        <f t="shared" si="127"/>
        <v>96-962500190</v>
      </c>
      <c r="C8159" s="185" t="s">
        <v>12195</v>
      </c>
    </row>
    <row r="8160" spans="1:3">
      <c r="A8160" s="184">
        <v>962500173</v>
      </c>
      <c r="B8160" s="116" t="str">
        <f t="shared" si="127"/>
        <v>96-962500173</v>
      </c>
      <c r="C8160" s="185" t="s">
        <v>12119</v>
      </c>
    </row>
    <row r="8161" spans="1:3">
      <c r="A8161" s="184">
        <v>966200444</v>
      </c>
      <c r="B8161" s="116" t="str">
        <f t="shared" si="127"/>
        <v>96-966200444</v>
      </c>
      <c r="C8161" s="185" t="s">
        <v>12187</v>
      </c>
    </row>
    <row r="8162" spans="1:3">
      <c r="A8162" s="184">
        <v>962000493</v>
      </c>
      <c r="B8162" s="116" t="str">
        <f t="shared" si="127"/>
        <v>96-962000493</v>
      </c>
      <c r="C8162" s="185" t="s">
        <v>12184</v>
      </c>
    </row>
    <row r="8163" spans="1:3">
      <c r="A8163" s="184">
        <v>962000492</v>
      </c>
      <c r="B8163" s="116" t="str">
        <f t="shared" si="127"/>
        <v>96-962000492</v>
      </c>
      <c r="C8163" s="185" t="s">
        <v>12184</v>
      </c>
    </row>
    <row r="8164" spans="1:3">
      <c r="A8164" s="184">
        <v>966200449</v>
      </c>
      <c r="B8164" s="116" t="str">
        <f t="shared" si="127"/>
        <v>96-966200449</v>
      </c>
      <c r="C8164" s="185" t="s">
        <v>12188</v>
      </c>
    </row>
    <row r="8165" spans="1:3">
      <c r="A8165" s="184">
        <v>966200558</v>
      </c>
      <c r="B8165" s="116" t="str">
        <f t="shared" si="127"/>
        <v>96-966200558</v>
      </c>
      <c r="C8165" s="185" t="s">
        <v>13073</v>
      </c>
    </row>
    <row r="8166" spans="1:3">
      <c r="A8166" s="184">
        <v>966200587</v>
      </c>
      <c r="B8166" s="116" t="str">
        <f t="shared" si="127"/>
        <v>96-966200587</v>
      </c>
      <c r="C8166" s="185" t="s">
        <v>13124</v>
      </c>
    </row>
    <row r="8167" spans="1:3">
      <c r="A8167" s="184">
        <v>966200585</v>
      </c>
      <c r="B8167" s="116" t="str">
        <f t="shared" si="127"/>
        <v>96-966200585</v>
      </c>
      <c r="C8167" s="185" t="s">
        <v>13089</v>
      </c>
    </row>
    <row r="8168" spans="1:3">
      <c r="A8168" s="184">
        <v>966200756</v>
      </c>
      <c r="B8168" s="116" t="str">
        <f t="shared" si="127"/>
        <v>96-966200756</v>
      </c>
      <c r="C8168" s="185" t="s">
        <v>13014</v>
      </c>
    </row>
    <row r="8169" spans="1:3">
      <c r="A8169" s="184">
        <v>966200671</v>
      </c>
      <c r="B8169" s="116" t="str">
        <f t="shared" si="127"/>
        <v>96-966200671</v>
      </c>
      <c r="C8169" s="185" t="s">
        <v>13010</v>
      </c>
    </row>
    <row r="8170" spans="1:3">
      <c r="A8170" s="184">
        <v>966200400</v>
      </c>
      <c r="B8170" s="116" t="str">
        <f t="shared" si="127"/>
        <v>96-966200400</v>
      </c>
      <c r="C8170" s="185" t="s">
        <v>12239</v>
      </c>
    </row>
    <row r="8171" spans="1:3">
      <c r="A8171" s="184">
        <v>966200513</v>
      </c>
      <c r="B8171" s="116" t="str">
        <f t="shared" si="127"/>
        <v>96-966200513</v>
      </c>
      <c r="C8171" s="185" t="s">
        <v>12446</v>
      </c>
    </row>
    <row r="8172" spans="1:3">
      <c r="A8172" s="184">
        <v>961700160</v>
      </c>
      <c r="B8172" s="116" t="str">
        <f t="shared" si="127"/>
        <v>96-961700160</v>
      </c>
      <c r="C8172" s="185" t="s">
        <v>12193</v>
      </c>
    </row>
    <row r="8173" spans="1:3">
      <c r="A8173" s="184">
        <v>962000251</v>
      </c>
      <c r="B8173" s="116" t="str">
        <f t="shared" si="127"/>
        <v>96-962000251</v>
      </c>
      <c r="C8173" s="185" t="s">
        <v>7112</v>
      </c>
    </row>
    <row r="8174" spans="1:3">
      <c r="A8174" s="184">
        <v>962000250</v>
      </c>
      <c r="B8174" s="116" t="str">
        <f t="shared" si="127"/>
        <v>96-962000250</v>
      </c>
      <c r="C8174" s="185" t="s">
        <v>7112</v>
      </c>
    </row>
    <row r="8175" spans="1:3">
      <c r="A8175" s="184">
        <v>962000275</v>
      </c>
      <c r="B8175" s="116" t="str">
        <f t="shared" si="127"/>
        <v>96-962000275</v>
      </c>
      <c r="C8175" s="185" t="s">
        <v>7112</v>
      </c>
    </row>
    <row r="8176" spans="1:3">
      <c r="A8176" s="184">
        <v>962000305</v>
      </c>
      <c r="B8176" s="116" t="str">
        <f t="shared" si="127"/>
        <v>96-962000305</v>
      </c>
      <c r="C8176" s="185" t="s">
        <v>7112</v>
      </c>
    </row>
    <row r="8177" spans="1:3">
      <c r="A8177" s="184">
        <v>966200571</v>
      </c>
      <c r="B8177" s="116" t="str">
        <f t="shared" si="127"/>
        <v>96-966200571</v>
      </c>
      <c r="C8177" s="185" t="s">
        <v>13125</v>
      </c>
    </row>
    <row r="8178" spans="1:3">
      <c r="A8178" s="184">
        <v>962000257</v>
      </c>
      <c r="B8178" s="116" t="str">
        <f t="shared" si="127"/>
        <v>96-962000257</v>
      </c>
      <c r="C8178" s="185" t="s">
        <v>7112</v>
      </c>
    </row>
    <row r="8179" spans="1:3">
      <c r="A8179" s="184">
        <v>962000278</v>
      </c>
      <c r="B8179" s="116" t="str">
        <f t="shared" si="127"/>
        <v>96-962000278</v>
      </c>
      <c r="C8179" s="185" t="s">
        <v>7112</v>
      </c>
    </row>
    <row r="8180" spans="1:3">
      <c r="A8180" s="184">
        <v>962000298</v>
      </c>
      <c r="B8180" s="116" t="str">
        <f t="shared" si="127"/>
        <v>96-962000298</v>
      </c>
      <c r="C8180" s="185" t="s">
        <v>7112</v>
      </c>
    </row>
    <row r="8181" spans="1:3">
      <c r="A8181" s="184">
        <v>962000324</v>
      </c>
      <c r="B8181" s="116" t="str">
        <f t="shared" si="127"/>
        <v>96-962000324</v>
      </c>
      <c r="C8181" s="185" t="s">
        <v>7936</v>
      </c>
    </row>
    <row r="8182" spans="1:3">
      <c r="A8182" s="184">
        <v>962000320</v>
      </c>
      <c r="B8182" s="116" t="str">
        <f t="shared" si="127"/>
        <v>96-962000320</v>
      </c>
      <c r="C8182" s="185" t="s">
        <v>7112</v>
      </c>
    </row>
    <row r="8183" spans="1:3">
      <c r="A8183" s="184">
        <v>962000284</v>
      </c>
      <c r="B8183" s="116" t="str">
        <f t="shared" si="127"/>
        <v>96-962000284</v>
      </c>
      <c r="C8183" s="185" t="s">
        <v>7112</v>
      </c>
    </row>
    <row r="8184" spans="1:3">
      <c r="A8184" s="184">
        <v>962000302</v>
      </c>
      <c r="B8184" s="116" t="str">
        <f t="shared" si="127"/>
        <v>96-962000302</v>
      </c>
      <c r="C8184" s="185" t="s">
        <v>7112</v>
      </c>
    </row>
    <row r="8185" spans="1:3">
      <c r="A8185" s="184">
        <v>962000321</v>
      </c>
      <c r="B8185" s="116" t="str">
        <f t="shared" si="127"/>
        <v>96-962000321</v>
      </c>
      <c r="C8185" s="185" t="s">
        <v>7112</v>
      </c>
    </row>
    <row r="8186" spans="1:3">
      <c r="A8186" s="184">
        <v>962000277</v>
      </c>
      <c r="B8186" s="116" t="str">
        <f t="shared" si="127"/>
        <v>96-962000277</v>
      </c>
      <c r="C8186" s="185" t="s">
        <v>7112</v>
      </c>
    </row>
    <row r="8187" spans="1:3">
      <c r="A8187" s="184">
        <v>962000282</v>
      </c>
      <c r="B8187" s="116" t="str">
        <f t="shared" si="127"/>
        <v>96-962000282</v>
      </c>
      <c r="C8187" s="185" t="s">
        <v>7112</v>
      </c>
    </row>
    <row r="8188" spans="1:3">
      <c r="A8188" s="184">
        <v>962000301</v>
      </c>
      <c r="B8188" s="116" t="str">
        <f t="shared" si="127"/>
        <v>96-962000301</v>
      </c>
      <c r="C8188" s="185" t="s">
        <v>7112</v>
      </c>
    </row>
    <row r="8189" spans="1:3">
      <c r="A8189" s="184">
        <v>962000316</v>
      </c>
      <c r="B8189" s="116" t="str">
        <f t="shared" si="127"/>
        <v>96-962000316</v>
      </c>
      <c r="C8189" s="185" t="s">
        <v>7112</v>
      </c>
    </row>
    <row r="8190" spans="1:3">
      <c r="A8190" s="184">
        <v>962000344</v>
      </c>
      <c r="B8190" s="116" t="str">
        <f t="shared" si="127"/>
        <v>96-962000344</v>
      </c>
      <c r="C8190" s="185" t="s">
        <v>12184</v>
      </c>
    </row>
    <row r="8191" spans="1:3">
      <c r="A8191" s="184">
        <v>966300038</v>
      </c>
      <c r="B8191" s="116" t="str">
        <f t="shared" si="127"/>
        <v>96-966300038</v>
      </c>
      <c r="C8191" s="185" t="s">
        <v>12241</v>
      </c>
    </row>
    <row r="8192" spans="1:3">
      <c r="A8192" s="184">
        <v>966200448</v>
      </c>
      <c r="B8192" s="116" t="str">
        <f t="shared" si="127"/>
        <v>96-966200448</v>
      </c>
      <c r="C8192" s="185" t="s">
        <v>12187</v>
      </c>
    </row>
    <row r="8193" spans="1:3">
      <c r="A8193" s="184">
        <v>966200460</v>
      </c>
      <c r="B8193" s="116" t="str">
        <f t="shared" si="127"/>
        <v>96-966200460</v>
      </c>
      <c r="C8193" s="185" t="s">
        <v>12192</v>
      </c>
    </row>
    <row r="8194" spans="1:3">
      <c r="A8194" s="184">
        <v>961700175</v>
      </c>
      <c r="B8194" s="116" t="str">
        <f t="shared" si="127"/>
        <v>96-961700175</v>
      </c>
      <c r="C8194" s="185" t="s">
        <v>13126</v>
      </c>
    </row>
    <row r="8195" spans="1:3">
      <c r="A8195" s="184">
        <v>961700216</v>
      </c>
      <c r="B8195" s="116" t="str">
        <f t="shared" ref="B8195:B8258" si="128">MID(A8195,1,2)&amp;"-"&amp;A8195</f>
        <v>96-961700216</v>
      </c>
      <c r="C8195" s="185" t="s">
        <v>13036</v>
      </c>
    </row>
    <row r="8196" spans="1:3">
      <c r="A8196" s="184">
        <v>966200549</v>
      </c>
      <c r="B8196" s="116" t="str">
        <f t="shared" si="128"/>
        <v>96-966200549</v>
      </c>
      <c r="C8196" s="185" t="s">
        <v>13104</v>
      </c>
    </row>
    <row r="8197" spans="1:3">
      <c r="A8197" s="184">
        <v>966200689</v>
      </c>
      <c r="B8197" s="116" t="str">
        <f t="shared" si="128"/>
        <v>96-966200689</v>
      </c>
      <c r="C8197" s="185" t="s">
        <v>13079</v>
      </c>
    </row>
    <row r="8198" spans="1:3">
      <c r="A8198" s="184">
        <v>966200619</v>
      </c>
      <c r="B8198" s="116" t="str">
        <f t="shared" si="128"/>
        <v>96-966200619</v>
      </c>
      <c r="C8198" s="185" t="s">
        <v>13011</v>
      </c>
    </row>
    <row r="8199" spans="1:3">
      <c r="A8199" s="184">
        <v>966200754</v>
      </c>
      <c r="B8199" s="116" t="str">
        <f t="shared" si="128"/>
        <v>96-966200754</v>
      </c>
      <c r="C8199" s="185" t="s">
        <v>13008</v>
      </c>
    </row>
    <row r="8200" spans="1:3">
      <c r="A8200" s="184">
        <v>964200018</v>
      </c>
      <c r="B8200" s="116" t="str">
        <f t="shared" si="128"/>
        <v>96-964200018</v>
      </c>
      <c r="C8200" s="185" t="s">
        <v>12429</v>
      </c>
    </row>
    <row r="8201" spans="1:3">
      <c r="A8201" s="184">
        <v>964100074</v>
      </c>
      <c r="B8201" s="116" t="str">
        <f t="shared" si="128"/>
        <v>96-964100074</v>
      </c>
      <c r="C8201" s="185" t="s">
        <v>5844</v>
      </c>
    </row>
    <row r="8202" spans="1:3">
      <c r="A8202" s="184">
        <v>964100102</v>
      </c>
      <c r="B8202" s="116" t="str">
        <f t="shared" si="128"/>
        <v>96-964100102</v>
      </c>
      <c r="C8202" s="185" t="s">
        <v>12664</v>
      </c>
    </row>
    <row r="8203" spans="1:3">
      <c r="A8203" s="184">
        <v>964100103</v>
      </c>
      <c r="B8203" s="116" t="str">
        <f t="shared" si="128"/>
        <v>96-964100103</v>
      </c>
      <c r="C8203" s="185" t="s">
        <v>12664</v>
      </c>
    </row>
    <row r="8204" spans="1:3">
      <c r="A8204" s="184">
        <v>964100112</v>
      </c>
      <c r="B8204" s="116" t="str">
        <f t="shared" si="128"/>
        <v>96-964100112</v>
      </c>
      <c r="C8204" s="185" t="s">
        <v>12664</v>
      </c>
    </row>
    <row r="8205" spans="1:3">
      <c r="A8205" s="184">
        <v>964300034</v>
      </c>
      <c r="B8205" s="116" t="str">
        <f t="shared" si="128"/>
        <v>96-964300034</v>
      </c>
      <c r="C8205" s="185" t="s">
        <v>12413</v>
      </c>
    </row>
    <row r="8206" spans="1:3">
      <c r="A8206" s="184">
        <v>964300042</v>
      </c>
      <c r="B8206" s="116" t="str">
        <f t="shared" si="128"/>
        <v>96-964300042</v>
      </c>
      <c r="C8206" s="185" t="s">
        <v>12421</v>
      </c>
    </row>
    <row r="8207" spans="1:3">
      <c r="A8207" s="184">
        <v>964300045</v>
      </c>
      <c r="B8207" s="116" t="str">
        <f t="shared" si="128"/>
        <v>96-964300045</v>
      </c>
      <c r="C8207" s="185" t="s">
        <v>12421</v>
      </c>
    </row>
    <row r="8208" spans="1:3">
      <c r="A8208" s="184">
        <v>966300023</v>
      </c>
      <c r="B8208" s="116" t="str">
        <f t="shared" si="128"/>
        <v>96-966300023</v>
      </c>
      <c r="C8208" s="185" t="s">
        <v>12286</v>
      </c>
    </row>
    <row r="8209" spans="1:3">
      <c r="A8209" s="184">
        <v>966300027</v>
      </c>
      <c r="B8209" s="116" t="str">
        <f t="shared" si="128"/>
        <v>96-966300027</v>
      </c>
      <c r="C8209" s="185" t="s">
        <v>12287</v>
      </c>
    </row>
    <row r="8210" spans="1:3">
      <c r="A8210" s="184">
        <v>962000292</v>
      </c>
      <c r="B8210" s="116" t="str">
        <f t="shared" si="128"/>
        <v>96-962000292</v>
      </c>
      <c r="C8210" s="185" t="s">
        <v>7112</v>
      </c>
    </row>
    <row r="8211" spans="1:3">
      <c r="A8211" s="184">
        <v>966300036</v>
      </c>
      <c r="B8211" s="116" t="str">
        <f t="shared" si="128"/>
        <v>96-966300036</v>
      </c>
      <c r="C8211" s="185" t="s">
        <v>12241</v>
      </c>
    </row>
    <row r="8212" spans="1:3">
      <c r="A8212" s="184">
        <v>966200467</v>
      </c>
      <c r="B8212" s="116" t="str">
        <f t="shared" si="128"/>
        <v>96-966200467</v>
      </c>
      <c r="C8212" s="185" t="s">
        <v>12185</v>
      </c>
    </row>
    <row r="8213" spans="1:3">
      <c r="A8213" s="184">
        <v>966200627</v>
      </c>
      <c r="B8213" s="116" t="str">
        <f t="shared" si="128"/>
        <v>96-966200627</v>
      </c>
      <c r="C8213" s="185" t="s">
        <v>13083</v>
      </c>
    </row>
    <row r="8214" spans="1:3">
      <c r="A8214" s="184">
        <v>966200559</v>
      </c>
      <c r="B8214" s="116" t="str">
        <f t="shared" si="128"/>
        <v>96-966200559</v>
      </c>
      <c r="C8214" s="185" t="s">
        <v>13073</v>
      </c>
    </row>
    <row r="8215" spans="1:3">
      <c r="A8215" s="184">
        <v>964300047</v>
      </c>
      <c r="B8215" s="116" t="str">
        <f t="shared" si="128"/>
        <v>96-964300047</v>
      </c>
      <c r="C8215" s="185" t="s">
        <v>12932</v>
      </c>
    </row>
    <row r="8216" spans="1:3">
      <c r="A8216" s="184">
        <v>964300048</v>
      </c>
      <c r="B8216" s="116" t="str">
        <f t="shared" si="128"/>
        <v>96-964300048</v>
      </c>
      <c r="C8216" s="185" t="s">
        <v>12932</v>
      </c>
    </row>
    <row r="8217" spans="1:3">
      <c r="A8217" s="184">
        <v>964100075</v>
      </c>
      <c r="B8217" s="116" t="str">
        <f t="shared" si="128"/>
        <v>96-964100075</v>
      </c>
      <c r="C8217" s="185" t="s">
        <v>7124</v>
      </c>
    </row>
    <row r="8218" spans="1:3">
      <c r="A8218" s="184">
        <v>964100079</v>
      </c>
      <c r="B8218" s="116" t="str">
        <f t="shared" si="128"/>
        <v>96-964100079</v>
      </c>
      <c r="C8218" s="185" t="s">
        <v>9911</v>
      </c>
    </row>
    <row r="8219" spans="1:3">
      <c r="A8219" s="184">
        <v>964100108</v>
      </c>
      <c r="B8219" s="116" t="str">
        <f t="shared" si="128"/>
        <v>96-964100108</v>
      </c>
      <c r="C8219" s="185" t="s">
        <v>12664</v>
      </c>
    </row>
    <row r="8220" spans="1:3">
      <c r="A8220" s="184">
        <v>964100117</v>
      </c>
      <c r="B8220" s="116" t="str">
        <f t="shared" si="128"/>
        <v>96-964100117</v>
      </c>
      <c r="C8220" s="185" t="s">
        <v>12930</v>
      </c>
    </row>
    <row r="8221" spans="1:3">
      <c r="A8221" s="184">
        <v>964100083</v>
      </c>
      <c r="B8221" s="116" t="str">
        <f t="shared" si="128"/>
        <v>96-964100083</v>
      </c>
      <c r="C8221" s="185" t="s">
        <v>9779</v>
      </c>
    </row>
    <row r="8222" spans="1:3">
      <c r="A8222" s="184">
        <v>964300038</v>
      </c>
      <c r="B8222" s="116" t="str">
        <f t="shared" si="128"/>
        <v>96-964300038</v>
      </c>
      <c r="C8222" s="185" t="s">
        <v>12421</v>
      </c>
    </row>
    <row r="8223" spans="1:3">
      <c r="A8223" s="184">
        <v>961700183</v>
      </c>
      <c r="B8223" s="116" t="str">
        <f t="shared" si="128"/>
        <v>96-961700183</v>
      </c>
      <c r="C8223" s="185" t="s">
        <v>13018</v>
      </c>
    </row>
    <row r="8224" spans="1:3">
      <c r="A8224" s="184">
        <v>961700226</v>
      </c>
      <c r="B8224" s="116" t="str">
        <f t="shared" si="128"/>
        <v>96-961700226</v>
      </c>
      <c r="C8224" s="185" t="s">
        <v>13018</v>
      </c>
    </row>
    <row r="8225" spans="1:3">
      <c r="A8225" s="184">
        <v>966300029</v>
      </c>
      <c r="B8225" s="116" t="str">
        <f t="shared" si="128"/>
        <v>96-966300029</v>
      </c>
      <c r="C8225" s="185" t="s">
        <v>12293</v>
      </c>
    </row>
    <row r="8226" spans="1:3">
      <c r="A8226" s="184">
        <v>966200670</v>
      </c>
      <c r="B8226" s="116" t="str">
        <f t="shared" si="128"/>
        <v>96-966200670</v>
      </c>
      <c r="C8226" s="185" t="s">
        <v>13058</v>
      </c>
    </row>
    <row r="8227" spans="1:3">
      <c r="A8227" s="184">
        <v>961700215</v>
      </c>
      <c r="B8227" s="116" t="str">
        <f t="shared" si="128"/>
        <v>96-961700215</v>
      </c>
      <c r="C8227" s="185" t="s">
        <v>13127</v>
      </c>
    </row>
    <row r="8228" spans="1:3">
      <c r="A8228" s="184">
        <v>962500170</v>
      </c>
      <c r="B8228" s="116" t="str">
        <f t="shared" si="128"/>
        <v>96-962500170</v>
      </c>
      <c r="C8228" s="185" t="s">
        <v>9769</v>
      </c>
    </row>
    <row r="8229" spans="1:3">
      <c r="A8229" s="184">
        <v>962500183</v>
      </c>
      <c r="B8229" s="116" t="str">
        <f t="shared" si="128"/>
        <v>96-962500183</v>
      </c>
      <c r="C8229" s="185" t="s">
        <v>9763</v>
      </c>
    </row>
    <row r="8230" spans="1:3">
      <c r="A8230" s="184">
        <v>961900192</v>
      </c>
      <c r="B8230" s="116" t="str">
        <f t="shared" si="128"/>
        <v>96-961900192</v>
      </c>
      <c r="C8230" s="185" t="s">
        <v>13128</v>
      </c>
    </row>
    <row r="8231" spans="1:3">
      <c r="A8231" s="184">
        <v>962500198</v>
      </c>
      <c r="B8231" s="116" t="str">
        <f t="shared" si="128"/>
        <v>96-962500198</v>
      </c>
      <c r="C8231" s="185" t="s">
        <v>12444</v>
      </c>
    </row>
    <row r="8232" spans="1:3">
      <c r="A8232" s="184">
        <v>962500206</v>
      </c>
      <c r="B8232" s="116" t="str">
        <f t="shared" si="128"/>
        <v>96-962500206</v>
      </c>
      <c r="C8232" s="185" t="s">
        <v>12444</v>
      </c>
    </row>
    <row r="8233" spans="1:3">
      <c r="A8233" s="184">
        <v>962000370</v>
      </c>
      <c r="B8233" s="116" t="str">
        <f t="shared" si="128"/>
        <v>96-962000370</v>
      </c>
      <c r="C8233" s="185" t="s">
        <v>12208</v>
      </c>
    </row>
    <row r="8234" spans="1:3">
      <c r="A8234" s="184">
        <v>966200686</v>
      </c>
      <c r="B8234" s="116" t="str">
        <f t="shared" si="128"/>
        <v>96-966200686</v>
      </c>
      <c r="C8234" s="185" t="s">
        <v>13129</v>
      </c>
    </row>
    <row r="8235" spans="1:3">
      <c r="A8235" s="184">
        <v>961600023</v>
      </c>
      <c r="B8235" s="116" t="str">
        <f t="shared" si="128"/>
        <v>96-961600023</v>
      </c>
      <c r="C8235" s="185" t="s">
        <v>13103</v>
      </c>
    </row>
    <row r="8236" spans="1:3">
      <c r="A8236" s="184">
        <v>961700238</v>
      </c>
      <c r="B8236" s="116" t="str">
        <f t="shared" si="128"/>
        <v>96-961700238</v>
      </c>
      <c r="C8236" s="185" t="s">
        <v>13028</v>
      </c>
    </row>
    <row r="8237" spans="1:3">
      <c r="A8237" s="184">
        <v>961700240</v>
      </c>
      <c r="B8237" s="116" t="str">
        <f t="shared" si="128"/>
        <v>96-961700240</v>
      </c>
      <c r="C8237" s="185" t="s">
        <v>13028</v>
      </c>
    </row>
    <row r="8238" spans="1:3">
      <c r="A8238" s="184">
        <v>961700243</v>
      </c>
      <c r="B8238" s="116" t="str">
        <f t="shared" si="128"/>
        <v>96-961700243</v>
      </c>
      <c r="C8238" s="185" t="s">
        <v>13028</v>
      </c>
    </row>
    <row r="8239" spans="1:3">
      <c r="A8239" s="184">
        <v>961700247</v>
      </c>
      <c r="B8239" s="116" t="str">
        <f t="shared" si="128"/>
        <v>96-961700247</v>
      </c>
      <c r="C8239" s="185" t="s">
        <v>13028</v>
      </c>
    </row>
    <row r="8240" spans="1:3">
      <c r="A8240" s="184">
        <v>966200722</v>
      </c>
      <c r="B8240" s="116" t="str">
        <f t="shared" si="128"/>
        <v>96-966200722</v>
      </c>
      <c r="C8240" s="185" t="s">
        <v>13013</v>
      </c>
    </row>
    <row r="8241" spans="1:3">
      <c r="A8241" s="184">
        <v>962000480</v>
      </c>
      <c r="B8241" s="116" t="str">
        <f t="shared" si="128"/>
        <v>96-962000480</v>
      </c>
      <c r="C8241" s="185" t="s">
        <v>12184</v>
      </c>
    </row>
    <row r="8242" spans="1:3">
      <c r="A8242" s="184">
        <v>961700161</v>
      </c>
      <c r="B8242" s="116" t="str">
        <f t="shared" si="128"/>
        <v>96-961700161</v>
      </c>
      <c r="C8242" s="185" t="s">
        <v>12194</v>
      </c>
    </row>
    <row r="8243" spans="1:3">
      <c r="A8243" s="184">
        <v>961700220</v>
      </c>
      <c r="B8243" s="116" t="str">
        <f t="shared" si="128"/>
        <v>96-961700220</v>
      </c>
      <c r="C8243" s="185" t="s">
        <v>13130</v>
      </c>
    </row>
    <row r="8244" spans="1:3">
      <c r="A8244" s="184">
        <v>962000471</v>
      </c>
      <c r="B8244" s="116" t="str">
        <f t="shared" si="128"/>
        <v>96-962000471</v>
      </c>
      <c r="C8244" s="185" t="s">
        <v>12184</v>
      </c>
    </row>
    <row r="8245" spans="1:3">
      <c r="A8245" s="184">
        <v>962000435</v>
      </c>
      <c r="B8245" s="116" t="str">
        <f t="shared" si="128"/>
        <v>96-962000435</v>
      </c>
      <c r="C8245" s="185" t="s">
        <v>12184</v>
      </c>
    </row>
    <row r="8246" spans="1:3">
      <c r="A8246" s="184">
        <v>962000423</v>
      </c>
      <c r="B8246" s="116" t="str">
        <f t="shared" si="128"/>
        <v>96-962000423</v>
      </c>
      <c r="C8246" s="185" t="s">
        <v>12184</v>
      </c>
    </row>
    <row r="8247" spans="1:3">
      <c r="A8247" s="184">
        <v>962000421</v>
      </c>
      <c r="B8247" s="116" t="str">
        <f t="shared" si="128"/>
        <v>96-962000421</v>
      </c>
      <c r="C8247" s="185" t="s">
        <v>12184</v>
      </c>
    </row>
    <row r="8248" spans="1:3">
      <c r="A8248" s="184">
        <v>962000442</v>
      </c>
      <c r="B8248" s="116" t="str">
        <f t="shared" si="128"/>
        <v>96-962000442</v>
      </c>
      <c r="C8248" s="185" t="s">
        <v>12184</v>
      </c>
    </row>
    <row r="8249" spans="1:3">
      <c r="A8249" s="184">
        <v>966200560</v>
      </c>
      <c r="B8249" s="116" t="str">
        <f t="shared" si="128"/>
        <v>96-966200560</v>
      </c>
      <c r="C8249" s="185" t="s">
        <v>13131</v>
      </c>
    </row>
    <row r="8250" spans="1:3">
      <c r="A8250" s="184">
        <v>962000472</v>
      </c>
      <c r="B8250" s="116" t="str">
        <f t="shared" si="128"/>
        <v>96-962000472</v>
      </c>
      <c r="C8250" s="185" t="s">
        <v>12184</v>
      </c>
    </row>
    <row r="8251" spans="1:3">
      <c r="A8251" s="184">
        <v>961100117</v>
      </c>
      <c r="B8251" s="116" t="str">
        <f t="shared" si="128"/>
        <v>96-961100117</v>
      </c>
      <c r="C8251" s="185" t="s">
        <v>13132</v>
      </c>
    </row>
    <row r="8252" spans="1:3">
      <c r="A8252" s="184">
        <v>962000411</v>
      </c>
      <c r="B8252" s="116" t="str">
        <f t="shared" si="128"/>
        <v>96-962000411</v>
      </c>
      <c r="C8252" s="185" t="s">
        <v>12184</v>
      </c>
    </row>
    <row r="8253" spans="1:3">
      <c r="A8253" s="184">
        <v>962000380</v>
      </c>
      <c r="B8253" s="116" t="str">
        <f t="shared" si="128"/>
        <v>96-962000380</v>
      </c>
      <c r="C8253" s="185" t="s">
        <v>12208</v>
      </c>
    </row>
    <row r="8254" spans="1:3">
      <c r="A8254" s="184">
        <v>961900198</v>
      </c>
      <c r="B8254" s="116" t="str">
        <f t="shared" si="128"/>
        <v>96-961900198</v>
      </c>
      <c r="C8254" s="185" t="s">
        <v>12201</v>
      </c>
    </row>
    <row r="8255" spans="1:3">
      <c r="A8255" s="184">
        <v>961900194</v>
      </c>
      <c r="B8255" s="116" t="str">
        <f t="shared" si="128"/>
        <v>96-961900194</v>
      </c>
      <c r="C8255" s="185" t="s">
        <v>13053</v>
      </c>
    </row>
    <row r="8256" spans="1:3">
      <c r="A8256" s="184">
        <v>962500224</v>
      </c>
      <c r="B8256" s="116" t="str">
        <f t="shared" si="128"/>
        <v>96-962500224</v>
      </c>
      <c r="C8256" s="185" t="s">
        <v>12942</v>
      </c>
    </row>
    <row r="8257" spans="1:3">
      <c r="A8257" s="184">
        <v>962000464</v>
      </c>
      <c r="B8257" s="116" t="str">
        <f t="shared" si="128"/>
        <v>96-962000464</v>
      </c>
      <c r="C8257" s="185" t="s">
        <v>12184</v>
      </c>
    </row>
    <row r="8258" spans="1:3">
      <c r="A8258" s="184">
        <v>962000459</v>
      </c>
      <c r="B8258" s="116" t="str">
        <f t="shared" si="128"/>
        <v>96-962000459</v>
      </c>
      <c r="C8258" s="185" t="s">
        <v>12184</v>
      </c>
    </row>
    <row r="8259" spans="1:3">
      <c r="A8259" s="184">
        <v>962000290</v>
      </c>
      <c r="B8259" s="116" t="str">
        <f t="shared" ref="B8259:B8322" si="129">MID(A8259,1,2)&amp;"-"&amp;A8259</f>
        <v>96-962000290</v>
      </c>
      <c r="C8259" s="185" t="s">
        <v>7112</v>
      </c>
    </row>
    <row r="8260" spans="1:3">
      <c r="A8260" s="184">
        <v>961900201</v>
      </c>
      <c r="B8260" s="116" t="str">
        <f t="shared" si="129"/>
        <v>96-961900201</v>
      </c>
      <c r="C8260" s="185" t="s">
        <v>13048</v>
      </c>
    </row>
    <row r="8261" spans="1:3">
      <c r="A8261" s="184">
        <v>961200134</v>
      </c>
      <c r="B8261" s="116" t="str">
        <f t="shared" si="129"/>
        <v>96-961200134</v>
      </c>
      <c r="C8261" s="185" t="s">
        <v>9765</v>
      </c>
    </row>
    <row r="8262" spans="1:3">
      <c r="A8262" s="184">
        <v>961200138</v>
      </c>
      <c r="B8262" s="116" t="str">
        <f t="shared" si="129"/>
        <v>96-961200138</v>
      </c>
      <c r="C8262" s="185" t="s">
        <v>9765</v>
      </c>
    </row>
    <row r="8263" spans="1:3">
      <c r="A8263" s="184">
        <v>972500003</v>
      </c>
      <c r="B8263" s="116" t="str">
        <f t="shared" si="129"/>
        <v>97-972500003</v>
      </c>
      <c r="C8263" s="185" t="s">
        <v>12942</v>
      </c>
    </row>
    <row r="8264" spans="1:3">
      <c r="A8264" s="184">
        <v>962500189</v>
      </c>
      <c r="B8264" s="116" t="str">
        <f t="shared" si="129"/>
        <v>96-962500189</v>
      </c>
      <c r="C8264" s="185" t="s">
        <v>12195</v>
      </c>
    </row>
    <row r="8265" spans="1:3">
      <c r="A8265" s="184">
        <v>962500201</v>
      </c>
      <c r="B8265" s="116" t="str">
        <f t="shared" si="129"/>
        <v>96-962500201</v>
      </c>
      <c r="C8265" s="185" t="s">
        <v>12195</v>
      </c>
    </row>
    <row r="8266" spans="1:3">
      <c r="A8266" s="184">
        <v>962500228</v>
      </c>
      <c r="B8266" s="116" t="str">
        <f t="shared" si="129"/>
        <v>96-962500228</v>
      </c>
      <c r="C8266" s="185" t="s">
        <v>12667</v>
      </c>
    </row>
    <row r="8267" spans="1:3">
      <c r="A8267" s="184">
        <v>962500175</v>
      </c>
      <c r="B8267" s="116" t="str">
        <f t="shared" si="129"/>
        <v>96-962500175</v>
      </c>
      <c r="C8267" s="185" t="s">
        <v>12119</v>
      </c>
    </row>
    <row r="8268" spans="1:3">
      <c r="A8268" s="184">
        <v>962200104</v>
      </c>
      <c r="B8268" s="116" t="str">
        <f t="shared" si="129"/>
        <v>96-962200104</v>
      </c>
      <c r="C8268" s="185" t="s">
        <v>12423</v>
      </c>
    </row>
    <row r="8269" spans="1:3">
      <c r="A8269" s="184">
        <v>972500007</v>
      </c>
      <c r="B8269" s="116" t="str">
        <f t="shared" si="129"/>
        <v>97-972500007</v>
      </c>
      <c r="C8269" s="185" t="s">
        <v>13069</v>
      </c>
    </row>
    <row r="8270" spans="1:3">
      <c r="A8270" s="184">
        <v>962000287</v>
      </c>
      <c r="B8270" s="116" t="str">
        <f t="shared" si="129"/>
        <v>96-962000287</v>
      </c>
      <c r="C8270" s="185" t="s">
        <v>7112</v>
      </c>
    </row>
    <row r="8271" spans="1:3">
      <c r="A8271" s="184">
        <v>962000294</v>
      </c>
      <c r="B8271" s="116" t="str">
        <f t="shared" si="129"/>
        <v>96-962000294</v>
      </c>
      <c r="C8271" s="185" t="s">
        <v>7112</v>
      </c>
    </row>
    <row r="8272" spans="1:3">
      <c r="A8272" s="184">
        <v>962000382</v>
      </c>
      <c r="B8272" s="116" t="str">
        <f t="shared" si="129"/>
        <v>96-962000382</v>
      </c>
      <c r="C8272" s="185" t="s">
        <v>12184</v>
      </c>
    </row>
    <row r="8273" spans="1:3">
      <c r="A8273" s="184">
        <v>966100023</v>
      </c>
      <c r="B8273" s="116" t="str">
        <f t="shared" si="129"/>
        <v>96-966100023</v>
      </c>
      <c r="C8273" s="185" t="s">
        <v>13133</v>
      </c>
    </row>
    <row r="8274" spans="1:3">
      <c r="A8274" s="184">
        <v>961700169</v>
      </c>
      <c r="B8274" s="116" t="str">
        <f t="shared" si="129"/>
        <v>96-961700169</v>
      </c>
      <c r="C8274" s="185" t="s">
        <v>13097</v>
      </c>
    </row>
    <row r="8275" spans="1:3">
      <c r="A8275" s="184">
        <v>962000415</v>
      </c>
      <c r="B8275" s="116" t="str">
        <f t="shared" si="129"/>
        <v>96-962000415</v>
      </c>
      <c r="C8275" s="185" t="s">
        <v>12184</v>
      </c>
    </row>
    <row r="8276" spans="1:3">
      <c r="A8276" s="184">
        <v>964200015</v>
      </c>
      <c r="B8276" s="116" t="str">
        <f t="shared" si="129"/>
        <v>96-964200015</v>
      </c>
      <c r="C8276" s="185" t="s">
        <v>12429</v>
      </c>
    </row>
    <row r="8277" spans="1:3">
      <c r="A8277" s="184">
        <v>964200033</v>
      </c>
      <c r="B8277" s="116" t="str">
        <f t="shared" si="129"/>
        <v>96-964200033</v>
      </c>
      <c r="C8277" s="185" t="s">
        <v>12668</v>
      </c>
    </row>
    <row r="8278" spans="1:3">
      <c r="A8278" s="184">
        <v>964200008</v>
      </c>
      <c r="B8278" s="116" t="str">
        <f t="shared" si="129"/>
        <v>96-964200008</v>
      </c>
      <c r="C8278" s="185" t="s">
        <v>9912</v>
      </c>
    </row>
    <row r="8279" spans="1:3">
      <c r="A8279" s="184">
        <v>964200009</v>
      </c>
      <c r="B8279" s="116" t="str">
        <f t="shared" si="129"/>
        <v>96-964200009</v>
      </c>
      <c r="C8279" s="185" t="s">
        <v>9912</v>
      </c>
    </row>
    <row r="8280" spans="1:3">
      <c r="A8280" s="184">
        <v>961100126</v>
      </c>
      <c r="B8280" s="116" t="str">
        <f t="shared" si="129"/>
        <v>96-961100126</v>
      </c>
      <c r="C8280" s="185" t="s">
        <v>13134</v>
      </c>
    </row>
    <row r="8281" spans="1:3">
      <c r="A8281" s="184">
        <v>966200422</v>
      </c>
      <c r="B8281" s="116" t="str">
        <f t="shared" si="129"/>
        <v>96-966200422</v>
      </c>
      <c r="C8281" s="185" t="s">
        <v>12236</v>
      </c>
    </row>
    <row r="8282" spans="1:3">
      <c r="A8282" s="184">
        <v>966200705</v>
      </c>
      <c r="B8282" s="116" t="str">
        <f t="shared" si="129"/>
        <v>96-966200705</v>
      </c>
      <c r="C8282" s="185" t="s">
        <v>13020</v>
      </c>
    </row>
    <row r="8283" spans="1:3">
      <c r="A8283" s="184">
        <v>966200484</v>
      </c>
      <c r="B8283" s="116" t="str">
        <f t="shared" si="129"/>
        <v>96-966200484</v>
      </c>
      <c r="C8283" s="185" t="s">
        <v>12185</v>
      </c>
    </row>
    <row r="8284" spans="1:3">
      <c r="A8284" s="184">
        <v>966200723</v>
      </c>
      <c r="B8284" s="116" t="str">
        <f t="shared" si="129"/>
        <v>96-966200723</v>
      </c>
      <c r="C8284" s="185" t="s">
        <v>13020</v>
      </c>
    </row>
    <row r="8285" spans="1:3">
      <c r="A8285" s="184">
        <v>966200430</v>
      </c>
      <c r="B8285" s="116" t="str">
        <f t="shared" si="129"/>
        <v>96-966200430</v>
      </c>
      <c r="C8285" s="185" t="s">
        <v>12236</v>
      </c>
    </row>
    <row r="8286" spans="1:3">
      <c r="A8286" s="184">
        <v>966200477</v>
      </c>
      <c r="B8286" s="116" t="str">
        <f t="shared" si="129"/>
        <v>96-966200477</v>
      </c>
      <c r="C8286" s="185" t="s">
        <v>12185</v>
      </c>
    </row>
    <row r="8287" spans="1:3">
      <c r="A8287" s="184">
        <v>966000047</v>
      </c>
      <c r="B8287" s="116" t="str">
        <f t="shared" si="129"/>
        <v>96-966000047</v>
      </c>
      <c r="C8287" s="185" t="s">
        <v>13135</v>
      </c>
    </row>
    <row r="8288" spans="1:3">
      <c r="A8288" s="184">
        <v>966200597</v>
      </c>
      <c r="B8288" s="116" t="str">
        <f t="shared" si="129"/>
        <v>96-966200597</v>
      </c>
      <c r="C8288" s="185" t="s">
        <v>13011</v>
      </c>
    </row>
    <row r="8289" spans="1:3">
      <c r="A8289" s="184">
        <v>966200445</v>
      </c>
      <c r="B8289" s="116" t="str">
        <f t="shared" si="129"/>
        <v>96-966200445</v>
      </c>
      <c r="C8289" s="185" t="s">
        <v>12187</v>
      </c>
    </row>
    <row r="8290" spans="1:3">
      <c r="A8290" s="184">
        <v>966200461</v>
      </c>
      <c r="B8290" s="116" t="str">
        <f t="shared" si="129"/>
        <v>96-966200461</v>
      </c>
      <c r="C8290" s="185" t="s">
        <v>12185</v>
      </c>
    </row>
    <row r="8291" spans="1:3">
      <c r="A8291" s="184">
        <v>966200612</v>
      </c>
      <c r="B8291" s="116" t="str">
        <f t="shared" si="129"/>
        <v>96-966200612</v>
      </c>
      <c r="C8291" s="185" t="s">
        <v>13011</v>
      </c>
    </row>
    <row r="8292" spans="1:3">
      <c r="A8292" s="184">
        <v>966300025</v>
      </c>
      <c r="B8292" s="116" t="str">
        <f t="shared" si="129"/>
        <v>96-966300025</v>
      </c>
      <c r="C8292" s="185" t="s">
        <v>12243</v>
      </c>
    </row>
    <row r="8293" spans="1:3">
      <c r="A8293" s="184">
        <v>966300055</v>
      </c>
      <c r="B8293" s="116" t="str">
        <f t="shared" si="129"/>
        <v>96-966300055</v>
      </c>
      <c r="C8293" s="185" t="s">
        <v>12435</v>
      </c>
    </row>
    <row r="8294" spans="1:3">
      <c r="A8294" s="184">
        <v>966300072</v>
      </c>
      <c r="B8294" s="116" t="str">
        <f t="shared" si="129"/>
        <v>96-966300072</v>
      </c>
      <c r="C8294" s="185" t="s">
        <v>13085</v>
      </c>
    </row>
    <row r="8295" spans="1:3">
      <c r="A8295" s="184">
        <v>961500998</v>
      </c>
      <c r="B8295" s="116" t="str">
        <f t="shared" si="129"/>
        <v>96-961500998</v>
      </c>
      <c r="C8295" s="185" t="s">
        <v>12677</v>
      </c>
    </row>
    <row r="8296" spans="1:3">
      <c r="A8296" s="184">
        <v>966300074</v>
      </c>
      <c r="B8296" s="116" t="str">
        <f t="shared" si="129"/>
        <v>96-966300074</v>
      </c>
      <c r="C8296" s="185" t="s">
        <v>13085</v>
      </c>
    </row>
    <row r="8297" spans="1:3">
      <c r="A8297" s="184">
        <v>966200533</v>
      </c>
      <c r="B8297" s="116" t="str">
        <f t="shared" si="129"/>
        <v>96-966200533</v>
      </c>
      <c r="C8297" s="185" t="s">
        <v>12412</v>
      </c>
    </row>
    <row r="8298" spans="1:3">
      <c r="A8298" s="184">
        <v>966200485</v>
      </c>
      <c r="B8298" s="116" t="str">
        <f t="shared" si="129"/>
        <v>96-966200485</v>
      </c>
      <c r="C8298" s="185" t="s">
        <v>12185</v>
      </c>
    </row>
    <row r="8299" spans="1:3">
      <c r="A8299" s="184">
        <v>962000358</v>
      </c>
      <c r="B8299" s="116" t="str">
        <f t="shared" si="129"/>
        <v>96-962000358</v>
      </c>
      <c r="C8299" s="185" t="s">
        <v>12184</v>
      </c>
    </row>
    <row r="8300" spans="1:3">
      <c r="A8300" s="184">
        <v>966200707</v>
      </c>
      <c r="B8300" s="116" t="str">
        <f t="shared" si="129"/>
        <v>96-966200707</v>
      </c>
      <c r="C8300" s="185" t="s">
        <v>13020</v>
      </c>
    </row>
    <row r="8301" spans="1:3">
      <c r="A8301" s="184">
        <v>961100127</v>
      </c>
      <c r="B8301" s="116" t="str">
        <f t="shared" si="129"/>
        <v>96-961100127</v>
      </c>
      <c r="C8301" s="185" t="s">
        <v>13134</v>
      </c>
    </row>
    <row r="8302" spans="1:3">
      <c r="A8302" s="184">
        <v>966200503</v>
      </c>
      <c r="B8302" s="116" t="str">
        <f t="shared" si="129"/>
        <v>96-966200503</v>
      </c>
      <c r="C8302" s="185" t="s">
        <v>12415</v>
      </c>
    </row>
    <row r="8303" spans="1:3">
      <c r="A8303" s="184">
        <v>966200581</v>
      </c>
      <c r="B8303" s="116" t="str">
        <f t="shared" si="129"/>
        <v>96-966200581</v>
      </c>
      <c r="C8303" s="185" t="s">
        <v>13078</v>
      </c>
    </row>
    <row r="8304" spans="1:3">
      <c r="A8304" s="184">
        <v>966200553</v>
      </c>
      <c r="B8304" s="116" t="str">
        <f t="shared" si="129"/>
        <v>96-966200553</v>
      </c>
      <c r="C8304" s="185" t="s">
        <v>13073</v>
      </c>
    </row>
    <row r="8305" spans="1:3">
      <c r="A8305" s="184">
        <v>966200655</v>
      </c>
      <c r="B8305" s="116" t="str">
        <f t="shared" si="129"/>
        <v>96-966200655</v>
      </c>
      <c r="C8305" s="185" t="s">
        <v>13017</v>
      </c>
    </row>
    <row r="8306" spans="1:3">
      <c r="A8306" s="184">
        <v>962000295</v>
      </c>
      <c r="B8306" s="116" t="str">
        <f t="shared" si="129"/>
        <v>96-962000295</v>
      </c>
      <c r="C8306" s="185" t="s">
        <v>7112</v>
      </c>
    </row>
    <row r="8307" spans="1:3">
      <c r="A8307" s="184">
        <v>966200629</v>
      </c>
      <c r="B8307" s="116" t="str">
        <f t="shared" si="129"/>
        <v>96-966200629</v>
      </c>
      <c r="C8307" s="185" t="s">
        <v>13083</v>
      </c>
    </row>
    <row r="8308" spans="1:3">
      <c r="A8308" s="184">
        <v>966200420</v>
      </c>
      <c r="B8308" s="116" t="str">
        <f t="shared" si="129"/>
        <v>96-966200420</v>
      </c>
      <c r="C8308" s="185" t="s">
        <v>12224</v>
      </c>
    </row>
    <row r="8309" spans="1:3">
      <c r="A8309" s="184">
        <v>966200618</v>
      </c>
      <c r="B8309" s="116" t="str">
        <f t="shared" si="129"/>
        <v>96-966200618</v>
      </c>
      <c r="C8309" s="185" t="s">
        <v>13011</v>
      </c>
    </row>
    <row r="8310" spans="1:3">
      <c r="A8310" s="184">
        <v>966300039</v>
      </c>
      <c r="B8310" s="116" t="str">
        <f t="shared" si="129"/>
        <v>96-966300039</v>
      </c>
      <c r="C8310" s="185" t="s">
        <v>12246</v>
      </c>
    </row>
    <row r="8311" spans="1:3">
      <c r="A8311" s="184">
        <v>966300041</v>
      </c>
      <c r="B8311" s="116" t="str">
        <f t="shared" si="129"/>
        <v>96-966300041</v>
      </c>
      <c r="C8311" s="185" t="s">
        <v>12246</v>
      </c>
    </row>
    <row r="8312" spans="1:3">
      <c r="A8312" s="184">
        <v>966300053</v>
      </c>
      <c r="B8312" s="116" t="str">
        <f t="shared" si="129"/>
        <v>96-966300053</v>
      </c>
      <c r="C8312" s="185" t="s">
        <v>12436</v>
      </c>
    </row>
    <row r="8313" spans="1:3">
      <c r="A8313" s="184">
        <v>966200703</v>
      </c>
      <c r="B8313" s="116" t="str">
        <f t="shared" si="129"/>
        <v>96-966200703</v>
      </c>
      <c r="C8313" s="185" t="s">
        <v>13015</v>
      </c>
    </row>
    <row r="8314" spans="1:3">
      <c r="A8314" s="184">
        <v>964300036</v>
      </c>
      <c r="B8314" s="116" t="str">
        <f t="shared" si="129"/>
        <v>96-964300036</v>
      </c>
      <c r="C8314" s="185" t="s">
        <v>12421</v>
      </c>
    </row>
    <row r="8315" spans="1:3">
      <c r="A8315" s="184">
        <v>964100073</v>
      </c>
      <c r="B8315" s="116" t="str">
        <f t="shared" si="129"/>
        <v>96-964100073</v>
      </c>
      <c r="C8315" s="185" t="s">
        <v>7124</v>
      </c>
    </row>
    <row r="8316" spans="1:3">
      <c r="A8316" s="184">
        <v>964100087</v>
      </c>
      <c r="B8316" s="116" t="str">
        <f t="shared" si="129"/>
        <v>96-964100087</v>
      </c>
      <c r="C8316" s="185" t="s">
        <v>9911</v>
      </c>
    </row>
    <row r="8317" spans="1:3">
      <c r="A8317" s="184">
        <v>964100116</v>
      </c>
      <c r="B8317" s="116" t="str">
        <f t="shared" si="129"/>
        <v>96-964100116</v>
      </c>
      <c r="C8317" s="185" t="s">
        <v>12930</v>
      </c>
    </row>
    <row r="8318" spans="1:3">
      <c r="A8318" s="184">
        <v>964100118</v>
      </c>
      <c r="B8318" s="116" t="str">
        <f t="shared" si="129"/>
        <v>96-964100118</v>
      </c>
      <c r="C8318" s="185" t="s">
        <v>12930</v>
      </c>
    </row>
    <row r="8319" spans="1:3">
      <c r="A8319" s="184">
        <v>964100119</v>
      </c>
      <c r="B8319" s="116" t="str">
        <f t="shared" si="129"/>
        <v>96-964100119</v>
      </c>
      <c r="C8319" s="185" t="s">
        <v>12930</v>
      </c>
    </row>
    <row r="8320" spans="1:3">
      <c r="A8320" s="184">
        <v>964300035</v>
      </c>
      <c r="B8320" s="116" t="str">
        <f t="shared" si="129"/>
        <v>96-964300035</v>
      </c>
      <c r="C8320" s="185" t="s">
        <v>12413</v>
      </c>
    </row>
    <row r="8321" spans="1:3">
      <c r="A8321" s="184">
        <v>964300044</v>
      </c>
      <c r="B8321" s="116" t="str">
        <f t="shared" si="129"/>
        <v>96-964300044</v>
      </c>
      <c r="C8321" s="185" t="s">
        <v>12683</v>
      </c>
    </row>
    <row r="8322" spans="1:3">
      <c r="A8322" s="184">
        <v>966200678</v>
      </c>
      <c r="B8322" s="116" t="str">
        <f t="shared" si="129"/>
        <v>96-966200678</v>
      </c>
      <c r="C8322" s="185" t="s">
        <v>13058</v>
      </c>
    </row>
    <row r="8323" spans="1:3">
      <c r="A8323" s="184">
        <v>961700173</v>
      </c>
      <c r="B8323" s="116" t="str">
        <f t="shared" ref="B8323:B8386" si="130">MID(A8323,1,2)&amp;"-"&amp;A8323</f>
        <v>96-961700173</v>
      </c>
      <c r="C8323" s="185" t="s">
        <v>13136</v>
      </c>
    </row>
    <row r="8324" spans="1:3">
      <c r="A8324" s="184">
        <v>962200087</v>
      </c>
      <c r="B8324" s="116" t="str">
        <f t="shared" si="130"/>
        <v>96-962200087</v>
      </c>
      <c r="C8324" s="185" t="s">
        <v>9765</v>
      </c>
    </row>
    <row r="8325" spans="1:3">
      <c r="A8325" s="184">
        <v>961100115</v>
      </c>
      <c r="B8325" s="116" t="str">
        <f t="shared" si="130"/>
        <v>96-961100115</v>
      </c>
      <c r="C8325" s="185" t="s">
        <v>12420</v>
      </c>
    </row>
    <row r="8326" spans="1:3">
      <c r="A8326" s="184">
        <v>966200667</v>
      </c>
      <c r="B8326" s="116" t="str">
        <f t="shared" si="130"/>
        <v>96-966200667</v>
      </c>
      <c r="C8326" s="185" t="s">
        <v>13058</v>
      </c>
    </row>
    <row r="8327" spans="1:3">
      <c r="A8327" s="184">
        <v>961700219</v>
      </c>
      <c r="B8327" s="116" t="str">
        <f t="shared" si="130"/>
        <v>96-961700219</v>
      </c>
      <c r="C8327" s="185" t="s">
        <v>13130</v>
      </c>
    </row>
    <row r="8328" spans="1:3">
      <c r="A8328" s="184">
        <v>962200089</v>
      </c>
      <c r="B8328" s="116" t="str">
        <f t="shared" si="130"/>
        <v>96-962200089</v>
      </c>
      <c r="C8328" s="185" t="s">
        <v>9765</v>
      </c>
    </row>
    <row r="8329" spans="1:3">
      <c r="A8329" s="184">
        <v>962200093</v>
      </c>
      <c r="B8329" s="116" t="str">
        <f t="shared" si="130"/>
        <v>96-962200093</v>
      </c>
      <c r="C8329" s="185" t="s">
        <v>12197</v>
      </c>
    </row>
    <row r="8330" spans="1:3">
      <c r="A8330" s="184">
        <v>962200096</v>
      </c>
      <c r="B8330" s="116" t="str">
        <f t="shared" si="130"/>
        <v>96-962200096</v>
      </c>
      <c r="C8330" s="185" t="s">
        <v>12423</v>
      </c>
    </row>
    <row r="8331" spans="1:3">
      <c r="A8331" s="184">
        <v>962200099</v>
      </c>
      <c r="B8331" s="116" t="str">
        <f t="shared" si="130"/>
        <v>96-962200099</v>
      </c>
      <c r="C8331" s="185" t="s">
        <v>12423</v>
      </c>
    </row>
    <row r="8332" spans="1:3">
      <c r="A8332" s="184">
        <v>962200101</v>
      </c>
      <c r="B8332" s="116" t="str">
        <f t="shared" si="130"/>
        <v>96-962200101</v>
      </c>
      <c r="C8332" s="185" t="s">
        <v>12423</v>
      </c>
    </row>
    <row r="8333" spans="1:3">
      <c r="A8333" s="184">
        <v>962200117</v>
      </c>
      <c r="B8333" s="116" t="str">
        <f t="shared" si="130"/>
        <v>96-962200117</v>
      </c>
      <c r="C8333" s="185" t="s">
        <v>12933</v>
      </c>
    </row>
    <row r="8334" spans="1:3">
      <c r="A8334" s="184">
        <v>961100097</v>
      </c>
      <c r="B8334" s="116" t="str">
        <f t="shared" si="130"/>
        <v>96-961100097</v>
      </c>
      <c r="C8334" s="185" t="s">
        <v>12302</v>
      </c>
    </row>
    <row r="8335" spans="1:3">
      <c r="A8335" s="184">
        <v>961900207</v>
      </c>
      <c r="B8335" s="116" t="str">
        <f t="shared" si="130"/>
        <v>96-961900207</v>
      </c>
      <c r="C8335" s="185" t="s">
        <v>13101</v>
      </c>
    </row>
    <row r="8336" spans="1:3">
      <c r="A8336" s="184">
        <v>966200677</v>
      </c>
      <c r="B8336" s="116" t="str">
        <f t="shared" si="130"/>
        <v>96-966200677</v>
      </c>
      <c r="C8336" s="185" t="s">
        <v>13058</v>
      </c>
    </row>
    <row r="8337" spans="1:3">
      <c r="A8337" s="184">
        <v>961700196</v>
      </c>
      <c r="B8337" s="116" t="str">
        <f t="shared" si="130"/>
        <v>96-961700196</v>
      </c>
      <c r="C8337" s="185" t="s">
        <v>13102</v>
      </c>
    </row>
    <row r="8338" spans="1:3">
      <c r="A8338" s="184">
        <v>961700185</v>
      </c>
      <c r="B8338" s="116" t="str">
        <f t="shared" si="130"/>
        <v>96-961700185</v>
      </c>
      <c r="C8338" s="185" t="s">
        <v>13028</v>
      </c>
    </row>
    <row r="8339" spans="1:3">
      <c r="A8339" s="184">
        <v>961700201</v>
      </c>
      <c r="B8339" s="116" t="str">
        <f t="shared" si="130"/>
        <v>96-961700201</v>
      </c>
      <c r="C8339" s="185" t="s">
        <v>13028</v>
      </c>
    </row>
    <row r="8340" spans="1:3">
      <c r="A8340" s="184">
        <v>962500180</v>
      </c>
      <c r="B8340" s="116" t="str">
        <f t="shared" si="130"/>
        <v>96-962500180</v>
      </c>
      <c r="C8340" s="185" t="s">
        <v>9763</v>
      </c>
    </row>
    <row r="8341" spans="1:3">
      <c r="A8341" s="184">
        <v>962500178</v>
      </c>
      <c r="B8341" s="116" t="str">
        <f t="shared" si="130"/>
        <v>96-962500178</v>
      </c>
      <c r="C8341" s="185" t="s">
        <v>9797</v>
      </c>
    </row>
    <row r="8342" spans="1:3">
      <c r="A8342" s="184">
        <v>962500166</v>
      </c>
      <c r="B8342" s="116" t="str">
        <f t="shared" si="130"/>
        <v>96-962500166</v>
      </c>
      <c r="C8342" s="185" t="s">
        <v>8753</v>
      </c>
    </row>
    <row r="8343" spans="1:3">
      <c r="A8343" s="184">
        <v>962500167</v>
      </c>
      <c r="B8343" s="116" t="str">
        <f t="shared" si="130"/>
        <v>96-962500167</v>
      </c>
      <c r="C8343" s="185" t="s">
        <v>8753</v>
      </c>
    </row>
    <row r="8344" spans="1:3">
      <c r="A8344" s="184">
        <v>961100128</v>
      </c>
      <c r="B8344" s="116" t="str">
        <f t="shared" si="130"/>
        <v>96-961100128</v>
      </c>
      <c r="C8344" s="185" t="s">
        <v>13137</v>
      </c>
    </row>
    <row r="8345" spans="1:3">
      <c r="A8345" s="184">
        <v>962500216</v>
      </c>
      <c r="B8345" s="116" t="str">
        <f t="shared" si="130"/>
        <v>96-962500216</v>
      </c>
      <c r="C8345" s="185" t="s">
        <v>12685</v>
      </c>
    </row>
    <row r="8346" spans="1:3">
      <c r="A8346" s="184">
        <v>962500220</v>
      </c>
      <c r="B8346" s="116" t="str">
        <f t="shared" si="130"/>
        <v>96-962500220</v>
      </c>
      <c r="C8346" s="185" t="s">
        <v>12942</v>
      </c>
    </row>
    <row r="8347" spans="1:3">
      <c r="A8347" s="184">
        <v>962500185</v>
      </c>
      <c r="B8347" s="116" t="str">
        <f t="shared" si="130"/>
        <v>96-962500185</v>
      </c>
      <c r="C8347" s="185" t="s">
        <v>9761</v>
      </c>
    </row>
    <row r="8348" spans="1:3">
      <c r="A8348" s="184">
        <v>966200457</v>
      </c>
      <c r="B8348" s="116" t="str">
        <f t="shared" si="130"/>
        <v>96-966200457</v>
      </c>
      <c r="C8348" s="185" t="s">
        <v>12253</v>
      </c>
    </row>
    <row r="8349" spans="1:3">
      <c r="A8349" s="184">
        <v>961700166</v>
      </c>
      <c r="B8349" s="116" t="str">
        <f t="shared" si="130"/>
        <v>96-961700166</v>
      </c>
      <c r="C8349" s="185" t="s">
        <v>13097</v>
      </c>
    </row>
    <row r="8350" spans="1:3">
      <c r="A8350" s="184">
        <v>964200012</v>
      </c>
      <c r="B8350" s="116" t="str">
        <f t="shared" si="130"/>
        <v>96-964200012</v>
      </c>
      <c r="C8350" s="185" t="s">
        <v>12260</v>
      </c>
    </row>
    <row r="8351" spans="1:3">
      <c r="A8351" s="184">
        <v>964200028</v>
      </c>
      <c r="B8351" s="116" t="str">
        <f t="shared" si="130"/>
        <v>96-964200028</v>
      </c>
      <c r="C8351" s="185" t="s">
        <v>12429</v>
      </c>
    </row>
    <row r="8352" spans="1:3">
      <c r="A8352" s="184">
        <v>964200022</v>
      </c>
      <c r="B8352" s="116" t="str">
        <f t="shared" si="130"/>
        <v>96-964200022</v>
      </c>
      <c r="C8352" s="185" t="s">
        <v>12665</v>
      </c>
    </row>
    <row r="8353" spans="1:3">
      <c r="A8353" s="184">
        <v>961700187</v>
      </c>
      <c r="B8353" s="116" t="str">
        <f t="shared" si="130"/>
        <v>96-961700187</v>
      </c>
      <c r="C8353" s="185" t="s">
        <v>13028</v>
      </c>
    </row>
    <row r="8354" spans="1:3">
      <c r="A8354" s="184">
        <v>961700188</v>
      </c>
      <c r="B8354" s="116" t="str">
        <f t="shared" si="130"/>
        <v>96-961700188</v>
      </c>
      <c r="C8354" s="185" t="s">
        <v>13028</v>
      </c>
    </row>
    <row r="8355" spans="1:3">
      <c r="A8355" s="184">
        <v>961700244</v>
      </c>
      <c r="B8355" s="116" t="str">
        <f t="shared" si="130"/>
        <v>96-961700244</v>
      </c>
      <c r="C8355" s="185" t="s">
        <v>13028</v>
      </c>
    </row>
    <row r="8356" spans="1:3">
      <c r="A8356" s="184">
        <v>961700248</v>
      </c>
      <c r="B8356" s="116" t="str">
        <f t="shared" si="130"/>
        <v>96-961700248</v>
      </c>
      <c r="C8356" s="185" t="s">
        <v>13028</v>
      </c>
    </row>
    <row r="8357" spans="1:3">
      <c r="A8357" s="184">
        <v>961700256</v>
      </c>
      <c r="B8357" s="116" t="str">
        <f t="shared" si="130"/>
        <v>96-961700256</v>
      </c>
      <c r="C8357" s="185" t="s">
        <v>13028</v>
      </c>
    </row>
    <row r="8358" spans="1:3">
      <c r="A8358" s="184">
        <v>972000017</v>
      </c>
      <c r="B8358" s="116" t="str">
        <f t="shared" si="130"/>
        <v>97-972000017</v>
      </c>
      <c r="C8358" s="185" t="s">
        <v>13009</v>
      </c>
    </row>
    <row r="8359" spans="1:3">
      <c r="A8359" s="184">
        <v>961700181</v>
      </c>
      <c r="B8359" s="116" t="str">
        <f t="shared" si="130"/>
        <v>96-961700181</v>
      </c>
      <c r="C8359" s="185" t="s">
        <v>13028</v>
      </c>
    </row>
    <row r="8360" spans="1:3">
      <c r="A8360" s="184">
        <v>961700170</v>
      </c>
      <c r="B8360" s="116" t="str">
        <f t="shared" si="130"/>
        <v>96-961700170</v>
      </c>
      <c r="C8360" s="185" t="s">
        <v>13025</v>
      </c>
    </row>
    <row r="8361" spans="1:3">
      <c r="A8361" s="184">
        <v>961900200</v>
      </c>
      <c r="B8361" s="116" t="str">
        <f t="shared" si="130"/>
        <v>96-961900200</v>
      </c>
      <c r="C8361" s="185" t="s">
        <v>13138</v>
      </c>
    </row>
    <row r="8362" spans="1:3">
      <c r="A8362" s="184">
        <v>962000371</v>
      </c>
      <c r="B8362" s="116" t="str">
        <f t="shared" si="130"/>
        <v>96-962000371</v>
      </c>
      <c r="C8362" s="185" t="s">
        <v>12208</v>
      </c>
    </row>
    <row r="8363" spans="1:3">
      <c r="A8363" s="184">
        <v>962000391</v>
      </c>
      <c r="B8363" s="116" t="str">
        <f t="shared" si="130"/>
        <v>96-962000391</v>
      </c>
      <c r="C8363" s="185" t="s">
        <v>12208</v>
      </c>
    </row>
    <row r="8364" spans="1:3">
      <c r="A8364" s="184">
        <v>961700258</v>
      </c>
      <c r="B8364" s="116" t="str">
        <f t="shared" si="130"/>
        <v>96-961700258</v>
      </c>
      <c r="C8364" s="185" t="s">
        <v>13139</v>
      </c>
    </row>
    <row r="8365" spans="1:3">
      <c r="A8365" s="184">
        <v>961900183</v>
      </c>
      <c r="B8365" s="116" t="str">
        <f t="shared" si="130"/>
        <v>96-961900183</v>
      </c>
      <c r="C8365" s="185" t="s">
        <v>12201</v>
      </c>
    </row>
    <row r="8366" spans="1:3">
      <c r="A8366" s="184">
        <v>961900196</v>
      </c>
      <c r="B8366" s="116" t="str">
        <f t="shared" si="130"/>
        <v>96-961900196</v>
      </c>
      <c r="C8366" s="185" t="s">
        <v>13140</v>
      </c>
    </row>
    <row r="8367" spans="1:3">
      <c r="A8367" s="184">
        <v>961900197</v>
      </c>
      <c r="B8367" s="116" t="str">
        <f t="shared" si="130"/>
        <v>96-961900197</v>
      </c>
      <c r="C8367" s="185" t="s">
        <v>13140</v>
      </c>
    </row>
    <row r="8368" spans="1:3">
      <c r="A8368" s="184">
        <v>961900191</v>
      </c>
      <c r="B8368" s="116" t="str">
        <f t="shared" si="130"/>
        <v>96-961900191</v>
      </c>
      <c r="C8368" s="185" t="s">
        <v>13141</v>
      </c>
    </row>
    <row r="8369" spans="1:3">
      <c r="A8369" s="184">
        <v>966200514</v>
      </c>
      <c r="B8369" s="116" t="str">
        <f t="shared" si="130"/>
        <v>96-966200514</v>
      </c>
      <c r="C8369" s="185" t="s">
        <v>12418</v>
      </c>
    </row>
    <row r="8370" spans="1:3">
      <c r="A8370" s="184">
        <v>962000360</v>
      </c>
      <c r="B8370" s="116" t="str">
        <f t="shared" si="130"/>
        <v>96-962000360</v>
      </c>
      <c r="C8370" s="185" t="s">
        <v>12208</v>
      </c>
    </row>
    <row r="8371" spans="1:3">
      <c r="A8371" s="184">
        <v>961700162</v>
      </c>
      <c r="B8371" s="116" t="str">
        <f t="shared" si="130"/>
        <v>96-961700162</v>
      </c>
      <c r="C8371" s="185" t="s">
        <v>12194</v>
      </c>
    </row>
    <row r="8372" spans="1:3">
      <c r="A8372" s="184">
        <v>966100021</v>
      </c>
      <c r="B8372" s="116" t="str">
        <f t="shared" si="130"/>
        <v>96-966100021</v>
      </c>
      <c r="C8372" s="185" t="s">
        <v>7128</v>
      </c>
    </row>
    <row r="8373" spans="1:3">
      <c r="A8373" s="184">
        <v>961900202</v>
      </c>
      <c r="B8373" s="116" t="str">
        <f t="shared" si="130"/>
        <v>96-961900202</v>
      </c>
      <c r="C8373" s="185" t="s">
        <v>13142</v>
      </c>
    </row>
    <row r="8374" spans="1:3">
      <c r="A8374" s="184">
        <v>966200545</v>
      </c>
      <c r="B8374" s="116" t="str">
        <f t="shared" si="130"/>
        <v>96-966200545</v>
      </c>
      <c r="C8374" s="185" t="s">
        <v>13113</v>
      </c>
    </row>
    <row r="8375" spans="1:3">
      <c r="A8375" s="184">
        <v>966200520</v>
      </c>
      <c r="B8375" s="116" t="str">
        <f t="shared" si="130"/>
        <v>96-966200520</v>
      </c>
      <c r="C8375" s="185" t="s">
        <v>12418</v>
      </c>
    </row>
    <row r="8376" spans="1:3">
      <c r="A8376" s="184">
        <v>961900190</v>
      </c>
      <c r="B8376" s="116" t="str">
        <f t="shared" si="130"/>
        <v>96-961900190</v>
      </c>
      <c r="C8376" s="185" t="s">
        <v>12437</v>
      </c>
    </row>
    <row r="8377" spans="1:3">
      <c r="A8377" s="184">
        <v>966200620</v>
      </c>
      <c r="B8377" s="116" t="str">
        <f t="shared" si="130"/>
        <v>96-966200620</v>
      </c>
      <c r="C8377" s="185" t="s">
        <v>13143</v>
      </c>
    </row>
    <row r="8378" spans="1:3">
      <c r="A8378" s="184">
        <v>961700217</v>
      </c>
      <c r="B8378" s="116" t="str">
        <f t="shared" si="130"/>
        <v>96-961700217</v>
      </c>
      <c r="C8378" s="185" t="s">
        <v>13036</v>
      </c>
    </row>
    <row r="8379" spans="1:3">
      <c r="A8379" s="184">
        <v>966200528</v>
      </c>
      <c r="B8379" s="116" t="str">
        <f t="shared" si="130"/>
        <v>96-966200528</v>
      </c>
      <c r="C8379" s="185" t="s">
        <v>12422</v>
      </c>
    </row>
    <row r="8380" spans="1:3">
      <c r="A8380" s="184">
        <v>966200509</v>
      </c>
      <c r="B8380" s="116" t="str">
        <f t="shared" si="130"/>
        <v>96-966200509</v>
      </c>
      <c r="C8380" s="185" t="s">
        <v>12453</v>
      </c>
    </row>
    <row r="8381" spans="1:3">
      <c r="A8381" s="184">
        <v>966200516</v>
      </c>
      <c r="B8381" s="116" t="str">
        <f t="shared" si="130"/>
        <v>96-966200516</v>
      </c>
      <c r="C8381" s="185" t="s">
        <v>12418</v>
      </c>
    </row>
    <row r="8382" spans="1:3">
      <c r="A8382" s="184">
        <v>966200529</v>
      </c>
      <c r="B8382" s="116" t="str">
        <f t="shared" si="130"/>
        <v>96-966200529</v>
      </c>
      <c r="C8382" s="185" t="s">
        <v>12422</v>
      </c>
    </row>
    <row r="8383" spans="1:3">
      <c r="A8383" s="184">
        <v>976200005</v>
      </c>
      <c r="B8383" s="116" t="str">
        <f t="shared" si="130"/>
        <v>97-976200005</v>
      </c>
      <c r="C8383" s="185" t="s">
        <v>13144</v>
      </c>
    </row>
    <row r="8384" spans="1:3">
      <c r="A8384" s="184">
        <v>966200622</v>
      </c>
      <c r="B8384" s="116" t="str">
        <f t="shared" si="130"/>
        <v>96-966200622</v>
      </c>
      <c r="C8384" s="185" t="s">
        <v>13143</v>
      </c>
    </row>
    <row r="8385" spans="1:3">
      <c r="A8385" s="184">
        <v>966200623</v>
      </c>
      <c r="B8385" s="116" t="str">
        <f t="shared" si="130"/>
        <v>96-966200623</v>
      </c>
      <c r="C8385" s="185" t="s">
        <v>13143</v>
      </c>
    </row>
    <row r="8386" spans="1:3">
      <c r="A8386" s="184">
        <v>966200624</v>
      </c>
      <c r="B8386" s="116" t="str">
        <f t="shared" si="130"/>
        <v>96-966200624</v>
      </c>
      <c r="C8386" s="185" t="s">
        <v>13143</v>
      </c>
    </row>
    <row r="8387" spans="1:3">
      <c r="A8387" s="184">
        <v>966200632</v>
      </c>
      <c r="B8387" s="116" t="str">
        <f t="shared" ref="B8387:B8450" si="131">MID(A8387,1,2)&amp;"-"&amp;A8387</f>
        <v>96-966200632</v>
      </c>
      <c r="C8387" s="185" t="s">
        <v>13057</v>
      </c>
    </row>
    <row r="8388" spans="1:3">
      <c r="A8388" s="184">
        <v>966000039</v>
      </c>
      <c r="B8388" s="116" t="str">
        <f t="shared" si="131"/>
        <v>96-966000039</v>
      </c>
      <c r="C8388" s="185" t="s">
        <v>7146</v>
      </c>
    </row>
    <row r="8389" spans="1:3">
      <c r="A8389" s="184">
        <v>966000041</v>
      </c>
      <c r="B8389" s="116" t="str">
        <f t="shared" si="131"/>
        <v>96-966000041</v>
      </c>
      <c r="C8389" s="185" t="s">
        <v>7146</v>
      </c>
    </row>
    <row r="8390" spans="1:3">
      <c r="A8390" s="184">
        <v>962200086</v>
      </c>
      <c r="B8390" s="116" t="str">
        <f t="shared" si="131"/>
        <v>96-962200086</v>
      </c>
      <c r="C8390" s="185" t="s">
        <v>9765</v>
      </c>
    </row>
    <row r="8391" spans="1:3">
      <c r="A8391" s="184">
        <v>961900203</v>
      </c>
      <c r="B8391" s="116" t="str">
        <f t="shared" si="131"/>
        <v>96-961900203</v>
      </c>
      <c r="C8391" s="185" t="s">
        <v>13145</v>
      </c>
    </row>
    <row r="8392" spans="1:3">
      <c r="A8392" s="184">
        <v>961700186</v>
      </c>
      <c r="B8392" s="116" t="str">
        <f t="shared" si="131"/>
        <v>96-961700186</v>
      </c>
      <c r="C8392" s="185" t="s">
        <v>13028</v>
      </c>
    </row>
    <row r="8393" spans="1:3">
      <c r="A8393" s="184">
        <v>961700203</v>
      </c>
      <c r="B8393" s="116" t="str">
        <f t="shared" si="131"/>
        <v>96-961700203</v>
      </c>
      <c r="C8393" s="185" t="s">
        <v>13028</v>
      </c>
    </row>
    <row r="8394" spans="1:3">
      <c r="A8394" s="184">
        <v>961700252</v>
      </c>
      <c r="B8394" s="116" t="str">
        <f t="shared" si="131"/>
        <v>96-961700252</v>
      </c>
      <c r="C8394" s="185" t="s">
        <v>13028</v>
      </c>
    </row>
    <row r="8395" spans="1:3">
      <c r="A8395" s="184">
        <v>971100001</v>
      </c>
      <c r="B8395" s="116" t="str">
        <f t="shared" si="131"/>
        <v>97-971100001</v>
      </c>
      <c r="C8395" s="185" t="s">
        <v>13146</v>
      </c>
    </row>
    <row r="8396" spans="1:3">
      <c r="A8396" s="184">
        <v>962200090</v>
      </c>
      <c r="B8396" s="116" t="str">
        <f t="shared" si="131"/>
        <v>96-962200090</v>
      </c>
      <c r="C8396" s="185" t="s">
        <v>12197</v>
      </c>
    </row>
    <row r="8397" spans="1:3">
      <c r="A8397" s="184">
        <v>961800072</v>
      </c>
      <c r="B8397" s="116" t="str">
        <f t="shared" si="131"/>
        <v>96-961800072</v>
      </c>
      <c r="C8397" s="185" t="s">
        <v>13147</v>
      </c>
    </row>
    <row r="8398" spans="1:3">
      <c r="A8398" s="184">
        <v>961700260</v>
      </c>
      <c r="B8398" s="116" t="str">
        <f t="shared" si="131"/>
        <v>96-961700260</v>
      </c>
      <c r="C8398" s="185" t="s">
        <v>13112</v>
      </c>
    </row>
    <row r="8399" spans="1:3">
      <c r="A8399" s="184">
        <v>962500202</v>
      </c>
      <c r="B8399" s="116" t="str">
        <f t="shared" si="131"/>
        <v>96-962500202</v>
      </c>
      <c r="C8399" s="185" t="s">
        <v>12444</v>
      </c>
    </row>
    <row r="8400" spans="1:3">
      <c r="A8400" s="184">
        <v>962500211</v>
      </c>
      <c r="B8400" s="116" t="str">
        <f t="shared" si="131"/>
        <v>96-962500211</v>
      </c>
      <c r="C8400" s="185" t="s">
        <v>12684</v>
      </c>
    </row>
    <row r="8401" spans="1:3">
      <c r="A8401" s="184">
        <v>964200029</v>
      </c>
      <c r="B8401" s="116" t="str">
        <f t="shared" si="131"/>
        <v>96-964200029</v>
      </c>
      <c r="C8401" s="185" t="s">
        <v>12668</v>
      </c>
    </row>
    <row r="8402" spans="1:3">
      <c r="A8402" s="184">
        <v>964200030</v>
      </c>
      <c r="B8402" s="116" t="str">
        <f t="shared" si="131"/>
        <v>96-964200030</v>
      </c>
      <c r="C8402" s="185" t="s">
        <v>12668</v>
      </c>
    </row>
    <row r="8403" spans="1:3">
      <c r="A8403" s="184">
        <v>961700261</v>
      </c>
      <c r="B8403" s="116" t="str">
        <f t="shared" si="131"/>
        <v>96-961700261</v>
      </c>
      <c r="C8403" s="185" t="s">
        <v>13148</v>
      </c>
    </row>
    <row r="8404" spans="1:3">
      <c r="A8404" s="184">
        <v>961500939</v>
      </c>
      <c r="B8404" s="116" t="str">
        <f t="shared" si="131"/>
        <v>96-961500939</v>
      </c>
      <c r="C8404" s="185" t="s">
        <v>12429</v>
      </c>
    </row>
    <row r="8405" spans="1:3">
      <c r="A8405" s="184">
        <v>961500918</v>
      </c>
      <c r="B8405" s="116" t="str">
        <f t="shared" si="131"/>
        <v>96-961500918</v>
      </c>
      <c r="C8405" s="185" t="s">
        <v>12673</v>
      </c>
    </row>
    <row r="8406" spans="1:3">
      <c r="A8406" s="184">
        <v>961700174</v>
      </c>
      <c r="B8406" s="116" t="str">
        <f t="shared" si="131"/>
        <v>96-961700174</v>
      </c>
      <c r="C8406" s="185" t="s">
        <v>13149</v>
      </c>
    </row>
    <row r="8407" spans="1:3">
      <c r="A8407" s="184">
        <v>966200573</v>
      </c>
      <c r="B8407" s="116" t="str">
        <f t="shared" si="131"/>
        <v>96-966200573</v>
      </c>
      <c r="C8407" s="185" t="s">
        <v>13150</v>
      </c>
    </row>
    <row r="8408" spans="1:3">
      <c r="A8408" s="184">
        <v>961500699</v>
      </c>
      <c r="B8408" s="116" t="str">
        <f t="shared" si="131"/>
        <v>96-961500699</v>
      </c>
      <c r="C8408" s="185" t="s">
        <v>9768</v>
      </c>
    </row>
    <row r="8409" spans="1:3">
      <c r="A8409" s="184">
        <v>961500908</v>
      </c>
      <c r="B8409" s="116" t="str">
        <f t="shared" si="131"/>
        <v>96-961500908</v>
      </c>
      <c r="C8409" s="185" t="s">
        <v>12414</v>
      </c>
    </row>
    <row r="8410" spans="1:3">
      <c r="A8410" s="184">
        <v>961500742</v>
      </c>
      <c r="B8410" s="116" t="str">
        <f t="shared" si="131"/>
        <v>96-961500742</v>
      </c>
      <c r="C8410" s="185" t="s">
        <v>9794</v>
      </c>
    </row>
    <row r="8411" spans="1:3">
      <c r="A8411" s="184">
        <v>961500987</v>
      </c>
      <c r="B8411" s="116" t="str">
        <f t="shared" si="131"/>
        <v>96-961500987</v>
      </c>
      <c r="C8411" s="185" t="s">
        <v>12677</v>
      </c>
    </row>
    <row r="8412" spans="1:3">
      <c r="A8412" s="184">
        <v>961700208</v>
      </c>
      <c r="B8412" s="116" t="str">
        <f t="shared" si="131"/>
        <v>96-961700208</v>
      </c>
      <c r="C8412" s="185" t="s">
        <v>13102</v>
      </c>
    </row>
    <row r="8413" spans="1:3">
      <c r="A8413" s="184">
        <v>961900208</v>
      </c>
      <c r="B8413" s="116" t="str">
        <f t="shared" si="131"/>
        <v>96-961900208</v>
      </c>
      <c r="C8413" s="185" t="s">
        <v>13151</v>
      </c>
    </row>
    <row r="8414" spans="1:3">
      <c r="A8414" s="184">
        <v>966100022</v>
      </c>
      <c r="B8414" s="116" t="str">
        <f t="shared" si="131"/>
        <v>96-966100022</v>
      </c>
      <c r="C8414" s="185" t="s">
        <v>13152</v>
      </c>
    </row>
    <row r="8415" spans="1:3">
      <c r="A8415" s="184">
        <v>962000385</v>
      </c>
      <c r="B8415" s="116" t="str">
        <f t="shared" si="131"/>
        <v>96-962000385</v>
      </c>
      <c r="C8415" s="185" t="s">
        <v>12208</v>
      </c>
    </row>
    <row r="8416" spans="1:3">
      <c r="A8416" s="184">
        <v>972000034</v>
      </c>
      <c r="B8416" s="116" t="str">
        <f t="shared" si="131"/>
        <v>97-972000034</v>
      </c>
      <c r="C8416" s="185" t="s">
        <v>13009</v>
      </c>
    </row>
    <row r="8417" spans="1:3">
      <c r="A8417" s="184">
        <v>962000377</v>
      </c>
      <c r="B8417" s="116" t="str">
        <f t="shared" si="131"/>
        <v>96-962000377</v>
      </c>
      <c r="C8417" s="185" t="s">
        <v>12208</v>
      </c>
    </row>
    <row r="8418" spans="1:3">
      <c r="A8418" s="184">
        <v>966200517</v>
      </c>
      <c r="B8418" s="116" t="str">
        <f t="shared" si="131"/>
        <v>96-966200517</v>
      </c>
      <c r="C8418" s="185" t="s">
        <v>12418</v>
      </c>
    </row>
    <row r="8419" spans="1:3">
      <c r="A8419" s="184">
        <v>961600022</v>
      </c>
      <c r="B8419" s="116" t="str">
        <f t="shared" si="131"/>
        <v>96-961600022</v>
      </c>
      <c r="C8419" s="185" t="s">
        <v>12294</v>
      </c>
    </row>
    <row r="8420" spans="1:3">
      <c r="A8420" s="184">
        <v>966200518</v>
      </c>
      <c r="B8420" s="116" t="str">
        <f t="shared" si="131"/>
        <v>96-966200518</v>
      </c>
      <c r="C8420" s="185" t="s">
        <v>12418</v>
      </c>
    </row>
    <row r="8421" spans="1:3">
      <c r="A8421" s="184">
        <v>966200696</v>
      </c>
      <c r="B8421" s="116" t="str">
        <f t="shared" si="131"/>
        <v>96-966200696</v>
      </c>
      <c r="C8421" s="185" t="s">
        <v>13115</v>
      </c>
    </row>
    <row r="8422" spans="1:3">
      <c r="A8422" s="184">
        <v>966200436</v>
      </c>
      <c r="B8422" s="116" t="str">
        <f t="shared" si="131"/>
        <v>96-966200436</v>
      </c>
      <c r="C8422" s="185" t="s">
        <v>12254</v>
      </c>
    </row>
    <row r="8423" spans="1:3">
      <c r="A8423" s="184">
        <v>966200521</v>
      </c>
      <c r="B8423" s="116" t="str">
        <f t="shared" si="131"/>
        <v>96-966200521</v>
      </c>
      <c r="C8423" s="185" t="s">
        <v>12418</v>
      </c>
    </row>
    <row r="8424" spans="1:3">
      <c r="A8424" s="184">
        <v>966200694</v>
      </c>
      <c r="B8424" s="116" t="str">
        <f t="shared" si="131"/>
        <v>96-966200694</v>
      </c>
      <c r="C8424" s="185" t="s">
        <v>13115</v>
      </c>
    </row>
    <row r="8425" spans="1:3">
      <c r="A8425" s="184">
        <v>962000379</v>
      </c>
      <c r="B8425" s="116" t="str">
        <f t="shared" si="131"/>
        <v>96-962000379</v>
      </c>
      <c r="C8425" s="185" t="s">
        <v>12208</v>
      </c>
    </row>
    <row r="8426" spans="1:3">
      <c r="A8426" s="184">
        <v>962000359</v>
      </c>
      <c r="B8426" s="116" t="str">
        <f t="shared" si="131"/>
        <v>96-962000359</v>
      </c>
      <c r="C8426" s="185" t="s">
        <v>12208</v>
      </c>
    </row>
    <row r="8427" spans="1:3">
      <c r="A8427" s="184">
        <v>962200106</v>
      </c>
      <c r="B8427" s="116" t="str">
        <f t="shared" si="131"/>
        <v>96-962200106</v>
      </c>
      <c r="C8427" s="185" t="s">
        <v>12666</v>
      </c>
    </row>
    <row r="8428" spans="1:3">
      <c r="A8428" s="184">
        <v>962200107</v>
      </c>
      <c r="B8428" s="116" t="str">
        <f t="shared" si="131"/>
        <v>96-962200107</v>
      </c>
      <c r="C8428" s="185" t="s">
        <v>12666</v>
      </c>
    </row>
    <row r="8429" spans="1:3">
      <c r="A8429" s="184">
        <v>966200680</v>
      </c>
      <c r="B8429" s="116" t="str">
        <f t="shared" si="131"/>
        <v>96-966200680</v>
      </c>
      <c r="C8429" s="185" t="s">
        <v>13153</v>
      </c>
    </row>
    <row r="8430" spans="1:3">
      <c r="A8430" s="184">
        <v>966000030</v>
      </c>
      <c r="B8430" s="116" t="str">
        <f t="shared" si="131"/>
        <v>96-966000030</v>
      </c>
      <c r="C8430" s="185" t="s">
        <v>6348</v>
      </c>
    </row>
    <row r="8431" spans="1:3">
      <c r="A8431" s="184">
        <v>966000040</v>
      </c>
      <c r="B8431" s="116" t="str">
        <f t="shared" si="131"/>
        <v>96-966000040</v>
      </c>
      <c r="C8431" s="185" t="s">
        <v>7146</v>
      </c>
    </row>
    <row r="8432" spans="1:3">
      <c r="A8432" s="184">
        <v>961200137</v>
      </c>
      <c r="B8432" s="116" t="str">
        <f t="shared" si="131"/>
        <v>96-961200137</v>
      </c>
      <c r="C8432" s="185" t="s">
        <v>9765</v>
      </c>
    </row>
    <row r="8433" spans="1:3">
      <c r="A8433" s="184">
        <v>962200116</v>
      </c>
      <c r="B8433" s="116" t="str">
        <f t="shared" si="131"/>
        <v>96-962200116</v>
      </c>
      <c r="C8433" s="185" t="s">
        <v>12932</v>
      </c>
    </row>
    <row r="8434" spans="1:3">
      <c r="A8434" s="184">
        <v>962500229</v>
      </c>
      <c r="B8434" s="116" t="str">
        <f t="shared" si="131"/>
        <v>96-962500229</v>
      </c>
      <c r="C8434" s="185" t="s">
        <v>13069</v>
      </c>
    </row>
    <row r="8435" spans="1:3">
      <c r="A8435" s="184">
        <v>962500213</v>
      </c>
      <c r="B8435" s="116" t="str">
        <f t="shared" si="131"/>
        <v>96-962500213</v>
      </c>
      <c r="C8435" s="185" t="s">
        <v>12685</v>
      </c>
    </row>
    <row r="8436" spans="1:3">
      <c r="A8436" s="184">
        <v>962500208</v>
      </c>
      <c r="B8436" s="116" t="str">
        <f t="shared" si="131"/>
        <v>96-962500208</v>
      </c>
      <c r="C8436" s="185" t="s">
        <v>5858</v>
      </c>
    </row>
    <row r="8437" spans="1:3">
      <c r="A8437" s="184">
        <v>962200113</v>
      </c>
      <c r="B8437" s="116" t="str">
        <f t="shared" si="131"/>
        <v>96-962200113</v>
      </c>
      <c r="C8437" s="185" t="s">
        <v>12932</v>
      </c>
    </row>
    <row r="8438" spans="1:3">
      <c r="A8438" s="184">
        <v>972500001</v>
      </c>
      <c r="B8438" s="116" t="str">
        <f t="shared" si="131"/>
        <v>97-972500001</v>
      </c>
      <c r="C8438" s="185" t="s">
        <v>13069</v>
      </c>
    </row>
    <row r="8439" spans="1:3">
      <c r="A8439" s="184">
        <v>962500168</v>
      </c>
      <c r="B8439" s="116" t="str">
        <f t="shared" si="131"/>
        <v>96-962500168</v>
      </c>
      <c r="C8439" s="185" t="s">
        <v>9761</v>
      </c>
    </row>
    <row r="8440" spans="1:3">
      <c r="A8440" s="184">
        <v>962200100</v>
      </c>
      <c r="B8440" s="116" t="str">
        <f t="shared" si="131"/>
        <v>96-962200100</v>
      </c>
      <c r="C8440" s="185" t="s">
        <v>12423</v>
      </c>
    </row>
    <row r="8441" spans="1:3">
      <c r="A8441" s="184">
        <v>962500197</v>
      </c>
      <c r="B8441" s="116" t="str">
        <f t="shared" si="131"/>
        <v>96-962500197</v>
      </c>
      <c r="C8441" s="185" t="s">
        <v>12260</v>
      </c>
    </row>
    <row r="8442" spans="1:3">
      <c r="A8442" s="184">
        <v>972500005</v>
      </c>
      <c r="B8442" s="116" t="str">
        <f t="shared" si="131"/>
        <v>97-972500005</v>
      </c>
      <c r="C8442" s="185" t="s">
        <v>12940</v>
      </c>
    </row>
    <row r="8443" spans="1:3">
      <c r="A8443" s="184">
        <v>961700189</v>
      </c>
      <c r="B8443" s="116" t="str">
        <f t="shared" si="131"/>
        <v>96-961700189</v>
      </c>
      <c r="C8443" s="185" t="s">
        <v>13028</v>
      </c>
    </row>
    <row r="8444" spans="1:3">
      <c r="A8444" s="184">
        <v>961700202</v>
      </c>
      <c r="B8444" s="116" t="str">
        <f t="shared" si="131"/>
        <v>96-961700202</v>
      </c>
      <c r="C8444" s="185" t="s">
        <v>13028</v>
      </c>
    </row>
    <row r="8445" spans="1:3">
      <c r="A8445" s="184">
        <v>961700205</v>
      </c>
      <c r="B8445" s="116" t="str">
        <f t="shared" si="131"/>
        <v>96-961700205</v>
      </c>
      <c r="C8445" s="185" t="s">
        <v>13028</v>
      </c>
    </row>
    <row r="8446" spans="1:3">
      <c r="A8446" s="184">
        <v>961700249</v>
      </c>
      <c r="B8446" s="116" t="str">
        <f t="shared" si="131"/>
        <v>96-961700249</v>
      </c>
      <c r="C8446" s="185" t="s">
        <v>13028</v>
      </c>
    </row>
    <row r="8447" spans="1:3">
      <c r="A8447" s="184">
        <v>964200017</v>
      </c>
      <c r="B8447" s="116" t="str">
        <f t="shared" si="131"/>
        <v>96-964200017</v>
      </c>
      <c r="C8447" s="185" t="s">
        <v>12429</v>
      </c>
    </row>
    <row r="8448" spans="1:3">
      <c r="A8448" s="184">
        <v>961600025</v>
      </c>
      <c r="B8448" s="116" t="str">
        <f t="shared" si="131"/>
        <v>96-961600025</v>
      </c>
      <c r="C8448" s="185" t="s">
        <v>13154</v>
      </c>
    </row>
    <row r="8449" spans="1:3">
      <c r="A8449" s="184">
        <v>961700194</v>
      </c>
      <c r="B8449" s="116" t="str">
        <f t="shared" si="131"/>
        <v>96-961700194</v>
      </c>
      <c r="C8449" s="185" t="s">
        <v>13155</v>
      </c>
    </row>
    <row r="8450" spans="1:3">
      <c r="A8450" s="184">
        <v>961500940</v>
      </c>
      <c r="B8450" s="116" t="str">
        <f t="shared" si="131"/>
        <v>96-961500940</v>
      </c>
      <c r="C8450" s="185" t="s">
        <v>12668</v>
      </c>
    </row>
    <row r="8451" spans="1:3">
      <c r="A8451" s="184">
        <v>961500863</v>
      </c>
      <c r="B8451" s="116" t="str">
        <f t="shared" ref="B8451:B8514" si="132">MID(A8451,1,2)&amp;"-"&amp;A8451</f>
        <v>96-961500863</v>
      </c>
      <c r="C8451" s="185" t="s">
        <v>12414</v>
      </c>
    </row>
    <row r="8452" spans="1:3">
      <c r="A8452" s="184">
        <v>961500755</v>
      </c>
      <c r="B8452" s="116" t="str">
        <f t="shared" si="132"/>
        <v>96-961500755</v>
      </c>
      <c r="C8452" s="185" t="s">
        <v>12261</v>
      </c>
    </row>
    <row r="8453" spans="1:3">
      <c r="A8453" s="184">
        <v>961501036</v>
      </c>
      <c r="B8453" s="116" t="str">
        <f t="shared" si="132"/>
        <v>96-961501036</v>
      </c>
      <c r="C8453" s="185" t="s">
        <v>12675</v>
      </c>
    </row>
    <row r="8454" spans="1:3">
      <c r="A8454" s="184">
        <v>966200646</v>
      </c>
      <c r="B8454" s="116" t="str">
        <f t="shared" si="132"/>
        <v>96-966200646</v>
      </c>
      <c r="C8454" s="185" t="s">
        <v>13110</v>
      </c>
    </row>
    <row r="8455" spans="1:3">
      <c r="A8455" s="184">
        <v>966200570</v>
      </c>
      <c r="B8455" s="116" t="str">
        <f t="shared" si="132"/>
        <v>96-966200570</v>
      </c>
      <c r="C8455" s="185" t="s">
        <v>13114</v>
      </c>
    </row>
    <row r="8456" spans="1:3">
      <c r="A8456" s="184">
        <v>966200428</v>
      </c>
      <c r="B8456" s="116" t="str">
        <f t="shared" si="132"/>
        <v>96-966200428</v>
      </c>
      <c r="C8456" s="185" t="s">
        <v>12256</v>
      </c>
    </row>
    <row r="8457" spans="1:3">
      <c r="A8457" s="184">
        <v>966200456</v>
      </c>
      <c r="B8457" s="116" t="str">
        <f t="shared" si="132"/>
        <v>96-966200456</v>
      </c>
      <c r="C8457" s="185" t="s">
        <v>12257</v>
      </c>
    </row>
    <row r="8458" spans="1:3">
      <c r="A8458" s="184">
        <v>961700165</v>
      </c>
      <c r="B8458" s="116" t="str">
        <f t="shared" si="132"/>
        <v>96-961700165</v>
      </c>
      <c r="C8458" s="185" t="s">
        <v>12258</v>
      </c>
    </row>
    <row r="8459" spans="1:3">
      <c r="A8459" s="184">
        <v>972200003</v>
      </c>
      <c r="B8459" s="116" t="str">
        <f t="shared" si="132"/>
        <v>97-972200003</v>
      </c>
      <c r="C8459" s="185" t="s">
        <v>13022</v>
      </c>
    </row>
    <row r="8460" spans="1:3">
      <c r="A8460" s="184">
        <v>962500209</v>
      </c>
      <c r="B8460" s="116" t="str">
        <f t="shared" si="132"/>
        <v>96-962500209</v>
      </c>
      <c r="C8460" s="185" t="s">
        <v>12444</v>
      </c>
    </row>
    <row r="8461" spans="1:3">
      <c r="A8461" s="184">
        <v>961100099</v>
      </c>
      <c r="B8461" s="116" t="str">
        <f t="shared" si="132"/>
        <v>96-961100099</v>
      </c>
      <c r="C8461" s="185" t="s">
        <v>12262</v>
      </c>
    </row>
    <row r="8462" spans="1:3">
      <c r="A8462" s="184">
        <v>962500203</v>
      </c>
      <c r="B8462" s="116" t="str">
        <f t="shared" si="132"/>
        <v>96-962500203</v>
      </c>
      <c r="C8462" s="185" t="s">
        <v>12684</v>
      </c>
    </row>
    <row r="8463" spans="1:3">
      <c r="A8463" s="184">
        <v>962500210</v>
      </c>
      <c r="B8463" s="116" t="str">
        <f t="shared" si="132"/>
        <v>96-962500210</v>
      </c>
      <c r="C8463" s="185" t="s">
        <v>12684</v>
      </c>
    </row>
    <row r="8464" spans="1:3">
      <c r="A8464" s="184">
        <v>964200010</v>
      </c>
      <c r="B8464" s="116" t="str">
        <f t="shared" si="132"/>
        <v>96-964200010</v>
      </c>
      <c r="C8464" s="185" t="s">
        <v>12260</v>
      </c>
    </row>
    <row r="8465" spans="1:3">
      <c r="A8465" s="184">
        <v>964200032</v>
      </c>
      <c r="B8465" s="116" t="str">
        <f t="shared" si="132"/>
        <v>96-964200032</v>
      </c>
      <c r="C8465" s="185" t="s">
        <v>12668</v>
      </c>
    </row>
    <row r="8466" spans="1:3">
      <c r="A8466" s="184">
        <v>961100129</v>
      </c>
      <c r="B8466" s="116" t="str">
        <f t="shared" si="132"/>
        <v>96-961100129</v>
      </c>
      <c r="C8466" s="185" t="s">
        <v>13156</v>
      </c>
    </row>
    <row r="8467" spans="1:3">
      <c r="A8467" s="184">
        <v>961500804</v>
      </c>
      <c r="B8467" s="116" t="str">
        <f t="shared" si="132"/>
        <v>96-961500804</v>
      </c>
      <c r="C8467" s="185" t="s">
        <v>12221</v>
      </c>
    </row>
    <row r="8468" spans="1:3">
      <c r="A8468" s="184">
        <v>962000386</v>
      </c>
      <c r="B8468" s="116" t="str">
        <f t="shared" si="132"/>
        <v>96-962000386</v>
      </c>
      <c r="C8468" s="185" t="s">
        <v>12208</v>
      </c>
    </row>
    <row r="8469" spans="1:3">
      <c r="A8469" s="184">
        <v>962000387</v>
      </c>
      <c r="B8469" s="116" t="str">
        <f t="shared" si="132"/>
        <v>96-962000387</v>
      </c>
      <c r="C8469" s="185" t="s">
        <v>12208</v>
      </c>
    </row>
    <row r="8470" spans="1:3">
      <c r="A8470" s="184">
        <v>966200399</v>
      </c>
      <c r="B8470" s="116" t="str">
        <f t="shared" si="132"/>
        <v>96-966200399</v>
      </c>
      <c r="C8470" s="185" t="s">
        <v>12210</v>
      </c>
    </row>
    <row r="8471" spans="1:3">
      <c r="A8471" s="184">
        <v>962000376</v>
      </c>
      <c r="B8471" s="116" t="str">
        <f t="shared" si="132"/>
        <v>96-962000376</v>
      </c>
      <c r="C8471" s="185" t="s">
        <v>12208</v>
      </c>
    </row>
    <row r="8472" spans="1:3">
      <c r="A8472" s="184">
        <v>961100107</v>
      </c>
      <c r="B8472" s="116" t="str">
        <f t="shared" si="132"/>
        <v>96-961100107</v>
      </c>
      <c r="C8472" s="185" t="s">
        <v>12439</v>
      </c>
    </row>
    <row r="8473" spans="1:3">
      <c r="A8473" s="184">
        <v>962000375</v>
      </c>
      <c r="B8473" s="116" t="str">
        <f t="shared" si="132"/>
        <v>96-962000375</v>
      </c>
      <c r="C8473" s="185" t="s">
        <v>12208</v>
      </c>
    </row>
    <row r="8474" spans="1:3">
      <c r="A8474" s="184">
        <v>962000381</v>
      </c>
      <c r="B8474" s="116" t="str">
        <f t="shared" si="132"/>
        <v>96-962000381</v>
      </c>
      <c r="C8474" s="185" t="s">
        <v>12208</v>
      </c>
    </row>
    <row r="8475" spans="1:3">
      <c r="A8475" s="184">
        <v>961500786</v>
      </c>
      <c r="B8475" s="116" t="str">
        <f t="shared" si="132"/>
        <v>96-961500786</v>
      </c>
      <c r="C8475" s="185" t="s">
        <v>12260</v>
      </c>
    </row>
    <row r="8476" spans="1:3">
      <c r="A8476" s="184">
        <v>962000393</v>
      </c>
      <c r="B8476" s="116" t="str">
        <f t="shared" si="132"/>
        <v>96-962000393</v>
      </c>
      <c r="C8476" s="185" t="s">
        <v>12208</v>
      </c>
    </row>
    <row r="8477" spans="1:3">
      <c r="A8477" s="184">
        <v>972000036</v>
      </c>
      <c r="B8477" s="116" t="str">
        <f t="shared" si="132"/>
        <v>97-972000036</v>
      </c>
      <c r="C8477" s="185" t="s">
        <v>13009</v>
      </c>
    </row>
    <row r="8478" spans="1:3">
      <c r="A8478" s="184">
        <v>962000388</v>
      </c>
      <c r="B8478" s="116" t="str">
        <f t="shared" si="132"/>
        <v>96-962000388</v>
      </c>
      <c r="C8478" s="185" t="s">
        <v>12208</v>
      </c>
    </row>
    <row r="8479" spans="1:3">
      <c r="A8479" s="184">
        <v>961500765</v>
      </c>
      <c r="B8479" s="116" t="str">
        <f t="shared" si="132"/>
        <v>96-961500765</v>
      </c>
      <c r="C8479" s="185" t="s">
        <v>12261</v>
      </c>
    </row>
    <row r="8480" spans="1:3">
      <c r="A8480" s="184">
        <v>966200393</v>
      </c>
      <c r="B8480" s="116" t="str">
        <f t="shared" si="132"/>
        <v>96-966200393</v>
      </c>
      <c r="C8480" s="185" t="s">
        <v>12210</v>
      </c>
    </row>
    <row r="8481" spans="1:3">
      <c r="A8481" s="184">
        <v>966200567</v>
      </c>
      <c r="B8481" s="116" t="str">
        <f t="shared" si="132"/>
        <v>96-966200567</v>
      </c>
      <c r="C8481" s="185" t="s">
        <v>13157</v>
      </c>
    </row>
    <row r="8482" spans="1:3">
      <c r="A8482" s="184">
        <v>972000031</v>
      </c>
      <c r="B8482" s="116" t="str">
        <f t="shared" si="132"/>
        <v>97-972000031</v>
      </c>
      <c r="C8482" s="185" t="s">
        <v>13009</v>
      </c>
    </row>
    <row r="8483" spans="1:3">
      <c r="A8483" s="184">
        <v>966200531</v>
      </c>
      <c r="B8483" s="116" t="str">
        <f t="shared" si="132"/>
        <v>96-966200531</v>
      </c>
      <c r="C8483" s="185" t="s">
        <v>12416</v>
      </c>
    </row>
    <row r="8484" spans="1:3">
      <c r="A8484" s="184">
        <v>962000363</v>
      </c>
      <c r="B8484" s="116" t="str">
        <f t="shared" si="132"/>
        <v>96-962000363</v>
      </c>
      <c r="C8484" s="185" t="s">
        <v>12208</v>
      </c>
    </row>
    <row r="8485" spans="1:3">
      <c r="A8485" s="184">
        <v>966200568</v>
      </c>
      <c r="B8485" s="116" t="str">
        <f t="shared" si="132"/>
        <v>96-966200568</v>
      </c>
      <c r="C8485" s="185" t="s">
        <v>13157</v>
      </c>
    </row>
    <row r="8486" spans="1:3">
      <c r="A8486" s="184">
        <v>962000367</v>
      </c>
      <c r="B8486" s="116" t="str">
        <f t="shared" si="132"/>
        <v>96-962000367</v>
      </c>
      <c r="C8486" s="185" t="s">
        <v>12208</v>
      </c>
    </row>
    <row r="8487" spans="1:3">
      <c r="A8487" s="184">
        <v>962000362</v>
      </c>
      <c r="B8487" s="116" t="str">
        <f t="shared" si="132"/>
        <v>96-962000362</v>
      </c>
      <c r="C8487" s="185" t="s">
        <v>12208</v>
      </c>
    </row>
    <row r="8488" spans="1:3">
      <c r="A8488" s="184">
        <v>962000390</v>
      </c>
      <c r="B8488" s="116" t="str">
        <f t="shared" si="132"/>
        <v>96-962000390</v>
      </c>
      <c r="C8488" s="185" t="s">
        <v>12208</v>
      </c>
    </row>
    <row r="8489" spans="1:3">
      <c r="A8489" s="184">
        <v>962000384</v>
      </c>
      <c r="B8489" s="116" t="str">
        <f t="shared" si="132"/>
        <v>96-962000384</v>
      </c>
      <c r="C8489" s="185" t="s">
        <v>12208</v>
      </c>
    </row>
    <row r="8490" spans="1:3">
      <c r="A8490" s="184">
        <v>966200699</v>
      </c>
      <c r="B8490" s="116" t="str">
        <f t="shared" si="132"/>
        <v>96-966200699</v>
      </c>
      <c r="C8490" s="185" t="s">
        <v>13052</v>
      </c>
    </row>
    <row r="8491" spans="1:3">
      <c r="A8491" s="184">
        <v>966200561</v>
      </c>
      <c r="B8491" s="116" t="str">
        <f t="shared" si="132"/>
        <v>96-966200561</v>
      </c>
      <c r="C8491" s="185" t="s">
        <v>13131</v>
      </c>
    </row>
    <row r="8492" spans="1:3">
      <c r="A8492" s="184">
        <v>961100105</v>
      </c>
      <c r="B8492" s="116" t="str">
        <f t="shared" si="132"/>
        <v>96-961100105</v>
      </c>
      <c r="C8492" s="185" t="s">
        <v>12454</v>
      </c>
    </row>
    <row r="8493" spans="1:3">
      <c r="A8493" s="184">
        <v>962000365</v>
      </c>
      <c r="B8493" s="116" t="str">
        <f t="shared" si="132"/>
        <v>96-962000365</v>
      </c>
      <c r="C8493" s="185" t="s">
        <v>12208</v>
      </c>
    </row>
    <row r="8494" spans="1:3">
      <c r="A8494" s="184">
        <v>962000372</v>
      </c>
      <c r="B8494" s="116" t="str">
        <f t="shared" si="132"/>
        <v>96-962000372</v>
      </c>
      <c r="C8494" s="185" t="s">
        <v>12208</v>
      </c>
    </row>
    <row r="8495" spans="1:3">
      <c r="A8495" s="184">
        <v>962000361</v>
      </c>
      <c r="B8495" s="116" t="str">
        <f t="shared" si="132"/>
        <v>96-962000361</v>
      </c>
      <c r="C8495" s="185" t="s">
        <v>12208</v>
      </c>
    </row>
    <row r="8496" spans="1:3">
      <c r="A8496" s="184">
        <v>962000378</v>
      </c>
      <c r="B8496" s="116" t="str">
        <f t="shared" si="132"/>
        <v>96-962000378</v>
      </c>
      <c r="C8496" s="185" t="s">
        <v>12208</v>
      </c>
    </row>
    <row r="8497" spans="1:3">
      <c r="A8497" s="184">
        <v>966200418</v>
      </c>
      <c r="B8497" s="116" t="str">
        <f t="shared" si="132"/>
        <v>96-966200418</v>
      </c>
      <c r="C8497" s="185" t="s">
        <v>12209</v>
      </c>
    </row>
    <row r="8498" spans="1:3">
      <c r="A8498" s="184">
        <v>962000374</v>
      </c>
      <c r="B8498" s="116" t="str">
        <f t="shared" si="132"/>
        <v>96-962000374</v>
      </c>
      <c r="C8498" s="185" t="s">
        <v>12208</v>
      </c>
    </row>
    <row r="8499" spans="1:3">
      <c r="A8499" s="184">
        <v>962000368</v>
      </c>
      <c r="B8499" s="116" t="str">
        <f t="shared" si="132"/>
        <v>96-962000368</v>
      </c>
      <c r="C8499" s="185" t="s">
        <v>12208</v>
      </c>
    </row>
    <row r="8500" spans="1:3">
      <c r="A8500" s="184">
        <v>966200413</v>
      </c>
      <c r="B8500" s="116" t="str">
        <f t="shared" si="132"/>
        <v>96-966200413</v>
      </c>
      <c r="C8500" s="185" t="s">
        <v>12216</v>
      </c>
    </row>
    <row r="8501" spans="1:3">
      <c r="A8501" s="184">
        <v>962000389</v>
      </c>
      <c r="B8501" s="116" t="str">
        <f t="shared" si="132"/>
        <v>96-962000389</v>
      </c>
      <c r="C8501" s="185" t="s">
        <v>12208</v>
      </c>
    </row>
    <row r="8502" spans="1:3">
      <c r="A8502" s="184">
        <v>966200387</v>
      </c>
      <c r="B8502" s="116" t="str">
        <f t="shared" si="132"/>
        <v>96-966200387</v>
      </c>
      <c r="C8502" s="185" t="s">
        <v>12204</v>
      </c>
    </row>
    <row r="8503" spans="1:3">
      <c r="A8503" s="184">
        <v>966200385</v>
      </c>
      <c r="B8503" s="116" t="str">
        <f t="shared" si="132"/>
        <v>96-966200385</v>
      </c>
      <c r="C8503" s="185" t="s">
        <v>12204</v>
      </c>
    </row>
    <row r="8504" spans="1:3">
      <c r="A8504" s="184">
        <v>961100118</v>
      </c>
      <c r="B8504" s="116" t="str">
        <f t="shared" si="132"/>
        <v>96-961100118</v>
      </c>
      <c r="C8504" s="185" t="s">
        <v>13158</v>
      </c>
    </row>
    <row r="8505" spans="1:3">
      <c r="A8505" s="184">
        <v>966200660</v>
      </c>
      <c r="B8505" s="116" t="str">
        <f t="shared" si="132"/>
        <v>96-966200660</v>
      </c>
      <c r="C8505" s="185" t="s">
        <v>13159</v>
      </c>
    </row>
    <row r="8506" spans="1:3">
      <c r="A8506" s="184">
        <v>966200682</v>
      </c>
      <c r="B8506" s="116" t="str">
        <f t="shared" si="132"/>
        <v>96-966200682</v>
      </c>
      <c r="C8506" s="185" t="s">
        <v>13046</v>
      </c>
    </row>
    <row r="8507" spans="1:3">
      <c r="A8507" s="184">
        <v>966000042</v>
      </c>
      <c r="B8507" s="116" t="str">
        <f t="shared" si="132"/>
        <v>96-966000042</v>
      </c>
      <c r="C8507" s="185" t="s">
        <v>7968</v>
      </c>
    </row>
    <row r="8508" spans="1:3">
      <c r="A8508" s="184">
        <v>961100124</v>
      </c>
      <c r="B8508" s="116" t="str">
        <f t="shared" si="132"/>
        <v>96-961100124</v>
      </c>
      <c r="C8508" s="185" t="s">
        <v>13160</v>
      </c>
    </row>
    <row r="8509" spans="1:3">
      <c r="A8509" s="184">
        <v>966200424</v>
      </c>
      <c r="B8509" s="116" t="str">
        <f t="shared" si="132"/>
        <v>96-966200424</v>
      </c>
      <c r="C8509" s="185" t="s">
        <v>12205</v>
      </c>
    </row>
    <row r="8510" spans="1:3">
      <c r="A8510" s="184">
        <v>961100131</v>
      </c>
      <c r="B8510" s="116" t="str">
        <f t="shared" si="132"/>
        <v>96-961100131</v>
      </c>
      <c r="C8510" s="185" t="s">
        <v>13161</v>
      </c>
    </row>
    <row r="8511" spans="1:3">
      <c r="A8511" s="184">
        <v>966200431</v>
      </c>
      <c r="B8511" s="116" t="str">
        <f t="shared" si="132"/>
        <v>96-966200431</v>
      </c>
      <c r="C8511" s="185" t="s">
        <v>12205</v>
      </c>
    </row>
    <row r="8512" spans="1:3">
      <c r="A8512" s="184">
        <v>961100101</v>
      </c>
      <c r="B8512" s="116" t="str">
        <f t="shared" si="132"/>
        <v>96-961100101</v>
      </c>
      <c r="C8512" s="185" t="s">
        <v>12304</v>
      </c>
    </row>
    <row r="8513" spans="1:3">
      <c r="A8513" s="184">
        <v>966000048</v>
      </c>
      <c r="B8513" s="116" t="str">
        <f t="shared" si="132"/>
        <v>96-966000048</v>
      </c>
      <c r="C8513" s="185" t="s">
        <v>13162</v>
      </c>
    </row>
    <row r="8514" spans="1:3">
      <c r="A8514" s="184">
        <v>966200532</v>
      </c>
      <c r="B8514" s="116" t="str">
        <f t="shared" si="132"/>
        <v>96-966200532</v>
      </c>
      <c r="C8514" s="185" t="s">
        <v>12416</v>
      </c>
    </row>
    <row r="8515" spans="1:3">
      <c r="A8515" s="184">
        <v>972000018</v>
      </c>
      <c r="B8515" s="116" t="str">
        <f t="shared" ref="B8515:B8578" si="133">MID(A8515,1,2)&amp;"-"&amp;A8515</f>
        <v>97-972000018</v>
      </c>
      <c r="C8515" s="185" t="s">
        <v>13009</v>
      </c>
    </row>
    <row r="8516" spans="1:3">
      <c r="A8516" s="184">
        <v>966200566</v>
      </c>
      <c r="B8516" s="116" t="str">
        <f t="shared" si="133"/>
        <v>96-966200566</v>
      </c>
      <c r="C8516" s="185" t="s">
        <v>13157</v>
      </c>
    </row>
    <row r="8517" spans="1:3">
      <c r="A8517" s="184">
        <v>966200408</v>
      </c>
      <c r="B8517" s="116" t="str">
        <f t="shared" si="133"/>
        <v>96-966200408</v>
      </c>
      <c r="C8517" s="185" t="s">
        <v>12210</v>
      </c>
    </row>
    <row r="8518" spans="1:3">
      <c r="A8518" s="184">
        <v>966200512</v>
      </c>
      <c r="B8518" s="116" t="str">
        <f t="shared" si="133"/>
        <v>96-966200512</v>
      </c>
      <c r="C8518" s="185" t="s">
        <v>12452</v>
      </c>
    </row>
    <row r="8519" spans="1:3">
      <c r="A8519" s="184">
        <v>966200631</v>
      </c>
      <c r="B8519" s="116" t="str">
        <f t="shared" si="133"/>
        <v>96-966200631</v>
      </c>
      <c r="C8519" s="185" t="s">
        <v>13163</v>
      </c>
    </row>
    <row r="8520" spans="1:3">
      <c r="A8520" s="184">
        <v>966200577</v>
      </c>
      <c r="B8520" s="116" t="str">
        <f t="shared" si="133"/>
        <v>96-966200577</v>
      </c>
      <c r="C8520" s="185" t="s">
        <v>13164</v>
      </c>
    </row>
    <row r="8521" spans="1:3">
      <c r="A8521" s="184">
        <v>961100137</v>
      </c>
      <c r="B8521" s="116" t="str">
        <f t="shared" si="133"/>
        <v>96-961100137</v>
      </c>
      <c r="C8521" s="185" t="s">
        <v>13165</v>
      </c>
    </row>
    <row r="8522" spans="1:3">
      <c r="A8522" s="184">
        <v>961500886</v>
      </c>
      <c r="B8522" s="116" t="str">
        <f t="shared" si="133"/>
        <v>96-961500886</v>
      </c>
      <c r="C8522" s="185" t="s">
        <v>12429</v>
      </c>
    </row>
    <row r="8523" spans="1:3">
      <c r="A8523" s="184">
        <v>961100114</v>
      </c>
      <c r="B8523" s="116" t="str">
        <f t="shared" si="133"/>
        <v>96-961100114</v>
      </c>
      <c r="C8523" s="185" t="s">
        <v>12451</v>
      </c>
    </row>
    <row r="8524" spans="1:3">
      <c r="A8524" s="184">
        <v>961100100</v>
      </c>
      <c r="B8524" s="116" t="str">
        <f t="shared" si="133"/>
        <v>96-961100100</v>
      </c>
      <c r="C8524" s="185" t="s">
        <v>12301</v>
      </c>
    </row>
    <row r="8525" spans="1:3">
      <c r="A8525" s="184">
        <v>966200649</v>
      </c>
      <c r="B8525" s="116" t="str">
        <f t="shared" si="133"/>
        <v>96-966200649</v>
      </c>
      <c r="C8525" s="185" t="s">
        <v>13062</v>
      </c>
    </row>
    <row r="8526" spans="1:3">
      <c r="A8526" s="184">
        <v>962000274</v>
      </c>
      <c r="B8526" s="116" t="str">
        <f t="shared" si="133"/>
        <v>96-962000274</v>
      </c>
      <c r="C8526" s="185" t="s">
        <v>12215</v>
      </c>
    </row>
    <row r="8527" spans="1:3">
      <c r="A8527" s="184">
        <v>966200381</v>
      </c>
      <c r="B8527" s="116" t="str">
        <f t="shared" si="133"/>
        <v>96-966200381</v>
      </c>
      <c r="C8527" s="185" t="s">
        <v>12204</v>
      </c>
    </row>
    <row r="8528" spans="1:3">
      <c r="A8528" s="184">
        <v>966200383</v>
      </c>
      <c r="B8528" s="116" t="str">
        <f t="shared" si="133"/>
        <v>96-966200383</v>
      </c>
      <c r="C8528" s="185" t="s">
        <v>12204</v>
      </c>
    </row>
    <row r="8529" spans="1:3">
      <c r="A8529" s="184">
        <v>966200403</v>
      </c>
      <c r="B8529" s="116" t="str">
        <f t="shared" si="133"/>
        <v>96-966200403</v>
      </c>
      <c r="C8529" s="185" t="s">
        <v>12204</v>
      </c>
    </row>
    <row r="8530" spans="1:3">
      <c r="A8530" s="184">
        <v>966200415</v>
      </c>
      <c r="B8530" s="116" t="str">
        <f t="shared" si="133"/>
        <v>96-966200415</v>
      </c>
      <c r="C8530" s="185" t="s">
        <v>12216</v>
      </c>
    </row>
    <row r="8531" spans="1:3">
      <c r="A8531" s="184">
        <v>966200562</v>
      </c>
      <c r="B8531" s="116" t="str">
        <f t="shared" si="133"/>
        <v>96-966200562</v>
      </c>
      <c r="C8531" s="185" t="s">
        <v>13166</v>
      </c>
    </row>
    <row r="8532" spans="1:3">
      <c r="A8532" s="184">
        <v>962000366</v>
      </c>
      <c r="B8532" s="116" t="str">
        <f t="shared" si="133"/>
        <v>96-962000366</v>
      </c>
      <c r="C8532" s="185" t="s">
        <v>12208</v>
      </c>
    </row>
    <row r="8533" spans="1:3">
      <c r="A8533" s="184">
        <v>961500842</v>
      </c>
      <c r="B8533" s="116" t="str">
        <f t="shared" si="133"/>
        <v>96-961500842</v>
      </c>
      <c r="C8533" s="185" t="s">
        <v>12427</v>
      </c>
    </row>
    <row r="8534" spans="1:3">
      <c r="A8534" s="184">
        <v>966000046</v>
      </c>
      <c r="B8534" s="116" t="str">
        <f t="shared" si="133"/>
        <v>96-966000046</v>
      </c>
      <c r="C8534" s="185" t="s">
        <v>7146</v>
      </c>
    </row>
    <row r="8535" spans="1:3">
      <c r="A8535" s="184">
        <v>966200389</v>
      </c>
      <c r="B8535" s="116" t="str">
        <f t="shared" si="133"/>
        <v>96-966200389</v>
      </c>
      <c r="C8535" s="185" t="s">
        <v>12204</v>
      </c>
    </row>
    <row r="8536" spans="1:3">
      <c r="A8536" s="184">
        <v>966200438</v>
      </c>
      <c r="B8536" s="116" t="str">
        <f t="shared" si="133"/>
        <v>96-966200438</v>
      </c>
      <c r="C8536" s="185" t="s">
        <v>12206</v>
      </c>
    </row>
    <row r="8537" spans="1:3">
      <c r="A8537" s="184">
        <v>966200409</v>
      </c>
      <c r="B8537" s="116" t="str">
        <f t="shared" si="133"/>
        <v>96-966200409</v>
      </c>
      <c r="C8537" s="185" t="s">
        <v>12204</v>
      </c>
    </row>
    <row r="8538" spans="1:3">
      <c r="A8538" s="184">
        <v>966200405</v>
      </c>
      <c r="B8538" s="116" t="str">
        <f t="shared" si="133"/>
        <v>96-966200405</v>
      </c>
      <c r="C8538" s="185" t="s">
        <v>12204</v>
      </c>
    </row>
    <row r="8539" spans="1:3">
      <c r="A8539" s="184">
        <v>962000364</v>
      </c>
      <c r="B8539" s="116" t="str">
        <f t="shared" si="133"/>
        <v>96-962000364</v>
      </c>
      <c r="C8539" s="185" t="s">
        <v>12208</v>
      </c>
    </row>
    <row r="8540" spans="1:3">
      <c r="A8540" s="184">
        <v>962000369</v>
      </c>
      <c r="B8540" s="116" t="str">
        <f t="shared" si="133"/>
        <v>96-962000369</v>
      </c>
      <c r="C8540" s="185" t="s">
        <v>12208</v>
      </c>
    </row>
    <row r="8541" spans="1:3">
      <c r="A8541" s="184">
        <v>962000357</v>
      </c>
      <c r="B8541" s="116" t="str">
        <f t="shared" si="133"/>
        <v>96-962000357</v>
      </c>
      <c r="C8541" s="185" t="s">
        <v>12208</v>
      </c>
    </row>
    <row r="8542" spans="1:3">
      <c r="A8542" s="184">
        <v>966200745</v>
      </c>
      <c r="B8542" s="116" t="str">
        <f t="shared" si="133"/>
        <v>96-966200745</v>
      </c>
      <c r="C8542" s="185" t="s">
        <v>13045</v>
      </c>
    </row>
    <row r="8543" spans="1:3">
      <c r="A8543" s="184">
        <v>966200391</v>
      </c>
      <c r="B8543" s="116" t="str">
        <f t="shared" si="133"/>
        <v>96-966200391</v>
      </c>
      <c r="C8543" s="185" t="s">
        <v>12204</v>
      </c>
    </row>
    <row r="8544" spans="1:3">
      <c r="A8544" s="184">
        <v>966200433</v>
      </c>
      <c r="B8544" s="116" t="str">
        <f t="shared" si="133"/>
        <v>96-966200433</v>
      </c>
      <c r="C8544" s="185" t="s">
        <v>12205</v>
      </c>
    </row>
    <row r="8545" spans="1:3">
      <c r="A8545" s="184">
        <v>966200451</v>
      </c>
      <c r="B8545" s="116" t="str">
        <f t="shared" si="133"/>
        <v>96-966200451</v>
      </c>
      <c r="C8545" s="185" t="s">
        <v>12207</v>
      </c>
    </row>
    <row r="8546" spans="1:3">
      <c r="A8546" s="184">
        <v>966200406</v>
      </c>
      <c r="B8546" s="116" t="str">
        <f t="shared" si="133"/>
        <v>96-966200406</v>
      </c>
      <c r="C8546" s="185" t="s">
        <v>12204</v>
      </c>
    </row>
    <row r="8547" spans="1:3">
      <c r="A8547" s="184">
        <v>966000044</v>
      </c>
      <c r="B8547" s="116" t="str">
        <f t="shared" si="133"/>
        <v>96-966000044</v>
      </c>
      <c r="C8547" s="185" t="s">
        <v>12417</v>
      </c>
    </row>
    <row r="8548" spans="1:3">
      <c r="A8548" s="184">
        <v>966000045</v>
      </c>
      <c r="B8548" s="116" t="str">
        <f t="shared" si="133"/>
        <v>96-966000045</v>
      </c>
      <c r="C8548" s="185" t="s">
        <v>7146</v>
      </c>
    </row>
    <row r="8549" spans="1:3">
      <c r="A8549" s="184">
        <v>966200435</v>
      </c>
      <c r="B8549" s="116" t="str">
        <f t="shared" si="133"/>
        <v>96-966200435</v>
      </c>
      <c r="C8549" s="185" t="s">
        <v>12205</v>
      </c>
    </row>
    <row r="8550" spans="1:3">
      <c r="A8550" s="184">
        <v>961200123</v>
      </c>
      <c r="B8550" s="116" t="str">
        <f t="shared" si="133"/>
        <v>96-961200123</v>
      </c>
      <c r="C8550" s="185" t="s">
        <v>9765</v>
      </c>
    </row>
    <row r="8551" spans="1:3">
      <c r="A8551" s="184">
        <v>961200177</v>
      </c>
      <c r="B8551" s="116" t="str">
        <f t="shared" si="133"/>
        <v>96-961200177</v>
      </c>
      <c r="C8551" s="185" t="s">
        <v>12421</v>
      </c>
    </row>
    <row r="8552" spans="1:3">
      <c r="A8552" s="184">
        <v>961200198</v>
      </c>
      <c r="B8552" s="116" t="str">
        <f t="shared" si="133"/>
        <v>96-961200198</v>
      </c>
      <c r="C8552" s="185" t="s">
        <v>12421</v>
      </c>
    </row>
    <row r="8553" spans="1:3">
      <c r="A8553" s="184">
        <v>961200206</v>
      </c>
      <c r="B8553" s="116" t="str">
        <f t="shared" si="133"/>
        <v>96-961200206</v>
      </c>
      <c r="C8553" s="185" t="s">
        <v>12666</v>
      </c>
    </row>
    <row r="8554" spans="1:3">
      <c r="A8554" s="184">
        <v>961500739</v>
      </c>
      <c r="B8554" s="116" t="str">
        <f t="shared" si="133"/>
        <v>96-961500739</v>
      </c>
      <c r="C8554" s="185" t="s">
        <v>9769</v>
      </c>
    </row>
    <row r="8555" spans="1:3">
      <c r="A8555" s="184">
        <v>961500771</v>
      </c>
      <c r="B8555" s="116" t="str">
        <f t="shared" si="133"/>
        <v>96-961500771</v>
      </c>
      <c r="C8555" s="185" t="s">
        <v>9763</v>
      </c>
    </row>
    <row r="8556" spans="1:3">
      <c r="A8556" s="184">
        <v>961500785</v>
      </c>
      <c r="B8556" s="116" t="str">
        <f t="shared" si="133"/>
        <v>96-961500785</v>
      </c>
      <c r="C8556" s="185" t="s">
        <v>12260</v>
      </c>
    </row>
    <row r="8557" spans="1:3">
      <c r="A8557" s="184">
        <v>961500808</v>
      </c>
      <c r="B8557" s="116" t="str">
        <f t="shared" si="133"/>
        <v>96-961500808</v>
      </c>
      <c r="C8557" s="185" t="s">
        <v>12260</v>
      </c>
    </row>
    <row r="8558" spans="1:3">
      <c r="A8558" s="184">
        <v>961500895</v>
      </c>
      <c r="B8558" s="116" t="str">
        <f t="shared" si="133"/>
        <v>96-961500895</v>
      </c>
      <c r="C8558" s="185" t="s">
        <v>12429</v>
      </c>
    </row>
    <row r="8559" spans="1:3">
      <c r="A8559" s="184">
        <v>961500910</v>
      </c>
      <c r="B8559" s="116" t="str">
        <f t="shared" si="133"/>
        <v>96-961500910</v>
      </c>
      <c r="C8559" s="185" t="s">
        <v>12429</v>
      </c>
    </row>
    <row r="8560" spans="1:3">
      <c r="A8560" s="184">
        <v>961500930</v>
      </c>
      <c r="B8560" s="116" t="str">
        <f t="shared" si="133"/>
        <v>96-961500930</v>
      </c>
      <c r="C8560" s="185" t="s">
        <v>12429</v>
      </c>
    </row>
    <row r="8561" spans="1:3">
      <c r="A8561" s="184">
        <v>961500958</v>
      </c>
      <c r="B8561" s="116" t="str">
        <f t="shared" si="133"/>
        <v>96-961500958</v>
      </c>
      <c r="C8561" s="185" t="s">
        <v>12668</v>
      </c>
    </row>
    <row r="8562" spans="1:3">
      <c r="A8562" s="184">
        <v>961500975</v>
      </c>
      <c r="B8562" s="116" t="str">
        <f t="shared" si="133"/>
        <v>96-961500975</v>
      </c>
      <c r="C8562" s="185" t="s">
        <v>12668</v>
      </c>
    </row>
    <row r="8563" spans="1:3">
      <c r="A8563" s="184">
        <v>961500977</v>
      </c>
      <c r="B8563" s="116" t="str">
        <f t="shared" si="133"/>
        <v>96-961500977</v>
      </c>
      <c r="C8563" s="185" t="s">
        <v>12668</v>
      </c>
    </row>
    <row r="8564" spans="1:3">
      <c r="A8564" s="184">
        <v>961500994</v>
      </c>
      <c r="B8564" s="116" t="str">
        <f t="shared" si="133"/>
        <v>96-961500994</v>
      </c>
      <c r="C8564" s="185" t="s">
        <v>12934</v>
      </c>
    </row>
    <row r="8565" spans="1:3">
      <c r="A8565" s="184">
        <v>961501039</v>
      </c>
      <c r="B8565" s="116" t="str">
        <f t="shared" si="133"/>
        <v>96-961501039</v>
      </c>
      <c r="C8565" s="185" t="s">
        <v>12934</v>
      </c>
    </row>
    <row r="8566" spans="1:3">
      <c r="A8566" s="184">
        <v>961501050</v>
      </c>
      <c r="B8566" s="116" t="str">
        <f t="shared" si="133"/>
        <v>96-961501050</v>
      </c>
      <c r="C8566" s="185" t="s">
        <v>12934</v>
      </c>
    </row>
    <row r="8567" spans="1:3">
      <c r="A8567" s="184">
        <v>971500002</v>
      </c>
      <c r="B8567" s="116" t="str">
        <f t="shared" si="133"/>
        <v>97-971500002</v>
      </c>
      <c r="C8567" s="185" t="s">
        <v>12934</v>
      </c>
    </row>
    <row r="8568" spans="1:3">
      <c r="A8568" s="184">
        <v>961500698</v>
      </c>
      <c r="B8568" s="116" t="str">
        <f t="shared" si="133"/>
        <v>96-961500698</v>
      </c>
      <c r="C8568" s="185" t="s">
        <v>9770</v>
      </c>
    </row>
    <row r="8569" spans="1:3">
      <c r="A8569" s="184">
        <v>961500728</v>
      </c>
      <c r="B8569" s="116" t="str">
        <f t="shared" si="133"/>
        <v>96-961500728</v>
      </c>
      <c r="C8569" s="185" t="s">
        <v>9770</v>
      </c>
    </row>
    <row r="8570" spans="1:3">
      <c r="A8570" s="184">
        <v>961500784</v>
      </c>
      <c r="B8570" s="116" t="str">
        <f t="shared" si="133"/>
        <v>96-961500784</v>
      </c>
      <c r="C8570" s="185" t="s">
        <v>12306</v>
      </c>
    </row>
    <row r="8571" spans="1:3">
      <c r="A8571" s="184">
        <v>961500819</v>
      </c>
      <c r="B8571" s="116" t="str">
        <f t="shared" si="133"/>
        <v>96-961500819</v>
      </c>
      <c r="C8571" s="185" t="s">
        <v>12306</v>
      </c>
    </row>
    <row r="8572" spans="1:3">
      <c r="A8572" s="184">
        <v>961500828</v>
      </c>
      <c r="B8572" s="116" t="str">
        <f t="shared" si="133"/>
        <v>96-961500828</v>
      </c>
      <c r="C8572" s="185" t="s">
        <v>12306</v>
      </c>
    </row>
    <row r="8573" spans="1:3">
      <c r="A8573" s="184">
        <v>961500968</v>
      </c>
      <c r="B8573" s="116" t="str">
        <f t="shared" si="133"/>
        <v>96-961500968</v>
      </c>
      <c r="C8573" s="185" t="s">
        <v>12673</v>
      </c>
    </row>
    <row r="8574" spans="1:3">
      <c r="A8574" s="184">
        <v>961500750</v>
      </c>
      <c r="B8574" s="116" t="str">
        <f t="shared" si="133"/>
        <v>96-961500750</v>
      </c>
      <c r="C8574" s="185" t="s">
        <v>9789</v>
      </c>
    </row>
    <row r="8575" spans="1:3">
      <c r="A8575" s="184">
        <v>961500778</v>
      </c>
      <c r="B8575" s="116" t="str">
        <f t="shared" si="133"/>
        <v>96-961500778</v>
      </c>
      <c r="C8575" s="185" t="s">
        <v>9790</v>
      </c>
    </row>
    <row r="8576" spans="1:3">
      <c r="A8576" s="184">
        <v>961500794</v>
      </c>
      <c r="B8576" s="116" t="str">
        <f t="shared" si="133"/>
        <v>96-961500794</v>
      </c>
      <c r="C8576" s="185" t="s">
        <v>12218</v>
      </c>
    </row>
    <row r="8577" spans="1:3">
      <c r="A8577" s="184">
        <v>961500810</v>
      </c>
      <c r="B8577" s="116" t="str">
        <f t="shared" si="133"/>
        <v>96-961500810</v>
      </c>
      <c r="C8577" s="185" t="s">
        <v>12221</v>
      </c>
    </row>
    <row r="8578" spans="1:3">
      <c r="A8578" s="184">
        <v>961500817</v>
      </c>
      <c r="B8578" s="116" t="str">
        <f t="shared" si="133"/>
        <v>96-961500817</v>
      </c>
      <c r="C8578" s="185" t="s">
        <v>12221</v>
      </c>
    </row>
    <row r="8579" spans="1:3">
      <c r="A8579" s="184">
        <v>961500820</v>
      </c>
      <c r="B8579" s="116" t="str">
        <f t="shared" ref="B8579:B8642" si="134">MID(A8579,1,2)&amp;"-"&amp;A8579</f>
        <v>96-961500820</v>
      </c>
      <c r="C8579" s="185" t="s">
        <v>12221</v>
      </c>
    </row>
    <row r="8580" spans="1:3">
      <c r="A8580" s="184">
        <v>961500846</v>
      </c>
      <c r="B8580" s="116" t="str">
        <f t="shared" si="134"/>
        <v>96-961500846</v>
      </c>
      <c r="C8580" s="185" t="s">
        <v>12414</v>
      </c>
    </row>
    <row r="8581" spans="1:3">
      <c r="A8581" s="184">
        <v>961500853</v>
      </c>
      <c r="B8581" s="116" t="str">
        <f t="shared" si="134"/>
        <v>96-961500853</v>
      </c>
      <c r="C8581" s="185" t="s">
        <v>12414</v>
      </c>
    </row>
    <row r="8582" spans="1:3">
      <c r="A8582" s="184">
        <v>961500872</v>
      </c>
      <c r="B8582" s="116" t="str">
        <f t="shared" si="134"/>
        <v>96-961500872</v>
      </c>
      <c r="C8582" s="185" t="s">
        <v>12414</v>
      </c>
    </row>
    <row r="8583" spans="1:3">
      <c r="A8583" s="184">
        <v>961500896</v>
      </c>
      <c r="B8583" s="116" t="str">
        <f t="shared" si="134"/>
        <v>96-961500896</v>
      </c>
      <c r="C8583" s="185" t="s">
        <v>12414</v>
      </c>
    </row>
    <row r="8584" spans="1:3">
      <c r="A8584" s="184">
        <v>961500941</v>
      </c>
      <c r="B8584" s="116" t="str">
        <f t="shared" si="134"/>
        <v>96-961500941</v>
      </c>
      <c r="C8584" s="185" t="s">
        <v>12414</v>
      </c>
    </row>
    <row r="8585" spans="1:3">
      <c r="A8585" s="184">
        <v>961501017</v>
      </c>
      <c r="B8585" s="116" t="str">
        <f t="shared" si="134"/>
        <v>96-961501017</v>
      </c>
      <c r="C8585" s="185" t="s">
        <v>12669</v>
      </c>
    </row>
    <row r="8586" spans="1:3">
      <c r="A8586" s="184">
        <v>971500021</v>
      </c>
      <c r="B8586" s="116" t="str">
        <f t="shared" si="134"/>
        <v>97-971500021</v>
      </c>
      <c r="C8586" s="185" t="s">
        <v>12669</v>
      </c>
    </row>
    <row r="8587" spans="1:3">
      <c r="A8587" s="184">
        <v>961500763</v>
      </c>
      <c r="B8587" s="116" t="str">
        <f t="shared" si="134"/>
        <v>96-961500763</v>
      </c>
      <c r="C8587" s="185" t="s">
        <v>9794</v>
      </c>
    </row>
    <row r="8588" spans="1:3">
      <c r="A8588" s="184">
        <v>961500789</v>
      </c>
      <c r="B8588" s="116" t="str">
        <f t="shared" si="134"/>
        <v>96-961500789</v>
      </c>
      <c r="C8588" s="185" t="s">
        <v>12220</v>
      </c>
    </row>
    <row r="8589" spans="1:3">
      <c r="A8589" s="184">
        <v>961500800</v>
      </c>
      <c r="B8589" s="116" t="str">
        <f t="shared" si="134"/>
        <v>96-961500800</v>
      </c>
      <c r="C8589" s="185" t="s">
        <v>12220</v>
      </c>
    </row>
    <row r="8590" spans="1:3">
      <c r="A8590" s="184">
        <v>961500807</v>
      </c>
      <c r="B8590" s="116" t="str">
        <f t="shared" si="134"/>
        <v>96-961500807</v>
      </c>
      <c r="C8590" s="185" t="s">
        <v>12220</v>
      </c>
    </row>
    <row r="8591" spans="1:3">
      <c r="A8591" s="184">
        <v>961500890</v>
      </c>
      <c r="B8591" s="116" t="str">
        <f t="shared" si="134"/>
        <v>96-961500890</v>
      </c>
      <c r="C8591" s="185" t="s">
        <v>12424</v>
      </c>
    </row>
    <row r="8592" spans="1:3">
      <c r="A8592" s="184">
        <v>961500874</v>
      </c>
      <c r="B8592" s="116" t="str">
        <f t="shared" si="134"/>
        <v>96-961500874</v>
      </c>
      <c r="C8592" s="185" t="s">
        <v>12676</v>
      </c>
    </row>
    <row r="8593" spans="1:3">
      <c r="A8593" s="184">
        <v>961500866</v>
      </c>
      <c r="B8593" s="116" t="str">
        <f t="shared" si="134"/>
        <v>96-961500866</v>
      </c>
      <c r="C8593" s="185" t="s">
        <v>12675</v>
      </c>
    </row>
    <row r="8594" spans="1:3">
      <c r="A8594" s="184">
        <v>961200142</v>
      </c>
      <c r="B8594" s="116" t="str">
        <f t="shared" si="134"/>
        <v>96-961200142</v>
      </c>
      <c r="C8594" s="185" t="s">
        <v>9778</v>
      </c>
    </row>
    <row r="8595" spans="1:3">
      <c r="A8595" s="184">
        <v>961200149</v>
      </c>
      <c r="B8595" s="116" t="str">
        <f t="shared" si="134"/>
        <v>96-961200149</v>
      </c>
      <c r="C8595" s="185" t="s">
        <v>9778</v>
      </c>
    </row>
    <row r="8596" spans="1:3">
      <c r="A8596" s="184">
        <v>961500880</v>
      </c>
      <c r="B8596" s="116" t="str">
        <f t="shared" si="134"/>
        <v>96-961500880</v>
      </c>
      <c r="C8596" s="185" t="s">
        <v>12428</v>
      </c>
    </row>
    <row r="8597" spans="1:3">
      <c r="A8597" s="184">
        <v>961500905</v>
      </c>
      <c r="B8597" s="116" t="str">
        <f t="shared" si="134"/>
        <v>96-961500905</v>
      </c>
      <c r="C8597" s="185" t="s">
        <v>12428</v>
      </c>
    </row>
    <row r="8598" spans="1:3">
      <c r="A8598" s="184">
        <v>961500926</v>
      </c>
      <c r="B8598" s="116" t="str">
        <f t="shared" si="134"/>
        <v>96-961500926</v>
      </c>
      <c r="C8598" s="185" t="s">
        <v>12428</v>
      </c>
    </row>
    <row r="8599" spans="1:3">
      <c r="A8599" s="184">
        <v>961500954</v>
      </c>
      <c r="B8599" s="116" t="str">
        <f t="shared" si="134"/>
        <v>96-961500954</v>
      </c>
      <c r="C8599" s="185" t="s">
        <v>12672</v>
      </c>
    </row>
    <row r="8600" spans="1:3">
      <c r="A8600" s="184">
        <v>961500965</v>
      </c>
      <c r="B8600" s="116" t="str">
        <f t="shared" si="134"/>
        <v>96-961500965</v>
      </c>
      <c r="C8600" s="185" t="s">
        <v>12672</v>
      </c>
    </row>
    <row r="8601" spans="1:3">
      <c r="A8601" s="184">
        <v>961501024</v>
      </c>
      <c r="B8601" s="116" t="str">
        <f t="shared" si="134"/>
        <v>96-961501024</v>
      </c>
      <c r="C8601" s="185" t="s">
        <v>12672</v>
      </c>
    </row>
    <row r="8602" spans="1:3">
      <c r="A8602" s="184">
        <v>971500031</v>
      </c>
      <c r="B8602" s="116" t="str">
        <f t="shared" si="134"/>
        <v>97-971500031</v>
      </c>
      <c r="C8602" s="185" t="s">
        <v>12672</v>
      </c>
    </row>
    <row r="8603" spans="1:3">
      <c r="A8603" s="184">
        <v>961500816</v>
      </c>
      <c r="B8603" s="116" t="str">
        <f t="shared" si="134"/>
        <v>96-961500816</v>
      </c>
      <c r="C8603" s="185" t="s">
        <v>12425</v>
      </c>
    </row>
    <row r="8604" spans="1:3">
      <c r="A8604" s="184">
        <v>961500924</v>
      </c>
      <c r="B8604" s="116" t="str">
        <f t="shared" si="134"/>
        <v>96-961500924</v>
      </c>
      <c r="C8604" s="185" t="s">
        <v>12677</v>
      </c>
    </row>
    <row r="8605" spans="1:3">
      <c r="A8605" s="184">
        <v>961500986</v>
      </c>
      <c r="B8605" s="116" t="str">
        <f t="shared" si="134"/>
        <v>96-961500986</v>
      </c>
      <c r="C8605" s="185" t="s">
        <v>12677</v>
      </c>
    </row>
    <row r="8606" spans="1:3">
      <c r="A8606" s="184">
        <v>961500997</v>
      </c>
      <c r="B8606" s="116" t="str">
        <f t="shared" si="134"/>
        <v>96-961500997</v>
      </c>
      <c r="C8606" s="185" t="s">
        <v>12677</v>
      </c>
    </row>
    <row r="8607" spans="1:3">
      <c r="A8607" s="184">
        <v>961501014</v>
      </c>
      <c r="B8607" s="116" t="str">
        <f t="shared" si="134"/>
        <v>96-961501014</v>
      </c>
      <c r="C8607" s="185" t="s">
        <v>12677</v>
      </c>
    </row>
    <row r="8608" spans="1:3">
      <c r="A8608" s="184">
        <v>971500017</v>
      </c>
      <c r="B8608" s="116" t="str">
        <f t="shared" si="134"/>
        <v>97-971500017</v>
      </c>
      <c r="C8608" s="185" t="s">
        <v>12939</v>
      </c>
    </row>
    <row r="8609" spans="1:3">
      <c r="A8609" s="184">
        <v>971500030</v>
      </c>
      <c r="B8609" s="116" t="str">
        <f t="shared" si="134"/>
        <v>97-971500030</v>
      </c>
      <c r="C8609" s="185" t="s">
        <v>12939</v>
      </c>
    </row>
    <row r="8610" spans="1:3">
      <c r="A8610" s="184">
        <v>966200692</v>
      </c>
      <c r="B8610" s="116" t="str">
        <f t="shared" si="134"/>
        <v>96-966200692</v>
      </c>
      <c r="C8610" s="185" t="s">
        <v>13079</v>
      </c>
    </row>
    <row r="8611" spans="1:3">
      <c r="A8611" s="184">
        <v>966200762</v>
      </c>
      <c r="B8611" s="116" t="str">
        <f t="shared" si="134"/>
        <v>96-966200762</v>
      </c>
      <c r="C8611" s="185" t="s">
        <v>13014</v>
      </c>
    </row>
    <row r="8612" spans="1:3">
      <c r="A8612" s="184">
        <v>961100134</v>
      </c>
      <c r="B8612" s="116" t="str">
        <f t="shared" si="134"/>
        <v>96-961100134</v>
      </c>
      <c r="C8612" s="185" t="s">
        <v>13167</v>
      </c>
    </row>
    <row r="8613" spans="1:3">
      <c r="A8613" s="184">
        <v>962000328</v>
      </c>
      <c r="B8613" s="116" t="str">
        <f t="shared" si="134"/>
        <v>96-962000328</v>
      </c>
      <c r="C8613" s="185" t="s">
        <v>7112</v>
      </c>
    </row>
    <row r="8614" spans="1:3">
      <c r="A8614" s="184">
        <v>962000268</v>
      </c>
      <c r="B8614" s="116" t="str">
        <f t="shared" si="134"/>
        <v>96-962000268</v>
      </c>
      <c r="C8614" s="185" t="s">
        <v>7112</v>
      </c>
    </row>
    <row r="8615" spans="1:3">
      <c r="A8615" s="184">
        <v>961100130</v>
      </c>
      <c r="B8615" s="116" t="str">
        <f t="shared" si="134"/>
        <v>96-961100130</v>
      </c>
      <c r="C8615" s="185" t="s">
        <v>13168</v>
      </c>
    </row>
    <row r="8616" spans="1:3">
      <c r="A8616" s="184">
        <v>966300046</v>
      </c>
      <c r="B8616" s="116" t="str">
        <f t="shared" si="134"/>
        <v>96-966300046</v>
      </c>
      <c r="C8616" s="185" t="s">
        <v>12263</v>
      </c>
    </row>
    <row r="8617" spans="1:3">
      <c r="A8617" s="184">
        <v>962000488</v>
      </c>
      <c r="B8617" s="116" t="str">
        <f t="shared" si="134"/>
        <v>96-962000488</v>
      </c>
      <c r="C8617" s="185" t="s">
        <v>12184</v>
      </c>
    </row>
    <row r="8618" spans="1:3">
      <c r="A8618" s="184">
        <v>966200556</v>
      </c>
      <c r="B8618" s="116" t="str">
        <f t="shared" si="134"/>
        <v>96-966200556</v>
      </c>
      <c r="C8618" s="185" t="s">
        <v>13073</v>
      </c>
    </row>
    <row r="8619" spans="1:3">
      <c r="A8619" s="184">
        <v>961100122</v>
      </c>
      <c r="B8619" s="116" t="str">
        <f t="shared" si="134"/>
        <v>96-961100122</v>
      </c>
      <c r="C8619" s="185" t="s">
        <v>13169</v>
      </c>
    </row>
    <row r="8620" spans="1:3">
      <c r="A8620" s="184">
        <v>961100108</v>
      </c>
      <c r="B8620" s="116" t="str">
        <f t="shared" si="134"/>
        <v>96-961100108</v>
      </c>
      <c r="C8620" s="185" t="s">
        <v>12455</v>
      </c>
    </row>
    <row r="8621" spans="1:3">
      <c r="A8621" s="184">
        <v>966200425</v>
      </c>
      <c r="B8621" s="116" t="str">
        <f t="shared" si="134"/>
        <v>96-966200425</v>
      </c>
      <c r="C8621" s="185" t="s">
        <v>12236</v>
      </c>
    </row>
    <row r="8622" spans="1:3">
      <c r="A8622" s="184">
        <v>961200135</v>
      </c>
      <c r="B8622" s="116" t="str">
        <f t="shared" si="134"/>
        <v>96-961200135</v>
      </c>
      <c r="C8622" s="185" t="s">
        <v>12308</v>
      </c>
    </row>
    <row r="8623" spans="1:3">
      <c r="A8623" s="184">
        <v>961200152</v>
      </c>
      <c r="B8623" s="116" t="str">
        <f t="shared" si="134"/>
        <v>96-961200152</v>
      </c>
      <c r="C8623" s="185" t="s">
        <v>12456</v>
      </c>
    </row>
    <row r="8624" spans="1:3">
      <c r="A8624" s="184">
        <v>961200179</v>
      </c>
      <c r="B8624" s="116" t="str">
        <f t="shared" si="134"/>
        <v>96-961200179</v>
      </c>
      <c r="C8624" s="185" t="s">
        <v>12680</v>
      </c>
    </row>
    <row r="8625" spans="1:3">
      <c r="A8625" s="184">
        <v>961200190</v>
      </c>
      <c r="B8625" s="116" t="str">
        <f t="shared" si="134"/>
        <v>96-961200190</v>
      </c>
      <c r="C8625" s="185" t="s">
        <v>12681</v>
      </c>
    </row>
    <row r="8626" spans="1:3">
      <c r="A8626" s="184">
        <v>961200207</v>
      </c>
      <c r="B8626" s="116" t="str">
        <f t="shared" si="134"/>
        <v>96-961200207</v>
      </c>
      <c r="C8626" s="185" t="s">
        <v>12680</v>
      </c>
    </row>
    <row r="8627" spans="1:3">
      <c r="A8627" s="184">
        <v>961200217</v>
      </c>
      <c r="B8627" s="116" t="str">
        <f t="shared" si="134"/>
        <v>96-961200217</v>
      </c>
      <c r="C8627" s="185" t="s">
        <v>12941</v>
      </c>
    </row>
    <row r="8628" spans="1:3">
      <c r="A8628" s="184">
        <v>961200218</v>
      </c>
      <c r="B8628" s="116" t="str">
        <f t="shared" si="134"/>
        <v>96-961200218</v>
      </c>
      <c r="C8628" s="185" t="s">
        <v>12941</v>
      </c>
    </row>
    <row r="8629" spans="1:3">
      <c r="A8629" s="184">
        <v>962000247</v>
      </c>
      <c r="B8629" s="116" t="str">
        <f t="shared" si="134"/>
        <v>96-962000247</v>
      </c>
      <c r="C8629" s="185" t="s">
        <v>7112</v>
      </c>
    </row>
    <row r="8630" spans="1:3">
      <c r="A8630" s="184">
        <v>962000262</v>
      </c>
      <c r="B8630" s="116" t="str">
        <f t="shared" si="134"/>
        <v>96-962000262</v>
      </c>
      <c r="C8630" s="185" t="s">
        <v>7112</v>
      </c>
    </row>
    <row r="8631" spans="1:3">
      <c r="A8631" s="184">
        <v>966200487</v>
      </c>
      <c r="B8631" s="116" t="str">
        <f t="shared" si="134"/>
        <v>96-966200487</v>
      </c>
      <c r="C8631" s="185" t="s">
        <v>12186</v>
      </c>
    </row>
    <row r="8632" spans="1:3">
      <c r="A8632" s="184">
        <v>966200523</v>
      </c>
      <c r="B8632" s="116" t="str">
        <f t="shared" si="134"/>
        <v>96-966200523</v>
      </c>
      <c r="C8632" s="185" t="s">
        <v>12411</v>
      </c>
    </row>
    <row r="8633" spans="1:3">
      <c r="A8633" s="184">
        <v>966200636</v>
      </c>
      <c r="B8633" s="116" t="str">
        <f t="shared" si="134"/>
        <v>96-966200636</v>
      </c>
      <c r="C8633" s="185" t="s">
        <v>13071</v>
      </c>
    </row>
    <row r="8634" spans="1:3">
      <c r="A8634" s="184">
        <v>966200426</v>
      </c>
      <c r="B8634" s="116" t="str">
        <f t="shared" si="134"/>
        <v>96-966200426</v>
      </c>
      <c r="C8634" s="185" t="s">
        <v>12236</v>
      </c>
    </row>
    <row r="8635" spans="1:3">
      <c r="A8635" s="184">
        <v>962000462</v>
      </c>
      <c r="B8635" s="116" t="str">
        <f t="shared" si="134"/>
        <v>96-962000462</v>
      </c>
      <c r="C8635" s="185" t="s">
        <v>12184</v>
      </c>
    </row>
    <row r="8636" spans="1:3">
      <c r="A8636" s="184">
        <v>962000468</v>
      </c>
      <c r="B8636" s="116" t="str">
        <f t="shared" si="134"/>
        <v>96-962000468</v>
      </c>
      <c r="C8636" s="185" t="s">
        <v>12184</v>
      </c>
    </row>
    <row r="8637" spans="1:3">
      <c r="A8637" s="184">
        <v>966200648</v>
      </c>
      <c r="B8637" s="116" t="str">
        <f t="shared" si="134"/>
        <v>96-966200648</v>
      </c>
      <c r="C8637" s="185" t="s">
        <v>13071</v>
      </c>
    </row>
    <row r="8638" spans="1:3">
      <c r="A8638" s="184">
        <v>962000232</v>
      </c>
      <c r="B8638" s="116" t="str">
        <f t="shared" si="134"/>
        <v>96-962000232</v>
      </c>
      <c r="C8638" s="185" t="s">
        <v>7112</v>
      </c>
    </row>
    <row r="8639" spans="1:3">
      <c r="A8639" s="184">
        <v>962000455</v>
      </c>
      <c r="B8639" s="116" t="str">
        <f t="shared" si="134"/>
        <v>96-962000455</v>
      </c>
      <c r="C8639" s="185" t="s">
        <v>12184</v>
      </c>
    </row>
    <row r="8640" spans="1:3">
      <c r="A8640" s="184">
        <v>962000452</v>
      </c>
      <c r="B8640" s="116" t="str">
        <f t="shared" si="134"/>
        <v>96-962000452</v>
      </c>
      <c r="C8640" s="185" t="s">
        <v>12184</v>
      </c>
    </row>
    <row r="8641" spans="1:3">
      <c r="A8641" s="184">
        <v>966300022</v>
      </c>
      <c r="B8641" s="116" t="str">
        <f t="shared" si="134"/>
        <v>96-966300022</v>
      </c>
      <c r="C8641" s="185" t="s">
        <v>12309</v>
      </c>
    </row>
    <row r="8642" spans="1:3">
      <c r="A8642" s="184">
        <v>972000049</v>
      </c>
      <c r="B8642" s="116" t="str">
        <f t="shared" si="134"/>
        <v>97-972000049</v>
      </c>
      <c r="C8642" s="185" t="s">
        <v>13003</v>
      </c>
    </row>
    <row r="8643" spans="1:3">
      <c r="A8643" s="184">
        <v>972000045</v>
      </c>
      <c r="B8643" s="116" t="str">
        <f t="shared" ref="B8643:B8706" si="135">MID(A8643,1,2)&amp;"-"&amp;A8643</f>
        <v>97-972000045</v>
      </c>
      <c r="C8643" s="185" t="s">
        <v>13003</v>
      </c>
    </row>
    <row r="8644" spans="1:3">
      <c r="A8644" s="184">
        <v>962000432</v>
      </c>
      <c r="B8644" s="116" t="str">
        <f t="shared" si="135"/>
        <v>96-962000432</v>
      </c>
      <c r="C8644" s="185" t="s">
        <v>12184</v>
      </c>
    </row>
    <row r="8645" spans="1:3">
      <c r="A8645" s="184">
        <v>962000241</v>
      </c>
      <c r="B8645" s="116" t="str">
        <f t="shared" si="135"/>
        <v>96-962000241</v>
      </c>
      <c r="C8645" s="185" t="s">
        <v>7112</v>
      </c>
    </row>
    <row r="8646" spans="1:3">
      <c r="A8646" s="184">
        <v>961100125</v>
      </c>
      <c r="B8646" s="116" t="str">
        <f t="shared" si="135"/>
        <v>96-961100125</v>
      </c>
      <c r="C8646" s="185" t="s">
        <v>13170</v>
      </c>
    </row>
    <row r="8647" spans="1:3">
      <c r="A8647" s="184">
        <v>961200154</v>
      </c>
      <c r="B8647" s="116" t="str">
        <f t="shared" si="135"/>
        <v>96-961200154</v>
      </c>
      <c r="C8647" s="185" t="s">
        <v>12441</v>
      </c>
    </row>
    <row r="8648" spans="1:3">
      <c r="A8648" s="184">
        <v>961200209</v>
      </c>
      <c r="B8648" s="116" t="str">
        <f t="shared" si="135"/>
        <v>96-961200209</v>
      </c>
      <c r="C8648" s="185" t="s">
        <v>12931</v>
      </c>
    </row>
    <row r="8649" spans="1:3">
      <c r="A8649" s="184">
        <v>962000402</v>
      </c>
      <c r="B8649" s="116" t="str">
        <f t="shared" si="135"/>
        <v>96-962000402</v>
      </c>
      <c r="C8649" s="185" t="s">
        <v>12184</v>
      </c>
    </row>
    <row r="8650" spans="1:3">
      <c r="A8650" s="184">
        <v>962000489</v>
      </c>
      <c r="B8650" s="116" t="str">
        <f t="shared" si="135"/>
        <v>96-962000489</v>
      </c>
      <c r="C8650" s="185" t="s">
        <v>12184</v>
      </c>
    </row>
    <row r="8651" spans="1:3">
      <c r="A8651" s="184">
        <v>962000407</v>
      </c>
      <c r="B8651" s="116" t="str">
        <f t="shared" si="135"/>
        <v>96-962000407</v>
      </c>
      <c r="C8651" s="185" t="s">
        <v>12184</v>
      </c>
    </row>
    <row r="8652" spans="1:3">
      <c r="A8652" s="184">
        <v>966200763</v>
      </c>
      <c r="B8652" s="116" t="str">
        <f t="shared" si="135"/>
        <v>96-966200763</v>
      </c>
      <c r="C8652" s="185" t="s">
        <v>13014</v>
      </c>
    </row>
    <row r="8653" spans="1:3">
      <c r="A8653" s="184">
        <v>962000484</v>
      </c>
      <c r="B8653" s="116" t="str">
        <f t="shared" si="135"/>
        <v>96-962000484</v>
      </c>
      <c r="C8653" s="185" t="s">
        <v>12184</v>
      </c>
    </row>
    <row r="8654" spans="1:3">
      <c r="A8654" s="184">
        <v>962000447</v>
      </c>
      <c r="B8654" s="116" t="str">
        <f t="shared" si="135"/>
        <v>96-962000447</v>
      </c>
      <c r="C8654" s="185" t="s">
        <v>12184</v>
      </c>
    </row>
    <row r="8655" spans="1:3">
      <c r="A8655" s="184">
        <v>962000417</v>
      </c>
      <c r="B8655" s="116" t="str">
        <f t="shared" si="135"/>
        <v>96-962000417</v>
      </c>
      <c r="C8655" s="185" t="s">
        <v>12184</v>
      </c>
    </row>
    <row r="8656" spans="1:3">
      <c r="A8656" s="184">
        <v>962000317</v>
      </c>
      <c r="B8656" s="116" t="str">
        <f t="shared" si="135"/>
        <v>96-962000317</v>
      </c>
      <c r="C8656" s="185" t="s">
        <v>7112</v>
      </c>
    </row>
    <row r="8657" spans="1:3">
      <c r="A8657" s="184">
        <v>962000254</v>
      </c>
      <c r="B8657" s="116" t="str">
        <f t="shared" si="135"/>
        <v>96-962000254</v>
      </c>
      <c r="C8657" s="185" t="s">
        <v>7112</v>
      </c>
    </row>
    <row r="8658" spans="1:3">
      <c r="A8658" s="184">
        <v>961100112</v>
      </c>
      <c r="B8658" s="116" t="str">
        <f t="shared" si="135"/>
        <v>96-961100112</v>
      </c>
      <c r="C8658" s="185" t="s">
        <v>12408</v>
      </c>
    </row>
    <row r="8659" spans="1:3">
      <c r="A8659" s="184">
        <v>961100113</v>
      </c>
      <c r="B8659" s="116" t="str">
        <f t="shared" si="135"/>
        <v>96-961100113</v>
      </c>
      <c r="C8659" s="185" t="s">
        <v>12408</v>
      </c>
    </row>
    <row r="8660" spans="1:3">
      <c r="A8660" s="184">
        <v>962000419</v>
      </c>
      <c r="B8660" s="116" t="str">
        <f t="shared" si="135"/>
        <v>96-962000419</v>
      </c>
      <c r="C8660" s="185" t="s">
        <v>12184</v>
      </c>
    </row>
    <row r="8661" spans="1:3">
      <c r="A8661" s="184">
        <v>962000501</v>
      </c>
      <c r="B8661" s="116" t="str">
        <f t="shared" si="135"/>
        <v>96-962000501</v>
      </c>
      <c r="C8661" s="185" t="s">
        <v>12184</v>
      </c>
    </row>
    <row r="8662" spans="1:3">
      <c r="A8662" s="184">
        <v>966200717</v>
      </c>
      <c r="B8662" s="116" t="str">
        <f t="shared" si="135"/>
        <v>96-966200717</v>
      </c>
      <c r="C8662" s="185" t="s">
        <v>13020</v>
      </c>
    </row>
    <row r="8663" spans="1:3">
      <c r="A8663" s="184">
        <v>966200604</v>
      </c>
      <c r="B8663" s="116" t="str">
        <f t="shared" si="135"/>
        <v>96-966200604</v>
      </c>
      <c r="C8663" s="185" t="s">
        <v>13011</v>
      </c>
    </row>
    <row r="8664" spans="1:3">
      <c r="A8664" s="184">
        <v>966200443</v>
      </c>
      <c r="B8664" s="116" t="str">
        <f t="shared" si="135"/>
        <v>96-966200443</v>
      </c>
      <c r="C8664" s="185" t="s">
        <v>12187</v>
      </c>
    </row>
    <row r="8665" spans="1:3">
      <c r="A8665" s="184">
        <v>966200442</v>
      </c>
      <c r="B8665" s="116" t="str">
        <f t="shared" si="135"/>
        <v>96-966200442</v>
      </c>
      <c r="C8665" s="185" t="s">
        <v>12187</v>
      </c>
    </row>
    <row r="8666" spans="1:3">
      <c r="A8666" s="184">
        <v>966200468</v>
      </c>
      <c r="B8666" s="116" t="str">
        <f t="shared" si="135"/>
        <v>96-966200468</v>
      </c>
      <c r="C8666" s="185" t="s">
        <v>12185</v>
      </c>
    </row>
    <row r="8667" spans="1:3">
      <c r="A8667" s="184">
        <v>966200653</v>
      </c>
      <c r="B8667" s="116" t="str">
        <f t="shared" si="135"/>
        <v>96-966200653</v>
      </c>
      <c r="C8667" s="185" t="s">
        <v>13017</v>
      </c>
    </row>
    <row r="8668" spans="1:3">
      <c r="A8668" s="184">
        <v>966300026</v>
      </c>
      <c r="B8668" s="116" t="str">
        <f t="shared" si="135"/>
        <v>96-966300026</v>
      </c>
      <c r="C8668" s="185" t="s">
        <v>12243</v>
      </c>
    </row>
    <row r="8669" spans="1:3">
      <c r="A8669" s="184">
        <v>966300032</v>
      </c>
      <c r="B8669" s="116" t="str">
        <f t="shared" si="135"/>
        <v>96-966300032</v>
      </c>
      <c r="C8669" s="185" t="s">
        <v>12237</v>
      </c>
    </row>
    <row r="8670" spans="1:3">
      <c r="A8670" s="184">
        <v>966300076</v>
      </c>
      <c r="B8670" s="116" t="str">
        <f t="shared" si="135"/>
        <v>96-966300076</v>
      </c>
      <c r="C8670" s="185" t="s">
        <v>13086</v>
      </c>
    </row>
    <row r="8671" spans="1:3">
      <c r="A8671" s="184">
        <v>966200402</v>
      </c>
      <c r="B8671" s="116" t="str">
        <f t="shared" si="135"/>
        <v>96-966200402</v>
      </c>
      <c r="C8671" s="185" t="s">
        <v>12239</v>
      </c>
    </row>
    <row r="8672" spans="1:3">
      <c r="A8672" s="184">
        <v>966200437</v>
      </c>
      <c r="B8672" s="116" t="str">
        <f t="shared" si="135"/>
        <v>96-966200437</v>
      </c>
      <c r="C8672" s="185" t="s">
        <v>12187</v>
      </c>
    </row>
    <row r="8673" spans="1:3">
      <c r="A8673" s="184">
        <v>966200748</v>
      </c>
      <c r="B8673" s="116" t="str">
        <f t="shared" si="135"/>
        <v>96-966200748</v>
      </c>
      <c r="C8673" s="185" t="s">
        <v>13008</v>
      </c>
    </row>
    <row r="8674" spans="1:3">
      <c r="A8674" s="184">
        <v>962000466</v>
      </c>
      <c r="B8674" s="116" t="str">
        <f t="shared" si="135"/>
        <v>96-962000466</v>
      </c>
      <c r="C8674" s="185" t="s">
        <v>12184</v>
      </c>
    </row>
    <row r="8675" spans="1:3">
      <c r="A8675" s="184">
        <v>966200628</v>
      </c>
      <c r="B8675" s="116" t="str">
        <f t="shared" si="135"/>
        <v>96-966200628</v>
      </c>
      <c r="C8675" s="185" t="s">
        <v>13083</v>
      </c>
    </row>
    <row r="8676" spans="1:3">
      <c r="A8676" s="184">
        <v>966200706</v>
      </c>
      <c r="B8676" s="116" t="str">
        <f t="shared" si="135"/>
        <v>96-966200706</v>
      </c>
      <c r="C8676" s="185" t="s">
        <v>13020</v>
      </c>
    </row>
    <row r="8677" spans="1:3">
      <c r="A8677" s="184">
        <v>972000150</v>
      </c>
      <c r="B8677" s="116" t="str">
        <f t="shared" si="135"/>
        <v>97-972000150</v>
      </c>
      <c r="C8677" s="185" t="s">
        <v>13003</v>
      </c>
    </row>
    <row r="8678" spans="1:3">
      <c r="A8678" s="184">
        <v>972000161</v>
      </c>
      <c r="B8678" s="116" t="str">
        <f t="shared" si="135"/>
        <v>97-972000161</v>
      </c>
      <c r="C8678" s="185" t="s">
        <v>13003</v>
      </c>
    </row>
    <row r="8679" spans="1:3">
      <c r="A8679" s="184">
        <v>966200450</v>
      </c>
      <c r="B8679" s="116" t="str">
        <f t="shared" si="135"/>
        <v>96-966200450</v>
      </c>
      <c r="C8679" s="185" t="s">
        <v>12188</v>
      </c>
    </row>
    <row r="8680" spans="1:3">
      <c r="A8680" s="184">
        <v>966200639</v>
      </c>
      <c r="B8680" s="116" t="str">
        <f t="shared" si="135"/>
        <v>96-966200639</v>
      </c>
      <c r="C8680" s="185" t="s">
        <v>13071</v>
      </c>
    </row>
    <row r="8681" spans="1:3">
      <c r="A8681" s="184">
        <v>966200724</v>
      </c>
      <c r="B8681" s="116" t="str">
        <f t="shared" si="135"/>
        <v>96-966200724</v>
      </c>
      <c r="C8681" s="185" t="s">
        <v>13013</v>
      </c>
    </row>
    <row r="8682" spans="1:3">
      <c r="A8682" s="184">
        <v>966200755</v>
      </c>
      <c r="B8682" s="116" t="str">
        <f t="shared" si="135"/>
        <v>96-966200755</v>
      </c>
      <c r="C8682" s="185" t="s">
        <v>13014</v>
      </c>
    </row>
    <row r="8683" spans="1:3">
      <c r="A8683" s="184">
        <v>966200492</v>
      </c>
      <c r="B8683" s="116" t="str">
        <f t="shared" si="135"/>
        <v>96-966200492</v>
      </c>
      <c r="C8683" s="185" t="s">
        <v>12186</v>
      </c>
    </row>
    <row r="8684" spans="1:3">
      <c r="A8684" s="184">
        <v>976200012</v>
      </c>
      <c r="B8684" s="116" t="str">
        <f t="shared" si="135"/>
        <v>97-976200012</v>
      </c>
      <c r="C8684" s="185" t="s">
        <v>13021</v>
      </c>
    </row>
    <row r="8685" spans="1:3">
      <c r="A8685" s="184">
        <v>962000289</v>
      </c>
      <c r="B8685" s="116" t="str">
        <f t="shared" si="135"/>
        <v>96-962000289</v>
      </c>
      <c r="C8685" s="185" t="s">
        <v>7112</v>
      </c>
    </row>
    <row r="8686" spans="1:3">
      <c r="A8686" s="184">
        <v>962000279</v>
      </c>
      <c r="B8686" s="116" t="str">
        <f t="shared" si="135"/>
        <v>96-962000279</v>
      </c>
      <c r="C8686" s="185" t="s">
        <v>7112</v>
      </c>
    </row>
    <row r="8687" spans="1:3">
      <c r="A8687" s="184">
        <v>962000297</v>
      </c>
      <c r="B8687" s="116" t="str">
        <f t="shared" si="135"/>
        <v>96-962000297</v>
      </c>
      <c r="C8687" s="185" t="s">
        <v>7112</v>
      </c>
    </row>
    <row r="8688" spans="1:3">
      <c r="A8688" s="184">
        <v>966200421</v>
      </c>
      <c r="B8688" s="116" t="str">
        <f t="shared" si="135"/>
        <v>96-966200421</v>
      </c>
      <c r="C8688" s="185" t="s">
        <v>12224</v>
      </c>
    </row>
    <row r="8689" spans="1:3">
      <c r="A8689" s="184">
        <v>962000283</v>
      </c>
      <c r="B8689" s="116" t="str">
        <f t="shared" si="135"/>
        <v>96-962000283</v>
      </c>
      <c r="C8689" s="185" t="s">
        <v>7112</v>
      </c>
    </row>
    <row r="8690" spans="1:3">
      <c r="A8690" s="184">
        <v>962000300</v>
      </c>
      <c r="B8690" s="116" t="str">
        <f t="shared" si="135"/>
        <v>96-962000300</v>
      </c>
      <c r="C8690" s="185" t="s">
        <v>7112</v>
      </c>
    </row>
    <row r="8691" spans="1:3">
      <c r="A8691" s="184">
        <v>962000304</v>
      </c>
      <c r="B8691" s="116" t="str">
        <f t="shared" si="135"/>
        <v>96-962000304</v>
      </c>
      <c r="C8691" s="185" t="s">
        <v>7112</v>
      </c>
    </row>
    <row r="8692" spans="1:3">
      <c r="A8692" s="184">
        <v>962000318</v>
      </c>
      <c r="B8692" s="116" t="str">
        <f t="shared" si="135"/>
        <v>96-962000318</v>
      </c>
      <c r="C8692" s="185" t="s">
        <v>7112</v>
      </c>
    </row>
    <row r="8693" spans="1:3">
      <c r="A8693" s="184">
        <v>962000345</v>
      </c>
      <c r="B8693" s="116" t="str">
        <f t="shared" si="135"/>
        <v>96-962000345</v>
      </c>
      <c r="C8693" s="185" t="s">
        <v>12184</v>
      </c>
    </row>
    <row r="8694" spans="1:3">
      <c r="A8694" s="184">
        <v>966300037</v>
      </c>
      <c r="B8694" s="116" t="str">
        <f t="shared" si="135"/>
        <v>96-966300037</v>
      </c>
      <c r="C8694" s="185" t="s">
        <v>12241</v>
      </c>
    </row>
    <row r="8695" spans="1:3">
      <c r="A8695" s="184">
        <v>966200565</v>
      </c>
      <c r="B8695" s="116" t="str">
        <f t="shared" si="135"/>
        <v>96-966200565</v>
      </c>
      <c r="C8695" s="185" t="s">
        <v>13171</v>
      </c>
    </row>
    <row r="8696" spans="1:3">
      <c r="A8696" s="184">
        <v>966300069</v>
      </c>
      <c r="B8696" s="116" t="str">
        <f t="shared" si="135"/>
        <v>96-966300069</v>
      </c>
      <c r="C8696" s="185" t="s">
        <v>13106</v>
      </c>
    </row>
    <row r="8697" spans="1:3">
      <c r="A8697" s="184">
        <v>964100107</v>
      </c>
      <c r="B8697" s="116" t="str">
        <f t="shared" si="135"/>
        <v>96-964100107</v>
      </c>
      <c r="C8697" s="185" t="s">
        <v>9774</v>
      </c>
    </row>
    <row r="8698" spans="1:3">
      <c r="A8698" s="184">
        <v>964100078</v>
      </c>
      <c r="B8698" s="116" t="str">
        <f t="shared" si="135"/>
        <v>96-964100078</v>
      </c>
      <c r="C8698" s="185" t="s">
        <v>9911</v>
      </c>
    </row>
    <row r="8699" spans="1:3">
      <c r="A8699" s="184">
        <v>964100081</v>
      </c>
      <c r="B8699" s="116" t="str">
        <f t="shared" si="135"/>
        <v>96-964100081</v>
      </c>
      <c r="C8699" s="185" t="s">
        <v>9911</v>
      </c>
    </row>
    <row r="8700" spans="1:3">
      <c r="A8700" s="184">
        <v>964100085</v>
      </c>
      <c r="B8700" s="116" t="str">
        <f t="shared" si="135"/>
        <v>96-964100085</v>
      </c>
      <c r="C8700" s="185" t="s">
        <v>9911</v>
      </c>
    </row>
    <row r="8701" spans="1:3">
      <c r="A8701" s="184">
        <v>964100097</v>
      </c>
      <c r="B8701" s="116" t="str">
        <f t="shared" si="135"/>
        <v>96-964100097</v>
      </c>
      <c r="C8701" s="185" t="s">
        <v>5782</v>
      </c>
    </row>
    <row r="8702" spans="1:3">
      <c r="A8702" s="184">
        <v>964100111</v>
      </c>
      <c r="B8702" s="116" t="str">
        <f t="shared" si="135"/>
        <v>96-964100111</v>
      </c>
      <c r="C8702" s="185" t="s">
        <v>12664</v>
      </c>
    </row>
    <row r="8703" spans="1:3">
      <c r="A8703" s="184">
        <v>964100121</v>
      </c>
      <c r="B8703" s="116" t="str">
        <f t="shared" si="135"/>
        <v>96-964100121</v>
      </c>
      <c r="C8703" s="185" t="s">
        <v>12930</v>
      </c>
    </row>
    <row r="8704" spans="1:3">
      <c r="A8704" s="184">
        <v>964300028</v>
      </c>
      <c r="B8704" s="116" t="str">
        <f t="shared" si="135"/>
        <v>96-964300028</v>
      </c>
      <c r="C8704" s="185" t="s">
        <v>9765</v>
      </c>
    </row>
    <row r="8705" spans="1:3">
      <c r="A8705" s="184">
        <v>964300032</v>
      </c>
      <c r="B8705" s="116" t="str">
        <f t="shared" si="135"/>
        <v>96-964300032</v>
      </c>
      <c r="C8705" s="185" t="s">
        <v>12197</v>
      </c>
    </row>
    <row r="8706" spans="1:3">
      <c r="A8706" s="184">
        <v>964300039</v>
      </c>
      <c r="B8706" s="116" t="str">
        <f t="shared" si="135"/>
        <v>96-964300039</v>
      </c>
      <c r="C8706" s="185" t="s">
        <v>12421</v>
      </c>
    </row>
    <row r="8707" spans="1:3">
      <c r="A8707" s="184">
        <v>964300043</v>
      </c>
      <c r="B8707" s="116" t="str">
        <f t="shared" ref="B8707:B8769" si="136">MID(A8707,1,2)&amp;"-"&amp;A8707</f>
        <v>96-964300043</v>
      </c>
      <c r="C8707" s="185" t="s">
        <v>12683</v>
      </c>
    </row>
    <row r="8708" spans="1:3">
      <c r="A8708" s="184">
        <v>964300046</v>
      </c>
      <c r="B8708" s="116" t="str">
        <f t="shared" si="136"/>
        <v>96-964300046</v>
      </c>
      <c r="C8708" s="185" t="s">
        <v>12683</v>
      </c>
    </row>
    <row r="8709" spans="1:3">
      <c r="A8709" s="184">
        <v>962200098</v>
      </c>
      <c r="B8709" s="116" t="str">
        <f t="shared" si="136"/>
        <v>96-962200098</v>
      </c>
      <c r="C8709" s="185" t="s">
        <v>12423</v>
      </c>
    </row>
    <row r="8710" spans="1:3">
      <c r="A8710" s="184">
        <v>962200110</v>
      </c>
      <c r="B8710" s="116" t="str">
        <f t="shared" si="136"/>
        <v>96-962200110</v>
      </c>
      <c r="C8710" s="185" t="s">
        <v>12683</v>
      </c>
    </row>
    <row r="8711" spans="1:3">
      <c r="A8711" s="184">
        <v>962500171</v>
      </c>
      <c r="B8711" s="116" t="str">
        <f t="shared" si="136"/>
        <v>96-962500171</v>
      </c>
      <c r="C8711" s="185" t="s">
        <v>9769</v>
      </c>
    </row>
    <row r="8712" spans="1:3">
      <c r="A8712" s="184">
        <v>962500174</v>
      </c>
      <c r="B8712" s="116" t="str">
        <f t="shared" si="136"/>
        <v>96-962500174</v>
      </c>
      <c r="C8712" s="185" t="s">
        <v>9784</v>
      </c>
    </row>
    <row r="8713" spans="1:3">
      <c r="A8713" s="184">
        <v>962500204</v>
      </c>
      <c r="B8713" s="116" t="str">
        <f t="shared" si="136"/>
        <v>96-962500204</v>
      </c>
      <c r="C8713" s="185" t="s">
        <v>12444</v>
      </c>
    </row>
    <row r="8714" spans="1:3">
      <c r="A8714" s="184">
        <v>972500006</v>
      </c>
      <c r="B8714" s="116" t="str">
        <f t="shared" si="136"/>
        <v>97-972500006</v>
      </c>
      <c r="C8714" s="185" t="s">
        <v>12940</v>
      </c>
    </row>
    <row r="8715" spans="1:3">
      <c r="A8715" s="184">
        <v>962500227</v>
      </c>
      <c r="B8715" s="116" t="str">
        <f t="shared" si="136"/>
        <v>96-962500227</v>
      </c>
      <c r="C8715" s="185" t="s">
        <v>12942</v>
      </c>
    </row>
    <row r="8716" spans="1:3">
      <c r="A8716" s="184">
        <v>962500188</v>
      </c>
      <c r="B8716" s="116" t="str">
        <f t="shared" si="136"/>
        <v>96-962500188</v>
      </c>
      <c r="C8716" s="185" t="s">
        <v>12195</v>
      </c>
    </row>
    <row r="8717" spans="1:3">
      <c r="A8717" s="184">
        <v>962500181</v>
      </c>
      <c r="B8717" s="116" t="str">
        <f t="shared" si="136"/>
        <v>96-962500181</v>
      </c>
      <c r="C8717" s="185" t="s">
        <v>12119</v>
      </c>
    </row>
    <row r="8718" spans="1:3">
      <c r="A8718" s="184">
        <v>964200026</v>
      </c>
      <c r="B8718" s="116" t="str">
        <f t="shared" si="136"/>
        <v>96-964200026</v>
      </c>
      <c r="C8718" s="185" t="s">
        <v>12668</v>
      </c>
    </row>
    <row r="8719" spans="1:3">
      <c r="A8719" s="184">
        <v>964200027</v>
      </c>
      <c r="B8719" s="116" t="str">
        <f t="shared" si="136"/>
        <v>96-964200027</v>
      </c>
      <c r="C8719" s="185" t="s">
        <v>12429</v>
      </c>
    </row>
    <row r="8720" spans="1:3">
      <c r="A8720" s="184">
        <v>966000026</v>
      </c>
      <c r="B8720" s="116" t="str">
        <f t="shared" si="136"/>
        <v>96-966000026</v>
      </c>
      <c r="C8720" s="185" t="s">
        <v>7146</v>
      </c>
    </row>
    <row r="8721" spans="1:3">
      <c r="A8721" s="184">
        <v>961700231</v>
      </c>
      <c r="B8721" s="116" t="str">
        <f t="shared" si="136"/>
        <v>96-961700231</v>
      </c>
      <c r="C8721" s="185" t="s">
        <v>13018</v>
      </c>
    </row>
    <row r="8722" spans="1:3">
      <c r="A8722" s="184">
        <v>961700206</v>
      </c>
      <c r="B8722" s="116" t="str">
        <f t="shared" si="136"/>
        <v>96-961700206</v>
      </c>
      <c r="C8722" s="185" t="s">
        <v>13172</v>
      </c>
    </row>
    <row r="8723" spans="1:3">
      <c r="A8723" s="184">
        <v>961700168</v>
      </c>
      <c r="B8723" s="116" t="str">
        <f t="shared" si="136"/>
        <v>96-961700168</v>
      </c>
      <c r="C8723" s="185" t="s">
        <v>13097</v>
      </c>
    </row>
    <row r="8724" spans="1:3">
      <c r="A8724" s="184">
        <v>961700179</v>
      </c>
      <c r="B8724" s="116" t="str">
        <f t="shared" si="136"/>
        <v>96-961700179</v>
      </c>
      <c r="C8724" s="185" t="s">
        <v>13034</v>
      </c>
    </row>
    <row r="8725" spans="1:3">
      <c r="A8725" s="184">
        <v>961700254</v>
      </c>
      <c r="B8725" s="116" t="str">
        <f t="shared" si="136"/>
        <v>96-961700254</v>
      </c>
      <c r="C8725" s="185" t="s">
        <v>13028</v>
      </c>
    </row>
    <row r="8726" spans="1:3">
      <c r="A8726" s="184">
        <v>961600027</v>
      </c>
      <c r="B8726" s="116" t="str">
        <f t="shared" si="136"/>
        <v>96-961600027</v>
      </c>
      <c r="C8726" s="185" t="s">
        <v>13173</v>
      </c>
    </row>
    <row r="8727" spans="1:3">
      <c r="A8727" s="184">
        <v>961700207</v>
      </c>
      <c r="B8727" s="116" t="str">
        <f t="shared" si="136"/>
        <v>96-961700207</v>
      </c>
      <c r="C8727" s="185" t="s">
        <v>13174</v>
      </c>
    </row>
    <row r="8728" spans="1:3">
      <c r="A8728" s="184">
        <v>961700159</v>
      </c>
      <c r="B8728" s="116" t="str">
        <f t="shared" si="136"/>
        <v>96-961700159</v>
      </c>
      <c r="C8728" s="185" t="s">
        <v>12201</v>
      </c>
    </row>
    <row r="8729" spans="1:3">
      <c r="A8729" s="184">
        <v>961700242</v>
      </c>
      <c r="B8729" s="116" t="str">
        <f t="shared" si="136"/>
        <v>96-961700242</v>
      </c>
      <c r="C8729" s="185" t="s">
        <v>13028</v>
      </c>
    </row>
    <row r="8730" spans="1:3">
      <c r="A8730" s="184">
        <v>961700250</v>
      </c>
      <c r="B8730" s="116" t="str">
        <f t="shared" si="136"/>
        <v>96-961700250</v>
      </c>
      <c r="C8730" s="185" t="s">
        <v>13028</v>
      </c>
    </row>
    <row r="8731" spans="1:3">
      <c r="A8731" s="184">
        <v>961700255</v>
      </c>
      <c r="B8731" s="116" t="str">
        <f t="shared" si="136"/>
        <v>96-961700255</v>
      </c>
      <c r="C8731" s="185" t="s">
        <v>13175</v>
      </c>
    </row>
    <row r="8732" spans="1:3">
      <c r="A8732" s="184">
        <v>961600032</v>
      </c>
      <c r="B8732" s="116" t="str">
        <f t="shared" si="136"/>
        <v>96-961600032</v>
      </c>
      <c r="C8732" s="185" t="s">
        <v>13176</v>
      </c>
    </row>
    <row r="8733" spans="1:3">
      <c r="A8733" s="184">
        <v>961900193</v>
      </c>
      <c r="B8733" s="116" t="str">
        <f t="shared" si="136"/>
        <v>96-961900193</v>
      </c>
      <c r="C8733" s="185" t="s">
        <v>13177</v>
      </c>
    </row>
    <row r="8734" spans="1:3">
      <c r="A8734" s="184">
        <v>961700257</v>
      </c>
      <c r="B8734" s="116" t="str">
        <f t="shared" si="136"/>
        <v>96-961700257</v>
      </c>
      <c r="C8734" s="185" t="s">
        <v>13178</v>
      </c>
    </row>
    <row r="8735" spans="1:3">
      <c r="A8735" s="184">
        <v>966200574</v>
      </c>
      <c r="B8735" s="116" t="str">
        <f t="shared" si="136"/>
        <v>96-966200574</v>
      </c>
      <c r="C8735" s="185" t="s">
        <v>13150</v>
      </c>
    </row>
    <row r="8736" spans="1:3">
      <c r="A8736" s="184">
        <v>966200540</v>
      </c>
      <c r="B8736" s="116" t="str">
        <f t="shared" si="136"/>
        <v>96-966200540</v>
      </c>
      <c r="C8736" s="185" t="s">
        <v>12457</v>
      </c>
    </row>
    <row r="8737" spans="1:3">
      <c r="A8737" s="184">
        <v>966200515</v>
      </c>
      <c r="B8737" s="116" t="str">
        <f t="shared" si="136"/>
        <v>96-966200515</v>
      </c>
      <c r="C8737" s="185" t="s">
        <v>12418</v>
      </c>
    </row>
    <row r="8738" spans="1:3">
      <c r="A8738" s="184">
        <v>966200544</v>
      </c>
      <c r="B8738" s="116" t="str">
        <f t="shared" si="136"/>
        <v>96-966200544</v>
      </c>
      <c r="C8738" s="185" t="s">
        <v>13179</v>
      </c>
    </row>
    <row r="8739" spans="1:3">
      <c r="A8739" s="184">
        <v>966200621</v>
      </c>
      <c r="B8739" s="116" t="str">
        <f t="shared" si="136"/>
        <v>96-966200621</v>
      </c>
      <c r="C8739" s="185" t="s">
        <v>13143</v>
      </c>
    </row>
    <row r="8740" spans="1:3">
      <c r="A8740" s="184">
        <v>961700212</v>
      </c>
      <c r="B8740" s="116" t="str">
        <f t="shared" si="136"/>
        <v>96-961700212</v>
      </c>
      <c r="C8740" s="185" t="s">
        <v>13048</v>
      </c>
    </row>
    <row r="8741" spans="1:3">
      <c r="A8741" s="184">
        <v>966200454</v>
      </c>
      <c r="B8741" s="116" t="str">
        <f t="shared" si="136"/>
        <v>96-966200454</v>
      </c>
      <c r="C8741" s="185" t="s">
        <v>12257</v>
      </c>
    </row>
    <row r="8742" spans="1:3">
      <c r="A8742" s="184">
        <v>966200407</v>
      </c>
      <c r="B8742" s="116" t="str">
        <f t="shared" si="136"/>
        <v>96-966200407</v>
      </c>
      <c r="C8742" s="185" t="s">
        <v>12212</v>
      </c>
    </row>
    <row r="8743" spans="1:3">
      <c r="A8743" s="184">
        <v>962200112</v>
      </c>
      <c r="B8743" s="116" t="str">
        <f t="shared" si="136"/>
        <v>96-962200112</v>
      </c>
      <c r="C8743" s="185" t="s">
        <v>12932</v>
      </c>
    </row>
    <row r="8744" spans="1:3">
      <c r="A8744" s="184">
        <v>962200115</v>
      </c>
      <c r="B8744" s="116" t="str">
        <f t="shared" si="136"/>
        <v>96-962200115</v>
      </c>
      <c r="C8744" s="185" t="s">
        <v>12932</v>
      </c>
    </row>
    <row r="8745" spans="1:3">
      <c r="A8745" s="184">
        <v>972500002</v>
      </c>
      <c r="B8745" s="116" t="str">
        <f t="shared" si="136"/>
        <v>97-972500002</v>
      </c>
      <c r="C8745" s="185" t="s">
        <v>13069</v>
      </c>
    </row>
    <row r="8746" spans="1:3">
      <c r="A8746" s="184">
        <v>962200103</v>
      </c>
      <c r="B8746" s="116" t="str">
        <f t="shared" si="136"/>
        <v>96-962200103</v>
      </c>
      <c r="C8746" s="185" t="s">
        <v>12423</v>
      </c>
    </row>
    <row r="8747" spans="1:3">
      <c r="A8747" s="184">
        <v>962500186</v>
      </c>
      <c r="B8747" s="116" t="str">
        <f t="shared" si="136"/>
        <v>96-962500186</v>
      </c>
      <c r="C8747" s="185" t="s">
        <v>12195</v>
      </c>
    </row>
    <row r="8748" spans="1:3">
      <c r="A8748" s="184">
        <v>962500205</v>
      </c>
      <c r="B8748" s="116" t="str">
        <f t="shared" si="136"/>
        <v>96-962500205</v>
      </c>
      <c r="C8748" s="185" t="s">
        <v>12667</v>
      </c>
    </row>
    <row r="8749" spans="1:3">
      <c r="A8749" s="184">
        <v>962500226</v>
      </c>
      <c r="B8749" s="116" t="str">
        <f t="shared" si="136"/>
        <v>96-962500226</v>
      </c>
      <c r="C8749" s="185" t="s">
        <v>12667</v>
      </c>
    </row>
    <row r="8750" spans="1:3">
      <c r="A8750" s="184">
        <v>964200013</v>
      </c>
      <c r="B8750" s="116" t="str">
        <f t="shared" si="136"/>
        <v>96-964200013</v>
      </c>
      <c r="C8750" s="185" t="s">
        <v>12260</v>
      </c>
    </row>
    <row r="8751" spans="1:3">
      <c r="A8751" s="184">
        <v>971500027</v>
      </c>
      <c r="B8751" s="116" t="str">
        <f t="shared" si="136"/>
        <v>97-971500027</v>
      </c>
      <c r="C8751" s="185" t="s">
        <v>12934</v>
      </c>
    </row>
    <row r="8752" spans="1:3">
      <c r="A8752" s="184">
        <v>961500686</v>
      </c>
      <c r="B8752" s="116" t="str">
        <f t="shared" si="136"/>
        <v>96-961500686</v>
      </c>
      <c r="C8752" s="185" t="s">
        <v>9771</v>
      </c>
    </row>
    <row r="8753" spans="1:3">
      <c r="A8753" s="184">
        <v>961500731</v>
      </c>
      <c r="B8753" s="116" t="str">
        <f t="shared" si="136"/>
        <v>96-961500731</v>
      </c>
      <c r="C8753" s="185" t="s">
        <v>12261</v>
      </c>
    </row>
    <row r="8754" spans="1:3">
      <c r="A8754" s="184">
        <v>972000013</v>
      </c>
      <c r="B8754" s="116" t="str">
        <f t="shared" si="136"/>
        <v>97-972000013</v>
      </c>
      <c r="C8754" s="185" t="s">
        <v>13009</v>
      </c>
    </row>
    <row r="8755" spans="1:3">
      <c r="A8755" s="184">
        <v>962000383</v>
      </c>
      <c r="B8755" s="116" t="str">
        <f t="shared" si="136"/>
        <v>96-962000383</v>
      </c>
      <c r="C8755" s="185" t="s">
        <v>12208</v>
      </c>
    </row>
    <row r="8756" spans="1:3">
      <c r="A8756" s="184">
        <v>972000006</v>
      </c>
      <c r="B8756" s="116" t="str">
        <f t="shared" si="136"/>
        <v>97-972000006</v>
      </c>
      <c r="C8756" s="185" t="s">
        <v>13009</v>
      </c>
    </row>
    <row r="8757" spans="1:3">
      <c r="A8757" s="184">
        <v>962000392</v>
      </c>
      <c r="B8757" s="116" t="str">
        <f t="shared" si="136"/>
        <v>96-962000392</v>
      </c>
      <c r="C8757" s="185" t="s">
        <v>12208</v>
      </c>
    </row>
    <row r="8758" spans="1:3">
      <c r="A8758" s="184">
        <v>962000373</v>
      </c>
      <c r="B8758" s="116" t="str">
        <f t="shared" si="136"/>
        <v>96-962000373</v>
      </c>
      <c r="C8758" s="185" t="s">
        <v>12208</v>
      </c>
    </row>
    <row r="8759" spans="1:3">
      <c r="A8759" s="184">
        <v>966200419</v>
      </c>
      <c r="B8759" s="116" t="str">
        <f t="shared" si="136"/>
        <v>96-966200419</v>
      </c>
      <c r="C8759" s="185" t="s">
        <v>12209</v>
      </c>
    </row>
    <row r="8760" spans="1:3">
      <c r="A8760" s="184">
        <v>966200679</v>
      </c>
      <c r="B8760" s="116" t="str">
        <f t="shared" si="136"/>
        <v>96-966200679</v>
      </c>
      <c r="C8760" s="185" t="s">
        <v>13153</v>
      </c>
    </row>
    <row r="8761" spans="1:3">
      <c r="A8761" s="184">
        <v>961100121</v>
      </c>
      <c r="B8761" s="116" t="str">
        <f t="shared" si="136"/>
        <v>96-961100121</v>
      </c>
      <c r="C8761" s="185" t="s">
        <v>13180</v>
      </c>
    </row>
    <row r="8762" spans="1:3">
      <c r="A8762" s="184">
        <v>961100109</v>
      </c>
      <c r="B8762" s="116" t="str">
        <f t="shared" si="136"/>
        <v>96-961100109</v>
      </c>
      <c r="C8762" s="185" t="s">
        <v>12458</v>
      </c>
    </row>
    <row r="8763" spans="1:3">
      <c r="A8763" s="184">
        <v>962000273</v>
      </c>
      <c r="B8763" s="116" t="str">
        <f t="shared" si="136"/>
        <v>96-962000273</v>
      </c>
      <c r="C8763" s="185" t="s">
        <v>12215</v>
      </c>
    </row>
    <row r="8764" spans="1:3">
      <c r="A8764" s="184">
        <v>966200398</v>
      </c>
      <c r="B8764" s="116" t="str">
        <f t="shared" si="136"/>
        <v>96-966200398</v>
      </c>
      <c r="C8764" s="185" t="s">
        <v>12204</v>
      </c>
    </row>
    <row r="8765" spans="1:3">
      <c r="A8765" s="184">
        <v>966200417</v>
      </c>
      <c r="B8765" s="116" t="str">
        <f t="shared" si="136"/>
        <v>96-966200417</v>
      </c>
      <c r="C8765" s="185" t="s">
        <v>12216</v>
      </c>
    </row>
    <row r="8766" spans="1:3">
      <c r="A8766" s="184">
        <v>966200575</v>
      </c>
      <c r="B8766" s="116" t="str">
        <f t="shared" si="136"/>
        <v>96-966200575</v>
      </c>
      <c r="C8766" s="185" t="s">
        <v>13164</v>
      </c>
    </row>
    <row r="8767" spans="1:3">
      <c r="A8767" s="184">
        <v>966200596</v>
      </c>
      <c r="B8767" s="116" t="str">
        <f t="shared" si="136"/>
        <v>96-966200596</v>
      </c>
      <c r="C8767" s="185" t="s">
        <v>13181</v>
      </c>
    </row>
    <row r="8768" spans="1:3">
      <c r="A8768" s="184">
        <v>966200494</v>
      </c>
      <c r="B8768" s="116" t="str">
        <f t="shared" si="136"/>
        <v>96-966200494</v>
      </c>
      <c r="C8768" s="185" t="s">
        <v>12214</v>
      </c>
    </row>
    <row r="8769" spans="1:3">
      <c r="A8769" s="184">
        <v>966000028</v>
      </c>
      <c r="B8769" s="116" t="str">
        <f t="shared" si="136"/>
        <v>96-966000028</v>
      </c>
      <c r="C8769" s="185" t="s">
        <v>7146</v>
      </c>
    </row>
  </sheetData>
  <autoFilter ref="A1:M1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71"/>
  <sheetViews>
    <sheetView topLeftCell="A160" workbookViewId="0">
      <selection activeCell="A23" sqref="A23"/>
    </sheetView>
  </sheetViews>
  <sheetFormatPr defaultRowHeight="14.25"/>
  <cols>
    <col min="1" max="2" width="15.625" style="51" customWidth="1"/>
    <col min="3" max="3" width="9.875" style="51" customWidth="1"/>
    <col min="4" max="4" width="9" style="17"/>
  </cols>
  <sheetData>
    <row r="1" spans="1:4" ht="21">
      <c r="A1" s="9" t="s">
        <v>0</v>
      </c>
      <c r="B1" s="9" t="s">
        <v>8917</v>
      </c>
      <c r="C1" s="10" t="s">
        <v>1</v>
      </c>
      <c r="D1" s="17" t="s">
        <v>8918</v>
      </c>
    </row>
    <row r="2" spans="1:4" ht="18">
      <c r="A2" s="50" t="s">
        <v>4845</v>
      </c>
      <c r="B2" s="50" t="s">
        <v>8919</v>
      </c>
      <c r="C2" s="50" t="s">
        <v>4881</v>
      </c>
      <c r="D2" s="17" t="s">
        <v>8912</v>
      </c>
    </row>
    <row r="3" spans="1:4" ht="18">
      <c r="A3" s="50" t="s">
        <v>4845</v>
      </c>
      <c r="B3" s="50" t="s">
        <v>8919</v>
      </c>
      <c r="C3" s="50" t="s">
        <v>4881</v>
      </c>
      <c r="D3" s="17" t="s">
        <v>8912</v>
      </c>
    </row>
    <row r="4" spans="1:4" ht="18">
      <c r="A4" s="50" t="s">
        <v>4846</v>
      </c>
      <c r="B4" s="50" t="s">
        <v>8920</v>
      </c>
      <c r="C4" s="50" t="s">
        <v>4882</v>
      </c>
      <c r="D4" s="17" t="s">
        <v>8913</v>
      </c>
    </row>
    <row r="5" spans="1:4" ht="18">
      <c r="A5" s="50" t="s">
        <v>4847</v>
      </c>
      <c r="B5" s="50" t="s">
        <v>8921</v>
      </c>
      <c r="C5" s="50" t="s">
        <v>4882</v>
      </c>
      <c r="D5" s="17" t="s">
        <v>8912</v>
      </c>
    </row>
    <row r="6" spans="1:4" ht="18">
      <c r="A6" s="50" t="s">
        <v>4848</v>
      </c>
      <c r="B6" s="50" t="s">
        <v>8922</v>
      </c>
      <c r="C6" s="50" t="s">
        <v>4881</v>
      </c>
      <c r="D6" s="17" t="s">
        <v>8913</v>
      </c>
    </row>
    <row r="7" spans="1:4" ht="18">
      <c r="A7" s="50" t="s">
        <v>4849</v>
      </c>
      <c r="B7" s="50" t="s">
        <v>8923</v>
      </c>
      <c r="C7" s="50" t="s">
        <v>4882</v>
      </c>
      <c r="D7" s="17" t="s">
        <v>8912</v>
      </c>
    </row>
    <row r="8" spans="1:4" ht="18">
      <c r="A8" s="50" t="s">
        <v>4849</v>
      </c>
      <c r="B8" s="50" t="s">
        <v>8923</v>
      </c>
      <c r="C8" s="50" t="s">
        <v>4882</v>
      </c>
      <c r="D8" s="17" t="s">
        <v>8912</v>
      </c>
    </row>
    <row r="9" spans="1:4" ht="18">
      <c r="A9" s="50" t="s">
        <v>4849</v>
      </c>
      <c r="B9" s="50" t="s">
        <v>8923</v>
      </c>
      <c r="C9" s="50" t="s">
        <v>4882</v>
      </c>
      <c r="D9" s="17" t="s">
        <v>8912</v>
      </c>
    </row>
    <row r="10" spans="1:4" ht="18">
      <c r="A10" s="50" t="s">
        <v>4850</v>
      </c>
      <c r="B10" s="50" t="s">
        <v>8924</v>
      </c>
      <c r="C10" s="50" t="s">
        <v>4883</v>
      </c>
      <c r="D10" s="17" t="s">
        <v>8912</v>
      </c>
    </row>
    <row r="11" spans="1:4" ht="18">
      <c r="A11" s="50" t="s">
        <v>4851</v>
      </c>
      <c r="B11" s="50" t="s">
        <v>8925</v>
      </c>
      <c r="C11" s="50" t="s">
        <v>4882</v>
      </c>
      <c r="D11" s="17" t="s">
        <v>8913</v>
      </c>
    </row>
    <row r="12" spans="1:4" ht="18">
      <c r="A12" s="50" t="s">
        <v>4851</v>
      </c>
      <c r="B12" s="50" t="s">
        <v>8925</v>
      </c>
      <c r="C12" s="50" t="s">
        <v>4882</v>
      </c>
      <c r="D12" s="17" t="s">
        <v>8913</v>
      </c>
    </row>
    <row r="13" spans="1:4" ht="18">
      <c r="A13" s="50" t="s">
        <v>4852</v>
      </c>
      <c r="B13" s="50" t="s">
        <v>8926</v>
      </c>
      <c r="C13" s="50" t="s">
        <v>4884</v>
      </c>
      <c r="D13" s="17" t="s">
        <v>8913</v>
      </c>
    </row>
    <row r="14" spans="1:4" ht="18">
      <c r="A14" s="50" t="s">
        <v>4852</v>
      </c>
      <c r="B14" s="50" t="s">
        <v>8926</v>
      </c>
      <c r="C14" s="50" t="s">
        <v>4884</v>
      </c>
      <c r="D14" s="17" t="s">
        <v>8913</v>
      </c>
    </row>
    <row r="15" spans="1:4" ht="18">
      <c r="A15" s="50" t="s">
        <v>4852</v>
      </c>
      <c r="B15" s="50" t="s">
        <v>8926</v>
      </c>
      <c r="C15" s="50" t="s">
        <v>4884</v>
      </c>
      <c r="D15" s="17" t="s">
        <v>8913</v>
      </c>
    </row>
    <row r="16" spans="1:4" ht="18">
      <c r="A16" s="50" t="s">
        <v>4851</v>
      </c>
      <c r="B16" s="50" t="s">
        <v>8925</v>
      </c>
      <c r="C16" s="50" t="s">
        <v>4882</v>
      </c>
      <c r="D16" s="17" t="s">
        <v>8913</v>
      </c>
    </row>
    <row r="17" spans="1:4" ht="18">
      <c r="A17" s="50" t="s">
        <v>4853</v>
      </c>
      <c r="B17" s="50" t="s">
        <v>8927</v>
      </c>
      <c r="C17" s="50" t="s">
        <v>4885</v>
      </c>
      <c r="D17" s="17" t="s">
        <v>8913</v>
      </c>
    </row>
    <row r="18" spans="1:4" ht="18">
      <c r="A18" s="50" t="s">
        <v>4854</v>
      </c>
      <c r="B18" s="50" t="s">
        <v>8928</v>
      </c>
      <c r="C18" s="50" t="s">
        <v>4881</v>
      </c>
      <c r="D18" s="17" t="s">
        <v>8912</v>
      </c>
    </row>
    <row r="19" spans="1:4" ht="18">
      <c r="A19" s="50" t="s">
        <v>4855</v>
      </c>
      <c r="B19" s="50" t="s">
        <v>8929</v>
      </c>
      <c r="C19" s="50" t="s">
        <v>4886</v>
      </c>
      <c r="D19" s="17" t="s">
        <v>8913</v>
      </c>
    </row>
    <row r="20" spans="1:4" ht="18">
      <c r="A20" s="50" t="s">
        <v>4855</v>
      </c>
      <c r="B20" s="50" t="s">
        <v>8929</v>
      </c>
      <c r="C20" s="50" t="s">
        <v>4886</v>
      </c>
      <c r="D20" s="17" t="s">
        <v>8913</v>
      </c>
    </row>
    <row r="21" spans="1:4" ht="18">
      <c r="A21" s="50" t="s">
        <v>4855</v>
      </c>
      <c r="B21" s="50" t="s">
        <v>8929</v>
      </c>
      <c r="C21" s="50" t="s">
        <v>4886</v>
      </c>
      <c r="D21" s="17" t="s">
        <v>8913</v>
      </c>
    </row>
    <row r="22" spans="1:4" ht="18">
      <c r="A22" s="50" t="s">
        <v>4855</v>
      </c>
      <c r="B22" s="50" t="s">
        <v>8929</v>
      </c>
      <c r="C22" s="50" t="s">
        <v>4886</v>
      </c>
      <c r="D22" s="17" t="s">
        <v>8913</v>
      </c>
    </row>
    <row r="23" spans="1:4" ht="18">
      <c r="A23" s="50" t="s">
        <v>4856</v>
      </c>
      <c r="B23" s="50" t="s">
        <v>8930</v>
      </c>
      <c r="C23" s="50" t="s">
        <v>4887</v>
      </c>
      <c r="D23" s="17" t="s">
        <v>8913</v>
      </c>
    </row>
    <row r="24" spans="1:4" ht="18">
      <c r="A24" s="50" t="s">
        <v>4857</v>
      </c>
      <c r="B24" s="50" t="s">
        <v>8931</v>
      </c>
      <c r="C24" s="50" t="s">
        <v>4886</v>
      </c>
      <c r="D24" s="17" t="s">
        <v>8913</v>
      </c>
    </row>
    <row r="25" spans="1:4" ht="18">
      <c r="A25" s="50" t="s">
        <v>4857</v>
      </c>
      <c r="B25" s="50" t="s">
        <v>8931</v>
      </c>
      <c r="C25" s="50" t="s">
        <v>4886</v>
      </c>
      <c r="D25" s="17" t="s">
        <v>8913</v>
      </c>
    </row>
    <row r="26" spans="1:4" ht="18">
      <c r="A26" s="50" t="s">
        <v>4857</v>
      </c>
      <c r="B26" s="50" t="s">
        <v>8931</v>
      </c>
      <c r="C26" s="50" t="s">
        <v>4886</v>
      </c>
      <c r="D26" s="17" t="s">
        <v>8913</v>
      </c>
    </row>
    <row r="27" spans="1:4" ht="18">
      <c r="A27" s="50" t="s">
        <v>4858</v>
      </c>
      <c r="B27" s="50" t="s">
        <v>8932</v>
      </c>
      <c r="C27" s="50" t="s">
        <v>4887</v>
      </c>
      <c r="D27" s="17" t="s">
        <v>8912</v>
      </c>
    </row>
    <row r="28" spans="1:4" ht="18">
      <c r="A28" s="50" t="s">
        <v>4859</v>
      </c>
      <c r="B28" s="50" t="s">
        <v>8933</v>
      </c>
      <c r="C28" s="50" t="s">
        <v>4888</v>
      </c>
      <c r="D28" s="17" t="s">
        <v>8913</v>
      </c>
    </row>
    <row r="29" spans="1:4" ht="18">
      <c r="A29" s="50" t="s">
        <v>4860</v>
      </c>
      <c r="B29" s="50" t="s">
        <v>8934</v>
      </c>
      <c r="C29" s="50" t="s">
        <v>4881</v>
      </c>
      <c r="D29" s="17" t="s">
        <v>8913</v>
      </c>
    </row>
    <row r="30" spans="1:4" ht="18">
      <c r="A30" s="50" t="s">
        <v>4860</v>
      </c>
      <c r="B30" s="50" t="s">
        <v>8934</v>
      </c>
      <c r="C30" s="50" t="s">
        <v>4881</v>
      </c>
      <c r="D30" s="17" t="s">
        <v>8913</v>
      </c>
    </row>
    <row r="31" spans="1:4" ht="18">
      <c r="A31" s="50" t="s">
        <v>4861</v>
      </c>
      <c r="B31" s="50" t="s">
        <v>8935</v>
      </c>
      <c r="C31" s="50" t="s">
        <v>4884</v>
      </c>
      <c r="D31" s="17" t="s">
        <v>8913</v>
      </c>
    </row>
    <row r="32" spans="1:4" ht="18">
      <c r="A32" s="50" t="s">
        <v>4862</v>
      </c>
      <c r="B32" s="50" t="s">
        <v>8936</v>
      </c>
      <c r="C32" s="50" t="s">
        <v>4887</v>
      </c>
      <c r="D32" s="17" t="s">
        <v>8913</v>
      </c>
    </row>
    <row r="33" spans="1:4" ht="18">
      <c r="A33" s="50" t="s">
        <v>4863</v>
      </c>
      <c r="B33" s="50" t="s">
        <v>8937</v>
      </c>
      <c r="C33" s="50" t="s">
        <v>4881</v>
      </c>
      <c r="D33" s="17" t="s">
        <v>8913</v>
      </c>
    </row>
    <row r="34" spans="1:4" ht="18">
      <c r="A34" s="50" t="s">
        <v>4863</v>
      </c>
      <c r="B34" s="50" t="s">
        <v>8937</v>
      </c>
      <c r="C34" s="50" t="s">
        <v>4881</v>
      </c>
      <c r="D34" s="17" t="s">
        <v>8913</v>
      </c>
    </row>
    <row r="35" spans="1:4" ht="18">
      <c r="A35" s="50" t="s">
        <v>4863</v>
      </c>
      <c r="B35" s="50" t="s">
        <v>8937</v>
      </c>
      <c r="C35" s="50" t="s">
        <v>4881</v>
      </c>
      <c r="D35" s="17" t="s">
        <v>8913</v>
      </c>
    </row>
    <row r="36" spans="1:4" ht="18">
      <c r="A36" s="50" t="s">
        <v>4976</v>
      </c>
      <c r="B36" s="50" t="s">
        <v>8938</v>
      </c>
      <c r="C36" s="50" t="s">
        <v>5007</v>
      </c>
      <c r="D36" s="17" t="s">
        <v>8912</v>
      </c>
    </row>
    <row r="37" spans="1:4" ht="18">
      <c r="A37" s="50" t="s">
        <v>4976</v>
      </c>
      <c r="B37" s="50" t="s">
        <v>8938</v>
      </c>
      <c r="C37" s="50" t="s">
        <v>5007</v>
      </c>
      <c r="D37" s="17" t="s">
        <v>8912</v>
      </c>
    </row>
    <row r="38" spans="1:4" ht="18">
      <c r="A38" s="50" t="s">
        <v>4977</v>
      </c>
      <c r="B38" s="50" t="s">
        <v>8939</v>
      </c>
      <c r="C38" s="50" t="s">
        <v>5008</v>
      </c>
      <c r="D38" s="17" t="s">
        <v>8912</v>
      </c>
    </row>
    <row r="39" spans="1:4" ht="18">
      <c r="A39" s="50" t="s">
        <v>4978</v>
      </c>
      <c r="B39" s="50" t="s">
        <v>8940</v>
      </c>
      <c r="C39" s="50" t="s">
        <v>4972</v>
      </c>
      <c r="D39" s="17" t="s">
        <v>8912</v>
      </c>
    </row>
    <row r="40" spans="1:4" ht="18">
      <c r="A40" s="50" t="s">
        <v>4979</v>
      </c>
      <c r="B40" s="50" t="s">
        <v>8941</v>
      </c>
      <c r="C40" s="50" t="s">
        <v>5009</v>
      </c>
      <c r="D40" s="17" t="s">
        <v>8912</v>
      </c>
    </row>
    <row r="41" spans="1:4" ht="18">
      <c r="A41" s="50" t="s">
        <v>4979</v>
      </c>
      <c r="B41" s="50" t="s">
        <v>8941</v>
      </c>
      <c r="C41" s="50" t="s">
        <v>5009</v>
      </c>
      <c r="D41" s="17" t="s">
        <v>8912</v>
      </c>
    </row>
    <row r="42" spans="1:4" ht="18">
      <c r="A42" s="50" t="s">
        <v>4979</v>
      </c>
      <c r="B42" s="50" t="s">
        <v>8941</v>
      </c>
      <c r="C42" s="50" t="s">
        <v>5009</v>
      </c>
      <c r="D42" s="17" t="s">
        <v>8912</v>
      </c>
    </row>
    <row r="43" spans="1:4" ht="18">
      <c r="A43" s="50" t="s">
        <v>4980</v>
      </c>
      <c r="B43" s="50" t="s">
        <v>8942</v>
      </c>
      <c r="C43" s="50" t="s">
        <v>5010</v>
      </c>
      <c r="D43" s="17" t="s">
        <v>8912</v>
      </c>
    </row>
    <row r="44" spans="1:4" ht="18">
      <c r="A44" s="50" t="s">
        <v>4981</v>
      </c>
      <c r="B44" s="50" t="s">
        <v>8943</v>
      </c>
      <c r="C44" s="50" t="s">
        <v>4972</v>
      </c>
      <c r="D44" s="17" t="s">
        <v>8912</v>
      </c>
    </row>
    <row r="45" spans="1:4" ht="18">
      <c r="A45" s="50" t="s">
        <v>4981</v>
      </c>
      <c r="B45" s="50" t="s">
        <v>8943</v>
      </c>
      <c r="C45" s="50" t="s">
        <v>4972</v>
      </c>
      <c r="D45" s="17" t="s">
        <v>8912</v>
      </c>
    </row>
    <row r="46" spans="1:4" ht="18">
      <c r="A46" s="50" t="s">
        <v>4981</v>
      </c>
      <c r="B46" s="50" t="s">
        <v>8943</v>
      </c>
      <c r="C46" s="50" t="s">
        <v>4972</v>
      </c>
      <c r="D46" s="17" t="s">
        <v>8912</v>
      </c>
    </row>
    <row r="47" spans="1:4" ht="18">
      <c r="A47" s="50" t="s">
        <v>4977</v>
      </c>
      <c r="B47" s="50" t="s">
        <v>8939</v>
      </c>
      <c r="C47" s="50" t="s">
        <v>5008</v>
      </c>
      <c r="D47" s="17" t="s">
        <v>8912</v>
      </c>
    </row>
    <row r="48" spans="1:4" ht="18">
      <c r="A48" s="50" t="s">
        <v>4977</v>
      </c>
      <c r="B48" s="50" t="s">
        <v>8939</v>
      </c>
      <c r="C48" s="50" t="s">
        <v>5008</v>
      </c>
      <c r="D48" s="17" t="s">
        <v>8912</v>
      </c>
    </row>
    <row r="49" spans="1:4" ht="18">
      <c r="A49" s="50" t="s">
        <v>4982</v>
      </c>
      <c r="B49" s="50" t="s">
        <v>8944</v>
      </c>
      <c r="C49" s="50" t="s">
        <v>5011</v>
      </c>
      <c r="D49" s="17" t="s">
        <v>8913</v>
      </c>
    </row>
    <row r="50" spans="1:4" ht="18">
      <c r="A50" s="50" t="s">
        <v>4983</v>
      </c>
      <c r="B50" s="50" t="s">
        <v>8945</v>
      </c>
      <c r="C50" s="50" t="s">
        <v>5008</v>
      </c>
      <c r="D50" s="17" t="s">
        <v>8913</v>
      </c>
    </row>
    <row r="51" spans="1:4" ht="18">
      <c r="A51" s="50" t="s">
        <v>4984</v>
      </c>
      <c r="B51" s="50" t="s">
        <v>8946</v>
      </c>
      <c r="C51" s="50" t="s">
        <v>4972</v>
      </c>
      <c r="D51" s="17" t="s">
        <v>8912</v>
      </c>
    </row>
    <row r="52" spans="1:4" ht="18">
      <c r="A52" s="50" t="s">
        <v>4984</v>
      </c>
      <c r="B52" s="50" t="s">
        <v>8946</v>
      </c>
      <c r="C52" s="50" t="s">
        <v>4972</v>
      </c>
      <c r="D52" s="17" t="s">
        <v>8912</v>
      </c>
    </row>
    <row r="53" spans="1:4" ht="18">
      <c r="A53" s="50" t="s">
        <v>4985</v>
      </c>
      <c r="B53" s="50" t="s">
        <v>8947</v>
      </c>
      <c r="C53" s="50" t="s">
        <v>4972</v>
      </c>
      <c r="D53" s="17" t="s">
        <v>8912</v>
      </c>
    </row>
    <row r="54" spans="1:4" ht="18">
      <c r="A54" s="50" t="s">
        <v>4986</v>
      </c>
      <c r="B54" s="50" t="s">
        <v>8948</v>
      </c>
      <c r="C54" s="50" t="s">
        <v>5007</v>
      </c>
      <c r="D54" s="17" t="s">
        <v>8912</v>
      </c>
    </row>
    <row r="55" spans="1:4" ht="18">
      <c r="A55" s="50" t="s">
        <v>4986</v>
      </c>
      <c r="B55" s="50" t="s">
        <v>8948</v>
      </c>
      <c r="C55" s="50" t="s">
        <v>5007</v>
      </c>
      <c r="D55" s="17" t="s">
        <v>8912</v>
      </c>
    </row>
    <row r="56" spans="1:4" ht="18">
      <c r="A56" s="50" t="s">
        <v>4987</v>
      </c>
      <c r="B56" s="50" t="s">
        <v>8949</v>
      </c>
      <c r="C56" s="50" t="s">
        <v>5012</v>
      </c>
      <c r="D56" s="17" t="s">
        <v>8913</v>
      </c>
    </row>
    <row r="57" spans="1:4" ht="18">
      <c r="A57" s="50" t="s">
        <v>4988</v>
      </c>
      <c r="B57" s="50" t="s">
        <v>8950</v>
      </c>
      <c r="C57" s="50" t="s">
        <v>5009</v>
      </c>
      <c r="D57" s="17" t="s">
        <v>8913</v>
      </c>
    </row>
    <row r="58" spans="1:4" ht="18">
      <c r="A58" s="50" t="s">
        <v>4989</v>
      </c>
      <c r="B58" s="50" t="s">
        <v>8951</v>
      </c>
      <c r="C58" s="50" t="s">
        <v>5012</v>
      </c>
      <c r="D58" s="17" t="s">
        <v>8912</v>
      </c>
    </row>
    <row r="59" spans="1:4" ht="18">
      <c r="A59" s="50" t="s">
        <v>4990</v>
      </c>
      <c r="B59" s="50" t="s">
        <v>8952</v>
      </c>
      <c r="C59" s="50" t="s">
        <v>5012</v>
      </c>
      <c r="D59" s="17" t="s">
        <v>8912</v>
      </c>
    </row>
    <row r="60" spans="1:4" ht="18">
      <c r="A60" s="50" t="s">
        <v>4990</v>
      </c>
      <c r="B60" s="50" t="s">
        <v>8952</v>
      </c>
      <c r="C60" s="50" t="s">
        <v>5012</v>
      </c>
      <c r="D60" s="17" t="s">
        <v>8912</v>
      </c>
    </row>
    <row r="61" spans="1:4" ht="18">
      <c r="A61" s="50" t="s">
        <v>4991</v>
      </c>
      <c r="B61" s="50" t="s">
        <v>8953</v>
      </c>
      <c r="C61" s="50" t="s">
        <v>5011</v>
      </c>
      <c r="D61" s="17" t="s">
        <v>8912</v>
      </c>
    </row>
    <row r="62" spans="1:4" ht="18">
      <c r="A62" s="50" t="s">
        <v>4992</v>
      </c>
      <c r="B62" s="50" t="s">
        <v>8954</v>
      </c>
      <c r="C62" s="50" t="s">
        <v>5012</v>
      </c>
      <c r="D62" s="17" t="s">
        <v>8913</v>
      </c>
    </row>
    <row r="63" spans="1:4" ht="18">
      <c r="A63" s="50" t="s">
        <v>4993</v>
      </c>
      <c r="B63" s="50" t="s">
        <v>8955</v>
      </c>
      <c r="C63" s="50" t="s">
        <v>5010</v>
      </c>
      <c r="D63" s="17" t="s">
        <v>8912</v>
      </c>
    </row>
    <row r="64" spans="1:4" ht="18">
      <c r="A64" s="50" t="s">
        <v>4994</v>
      </c>
      <c r="B64" s="50" t="s">
        <v>8956</v>
      </c>
      <c r="C64" s="50" t="s">
        <v>4972</v>
      </c>
      <c r="D64" s="17" t="s">
        <v>8912</v>
      </c>
    </row>
    <row r="65" spans="1:4" ht="18">
      <c r="A65" s="50" t="s">
        <v>4995</v>
      </c>
      <c r="B65" s="50" t="s">
        <v>8957</v>
      </c>
      <c r="C65" s="50" t="s">
        <v>5011</v>
      </c>
      <c r="D65" s="17" t="s">
        <v>8913</v>
      </c>
    </row>
    <row r="66" spans="1:4" ht="18">
      <c r="A66" s="50" t="s">
        <v>4996</v>
      </c>
      <c r="B66" s="50" t="s">
        <v>8958</v>
      </c>
      <c r="C66" s="50" t="s">
        <v>5013</v>
      </c>
      <c r="D66" s="17" t="s">
        <v>8912</v>
      </c>
    </row>
    <row r="67" spans="1:4" ht="18">
      <c r="A67" s="50" t="s">
        <v>4996</v>
      </c>
      <c r="B67" s="50" t="s">
        <v>8958</v>
      </c>
      <c r="C67" s="50" t="s">
        <v>5013</v>
      </c>
      <c r="D67" s="17" t="s">
        <v>8912</v>
      </c>
    </row>
    <row r="68" spans="1:4" ht="18">
      <c r="A68" s="50" t="s">
        <v>4996</v>
      </c>
      <c r="B68" s="50" t="s">
        <v>8958</v>
      </c>
      <c r="C68" s="50" t="s">
        <v>5013</v>
      </c>
      <c r="D68" s="17" t="s">
        <v>8912</v>
      </c>
    </row>
    <row r="69" spans="1:4" ht="18">
      <c r="A69" s="50" t="s">
        <v>4997</v>
      </c>
      <c r="B69" s="50" t="s">
        <v>8959</v>
      </c>
      <c r="C69" s="50" t="s">
        <v>4972</v>
      </c>
      <c r="D69" s="17" t="s">
        <v>8912</v>
      </c>
    </row>
    <row r="70" spans="1:4" ht="18">
      <c r="A70" s="50" t="s">
        <v>4998</v>
      </c>
      <c r="B70" s="50" t="s">
        <v>8960</v>
      </c>
      <c r="C70" s="50" t="s">
        <v>5011</v>
      </c>
      <c r="D70" s="17" t="s">
        <v>8912</v>
      </c>
    </row>
    <row r="71" spans="1:4" ht="18">
      <c r="A71" s="50" t="s">
        <v>4998</v>
      </c>
      <c r="B71" s="50" t="s">
        <v>8960</v>
      </c>
      <c r="C71" s="50" t="s">
        <v>5011</v>
      </c>
      <c r="D71" s="17" t="s">
        <v>8912</v>
      </c>
    </row>
    <row r="72" spans="1:4" ht="18">
      <c r="A72" s="50" t="s">
        <v>4998</v>
      </c>
      <c r="B72" s="50" t="s">
        <v>8960</v>
      </c>
      <c r="C72" s="50" t="s">
        <v>5011</v>
      </c>
      <c r="D72" s="17" t="s">
        <v>8912</v>
      </c>
    </row>
    <row r="73" spans="1:4" ht="18">
      <c r="A73" s="50" t="s">
        <v>4999</v>
      </c>
      <c r="B73" s="50" t="s">
        <v>8961</v>
      </c>
      <c r="C73" s="50" t="s">
        <v>5012</v>
      </c>
      <c r="D73" s="17" t="s">
        <v>8912</v>
      </c>
    </row>
    <row r="74" spans="1:4" ht="18">
      <c r="A74" s="50" t="s">
        <v>4999</v>
      </c>
      <c r="B74" s="50" t="s">
        <v>8961</v>
      </c>
      <c r="C74" s="50" t="s">
        <v>5012</v>
      </c>
      <c r="D74" s="17" t="s">
        <v>8912</v>
      </c>
    </row>
    <row r="75" spans="1:4" ht="18">
      <c r="A75" s="50" t="s">
        <v>4999</v>
      </c>
      <c r="B75" s="50" t="s">
        <v>8961</v>
      </c>
      <c r="C75" s="50" t="s">
        <v>5012</v>
      </c>
      <c r="D75" s="17" t="s">
        <v>8912</v>
      </c>
    </row>
    <row r="76" spans="1:4" ht="18">
      <c r="A76" s="50" t="s">
        <v>5000</v>
      </c>
      <c r="B76" s="50" t="s">
        <v>8962</v>
      </c>
      <c r="C76" s="50" t="s">
        <v>4972</v>
      </c>
      <c r="D76" s="17" t="s">
        <v>8912</v>
      </c>
    </row>
    <row r="77" spans="1:4" ht="18">
      <c r="A77" s="50" t="s">
        <v>5000</v>
      </c>
      <c r="B77" s="50" t="s">
        <v>8962</v>
      </c>
      <c r="C77" s="50" t="s">
        <v>4972</v>
      </c>
      <c r="D77" s="17" t="s">
        <v>8912</v>
      </c>
    </row>
    <row r="78" spans="1:4" ht="18">
      <c r="A78" s="50" t="s">
        <v>5001</v>
      </c>
      <c r="B78" s="50" t="s">
        <v>8963</v>
      </c>
      <c r="C78" s="50" t="s">
        <v>4972</v>
      </c>
      <c r="D78" s="17" t="s">
        <v>8912</v>
      </c>
    </row>
    <row r="79" spans="1:4" ht="18">
      <c r="A79" s="50" t="s">
        <v>5002</v>
      </c>
      <c r="B79" s="50" t="s">
        <v>8964</v>
      </c>
      <c r="C79" s="50" t="s">
        <v>5009</v>
      </c>
      <c r="D79" s="17" t="s">
        <v>8913</v>
      </c>
    </row>
    <row r="80" spans="1:4" ht="18">
      <c r="A80" s="50" t="s">
        <v>5003</v>
      </c>
      <c r="B80" s="50" t="s">
        <v>8965</v>
      </c>
      <c r="C80" s="50" t="s">
        <v>5014</v>
      </c>
      <c r="D80" s="17" t="s">
        <v>8912</v>
      </c>
    </row>
    <row r="81" spans="1:4" ht="18">
      <c r="A81" s="50" t="s">
        <v>5003</v>
      </c>
      <c r="B81" s="50" t="s">
        <v>8965</v>
      </c>
      <c r="C81" s="50" t="s">
        <v>5014</v>
      </c>
      <c r="D81" s="17" t="s">
        <v>8912</v>
      </c>
    </row>
    <row r="82" spans="1:4" ht="18">
      <c r="A82" s="50" t="s">
        <v>5004</v>
      </c>
      <c r="B82" s="50" t="s">
        <v>8966</v>
      </c>
      <c r="C82" s="50" t="s">
        <v>5012</v>
      </c>
      <c r="D82" s="17" t="s">
        <v>8912</v>
      </c>
    </row>
    <row r="83" spans="1:4" ht="18">
      <c r="A83" s="50" t="s">
        <v>5005</v>
      </c>
      <c r="B83" s="50" t="s">
        <v>8967</v>
      </c>
      <c r="C83" s="50" t="s">
        <v>4972</v>
      </c>
      <c r="D83" s="17" t="s">
        <v>8912</v>
      </c>
    </row>
    <row r="84" spans="1:4" ht="18">
      <c r="A84" s="50" t="s">
        <v>5006</v>
      </c>
      <c r="B84" s="50" t="s">
        <v>8968</v>
      </c>
      <c r="C84" s="50" t="s">
        <v>5008</v>
      </c>
      <c r="D84" s="17" t="s">
        <v>8913</v>
      </c>
    </row>
    <row r="85" spans="1:4" ht="18">
      <c r="A85" s="50" t="s">
        <v>5006</v>
      </c>
      <c r="B85" s="50" t="s">
        <v>8968</v>
      </c>
      <c r="C85" s="50" t="s">
        <v>5008</v>
      </c>
      <c r="D85" s="17" t="s">
        <v>8913</v>
      </c>
    </row>
    <row r="86" spans="1:4" ht="18">
      <c r="A86" s="50" t="s">
        <v>4995</v>
      </c>
      <c r="B86" s="50" t="s">
        <v>8957</v>
      </c>
      <c r="C86" s="50" t="s">
        <v>5011</v>
      </c>
      <c r="D86" s="17" t="s">
        <v>8913</v>
      </c>
    </row>
    <row r="87" spans="1:4" ht="18">
      <c r="A87" s="50" t="str">
        <f>"15100-399667"</f>
        <v>15100-399667</v>
      </c>
      <c r="B87" s="50" t="s">
        <v>8969</v>
      </c>
      <c r="C87" s="50" t="str">
        <f>"96/01/19"</f>
        <v>96/01/19</v>
      </c>
      <c r="D87" s="17" t="s">
        <v>8912</v>
      </c>
    </row>
    <row r="88" spans="1:4" ht="18">
      <c r="A88" s="50" t="str">
        <f>"15100-398821"</f>
        <v>15100-398821</v>
      </c>
      <c r="B88" s="50" t="s">
        <v>8970</v>
      </c>
      <c r="C88" s="50" t="str">
        <f>"96/01/16"</f>
        <v>96/01/16</v>
      </c>
      <c r="D88" s="17" t="s">
        <v>8913</v>
      </c>
    </row>
    <row r="89" spans="1:4" ht="18">
      <c r="A89" s="50" t="str">
        <f>"15100-398821"</f>
        <v>15100-398821</v>
      </c>
      <c r="B89" s="50" t="s">
        <v>8970</v>
      </c>
      <c r="C89" s="50" t="str">
        <f>"96/01/16"</f>
        <v>96/01/16</v>
      </c>
      <c r="D89" s="17" t="s">
        <v>8913</v>
      </c>
    </row>
    <row r="90" spans="1:4" ht="18">
      <c r="A90" s="50" t="str">
        <f>"15100-398821"</f>
        <v>15100-398821</v>
      </c>
      <c r="B90" s="50" t="s">
        <v>8970</v>
      </c>
      <c r="C90" s="50" t="str">
        <f>"96/01/16"</f>
        <v>96/01/16</v>
      </c>
      <c r="D90" s="17" t="s">
        <v>8913</v>
      </c>
    </row>
    <row r="91" spans="1:4" ht="18">
      <c r="A91" s="50" t="str">
        <f>"15100-399667"</f>
        <v>15100-399667</v>
      </c>
      <c r="B91" s="50" t="s">
        <v>8969</v>
      </c>
      <c r="C91" s="50" t="str">
        <f>"96/01/19"</f>
        <v>96/01/19</v>
      </c>
      <c r="D91" s="17" t="s">
        <v>8912</v>
      </c>
    </row>
    <row r="92" spans="1:4" ht="18">
      <c r="A92" s="50" t="str">
        <f t="shared" ref="A92:A94" si="0">"15100-405804"</f>
        <v>15100-405804</v>
      </c>
      <c r="B92" s="50" t="s">
        <v>8971</v>
      </c>
      <c r="C92" s="50" t="str">
        <f t="shared" ref="C92:C94" si="1">"96/01/31"</f>
        <v>96/01/31</v>
      </c>
      <c r="D92" s="17" t="s">
        <v>8913</v>
      </c>
    </row>
    <row r="93" spans="1:4" ht="18">
      <c r="A93" s="50" t="str">
        <f t="shared" si="0"/>
        <v>15100-405804</v>
      </c>
      <c r="B93" s="50" t="s">
        <v>8971</v>
      </c>
      <c r="C93" s="50" t="str">
        <f t="shared" si="1"/>
        <v>96/01/31</v>
      </c>
      <c r="D93" s="17" t="s">
        <v>8913</v>
      </c>
    </row>
    <row r="94" spans="1:4" ht="18">
      <c r="A94" s="50" t="str">
        <f t="shared" si="0"/>
        <v>15100-405804</v>
      </c>
      <c r="B94" s="50" t="s">
        <v>8971</v>
      </c>
      <c r="C94" s="50" t="str">
        <f t="shared" si="1"/>
        <v>96/01/31</v>
      </c>
      <c r="D94" s="17" t="s">
        <v>8913</v>
      </c>
    </row>
    <row r="95" spans="1:4" ht="18">
      <c r="A95" s="50" t="str">
        <f>"15100-405804"</f>
        <v>15100-405804</v>
      </c>
      <c r="B95" s="50" t="s">
        <v>8971</v>
      </c>
      <c r="C95" s="50" t="str">
        <f>"96/01/31"</f>
        <v>96/01/31</v>
      </c>
      <c r="D95" s="17" t="s">
        <v>8913</v>
      </c>
    </row>
    <row r="96" spans="1:4" ht="18">
      <c r="A96" s="50" t="str">
        <f>"15100-405804"</f>
        <v>15100-405804</v>
      </c>
      <c r="B96" s="50" t="s">
        <v>8971</v>
      </c>
      <c r="C96" s="50" t="str">
        <f>"96/01/31"</f>
        <v>96/01/31</v>
      </c>
      <c r="D96" s="17" t="s">
        <v>8913</v>
      </c>
    </row>
    <row r="97" spans="1:4" ht="18">
      <c r="A97" s="50" t="str">
        <f>"15100-402715"</f>
        <v>15100-402715</v>
      </c>
      <c r="B97" s="50" t="s">
        <v>8972</v>
      </c>
      <c r="C97" s="50" t="str">
        <f>"96/01/26"</f>
        <v>96/01/26</v>
      </c>
      <c r="D97" s="17" t="s">
        <v>8913</v>
      </c>
    </row>
    <row r="98" spans="1:4" ht="18">
      <c r="A98" s="50" t="str">
        <f>"15100-402724"</f>
        <v>15100-402724</v>
      </c>
      <c r="B98" s="50" t="s">
        <v>8973</v>
      </c>
      <c r="C98" s="50" t="str">
        <f>"96/01/26"</f>
        <v>96/01/26</v>
      </c>
      <c r="D98" s="17" t="s">
        <v>8913</v>
      </c>
    </row>
    <row r="99" spans="1:4" ht="18">
      <c r="A99" s="50" t="str">
        <f>"15100-399199"</f>
        <v>15100-399199</v>
      </c>
      <c r="B99" s="50" t="s">
        <v>8974</v>
      </c>
      <c r="C99" s="50" t="str">
        <f>"96/01/17"</f>
        <v>96/01/17</v>
      </c>
      <c r="D99" s="17" t="s">
        <v>8912</v>
      </c>
    </row>
    <row r="100" spans="1:4" ht="18">
      <c r="A100" s="50" t="str">
        <f>"15100-398641"</f>
        <v>15100-398641</v>
      </c>
      <c r="B100" s="50" t="s">
        <v>8975</v>
      </c>
      <c r="C100" s="50" t="str">
        <f>"96/01/16"</f>
        <v>96/01/16</v>
      </c>
      <c r="D100" s="17" t="s">
        <v>8913</v>
      </c>
    </row>
    <row r="101" spans="1:4" ht="18">
      <c r="A101" s="50" t="str">
        <f>"15100-403972"</f>
        <v>15100-403972</v>
      </c>
      <c r="B101" s="50" t="s">
        <v>8976</v>
      </c>
      <c r="C101" s="50" t="str">
        <f>"96/01/28"</f>
        <v>96/01/28</v>
      </c>
      <c r="D101" s="17" t="s">
        <v>8912</v>
      </c>
    </row>
    <row r="102" spans="1:4" ht="18">
      <c r="A102" s="50" t="str">
        <f>"15100-402206"</f>
        <v>15100-402206</v>
      </c>
      <c r="B102" s="50" t="s">
        <v>8977</v>
      </c>
      <c r="C102" s="50" t="str">
        <f>"96/01/24"</f>
        <v>96/01/24</v>
      </c>
      <c r="D102" s="17" t="s">
        <v>8913</v>
      </c>
    </row>
    <row r="103" spans="1:4" ht="18">
      <c r="A103" s="50" t="str">
        <f>"15100-402293"</f>
        <v>15100-402293</v>
      </c>
      <c r="B103" s="50" t="s">
        <v>8978</v>
      </c>
      <c r="C103" s="50" t="str">
        <f>"96/01/24"</f>
        <v>96/01/24</v>
      </c>
      <c r="D103" s="17" t="s">
        <v>8912</v>
      </c>
    </row>
    <row r="104" spans="1:4" ht="18">
      <c r="A104" s="50" t="str">
        <f>"15100-398551"</f>
        <v>15100-398551</v>
      </c>
      <c r="B104" s="50" t="s">
        <v>8979</v>
      </c>
      <c r="C104" s="50" t="str">
        <f>"96/01/16"</f>
        <v>96/01/16</v>
      </c>
      <c r="D104" s="17" t="s">
        <v>8912</v>
      </c>
    </row>
    <row r="105" spans="1:4" ht="18">
      <c r="A105" s="50" t="str">
        <f>"15100-402227"</f>
        <v>15100-402227</v>
      </c>
      <c r="B105" s="50" t="s">
        <v>8980</v>
      </c>
      <c r="C105" s="50" t="str">
        <f>"96/01/24"</f>
        <v>96/01/24</v>
      </c>
      <c r="D105" s="17" t="s">
        <v>8913</v>
      </c>
    </row>
    <row r="106" spans="1:4" ht="18">
      <c r="A106" s="50" t="str">
        <f>"15100-399754"</f>
        <v>15100-399754</v>
      </c>
      <c r="B106" s="50" t="s">
        <v>8981</v>
      </c>
      <c r="C106" s="50" t="str">
        <f>"96/01/19"</f>
        <v>96/01/19</v>
      </c>
      <c r="D106" s="17" t="s">
        <v>8913</v>
      </c>
    </row>
    <row r="107" spans="1:4" ht="18">
      <c r="A107" s="50" t="str">
        <f>"15100-399754"</f>
        <v>15100-399754</v>
      </c>
      <c r="B107" s="50" t="s">
        <v>8981</v>
      </c>
      <c r="C107" s="50" t="str">
        <f>"96/01/19"</f>
        <v>96/01/19</v>
      </c>
      <c r="D107" s="17" t="s">
        <v>8913</v>
      </c>
    </row>
    <row r="108" spans="1:4" ht="18">
      <c r="A108" s="50" t="str">
        <f>"15100-404062"</f>
        <v>15100-404062</v>
      </c>
      <c r="B108" s="50" t="s">
        <v>8982</v>
      </c>
      <c r="C108" s="50" t="str">
        <f>"96/01/28"</f>
        <v>96/01/28</v>
      </c>
      <c r="D108" s="17" t="s">
        <v>8913</v>
      </c>
    </row>
    <row r="109" spans="1:4" ht="18">
      <c r="A109" s="50" t="str">
        <f>"15100-403957"</f>
        <v>15100-403957</v>
      </c>
      <c r="B109" s="50" t="s">
        <v>8983</v>
      </c>
      <c r="C109" s="50" t="str">
        <f>"96/01/28"</f>
        <v>96/01/28</v>
      </c>
      <c r="D109" s="17" t="s">
        <v>8912</v>
      </c>
    </row>
    <row r="110" spans="1:4" ht="18">
      <c r="A110" s="50" t="str">
        <f>"15100-402003"</f>
        <v>15100-402003</v>
      </c>
      <c r="B110" s="50" t="s">
        <v>8984</v>
      </c>
      <c r="C110" s="50" t="str">
        <f>"96/01/24"</f>
        <v>96/01/24</v>
      </c>
      <c r="D110" s="17" t="s">
        <v>8912</v>
      </c>
    </row>
    <row r="111" spans="1:4" ht="18">
      <c r="A111" s="50" t="str">
        <f>"15100-402317"</f>
        <v>15100-402317</v>
      </c>
      <c r="B111" s="50" t="s">
        <v>8985</v>
      </c>
      <c r="C111" s="50" t="str">
        <f>"96/01/24"</f>
        <v>96/01/24</v>
      </c>
      <c r="D111" s="17" t="s">
        <v>8912</v>
      </c>
    </row>
    <row r="112" spans="1:4" ht="18">
      <c r="A112" s="50" t="str">
        <f>"15100-404592"</f>
        <v>15100-404592</v>
      </c>
      <c r="B112" s="50" t="s">
        <v>8986</v>
      </c>
      <c r="C112" s="50" t="str">
        <f>"96/01/29"</f>
        <v>96/01/29</v>
      </c>
      <c r="D112" s="17" t="s">
        <v>8913</v>
      </c>
    </row>
    <row r="113" spans="1:4" ht="18">
      <c r="A113" s="50" t="str">
        <f>"15100-404592"</f>
        <v>15100-404592</v>
      </c>
      <c r="B113" s="50" t="s">
        <v>8986</v>
      </c>
      <c r="C113" s="50" t="str">
        <f>"96/01/29"</f>
        <v>96/01/29</v>
      </c>
      <c r="D113" s="17" t="s">
        <v>8913</v>
      </c>
    </row>
    <row r="114" spans="1:4" ht="18">
      <c r="A114" s="50" t="str">
        <f>"15100-404592"</f>
        <v>15100-404592</v>
      </c>
      <c r="B114" s="50" t="s">
        <v>8986</v>
      </c>
      <c r="C114" s="50" t="str">
        <f>"96/01/29"</f>
        <v>96/01/29</v>
      </c>
      <c r="D114" s="17" t="s">
        <v>8913</v>
      </c>
    </row>
    <row r="115" spans="1:4" ht="18">
      <c r="A115" s="50" t="str">
        <f>"15100-403282"</f>
        <v>15100-403282</v>
      </c>
      <c r="B115" s="50" t="s">
        <v>8987</v>
      </c>
      <c r="C115" s="50" t="str">
        <f>"96/01/27"</f>
        <v>96/01/27</v>
      </c>
      <c r="D115" s="17" t="s">
        <v>8912</v>
      </c>
    </row>
    <row r="116" spans="1:4" ht="18">
      <c r="A116" s="50" t="str">
        <f>"15100-402703"</f>
        <v>15100-402703</v>
      </c>
      <c r="B116" s="50" t="s">
        <v>8988</v>
      </c>
      <c r="C116" s="50" t="str">
        <f>"96/01/26"</f>
        <v>96/01/26</v>
      </c>
      <c r="D116" s="17" t="s">
        <v>8913</v>
      </c>
    </row>
    <row r="117" spans="1:4" ht="18">
      <c r="A117" s="50" t="str">
        <f>"15100-402703"</f>
        <v>15100-402703</v>
      </c>
      <c r="B117" s="50" t="s">
        <v>8988</v>
      </c>
      <c r="C117" s="50" t="str">
        <f>"96/01/26"</f>
        <v>96/01/26</v>
      </c>
      <c r="D117" s="17" t="s">
        <v>8913</v>
      </c>
    </row>
    <row r="118" spans="1:4" ht="18">
      <c r="A118" s="50" t="str">
        <f>"15100-402703"</f>
        <v>15100-402703</v>
      </c>
      <c r="B118" s="50" t="s">
        <v>8988</v>
      </c>
      <c r="C118" s="50" t="str">
        <f>"96/01/26"</f>
        <v>96/01/26</v>
      </c>
      <c r="D118" s="17" t="s">
        <v>8913</v>
      </c>
    </row>
    <row r="119" spans="1:4" ht="18">
      <c r="A119" s="50" t="str">
        <f>"15100-402703"</f>
        <v>15100-402703</v>
      </c>
      <c r="B119" s="50" t="s">
        <v>8988</v>
      </c>
      <c r="C119" s="50" t="str">
        <f>"96/01/26"</f>
        <v>96/01/26</v>
      </c>
      <c r="D119" s="17" t="s">
        <v>8913</v>
      </c>
    </row>
    <row r="120" spans="1:4" ht="18">
      <c r="A120" s="50" t="str">
        <f>"15100-402703"</f>
        <v>15100-402703</v>
      </c>
      <c r="B120" s="50" t="s">
        <v>8988</v>
      </c>
      <c r="C120" s="50" t="str">
        <f>"96/01/26"</f>
        <v>96/01/26</v>
      </c>
      <c r="D120" s="17" t="s">
        <v>8913</v>
      </c>
    </row>
    <row r="121" spans="1:4" ht="18">
      <c r="A121" s="50" t="str">
        <f>"15100-403984"</f>
        <v>15100-403984</v>
      </c>
      <c r="B121" s="50" t="s">
        <v>8989</v>
      </c>
      <c r="C121" s="50" t="str">
        <f>"96/01/28"</f>
        <v>96/01/28</v>
      </c>
      <c r="D121" s="17" t="s">
        <v>8913</v>
      </c>
    </row>
    <row r="122" spans="1:4" ht="18">
      <c r="A122" s="50" t="str">
        <f>"15100-399812"</f>
        <v>15100-399812</v>
      </c>
      <c r="B122" s="50" t="s">
        <v>8990</v>
      </c>
      <c r="C122" s="50" t="str">
        <f>"96/01/19"</f>
        <v>96/01/19</v>
      </c>
      <c r="D122" s="17" t="s">
        <v>8913</v>
      </c>
    </row>
    <row r="123" spans="1:4" ht="18">
      <c r="A123" s="50" t="str">
        <f>"15100-404119"</f>
        <v>15100-404119</v>
      </c>
      <c r="B123" s="50" t="s">
        <v>8991</v>
      </c>
      <c r="C123" s="50" t="str">
        <f>"96/01/28"</f>
        <v>96/01/28</v>
      </c>
      <c r="D123" s="17" t="s">
        <v>8913</v>
      </c>
    </row>
    <row r="124" spans="1:4" ht="18">
      <c r="A124" s="50" t="str">
        <f>"15100-404119"</f>
        <v>15100-404119</v>
      </c>
      <c r="B124" s="50" t="s">
        <v>8991</v>
      </c>
      <c r="C124" s="50" t="str">
        <f>"96/01/28"</f>
        <v>96/01/28</v>
      </c>
      <c r="D124" s="17" t="s">
        <v>8913</v>
      </c>
    </row>
    <row r="125" spans="1:4" ht="18">
      <c r="A125" s="50" t="str">
        <f>"15100-404119"</f>
        <v>15100-404119</v>
      </c>
      <c r="B125" s="50" t="s">
        <v>8991</v>
      </c>
      <c r="C125" s="50" t="str">
        <f>"96/01/28"</f>
        <v>96/01/28</v>
      </c>
      <c r="D125" s="17" t="s">
        <v>8913</v>
      </c>
    </row>
    <row r="126" spans="1:4" ht="18">
      <c r="A126" s="50" t="str">
        <f>"15100-403264"</f>
        <v>15100-403264</v>
      </c>
      <c r="B126" s="50" t="s">
        <v>8992</v>
      </c>
      <c r="C126" s="50" t="str">
        <f>"96/01/27"</f>
        <v>96/01/27</v>
      </c>
      <c r="D126" s="17" t="s">
        <v>8912</v>
      </c>
    </row>
    <row r="127" spans="1:4" ht="18">
      <c r="A127" s="50" t="str">
        <f>"15100-402691"</f>
        <v>15100-402691</v>
      </c>
      <c r="B127" s="50" t="s">
        <v>8993</v>
      </c>
      <c r="C127" s="50" t="str">
        <f>"96/01/26"</f>
        <v>96/01/26</v>
      </c>
      <c r="D127" s="17" t="s">
        <v>8912</v>
      </c>
    </row>
    <row r="128" spans="1:4" ht="18">
      <c r="A128" s="50" t="str">
        <f>"15100-402691"</f>
        <v>15100-402691</v>
      </c>
      <c r="B128" s="50" t="s">
        <v>8993</v>
      </c>
      <c r="C128" s="50" t="str">
        <f>"96/01/26"</f>
        <v>96/01/26</v>
      </c>
      <c r="D128" s="17" t="s">
        <v>8912</v>
      </c>
    </row>
    <row r="129" spans="1:4" ht="18">
      <c r="A129" s="50" t="str">
        <f>"15100-402691"</f>
        <v>15100-402691</v>
      </c>
      <c r="B129" s="50" t="s">
        <v>8993</v>
      </c>
      <c r="C129" s="50" t="str">
        <f>"96/01/26"</f>
        <v>96/01/26</v>
      </c>
      <c r="D129" s="17" t="s">
        <v>8912</v>
      </c>
    </row>
    <row r="130" spans="1:4" ht="18">
      <c r="A130" s="50" t="str">
        <f>"15100-402290"</f>
        <v>15100-402290</v>
      </c>
      <c r="B130" s="50" t="s">
        <v>8994</v>
      </c>
      <c r="C130" s="50" t="str">
        <f>"96/01/24"</f>
        <v>96/01/24</v>
      </c>
      <c r="D130" s="17" t="s">
        <v>8913</v>
      </c>
    </row>
    <row r="131" spans="1:4" ht="18">
      <c r="A131" s="50" t="str">
        <f>"15100-401498"</f>
        <v>15100-401498</v>
      </c>
      <c r="B131" s="50" t="s">
        <v>8995</v>
      </c>
      <c r="C131" s="50" t="str">
        <f>"96/01/23"</f>
        <v>96/01/23</v>
      </c>
      <c r="D131" s="17" t="s">
        <v>8912</v>
      </c>
    </row>
    <row r="132" spans="1:4" ht="18">
      <c r="A132" s="50" t="str">
        <f>"15100-405705"</f>
        <v>15100-405705</v>
      </c>
      <c r="B132" s="50" t="s">
        <v>8996</v>
      </c>
      <c r="C132" s="50" t="str">
        <f>"96/01/31"</f>
        <v>96/01/31</v>
      </c>
      <c r="D132" s="17" t="s">
        <v>8913</v>
      </c>
    </row>
    <row r="133" spans="1:4" ht="18">
      <c r="A133" s="50" t="str">
        <f>"15100-401633"</f>
        <v>15100-401633</v>
      </c>
      <c r="B133" s="50" t="s">
        <v>8997</v>
      </c>
      <c r="C133" s="50" t="str">
        <f>"96/01/23"</f>
        <v>96/01/23</v>
      </c>
      <c r="D133" s="17" t="s">
        <v>8913</v>
      </c>
    </row>
    <row r="134" spans="1:4" ht="18">
      <c r="A134" s="50" t="str">
        <f>"15100-400754"</f>
        <v>15100-400754</v>
      </c>
      <c r="B134" s="50" t="s">
        <v>8998</v>
      </c>
      <c r="C134" s="50" t="str">
        <f>"96/01/21"</f>
        <v>96/01/21</v>
      </c>
      <c r="D134" s="17" t="s">
        <v>8913</v>
      </c>
    </row>
    <row r="135" spans="1:4" ht="18">
      <c r="A135" s="50" t="str">
        <f>"15100-405133"</f>
        <v>15100-405133</v>
      </c>
      <c r="B135" s="50" t="s">
        <v>8999</v>
      </c>
      <c r="C135" s="50" t="str">
        <f>"96/01/30"</f>
        <v>96/01/30</v>
      </c>
      <c r="D135" s="17" t="s">
        <v>8912</v>
      </c>
    </row>
    <row r="136" spans="1:4" ht="18">
      <c r="A136" s="50" t="str">
        <f>"15100-405133"</f>
        <v>15100-405133</v>
      </c>
      <c r="B136" s="50" t="s">
        <v>8999</v>
      </c>
      <c r="C136" s="50" t="str">
        <f>"96/01/30"</f>
        <v>96/01/30</v>
      </c>
      <c r="D136" s="17" t="s">
        <v>8912</v>
      </c>
    </row>
    <row r="137" spans="1:4" ht="18">
      <c r="A137" s="50" t="str">
        <f>"15100-404462"</f>
        <v>15100-404462</v>
      </c>
      <c r="B137" s="50" t="s">
        <v>9000</v>
      </c>
      <c r="C137" s="50" t="str">
        <f>"96/01/29"</f>
        <v>96/01/29</v>
      </c>
      <c r="D137" s="17" t="s">
        <v>8912</v>
      </c>
    </row>
    <row r="138" spans="1:4" ht="18">
      <c r="A138" s="50" t="str">
        <f>"15100-404462"</f>
        <v>15100-404462</v>
      </c>
      <c r="B138" s="50" t="s">
        <v>9000</v>
      </c>
      <c r="C138" s="50" t="str">
        <f>"96/01/29"</f>
        <v>96/01/29</v>
      </c>
      <c r="D138" s="17" t="s">
        <v>8912</v>
      </c>
    </row>
    <row r="139" spans="1:4" ht="18">
      <c r="A139" s="50" t="str">
        <f>"15100-404537"</f>
        <v>15100-404537</v>
      </c>
      <c r="B139" s="50" t="s">
        <v>9001</v>
      </c>
      <c r="C139" s="50" t="str">
        <f>"96/01/29"</f>
        <v>96/01/29</v>
      </c>
      <c r="D139" s="17" t="s">
        <v>8912</v>
      </c>
    </row>
    <row r="140" spans="1:4" ht="18">
      <c r="A140" s="50" t="str">
        <f>"15100-404537"</f>
        <v>15100-404537</v>
      </c>
      <c r="B140" s="50" t="s">
        <v>9001</v>
      </c>
      <c r="C140" s="50" t="str">
        <f>"96/01/29"</f>
        <v>96/01/29</v>
      </c>
      <c r="D140" s="17" t="s">
        <v>8912</v>
      </c>
    </row>
    <row r="141" spans="1:4" ht="18">
      <c r="A141" s="50" t="str">
        <f>"15100-405653"</f>
        <v>15100-405653</v>
      </c>
      <c r="B141" s="50" t="s">
        <v>9002</v>
      </c>
      <c r="C141" s="50" t="str">
        <f>"96/01/31"</f>
        <v>96/01/31</v>
      </c>
      <c r="D141" s="17" t="s">
        <v>8912</v>
      </c>
    </row>
    <row r="142" spans="1:4" ht="18">
      <c r="A142" s="50" t="str">
        <f>"15100-405687"</f>
        <v>15100-405687</v>
      </c>
      <c r="B142" s="50" t="s">
        <v>9003</v>
      </c>
      <c r="C142" s="50" t="str">
        <f>"96/01/31"</f>
        <v>96/01/31</v>
      </c>
      <c r="D142" s="17" t="s">
        <v>8913</v>
      </c>
    </row>
    <row r="143" spans="1:4" ht="18">
      <c r="A143" s="50" t="str">
        <f>"15100-403400"</f>
        <v>15100-403400</v>
      </c>
      <c r="B143" s="50" t="s">
        <v>9004</v>
      </c>
      <c r="C143" s="50" t="str">
        <f>"96/01/27"</f>
        <v>96/01/27</v>
      </c>
      <c r="D143" s="17" t="s">
        <v>8913</v>
      </c>
    </row>
    <row r="144" spans="1:4" ht="18">
      <c r="A144" s="50" t="str">
        <f>"15100-403394"</f>
        <v>15100-403394</v>
      </c>
      <c r="B144" s="50" t="s">
        <v>9005</v>
      </c>
      <c r="C144" s="50" t="str">
        <f>"96/01/27"</f>
        <v>96/01/27</v>
      </c>
      <c r="D144" s="17" t="s">
        <v>8913</v>
      </c>
    </row>
    <row r="145" spans="1:4" ht="18">
      <c r="A145" s="50" t="str">
        <f>"15100-401588"</f>
        <v>15100-401588</v>
      </c>
      <c r="B145" s="50" t="s">
        <v>9006</v>
      </c>
      <c r="C145" s="50" t="str">
        <f>"96/01/23"</f>
        <v>96/01/23</v>
      </c>
      <c r="D145" s="17" t="s">
        <v>8912</v>
      </c>
    </row>
    <row r="146" spans="1:4" ht="18">
      <c r="A146" s="50" t="str">
        <f>"15100-401588"</f>
        <v>15100-401588</v>
      </c>
      <c r="B146" s="50" t="s">
        <v>9006</v>
      </c>
      <c r="C146" s="50" t="str">
        <f>"96/01/23"</f>
        <v>96/01/23</v>
      </c>
      <c r="D146" s="17" t="s">
        <v>8912</v>
      </c>
    </row>
    <row r="147" spans="1:4" ht="18">
      <c r="A147" s="50" t="str">
        <f>"15100-401540"</f>
        <v>15100-401540</v>
      </c>
      <c r="B147" s="50" t="s">
        <v>9007</v>
      </c>
      <c r="C147" s="50" t="str">
        <f>"96/01/23"</f>
        <v>96/01/23</v>
      </c>
      <c r="D147" s="17" t="s">
        <v>8912</v>
      </c>
    </row>
    <row r="148" spans="1:4" ht="18">
      <c r="A148" s="50" t="str">
        <f>"15100-399827"</f>
        <v>15100-399827</v>
      </c>
      <c r="B148" s="50" t="s">
        <v>9008</v>
      </c>
      <c r="C148" s="50" t="str">
        <f>"96/01/19"</f>
        <v>96/01/19</v>
      </c>
      <c r="D148" s="17" t="s">
        <v>8913</v>
      </c>
    </row>
    <row r="149" spans="1:4" ht="18">
      <c r="A149" s="50" t="str">
        <f>"15100-404480"</f>
        <v>15100-404480</v>
      </c>
      <c r="B149" s="50" t="s">
        <v>9009</v>
      </c>
      <c r="C149" s="50" t="str">
        <f>"96/01/29"</f>
        <v>96/01/29</v>
      </c>
      <c r="D149" s="17" t="s">
        <v>8912</v>
      </c>
    </row>
    <row r="150" spans="1:4" ht="18">
      <c r="A150" s="50" t="str">
        <f>"15100-404480"</f>
        <v>15100-404480</v>
      </c>
      <c r="B150" s="50" t="s">
        <v>9009</v>
      </c>
      <c r="C150" s="50" t="str">
        <f>"96/01/29"</f>
        <v>96/01/29</v>
      </c>
      <c r="D150" s="17" t="s">
        <v>8912</v>
      </c>
    </row>
    <row r="151" spans="1:4" ht="18">
      <c r="A151" s="50" t="str">
        <f>"15100-403228"</f>
        <v>15100-403228</v>
      </c>
      <c r="B151" s="50" t="s">
        <v>9010</v>
      </c>
      <c r="C151" s="50" t="str">
        <f>"96/01/27"</f>
        <v>96/01/27</v>
      </c>
      <c r="D151" s="17" t="s">
        <v>8912</v>
      </c>
    </row>
    <row r="152" spans="1:4" ht="18">
      <c r="A152" s="50" t="str">
        <f>"15100-402598"</f>
        <v>15100-402598</v>
      </c>
      <c r="B152" s="50" t="s">
        <v>9011</v>
      </c>
      <c r="C152" s="50" t="str">
        <f>"96/01/26"</f>
        <v>96/01/26</v>
      </c>
      <c r="D152" s="17" t="s">
        <v>8913</v>
      </c>
    </row>
    <row r="153" spans="1:4" ht="18">
      <c r="A153" s="50" t="str">
        <f>"15100-402598"</f>
        <v>15100-402598</v>
      </c>
      <c r="B153" s="50" t="s">
        <v>9011</v>
      </c>
      <c r="C153" s="50" t="str">
        <f>"96/01/26"</f>
        <v>96/01/26</v>
      </c>
      <c r="D153" s="17" t="s">
        <v>8913</v>
      </c>
    </row>
    <row r="154" spans="1:4" ht="18">
      <c r="A154" s="50" t="str">
        <f>"15100-400907"</f>
        <v>15100-400907</v>
      </c>
      <c r="B154" s="50" t="s">
        <v>9012</v>
      </c>
      <c r="C154" s="50" t="str">
        <f>"96/01/21"</f>
        <v>96/01/21</v>
      </c>
      <c r="D154" s="17" t="s">
        <v>8912</v>
      </c>
    </row>
    <row r="155" spans="1:4" ht="18">
      <c r="A155" s="50" t="str">
        <f>"15100-405115"</f>
        <v>15100-405115</v>
      </c>
      <c r="B155" s="50" t="s">
        <v>9013</v>
      </c>
      <c r="C155" s="50" t="str">
        <f>"96/01/30"</f>
        <v>96/01/30</v>
      </c>
      <c r="D155" s="17" t="s">
        <v>8913</v>
      </c>
    </row>
    <row r="156" spans="1:4" ht="18">
      <c r="A156" s="50" t="str">
        <f t="shared" ref="A156:A157" si="2">"15100-405115"</f>
        <v>15100-405115</v>
      </c>
      <c r="B156" s="50" t="s">
        <v>9013</v>
      </c>
      <c r="C156" s="50" t="str">
        <f t="shared" ref="C156:C157" si="3">"96/01/30"</f>
        <v>96/01/30</v>
      </c>
      <c r="D156" s="17" t="s">
        <v>8913</v>
      </c>
    </row>
    <row r="157" spans="1:4" ht="18">
      <c r="A157" s="50" t="str">
        <f t="shared" si="2"/>
        <v>15100-405115</v>
      </c>
      <c r="B157" s="50" t="s">
        <v>9013</v>
      </c>
      <c r="C157" s="50" t="str">
        <f t="shared" si="3"/>
        <v>96/01/30</v>
      </c>
      <c r="D157" s="17" t="s">
        <v>8913</v>
      </c>
    </row>
    <row r="158" spans="1:4" ht="18">
      <c r="A158" s="50" t="str">
        <f>"15100-400796"</f>
        <v>15100-400796</v>
      </c>
      <c r="B158" s="50" t="s">
        <v>9014</v>
      </c>
      <c r="C158" s="50" t="str">
        <f>"96/01/21"</f>
        <v>96/01/21</v>
      </c>
      <c r="D158" s="17" t="s">
        <v>8912</v>
      </c>
    </row>
    <row r="159" spans="1:4" ht="18">
      <c r="A159" s="50" t="str">
        <f>"15100-405082"</f>
        <v>15100-405082</v>
      </c>
      <c r="B159" s="50" t="s">
        <v>9015</v>
      </c>
      <c r="C159" s="50" t="str">
        <f>"96/01/30"</f>
        <v>96/01/30</v>
      </c>
      <c r="D159" s="17" t="s">
        <v>8912</v>
      </c>
    </row>
    <row r="160" spans="1:4" ht="18">
      <c r="A160" s="50" t="str">
        <f>"15100-405082"</f>
        <v>15100-405082</v>
      </c>
      <c r="B160" s="50" t="s">
        <v>9015</v>
      </c>
      <c r="C160" s="50" t="str">
        <f>"96/01/30"</f>
        <v>96/01/30</v>
      </c>
      <c r="D160" s="17" t="s">
        <v>8912</v>
      </c>
    </row>
    <row r="161" spans="1:4" ht="18">
      <c r="A161" s="50" t="str">
        <f>"15100-400889"</f>
        <v>15100-400889</v>
      </c>
      <c r="B161" s="50" t="s">
        <v>9016</v>
      </c>
      <c r="C161" s="50" t="str">
        <f>"96/01/21"</f>
        <v>96/01/21</v>
      </c>
      <c r="D161" s="17" t="s">
        <v>8912</v>
      </c>
    </row>
    <row r="162" spans="1:4" ht="18">
      <c r="A162" s="50" t="str">
        <f>"15100-400865"</f>
        <v>15100-400865</v>
      </c>
      <c r="B162" s="50" t="s">
        <v>9017</v>
      </c>
      <c r="C162" s="50" t="str">
        <f>"96/01/21"</f>
        <v>96/01/21</v>
      </c>
      <c r="D162" s="17" t="s">
        <v>8913</v>
      </c>
    </row>
    <row r="163" spans="1:4" ht="18">
      <c r="A163" s="50" t="str">
        <f>"15100-400248"</f>
        <v>15100-400248</v>
      </c>
      <c r="B163" s="50" t="s">
        <v>9018</v>
      </c>
      <c r="C163" s="50" t="str">
        <f>"96/01/20"</f>
        <v>96/01/20</v>
      </c>
      <c r="D163" s="17" t="s">
        <v>8912</v>
      </c>
    </row>
    <row r="164" spans="1:4" ht="18">
      <c r="A164" s="50" t="str">
        <f>"15100-400272"</f>
        <v>15100-400272</v>
      </c>
      <c r="B164" s="50" t="s">
        <v>9019</v>
      </c>
      <c r="C164" s="50" t="str">
        <f>"96/01/20"</f>
        <v>96/01/20</v>
      </c>
      <c r="D164" s="17" t="s">
        <v>8912</v>
      </c>
    </row>
    <row r="165" spans="1:4" ht="18">
      <c r="A165" s="50" t="str">
        <f>"15100-400706"</f>
        <v>15100-400706</v>
      </c>
      <c r="B165" s="50" t="s">
        <v>9020</v>
      </c>
      <c r="C165" s="50" t="str">
        <f>"96/01/21"</f>
        <v>96/01/21</v>
      </c>
      <c r="D165" s="17" t="s">
        <v>8912</v>
      </c>
    </row>
    <row r="166" spans="1:4" ht="18">
      <c r="A166" s="50" t="s">
        <v>5090</v>
      </c>
      <c r="B166" s="50" t="s">
        <v>9021</v>
      </c>
      <c r="C166" s="50" t="s">
        <v>5160</v>
      </c>
      <c r="D166" s="17" t="s">
        <v>8912</v>
      </c>
    </row>
    <row r="167" spans="1:4" ht="18">
      <c r="A167" s="50" t="s">
        <v>5090</v>
      </c>
      <c r="B167" s="50" t="s">
        <v>9021</v>
      </c>
      <c r="C167" s="50" t="s">
        <v>5160</v>
      </c>
      <c r="D167" s="17" t="s">
        <v>8912</v>
      </c>
    </row>
    <row r="168" spans="1:4" ht="18">
      <c r="A168" s="50" t="s">
        <v>5090</v>
      </c>
      <c r="B168" s="50" t="s">
        <v>9021</v>
      </c>
      <c r="C168" s="50" t="s">
        <v>5160</v>
      </c>
      <c r="D168" s="17" t="s">
        <v>8912</v>
      </c>
    </row>
    <row r="169" spans="1:4" ht="18">
      <c r="A169" s="50" t="s">
        <v>5091</v>
      </c>
      <c r="B169" s="50" t="s">
        <v>9022</v>
      </c>
      <c r="C169" s="50" t="s">
        <v>5161</v>
      </c>
      <c r="D169" s="17" t="s">
        <v>8912</v>
      </c>
    </row>
    <row r="170" spans="1:4" ht="18">
      <c r="A170" s="50" t="s">
        <v>5092</v>
      </c>
      <c r="B170" s="50" t="s">
        <v>9023</v>
      </c>
      <c r="C170" s="50" t="s">
        <v>5162</v>
      </c>
      <c r="D170" s="17" t="s">
        <v>8912</v>
      </c>
    </row>
    <row r="171" spans="1:4" ht="18">
      <c r="A171" s="50" t="s">
        <v>5093</v>
      </c>
      <c r="B171" s="50" t="s">
        <v>9024</v>
      </c>
      <c r="C171" s="50" t="s">
        <v>5160</v>
      </c>
      <c r="D171" s="17" t="s">
        <v>8912</v>
      </c>
    </row>
    <row r="172" spans="1:4" ht="18">
      <c r="A172" s="50" t="s">
        <v>5093</v>
      </c>
      <c r="B172" s="50" t="s">
        <v>9024</v>
      </c>
      <c r="C172" s="50" t="s">
        <v>5160</v>
      </c>
      <c r="D172" s="17" t="s">
        <v>8912</v>
      </c>
    </row>
    <row r="173" spans="1:4" ht="18">
      <c r="A173" s="50" t="s">
        <v>5093</v>
      </c>
      <c r="B173" s="50" t="s">
        <v>9024</v>
      </c>
      <c r="C173" s="50" t="s">
        <v>5160</v>
      </c>
      <c r="D173" s="17" t="s">
        <v>8912</v>
      </c>
    </row>
    <row r="174" spans="1:4" ht="18">
      <c r="A174" s="50" t="s">
        <v>5093</v>
      </c>
      <c r="B174" s="50" t="s">
        <v>9024</v>
      </c>
      <c r="C174" s="50" t="s">
        <v>5160</v>
      </c>
      <c r="D174" s="17" t="s">
        <v>8912</v>
      </c>
    </row>
    <row r="175" spans="1:4" ht="18">
      <c r="A175" s="50" t="s">
        <v>5094</v>
      </c>
      <c r="B175" s="50" t="s">
        <v>9025</v>
      </c>
      <c r="C175" s="50" t="s">
        <v>5163</v>
      </c>
      <c r="D175" s="17" t="s">
        <v>8912</v>
      </c>
    </row>
    <row r="176" spans="1:4" ht="18">
      <c r="A176" s="50" t="s">
        <v>5094</v>
      </c>
      <c r="B176" s="50" t="s">
        <v>9025</v>
      </c>
      <c r="C176" s="50" t="s">
        <v>5163</v>
      </c>
      <c r="D176" s="17" t="s">
        <v>8912</v>
      </c>
    </row>
    <row r="177" spans="1:4" ht="18">
      <c r="A177" s="50" t="s">
        <v>5094</v>
      </c>
      <c r="B177" s="50" t="s">
        <v>9025</v>
      </c>
      <c r="C177" s="50" t="s">
        <v>5163</v>
      </c>
      <c r="D177" s="17" t="s">
        <v>8912</v>
      </c>
    </row>
    <row r="178" spans="1:4" ht="18">
      <c r="A178" s="50" t="s">
        <v>5095</v>
      </c>
      <c r="B178" s="50" t="s">
        <v>9026</v>
      </c>
      <c r="C178" s="50" t="s">
        <v>5164</v>
      </c>
      <c r="D178" s="17" t="s">
        <v>8912</v>
      </c>
    </row>
    <row r="179" spans="1:4" ht="18">
      <c r="A179" s="50" t="s">
        <v>5096</v>
      </c>
      <c r="B179" s="50" t="s">
        <v>9027</v>
      </c>
      <c r="C179" s="50" t="s">
        <v>5165</v>
      </c>
      <c r="D179" s="17" t="s">
        <v>8912</v>
      </c>
    </row>
    <row r="180" spans="1:4" ht="18">
      <c r="A180" s="50" t="s">
        <v>5097</v>
      </c>
      <c r="B180" s="50" t="s">
        <v>9028</v>
      </c>
      <c r="C180" s="50" t="s">
        <v>5166</v>
      </c>
      <c r="D180" s="17" t="s">
        <v>8912</v>
      </c>
    </row>
    <row r="181" spans="1:4" ht="18">
      <c r="A181" s="50" t="s">
        <v>5098</v>
      </c>
      <c r="B181" s="50" t="s">
        <v>9029</v>
      </c>
      <c r="C181" s="50" t="s">
        <v>5167</v>
      </c>
      <c r="D181" s="17" t="s">
        <v>8912</v>
      </c>
    </row>
    <row r="182" spans="1:4" ht="18">
      <c r="A182" s="50" t="s">
        <v>5099</v>
      </c>
      <c r="B182" s="50" t="s">
        <v>9030</v>
      </c>
      <c r="C182" s="50" t="s">
        <v>5165</v>
      </c>
      <c r="D182" s="17" t="s">
        <v>8912</v>
      </c>
    </row>
    <row r="183" spans="1:4" ht="18">
      <c r="A183" s="50" t="s">
        <v>5100</v>
      </c>
      <c r="B183" s="50" t="s">
        <v>9031</v>
      </c>
      <c r="C183" s="50" t="s">
        <v>5161</v>
      </c>
      <c r="D183" s="17" t="s">
        <v>8912</v>
      </c>
    </row>
    <row r="184" spans="1:4" ht="18">
      <c r="A184" s="50" t="s">
        <v>5101</v>
      </c>
      <c r="B184" s="50" t="s">
        <v>9032</v>
      </c>
      <c r="C184" s="50" t="s">
        <v>5161</v>
      </c>
      <c r="D184" s="17" t="s">
        <v>8912</v>
      </c>
    </row>
    <row r="185" spans="1:4" ht="18">
      <c r="A185" s="50" t="s">
        <v>5101</v>
      </c>
      <c r="B185" s="50" t="s">
        <v>9032</v>
      </c>
      <c r="C185" s="50" t="s">
        <v>5161</v>
      </c>
      <c r="D185" s="17" t="s">
        <v>8912</v>
      </c>
    </row>
    <row r="186" spans="1:4" ht="18">
      <c r="A186" s="50" t="s">
        <v>5102</v>
      </c>
      <c r="B186" s="50" t="s">
        <v>9033</v>
      </c>
      <c r="C186" s="50" t="s">
        <v>5161</v>
      </c>
      <c r="D186" s="17" t="s">
        <v>8912</v>
      </c>
    </row>
    <row r="187" spans="1:4" ht="18">
      <c r="A187" s="50" t="s">
        <v>5103</v>
      </c>
      <c r="B187" s="50" t="s">
        <v>9034</v>
      </c>
      <c r="C187" s="50" t="s">
        <v>5007</v>
      </c>
      <c r="D187" s="17" t="s">
        <v>8913</v>
      </c>
    </row>
    <row r="188" spans="1:4" ht="18">
      <c r="A188" s="50" t="s">
        <v>5104</v>
      </c>
      <c r="B188" s="50" t="s">
        <v>9035</v>
      </c>
      <c r="C188" s="50" t="s">
        <v>5162</v>
      </c>
      <c r="D188" s="17" t="s">
        <v>8912</v>
      </c>
    </row>
    <row r="189" spans="1:4" ht="18">
      <c r="A189" s="50" t="s">
        <v>5104</v>
      </c>
      <c r="B189" s="50" t="s">
        <v>9035</v>
      </c>
      <c r="C189" s="50" t="s">
        <v>5162</v>
      </c>
      <c r="D189" s="17" t="s">
        <v>8912</v>
      </c>
    </row>
    <row r="190" spans="1:4" ht="18">
      <c r="A190" s="50" t="s">
        <v>5104</v>
      </c>
      <c r="B190" s="50" t="s">
        <v>9035</v>
      </c>
      <c r="C190" s="50" t="s">
        <v>5162</v>
      </c>
      <c r="D190" s="17" t="s">
        <v>8912</v>
      </c>
    </row>
    <row r="191" spans="1:4" ht="18">
      <c r="A191" s="50" t="s">
        <v>5104</v>
      </c>
      <c r="B191" s="50" t="s">
        <v>9035</v>
      </c>
      <c r="C191" s="50" t="s">
        <v>5162</v>
      </c>
      <c r="D191" s="17" t="s">
        <v>8912</v>
      </c>
    </row>
    <row r="192" spans="1:4" ht="18">
      <c r="A192" s="50" t="s">
        <v>5104</v>
      </c>
      <c r="B192" s="50" t="s">
        <v>9035</v>
      </c>
      <c r="C192" s="50" t="s">
        <v>5162</v>
      </c>
      <c r="D192" s="17" t="s">
        <v>8912</v>
      </c>
    </row>
    <row r="193" spans="1:4" ht="18">
      <c r="A193" s="50" t="s">
        <v>5105</v>
      </c>
      <c r="B193" s="50" t="s">
        <v>9036</v>
      </c>
      <c r="C193" s="50" t="s">
        <v>5167</v>
      </c>
      <c r="D193" s="17" t="s">
        <v>8912</v>
      </c>
    </row>
    <row r="194" spans="1:4" ht="18">
      <c r="A194" s="50" t="s">
        <v>5106</v>
      </c>
      <c r="B194" s="50" t="s">
        <v>9037</v>
      </c>
      <c r="C194" s="50" t="s">
        <v>5166</v>
      </c>
      <c r="D194" s="17" t="s">
        <v>8912</v>
      </c>
    </row>
    <row r="195" spans="1:4" ht="18">
      <c r="A195" s="50" t="s">
        <v>5106</v>
      </c>
      <c r="B195" s="50" t="s">
        <v>9037</v>
      </c>
      <c r="C195" s="50" t="s">
        <v>5166</v>
      </c>
      <c r="D195" s="17" t="s">
        <v>8912</v>
      </c>
    </row>
    <row r="196" spans="1:4" ht="18">
      <c r="A196" s="50" t="s">
        <v>5107</v>
      </c>
      <c r="B196" s="50" t="s">
        <v>9038</v>
      </c>
      <c r="C196" s="50" t="s">
        <v>5168</v>
      </c>
      <c r="D196" s="17" t="s">
        <v>8912</v>
      </c>
    </row>
    <row r="197" spans="1:4" ht="18">
      <c r="A197" s="50" t="s">
        <v>5107</v>
      </c>
      <c r="B197" s="50" t="s">
        <v>9038</v>
      </c>
      <c r="C197" s="50" t="s">
        <v>5168</v>
      </c>
      <c r="D197" s="17" t="s">
        <v>8912</v>
      </c>
    </row>
    <row r="198" spans="1:4" ht="18">
      <c r="A198" s="50" t="s">
        <v>5108</v>
      </c>
      <c r="B198" s="50" t="s">
        <v>9039</v>
      </c>
      <c r="C198" s="50" t="s">
        <v>5166</v>
      </c>
      <c r="D198" s="17" t="s">
        <v>8912</v>
      </c>
    </row>
    <row r="199" spans="1:4" ht="18">
      <c r="A199" s="50" t="s">
        <v>5109</v>
      </c>
      <c r="B199" s="50" t="s">
        <v>9040</v>
      </c>
      <c r="C199" s="50" t="s">
        <v>5166</v>
      </c>
      <c r="D199" s="17" t="s">
        <v>8912</v>
      </c>
    </row>
    <row r="200" spans="1:4" ht="18">
      <c r="A200" s="50" t="s">
        <v>5110</v>
      </c>
      <c r="B200" s="50" t="s">
        <v>9041</v>
      </c>
      <c r="C200" s="50" t="s">
        <v>5166</v>
      </c>
      <c r="D200" s="17" t="s">
        <v>8912</v>
      </c>
    </row>
    <row r="201" spans="1:4" ht="18">
      <c r="A201" s="50" t="s">
        <v>5111</v>
      </c>
      <c r="B201" s="50" t="s">
        <v>9042</v>
      </c>
      <c r="C201" s="50" t="s">
        <v>5169</v>
      </c>
      <c r="D201" s="17" t="s">
        <v>8913</v>
      </c>
    </row>
    <row r="202" spans="1:4" ht="18">
      <c r="A202" s="50" t="s">
        <v>5112</v>
      </c>
      <c r="B202" s="50" t="s">
        <v>9043</v>
      </c>
      <c r="C202" s="50" t="s">
        <v>5047</v>
      </c>
      <c r="D202" s="17" t="s">
        <v>8912</v>
      </c>
    </row>
    <row r="203" spans="1:4" ht="18">
      <c r="A203" s="50" t="s">
        <v>5113</v>
      </c>
      <c r="B203" s="50" t="s">
        <v>9044</v>
      </c>
      <c r="C203" s="50" t="s">
        <v>5162</v>
      </c>
      <c r="D203" s="17" t="s">
        <v>8913</v>
      </c>
    </row>
    <row r="204" spans="1:4" ht="18">
      <c r="A204" s="50" t="s">
        <v>5114</v>
      </c>
      <c r="B204" s="50" t="s">
        <v>9045</v>
      </c>
      <c r="C204" s="50" t="s">
        <v>5007</v>
      </c>
      <c r="D204" s="17" t="s">
        <v>8912</v>
      </c>
    </row>
    <row r="205" spans="1:4" ht="18">
      <c r="A205" s="50" t="s">
        <v>5115</v>
      </c>
      <c r="B205" s="50" t="s">
        <v>9046</v>
      </c>
      <c r="C205" s="50" t="s">
        <v>5169</v>
      </c>
      <c r="D205" s="17" t="s">
        <v>8912</v>
      </c>
    </row>
    <row r="206" spans="1:4" ht="18">
      <c r="A206" s="50" t="s">
        <v>5116</v>
      </c>
      <c r="B206" s="50" t="s">
        <v>9047</v>
      </c>
      <c r="C206" s="50" t="s">
        <v>5169</v>
      </c>
      <c r="D206" s="17" t="s">
        <v>8912</v>
      </c>
    </row>
    <row r="207" spans="1:4" ht="18">
      <c r="A207" s="50" t="s">
        <v>5117</v>
      </c>
      <c r="B207" s="50" t="s">
        <v>9048</v>
      </c>
      <c r="C207" s="50" t="s">
        <v>5165</v>
      </c>
      <c r="D207" s="17" t="s">
        <v>8912</v>
      </c>
    </row>
    <row r="208" spans="1:4" ht="18">
      <c r="A208" s="50" t="s">
        <v>5117</v>
      </c>
      <c r="B208" s="50" t="s">
        <v>9048</v>
      </c>
      <c r="C208" s="50" t="s">
        <v>5165</v>
      </c>
      <c r="D208" s="17" t="s">
        <v>8912</v>
      </c>
    </row>
    <row r="209" spans="1:4" ht="18">
      <c r="A209" s="50" t="s">
        <v>5118</v>
      </c>
      <c r="B209" s="50" t="s">
        <v>9049</v>
      </c>
      <c r="C209" s="50" t="s">
        <v>5170</v>
      </c>
      <c r="D209" s="17" t="s">
        <v>8912</v>
      </c>
    </row>
    <row r="210" spans="1:4" ht="18">
      <c r="A210" s="50" t="s">
        <v>5118</v>
      </c>
      <c r="B210" s="50" t="s">
        <v>9049</v>
      </c>
      <c r="C210" s="50" t="s">
        <v>5170</v>
      </c>
      <c r="D210" s="17" t="s">
        <v>8912</v>
      </c>
    </row>
    <row r="211" spans="1:4" ht="18">
      <c r="A211" s="50" t="s">
        <v>5118</v>
      </c>
      <c r="B211" s="50" t="s">
        <v>9049</v>
      </c>
      <c r="C211" s="50" t="s">
        <v>5170</v>
      </c>
      <c r="D211" s="17" t="s">
        <v>8912</v>
      </c>
    </row>
    <row r="212" spans="1:4" ht="18">
      <c r="A212" s="50" t="s">
        <v>5119</v>
      </c>
      <c r="B212" s="50" t="s">
        <v>9050</v>
      </c>
      <c r="C212" s="50" t="s">
        <v>5162</v>
      </c>
      <c r="D212" s="17" t="s">
        <v>8912</v>
      </c>
    </row>
    <row r="213" spans="1:4" ht="18">
      <c r="A213" s="50" t="s">
        <v>5119</v>
      </c>
      <c r="B213" s="50" t="s">
        <v>9050</v>
      </c>
      <c r="C213" s="50" t="s">
        <v>5162</v>
      </c>
      <c r="D213" s="17" t="s">
        <v>8912</v>
      </c>
    </row>
    <row r="214" spans="1:4" ht="18">
      <c r="A214" s="50" t="s">
        <v>5120</v>
      </c>
      <c r="B214" s="50" t="s">
        <v>9051</v>
      </c>
      <c r="C214" s="50" t="s">
        <v>5168</v>
      </c>
      <c r="D214" s="17" t="s">
        <v>8912</v>
      </c>
    </row>
    <row r="215" spans="1:4" ht="18">
      <c r="A215" s="50" t="s">
        <v>5120</v>
      </c>
      <c r="B215" s="50" t="s">
        <v>9051</v>
      </c>
      <c r="C215" s="50" t="s">
        <v>5168</v>
      </c>
      <c r="D215" s="17" t="s">
        <v>8912</v>
      </c>
    </row>
    <row r="216" spans="1:4" ht="18">
      <c r="A216" s="50" t="s">
        <v>5120</v>
      </c>
      <c r="B216" s="50" t="s">
        <v>9051</v>
      </c>
      <c r="C216" s="50" t="s">
        <v>5168</v>
      </c>
      <c r="D216" s="17" t="s">
        <v>8912</v>
      </c>
    </row>
    <row r="217" spans="1:4" ht="18">
      <c r="A217" s="50" t="s">
        <v>5121</v>
      </c>
      <c r="B217" s="50" t="s">
        <v>9052</v>
      </c>
      <c r="C217" s="50" t="s">
        <v>5167</v>
      </c>
      <c r="D217" s="17" t="s">
        <v>8912</v>
      </c>
    </row>
    <row r="218" spans="1:4" ht="18">
      <c r="A218" s="50" t="s">
        <v>5121</v>
      </c>
      <c r="B218" s="50" t="s">
        <v>9052</v>
      </c>
      <c r="C218" s="50" t="s">
        <v>5167</v>
      </c>
      <c r="D218" s="17" t="s">
        <v>8912</v>
      </c>
    </row>
    <row r="219" spans="1:4" ht="18">
      <c r="A219" s="50" t="s">
        <v>5122</v>
      </c>
      <c r="B219" s="50" t="s">
        <v>9053</v>
      </c>
      <c r="C219" s="50" t="s">
        <v>5166</v>
      </c>
      <c r="D219" s="17" t="s">
        <v>8912</v>
      </c>
    </row>
    <row r="220" spans="1:4" ht="18">
      <c r="A220" s="50" t="s">
        <v>5122</v>
      </c>
      <c r="B220" s="50" t="s">
        <v>9053</v>
      </c>
      <c r="C220" s="50" t="s">
        <v>5166</v>
      </c>
      <c r="D220" s="17" t="s">
        <v>8912</v>
      </c>
    </row>
    <row r="221" spans="1:4" ht="18">
      <c r="A221" s="50" t="s">
        <v>5123</v>
      </c>
      <c r="B221" s="50" t="s">
        <v>9054</v>
      </c>
      <c r="C221" s="50" t="s">
        <v>5169</v>
      </c>
      <c r="D221" s="17" t="s">
        <v>8912</v>
      </c>
    </row>
    <row r="222" spans="1:4" ht="18">
      <c r="A222" s="50" t="s">
        <v>5124</v>
      </c>
      <c r="B222" s="50" t="s">
        <v>9055</v>
      </c>
      <c r="C222" s="50" t="s">
        <v>5160</v>
      </c>
      <c r="D222" s="17" t="s">
        <v>8913</v>
      </c>
    </row>
    <row r="223" spans="1:4" ht="18">
      <c r="A223" s="50" t="s">
        <v>5124</v>
      </c>
      <c r="B223" s="50" t="s">
        <v>9055</v>
      </c>
      <c r="C223" s="50" t="s">
        <v>5160</v>
      </c>
      <c r="D223" s="17" t="s">
        <v>8913</v>
      </c>
    </row>
    <row r="224" spans="1:4" ht="18">
      <c r="A224" s="50" t="s">
        <v>5125</v>
      </c>
      <c r="B224" s="50" t="s">
        <v>9056</v>
      </c>
      <c r="C224" s="50" t="s">
        <v>5163</v>
      </c>
      <c r="D224" s="17" t="s">
        <v>8913</v>
      </c>
    </row>
    <row r="225" spans="1:4" ht="18">
      <c r="A225" s="50" t="s">
        <v>5125</v>
      </c>
      <c r="B225" s="50" t="s">
        <v>9056</v>
      </c>
      <c r="C225" s="50" t="s">
        <v>5163</v>
      </c>
      <c r="D225" s="17" t="s">
        <v>8913</v>
      </c>
    </row>
    <row r="226" spans="1:4" ht="18">
      <c r="A226" s="50" t="s">
        <v>5126</v>
      </c>
      <c r="B226" s="50" t="s">
        <v>9057</v>
      </c>
      <c r="C226" s="50" t="s">
        <v>5165</v>
      </c>
      <c r="D226" s="17" t="s">
        <v>8913</v>
      </c>
    </row>
    <row r="227" spans="1:4" ht="18">
      <c r="A227" s="50" t="s">
        <v>5127</v>
      </c>
      <c r="B227" s="50" t="s">
        <v>9058</v>
      </c>
      <c r="C227" s="50" t="s">
        <v>5162</v>
      </c>
      <c r="D227" s="17" t="s">
        <v>8912</v>
      </c>
    </row>
    <row r="228" spans="1:4" ht="18">
      <c r="A228" s="50" t="s">
        <v>5128</v>
      </c>
      <c r="B228" s="50" t="s">
        <v>9059</v>
      </c>
      <c r="C228" s="50" t="s">
        <v>5165</v>
      </c>
      <c r="D228" s="17" t="s">
        <v>8912</v>
      </c>
    </row>
    <row r="229" spans="1:4" ht="18">
      <c r="A229" s="50" t="s">
        <v>5129</v>
      </c>
      <c r="B229" s="50" t="s">
        <v>9060</v>
      </c>
      <c r="C229" s="50" t="s">
        <v>5161</v>
      </c>
      <c r="D229" s="17" t="s">
        <v>8912</v>
      </c>
    </row>
    <row r="230" spans="1:4" ht="18">
      <c r="A230" s="50" t="s">
        <v>5127</v>
      </c>
      <c r="B230" s="50" t="s">
        <v>9058</v>
      </c>
      <c r="C230" s="50" t="s">
        <v>5162</v>
      </c>
      <c r="D230" s="17" t="s">
        <v>8912</v>
      </c>
    </row>
    <row r="231" spans="1:4" ht="18">
      <c r="A231" s="50" t="s">
        <v>5127</v>
      </c>
      <c r="B231" s="50" t="s">
        <v>9058</v>
      </c>
      <c r="C231" s="50" t="s">
        <v>5162</v>
      </c>
      <c r="D231" s="17" t="s">
        <v>8912</v>
      </c>
    </row>
    <row r="232" spans="1:4" ht="18">
      <c r="A232" s="50" t="s">
        <v>5130</v>
      </c>
      <c r="B232" s="50" t="s">
        <v>9061</v>
      </c>
      <c r="C232" s="50" t="s">
        <v>5161</v>
      </c>
      <c r="D232" s="17" t="s">
        <v>8912</v>
      </c>
    </row>
    <row r="233" spans="1:4" ht="18">
      <c r="A233" s="50" t="s">
        <v>5131</v>
      </c>
      <c r="B233" s="50" t="s">
        <v>9062</v>
      </c>
      <c r="C233" s="50" t="s">
        <v>5162</v>
      </c>
      <c r="D233" s="17" t="s">
        <v>8912</v>
      </c>
    </row>
    <row r="234" spans="1:4" ht="18">
      <c r="A234" s="50" t="s">
        <v>5132</v>
      </c>
      <c r="B234" s="50" t="s">
        <v>9063</v>
      </c>
      <c r="C234" s="50" t="s">
        <v>5171</v>
      </c>
      <c r="D234" s="17" t="s">
        <v>8912</v>
      </c>
    </row>
    <row r="235" spans="1:4" ht="18">
      <c r="A235" s="50" t="s">
        <v>5133</v>
      </c>
      <c r="B235" s="50" t="s">
        <v>9064</v>
      </c>
      <c r="C235" s="50" t="s">
        <v>5165</v>
      </c>
      <c r="D235" s="17" t="s">
        <v>8913</v>
      </c>
    </row>
    <row r="236" spans="1:4" ht="18">
      <c r="A236" s="50" t="s">
        <v>5133</v>
      </c>
      <c r="B236" s="50" t="s">
        <v>9064</v>
      </c>
      <c r="C236" s="50" t="s">
        <v>5165</v>
      </c>
      <c r="D236" s="17" t="s">
        <v>8913</v>
      </c>
    </row>
    <row r="237" spans="1:4" ht="18">
      <c r="A237" s="50" t="s">
        <v>5134</v>
      </c>
      <c r="B237" s="50" t="s">
        <v>9065</v>
      </c>
      <c r="C237" s="50" t="s">
        <v>5162</v>
      </c>
      <c r="D237" s="17" t="s">
        <v>8913</v>
      </c>
    </row>
    <row r="238" spans="1:4" ht="18">
      <c r="A238" s="50" t="s">
        <v>5134</v>
      </c>
      <c r="B238" s="50" t="s">
        <v>9065</v>
      </c>
      <c r="C238" s="50" t="s">
        <v>5162</v>
      </c>
      <c r="D238" s="17" t="s">
        <v>8913</v>
      </c>
    </row>
    <row r="239" spans="1:4" ht="18">
      <c r="A239" s="50" t="s">
        <v>5134</v>
      </c>
      <c r="B239" s="50" t="s">
        <v>9065</v>
      </c>
      <c r="C239" s="50" t="s">
        <v>5162</v>
      </c>
      <c r="D239" s="17" t="s">
        <v>8913</v>
      </c>
    </row>
    <row r="240" spans="1:4" ht="18">
      <c r="A240" s="50" t="s">
        <v>5134</v>
      </c>
      <c r="B240" s="50" t="s">
        <v>9065</v>
      </c>
      <c r="C240" s="50" t="s">
        <v>5162</v>
      </c>
      <c r="D240" s="17" t="s">
        <v>8913</v>
      </c>
    </row>
    <row r="241" spans="1:4" ht="18">
      <c r="A241" s="50" t="s">
        <v>5134</v>
      </c>
      <c r="B241" s="50" t="s">
        <v>9065</v>
      </c>
      <c r="C241" s="50" t="s">
        <v>5162</v>
      </c>
      <c r="D241" s="17" t="s">
        <v>8913</v>
      </c>
    </row>
    <row r="242" spans="1:4" ht="18">
      <c r="A242" s="50" t="s">
        <v>5134</v>
      </c>
      <c r="B242" s="50" t="s">
        <v>9065</v>
      </c>
      <c r="C242" s="50" t="s">
        <v>5162</v>
      </c>
      <c r="D242" s="17" t="s">
        <v>8913</v>
      </c>
    </row>
    <row r="243" spans="1:4" ht="18">
      <c r="A243" s="50" t="s">
        <v>5134</v>
      </c>
      <c r="B243" s="50" t="s">
        <v>9065</v>
      </c>
      <c r="C243" s="50" t="s">
        <v>5162</v>
      </c>
      <c r="D243" s="17" t="s">
        <v>8913</v>
      </c>
    </row>
    <row r="244" spans="1:4" ht="18">
      <c r="A244" s="50" t="s">
        <v>5135</v>
      </c>
      <c r="B244" s="50" t="s">
        <v>9066</v>
      </c>
      <c r="C244" s="50" t="s">
        <v>5169</v>
      </c>
      <c r="D244" s="17" t="s">
        <v>8912</v>
      </c>
    </row>
    <row r="245" spans="1:4" ht="18">
      <c r="A245" s="50" t="s">
        <v>5136</v>
      </c>
      <c r="B245" s="50" t="s">
        <v>9067</v>
      </c>
      <c r="C245" s="50" t="s">
        <v>5160</v>
      </c>
      <c r="D245" s="17" t="s">
        <v>8913</v>
      </c>
    </row>
    <row r="246" spans="1:4" ht="18">
      <c r="A246" s="50" t="s">
        <v>5136</v>
      </c>
      <c r="B246" s="50" t="s">
        <v>9067</v>
      </c>
      <c r="C246" s="50" t="s">
        <v>5160</v>
      </c>
      <c r="D246" s="17" t="s">
        <v>8913</v>
      </c>
    </row>
    <row r="247" spans="1:4" ht="18">
      <c r="A247" s="50" t="s">
        <v>5137</v>
      </c>
      <c r="B247" s="50" t="s">
        <v>9068</v>
      </c>
      <c r="C247" s="50" t="s">
        <v>5164</v>
      </c>
      <c r="D247" s="17" t="s">
        <v>8913</v>
      </c>
    </row>
    <row r="248" spans="1:4" ht="18">
      <c r="A248" s="50" t="s">
        <v>5137</v>
      </c>
      <c r="B248" s="50" t="s">
        <v>9068</v>
      </c>
      <c r="C248" s="50" t="s">
        <v>5164</v>
      </c>
      <c r="D248" s="17" t="s">
        <v>8913</v>
      </c>
    </row>
    <row r="249" spans="1:4" ht="18">
      <c r="A249" s="50" t="s">
        <v>5137</v>
      </c>
      <c r="B249" s="50" t="s">
        <v>9068</v>
      </c>
      <c r="C249" s="50" t="s">
        <v>5164</v>
      </c>
      <c r="D249" s="17" t="s">
        <v>8913</v>
      </c>
    </row>
    <row r="250" spans="1:4" ht="18">
      <c r="A250" s="50" t="s">
        <v>5135</v>
      </c>
      <c r="B250" s="50" t="s">
        <v>9066</v>
      </c>
      <c r="C250" s="50" t="s">
        <v>5169</v>
      </c>
      <c r="D250" s="17" t="s">
        <v>8912</v>
      </c>
    </row>
    <row r="251" spans="1:4" ht="18">
      <c r="A251" s="50" t="s">
        <v>5137</v>
      </c>
      <c r="B251" s="50" t="s">
        <v>9068</v>
      </c>
      <c r="C251" s="50" t="s">
        <v>5164</v>
      </c>
      <c r="D251" s="17" t="s">
        <v>8913</v>
      </c>
    </row>
    <row r="252" spans="1:4" ht="18">
      <c r="A252" s="50" t="s">
        <v>5138</v>
      </c>
      <c r="B252" s="50" t="s">
        <v>9069</v>
      </c>
      <c r="C252" s="50" t="s">
        <v>5169</v>
      </c>
      <c r="D252" s="17" t="s">
        <v>8913</v>
      </c>
    </row>
    <row r="253" spans="1:4" ht="18">
      <c r="A253" s="50" t="s">
        <v>5136</v>
      </c>
      <c r="B253" s="50" t="s">
        <v>9067</v>
      </c>
      <c r="C253" s="50" t="s">
        <v>5160</v>
      </c>
      <c r="D253" s="17" t="s">
        <v>8913</v>
      </c>
    </row>
    <row r="254" spans="1:4" ht="18">
      <c r="A254" s="50" t="s">
        <v>5139</v>
      </c>
      <c r="B254" s="50" t="s">
        <v>9070</v>
      </c>
      <c r="C254" s="50" t="s">
        <v>5164</v>
      </c>
      <c r="D254" s="17" t="s">
        <v>8913</v>
      </c>
    </row>
    <row r="255" spans="1:4" ht="18">
      <c r="A255" s="50" t="s">
        <v>5137</v>
      </c>
      <c r="B255" s="50" t="s">
        <v>9068</v>
      </c>
      <c r="C255" s="50" t="s">
        <v>5164</v>
      </c>
      <c r="D255" s="17" t="s">
        <v>8913</v>
      </c>
    </row>
    <row r="256" spans="1:4" ht="18">
      <c r="A256" s="50" t="s">
        <v>5137</v>
      </c>
      <c r="B256" s="50" t="s">
        <v>9068</v>
      </c>
      <c r="C256" s="50" t="s">
        <v>5164</v>
      </c>
      <c r="D256" s="17" t="s">
        <v>8913</v>
      </c>
    </row>
    <row r="257" spans="1:4" ht="18">
      <c r="A257" s="50" t="s">
        <v>5140</v>
      </c>
      <c r="B257" s="50" t="s">
        <v>9071</v>
      </c>
      <c r="C257" s="50" t="s">
        <v>5168</v>
      </c>
      <c r="D257" s="17" t="s">
        <v>8912</v>
      </c>
    </row>
    <row r="258" spans="1:4" ht="18">
      <c r="A258" s="50" t="s">
        <v>5141</v>
      </c>
      <c r="B258" s="50" t="s">
        <v>9072</v>
      </c>
      <c r="C258" s="50" t="s">
        <v>5047</v>
      </c>
      <c r="D258" s="17" t="s">
        <v>8912</v>
      </c>
    </row>
    <row r="259" spans="1:4" ht="18">
      <c r="A259" s="50" t="s">
        <v>5141</v>
      </c>
      <c r="B259" s="50" t="s">
        <v>9072</v>
      </c>
      <c r="C259" s="50" t="s">
        <v>5047</v>
      </c>
      <c r="D259" s="17" t="s">
        <v>8912</v>
      </c>
    </row>
    <row r="260" spans="1:4" ht="18">
      <c r="A260" s="50" t="s">
        <v>5142</v>
      </c>
      <c r="B260" s="50" t="s">
        <v>9073</v>
      </c>
      <c r="C260" s="50" t="s">
        <v>5165</v>
      </c>
      <c r="D260" s="17" t="s">
        <v>8913</v>
      </c>
    </row>
    <row r="261" spans="1:4" ht="18">
      <c r="A261" s="50" t="s">
        <v>5143</v>
      </c>
      <c r="B261" s="50" t="s">
        <v>9074</v>
      </c>
      <c r="C261" s="50" t="s">
        <v>5166</v>
      </c>
      <c r="D261" s="17" t="s">
        <v>8913</v>
      </c>
    </row>
    <row r="262" spans="1:4" ht="18">
      <c r="A262" s="50" t="s">
        <v>5143</v>
      </c>
      <c r="B262" s="50" t="s">
        <v>9074</v>
      </c>
      <c r="C262" s="50" t="s">
        <v>5166</v>
      </c>
      <c r="D262" s="17" t="s">
        <v>8913</v>
      </c>
    </row>
    <row r="263" spans="1:4" ht="18">
      <c r="A263" s="50" t="s">
        <v>5143</v>
      </c>
      <c r="B263" s="50" t="s">
        <v>9074</v>
      </c>
      <c r="C263" s="50" t="s">
        <v>5166</v>
      </c>
      <c r="D263" s="17" t="s">
        <v>8913</v>
      </c>
    </row>
    <row r="264" spans="1:4" ht="18">
      <c r="A264" s="50" t="s">
        <v>5143</v>
      </c>
      <c r="B264" s="50" t="s">
        <v>9074</v>
      </c>
      <c r="C264" s="50" t="s">
        <v>5166</v>
      </c>
      <c r="D264" s="17" t="s">
        <v>8913</v>
      </c>
    </row>
    <row r="265" spans="1:4" ht="18">
      <c r="A265" s="50" t="s">
        <v>5144</v>
      </c>
      <c r="B265" s="50" t="s">
        <v>9075</v>
      </c>
      <c r="C265" s="50" t="s">
        <v>5047</v>
      </c>
      <c r="D265" s="17" t="s">
        <v>8913</v>
      </c>
    </row>
    <row r="266" spans="1:4" ht="18">
      <c r="A266" s="50" t="s">
        <v>5144</v>
      </c>
      <c r="B266" s="50" t="s">
        <v>9075</v>
      </c>
      <c r="C266" s="50" t="s">
        <v>5047</v>
      </c>
      <c r="D266" s="17" t="s">
        <v>8913</v>
      </c>
    </row>
    <row r="267" spans="1:4" ht="18">
      <c r="A267" s="50" t="s">
        <v>5145</v>
      </c>
      <c r="B267" s="50" t="s">
        <v>9076</v>
      </c>
      <c r="C267" s="50" t="s">
        <v>5168</v>
      </c>
      <c r="D267" s="17" t="s">
        <v>8913</v>
      </c>
    </row>
    <row r="268" spans="1:4" ht="18">
      <c r="A268" s="50" t="s">
        <v>5145</v>
      </c>
      <c r="B268" s="50" t="s">
        <v>9076</v>
      </c>
      <c r="C268" s="50" t="s">
        <v>5168</v>
      </c>
      <c r="D268" s="17" t="s">
        <v>8913</v>
      </c>
    </row>
    <row r="269" spans="1:4" ht="18">
      <c r="A269" s="50" t="s">
        <v>5146</v>
      </c>
      <c r="B269" s="50" t="s">
        <v>9077</v>
      </c>
      <c r="C269" s="50" t="s">
        <v>5169</v>
      </c>
      <c r="D269" s="17" t="s">
        <v>8912</v>
      </c>
    </row>
    <row r="270" spans="1:4" ht="18">
      <c r="A270" s="50" t="s">
        <v>5147</v>
      </c>
      <c r="B270" s="50" t="s">
        <v>9078</v>
      </c>
      <c r="C270" s="50" t="s">
        <v>5164</v>
      </c>
      <c r="D270" s="17" t="s">
        <v>8912</v>
      </c>
    </row>
    <row r="271" spans="1:4" ht="18">
      <c r="A271" s="50" t="s">
        <v>5141</v>
      </c>
      <c r="B271" s="50" t="s">
        <v>9072</v>
      </c>
      <c r="C271" s="50" t="s">
        <v>5047</v>
      </c>
      <c r="D271" s="17" t="s">
        <v>8912</v>
      </c>
    </row>
    <row r="272" spans="1:4" ht="18">
      <c r="A272" s="50" t="s">
        <v>5146</v>
      </c>
      <c r="B272" s="50" t="s">
        <v>9077</v>
      </c>
      <c r="C272" s="50" t="s">
        <v>5169</v>
      </c>
      <c r="D272" s="17" t="s">
        <v>8912</v>
      </c>
    </row>
    <row r="273" spans="1:4" ht="18">
      <c r="A273" s="50" t="s">
        <v>5148</v>
      </c>
      <c r="B273" s="50" t="s">
        <v>9079</v>
      </c>
      <c r="C273" s="50" t="s">
        <v>5168</v>
      </c>
      <c r="D273" s="17" t="s">
        <v>8913</v>
      </c>
    </row>
    <row r="274" spans="1:4" ht="18">
      <c r="A274" s="50" t="s">
        <v>5141</v>
      </c>
      <c r="B274" s="50" t="s">
        <v>9072</v>
      </c>
      <c r="C274" s="50" t="s">
        <v>5047</v>
      </c>
      <c r="D274" s="17" t="s">
        <v>8912</v>
      </c>
    </row>
    <row r="275" spans="1:4" ht="18">
      <c r="A275" s="50" t="s">
        <v>5145</v>
      </c>
      <c r="B275" s="50" t="s">
        <v>9076</v>
      </c>
      <c r="C275" s="50" t="s">
        <v>5168</v>
      </c>
      <c r="D275" s="17" t="s">
        <v>8913</v>
      </c>
    </row>
    <row r="276" spans="1:4" ht="18">
      <c r="A276" s="50" t="s">
        <v>5149</v>
      </c>
      <c r="B276" s="50" t="s">
        <v>9080</v>
      </c>
      <c r="C276" s="50" t="s">
        <v>5164</v>
      </c>
      <c r="D276" s="17" t="s">
        <v>8912</v>
      </c>
    </row>
    <row r="277" spans="1:4" ht="18">
      <c r="A277" s="50" t="s">
        <v>5150</v>
      </c>
      <c r="B277" s="50" t="s">
        <v>9081</v>
      </c>
      <c r="C277" s="50" t="s">
        <v>5169</v>
      </c>
      <c r="D277" s="17" t="s">
        <v>8913</v>
      </c>
    </row>
    <row r="278" spans="1:4" ht="18">
      <c r="A278" s="50" t="s">
        <v>5150</v>
      </c>
      <c r="B278" s="50" t="s">
        <v>9081</v>
      </c>
      <c r="C278" s="50" t="s">
        <v>5169</v>
      </c>
      <c r="D278" s="17" t="s">
        <v>8913</v>
      </c>
    </row>
    <row r="279" spans="1:4" ht="18">
      <c r="A279" s="50" t="s">
        <v>5150</v>
      </c>
      <c r="B279" s="50" t="s">
        <v>9081</v>
      </c>
      <c r="C279" s="50" t="s">
        <v>5169</v>
      </c>
      <c r="D279" s="17" t="s">
        <v>8913</v>
      </c>
    </row>
    <row r="280" spans="1:4" ht="18">
      <c r="A280" s="50" t="s">
        <v>5151</v>
      </c>
      <c r="B280" s="50" t="s">
        <v>9082</v>
      </c>
      <c r="C280" s="50" t="s">
        <v>5160</v>
      </c>
      <c r="D280" s="17" t="s">
        <v>8912</v>
      </c>
    </row>
    <row r="281" spans="1:4" ht="18">
      <c r="A281" s="50" t="s">
        <v>5152</v>
      </c>
      <c r="B281" s="50" t="s">
        <v>9083</v>
      </c>
      <c r="C281" s="50" t="s">
        <v>5163</v>
      </c>
      <c r="D281" s="17" t="s">
        <v>8912</v>
      </c>
    </row>
    <row r="282" spans="1:4" ht="18">
      <c r="A282" s="50" t="s">
        <v>5152</v>
      </c>
      <c r="B282" s="50" t="s">
        <v>9083</v>
      </c>
      <c r="C282" s="50" t="s">
        <v>5163</v>
      </c>
      <c r="D282" s="17" t="s">
        <v>8912</v>
      </c>
    </row>
    <row r="283" spans="1:4" ht="18">
      <c r="A283" s="50" t="s">
        <v>5153</v>
      </c>
      <c r="B283" s="50" t="s">
        <v>9084</v>
      </c>
      <c r="C283" s="50" t="s">
        <v>5171</v>
      </c>
      <c r="D283" s="17" t="s">
        <v>8913</v>
      </c>
    </row>
    <row r="284" spans="1:4" ht="18">
      <c r="A284" s="50" t="s">
        <v>5153</v>
      </c>
      <c r="B284" s="50" t="s">
        <v>9084</v>
      </c>
      <c r="C284" s="50" t="s">
        <v>5171</v>
      </c>
      <c r="D284" s="17" t="s">
        <v>8913</v>
      </c>
    </row>
    <row r="285" spans="1:4" ht="18">
      <c r="A285" s="50" t="s">
        <v>5154</v>
      </c>
      <c r="B285" s="50" t="s">
        <v>9085</v>
      </c>
      <c r="C285" s="50" t="s">
        <v>5168</v>
      </c>
      <c r="D285" s="17" t="s">
        <v>8912</v>
      </c>
    </row>
    <row r="286" spans="1:4" ht="18">
      <c r="A286" s="50" t="s">
        <v>5155</v>
      </c>
      <c r="B286" s="50" t="s">
        <v>9086</v>
      </c>
      <c r="C286" s="50" t="s">
        <v>5160</v>
      </c>
      <c r="D286" s="17" t="s">
        <v>8912</v>
      </c>
    </row>
    <row r="287" spans="1:4" ht="18">
      <c r="A287" s="50" t="s">
        <v>5156</v>
      </c>
      <c r="B287" s="50" t="s">
        <v>9087</v>
      </c>
      <c r="C287" s="50" t="s">
        <v>5047</v>
      </c>
      <c r="D287" s="17" t="s">
        <v>8912</v>
      </c>
    </row>
    <row r="288" spans="1:4" ht="18">
      <c r="A288" s="50" t="s">
        <v>5156</v>
      </c>
      <c r="B288" s="50" t="s">
        <v>9087</v>
      </c>
      <c r="C288" s="50" t="s">
        <v>5047</v>
      </c>
      <c r="D288" s="17" t="s">
        <v>8912</v>
      </c>
    </row>
    <row r="289" spans="1:4" ht="18">
      <c r="A289" s="50" t="s">
        <v>5130</v>
      </c>
      <c r="B289" s="50" t="s">
        <v>9061</v>
      </c>
      <c r="C289" s="50" t="s">
        <v>5161</v>
      </c>
      <c r="D289" s="17" t="s">
        <v>8912</v>
      </c>
    </row>
    <row r="290" spans="1:4" ht="18">
      <c r="A290" s="50" t="s">
        <v>5131</v>
      </c>
      <c r="B290" s="50" t="s">
        <v>9062</v>
      </c>
      <c r="C290" s="50" t="s">
        <v>5162</v>
      </c>
      <c r="D290" s="17" t="s">
        <v>8912</v>
      </c>
    </row>
    <row r="291" spans="1:4" ht="18">
      <c r="A291" s="50" t="s">
        <v>5134</v>
      </c>
      <c r="B291" s="50" t="s">
        <v>9065</v>
      </c>
      <c r="C291" s="50" t="s">
        <v>5162</v>
      </c>
      <c r="D291" s="17" t="s">
        <v>8913</v>
      </c>
    </row>
    <row r="292" spans="1:4" ht="18">
      <c r="A292" s="50" t="s">
        <v>5136</v>
      </c>
      <c r="B292" s="50" t="s">
        <v>9067</v>
      </c>
      <c r="C292" s="50" t="s">
        <v>5160</v>
      </c>
      <c r="D292" s="17" t="s">
        <v>8913</v>
      </c>
    </row>
    <row r="293" spans="1:4" ht="18">
      <c r="A293" s="50" t="s">
        <v>5157</v>
      </c>
      <c r="B293" s="50" t="s">
        <v>9088</v>
      </c>
      <c r="C293" s="50" t="s">
        <v>5163</v>
      </c>
      <c r="D293" s="17" t="s">
        <v>8912</v>
      </c>
    </row>
    <row r="294" spans="1:4" ht="18">
      <c r="A294" s="50" t="s">
        <v>5143</v>
      </c>
      <c r="B294" s="50" t="s">
        <v>9074</v>
      </c>
      <c r="C294" s="50" t="s">
        <v>5166</v>
      </c>
      <c r="D294" s="17" t="s">
        <v>8913</v>
      </c>
    </row>
    <row r="295" spans="1:4" ht="18">
      <c r="A295" s="50" t="s">
        <v>5145</v>
      </c>
      <c r="B295" s="50" t="s">
        <v>9076</v>
      </c>
      <c r="C295" s="50" t="s">
        <v>5168</v>
      </c>
      <c r="D295" s="17" t="s">
        <v>8913</v>
      </c>
    </row>
    <row r="296" spans="1:4" ht="18">
      <c r="A296" s="50" t="s">
        <v>5158</v>
      </c>
      <c r="B296" s="50" t="s">
        <v>9089</v>
      </c>
      <c r="C296" s="50" t="s">
        <v>5166</v>
      </c>
      <c r="D296" s="17" t="s">
        <v>8912</v>
      </c>
    </row>
    <row r="297" spans="1:4" ht="18">
      <c r="A297" s="50" t="s">
        <v>5159</v>
      </c>
      <c r="B297" s="50" t="s">
        <v>9090</v>
      </c>
      <c r="C297" s="50" t="s">
        <v>5166</v>
      </c>
      <c r="D297" s="17" t="s">
        <v>8912</v>
      </c>
    </row>
    <row r="298" spans="1:4" ht="18">
      <c r="A298" s="50" t="s">
        <v>5243</v>
      </c>
      <c r="B298" s="50" t="s">
        <v>9091</v>
      </c>
      <c r="C298" s="50" t="s">
        <v>5265</v>
      </c>
      <c r="D298" s="17" t="s">
        <v>8912</v>
      </c>
    </row>
    <row r="299" spans="1:4" ht="18">
      <c r="A299" s="50" t="s">
        <v>5244</v>
      </c>
      <c r="B299" s="50" t="s">
        <v>9092</v>
      </c>
      <c r="C299" s="50" t="s">
        <v>5077</v>
      </c>
      <c r="D299" s="17" t="s">
        <v>8913</v>
      </c>
    </row>
    <row r="300" spans="1:4" ht="18">
      <c r="A300" s="50" t="s">
        <v>5243</v>
      </c>
      <c r="B300" s="50" t="s">
        <v>9091</v>
      </c>
      <c r="C300" s="50" t="s">
        <v>5265</v>
      </c>
      <c r="D300" s="17" t="s">
        <v>8912</v>
      </c>
    </row>
    <row r="301" spans="1:4" ht="18">
      <c r="A301" s="50" t="s">
        <v>5243</v>
      </c>
      <c r="B301" s="50" t="s">
        <v>9091</v>
      </c>
      <c r="C301" s="50" t="s">
        <v>5265</v>
      </c>
      <c r="D301" s="17" t="s">
        <v>8912</v>
      </c>
    </row>
    <row r="302" spans="1:4" ht="18">
      <c r="A302" s="50" t="s">
        <v>5245</v>
      </c>
      <c r="B302" s="50" t="s">
        <v>9093</v>
      </c>
      <c r="C302" s="50" t="s">
        <v>5266</v>
      </c>
      <c r="D302" s="17" t="s">
        <v>8913</v>
      </c>
    </row>
    <row r="303" spans="1:4" ht="18">
      <c r="A303" s="50" t="s">
        <v>5246</v>
      </c>
      <c r="B303" s="50" t="s">
        <v>9094</v>
      </c>
      <c r="C303" s="50" t="s">
        <v>5267</v>
      </c>
      <c r="D303" s="17" t="s">
        <v>8913</v>
      </c>
    </row>
    <row r="304" spans="1:4" ht="18">
      <c r="A304" s="50" t="s">
        <v>5247</v>
      </c>
      <c r="B304" s="50" t="s">
        <v>9095</v>
      </c>
      <c r="C304" s="50" t="s">
        <v>5268</v>
      </c>
      <c r="D304" s="17" t="s">
        <v>8913</v>
      </c>
    </row>
    <row r="305" spans="1:4" ht="18">
      <c r="A305" s="50" t="s">
        <v>5247</v>
      </c>
      <c r="B305" s="50" t="s">
        <v>9095</v>
      </c>
      <c r="C305" s="50" t="s">
        <v>5268</v>
      </c>
      <c r="D305" s="17" t="s">
        <v>8913</v>
      </c>
    </row>
    <row r="306" spans="1:4" ht="18">
      <c r="A306" s="50" t="s">
        <v>5245</v>
      </c>
      <c r="B306" s="50" t="s">
        <v>9093</v>
      </c>
      <c r="C306" s="50" t="s">
        <v>5266</v>
      </c>
      <c r="D306" s="17" t="s">
        <v>8913</v>
      </c>
    </row>
    <row r="307" spans="1:4" ht="18">
      <c r="A307" s="50" t="s">
        <v>5248</v>
      </c>
      <c r="B307" s="50" t="s">
        <v>9096</v>
      </c>
      <c r="C307" s="50" t="s">
        <v>5269</v>
      </c>
      <c r="D307" s="17" t="s">
        <v>8913</v>
      </c>
    </row>
    <row r="308" spans="1:4" ht="18">
      <c r="A308" s="50" t="s">
        <v>5249</v>
      </c>
      <c r="B308" s="50" t="s">
        <v>9097</v>
      </c>
      <c r="C308" s="50" t="s">
        <v>5270</v>
      </c>
      <c r="D308" s="17" t="s">
        <v>8912</v>
      </c>
    </row>
    <row r="309" spans="1:4" ht="18">
      <c r="A309" s="50" t="s">
        <v>5250</v>
      </c>
      <c r="B309" s="50" t="s">
        <v>9098</v>
      </c>
      <c r="C309" s="50" t="s">
        <v>5271</v>
      </c>
      <c r="D309" s="17" t="s">
        <v>8913</v>
      </c>
    </row>
    <row r="310" spans="1:4" ht="18">
      <c r="A310" s="50" t="s">
        <v>5251</v>
      </c>
      <c r="B310" s="50" t="s">
        <v>9099</v>
      </c>
      <c r="C310" s="50" t="s">
        <v>5272</v>
      </c>
      <c r="D310" s="17" t="s">
        <v>8913</v>
      </c>
    </row>
    <row r="311" spans="1:4" ht="18">
      <c r="A311" s="50" t="s">
        <v>5252</v>
      </c>
      <c r="B311" s="50" t="s">
        <v>9100</v>
      </c>
      <c r="C311" s="50" t="s">
        <v>5271</v>
      </c>
      <c r="D311" s="17" t="s">
        <v>8913</v>
      </c>
    </row>
    <row r="312" spans="1:4" ht="18">
      <c r="A312" s="50" t="s">
        <v>5253</v>
      </c>
      <c r="B312" s="50" t="s">
        <v>9101</v>
      </c>
      <c r="C312" s="50" t="s">
        <v>5273</v>
      </c>
      <c r="D312" s="17" t="s">
        <v>8912</v>
      </c>
    </row>
    <row r="313" spans="1:4" ht="18">
      <c r="A313" s="50" t="s">
        <v>5254</v>
      </c>
      <c r="B313" s="50" t="s">
        <v>9102</v>
      </c>
      <c r="C313" s="50" t="s">
        <v>5272</v>
      </c>
      <c r="D313" s="17" t="s">
        <v>8912</v>
      </c>
    </row>
    <row r="314" spans="1:4" ht="18">
      <c r="A314" s="50" t="s">
        <v>5251</v>
      </c>
      <c r="B314" s="50" t="s">
        <v>9099</v>
      </c>
      <c r="C314" s="50" t="s">
        <v>5272</v>
      </c>
      <c r="D314" s="17" t="s">
        <v>8913</v>
      </c>
    </row>
    <row r="315" spans="1:4" ht="18">
      <c r="A315" s="50" t="s">
        <v>5255</v>
      </c>
      <c r="B315" s="50" t="s">
        <v>9103</v>
      </c>
      <c r="C315" s="50" t="s">
        <v>5272</v>
      </c>
      <c r="D315" s="17" t="s">
        <v>8912</v>
      </c>
    </row>
    <row r="316" spans="1:4" ht="18">
      <c r="A316" s="50" t="s">
        <v>5253</v>
      </c>
      <c r="B316" s="50" t="s">
        <v>9101</v>
      </c>
      <c r="C316" s="50" t="s">
        <v>5273</v>
      </c>
      <c r="D316" s="17" t="s">
        <v>8912</v>
      </c>
    </row>
    <row r="317" spans="1:4" ht="18">
      <c r="A317" s="50" t="s">
        <v>5252</v>
      </c>
      <c r="B317" s="50" t="s">
        <v>9100</v>
      </c>
      <c r="C317" s="50" t="s">
        <v>5271</v>
      </c>
      <c r="D317" s="17" t="s">
        <v>8913</v>
      </c>
    </row>
    <row r="318" spans="1:4" ht="18">
      <c r="A318" s="50" t="s">
        <v>5256</v>
      </c>
      <c r="B318" s="50" t="s">
        <v>9104</v>
      </c>
      <c r="C318" s="50" t="s">
        <v>5274</v>
      </c>
      <c r="D318" s="17" t="s">
        <v>8912</v>
      </c>
    </row>
    <row r="319" spans="1:4" ht="18">
      <c r="A319" s="50" t="s">
        <v>5257</v>
      </c>
      <c r="B319" s="50" t="s">
        <v>9105</v>
      </c>
      <c r="C319" s="50" t="s">
        <v>5267</v>
      </c>
      <c r="D319" s="17" t="s">
        <v>8913</v>
      </c>
    </row>
    <row r="320" spans="1:4" ht="18">
      <c r="A320" s="50" t="s">
        <v>5257</v>
      </c>
      <c r="B320" s="50" t="s">
        <v>9105</v>
      </c>
      <c r="C320" s="50" t="s">
        <v>5267</v>
      </c>
      <c r="D320" s="17" t="s">
        <v>8913</v>
      </c>
    </row>
    <row r="321" spans="1:4" ht="18">
      <c r="A321" s="50" t="s">
        <v>5257</v>
      </c>
      <c r="B321" s="50" t="s">
        <v>9105</v>
      </c>
      <c r="C321" s="50" t="s">
        <v>5267</v>
      </c>
      <c r="D321" s="17" t="s">
        <v>8913</v>
      </c>
    </row>
    <row r="322" spans="1:4" ht="18">
      <c r="A322" s="50" t="s">
        <v>5258</v>
      </c>
      <c r="B322" s="50" t="s">
        <v>9106</v>
      </c>
      <c r="C322" s="50" t="s">
        <v>5077</v>
      </c>
      <c r="D322" s="17" t="s">
        <v>8912</v>
      </c>
    </row>
    <row r="323" spans="1:4" ht="18">
      <c r="A323" s="50" t="s">
        <v>5259</v>
      </c>
      <c r="B323" s="50" t="s">
        <v>9107</v>
      </c>
      <c r="C323" s="50" t="s">
        <v>5267</v>
      </c>
      <c r="D323" s="17" t="s">
        <v>8912</v>
      </c>
    </row>
    <row r="324" spans="1:4" ht="18">
      <c r="A324" s="50" t="s">
        <v>5258</v>
      </c>
      <c r="B324" s="50" t="s">
        <v>9106</v>
      </c>
      <c r="C324" s="50" t="s">
        <v>5077</v>
      </c>
      <c r="D324" s="17" t="s">
        <v>8912</v>
      </c>
    </row>
    <row r="325" spans="1:4" ht="18">
      <c r="A325" s="50" t="s">
        <v>5260</v>
      </c>
      <c r="B325" s="50" t="s">
        <v>9108</v>
      </c>
      <c r="C325" s="50" t="s">
        <v>5268</v>
      </c>
      <c r="D325" s="17" t="s">
        <v>8912</v>
      </c>
    </row>
    <row r="326" spans="1:4" ht="18">
      <c r="A326" s="50" t="s">
        <v>5261</v>
      </c>
      <c r="B326" s="50" t="s">
        <v>9109</v>
      </c>
      <c r="C326" s="50" t="s">
        <v>5274</v>
      </c>
      <c r="D326" s="17" t="s">
        <v>8912</v>
      </c>
    </row>
    <row r="327" spans="1:4" ht="18">
      <c r="A327" s="50" t="s">
        <v>5261</v>
      </c>
      <c r="B327" s="50" t="s">
        <v>9109</v>
      </c>
      <c r="C327" s="50" t="s">
        <v>5274</v>
      </c>
      <c r="D327" s="17" t="s">
        <v>8912</v>
      </c>
    </row>
    <row r="328" spans="1:4" ht="18">
      <c r="A328" s="50" t="s">
        <v>5261</v>
      </c>
      <c r="B328" s="50" t="s">
        <v>9109</v>
      </c>
      <c r="C328" s="50" t="s">
        <v>5274</v>
      </c>
      <c r="D328" s="17" t="s">
        <v>8912</v>
      </c>
    </row>
    <row r="329" spans="1:4" ht="18">
      <c r="A329" s="50" t="s">
        <v>5261</v>
      </c>
      <c r="B329" s="50" t="s">
        <v>9109</v>
      </c>
      <c r="C329" s="50" t="s">
        <v>5274</v>
      </c>
      <c r="D329" s="17" t="s">
        <v>8912</v>
      </c>
    </row>
    <row r="330" spans="1:4" ht="18">
      <c r="A330" s="50" t="s">
        <v>5261</v>
      </c>
      <c r="B330" s="50" t="s">
        <v>9109</v>
      </c>
      <c r="C330" s="50" t="s">
        <v>5274</v>
      </c>
      <c r="D330" s="17" t="s">
        <v>8912</v>
      </c>
    </row>
    <row r="331" spans="1:4" ht="18">
      <c r="A331" s="50" t="s">
        <v>5262</v>
      </c>
      <c r="B331" s="50" t="s">
        <v>9110</v>
      </c>
      <c r="C331" s="50" t="s">
        <v>5267</v>
      </c>
      <c r="D331" s="17" t="s">
        <v>8912</v>
      </c>
    </row>
    <row r="332" spans="1:4" ht="18">
      <c r="A332" s="50" t="s">
        <v>5263</v>
      </c>
      <c r="B332" s="50" t="s">
        <v>9111</v>
      </c>
      <c r="C332" s="50" t="s">
        <v>5273</v>
      </c>
      <c r="D332" s="17" t="s">
        <v>8912</v>
      </c>
    </row>
    <row r="333" spans="1:4" ht="18">
      <c r="A333" s="50" t="s">
        <v>5263</v>
      </c>
      <c r="B333" s="50" t="s">
        <v>9111</v>
      </c>
      <c r="C333" s="50" t="s">
        <v>5273</v>
      </c>
      <c r="D333" s="17" t="s">
        <v>8912</v>
      </c>
    </row>
    <row r="334" spans="1:4" ht="18">
      <c r="A334" s="50" t="s">
        <v>5263</v>
      </c>
      <c r="B334" s="50" t="s">
        <v>9111</v>
      </c>
      <c r="C334" s="50" t="s">
        <v>5273</v>
      </c>
      <c r="D334" s="17" t="s">
        <v>8912</v>
      </c>
    </row>
    <row r="335" spans="1:4" ht="18">
      <c r="A335" s="50" t="s">
        <v>5264</v>
      </c>
      <c r="B335" s="50" t="s">
        <v>9112</v>
      </c>
      <c r="C335" s="50" t="s">
        <v>5267</v>
      </c>
      <c r="D335" s="17" t="s">
        <v>8912</v>
      </c>
    </row>
    <row r="336" spans="1:4" ht="18">
      <c r="A336" s="50" t="s">
        <v>5264</v>
      </c>
      <c r="B336" s="50" t="s">
        <v>9112</v>
      </c>
      <c r="C336" s="50" t="s">
        <v>5267</v>
      </c>
      <c r="D336" s="17" t="s">
        <v>8912</v>
      </c>
    </row>
    <row r="337" spans="1:4" ht="18">
      <c r="A337" s="50" t="s">
        <v>5264</v>
      </c>
      <c r="B337" s="50" t="s">
        <v>9112</v>
      </c>
      <c r="C337" s="50" t="s">
        <v>5267</v>
      </c>
      <c r="D337" s="17" t="s">
        <v>8912</v>
      </c>
    </row>
    <row r="338" spans="1:4" ht="18">
      <c r="A338" s="50" t="s">
        <v>5264</v>
      </c>
      <c r="B338" s="50" t="s">
        <v>9112</v>
      </c>
      <c r="C338" s="50" t="s">
        <v>5267</v>
      </c>
      <c r="D338" s="17" t="s">
        <v>8912</v>
      </c>
    </row>
    <row r="339" spans="1:4" ht="18">
      <c r="A339" s="50" t="s">
        <v>5264</v>
      </c>
      <c r="B339" s="50" t="s">
        <v>9112</v>
      </c>
      <c r="C339" s="50" t="s">
        <v>5267</v>
      </c>
      <c r="D339" s="17" t="s">
        <v>8912</v>
      </c>
    </row>
    <row r="340" spans="1:4" ht="18">
      <c r="A340" s="50" t="str">
        <f>"50100-8740886"</f>
        <v>50100-8740886</v>
      </c>
      <c r="B340" s="50" t="s">
        <v>9113</v>
      </c>
      <c r="C340" s="50" t="str">
        <f>"96/03/06"</f>
        <v>96/03/06</v>
      </c>
      <c r="D340" s="17" t="s">
        <v>8912</v>
      </c>
    </row>
    <row r="341" spans="1:4" ht="18">
      <c r="A341" s="50" t="str">
        <f>"50100-8758589"</f>
        <v>50100-8758589</v>
      </c>
      <c r="B341" s="50" t="s">
        <v>9114</v>
      </c>
      <c r="C341" s="50" t="str">
        <f>"96/03/09"</f>
        <v>96/03/09</v>
      </c>
      <c r="D341" s="17" t="s">
        <v>8912</v>
      </c>
    </row>
    <row r="342" spans="1:4" ht="18">
      <c r="A342" s="50" t="str">
        <f>"50100-8740886"</f>
        <v>50100-8740886</v>
      </c>
      <c r="B342" s="50" t="s">
        <v>9113</v>
      </c>
      <c r="C342" s="50" t="str">
        <f>"96/03/06"</f>
        <v>96/03/06</v>
      </c>
      <c r="D342" s="17" t="s">
        <v>8912</v>
      </c>
    </row>
    <row r="343" spans="1:4" ht="18">
      <c r="A343" s="50" t="str">
        <f>"50100-8758589"</f>
        <v>50100-8758589</v>
      </c>
      <c r="B343" s="50" t="s">
        <v>9114</v>
      </c>
      <c r="C343" s="50" t="str">
        <f>"96/03/09"</f>
        <v>96/03/09</v>
      </c>
      <c r="D343" s="17" t="s">
        <v>8912</v>
      </c>
    </row>
    <row r="344" spans="1:4" ht="18">
      <c r="A344" s="50" t="str">
        <f>"50100-8758589"</f>
        <v>50100-8758589</v>
      </c>
      <c r="B344" s="50" t="s">
        <v>9114</v>
      </c>
      <c r="C344" s="50" t="str">
        <f>"96/03/09"</f>
        <v>96/03/09</v>
      </c>
      <c r="D344" s="17" t="s">
        <v>8912</v>
      </c>
    </row>
    <row r="345" spans="1:4" ht="18">
      <c r="A345" s="50" t="str">
        <f>"50100-8758589"</f>
        <v>50100-8758589</v>
      </c>
      <c r="B345" s="50" t="s">
        <v>9114</v>
      </c>
      <c r="C345" s="50" t="str">
        <f>"96/03/09"</f>
        <v>96/03/09</v>
      </c>
      <c r="D345" s="17" t="s">
        <v>8912</v>
      </c>
    </row>
    <row r="346" spans="1:4" ht="18">
      <c r="A346" s="50" t="str">
        <f>"50100-8760011"</f>
        <v>50100-8760011</v>
      </c>
      <c r="B346" s="50" t="s">
        <v>9115</v>
      </c>
      <c r="C346" s="50" t="str">
        <f>"96/03/10"</f>
        <v>96/03/10</v>
      </c>
      <c r="D346" s="17" t="s">
        <v>8913</v>
      </c>
    </row>
    <row r="347" spans="1:4" ht="18">
      <c r="A347" s="50" t="str">
        <f>"50100-8773030"</f>
        <v>50100-8773030</v>
      </c>
      <c r="B347" s="50" t="s">
        <v>9116</v>
      </c>
      <c r="C347" s="50" t="str">
        <f>"96/03/13"</f>
        <v>96/03/13</v>
      </c>
      <c r="D347" s="17" t="s">
        <v>8912</v>
      </c>
    </row>
    <row r="348" spans="1:4" ht="18">
      <c r="A348" s="50" t="str">
        <f>"50100-8773030"</f>
        <v>50100-8773030</v>
      </c>
      <c r="B348" s="50" t="s">
        <v>9116</v>
      </c>
      <c r="C348" s="50" t="str">
        <f>"96/03/13"</f>
        <v>96/03/13</v>
      </c>
      <c r="D348" s="17" t="s">
        <v>8912</v>
      </c>
    </row>
    <row r="349" spans="1:4" ht="18">
      <c r="A349" s="50" t="str">
        <f>"50100-8725834"</f>
        <v>50100-8725834</v>
      </c>
      <c r="B349" s="50" t="s">
        <v>9117</v>
      </c>
      <c r="C349" s="50" t="str">
        <f>"96/03/02"</f>
        <v>96/03/02</v>
      </c>
      <c r="D349" s="17" t="s">
        <v>8912</v>
      </c>
    </row>
    <row r="350" spans="1:4" ht="18">
      <c r="A350" s="50" t="str">
        <f>"50100-8758589"</f>
        <v>50100-8758589</v>
      </c>
      <c r="B350" s="50" t="s">
        <v>9114</v>
      </c>
      <c r="C350" s="50" t="str">
        <f>"96/03/09"</f>
        <v>96/03/09</v>
      </c>
      <c r="D350" s="17" t="s">
        <v>8912</v>
      </c>
    </row>
    <row r="351" spans="1:4" ht="18">
      <c r="A351" s="50" t="str">
        <f>"50100-8770283"</f>
        <v>50100-8770283</v>
      </c>
      <c r="B351" s="50" t="s">
        <v>9118</v>
      </c>
      <c r="C351" s="50" t="str">
        <f>"96/03/13"</f>
        <v>96/03/13</v>
      </c>
      <c r="D351" s="17" t="s">
        <v>8912</v>
      </c>
    </row>
    <row r="352" spans="1:4" ht="18">
      <c r="A352" s="50" t="str">
        <f>"50100-8770902"</f>
        <v>50100-8770902</v>
      </c>
      <c r="B352" s="50" t="s">
        <v>9119</v>
      </c>
      <c r="C352" s="50" t="str">
        <f>"96/03/13"</f>
        <v>96/03/13</v>
      </c>
      <c r="D352" s="17" t="s">
        <v>8912</v>
      </c>
    </row>
    <row r="353" spans="1:4" ht="18">
      <c r="A353" s="50" t="str">
        <f>"50100-8752132"</f>
        <v>50100-8752132</v>
      </c>
      <c r="B353" s="50" t="s">
        <v>9120</v>
      </c>
      <c r="C353" s="50" t="str">
        <f>"96/03/08"</f>
        <v>96/03/08</v>
      </c>
      <c r="D353" s="17" t="s">
        <v>8913</v>
      </c>
    </row>
    <row r="354" spans="1:4" ht="18">
      <c r="A354" s="50" t="str">
        <f>"50100-8770531"</f>
        <v>50100-8770531</v>
      </c>
      <c r="B354" s="50" t="s">
        <v>9121</v>
      </c>
      <c r="C354" s="50" t="str">
        <f>"96/03/13"</f>
        <v>96/03/13</v>
      </c>
      <c r="D354" s="17" t="s">
        <v>8912</v>
      </c>
    </row>
    <row r="355" spans="1:4" ht="18">
      <c r="A355" s="50" t="str">
        <f>"50100-8770531"</f>
        <v>50100-8770531</v>
      </c>
      <c r="B355" s="50" t="s">
        <v>9121</v>
      </c>
      <c r="C355" s="50" t="str">
        <f>"96/03/13"</f>
        <v>96/03/13</v>
      </c>
      <c r="D355" s="17" t="s">
        <v>8912</v>
      </c>
    </row>
    <row r="356" spans="1:4" ht="18">
      <c r="A356" s="50" t="str">
        <f>"50100-8750723"</f>
        <v>50100-8750723</v>
      </c>
      <c r="B356" s="50" t="s">
        <v>9122</v>
      </c>
      <c r="C356" s="50" t="str">
        <f>"96/03/08"</f>
        <v>96/03/08</v>
      </c>
      <c r="D356" s="17" t="s">
        <v>8912</v>
      </c>
    </row>
    <row r="357" spans="1:4" ht="18">
      <c r="A357" s="50" t="str">
        <f>"50100-8712245"</f>
        <v>50100-8712245</v>
      </c>
      <c r="B357" s="50" t="s">
        <v>9123</v>
      </c>
      <c r="C357" s="50" t="str">
        <f>"96/02/31"</f>
        <v>96/02/31</v>
      </c>
      <c r="D357" s="17" t="s">
        <v>8913</v>
      </c>
    </row>
    <row r="358" spans="1:4" ht="18">
      <c r="A358" s="50" t="str">
        <f>"50100-8719480"</f>
        <v>50100-8719480</v>
      </c>
      <c r="B358" s="50" t="s">
        <v>9124</v>
      </c>
      <c r="C358" s="50" t="str">
        <f>"96/03/01"</f>
        <v>96/03/01</v>
      </c>
      <c r="D358" s="17" t="s">
        <v>8913</v>
      </c>
    </row>
    <row r="359" spans="1:4" ht="18">
      <c r="A359" s="50" t="s">
        <v>5306</v>
      </c>
      <c r="B359" s="50" t="s">
        <v>9125</v>
      </c>
      <c r="C359" s="50" t="s">
        <v>5230</v>
      </c>
      <c r="D359" s="17" t="s">
        <v>8913</v>
      </c>
    </row>
    <row r="360" spans="1:4" ht="18">
      <c r="A360" s="50" t="s">
        <v>5307</v>
      </c>
      <c r="B360" s="50" t="s">
        <v>9126</v>
      </c>
      <c r="C360" s="50" t="s">
        <v>5265</v>
      </c>
      <c r="D360" s="17" t="s">
        <v>8912</v>
      </c>
    </row>
    <row r="361" spans="1:4" ht="18">
      <c r="A361" s="50" t="s">
        <v>5306</v>
      </c>
      <c r="B361" s="50" t="s">
        <v>9125</v>
      </c>
      <c r="C361" s="50" t="s">
        <v>5230</v>
      </c>
      <c r="D361" s="17" t="s">
        <v>8913</v>
      </c>
    </row>
    <row r="362" spans="1:4" ht="18">
      <c r="A362" s="50" t="s">
        <v>5308</v>
      </c>
      <c r="B362" s="50" t="s">
        <v>9127</v>
      </c>
      <c r="C362" s="50" t="s">
        <v>5270</v>
      </c>
      <c r="D362" s="17" t="s">
        <v>8913</v>
      </c>
    </row>
    <row r="363" spans="1:4" ht="18">
      <c r="A363" s="50" t="s">
        <v>5309</v>
      </c>
      <c r="B363" s="50" t="s">
        <v>9128</v>
      </c>
      <c r="C363" s="50" t="s">
        <v>5230</v>
      </c>
      <c r="D363" s="17" t="s">
        <v>8913</v>
      </c>
    </row>
    <row r="364" spans="1:4" ht="18">
      <c r="A364" s="50" t="s">
        <v>5306</v>
      </c>
      <c r="B364" s="50" t="s">
        <v>9125</v>
      </c>
      <c r="C364" s="50" t="s">
        <v>5230</v>
      </c>
      <c r="D364" s="17" t="s">
        <v>8913</v>
      </c>
    </row>
    <row r="365" spans="1:4" ht="18">
      <c r="A365" s="50" t="s">
        <v>5307</v>
      </c>
      <c r="B365" s="50" t="s">
        <v>9126</v>
      </c>
      <c r="C365" s="50" t="s">
        <v>5265</v>
      </c>
      <c r="D365" s="17" t="s">
        <v>8912</v>
      </c>
    </row>
    <row r="366" spans="1:4" ht="18">
      <c r="A366" s="50" t="s">
        <v>5310</v>
      </c>
      <c r="B366" s="50" t="s">
        <v>9129</v>
      </c>
      <c r="C366" s="50" t="s">
        <v>5270</v>
      </c>
      <c r="D366" s="17" t="s">
        <v>8913</v>
      </c>
    </row>
    <row r="367" spans="1:4" ht="18">
      <c r="A367" s="50" t="s">
        <v>5307</v>
      </c>
      <c r="B367" s="50" t="s">
        <v>9126</v>
      </c>
      <c r="C367" s="50" t="s">
        <v>5265</v>
      </c>
      <c r="D367" s="17" t="s">
        <v>8912</v>
      </c>
    </row>
    <row r="368" spans="1:4" ht="18">
      <c r="A368" s="50" t="s">
        <v>5311</v>
      </c>
      <c r="B368" s="50" t="s">
        <v>9130</v>
      </c>
      <c r="C368" s="50" t="s">
        <v>5322</v>
      </c>
      <c r="D368" s="17" t="s">
        <v>8913</v>
      </c>
    </row>
    <row r="369" spans="1:4" ht="18">
      <c r="A369" s="50" t="s">
        <v>5312</v>
      </c>
      <c r="B369" s="50" t="s">
        <v>9131</v>
      </c>
      <c r="C369" s="50" t="s">
        <v>5265</v>
      </c>
      <c r="D369" s="17" t="s">
        <v>8913</v>
      </c>
    </row>
    <row r="370" spans="1:4" ht="18">
      <c r="A370" s="50" t="s">
        <v>5312</v>
      </c>
      <c r="B370" s="50" t="s">
        <v>9131</v>
      </c>
      <c r="C370" s="50" t="s">
        <v>5265</v>
      </c>
      <c r="D370" s="17" t="s">
        <v>8913</v>
      </c>
    </row>
    <row r="371" spans="1:4" ht="18">
      <c r="A371" s="50" t="s">
        <v>5312</v>
      </c>
      <c r="B371" s="50" t="s">
        <v>9131</v>
      </c>
      <c r="C371" s="50" t="s">
        <v>5265</v>
      </c>
      <c r="D371" s="17" t="s">
        <v>8913</v>
      </c>
    </row>
    <row r="372" spans="1:4" ht="18">
      <c r="A372" s="50" t="s">
        <v>5313</v>
      </c>
      <c r="B372" s="50" t="s">
        <v>9132</v>
      </c>
      <c r="C372" s="50" t="s">
        <v>5230</v>
      </c>
      <c r="D372" s="17" t="s">
        <v>8912</v>
      </c>
    </row>
    <row r="373" spans="1:4" ht="18">
      <c r="A373" s="50" t="s">
        <v>5314</v>
      </c>
      <c r="B373" s="50" t="s">
        <v>9133</v>
      </c>
      <c r="C373" s="50" t="s">
        <v>5266</v>
      </c>
      <c r="D373" s="17" t="s">
        <v>8913</v>
      </c>
    </row>
    <row r="374" spans="1:4" ht="18">
      <c r="A374" s="50" t="s">
        <v>5315</v>
      </c>
      <c r="B374" s="50" t="s">
        <v>9134</v>
      </c>
      <c r="C374" s="50" t="s">
        <v>5268</v>
      </c>
      <c r="D374" s="17" t="s">
        <v>8913</v>
      </c>
    </row>
    <row r="375" spans="1:4" ht="18">
      <c r="A375" s="50" t="s">
        <v>5314</v>
      </c>
      <c r="B375" s="50" t="s">
        <v>9133</v>
      </c>
      <c r="C375" s="50" t="s">
        <v>5266</v>
      </c>
      <c r="D375" s="17" t="s">
        <v>8913</v>
      </c>
    </row>
    <row r="376" spans="1:4" ht="18">
      <c r="A376" s="50" t="s">
        <v>5316</v>
      </c>
      <c r="B376" s="50" t="s">
        <v>9135</v>
      </c>
      <c r="C376" s="50" t="s">
        <v>5269</v>
      </c>
      <c r="D376" s="17" t="s">
        <v>8912</v>
      </c>
    </row>
    <row r="377" spans="1:4" ht="18">
      <c r="A377" s="50" t="s">
        <v>5317</v>
      </c>
      <c r="B377" s="50" t="s">
        <v>9136</v>
      </c>
      <c r="C377" s="50" t="s">
        <v>5274</v>
      </c>
      <c r="D377" s="17" t="s">
        <v>8913</v>
      </c>
    </row>
    <row r="378" spans="1:4" ht="18">
      <c r="A378" s="50" t="s">
        <v>5317</v>
      </c>
      <c r="B378" s="50" t="s">
        <v>9136</v>
      </c>
      <c r="C378" s="50" t="s">
        <v>5274</v>
      </c>
      <c r="D378" s="17" t="s">
        <v>8913</v>
      </c>
    </row>
    <row r="379" spans="1:4" ht="18">
      <c r="A379" s="50" t="s">
        <v>5318</v>
      </c>
      <c r="B379" s="50" t="s">
        <v>9137</v>
      </c>
      <c r="C379" s="50" t="s">
        <v>5274</v>
      </c>
      <c r="D379" s="17" t="s">
        <v>8912</v>
      </c>
    </row>
    <row r="380" spans="1:4" ht="18">
      <c r="A380" s="50" t="s">
        <v>5319</v>
      </c>
      <c r="B380" s="50" t="s">
        <v>9138</v>
      </c>
      <c r="C380" s="50" t="s">
        <v>5269</v>
      </c>
      <c r="D380" s="17" t="s">
        <v>8913</v>
      </c>
    </row>
    <row r="381" spans="1:4" ht="18">
      <c r="A381" s="50" t="s">
        <v>5319</v>
      </c>
      <c r="B381" s="50" t="s">
        <v>9138</v>
      </c>
      <c r="C381" s="50" t="s">
        <v>5269</v>
      </c>
      <c r="D381" s="17" t="s">
        <v>8913</v>
      </c>
    </row>
    <row r="382" spans="1:4" ht="18">
      <c r="A382" s="50" t="s">
        <v>5319</v>
      </c>
      <c r="B382" s="50" t="s">
        <v>9138</v>
      </c>
      <c r="C382" s="50" t="s">
        <v>5269</v>
      </c>
      <c r="D382" s="17" t="s">
        <v>8913</v>
      </c>
    </row>
    <row r="383" spans="1:4" ht="18">
      <c r="A383" s="50" t="s">
        <v>5320</v>
      </c>
      <c r="B383" s="50" t="s">
        <v>9139</v>
      </c>
      <c r="C383" s="50" t="s">
        <v>5273</v>
      </c>
      <c r="D383" s="17" t="s">
        <v>8913</v>
      </c>
    </row>
    <row r="384" spans="1:4" ht="18">
      <c r="A384" s="50" t="s">
        <v>5321</v>
      </c>
      <c r="B384" s="50" t="s">
        <v>9140</v>
      </c>
      <c r="C384" s="50" t="s">
        <v>5274</v>
      </c>
      <c r="D384" s="17" t="s">
        <v>8913</v>
      </c>
    </row>
    <row r="385" spans="1:4" ht="18">
      <c r="A385" s="50" t="s">
        <v>5317</v>
      </c>
      <c r="B385" s="50" t="s">
        <v>9136</v>
      </c>
      <c r="C385" s="50" t="s">
        <v>5274</v>
      </c>
      <c r="D385" s="17" t="s">
        <v>8913</v>
      </c>
    </row>
    <row r="386" spans="1:4" ht="18">
      <c r="A386" s="50" t="s">
        <v>5318</v>
      </c>
      <c r="B386" s="50" t="s">
        <v>9137</v>
      </c>
      <c r="C386" s="50" t="s">
        <v>5274</v>
      </c>
      <c r="D386" s="17" t="s">
        <v>8912</v>
      </c>
    </row>
    <row r="387" spans="1:4" ht="18">
      <c r="A387" s="50" t="s">
        <v>5318</v>
      </c>
      <c r="B387" s="50" t="s">
        <v>9137</v>
      </c>
      <c r="C387" s="50" t="s">
        <v>5274</v>
      </c>
      <c r="D387" s="17" t="s">
        <v>8912</v>
      </c>
    </row>
    <row r="388" spans="1:4" ht="18">
      <c r="A388" s="50" t="s">
        <v>5332</v>
      </c>
      <c r="B388" s="50" t="s">
        <v>9141</v>
      </c>
      <c r="C388" s="50" t="s">
        <v>5364</v>
      </c>
      <c r="D388" s="17" t="s">
        <v>8912</v>
      </c>
    </row>
    <row r="389" spans="1:4" ht="18">
      <c r="A389" s="50" t="s">
        <v>5333</v>
      </c>
      <c r="B389" s="50" t="s">
        <v>9142</v>
      </c>
      <c r="C389" s="50" t="s">
        <v>5301</v>
      </c>
      <c r="D389" s="17" t="s">
        <v>8912</v>
      </c>
    </row>
    <row r="390" spans="1:4" ht="18">
      <c r="A390" s="50" t="s">
        <v>5333</v>
      </c>
      <c r="B390" s="50" t="s">
        <v>9142</v>
      </c>
      <c r="C390" s="50" t="s">
        <v>5301</v>
      </c>
      <c r="D390" s="17" t="s">
        <v>8912</v>
      </c>
    </row>
    <row r="391" spans="1:4" ht="18">
      <c r="A391" s="50" t="s">
        <v>5334</v>
      </c>
      <c r="B391" s="50" t="s">
        <v>9143</v>
      </c>
      <c r="C391" s="50" t="s">
        <v>5365</v>
      </c>
      <c r="D391" s="17" t="s">
        <v>8913</v>
      </c>
    </row>
    <row r="392" spans="1:4" ht="18">
      <c r="A392" s="50" t="s">
        <v>5335</v>
      </c>
      <c r="B392" s="50" t="s">
        <v>9144</v>
      </c>
      <c r="C392" s="50" t="s">
        <v>5364</v>
      </c>
      <c r="D392" s="17" t="s">
        <v>8913</v>
      </c>
    </row>
    <row r="393" spans="1:4" ht="18">
      <c r="A393" s="50" t="s">
        <v>5336</v>
      </c>
      <c r="B393" s="50" t="s">
        <v>9145</v>
      </c>
      <c r="C393" s="50" t="s">
        <v>5301</v>
      </c>
      <c r="D393" s="17" t="s">
        <v>8913</v>
      </c>
    </row>
    <row r="394" spans="1:4" ht="18">
      <c r="A394" s="50" t="s">
        <v>5332</v>
      </c>
      <c r="B394" s="50" t="s">
        <v>9141</v>
      </c>
      <c r="C394" s="50" t="s">
        <v>5364</v>
      </c>
      <c r="D394" s="17" t="s">
        <v>8912</v>
      </c>
    </row>
    <row r="395" spans="1:4" ht="18">
      <c r="A395" s="50" t="s">
        <v>5337</v>
      </c>
      <c r="B395" s="50" t="s">
        <v>9146</v>
      </c>
      <c r="C395" s="50" t="s">
        <v>5299</v>
      </c>
      <c r="D395" s="17" t="s">
        <v>8912</v>
      </c>
    </row>
    <row r="396" spans="1:4" ht="18">
      <c r="A396" s="50" t="s">
        <v>5334</v>
      </c>
      <c r="B396" s="50" t="s">
        <v>9143</v>
      </c>
      <c r="C396" s="50" t="s">
        <v>5365</v>
      </c>
      <c r="D396" s="17" t="s">
        <v>8913</v>
      </c>
    </row>
    <row r="397" spans="1:4" ht="18">
      <c r="A397" s="50" t="s">
        <v>5336</v>
      </c>
      <c r="B397" s="50" t="s">
        <v>9145</v>
      </c>
      <c r="C397" s="50" t="s">
        <v>5301</v>
      </c>
      <c r="D397" s="17" t="s">
        <v>8913</v>
      </c>
    </row>
    <row r="398" spans="1:4" ht="18">
      <c r="A398" s="50" t="s">
        <v>5338</v>
      </c>
      <c r="B398" s="50" t="s">
        <v>9147</v>
      </c>
      <c r="C398" s="50" t="s">
        <v>5300</v>
      </c>
      <c r="D398" s="17" t="s">
        <v>8913</v>
      </c>
    </row>
    <row r="399" spans="1:4" ht="18">
      <c r="A399" s="50" t="s">
        <v>5339</v>
      </c>
      <c r="B399" s="50" t="s">
        <v>9148</v>
      </c>
      <c r="C399" s="50" t="s">
        <v>5366</v>
      </c>
      <c r="D399" s="17" t="s">
        <v>8913</v>
      </c>
    </row>
    <row r="400" spans="1:4" ht="18">
      <c r="A400" s="50" t="s">
        <v>5340</v>
      </c>
      <c r="B400" s="50" t="s">
        <v>9149</v>
      </c>
      <c r="C400" s="50" t="s">
        <v>5301</v>
      </c>
      <c r="D400" s="17" t="s">
        <v>8913</v>
      </c>
    </row>
    <row r="401" spans="1:4" ht="18">
      <c r="A401" s="50" t="s">
        <v>5341</v>
      </c>
      <c r="B401" s="50" t="s">
        <v>9150</v>
      </c>
      <c r="C401" s="50" t="s">
        <v>5299</v>
      </c>
      <c r="D401" s="17" t="s">
        <v>8913</v>
      </c>
    </row>
    <row r="402" spans="1:4" ht="18">
      <c r="A402" s="50" t="s">
        <v>5342</v>
      </c>
      <c r="B402" s="50" t="s">
        <v>9151</v>
      </c>
      <c r="C402" s="50" t="s">
        <v>5367</v>
      </c>
      <c r="D402" s="17" t="s">
        <v>8913</v>
      </c>
    </row>
    <row r="403" spans="1:4" ht="18">
      <c r="A403" s="50" t="s">
        <v>5343</v>
      </c>
      <c r="B403" s="50" t="s">
        <v>9152</v>
      </c>
      <c r="C403" s="50" t="s">
        <v>5365</v>
      </c>
      <c r="D403" s="17" t="s">
        <v>8913</v>
      </c>
    </row>
    <row r="404" spans="1:4" ht="18">
      <c r="A404" s="50" t="s">
        <v>5344</v>
      </c>
      <c r="B404" s="50" t="s">
        <v>9153</v>
      </c>
      <c r="C404" s="50" t="s">
        <v>5367</v>
      </c>
      <c r="D404" s="17" t="s">
        <v>8913</v>
      </c>
    </row>
    <row r="405" spans="1:4" ht="18">
      <c r="A405" s="50" t="s">
        <v>5344</v>
      </c>
      <c r="B405" s="50" t="s">
        <v>9153</v>
      </c>
      <c r="C405" s="50" t="s">
        <v>5367</v>
      </c>
      <c r="D405" s="17" t="s">
        <v>8913</v>
      </c>
    </row>
    <row r="406" spans="1:4" ht="18">
      <c r="A406" s="50" t="s">
        <v>5345</v>
      </c>
      <c r="B406" s="50" t="s">
        <v>9154</v>
      </c>
      <c r="C406" s="50" t="s">
        <v>5364</v>
      </c>
      <c r="D406" s="17" t="s">
        <v>8912</v>
      </c>
    </row>
    <row r="407" spans="1:4" ht="18">
      <c r="A407" s="50" t="s">
        <v>5344</v>
      </c>
      <c r="B407" s="50" t="s">
        <v>9153</v>
      </c>
      <c r="C407" s="50" t="s">
        <v>5367</v>
      </c>
      <c r="D407" s="17" t="s">
        <v>8913</v>
      </c>
    </row>
    <row r="408" spans="1:4" ht="18">
      <c r="A408" s="50" t="s">
        <v>5346</v>
      </c>
      <c r="B408" s="50" t="s">
        <v>9155</v>
      </c>
      <c r="C408" s="50" t="s">
        <v>5300</v>
      </c>
      <c r="D408" s="17" t="s">
        <v>8913</v>
      </c>
    </row>
    <row r="409" spans="1:4" ht="18">
      <c r="A409" s="50" t="s">
        <v>5347</v>
      </c>
      <c r="B409" s="50" t="s">
        <v>9156</v>
      </c>
      <c r="C409" s="50" t="s">
        <v>5365</v>
      </c>
      <c r="D409" s="17" t="s">
        <v>8912</v>
      </c>
    </row>
    <row r="410" spans="1:4" ht="18">
      <c r="A410" s="50" t="s">
        <v>5348</v>
      </c>
      <c r="B410" s="50" t="s">
        <v>9157</v>
      </c>
      <c r="C410" s="50" t="s">
        <v>5300</v>
      </c>
      <c r="D410" s="17" t="s">
        <v>8912</v>
      </c>
    </row>
    <row r="411" spans="1:4" ht="18">
      <c r="A411" s="50" t="s">
        <v>5349</v>
      </c>
      <c r="B411" s="50" t="s">
        <v>9158</v>
      </c>
      <c r="C411" s="50" t="s">
        <v>5366</v>
      </c>
      <c r="D411" s="17" t="s">
        <v>8913</v>
      </c>
    </row>
    <row r="412" spans="1:4" ht="18">
      <c r="A412" s="50" t="s">
        <v>5349</v>
      </c>
      <c r="B412" s="50" t="s">
        <v>9158</v>
      </c>
      <c r="C412" s="50" t="s">
        <v>5366</v>
      </c>
      <c r="D412" s="17" t="s">
        <v>8913</v>
      </c>
    </row>
    <row r="413" spans="1:4" ht="18">
      <c r="A413" s="50" t="s">
        <v>5350</v>
      </c>
      <c r="B413" s="50" t="s">
        <v>9159</v>
      </c>
      <c r="C413" s="50" t="s">
        <v>5366</v>
      </c>
      <c r="D413" s="17" t="s">
        <v>8912</v>
      </c>
    </row>
    <row r="414" spans="1:4" ht="18">
      <c r="A414" s="50" t="s">
        <v>5351</v>
      </c>
      <c r="B414" s="50" t="s">
        <v>9160</v>
      </c>
      <c r="C414" s="50" t="s">
        <v>5368</v>
      </c>
      <c r="D414" s="17" t="s">
        <v>8912</v>
      </c>
    </row>
    <row r="415" spans="1:4" ht="18">
      <c r="A415" s="50" t="s">
        <v>5352</v>
      </c>
      <c r="B415" s="50" t="s">
        <v>9161</v>
      </c>
      <c r="C415" s="50" t="s">
        <v>5302</v>
      </c>
      <c r="D415" s="17" t="s">
        <v>8912</v>
      </c>
    </row>
    <row r="416" spans="1:4" ht="18">
      <c r="A416" s="50" t="s">
        <v>5350</v>
      </c>
      <c r="B416" s="50" t="s">
        <v>9159</v>
      </c>
      <c r="C416" s="50" t="s">
        <v>5366</v>
      </c>
      <c r="D416" s="17" t="s">
        <v>8912</v>
      </c>
    </row>
    <row r="417" spans="1:4" ht="18">
      <c r="A417" s="50" t="s">
        <v>5353</v>
      </c>
      <c r="B417" s="50" t="s">
        <v>9162</v>
      </c>
      <c r="C417" s="50" t="s">
        <v>5301</v>
      </c>
      <c r="D417" s="17" t="s">
        <v>8913</v>
      </c>
    </row>
    <row r="418" spans="1:4" ht="18">
      <c r="A418" s="50" t="s">
        <v>5349</v>
      </c>
      <c r="B418" s="50" t="s">
        <v>9158</v>
      </c>
      <c r="C418" s="50" t="s">
        <v>5366</v>
      </c>
      <c r="D418" s="17" t="s">
        <v>8913</v>
      </c>
    </row>
    <row r="419" spans="1:4" ht="18">
      <c r="A419" s="50" t="s">
        <v>5352</v>
      </c>
      <c r="B419" s="50" t="s">
        <v>9161</v>
      </c>
      <c r="C419" s="50" t="s">
        <v>5302</v>
      </c>
      <c r="D419" s="17" t="s">
        <v>8912</v>
      </c>
    </row>
    <row r="420" spans="1:4" ht="18">
      <c r="A420" s="50" t="s">
        <v>5354</v>
      </c>
      <c r="B420" s="50" t="s">
        <v>9163</v>
      </c>
      <c r="C420" s="50" t="s">
        <v>5302</v>
      </c>
      <c r="D420" s="17" t="s">
        <v>8913</v>
      </c>
    </row>
    <row r="421" spans="1:4" ht="18">
      <c r="A421" s="50" t="s">
        <v>5354</v>
      </c>
      <c r="B421" s="50" t="s">
        <v>9163</v>
      </c>
      <c r="C421" s="50" t="s">
        <v>5302</v>
      </c>
      <c r="D421" s="17" t="s">
        <v>8913</v>
      </c>
    </row>
    <row r="422" spans="1:4" ht="18">
      <c r="A422" s="50" t="s">
        <v>5355</v>
      </c>
      <c r="B422" s="50" t="s">
        <v>9164</v>
      </c>
      <c r="C422" s="50" t="s">
        <v>5368</v>
      </c>
      <c r="D422" s="17" t="s">
        <v>8913</v>
      </c>
    </row>
    <row r="423" spans="1:4" ht="18">
      <c r="A423" s="50" t="s">
        <v>5356</v>
      </c>
      <c r="B423" s="50" t="s">
        <v>9165</v>
      </c>
      <c r="C423" s="50" t="s">
        <v>5301</v>
      </c>
      <c r="D423" s="17" t="s">
        <v>8912</v>
      </c>
    </row>
    <row r="424" spans="1:4" ht="18">
      <c r="A424" s="50" t="s">
        <v>5355</v>
      </c>
      <c r="B424" s="50" t="s">
        <v>9164</v>
      </c>
      <c r="C424" s="50" t="s">
        <v>5368</v>
      </c>
      <c r="D424" s="17" t="s">
        <v>8913</v>
      </c>
    </row>
    <row r="425" spans="1:4" ht="18">
      <c r="A425" s="50" t="s">
        <v>5355</v>
      </c>
      <c r="B425" s="50" t="s">
        <v>9164</v>
      </c>
      <c r="C425" s="50" t="s">
        <v>5368</v>
      </c>
      <c r="D425" s="17" t="s">
        <v>8913</v>
      </c>
    </row>
    <row r="426" spans="1:4" ht="18">
      <c r="A426" s="50" t="s">
        <v>5352</v>
      </c>
      <c r="B426" s="50" t="s">
        <v>9161</v>
      </c>
      <c r="C426" s="50" t="s">
        <v>5302</v>
      </c>
      <c r="D426" s="17" t="s">
        <v>8912</v>
      </c>
    </row>
    <row r="427" spans="1:4" ht="18">
      <c r="A427" s="50" t="s">
        <v>5352</v>
      </c>
      <c r="B427" s="50" t="s">
        <v>9161</v>
      </c>
      <c r="C427" s="50" t="s">
        <v>5302</v>
      </c>
      <c r="D427" s="17" t="s">
        <v>8912</v>
      </c>
    </row>
    <row r="428" spans="1:4" ht="18">
      <c r="A428" s="50" t="s">
        <v>5357</v>
      </c>
      <c r="B428" s="50" t="s">
        <v>9166</v>
      </c>
      <c r="C428" s="50" t="s">
        <v>5274</v>
      </c>
      <c r="D428" s="17" t="s">
        <v>8913</v>
      </c>
    </row>
    <row r="429" spans="1:4" ht="18">
      <c r="A429" s="50" t="s">
        <v>5357</v>
      </c>
      <c r="B429" s="50" t="s">
        <v>9166</v>
      </c>
      <c r="C429" s="50" t="s">
        <v>5274</v>
      </c>
      <c r="D429" s="17" t="s">
        <v>8913</v>
      </c>
    </row>
    <row r="430" spans="1:4" ht="18">
      <c r="A430" s="50" t="s">
        <v>5357</v>
      </c>
      <c r="B430" s="50" t="s">
        <v>9166</v>
      </c>
      <c r="C430" s="50" t="s">
        <v>5274</v>
      </c>
      <c r="D430" s="17" t="s">
        <v>8913</v>
      </c>
    </row>
    <row r="431" spans="1:4" ht="18">
      <c r="A431" s="50" t="s">
        <v>5358</v>
      </c>
      <c r="B431" s="50" t="s">
        <v>9167</v>
      </c>
      <c r="C431" s="50" t="s">
        <v>5230</v>
      </c>
      <c r="D431" s="17" t="s">
        <v>8913</v>
      </c>
    </row>
    <row r="432" spans="1:4" ht="18">
      <c r="A432" s="50" t="s">
        <v>5359</v>
      </c>
      <c r="B432" s="50" t="s">
        <v>9168</v>
      </c>
      <c r="C432" s="50" t="s">
        <v>5265</v>
      </c>
      <c r="D432" s="17" t="s">
        <v>8913</v>
      </c>
    </row>
    <row r="433" spans="1:4" ht="18">
      <c r="A433" s="50" t="s">
        <v>5360</v>
      </c>
      <c r="B433" s="50" t="s">
        <v>9169</v>
      </c>
      <c r="C433" s="50" t="s">
        <v>5268</v>
      </c>
      <c r="D433" s="17" t="s">
        <v>8912</v>
      </c>
    </row>
    <row r="434" spans="1:4" ht="18">
      <c r="A434" s="50" t="s">
        <v>5361</v>
      </c>
      <c r="B434" s="50" t="s">
        <v>9170</v>
      </c>
      <c r="C434" s="50" t="s">
        <v>5267</v>
      </c>
      <c r="D434" s="17" t="s">
        <v>8912</v>
      </c>
    </row>
    <row r="435" spans="1:4" ht="18">
      <c r="A435" s="50" t="s">
        <v>5360</v>
      </c>
      <c r="B435" s="50" t="s">
        <v>9169</v>
      </c>
      <c r="C435" s="50" t="s">
        <v>5268</v>
      </c>
      <c r="D435" s="17" t="s">
        <v>8912</v>
      </c>
    </row>
    <row r="436" spans="1:4" ht="18">
      <c r="A436" s="50" t="s">
        <v>5361</v>
      </c>
      <c r="B436" s="50" t="s">
        <v>9170</v>
      </c>
      <c r="C436" s="50" t="s">
        <v>5267</v>
      </c>
      <c r="D436" s="17" t="s">
        <v>8912</v>
      </c>
    </row>
    <row r="437" spans="1:4" ht="18">
      <c r="A437" s="50" t="s">
        <v>5362</v>
      </c>
      <c r="B437" s="50" t="s">
        <v>9171</v>
      </c>
      <c r="C437" s="50" t="s">
        <v>5266</v>
      </c>
      <c r="D437" s="17" t="s">
        <v>8913</v>
      </c>
    </row>
    <row r="438" spans="1:4" ht="18">
      <c r="A438" s="50" t="s">
        <v>5363</v>
      </c>
      <c r="B438" s="50" t="s">
        <v>9172</v>
      </c>
      <c r="C438" s="50" t="s">
        <v>5271</v>
      </c>
      <c r="D438" s="17" t="s">
        <v>8912</v>
      </c>
    </row>
    <row r="439" spans="1:4" ht="18">
      <c r="A439" s="50" t="s">
        <v>5360</v>
      </c>
      <c r="B439" s="50" t="s">
        <v>9169</v>
      </c>
      <c r="C439" s="50" t="s">
        <v>5268</v>
      </c>
      <c r="D439" s="17" t="s">
        <v>8912</v>
      </c>
    </row>
    <row r="440" spans="1:4" ht="18">
      <c r="A440" s="50" t="s">
        <v>5384</v>
      </c>
      <c r="B440" s="50" t="s">
        <v>9173</v>
      </c>
      <c r="C440" s="50" t="s">
        <v>5412</v>
      </c>
      <c r="D440" s="17" t="s">
        <v>8912</v>
      </c>
    </row>
    <row r="441" spans="1:4" ht="18">
      <c r="A441" s="50" t="s">
        <v>5384</v>
      </c>
      <c r="B441" s="50" t="s">
        <v>9173</v>
      </c>
      <c r="C441" s="50" t="s">
        <v>5412</v>
      </c>
      <c r="D441" s="17" t="s">
        <v>8912</v>
      </c>
    </row>
    <row r="442" spans="1:4" ht="18">
      <c r="A442" s="50" t="s">
        <v>5385</v>
      </c>
      <c r="B442" s="50" t="s">
        <v>9174</v>
      </c>
      <c r="C442" s="50" t="s">
        <v>5413</v>
      </c>
      <c r="D442" s="17" t="s">
        <v>8912</v>
      </c>
    </row>
    <row r="443" spans="1:4" ht="18">
      <c r="A443" s="50" t="s">
        <v>5386</v>
      </c>
      <c r="B443" s="50" t="s">
        <v>9175</v>
      </c>
      <c r="C443" s="50" t="s">
        <v>5414</v>
      </c>
      <c r="D443" s="17" t="s">
        <v>8912</v>
      </c>
    </row>
    <row r="444" spans="1:4" ht="18">
      <c r="A444" s="50" t="s">
        <v>5384</v>
      </c>
      <c r="B444" s="50" t="s">
        <v>9173</v>
      </c>
      <c r="C444" s="50" t="s">
        <v>5412</v>
      </c>
      <c r="D444" s="17" t="s">
        <v>8912</v>
      </c>
    </row>
    <row r="445" spans="1:4" ht="18">
      <c r="A445" s="50" t="s">
        <v>5387</v>
      </c>
      <c r="B445" s="50" t="s">
        <v>9176</v>
      </c>
      <c r="C445" s="50" t="s">
        <v>5303</v>
      </c>
      <c r="D445" s="17" t="s">
        <v>8913</v>
      </c>
    </row>
    <row r="446" spans="1:4" ht="18">
      <c r="A446" s="50" t="s">
        <v>5387</v>
      </c>
      <c r="B446" s="50" t="s">
        <v>9176</v>
      </c>
      <c r="C446" s="50" t="s">
        <v>5303</v>
      </c>
      <c r="D446" s="17" t="s">
        <v>8913</v>
      </c>
    </row>
    <row r="447" spans="1:4" ht="18">
      <c r="A447" s="50" t="s">
        <v>5388</v>
      </c>
      <c r="B447" s="50" t="s">
        <v>9177</v>
      </c>
      <c r="C447" s="50" t="s">
        <v>5415</v>
      </c>
      <c r="D447" s="17" t="s">
        <v>8913</v>
      </c>
    </row>
    <row r="448" spans="1:4" ht="18">
      <c r="A448" s="50" t="s">
        <v>5389</v>
      </c>
      <c r="B448" s="50" t="s">
        <v>9178</v>
      </c>
      <c r="C448" s="50" t="s">
        <v>5413</v>
      </c>
      <c r="D448" s="17" t="s">
        <v>8913</v>
      </c>
    </row>
    <row r="449" spans="1:4" ht="18">
      <c r="A449" s="50" t="s">
        <v>5387</v>
      </c>
      <c r="B449" s="50" t="s">
        <v>9176</v>
      </c>
      <c r="C449" s="50" t="s">
        <v>5303</v>
      </c>
      <c r="D449" s="17" t="s">
        <v>8913</v>
      </c>
    </row>
    <row r="450" spans="1:4" ht="18">
      <c r="A450" s="50" t="s">
        <v>5390</v>
      </c>
      <c r="B450" s="50" t="s">
        <v>9179</v>
      </c>
      <c r="C450" s="50" t="s">
        <v>5416</v>
      </c>
      <c r="D450" s="17" t="s">
        <v>8912</v>
      </c>
    </row>
    <row r="451" spans="1:4" ht="18">
      <c r="A451" s="50" t="s">
        <v>5391</v>
      </c>
      <c r="B451" s="50" t="s">
        <v>9180</v>
      </c>
      <c r="C451" s="50" t="s">
        <v>5417</v>
      </c>
      <c r="D451" s="17" t="s">
        <v>8912</v>
      </c>
    </row>
    <row r="452" spans="1:4" ht="18">
      <c r="A452" s="50" t="s">
        <v>5389</v>
      </c>
      <c r="B452" s="50" t="s">
        <v>9178</v>
      </c>
      <c r="C452" s="50" t="s">
        <v>5413</v>
      </c>
      <c r="D452" s="17" t="s">
        <v>8913</v>
      </c>
    </row>
    <row r="453" spans="1:4" ht="18">
      <c r="A453" s="50" t="s">
        <v>5387</v>
      </c>
      <c r="B453" s="50" t="s">
        <v>9176</v>
      </c>
      <c r="C453" s="50" t="s">
        <v>5303</v>
      </c>
      <c r="D453" s="17" t="s">
        <v>8913</v>
      </c>
    </row>
    <row r="454" spans="1:4" ht="18">
      <c r="A454" s="50" t="s">
        <v>5386</v>
      </c>
      <c r="B454" s="50" t="s">
        <v>9175</v>
      </c>
      <c r="C454" s="50" t="s">
        <v>5414</v>
      </c>
      <c r="D454" s="17" t="s">
        <v>8912</v>
      </c>
    </row>
    <row r="455" spans="1:4" ht="18">
      <c r="A455" s="50" t="s">
        <v>5392</v>
      </c>
      <c r="B455" s="50" t="s">
        <v>9181</v>
      </c>
      <c r="C455" s="50" t="s">
        <v>5418</v>
      </c>
      <c r="D455" s="17" t="s">
        <v>8912</v>
      </c>
    </row>
    <row r="456" spans="1:4" ht="18">
      <c r="A456" s="50" t="s">
        <v>5392</v>
      </c>
      <c r="B456" s="50" t="s">
        <v>9181</v>
      </c>
      <c r="C456" s="50" t="s">
        <v>5418</v>
      </c>
      <c r="D456" s="17" t="s">
        <v>8912</v>
      </c>
    </row>
    <row r="457" spans="1:4" ht="18">
      <c r="A457" s="50" t="s">
        <v>5391</v>
      </c>
      <c r="B457" s="50" t="s">
        <v>9180</v>
      </c>
      <c r="C457" s="50" t="s">
        <v>5417</v>
      </c>
      <c r="D457" s="17" t="s">
        <v>8912</v>
      </c>
    </row>
    <row r="458" spans="1:4" ht="18">
      <c r="A458" s="50" t="s">
        <v>5384</v>
      </c>
      <c r="B458" s="50" t="s">
        <v>9173</v>
      </c>
      <c r="C458" s="50" t="s">
        <v>5412</v>
      </c>
      <c r="D458" s="17" t="s">
        <v>8912</v>
      </c>
    </row>
    <row r="459" spans="1:4" ht="18">
      <c r="A459" s="50" t="s">
        <v>5390</v>
      </c>
      <c r="B459" s="50" t="s">
        <v>9179</v>
      </c>
      <c r="C459" s="50" t="s">
        <v>5416</v>
      </c>
      <c r="D459" s="17" t="s">
        <v>8912</v>
      </c>
    </row>
    <row r="460" spans="1:4" ht="18">
      <c r="A460" s="50" t="s">
        <v>5393</v>
      </c>
      <c r="B460" s="50" t="s">
        <v>9182</v>
      </c>
      <c r="C460" s="50" t="s">
        <v>5414</v>
      </c>
      <c r="D460" s="17" t="s">
        <v>8912</v>
      </c>
    </row>
    <row r="461" spans="1:4" ht="18">
      <c r="A461" s="50" t="s">
        <v>5392</v>
      </c>
      <c r="B461" s="50" t="s">
        <v>9181</v>
      </c>
      <c r="C461" s="50" t="s">
        <v>5418</v>
      </c>
      <c r="D461" s="17" t="s">
        <v>8912</v>
      </c>
    </row>
    <row r="462" spans="1:4" ht="18">
      <c r="A462" s="50" t="s">
        <v>5393</v>
      </c>
      <c r="B462" s="50" t="s">
        <v>9182</v>
      </c>
      <c r="C462" s="50" t="s">
        <v>5414</v>
      </c>
      <c r="D462" s="17" t="s">
        <v>8912</v>
      </c>
    </row>
    <row r="463" spans="1:4" ht="18">
      <c r="A463" s="50" t="s">
        <v>5393</v>
      </c>
      <c r="B463" s="50" t="s">
        <v>9182</v>
      </c>
      <c r="C463" s="50" t="s">
        <v>5414</v>
      </c>
      <c r="D463" s="17" t="s">
        <v>8912</v>
      </c>
    </row>
    <row r="464" spans="1:4" ht="18">
      <c r="A464" s="50" t="s">
        <v>5394</v>
      </c>
      <c r="B464" s="50" t="s">
        <v>9183</v>
      </c>
      <c r="C464" s="50" t="s">
        <v>5415</v>
      </c>
      <c r="D464" s="17" t="s">
        <v>8912</v>
      </c>
    </row>
    <row r="465" spans="1:4" ht="18">
      <c r="A465" s="50" t="s">
        <v>5395</v>
      </c>
      <c r="B465" s="50" t="s">
        <v>9184</v>
      </c>
      <c r="C465" s="50" t="s">
        <v>5416</v>
      </c>
      <c r="D465" s="17" t="s">
        <v>8913</v>
      </c>
    </row>
    <row r="466" spans="1:4" ht="18">
      <c r="A466" s="50" t="s">
        <v>5396</v>
      </c>
      <c r="B466" s="50" t="s">
        <v>9185</v>
      </c>
      <c r="C466" s="50" t="s">
        <v>5419</v>
      </c>
      <c r="D466" s="17" t="s">
        <v>8912</v>
      </c>
    </row>
    <row r="467" spans="1:4" ht="18">
      <c r="A467" s="50" t="s">
        <v>5397</v>
      </c>
      <c r="B467" s="50" t="s">
        <v>9186</v>
      </c>
      <c r="C467" s="50" t="s">
        <v>5303</v>
      </c>
      <c r="D467" s="17" t="s">
        <v>8912</v>
      </c>
    </row>
    <row r="468" spans="1:4" ht="18">
      <c r="A468" s="50" t="s">
        <v>5397</v>
      </c>
      <c r="B468" s="50" t="s">
        <v>9186</v>
      </c>
      <c r="C468" s="50" t="s">
        <v>5303</v>
      </c>
      <c r="D468" s="17" t="s">
        <v>8912</v>
      </c>
    </row>
    <row r="469" spans="1:4" ht="18">
      <c r="A469" s="50" t="s">
        <v>5398</v>
      </c>
      <c r="B469" s="50" t="s">
        <v>9187</v>
      </c>
      <c r="C469" s="50" t="s">
        <v>5303</v>
      </c>
      <c r="D469" s="17" t="s">
        <v>8913</v>
      </c>
    </row>
    <row r="470" spans="1:4" ht="18">
      <c r="A470" s="50" t="s">
        <v>5399</v>
      </c>
      <c r="B470" s="50" t="s">
        <v>9188</v>
      </c>
      <c r="C470" s="50" t="s">
        <v>5287</v>
      </c>
      <c r="D470" s="17" t="s">
        <v>8912</v>
      </c>
    </row>
    <row r="471" spans="1:4" ht="18">
      <c r="A471" s="50" t="s">
        <v>5400</v>
      </c>
      <c r="B471" s="50" t="s">
        <v>9189</v>
      </c>
      <c r="C471" s="50" t="s">
        <v>5420</v>
      </c>
      <c r="D471" s="17" t="s">
        <v>8912</v>
      </c>
    </row>
    <row r="472" spans="1:4" ht="18">
      <c r="A472" s="50" t="s">
        <v>5399</v>
      </c>
      <c r="B472" s="50" t="s">
        <v>9188</v>
      </c>
      <c r="C472" s="50" t="s">
        <v>5287</v>
      </c>
      <c r="D472" s="17" t="s">
        <v>8912</v>
      </c>
    </row>
    <row r="473" spans="1:4" ht="18">
      <c r="A473" s="50" t="s">
        <v>5400</v>
      </c>
      <c r="B473" s="50" t="s">
        <v>9189</v>
      </c>
      <c r="C473" s="50" t="s">
        <v>5420</v>
      </c>
      <c r="D473" s="17" t="s">
        <v>8912</v>
      </c>
    </row>
    <row r="474" spans="1:4" ht="18">
      <c r="A474" s="50" t="s">
        <v>5396</v>
      </c>
      <c r="B474" s="50" t="s">
        <v>9185</v>
      </c>
      <c r="C474" s="50" t="s">
        <v>5419</v>
      </c>
      <c r="D474" s="17" t="s">
        <v>8912</v>
      </c>
    </row>
    <row r="475" spans="1:4" ht="18">
      <c r="A475" s="50" t="s">
        <v>5396</v>
      </c>
      <c r="B475" s="50" t="s">
        <v>9185</v>
      </c>
      <c r="C475" s="50" t="s">
        <v>5419</v>
      </c>
      <c r="D475" s="17" t="s">
        <v>8912</v>
      </c>
    </row>
    <row r="476" spans="1:4" ht="18">
      <c r="A476" s="50" t="s">
        <v>5401</v>
      </c>
      <c r="B476" s="50" t="s">
        <v>9190</v>
      </c>
      <c r="C476" s="50" t="s">
        <v>5415</v>
      </c>
      <c r="D476" s="17" t="s">
        <v>8912</v>
      </c>
    </row>
    <row r="477" spans="1:4" ht="18">
      <c r="A477" s="50" t="s">
        <v>5400</v>
      </c>
      <c r="B477" s="50" t="s">
        <v>9189</v>
      </c>
      <c r="C477" s="50" t="s">
        <v>5420</v>
      </c>
      <c r="D477" s="17" t="s">
        <v>8912</v>
      </c>
    </row>
    <row r="478" spans="1:4" ht="18">
      <c r="A478" s="50" t="s">
        <v>5402</v>
      </c>
      <c r="B478" s="50" t="s">
        <v>9191</v>
      </c>
      <c r="C478" s="50" t="s">
        <v>5287</v>
      </c>
      <c r="D478" s="17" t="s">
        <v>8912</v>
      </c>
    </row>
    <row r="479" spans="1:4" ht="18">
      <c r="A479" s="50" t="s">
        <v>5403</v>
      </c>
      <c r="B479" s="50" t="s">
        <v>9192</v>
      </c>
      <c r="C479" s="50" t="s">
        <v>5417</v>
      </c>
      <c r="D479" s="17" t="s">
        <v>8913</v>
      </c>
    </row>
    <row r="480" spans="1:4" ht="18">
      <c r="A480" s="50" t="s">
        <v>5404</v>
      </c>
      <c r="B480" s="50" t="s">
        <v>9193</v>
      </c>
      <c r="C480" s="50" t="s">
        <v>5380</v>
      </c>
      <c r="D480" s="17" t="s">
        <v>8912</v>
      </c>
    </row>
    <row r="481" spans="1:4" ht="18">
      <c r="A481" s="50" t="s">
        <v>5405</v>
      </c>
      <c r="B481" s="50" t="s">
        <v>9194</v>
      </c>
      <c r="C481" s="50" t="s">
        <v>5416</v>
      </c>
      <c r="D481" s="17" t="s">
        <v>8912</v>
      </c>
    </row>
    <row r="482" spans="1:4" ht="18">
      <c r="A482" s="50" t="s">
        <v>5406</v>
      </c>
      <c r="B482" s="50" t="s">
        <v>9195</v>
      </c>
      <c r="C482" s="50" t="s">
        <v>5331</v>
      </c>
      <c r="D482" s="17" t="s">
        <v>8912</v>
      </c>
    </row>
    <row r="483" spans="1:4" ht="18">
      <c r="A483" s="50" t="s">
        <v>5407</v>
      </c>
      <c r="B483" s="50" t="s">
        <v>9196</v>
      </c>
      <c r="C483" s="50" t="s">
        <v>5331</v>
      </c>
      <c r="D483" s="17" t="s">
        <v>8913</v>
      </c>
    </row>
    <row r="484" spans="1:4" ht="18">
      <c r="A484" s="50" t="s">
        <v>5405</v>
      </c>
      <c r="B484" s="50" t="s">
        <v>9194</v>
      </c>
      <c r="C484" s="50" t="s">
        <v>5416</v>
      </c>
      <c r="D484" s="17" t="s">
        <v>8912</v>
      </c>
    </row>
    <row r="485" spans="1:4" ht="18">
      <c r="A485" s="50" t="s">
        <v>5408</v>
      </c>
      <c r="B485" s="50" t="s">
        <v>9197</v>
      </c>
      <c r="C485" s="50" t="s">
        <v>5412</v>
      </c>
      <c r="D485" s="17" t="s">
        <v>8912</v>
      </c>
    </row>
    <row r="486" spans="1:4" ht="18">
      <c r="A486" s="50" t="s">
        <v>5409</v>
      </c>
      <c r="B486" s="50" t="s">
        <v>9198</v>
      </c>
      <c r="C486" s="50" t="s">
        <v>5418</v>
      </c>
      <c r="D486" s="17" t="s">
        <v>8913</v>
      </c>
    </row>
    <row r="487" spans="1:4" ht="18">
      <c r="A487" s="50" t="s">
        <v>5410</v>
      </c>
      <c r="B487" s="50" t="s">
        <v>9199</v>
      </c>
      <c r="C487" s="50" t="s">
        <v>5419</v>
      </c>
      <c r="D487" s="17" t="s">
        <v>8913</v>
      </c>
    </row>
    <row r="488" spans="1:4" ht="18">
      <c r="A488" s="50" t="s">
        <v>5407</v>
      </c>
      <c r="B488" s="50" t="s">
        <v>9196</v>
      </c>
      <c r="C488" s="50" t="s">
        <v>5331</v>
      </c>
      <c r="D488" s="17" t="s">
        <v>8913</v>
      </c>
    </row>
    <row r="489" spans="1:4" ht="18">
      <c r="A489" s="50" t="s">
        <v>5405</v>
      </c>
      <c r="B489" s="50" t="s">
        <v>9194</v>
      </c>
      <c r="C489" s="50" t="s">
        <v>5416</v>
      </c>
      <c r="D489" s="17" t="s">
        <v>8912</v>
      </c>
    </row>
    <row r="490" spans="1:4" ht="18">
      <c r="A490" s="50" t="s">
        <v>5404</v>
      </c>
      <c r="B490" s="50" t="s">
        <v>9193</v>
      </c>
      <c r="C490" s="50" t="s">
        <v>5380</v>
      </c>
      <c r="D490" s="17" t="s">
        <v>8912</v>
      </c>
    </row>
    <row r="491" spans="1:4" ht="18">
      <c r="A491" s="50" t="s">
        <v>5406</v>
      </c>
      <c r="B491" s="50" t="s">
        <v>9195</v>
      </c>
      <c r="C491" s="50" t="s">
        <v>5331</v>
      </c>
      <c r="D491" s="17" t="s">
        <v>8912</v>
      </c>
    </row>
    <row r="492" spans="1:4" ht="18">
      <c r="A492" s="50" t="s">
        <v>5406</v>
      </c>
      <c r="B492" s="50" t="s">
        <v>9195</v>
      </c>
      <c r="C492" s="50" t="s">
        <v>5331</v>
      </c>
      <c r="D492" s="17" t="s">
        <v>8912</v>
      </c>
    </row>
    <row r="493" spans="1:4" ht="18">
      <c r="A493" s="50" t="s">
        <v>5407</v>
      </c>
      <c r="B493" s="50" t="s">
        <v>9196</v>
      </c>
      <c r="C493" s="50" t="s">
        <v>5331</v>
      </c>
      <c r="D493" s="17" t="s">
        <v>8913</v>
      </c>
    </row>
    <row r="494" spans="1:4" ht="18">
      <c r="A494" s="50" t="s">
        <v>5411</v>
      </c>
      <c r="B494" s="50" t="s">
        <v>9200</v>
      </c>
      <c r="C494" s="50" t="s">
        <v>5418</v>
      </c>
      <c r="D494" s="17" t="s">
        <v>8912</v>
      </c>
    </row>
    <row r="495" spans="1:4" ht="18">
      <c r="A495" s="50" t="s">
        <v>5411</v>
      </c>
      <c r="B495" s="50" t="s">
        <v>9200</v>
      </c>
      <c r="C495" s="50" t="s">
        <v>5418</v>
      </c>
      <c r="D495" s="17" t="s">
        <v>8912</v>
      </c>
    </row>
    <row r="496" spans="1:4" ht="18">
      <c r="A496" s="50" t="str">
        <f>"50100-8801829"</f>
        <v>50100-8801829</v>
      </c>
      <c r="B496" s="50" t="s">
        <v>9201</v>
      </c>
      <c r="C496" s="50" t="str">
        <f>"96/03/21"</f>
        <v>96/03/21</v>
      </c>
      <c r="D496" s="17" t="s">
        <v>8912</v>
      </c>
    </row>
    <row r="497" spans="1:4" ht="18">
      <c r="A497" s="50" t="str">
        <f>"50100-8844703"</f>
        <v>50100-8844703</v>
      </c>
      <c r="B497" s="50" t="s">
        <v>9202</v>
      </c>
      <c r="C497" s="50" t="str">
        <f>"96/03/30"</f>
        <v>96/03/30</v>
      </c>
      <c r="D497" s="17" t="s">
        <v>8912</v>
      </c>
    </row>
    <row r="498" spans="1:4" ht="18">
      <c r="A498" s="50" t="str">
        <f>"50100-8827843"</f>
        <v>50100-8827843</v>
      </c>
      <c r="B498" s="50" t="s">
        <v>9203</v>
      </c>
      <c r="C498" s="50" t="str">
        <f>"96/03/27"</f>
        <v>96/03/27</v>
      </c>
      <c r="D498" s="17" t="s">
        <v>8912</v>
      </c>
    </row>
    <row r="499" spans="1:4" ht="18">
      <c r="A499" s="50" t="str">
        <f>"50100-8827843"</f>
        <v>50100-8827843</v>
      </c>
      <c r="B499" s="50" t="s">
        <v>9203</v>
      </c>
      <c r="C499" s="50" t="str">
        <f>"96/03/27"</f>
        <v>96/03/27</v>
      </c>
      <c r="D499" s="17" t="s">
        <v>8912</v>
      </c>
    </row>
    <row r="500" spans="1:4" ht="18">
      <c r="A500" s="50" t="str">
        <f>"50100-8827485"</f>
        <v>50100-8827485</v>
      </c>
      <c r="B500" s="50" t="s">
        <v>9204</v>
      </c>
      <c r="C500" s="50" t="str">
        <f>"96/03/27"</f>
        <v>96/03/27</v>
      </c>
      <c r="D500" s="17" t="s">
        <v>8912</v>
      </c>
    </row>
    <row r="501" spans="1:4" ht="18">
      <c r="A501" s="50" t="str">
        <f>"50100-8815951"</f>
        <v>50100-8815951</v>
      </c>
      <c r="B501" s="50" t="s">
        <v>9205</v>
      </c>
      <c r="C501" s="50" t="str">
        <f>"96/03/23"</f>
        <v>96/03/23</v>
      </c>
      <c r="D501" s="17" t="s">
        <v>8912</v>
      </c>
    </row>
    <row r="502" spans="1:4" ht="18">
      <c r="A502" s="50" t="str">
        <f>"50100-8840292"</f>
        <v>50100-8840292</v>
      </c>
      <c r="B502" s="50" t="s">
        <v>9206</v>
      </c>
      <c r="C502" s="50" t="str">
        <f>"96/03/29"</f>
        <v>96/03/29</v>
      </c>
      <c r="D502" s="17" t="s">
        <v>8912</v>
      </c>
    </row>
    <row r="503" spans="1:4" ht="18">
      <c r="A503" s="50" t="str">
        <f>"50100-8777161"</f>
        <v>50100-8777161</v>
      </c>
      <c r="B503" s="50" t="s">
        <v>9207</v>
      </c>
      <c r="C503" s="50" t="str">
        <f>"96/03/16"</f>
        <v>96/03/16</v>
      </c>
      <c r="D503" s="17" t="s">
        <v>8912</v>
      </c>
    </row>
    <row r="504" spans="1:4" ht="18">
      <c r="A504" s="50" t="str">
        <f>"50100-8777161"</f>
        <v>50100-8777161</v>
      </c>
      <c r="B504" s="50" t="s">
        <v>9207</v>
      </c>
      <c r="C504" s="50" t="str">
        <f>"96/03/16"</f>
        <v>96/03/16</v>
      </c>
      <c r="D504" s="17" t="s">
        <v>8912</v>
      </c>
    </row>
    <row r="505" spans="1:4" ht="18">
      <c r="A505" s="50" t="str">
        <f>"50100-8778024"</f>
        <v>50100-8778024</v>
      </c>
      <c r="B505" s="50" t="s">
        <v>9208</v>
      </c>
      <c r="C505" s="50" t="str">
        <f>"96/03/16"</f>
        <v>96/03/16</v>
      </c>
      <c r="D505" s="17" t="s">
        <v>8912</v>
      </c>
    </row>
    <row r="506" spans="1:4" ht="18">
      <c r="A506" s="50" t="str">
        <f>"50100-8791761"</f>
        <v>50100-8791761</v>
      </c>
      <c r="B506" s="50" t="s">
        <v>9209</v>
      </c>
      <c r="C506" s="50" t="str">
        <f>"96/03/18"</f>
        <v>96/03/18</v>
      </c>
      <c r="D506" s="17" t="s">
        <v>8913</v>
      </c>
    </row>
    <row r="507" spans="1:4" ht="18">
      <c r="A507" s="50" t="str">
        <f>"50100-8840472"</f>
        <v>50100-8840472</v>
      </c>
      <c r="B507" s="50" t="s">
        <v>9210</v>
      </c>
      <c r="C507" s="50" t="str">
        <f>"96/03/29"</f>
        <v>96/03/29</v>
      </c>
      <c r="D507" s="17" t="s">
        <v>8912</v>
      </c>
    </row>
    <row r="508" spans="1:4" ht="18">
      <c r="A508" s="50" t="str">
        <f>"50100-8870942"</f>
        <v>50100-8870942</v>
      </c>
      <c r="B508" s="50" t="s">
        <v>9211</v>
      </c>
      <c r="C508" s="50" t="str">
        <f>"96/04/07"</f>
        <v>96/04/07</v>
      </c>
      <c r="D508" s="17" t="s">
        <v>8912</v>
      </c>
    </row>
    <row r="509" spans="1:4" ht="18">
      <c r="A509" s="50" t="str">
        <f>"50100-8857109"</f>
        <v>50100-8857109</v>
      </c>
      <c r="B509" s="50" t="s">
        <v>9212</v>
      </c>
      <c r="C509" s="50" t="str">
        <f>"96/04/03"</f>
        <v>96/04/03</v>
      </c>
      <c r="D509" s="17" t="s">
        <v>8913</v>
      </c>
    </row>
    <row r="510" spans="1:4" ht="18">
      <c r="A510" s="50" t="str">
        <f>"50100-8882948"</f>
        <v>50100-8882948</v>
      </c>
      <c r="B510" s="50" t="s">
        <v>9213</v>
      </c>
      <c r="C510" s="50" t="str">
        <f>"96/04/10"</f>
        <v>96/04/10</v>
      </c>
      <c r="D510" s="17" t="s">
        <v>8912</v>
      </c>
    </row>
    <row r="511" spans="1:4" ht="18">
      <c r="A511" s="50" t="str">
        <f>"50100-8882948"</f>
        <v>50100-8882948</v>
      </c>
      <c r="B511" s="50" t="s">
        <v>9213</v>
      </c>
      <c r="C511" s="50" t="str">
        <f>"96/04/10"</f>
        <v>96/04/10</v>
      </c>
      <c r="D511" s="17" t="s">
        <v>8912</v>
      </c>
    </row>
    <row r="512" spans="1:4" ht="18">
      <c r="A512" s="50" t="str">
        <f>"50100-8857358"</f>
        <v>50100-8857358</v>
      </c>
      <c r="B512" s="50" t="s">
        <v>9214</v>
      </c>
      <c r="C512" s="50" t="str">
        <f>"96/04/03"</f>
        <v>96/04/03</v>
      </c>
      <c r="D512" s="17" t="s">
        <v>8913</v>
      </c>
    </row>
    <row r="513" spans="1:4" ht="18">
      <c r="A513" s="50" t="str">
        <f>"50100-8872712"</f>
        <v>50100-8872712</v>
      </c>
      <c r="B513" s="50" t="s">
        <v>9215</v>
      </c>
      <c r="C513" s="50" t="str">
        <f>"96/04/07"</f>
        <v>96/04/07</v>
      </c>
      <c r="D513" s="17" t="s">
        <v>8913</v>
      </c>
    </row>
    <row r="514" spans="1:4" ht="18">
      <c r="A514" s="50" t="str">
        <f>"50100-8872627"</f>
        <v>50100-8872627</v>
      </c>
      <c r="B514" s="50" t="s">
        <v>9216</v>
      </c>
      <c r="C514" s="50" t="str">
        <f>"96/04/07"</f>
        <v>96/04/07</v>
      </c>
      <c r="D514" s="17" t="s">
        <v>8913</v>
      </c>
    </row>
    <row r="515" spans="1:4" ht="18">
      <c r="A515" s="50" t="str">
        <f>"50100-8861708"</f>
        <v>50100-8861708</v>
      </c>
      <c r="B515" s="50" t="s">
        <v>9217</v>
      </c>
      <c r="C515" s="50" t="str">
        <f>"96/04/03"</f>
        <v>96/04/03</v>
      </c>
      <c r="D515" s="17" t="s">
        <v>8912</v>
      </c>
    </row>
    <row r="516" spans="1:4" ht="18">
      <c r="A516" s="50" t="str">
        <f>"50100-8906060"</f>
        <v>50100-8906060</v>
      </c>
      <c r="B516" s="50" t="s">
        <v>9218</v>
      </c>
      <c r="C516" s="50" t="str">
        <f>"96/04/14"</f>
        <v>96/04/14</v>
      </c>
      <c r="D516" s="17" t="s">
        <v>8912</v>
      </c>
    </row>
    <row r="517" spans="1:4" ht="18">
      <c r="A517" s="50" t="str">
        <f>"50100-8905251"</f>
        <v>50100-8905251</v>
      </c>
      <c r="B517" s="50" t="s">
        <v>9219</v>
      </c>
      <c r="C517" s="50" t="str">
        <f>"96/04/14"</f>
        <v>96/04/14</v>
      </c>
      <c r="D517" s="17" t="s">
        <v>8913</v>
      </c>
    </row>
    <row r="518" spans="1:4" ht="18">
      <c r="A518" s="50" t="str">
        <f>"50100-8872627"</f>
        <v>50100-8872627</v>
      </c>
      <c r="B518" s="50" t="s">
        <v>9216</v>
      </c>
      <c r="C518" s="50" t="str">
        <f>"96/04/07"</f>
        <v>96/04/07</v>
      </c>
      <c r="D518" s="17" t="s">
        <v>8913</v>
      </c>
    </row>
    <row r="519" spans="1:4" ht="18">
      <c r="A519" s="50" t="s">
        <v>5465</v>
      </c>
      <c r="B519" s="50" t="s">
        <v>9220</v>
      </c>
      <c r="C519" s="50" t="s">
        <v>5478</v>
      </c>
      <c r="D519" s="17" t="s">
        <v>8913</v>
      </c>
    </row>
    <row r="520" spans="1:4" ht="18">
      <c r="A520" s="50" t="s">
        <v>5466</v>
      </c>
      <c r="B520" s="50" t="s">
        <v>9221</v>
      </c>
      <c r="C520" s="50" t="s">
        <v>5479</v>
      </c>
      <c r="D520" s="17" t="s">
        <v>8912</v>
      </c>
    </row>
    <row r="521" spans="1:4" ht="18">
      <c r="A521" s="50" t="s">
        <v>5467</v>
      </c>
      <c r="B521" s="50" t="s">
        <v>9222</v>
      </c>
      <c r="C521" s="50" t="s">
        <v>5480</v>
      </c>
      <c r="D521" s="17" t="s">
        <v>8912</v>
      </c>
    </row>
    <row r="522" spans="1:4" ht="18">
      <c r="A522" s="50" t="s">
        <v>5468</v>
      </c>
      <c r="B522" s="50" t="s">
        <v>9223</v>
      </c>
      <c r="C522" s="50" t="s">
        <v>5481</v>
      </c>
      <c r="D522" s="17" t="s">
        <v>8913</v>
      </c>
    </row>
    <row r="523" spans="1:4" ht="18">
      <c r="A523" s="50" t="s">
        <v>5468</v>
      </c>
      <c r="B523" s="50" t="s">
        <v>9223</v>
      </c>
      <c r="C523" s="50" t="s">
        <v>5481</v>
      </c>
      <c r="D523" s="17" t="s">
        <v>8913</v>
      </c>
    </row>
    <row r="524" spans="1:4" ht="18">
      <c r="A524" s="50" t="s">
        <v>5469</v>
      </c>
      <c r="B524" s="50" t="s">
        <v>9224</v>
      </c>
      <c r="C524" s="50" t="s">
        <v>5482</v>
      </c>
      <c r="D524" s="17" t="s">
        <v>8912</v>
      </c>
    </row>
    <row r="525" spans="1:4" ht="18">
      <c r="A525" s="50" t="s">
        <v>5470</v>
      </c>
      <c r="B525" s="50" t="s">
        <v>9225</v>
      </c>
      <c r="C525" s="50" t="s">
        <v>5460</v>
      </c>
      <c r="D525" s="17" t="s">
        <v>8912</v>
      </c>
    </row>
    <row r="526" spans="1:4" ht="18">
      <c r="A526" s="50" t="s">
        <v>5471</v>
      </c>
      <c r="B526" s="50" t="s">
        <v>9226</v>
      </c>
      <c r="C526" s="50" t="s">
        <v>5478</v>
      </c>
      <c r="D526" s="17" t="s">
        <v>8913</v>
      </c>
    </row>
    <row r="527" spans="1:4" ht="18">
      <c r="A527" s="50" t="s">
        <v>5472</v>
      </c>
      <c r="B527" s="50" t="s">
        <v>9227</v>
      </c>
      <c r="C527" s="50" t="s">
        <v>5483</v>
      </c>
      <c r="D527" s="17" t="s">
        <v>8912</v>
      </c>
    </row>
    <row r="528" spans="1:4" ht="18">
      <c r="A528" s="50" t="s">
        <v>5473</v>
      </c>
      <c r="B528" s="50" t="s">
        <v>9228</v>
      </c>
      <c r="C528" s="50" t="s">
        <v>5478</v>
      </c>
      <c r="D528" s="17" t="s">
        <v>8913</v>
      </c>
    </row>
    <row r="529" spans="1:4" ht="18">
      <c r="A529" s="50" t="s">
        <v>5467</v>
      </c>
      <c r="B529" s="50" t="s">
        <v>9222</v>
      </c>
      <c r="C529" s="50" t="s">
        <v>5480</v>
      </c>
      <c r="D529" s="17" t="s">
        <v>8912</v>
      </c>
    </row>
    <row r="530" spans="1:4" ht="18">
      <c r="A530" s="50" t="s">
        <v>5467</v>
      </c>
      <c r="B530" s="50" t="s">
        <v>9222</v>
      </c>
      <c r="C530" s="50" t="s">
        <v>5480</v>
      </c>
      <c r="D530" s="17" t="s">
        <v>8912</v>
      </c>
    </row>
    <row r="531" spans="1:4" ht="18">
      <c r="A531" s="50" t="s">
        <v>5474</v>
      </c>
      <c r="B531" s="50" t="s">
        <v>9229</v>
      </c>
      <c r="C531" s="50" t="s">
        <v>5460</v>
      </c>
      <c r="D531" s="17" t="s">
        <v>8913</v>
      </c>
    </row>
    <row r="532" spans="1:4" ht="18">
      <c r="A532" s="50" t="s">
        <v>5475</v>
      </c>
      <c r="B532" s="50" t="s">
        <v>9230</v>
      </c>
      <c r="C532" s="50" t="s">
        <v>5481</v>
      </c>
      <c r="D532" s="17" t="s">
        <v>8912</v>
      </c>
    </row>
    <row r="533" spans="1:4" ht="18">
      <c r="A533" s="50" t="s">
        <v>5476</v>
      </c>
      <c r="B533" s="50" t="s">
        <v>9231</v>
      </c>
      <c r="C533" s="50" t="s">
        <v>5481</v>
      </c>
      <c r="D533" s="17" t="s">
        <v>8913</v>
      </c>
    </row>
    <row r="534" spans="1:4" ht="18">
      <c r="A534" s="50" t="s">
        <v>5477</v>
      </c>
      <c r="B534" s="50" t="s">
        <v>9232</v>
      </c>
      <c r="C534" s="50" t="s">
        <v>5479</v>
      </c>
      <c r="D534" s="17" t="s">
        <v>8913</v>
      </c>
    </row>
    <row r="535" spans="1:4" ht="18">
      <c r="A535" s="50" t="s">
        <v>5498</v>
      </c>
      <c r="B535" s="50" t="s">
        <v>9233</v>
      </c>
      <c r="C535" s="50" t="s">
        <v>5480</v>
      </c>
      <c r="D535" s="17" t="s">
        <v>8913</v>
      </c>
    </row>
    <row r="536" spans="1:4" ht="18">
      <c r="A536" s="50" t="s">
        <v>5499</v>
      </c>
      <c r="B536" s="50" t="s">
        <v>9234</v>
      </c>
      <c r="C536" s="50" t="s">
        <v>5480</v>
      </c>
      <c r="D536" s="17" t="s">
        <v>8913</v>
      </c>
    </row>
    <row r="537" spans="1:4" ht="18">
      <c r="A537" s="50" t="s">
        <v>5500</v>
      </c>
      <c r="B537" s="50" t="s">
        <v>9235</v>
      </c>
      <c r="C537" s="50" t="s">
        <v>5555</v>
      </c>
      <c r="D537" s="17" t="s">
        <v>8913</v>
      </c>
    </row>
    <row r="538" spans="1:4" ht="18">
      <c r="A538" s="50" t="s">
        <v>5498</v>
      </c>
      <c r="B538" s="50" t="s">
        <v>9233</v>
      </c>
      <c r="C538" s="50" t="s">
        <v>5480</v>
      </c>
      <c r="D538" s="17" t="s">
        <v>8913</v>
      </c>
    </row>
    <row r="539" spans="1:4" ht="18">
      <c r="A539" s="50" t="s">
        <v>5501</v>
      </c>
      <c r="B539" s="50" t="s">
        <v>9236</v>
      </c>
      <c r="C539" s="50" t="s">
        <v>5481</v>
      </c>
      <c r="D539" s="17" t="s">
        <v>8913</v>
      </c>
    </row>
    <row r="540" spans="1:4" ht="18">
      <c r="A540" s="50" t="s">
        <v>5501</v>
      </c>
      <c r="B540" s="50" t="s">
        <v>9236</v>
      </c>
      <c r="C540" s="50" t="s">
        <v>5481</v>
      </c>
      <c r="D540" s="17" t="s">
        <v>8913</v>
      </c>
    </row>
    <row r="541" spans="1:4" ht="18">
      <c r="A541" s="50" t="s">
        <v>5502</v>
      </c>
      <c r="B541" s="50" t="s">
        <v>9237</v>
      </c>
      <c r="C541" s="50" t="s">
        <v>5556</v>
      </c>
      <c r="D541" s="17" t="s">
        <v>8913</v>
      </c>
    </row>
    <row r="542" spans="1:4" ht="18">
      <c r="A542" s="50" t="s">
        <v>5503</v>
      </c>
      <c r="B542" s="50" t="s">
        <v>9238</v>
      </c>
      <c r="C542" s="50" t="s">
        <v>5459</v>
      </c>
      <c r="D542" s="17" t="s">
        <v>8913</v>
      </c>
    </row>
    <row r="543" spans="1:4" ht="18">
      <c r="A543" s="50" t="s">
        <v>5504</v>
      </c>
      <c r="B543" s="50" t="s">
        <v>9239</v>
      </c>
      <c r="C543" s="50" t="s">
        <v>5557</v>
      </c>
      <c r="D543" s="17" t="s">
        <v>8913</v>
      </c>
    </row>
    <row r="544" spans="1:4" ht="18">
      <c r="A544" s="50" t="s">
        <v>5501</v>
      </c>
      <c r="B544" s="50" t="s">
        <v>9236</v>
      </c>
      <c r="C544" s="50" t="s">
        <v>5481</v>
      </c>
      <c r="D544" s="17" t="s">
        <v>8913</v>
      </c>
    </row>
    <row r="545" spans="1:4" ht="18">
      <c r="A545" s="50" t="s">
        <v>5505</v>
      </c>
      <c r="B545" s="50" t="s">
        <v>9240</v>
      </c>
      <c r="C545" s="50" t="s">
        <v>5558</v>
      </c>
      <c r="D545" s="17" t="s">
        <v>8913</v>
      </c>
    </row>
    <row r="546" spans="1:4" ht="18">
      <c r="A546" s="50" t="s">
        <v>5506</v>
      </c>
      <c r="B546" s="50" t="s">
        <v>9241</v>
      </c>
      <c r="C546" s="50" t="s">
        <v>5460</v>
      </c>
      <c r="D546" s="17" t="s">
        <v>8912</v>
      </c>
    </row>
    <row r="547" spans="1:4" ht="18">
      <c r="A547" s="50" t="s">
        <v>5507</v>
      </c>
      <c r="B547" s="50" t="s">
        <v>9242</v>
      </c>
      <c r="C547" s="50" t="s">
        <v>5478</v>
      </c>
      <c r="D547" s="17" t="s">
        <v>8913</v>
      </c>
    </row>
    <row r="548" spans="1:4" ht="18">
      <c r="A548" s="50" t="s">
        <v>5508</v>
      </c>
      <c r="B548" s="50" t="s">
        <v>9243</v>
      </c>
      <c r="C548" s="50" t="s">
        <v>5559</v>
      </c>
      <c r="D548" s="17" t="s">
        <v>8912</v>
      </c>
    </row>
    <row r="549" spans="1:4" ht="18">
      <c r="A549" s="50" t="s">
        <v>5507</v>
      </c>
      <c r="B549" s="50" t="s">
        <v>9242</v>
      </c>
      <c r="C549" s="50" t="s">
        <v>5478</v>
      </c>
      <c r="D549" s="17" t="s">
        <v>8913</v>
      </c>
    </row>
    <row r="550" spans="1:4" ht="18">
      <c r="A550" s="50" t="s">
        <v>5509</v>
      </c>
      <c r="B550" s="50" t="s">
        <v>9244</v>
      </c>
      <c r="C550" s="50" t="s">
        <v>5560</v>
      </c>
      <c r="D550" s="17" t="s">
        <v>8912</v>
      </c>
    </row>
    <row r="551" spans="1:4" ht="18">
      <c r="A551" s="50" t="s">
        <v>5510</v>
      </c>
      <c r="B551" s="50" t="s">
        <v>9245</v>
      </c>
      <c r="C551" s="50" t="s">
        <v>5559</v>
      </c>
      <c r="D551" s="17" t="s">
        <v>8913</v>
      </c>
    </row>
    <row r="552" spans="1:4" ht="18">
      <c r="A552" s="50" t="s">
        <v>5511</v>
      </c>
      <c r="B552" s="50" t="s">
        <v>9246</v>
      </c>
      <c r="C552" s="50" t="s">
        <v>5561</v>
      </c>
      <c r="D552" s="17" t="s">
        <v>8913</v>
      </c>
    </row>
    <row r="553" spans="1:4" ht="18">
      <c r="A553" s="50" t="s">
        <v>5511</v>
      </c>
      <c r="B553" s="50" t="s">
        <v>9246</v>
      </c>
      <c r="C553" s="50" t="s">
        <v>5561</v>
      </c>
      <c r="D553" s="17" t="s">
        <v>8913</v>
      </c>
    </row>
    <row r="554" spans="1:4" ht="18">
      <c r="A554" s="50" t="s">
        <v>5512</v>
      </c>
      <c r="B554" s="50" t="s">
        <v>9247</v>
      </c>
      <c r="C554" s="50" t="s">
        <v>5559</v>
      </c>
      <c r="D554" s="17" t="s">
        <v>8912</v>
      </c>
    </row>
    <row r="555" spans="1:4" ht="18">
      <c r="A555" s="50" t="s">
        <v>5508</v>
      </c>
      <c r="B555" s="50" t="s">
        <v>9243</v>
      </c>
      <c r="C555" s="50" t="s">
        <v>5559</v>
      </c>
      <c r="D555" s="17" t="s">
        <v>8912</v>
      </c>
    </row>
    <row r="556" spans="1:4" ht="18">
      <c r="A556" s="50" t="s">
        <v>5513</v>
      </c>
      <c r="B556" s="50" t="s">
        <v>9248</v>
      </c>
      <c r="C556" s="50" t="s">
        <v>5562</v>
      </c>
      <c r="D556" s="17" t="s">
        <v>8912</v>
      </c>
    </row>
    <row r="557" spans="1:4" ht="18">
      <c r="A557" s="50" t="s">
        <v>5510</v>
      </c>
      <c r="B557" s="50" t="s">
        <v>9245</v>
      </c>
      <c r="C557" s="50" t="s">
        <v>5559</v>
      </c>
      <c r="D557" s="17" t="s">
        <v>8913</v>
      </c>
    </row>
    <row r="558" spans="1:4" ht="18">
      <c r="A558" s="50" t="s">
        <v>5514</v>
      </c>
      <c r="B558" s="50" t="s">
        <v>9249</v>
      </c>
      <c r="C558" s="50" t="s">
        <v>5478</v>
      </c>
      <c r="D558" s="17" t="s">
        <v>8912</v>
      </c>
    </row>
    <row r="559" spans="1:4" ht="18">
      <c r="A559" s="50" t="s">
        <v>5514</v>
      </c>
      <c r="B559" s="50" t="s">
        <v>9249</v>
      </c>
      <c r="C559" s="50" t="s">
        <v>5478</v>
      </c>
      <c r="D559" s="17" t="s">
        <v>8912</v>
      </c>
    </row>
    <row r="560" spans="1:4" ht="18">
      <c r="A560" s="50" t="s">
        <v>5515</v>
      </c>
      <c r="B560" s="50" t="s">
        <v>9250</v>
      </c>
      <c r="C560" s="50" t="s">
        <v>5560</v>
      </c>
      <c r="D560" s="17" t="s">
        <v>8912</v>
      </c>
    </row>
    <row r="561" spans="1:4" ht="18">
      <c r="A561" s="50" t="s">
        <v>5515</v>
      </c>
      <c r="B561" s="50" t="s">
        <v>9250</v>
      </c>
      <c r="C561" s="50" t="s">
        <v>5560</v>
      </c>
      <c r="D561" s="17" t="s">
        <v>8912</v>
      </c>
    </row>
    <row r="562" spans="1:4" ht="18">
      <c r="A562" s="50" t="s">
        <v>5516</v>
      </c>
      <c r="B562" s="50" t="s">
        <v>9251</v>
      </c>
      <c r="C562" s="50" t="s">
        <v>5483</v>
      </c>
      <c r="D562" s="17" t="s">
        <v>8912</v>
      </c>
    </row>
    <row r="563" spans="1:4" ht="18">
      <c r="A563" s="50" t="s">
        <v>5511</v>
      </c>
      <c r="B563" s="50" t="s">
        <v>9246</v>
      </c>
      <c r="C563" s="50" t="s">
        <v>5561</v>
      </c>
      <c r="D563" s="17" t="s">
        <v>8913</v>
      </c>
    </row>
    <row r="564" spans="1:4" ht="18">
      <c r="A564" s="50" t="s">
        <v>5517</v>
      </c>
      <c r="B564" s="50" t="s">
        <v>9252</v>
      </c>
      <c r="C564" s="50" t="s">
        <v>5563</v>
      </c>
      <c r="D564" s="17" t="s">
        <v>8912</v>
      </c>
    </row>
    <row r="565" spans="1:4" ht="18">
      <c r="A565" s="50" t="s">
        <v>5510</v>
      </c>
      <c r="B565" s="50" t="s">
        <v>9245</v>
      </c>
      <c r="C565" s="50" t="s">
        <v>5559</v>
      </c>
      <c r="D565" s="17" t="s">
        <v>8913</v>
      </c>
    </row>
    <row r="566" spans="1:4" ht="18">
      <c r="A566" s="50" t="s">
        <v>5511</v>
      </c>
      <c r="B566" s="50" t="s">
        <v>9246</v>
      </c>
      <c r="C566" s="50" t="s">
        <v>5561</v>
      </c>
      <c r="D566" s="17" t="s">
        <v>8913</v>
      </c>
    </row>
    <row r="567" spans="1:4" ht="18">
      <c r="A567" s="50" t="s">
        <v>5511</v>
      </c>
      <c r="B567" s="50" t="s">
        <v>9246</v>
      </c>
      <c r="C567" s="50" t="s">
        <v>5561</v>
      </c>
      <c r="D567" s="17" t="s">
        <v>8913</v>
      </c>
    </row>
    <row r="568" spans="1:4" ht="18">
      <c r="A568" s="50" t="s">
        <v>5518</v>
      </c>
      <c r="B568" s="50" t="s">
        <v>9253</v>
      </c>
      <c r="C568" s="50" t="s">
        <v>5459</v>
      </c>
      <c r="D568" s="17" t="s">
        <v>8912</v>
      </c>
    </row>
    <row r="569" spans="1:4" ht="18">
      <c r="A569" s="50" t="s">
        <v>5519</v>
      </c>
      <c r="B569" s="50" t="s">
        <v>9254</v>
      </c>
      <c r="C569" s="50" t="s">
        <v>5479</v>
      </c>
      <c r="D569" s="17" t="s">
        <v>8912</v>
      </c>
    </row>
    <row r="570" spans="1:4" ht="18">
      <c r="A570" s="50" t="s">
        <v>5520</v>
      </c>
      <c r="B570" s="50" t="s">
        <v>9255</v>
      </c>
      <c r="C570" s="50" t="s">
        <v>5478</v>
      </c>
      <c r="D570" s="17" t="s">
        <v>8913</v>
      </c>
    </row>
    <row r="571" spans="1:4" ht="18">
      <c r="A571" s="50" t="s">
        <v>5521</v>
      </c>
      <c r="B571" s="50" t="s">
        <v>9256</v>
      </c>
      <c r="C571" s="50" t="s">
        <v>5555</v>
      </c>
      <c r="D571" s="17" t="s">
        <v>8912</v>
      </c>
    </row>
    <row r="572" spans="1:4" ht="18">
      <c r="A572" s="50" t="s">
        <v>5513</v>
      </c>
      <c r="B572" s="50" t="s">
        <v>9248</v>
      </c>
      <c r="C572" s="50" t="s">
        <v>5562</v>
      </c>
      <c r="D572" s="17" t="s">
        <v>8912</v>
      </c>
    </row>
    <row r="573" spans="1:4" ht="18">
      <c r="A573" s="50" t="s">
        <v>5522</v>
      </c>
      <c r="B573" s="50" t="s">
        <v>9257</v>
      </c>
      <c r="C573" s="50" t="s">
        <v>5564</v>
      </c>
      <c r="D573" s="17" t="s">
        <v>8912</v>
      </c>
    </row>
    <row r="574" spans="1:4" ht="18">
      <c r="A574" s="50" t="s">
        <v>5523</v>
      </c>
      <c r="B574" s="50" t="s">
        <v>9258</v>
      </c>
      <c r="C574" s="50" t="s">
        <v>5482</v>
      </c>
      <c r="D574" s="17" t="s">
        <v>8913</v>
      </c>
    </row>
    <row r="575" spans="1:4" ht="18">
      <c r="A575" s="50" t="s">
        <v>5513</v>
      </c>
      <c r="B575" s="50" t="s">
        <v>9248</v>
      </c>
      <c r="C575" s="50" t="s">
        <v>5562</v>
      </c>
      <c r="D575" s="17" t="s">
        <v>8912</v>
      </c>
    </row>
    <row r="576" spans="1:4" ht="18">
      <c r="A576" s="50" t="s">
        <v>5524</v>
      </c>
      <c r="B576" s="50" t="s">
        <v>9259</v>
      </c>
      <c r="C576" s="50" t="s">
        <v>5564</v>
      </c>
      <c r="D576" s="17" t="s">
        <v>8912</v>
      </c>
    </row>
    <row r="577" spans="1:4" ht="18">
      <c r="A577" s="50" t="s">
        <v>5525</v>
      </c>
      <c r="B577" s="50" t="s">
        <v>9260</v>
      </c>
      <c r="C577" s="50" t="s">
        <v>5480</v>
      </c>
      <c r="D577" s="17" t="s">
        <v>8912</v>
      </c>
    </row>
    <row r="578" spans="1:4" ht="18">
      <c r="A578" s="50" t="s">
        <v>5526</v>
      </c>
      <c r="B578" s="50" t="s">
        <v>9261</v>
      </c>
      <c r="C578" s="50" t="s">
        <v>5483</v>
      </c>
      <c r="D578" s="17" t="s">
        <v>8912</v>
      </c>
    </row>
    <row r="579" spans="1:4" ht="18">
      <c r="A579" s="50" t="s">
        <v>5513</v>
      </c>
      <c r="B579" s="50" t="s">
        <v>9248</v>
      </c>
      <c r="C579" s="50" t="s">
        <v>5562</v>
      </c>
      <c r="D579" s="17" t="s">
        <v>8912</v>
      </c>
    </row>
    <row r="580" spans="1:4" ht="18">
      <c r="A580" s="50" t="s">
        <v>5525</v>
      </c>
      <c r="B580" s="50" t="s">
        <v>9260</v>
      </c>
      <c r="C580" s="50" t="s">
        <v>5480</v>
      </c>
      <c r="D580" s="17" t="s">
        <v>8912</v>
      </c>
    </row>
    <row r="581" spans="1:4" ht="18">
      <c r="A581" s="50" t="s">
        <v>5527</v>
      </c>
      <c r="B581" s="50" t="s">
        <v>9262</v>
      </c>
      <c r="C581" s="50" t="s">
        <v>5558</v>
      </c>
      <c r="D581" s="17" t="s">
        <v>8912</v>
      </c>
    </row>
    <row r="582" spans="1:4" ht="18">
      <c r="A582" s="50" t="s">
        <v>5528</v>
      </c>
      <c r="B582" s="50" t="s">
        <v>9263</v>
      </c>
      <c r="C582" s="50" t="s">
        <v>5457</v>
      </c>
      <c r="D582" s="17" t="s">
        <v>8912</v>
      </c>
    </row>
    <row r="583" spans="1:4" ht="18">
      <c r="A583" s="50" t="s">
        <v>5521</v>
      </c>
      <c r="B583" s="50" t="s">
        <v>9256</v>
      </c>
      <c r="C583" s="50" t="s">
        <v>5555</v>
      </c>
      <c r="D583" s="17" t="s">
        <v>8912</v>
      </c>
    </row>
    <row r="584" spans="1:4" ht="18">
      <c r="A584" s="50" t="s">
        <v>5529</v>
      </c>
      <c r="B584" s="50" t="s">
        <v>9264</v>
      </c>
      <c r="C584" s="50" t="s">
        <v>5565</v>
      </c>
      <c r="D584" s="17" t="s">
        <v>8912</v>
      </c>
    </row>
    <row r="585" spans="1:4" ht="18">
      <c r="A585" s="50" t="s">
        <v>5522</v>
      </c>
      <c r="B585" s="50" t="s">
        <v>9257</v>
      </c>
      <c r="C585" s="50" t="s">
        <v>5564</v>
      </c>
      <c r="D585" s="17" t="s">
        <v>8912</v>
      </c>
    </row>
    <row r="586" spans="1:4" ht="18">
      <c r="A586" s="50" t="s">
        <v>5525</v>
      </c>
      <c r="B586" s="50" t="s">
        <v>9260</v>
      </c>
      <c r="C586" s="50" t="s">
        <v>5480</v>
      </c>
      <c r="D586" s="17" t="s">
        <v>8912</v>
      </c>
    </row>
    <row r="587" spans="1:4" ht="18">
      <c r="A587" s="50" t="s">
        <v>5515</v>
      </c>
      <c r="B587" s="50" t="s">
        <v>9250</v>
      </c>
      <c r="C587" s="50" t="s">
        <v>5560</v>
      </c>
      <c r="D587" s="17" t="s">
        <v>8912</v>
      </c>
    </row>
    <row r="588" spans="1:4" ht="18">
      <c r="A588" s="50" t="s">
        <v>5530</v>
      </c>
      <c r="B588" s="50" t="s">
        <v>9265</v>
      </c>
      <c r="C588" s="50" t="s">
        <v>5557</v>
      </c>
      <c r="D588" s="17" t="s">
        <v>8913</v>
      </c>
    </row>
    <row r="589" spans="1:4" ht="18">
      <c r="A589" s="50" t="s">
        <v>5531</v>
      </c>
      <c r="B589" s="50" t="s">
        <v>9266</v>
      </c>
      <c r="C589" s="50" t="s">
        <v>5563</v>
      </c>
      <c r="D589" s="17" t="s">
        <v>8912</v>
      </c>
    </row>
    <row r="590" spans="1:4" ht="18">
      <c r="A590" s="50" t="s">
        <v>5532</v>
      </c>
      <c r="B590" s="50" t="s">
        <v>9267</v>
      </c>
      <c r="C590" s="50" t="s">
        <v>5482</v>
      </c>
      <c r="D590" s="17" t="s">
        <v>8912</v>
      </c>
    </row>
    <row r="591" spans="1:4" ht="18">
      <c r="A591" s="50" t="s">
        <v>5523</v>
      </c>
      <c r="B591" s="50" t="s">
        <v>9258</v>
      </c>
      <c r="C591" s="50" t="s">
        <v>5482</v>
      </c>
      <c r="D591" s="17" t="s">
        <v>8913</v>
      </c>
    </row>
    <row r="592" spans="1:4" ht="18">
      <c r="A592" s="50" t="s">
        <v>5533</v>
      </c>
      <c r="B592" s="50" t="s">
        <v>9268</v>
      </c>
      <c r="C592" s="50" t="s">
        <v>5482</v>
      </c>
      <c r="D592" s="17" t="s">
        <v>8913</v>
      </c>
    </row>
    <row r="593" spans="1:4" ht="18">
      <c r="A593" s="50" t="s">
        <v>5534</v>
      </c>
      <c r="B593" s="50" t="s">
        <v>9269</v>
      </c>
      <c r="C593" s="50" t="s">
        <v>5482</v>
      </c>
      <c r="D593" s="17" t="s">
        <v>8912</v>
      </c>
    </row>
    <row r="594" spans="1:4" ht="18">
      <c r="A594" s="50" t="s">
        <v>5535</v>
      </c>
      <c r="B594" s="50" t="s">
        <v>9270</v>
      </c>
      <c r="C594" s="50" t="s">
        <v>5560</v>
      </c>
      <c r="D594" s="17" t="s">
        <v>8912</v>
      </c>
    </row>
    <row r="595" spans="1:4" ht="18">
      <c r="A595" s="50" t="s">
        <v>5536</v>
      </c>
      <c r="B595" s="50" t="s">
        <v>9271</v>
      </c>
      <c r="C595" s="50" t="s">
        <v>5458</v>
      </c>
      <c r="D595" s="17" t="s">
        <v>8912</v>
      </c>
    </row>
    <row r="596" spans="1:4" ht="18">
      <c r="A596" s="50" t="s">
        <v>5537</v>
      </c>
      <c r="B596" s="50" t="s">
        <v>9272</v>
      </c>
      <c r="C596" s="50" t="s">
        <v>5481</v>
      </c>
      <c r="D596" s="17" t="s">
        <v>8912</v>
      </c>
    </row>
    <row r="597" spans="1:4" ht="18">
      <c r="A597" s="50" t="s">
        <v>5538</v>
      </c>
      <c r="B597" s="50" t="s">
        <v>9273</v>
      </c>
      <c r="C597" s="50" t="s">
        <v>5483</v>
      </c>
      <c r="D597" s="17" t="s">
        <v>8912</v>
      </c>
    </row>
    <row r="598" spans="1:4" ht="18">
      <c r="A598" s="50" t="s">
        <v>5536</v>
      </c>
      <c r="B598" s="50" t="s">
        <v>9271</v>
      </c>
      <c r="C598" s="50" t="s">
        <v>5458</v>
      </c>
      <c r="D598" s="17" t="s">
        <v>8912</v>
      </c>
    </row>
    <row r="599" spans="1:4" ht="18">
      <c r="A599" s="50" t="s">
        <v>5536</v>
      </c>
      <c r="B599" s="50" t="s">
        <v>9271</v>
      </c>
      <c r="C599" s="50" t="s">
        <v>5458</v>
      </c>
      <c r="D599" s="17" t="s">
        <v>8912</v>
      </c>
    </row>
    <row r="600" spans="1:4" ht="18">
      <c r="A600" s="50" t="s">
        <v>5539</v>
      </c>
      <c r="B600" s="50" t="s">
        <v>9274</v>
      </c>
      <c r="C600" s="50" t="s">
        <v>5481</v>
      </c>
      <c r="D600" s="17" t="s">
        <v>8912</v>
      </c>
    </row>
    <row r="601" spans="1:4" ht="18">
      <c r="A601" s="50" t="s">
        <v>5534</v>
      </c>
      <c r="B601" s="50" t="s">
        <v>9269</v>
      </c>
      <c r="C601" s="50" t="s">
        <v>5482</v>
      </c>
      <c r="D601" s="17" t="s">
        <v>8912</v>
      </c>
    </row>
    <row r="602" spans="1:4" ht="18">
      <c r="A602" s="50" t="s">
        <v>5539</v>
      </c>
      <c r="B602" s="50" t="s">
        <v>9274</v>
      </c>
      <c r="C602" s="50" t="s">
        <v>5481</v>
      </c>
      <c r="D602" s="17" t="s">
        <v>8912</v>
      </c>
    </row>
    <row r="603" spans="1:4" ht="18">
      <c r="A603" s="50" t="s">
        <v>5540</v>
      </c>
      <c r="B603" s="50" t="s">
        <v>9275</v>
      </c>
      <c r="C603" s="50" t="s">
        <v>5558</v>
      </c>
      <c r="D603" s="17" t="s">
        <v>8913</v>
      </c>
    </row>
    <row r="604" spans="1:4" ht="18">
      <c r="A604" s="50" t="s">
        <v>5538</v>
      </c>
      <c r="B604" s="50" t="s">
        <v>9273</v>
      </c>
      <c r="C604" s="50" t="s">
        <v>5483</v>
      </c>
      <c r="D604" s="17" t="s">
        <v>8912</v>
      </c>
    </row>
    <row r="605" spans="1:4" ht="18">
      <c r="A605" s="50" t="s">
        <v>5541</v>
      </c>
      <c r="B605" s="50" t="s">
        <v>9276</v>
      </c>
      <c r="C605" s="50" t="s">
        <v>5561</v>
      </c>
      <c r="D605" s="17" t="s">
        <v>8912</v>
      </c>
    </row>
    <row r="606" spans="1:4" ht="18">
      <c r="A606" s="50" t="s">
        <v>5542</v>
      </c>
      <c r="B606" s="50" t="s">
        <v>9277</v>
      </c>
      <c r="C606" s="50" t="s">
        <v>5479</v>
      </c>
      <c r="D606" s="17" t="s">
        <v>8912</v>
      </c>
    </row>
    <row r="607" spans="1:4" ht="18">
      <c r="A607" s="50" t="s">
        <v>5542</v>
      </c>
      <c r="B607" s="50" t="s">
        <v>9277</v>
      </c>
      <c r="C607" s="50" t="s">
        <v>5479</v>
      </c>
      <c r="D607" s="17" t="s">
        <v>8912</v>
      </c>
    </row>
    <row r="608" spans="1:4" ht="18">
      <c r="A608" s="50" t="s">
        <v>5538</v>
      </c>
      <c r="B608" s="50" t="s">
        <v>9273</v>
      </c>
      <c r="C608" s="50" t="s">
        <v>5483</v>
      </c>
      <c r="D608" s="17" t="s">
        <v>8912</v>
      </c>
    </row>
    <row r="609" spans="1:4" ht="18">
      <c r="A609" s="50" t="s">
        <v>5541</v>
      </c>
      <c r="B609" s="50" t="s">
        <v>9276</v>
      </c>
      <c r="C609" s="50" t="s">
        <v>5561</v>
      </c>
      <c r="D609" s="17" t="s">
        <v>8912</v>
      </c>
    </row>
    <row r="610" spans="1:4" ht="18">
      <c r="A610" s="50" t="s">
        <v>5543</v>
      </c>
      <c r="B610" s="50" t="s">
        <v>9278</v>
      </c>
      <c r="C610" s="50" t="s">
        <v>5561</v>
      </c>
      <c r="D610" s="17" t="s">
        <v>8912</v>
      </c>
    </row>
    <row r="611" spans="1:4" ht="18">
      <c r="A611" s="50" t="s">
        <v>5541</v>
      </c>
      <c r="B611" s="50" t="s">
        <v>9276</v>
      </c>
      <c r="C611" s="50" t="s">
        <v>5561</v>
      </c>
      <c r="D611" s="17" t="s">
        <v>8912</v>
      </c>
    </row>
    <row r="612" spans="1:4" ht="18">
      <c r="A612" s="50" t="s">
        <v>5544</v>
      </c>
      <c r="B612" s="50" t="s">
        <v>9279</v>
      </c>
      <c r="C612" s="50" t="s">
        <v>5447</v>
      </c>
      <c r="D612" s="17" t="s">
        <v>8912</v>
      </c>
    </row>
    <row r="613" spans="1:4" ht="18">
      <c r="A613" s="50" t="s">
        <v>5545</v>
      </c>
      <c r="B613" s="50" t="s">
        <v>9280</v>
      </c>
      <c r="C613" s="50" t="s">
        <v>5460</v>
      </c>
      <c r="D613" s="17" t="s">
        <v>8912</v>
      </c>
    </row>
    <row r="614" spans="1:4" ht="18">
      <c r="A614" s="50" t="s">
        <v>5546</v>
      </c>
      <c r="B614" s="50" t="s">
        <v>9281</v>
      </c>
      <c r="C614" s="50" t="s">
        <v>5566</v>
      </c>
      <c r="D614" s="17" t="s">
        <v>8912</v>
      </c>
    </row>
    <row r="615" spans="1:4" ht="18">
      <c r="A615" s="50" t="s">
        <v>5546</v>
      </c>
      <c r="B615" s="50" t="s">
        <v>9281</v>
      </c>
      <c r="C615" s="50" t="s">
        <v>5566</v>
      </c>
      <c r="D615" s="17" t="s">
        <v>8912</v>
      </c>
    </row>
    <row r="616" spans="1:4" ht="18">
      <c r="A616" s="50" t="s">
        <v>5547</v>
      </c>
      <c r="B616" s="50" t="s">
        <v>9282</v>
      </c>
      <c r="C616" s="50" t="s">
        <v>5555</v>
      </c>
      <c r="D616" s="17" t="s">
        <v>8912</v>
      </c>
    </row>
    <row r="617" spans="1:4" ht="18">
      <c r="A617" s="50" t="s">
        <v>5548</v>
      </c>
      <c r="B617" s="50" t="s">
        <v>9283</v>
      </c>
      <c r="C617" s="50" t="s">
        <v>5459</v>
      </c>
      <c r="D617" s="17" t="s">
        <v>8912</v>
      </c>
    </row>
    <row r="618" spans="1:4" ht="18">
      <c r="A618" s="50" t="s">
        <v>5546</v>
      </c>
      <c r="B618" s="50" t="s">
        <v>9281</v>
      </c>
      <c r="C618" s="50" t="s">
        <v>5566</v>
      </c>
      <c r="D618" s="17" t="s">
        <v>8912</v>
      </c>
    </row>
    <row r="619" spans="1:4" ht="18">
      <c r="A619" s="50" t="s">
        <v>5544</v>
      </c>
      <c r="B619" s="50" t="s">
        <v>9279</v>
      </c>
      <c r="C619" s="50" t="s">
        <v>5447</v>
      </c>
      <c r="D619" s="17" t="s">
        <v>8912</v>
      </c>
    </row>
    <row r="620" spans="1:4" ht="18">
      <c r="A620" s="50" t="s">
        <v>5544</v>
      </c>
      <c r="B620" s="50" t="s">
        <v>9279</v>
      </c>
      <c r="C620" s="50" t="s">
        <v>5447</v>
      </c>
      <c r="D620" s="17" t="s">
        <v>8912</v>
      </c>
    </row>
    <row r="621" spans="1:4" ht="18">
      <c r="A621" s="50" t="s">
        <v>5549</v>
      </c>
      <c r="B621" s="50" t="s">
        <v>9284</v>
      </c>
      <c r="C621" s="50" t="s">
        <v>5478</v>
      </c>
      <c r="D621" s="17" t="s">
        <v>8912</v>
      </c>
    </row>
    <row r="622" spans="1:4" ht="18">
      <c r="A622" s="50" t="s">
        <v>5550</v>
      </c>
      <c r="B622" s="50" t="s">
        <v>9285</v>
      </c>
      <c r="C622" s="50" t="s">
        <v>5556</v>
      </c>
      <c r="D622" s="17" t="s">
        <v>8912</v>
      </c>
    </row>
    <row r="623" spans="1:4" ht="18">
      <c r="A623" s="50" t="s">
        <v>5546</v>
      </c>
      <c r="B623" s="50" t="s">
        <v>9281</v>
      </c>
      <c r="C623" s="50" t="s">
        <v>5566</v>
      </c>
      <c r="D623" s="17" t="s">
        <v>8912</v>
      </c>
    </row>
    <row r="624" spans="1:4" ht="18">
      <c r="A624" s="50" t="s">
        <v>5546</v>
      </c>
      <c r="B624" s="50" t="s">
        <v>9281</v>
      </c>
      <c r="C624" s="50" t="s">
        <v>5566</v>
      </c>
      <c r="D624" s="17" t="s">
        <v>8912</v>
      </c>
    </row>
    <row r="625" spans="1:4" ht="18">
      <c r="A625" s="50" t="s">
        <v>5509</v>
      </c>
      <c r="B625" s="50" t="s">
        <v>9244</v>
      </c>
      <c r="C625" s="50" t="s">
        <v>5560</v>
      </c>
      <c r="D625" s="17" t="s">
        <v>8912</v>
      </c>
    </row>
    <row r="626" spans="1:4" ht="18">
      <c r="A626" s="50" t="s">
        <v>5551</v>
      </c>
      <c r="B626" s="50" t="s">
        <v>9286</v>
      </c>
      <c r="C626" s="50" t="s">
        <v>5565</v>
      </c>
      <c r="D626" s="17" t="s">
        <v>8912</v>
      </c>
    </row>
    <row r="627" spans="1:4" ht="18">
      <c r="A627" s="50" t="s">
        <v>5552</v>
      </c>
      <c r="B627" s="50" t="s">
        <v>9287</v>
      </c>
      <c r="C627" s="50" t="s">
        <v>5563</v>
      </c>
      <c r="D627" s="17" t="s">
        <v>8912</v>
      </c>
    </row>
    <row r="628" spans="1:4" ht="18">
      <c r="A628" s="50" t="s">
        <v>5513</v>
      </c>
      <c r="B628" s="50" t="s">
        <v>9248</v>
      </c>
      <c r="C628" s="50" t="s">
        <v>5562</v>
      </c>
      <c r="D628" s="17" t="s">
        <v>8912</v>
      </c>
    </row>
    <row r="629" spans="1:4" ht="18">
      <c r="A629" s="50" t="s">
        <v>5553</v>
      </c>
      <c r="B629" s="50" t="s">
        <v>9288</v>
      </c>
      <c r="C629" s="50" t="s">
        <v>5556</v>
      </c>
      <c r="D629" s="17" t="s">
        <v>8912</v>
      </c>
    </row>
    <row r="630" spans="1:4" ht="18">
      <c r="A630" s="50" t="s">
        <v>5517</v>
      </c>
      <c r="B630" s="50" t="s">
        <v>9252</v>
      </c>
      <c r="C630" s="50" t="s">
        <v>5563</v>
      </c>
      <c r="D630" s="17" t="s">
        <v>8912</v>
      </c>
    </row>
    <row r="631" spans="1:4" ht="18">
      <c r="A631" s="50" t="s">
        <v>5510</v>
      </c>
      <c r="B631" s="50" t="s">
        <v>9245</v>
      </c>
      <c r="C631" s="50" t="s">
        <v>5559</v>
      </c>
      <c r="D631" s="17" t="s">
        <v>8913</v>
      </c>
    </row>
    <row r="632" spans="1:4" ht="18">
      <c r="A632" s="50" t="s">
        <v>5511</v>
      </c>
      <c r="B632" s="50" t="s">
        <v>9246</v>
      </c>
      <c r="C632" s="50" t="s">
        <v>5561</v>
      </c>
      <c r="D632" s="17" t="s">
        <v>8913</v>
      </c>
    </row>
    <row r="633" spans="1:4" ht="18">
      <c r="A633" s="50" t="s">
        <v>5554</v>
      </c>
      <c r="B633" s="50" t="s">
        <v>9289</v>
      </c>
      <c r="C633" s="50" t="s">
        <v>5563</v>
      </c>
      <c r="D633" s="17" t="s">
        <v>8913</v>
      </c>
    </row>
    <row r="634" spans="1:4" ht="18">
      <c r="A634" s="50" t="s">
        <v>5518</v>
      </c>
      <c r="B634" s="50" t="s">
        <v>9253</v>
      </c>
      <c r="C634" s="50" t="s">
        <v>5459</v>
      </c>
      <c r="D634" s="17" t="s">
        <v>8912</v>
      </c>
    </row>
    <row r="635" spans="1:4" ht="18">
      <c r="A635" s="50" t="s">
        <v>5506</v>
      </c>
      <c r="B635" s="50" t="s">
        <v>9241</v>
      </c>
      <c r="C635" s="50" t="s">
        <v>5460</v>
      </c>
      <c r="D635" s="17" t="s">
        <v>8912</v>
      </c>
    </row>
    <row r="636" spans="1:4" ht="18">
      <c r="A636" s="50" t="s">
        <v>5528</v>
      </c>
      <c r="B636" s="50" t="s">
        <v>9263</v>
      </c>
      <c r="C636" s="50" t="s">
        <v>5457</v>
      </c>
      <c r="D636" s="17" t="s">
        <v>8912</v>
      </c>
    </row>
    <row r="637" spans="1:4" ht="18">
      <c r="A637" s="50" t="s">
        <v>5522</v>
      </c>
      <c r="B637" s="50" t="s">
        <v>9257</v>
      </c>
      <c r="C637" s="50" t="s">
        <v>5564</v>
      </c>
      <c r="D637" s="17" t="s">
        <v>8912</v>
      </c>
    </row>
    <row r="638" spans="1:4" ht="18">
      <c r="A638" s="50" t="s">
        <v>5522</v>
      </c>
      <c r="B638" s="50" t="s">
        <v>9257</v>
      </c>
      <c r="C638" s="50" t="s">
        <v>5564</v>
      </c>
      <c r="D638" s="17" t="s">
        <v>8912</v>
      </c>
    </row>
    <row r="639" spans="1:4" ht="18">
      <c r="A639" s="50" t="s">
        <v>5521</v>
      </c>
      <c r="B639" s="50" t="s">
        <v>9256</v>
      </c>
      <c r="C639" s="50" t="s">
        <v>5555</v>
      </c>
      <c r="D639" s="17" t="s">
        <v>8912</v>
      </c>
    </row>
    <row r="640" spans="1:4" ht="18">
      <c r="A640" s="50" t="s">
        <v>5531</v>
      </c>
      <c r="B640" s="50" t="s">
        <v>9266</v>
      </c>
      <c r="C640" s="50" t="s">
        <v>5563</v>
      </c>
      <c r="D640" s="17" t="s">
        <v>8912</v>
      </c>
    </row>
    <row r="641" spans="1:4" ht="18">
      <c r="A641" s="50" t="s">
        <v>5540</v>
      </c>
      <c r="B641" s="50" t="s">
        <v>9275</v>
      </c>
      <c r="C641" s="50" t="s">
        <v>5558</v>
      </c>
      <c r="D641" s="17" t="s">
        <v>8913</v>
      </c>
    </row>
    <row r="642" spans="1:4" ht="18">
      <c r="A642" s="50" t="s">
        <v>5542</v>
      </c>
      <c r="B642" s="50" t="s">
        <v>9277</v>
      </c>
      <c r="C642" s="50" t="s">
        <v>5479</v>
      </c>
      <c r="D642" s="17" t="s">
        <v>8912</v>
      </c>
    </row>
    <row r="643" spans="1:4" ht="18">
      <c r="A643" s="50" t="s">
        <v>5546</v>
      </c>
      <c r="B643" s="50" t="s">
        <v>9281</v>
      </c>
      <c r="C643" s="50" t="s">
        <v>5566</v>
      </c>
      <c r="D643" s="17" t="s">
        <v>8912</v>
      </c>
    </row>
    <row r="644" spans="1:4" ht="18">
      <c r="A644" s="50" t="s">
        <v>6062</v>
      </c>
      <c r="B644" s="50" t="s">
        <v>9290</v>
      </c>
      <c r="C644" s="50" t="s">
        <v>5287</v>
      </c>
      <c r="D644" s="17" t="s">
        <v>8912</v>
      </c>
    </row>
    <row r="645" spans="1:4" ht="18">
      <c r="A645" s="50" t="s">
        <v>6063</v>
      </c>
      <c r="B645" s="50" t="s">
        <v>9291</v>
      </c>
      <c r="C645" s="50" t="s">
        <v>5419</v>
      </c>
      <c r="D645" s="17" t="s">
        <v>8912</v>
      </c>
    </row>
    <row r="646" spans="1:4" ht="18">
      <c r="A646" s="50" t="s">
        <v>6064</v>
      </c>
      <c r="B646" s="50" t="s">
        <v>9292</v>
      </c>
      <c r="C646" s="50" t="s">
        <v>5287</v>
      </c>
      <c r="D646" s="17" t="s">
        <v>8913</v>
      </c>
    </row>
    <row r="647" spans="1:4" ht="18">
      <c r="A647" s="50" t="s">
        <v>6065</v>
      </c>
      <c r="B647" s="50" t="s">
        <v>9293</v>
      </c>
      <c r="C647" s="50" t="s">
        <v>5303</v>
      </c>
      <c r="D647" s="17" t="s">
        <v>8912</v>
      </c>
    </row>
    <row r="648" spans="1:4" ht="18">
      <c r="A648" s="50" t="s">
        <v>6062</v>
      </c>
      <c r="B648" s="50" t="s">
        <v>9290</v>
      </c>
      <c r="C648" s="50" t="s">
        <v>5287</v>
      </c>
      <c r="D648" s="17" t="s">
        <v>8912</v>
      </c>
    </row>
    <row r="649" spans="1:4" ht="18">
      <c r="A649" s="50" t="s">
        <v>6065</v>
      </c>
      <c r="B649" s="50" t="s">
        <v>9293</v>
      </c>
      <c r="C649" s="50" t="s">
        <v>5303</v>
      </c>
      <c r="D649" s="17" t="s">
        <v>8912</v>
      </c>
    </row>
    <row r="650" spans="1:4" ht="18">
      <c r="A650" s="50" t="s">
        <v>6066</v>
      </c>
      <c r="B650" s="50" t="s">
        <v>9294</v>
      </c>
      <c r="C650" s="50" t="s">
        <v>6074</v>
      </c>
      <c r="D650" s="17" t="s">
        <v>8913</v>
      </c>
    </row>
    <row r="651" spans="1:4" ht="18">
      <c r="A651" s="50" t="s">
        <v>6067</v>
      </c>
      <c r="B651" s="50" t="s">
        <v>9295</v>
      </c>
      <c r="C651" s="50" t="s">
        <v>6074</v>
      </c>
      <c r="D651" s="17" t="s">
        <v>8912</v>
      </c>
    </row>
    <row r="652" spans="1:4" ht="18">
      <c r="A652" s="50" t="s">
        <v>6067</v>
      </c>
      <c r="B652" s="50" t="s">
        <v>9295</v>
      </c>
      <c r="C652" s="50" t="s">
        <v>6074</v>
      </c>
      <c r="D652" s="17" t="s">
        <v>8912</v>
      </c>
    </row>
    <row r="653" spans="1:4" ht="18">
      <c r="A653" s="50" t="s">
        <v>6068</v>
      </c>
      <c r="B653" s="50" t="s">
        <v>9296</v>
      </c>
      <c r="C653" s="50" t="s">
        <v>5413</v>
      </c>
      <c r="D653" s="17" t="s">
        <v>8913</v>
      </c>
    </row>
    <row r="654" spans="1:4" ht="18">
      <c r="A654" s="50" t="s">
        <v>6063</v>
      </c>
      <c r="B654" s="50" t="s">
        <v>9291</v>
      </c>
      <c r="C654" s="50" t="s">
        <v>5419</v>
      </c>
      <c r="D654" s="17" t="s">
        <v>8912</v>
      </c>
    </row>
    <row r="655" spans="1:4" ht="18">
      <c r="A655" s="50" t="s">
        <v>6069</v>
      </c>
      <c r="B655" s="50" t="s">
        <v>9297</v>
      </c>
      <c r="C655" s="50" t="s">
        <v>5420</v>
      </c>
      <c r="D655" s="17" t="s">
        <v>8912</v>
      </c>
    </row>
    <row r="656" spans="1:4" ht="18">
      <c r="A656" s="50" t="s">
        <v>6070</v>
      </c>
      <c r="B656" s="50" t="s">
        <v>9298</v>
      </c>
      <c r="C656" s="50" t="s">
        <v>5413</v>
      </c>
      <c r="D656" s="17" t="s">
        <v>8912</v>
      </c>
    </row>
    <row r="657" spans="1:4" ht="18">
      <c r="A657" s="50" t="s">
        <v>6070</v>
      </c>
      <c r="B657" s="50" t="s">
        <v>9298</v>
      </c>
      <c r="C657" s="50" t="s">
        <v>5413</v>
      </c>
      <c r="D657" s="17" t="s">
        <v>8912</v>
      </c>
    </row>
    <row r="658" spans="1:4" ht="18">
      <c r="A658" s="50" t="s">
        <v>6069</v>
      </c>
      <c r="B658" s="50" t="s">
        <v>9297</v>
      </c>
      <c r="C658" s="50" t="s">
        <v>5420</v>
      </c>
      <c r="D658" s="17" t="s">
        <v>8912</v>
      </c>
    </row>
    <row r="659" spans="1:4" ht="18">
      <c r="A659" s="50" t="s">
        <v>6071</v>
      </c>
      <c r="B659" s="50" t="s">
        <v>9299</v>
      </c>
      <c r="C659" s="50" t="s">
        <v>5420</v>
      </c>
      <c r="D659" s="17" t="s">
        <v>8913</v>
      </c>
    </row>
    <row r="660" spans="1:4" ht="18">
      <c r="A660" s="50" t="s">
        <v>6071</v>
      </c>
      <c r="B660" s="50" t="s">
        <v>9299</v>
      </c>
      <c r="C660" s="50" t="s">
        <v>5420</v>
      </c>
      <c r="D660" s="17" t="s">
        <v>8913</v>
      </c>
    </row>
    <row r="661" spans="1:4" ht="18">
      <c r="A661" s="50" t="s">
        <v>6072</v>
      </c>
      <c r="B661" s="50" t="s">
        <v>9300</v>
      </c>
      <c r="C661" s="50" t="s">
        <v>5412</v>
      </c>
      <c r="D661" s="17" t="s">
        <v>8913</v>
      </c>
    </row>
    <row r="662" spans="1:4" ht="18">
      <c r="A662" s="50" t="s">
        <v>6067</v>
      </c>
      <c r="B662" s="50" t="s">
        <v>9295</v>
      </c>
      <c r="C662" s="50" t="s">
        <v>6074</v>
      </c>
      <c r="D662" s="17" t="s">
        <v>8912</v>
      </c>
    </row>
    <row r="663" spans="1:4" ht="18">
      <c r="A663" s="50" t="s">
        <v>6068</v>
      </c>
      <c r="B663" s="50" t="s">
        <v>9296</v>
      </c>
      <c r="C663" s="50" t="s">
        <v>5413</v>
      </c>
      <c r="D663" s="17" t="s">
        <v>8913</v>
      </c>
    </row>
    <row r="664" spans="1:4" ht="18">
      <c r="A664" s="50" t="s">
        <v>6066</v>
      </c>
      <c r="B664" s="50" t="s">
        <v>9294</v>
      </c>
      <c r="C664" s="50" t="s">
        <v>6074</v>
      </c>
      <c r="D664" s="17" t="s">
        <v>8913</v>
      </c>
    </row>
    <row r="665" spans="1:4" ht="18">
      <c r="A665" s="50" t="s">
        <v>6073</v>
      </c>
      <c r="B665" s="50" t="s">
        <v>9301</v>
      </c>
      <c r="C665" s="50" t="s">
        <v>5303</v>
      </c>
      <c r="D665" s="17" t="s">
        <v>8913</v>
      </c>
    </row>
    <row r="666" spans="1:4" ht="18">
      <c r="A666" s="50" t="s">
        <v>6078</v>
      </c>
      <c r="B666" s="50" t="s">
        <v>9302</v>
      </c>
      <c r="C666" s="50" t="s">
        <v>5480</v>
      </c>
      <c r="D666" s="17" t="s">
        <v>8912</v>
      </c>
    </row>
    <row r="667" spans="1:4" ht="18">
      <c r="A667" s="50" t="s">
        <v>6078</v>
      </c>
      <c r="B667" s="50" t="s">
        <v>9302</v>
      </c>
      <c r="C667" s="50" t="s">
        <v>5480</v>
      </c>
      <c r="D667" s="17" t="s">
        <v>8912</v>
      </c>
    </row>
    <row r="668" spans="1:4" ht="18">
      <c r="A668" s="50" t="s">
        <v>6079</v>
      </c>
      <c r="B668" s="50" t="s">
        <v>9303</v>
      </c>
      <c r="C668" s="50" t="s">
        <v>5480</v>
      </c>
      <c r="D668" s="17" t="s">
        <v>8912</v>
      </c>
    </row>
    <row r="669" spans="1:4" ht="18">
      <c r="A669" s="50" t="s">
        <v>6078</v>
      </c>
      <c r="B669" s="50" t="s">
        <v>9302</v>
      </c>
      <c r="C669" s="50" t="s">
        <v>5480</v>
      </c>
      <c r="D669" s="17" t="s">
        <v>8912</v>
      </c>
    </row>
    <row r="670" spans="1:4" ht="18">
      <c r="A670" s="50" t="s">
        <v>6078</v>
      </c>
      <c r="B670" s="50" t="s">
        <v>9302</v>
      </c>
      <c r="C670" s="50" t="s">
        <v>5480</v>
      </c>
      <c r="D670" s="17" t="s">
        <v>8912</v>
      </c>
    </row>
    <row r="671" spans="1:4" ht="18">
      <c r="A671" s="50" t="s">
        <v>6080</v>
      </c>
      <c r="B671" s="50" t="s">
        <v>9304</v>
      </c>
      <c r="C671" s="50" t="s">
        <v>5562</v>
      </c>
      <c r="D671" s="17" t="s">
        <v>8912</v>
      </c>
    </row>
    <row r="672" spans="1:4" ht="18">
      <c r="A672" s="50" t="s">
        <v>6081</v>
      </c>
      <c r="B672" s="50" t="s">
        <v>9305</v>
      </c>
      <c r="C672" s="50" t="s">
        <v>5566</v>
      </c>
      <c r="D672" s="17" t="s">
        <v>8913</v>
      </c>
    </row>
    <row r="673" spans="1:4" ht="18">
      <c r="A673" s="50" t="s">
        <v>6078</v>
      </c>
      <c r="B673" s="50" t="s">
        <v>9302</v>
      </c>
      <c r="C673" s="50" t="s">
        <v>5480</v>
      </c>
      <c r="D673" s="17" t="s">
        <v>8912</v>
      </c>
    </row>
    <row r="674" spans="1:4" ht="18">
      <c r="A674" s="50" t="s">
        <v>6082</v>
      </c>
      <c r="B674" s="50" t="s">
        <v>9306</v>
      </c>
      <c r="C674" s="50" t="s">
        <v>5479</v>
      </c>
      <c r="D674" s="17" t="s">
        <v>8913</v>
      </c>
    </row>
    <row r="675" spans="1:4" ht="18">
      <c r="A675" s="50" t="s">
        <v>6083</v>
      </c>
      <c r="B675" s="50" t="s">
        <v>9307</v>
      </c>
      <c r="C675" s="50" t="s">
        <v>5447</v>
      </c>
      <c r="D675" s="17" t="s">
        <v>8912</v>
      </c>
    </row>
    <row r="676" spans="1:4" ht="18">
      <c r="A676" s="50" t="s">
        <v>6083</v>
      </c>
      <c r="B676" s="50" t="s">
        <v>9307</v>
      </c>
      <c r="C676" s="50" t="s">
        <v>5447</v>
      </c>
      <c r="D676" s="17" t="s">
        <v>8912</v>
      </c>
    </row>
    <row r="677" spans="1:4" ht="18">
      <c r="A677" s="50" t="s">
        <v>6084</v>
      </c>
      <c r="B677" s="50" t="s">
        <v>9308</v>
      </c>
      <c r="C677" s="50" t="s">
        <v>5562</v>
      </c>
      <c r="D677" s="17" t="s">
        <v>8912</v>
      </c>
    </row>
    <row r="678" spans="1:4" ht="18">
      <c r="A678" s="50" t="s">
        <v>6085</v>
      </c>
      <c r="B678" s="50" t="s">
        <v>9309</v>
      </c>
      <c r="C678" s="50" t="s">
        <v>5480</v>
      </c>
      <c r="D678" s="17" t="s">
        <v>8913</v>
      </c>
    </row>
    <row r="679" spans="1:4" ht="18">
      <c r="A679" s="50" t="s">
        <v>6086</v>
      </c>
      <c r="B679" s="50" t="s">
        <v>9310</v>
      </c>
      <c r="C679" s="50" t="s">
        <v>5566</v>
      </c>
      <c r="D679" s="17" t="s">
        <v>8912</v>
      </c>
    </row>
    <row r="680" spans="1:4" ht="18">
      <c r="A680" s="50" t="s">
        <v>6083</v>
      </c>
      <c r="B680" s="50" t="s">
        <v>9307</v>
      </c>
      <c r="C680" s="50" t="s">
        <v>5447</v>
      </c>
      <c r="D680" s="17" t="s">
        <v>8912</v>
      </c>
    </row>
    <row r="681" spans="1:4" ht="18">
      <c r="A681" s="50" t="s">
        <v>6087</v>
      </c>
      <c r="B681" s="50" t="s">
        <v>9311</v>
      </c>
      <c r="C681" s="50" t="s">
        <v>5481</v>
      </c>
      <c r="D681" s="17" t="s">
        <v>8912</v>
      </c>
    </row>
    <row r="682" spans="1:4" ht="18">
      <c r="A682" s="50" t="s">
        <v>6088</v>
      </c>
      <c r="B682" s="50" t="s">
        <v>9312</v>
      </c>
      <c r="C682" s="50" t="s">
        <v>5562</v>
      </c>
      <c r="D682" s="17" t="s">
        <v>8913</v>
      </c>
    </row>
    <row r="683" spans="1:4" ht="18">
      <c r="A683" s="50" t="s">
        <v>6084</v>
      </c>
      <c r="B683" s="50" t="s">
        <v>9308</v>
      </c>
      <c r="C683" s="50" t="s">
        <v>5562</v>
      </c>
      <c r="D683" s="17" t="s">
        <v>8912</v>
      </c>
    </row>
    <row r="684" spans="1:4" ht="18">
      <c r="A684" s="50" t="s">
        <v>6089</v>
      </c>
      <c r="B684" s="50" t="s">
        <v>9313</v>
      </c>
      <c r="C684" s="50" t="s">
        <v>5483</v>
      </c>
      <c r="D684" s="17" t="s">
        <v>8913</v>
      </c>
    </row>
    <row r="685" spans="1:4" ht="18">
      <c r="A685" s="50" t="s">
        <v>6081</v>
      </c>
      <c r="B685" s="50" t="s">
        <v>9305</v>
      </c>
      <c r="C685" s="50" t="s">
        <v>5566</v>
      </c>
      <c r="D685" s="17" t="s">
        <v>8913</v>
      </c>
    </row>
    <row r="686" spans="1:4" ht="18">
      <c r="A686" s="50" t="s">
        <v>6086</v>
      </c>
      <c r="B686" s="50" t="s">
        <v>9310</v>
      </c>
      <c r="C686" s="50" t="s">
        <v>5566</v>
      </c>
      <c r="D686" s="17" t="s">
        <v>8912</v>
      </c>
    </row>
    <row r="687" spans="1:4" ht="18">
      <c r="A687" s="50" t="s">
        <v>6086</v>
      </c>
      <c r="B687" s="50" t="s">
        <v>9310</v>
      </c>
      <c r="C687" s="50" t="s">
        <v>5566</v>
      </c>
      <c r="D687" s="17" t="s">
        <v>8912</v>
      </c>
    </row>
    <row r="688" spans="1:4" ht="18">
      <c r="A688" s="50" t="s">
        <v>6086</v>
      </c>
      <c r="B688" s="50" t="s">
        <v>9310</v>
      </c>
      <c r="C688" s="50" t="s">
        <v>5566</v>
      </c>
      <c r="D688" s="17" t="s">
        <v>8912</v>
      </c>
    </row>
    <row r="689" spans="1:4" ht="18">
      <c r="A689" s="50" t="s">
        <v>6090</v>
      </c>
      <c r="B689" s="50" t="s">
        <v>9314</v>
      </c>
      <c r="C689" s="50" t="s">
        <v>5483</v>
      </c>
      <c r="D689" s="17" t="s">
        <v>8912</v>
      </c>
    </row>
    <row r="690" spans="1:4" ht="18">
      <c r="A690" s="50" t="s">
        <v>6090</v>
      </c>
      <c r="B690" s="50" t="s">
        <v>9314</v>
      </c>
      <c r="C690" s="50" t="s">
        <v>5483</v>
      </c>
      <c r="D690" s="17" t="s">
        <v>8912</v>
      </c>
    </row>
    <row r="691" spans="1:4" ht="18">
      <c r="A691" s="50" t="s">
        <v>6086</v>
      </c>
      <c r="B691" s="50" t="s">
        <v>9310</v>
      </c>
      <c r="C691" s="50" t="s">
        <v>5566</v>
      </c>
      <c r="D691" s="17" t="s">
        <v>8912</v>
      </c>
    </row>
    <row r="692" spans="1:4" ht="18">
      <c r="A692" s="50" t="s">
        <v>6091</v>
      </c>
      <c r="B692" s="50" t="s">
        <v>9315</v>
      </c>
      <c r="C692" s="50" t="s">
        <v>5560</v>
      </c>
      <c r="D692" s="17" t="s">
        <v>8912</v>
      </c>
    </row>
    <row r="693" spans="1:4" ht="18">
      <c r="A693" s="50" t="s">
        <v>6092</v>
      </c>
      <c r="B693" s="50" t="s">
        <v>9316</v>
      </c>
      <c r="C693" s="50" t="s">
        <v>5558</v>
      </c>
      <c r="D693" s="17" t="s">
        <v>8913</v>
      </c>
    </row>
    <row r="694" spans="1:4" ht="18">
      <c r="A694" s="50" t="s">
        <v>6090</v>
      </c>
      <c r="B694" s="50" t="s">
        <v>9314</v>
      </c>
      <c r="C694" s="50" t="s">
        <v>5483</v>
      </c>
      <c r="D694" s="17" t="s">
        <v>8912</v>
      </c>
    </row>
    <row r="695" spans="1:4" ht="18">
      <c r="A695" s="50" t="s">
        <v>6091</v>
      </c>
      <c r="B695" s="50" t="s">
        <v>9315</v>
      </c>
      <c r="C695" s="50" t="s">
        <v>5560</v>
      </c>
      <c r="D695" s="17" t="s">
        <v>8912</v>
      </c>
    </row>
    <row r="696" spans="1:4" ht="18">
      <c r="A696" s="50" t="s">
        <v>6091</v>
      </c>
      <c r="B696" s="50" t="s">
        <v>9315</v>
      </c>
      <c r="C696" s="50" t="s">
        <v>5560</v>
      </c>
      <c r="D696" s="17" t="s">
        <v>8912</v>
      </c>
    </row>
    <row r="697" spans="1:4" ht="18">
      <c r="A697" s="50" t="s">
        <v>6093</v>
      </c>
      <c r="B697" s="50" t="s">
        <v>9317</v>
      </c>
      <c r="C697" s="50" t="s">
        <v>5565</v>
      </c>
      <c r="D697" s="17" t="s">
        <v>8913</v>
      </c>
    </row>
    <row r="698" spans="1:4" ht="18">
      <c r="A698" s="50" t="s">
        <v>6094</v>
      </c>
      <c r="B698" s="50" t="s">
        <v>9318</v>
      </c>
      <c r="C698" s="50" t="s">
        <v>5555</v>
      </c>
      <c r="D698" s="17" t="s">
        <v>8912</v>
      </c>
    </row>
    <row r="699" spans="1:4" ht="18">
      <c r="A699" s="50" t="s">
        <v>6095</v>
      </c>
      <c r="B699" s="50" t="s">
        <v>9319</v>
      </c>
      <c r="C699" s="50" t="s">
        <v>5479</v>
      </c>
      <c r="D699" s="17" t="s">
        <v>8912</v>
      </c>
    </row>
    <row r="700" spans="1:4" ht="18">
      <c r="A700" s="50" t="s">
        <v>6093</v>
      </c>
      <c r="B700" s="50" t="s">
        <v>9317</v>
      </c>
      <c r="C700" s="50" t="s">
        <v>5565</v>
      </c>
      <c r="D700" s="17" t="s">
        <v>8913</v>
      </c>
    </row>
    <row r="701" spans="1:4" ht="18">
      <c r="A701" s="50" t="s">
        <v>6096</v>
      </c>
      <c r="B701" s="50" t="s">
        <v>9320</v>
      </c>
      <c r="C701" s="50" t="s">
        <v>5460</v>
      </c>
      <c r="D701" s="17" t="s">
        <v>8912</v>
      </c>
    </row>
    <row r="702" spans="1:4" ht="18">
      <c r="A702" s="50" t="s">
        <v>6095</v>
      </c>
      <c r="B702" s="50" t="s">
        <v>9319</v>
      </c>
      <c r="C702" s="50" t="s">
        <v>5479</v>
      </c>
      <c r="D702" s="17" t="s">
        <v>8912</v>
      </c>
    </row>
    <row r="703" spans="1:4" ht="18">
      <c r="A703" s="50" t="s">
        <v>6097</v>
      </c>
      <c r="B703" s="50" t="s">
        <v>9321</v>
      </c>
      <c r="C703" s="50" t="s">
        <v>5558</v>
      </c>
      <c r="D703" s="17" t="s">
        <v>8912</v>
      </c>
    </row>
    <row r="704" spans="1:4" ht="18">
      <c r="A704" s="50" t="s">
        <v>6098</v>
      </c>
      <c r="B704" s="50" t="s">
        <v>9322</v>
      </c>
      <c r="C704" s="50" t="s">
        <v>5460</v>
      </c>
      <c r="D704" s="17" t="s">
        <v>8913</v>
      </c>
    </row>
    <row r="705" spans="1:4" ht="18">
      <c r="A705" s="50" t="s">
        <v>6099</v>
      </c>
      <c r="B705" s="50" t="s">
        <v>9323</v>
      </c>
      <c r="C705" s="50" t="s">
        <v>5555</v>
      </c>
      <c r="D705" s="17" t="s">
        <v>8913</v>
      </c>
    </row>
    <row r="706" spans="1:4" ht="18">
      <c r="A706" s="50" t="s">
        <v>6098</v>
      </c>
      <c r="B706" s="50" t="s">
        <v>9322</v>
      </c>
      <c r="C706" s="50" t="s">
        <v>5460</v>
      </c>
      <c r="D706" s="17" t="s">
        <v>8913</v>
      </c>
    </row>
    <row r="707" spans="1:4" ht="18">
      <c r="A707" s="50" t="s">
        <v>6099</v>
      </c>
      <c r="B707" s="50" t="s">
        <v>9323</v>
      </c>
      <c r="C707" s="50" t="s">
        <v>5555</v>
      </c>
      <c r="D707" s="17" t="s">
        <v>8913</v>
      </c>
    </row>
    <row r="708" spans="1:4" ht="18">
      <c r="A708" s="50" t="s">
        <v>6098</v>
      </c>
      <c r="B708" s="50" t="s">
        <v>9322</v>
      </c>
      <c r="C708" s="50" t="s">
        <v>5460</v>
      </c>
      <c r="D708" s="17" t="s">
        <v>8913</v>
      </c>
    </row>
    <row r="709" spans="1:4" ht="18">
      <c r="A709" s="50" t="s">
        <v>6098</v>
      </c>
      <c r="B709" s="50" t="s">
        <v>9322</v>
      </c>
      <c r="C709" s="50" t="s">
        <v>5460</v>
      </c>
      <c r="D709" s="17" t="s">
        <v>8913</v>
      </c>
    </row>
    <row r="710" spans="1:4" ht="18">
      <c r="A710" s="50" t="s">
        <v>6098</v>
      </c>
      <c r="B710" s="50" t="s">
        <v>9322</v>
      </c>
      <c r="C710" s="50" t="s">
        <v>5460</v>
      </c>
      <c r="D710" s="17" t="s">
        <v>8913</v>
      </c>
    </row>
    <row r="711" spans="1:4" ht="18">
      <c r="A711" s="50" t="s">
        <v>6100</v>
      </c>
      <c r="B711" s="50" t="s">
        <v>9324</v>
      </c>
      <c r="C711" s="50" t="s">
        <v>5458</v>
      </c>
      <c r="D711" s="17" t="s">
        <v>8913</v>
      </c>
    </row>
    <row r="712" spans="1:4" ht="18">
      <c r="A712" s="50" t="s">
        <v>6101</v>
      </c>
      <c r="B712" s="50" t="s">
        <v>9325</v>
      </c>
      <c r="C712" s="50" t="s">
        <v>5457</v>
      </c>
      <c r="D712" s="17" t="s">
        <v>8912</v>
      </c>
    </row>
    <row r="713" spans="1:4" ht="18">
      <c r="A713" s="50" t="s">
        <v>6102</v>
      </c>
      <c r="B713" s="50" t="s">
        <v>9326</v>
      </c>
      <c r="C713" s="50" t="s">
        <v>5564</v>
      </c>
      <c r="D713" s="17" t="s">
        <v>8913</v>
      </c>
    </row>
    <row r="714" spans="1:4" ht="18">
      <c r="A714" s="50" t="s">
        <v>6103</v>
      </c>
      <c r="B714" s="50" t="s">
        <v>9327</v>
      </c>
      <c r="C714" s="50" t="s">
        <v>5458</v>
      </c>
      <c r="D714" s="17" t="s">
        <v>8912</v>
      </c>
    </row>
    <row r="715" spans="1:4" ht="18">
      <c r="A715" s="50" t="s">
        <v>6103</v>
      </c>
      <c r="B715" s="50" t="s">
        <v>9327</v>
      </c>
      <c r="C715" s="50" t="s">
        <v>5458</v>
      </c>
      <c r="D715" s="17" t="s">
        <v>8912</v>
      </c>
    </row>
    <row r="716" spans="1:4" ht="18">
      <c r="A716" s="50" t="s">
        <v>6093</v>
      </c>
      <c r="B716" s="50" t="s">
        <v>9317</v>
      </c>
      <c r="C716" s="50" t="s">
        <v>5565</v>
      </c>
      <c r="D716" s="17" t="s">
        <v>8913</v>
      </c>
    </row>
    <row r="717" spans="1:4" ht="18">
      <c r="A717" s="50" t="s">
        <v>6094</v>
      </c>
      <c r="B717" s="50" t="s">
        <v>9318</v>
      </c>
      <c r="C717" s="50" t="s">
        <v>5555</v>
      </c>
      <c r="D717" s="17" t="s">
        <v>8912</v>
      </c>
    </row>
    <row r="718" spans="1:4" ht="18">
      <c r="A718" s="50" t="s">
        <v>6094</v>
      </c>
      <c r="B718" s="50" t="s">
        <v>9318</v>
      </c>
      <c r="C718" s="50" t="s">
        <v>5555</v>
      </c>
      <c r="D718" s="17" t="s">
        <v>8912</v>
      </c>
    </row>
    <row r="719" spans="1:4" ht="18">
      <c r="A719" s="50" t="s">
        <v>6099</v>
      </c>
      <c r="B719" s="50" t="s">
        <v>9323</v>
      </c>
      <c r="C719" s="50" t="s">
        <v>5555</v>
      </c>
      <c r="D719" s="17" t="s">
        <v>8913</v>
      </c>
    </row>
    <row r="720" spans="1:4" ht="18">
      <c r="A720" s="50" t="s">
        <v>6104</v>
      </c>
      <c r="B720" s="50" t="s">
        <v>9328</v>
      </c>
      <c r="C720" s="50" t="s">
        <v>5600</v>
      </c>
      <c r="D720" s="17" t="s">
        <v>8912</v>
      </c>
    </row>
    <row r="721" spans="1:4" ht="18">
      <c r="A721" s="50" t="s">
        <v>6105</v>
      </c>
      <c r="B721" s="50" t="s">
        <v>9329</v>
      </c>
      <c r="C721" s="50" t="s">
        <v>5830</v>
      </c>
      <c r="D721" s="17" t="s">
        <v>8912</v>
      </c>
    </row>
    <row r="722" spans="1:4" ht="18">
      <c r="A722" s="50" t="s">
        <v>6104</v>
      </c>
      <c r="B722" s="50" t="s">
        <v>9328</v>
      </c>
      <c r="C722" s="50" t="s">
        <v>5600</v>
      </c>
      <c r="D722" s="17" t="s">
        <v>8912</v>
      </c>
    </row>
    <row r="723" spans="1:4" ht="18">
      <c r="A723" s="50" t="s">
        <v>6106</v>
      </c>
      <c r="B723" s="50" t="s">
        <v>9330</v>
      </c>
      <c r="C723" s="50" t="s">
        <v>5848</v>
      </c>
      <c r="D723" s="17" t="s">
        <v>8912</v>
      </c>
    </row>
    <row r="724" spans="1:4" ht="18">
      <c r="A724" s="50" t="s">
        <v>6104</v>
      </c>
      <c r="B724" s="50" t="s">
        <v>9328</v>
      </c>
      <c r="C724" s="50" t="s">
        <v>5600</v>
      </c>
      <c r="D724" s="17" t="s">
        <v>8912</v>
      </c>
    </row>
    <row r="725" spans="1:4" ht="18">
      <c r="A725" s="50" t="s">
        <v>6106</v>
      </c>
      <c r="B725" s="50" t="s">
        <v>9330</v>
      </c>
      <c r="C725" s="50" t="s">
        <v>5848</v>
      </c>
      <c r="D725" s="17" t="s">
        <v>8912</v>
      </c>
    </row>
    <row r="726" spans="1:4" ht="18">
      <c r="A726" s="50" t="s">
        <v>6107</v>
      </c>
      <c r="B726" s="50" t="s">
        <v>9331</v>
      </c>
      <c r="C726" s="50" t="s">
        <v>5832</v>
      </c>
      <c r="D726" s="17" t="s">
        <v>8913</v>
      </c>
    </row>
    <row r="727" spans="1:4" ht="18">
      <c r="A727" s="50" t="s">
        <v>6106</v>
      </c>
      <c r="B727" s="50" t="s">
        <v>9330</v>
      </c>
      <c r="C727" s="50" t="s">
        <v>5848</v>
      </c>
      <c r="D727" s="17" t="s">
        <v>8912</v>
      </c>
    </row>
    <row r="728" spans="1:4" ht="18">
      <c r="A728" s="50" t="s">
        <v>6106</v>
      </c>
      <c r="B728" s="50" t="s">
        <v>9330</v>
      </c>
      <c r="C728" s="50" t="s">
        <v>5848</v>
      </c>
      <c r="D728" s="17" t="s">
        <v>8912</v>
      </c>
    </row>
    <row r="729" spans="1:4" ht="18">
      <c r="A729" s="50" t="s">
        <v>6106</v>
      </c>
      <c r="B729" s="50" t="s">
        <v>9330</v>
      </c>
      <c r="C729" s="50" t="s">
        <v>5848</v>
      </c>
      <c r="D729" s="17" t="s">
        <v>8912</v>
      </c>
    </row>
    <row r="730" spans="1:4" ht="18">
      <c r="A730" s="50" t="s">
        <v>6108</v>
      </c>
      <c r="B730" s="50" t="s">
        <v>9332</v>
      </c>
      <c r="C730" s="50" t="s">
        <v>5840</v>
      </c>
      <c r="D730" s="17" t="s">
        <v>8912</v>
      </c>
    </row>
    <row r="731" spans="1:4" ht="18">
      <c r="A731" s="50" t="s">
        <v>6109</v>
      </c>
      <c r="B731" s="50" t="s">
        <v>9333</v>
      </c>
      <c r="C731" s="50" t="s">
        <v>5828</v>
      </c>
      <c r="D731" s="17" t="s">
        <v>8912</v>
      </c>
    </row>
    <row r="732" spans="1:4" ht="18">
      <c r="A732" s="50" t="s">
        <v>6109</v>
      </c>
      <c r="B732" s="50" t="s">
        <v>9333</v>
      </c>
      <c r="C732" s="50" t="s">
        <v>5828</v>
      </c>
      <c r="D732" s="17" t="s">
        <v>8912</v>
      </c>
    </row>
    <row r="733" spans="1:4" ht="18">
      <c r="A733" s="50" t="s">
        <v>6110</v>
      </c>
      <c r="B733" s="50" t="s">
        <v>9334</v>
      </c>
      <c r="C733" s="50" t="s">
        <v>5843</v>
      </c>
      <c r="D733" s="17" t="s">
        <v>8913</v>
      </c>
    </row>
    <row r="734" spans="1:4" ht="18">
      <c r="A734" s="50" t="s">
        <v>6111</v>
      </c>
      <c r="B734" s="50" t="s">
        <v>9335</v>
      </c>
      <c r="C734" s="50" t="s">
        <v>5843</v>
      </c>
      <c r="D734" s="17" t="s">
        <v>8914</v>
      </c>
    </row>
    <row r="735" spans="1:4" ht="18">
      <c r="A735" s="50" t="s">
        <v>6112</v>
      </c>
      <c r="B735" s="50" t="s">
        <v>9336</v>
      </c>
      <c r="C735" s="50" t="s">
        <v>5835</v>
      </c>
      <c r="D735" s="17" t="s">
        <v>8912</v>
      </c>
    </row>
    <row r="736" spans="1:4" ht="18">
      <c r="A736" s="50" t="s">
        <v>6109</v>
      </c>
      <c r="B736" s="50" t="s">
        <v>9333</v>
      </c>
      <c r="C736" s="50" t="s">
        <v>5828</v>
      </c>
      <c r="D736" s="17" t="s">
        <v>8912</v>
      </c>
    </row>
    <row r="737" spans="1:4" ht="18">
      <c r="A737" s="50" t="s">
        <v>6113</v>
      </c>
      <c r="B737" s="50" t="s">
        <v>9337</v>
      </c>
      <c r="C737" s="50" t="s">
        <v>5832</v>
      </c>
      <c r="D737" s="17" t="s">
        <v>8913</v>
      </c>
    </row>
    <row r="738" spans="1:4" ht="18">
      <c r="A738" s="50" t="s">
        <v>6109</v>
      </c>
      <c r="B738" s="50" t="s">
        <v>9333</v>
      </c>
      <c r="C738" s="50" t="s">
        <v>5828</v>
      </c>
      <c r="D738" s="17" t="s">
        <v>8912</v>
      </c>
    </row>
    <row r="739" spans="1:4" ht="18">
      <c r="A739" s="50" t="s">
        <v>6109</v>
      </c>
      <c r="B739" s="50" t="s">
        <v>9333</v>
      </c>
      <c r="C739" s="50" t="s">
        <v>5828</v>
      </c>
      <c r="D739" s="17" t="s">
        <v>8912</v>
      </c>
    </row>
    <row r="740" spans="1:4" ht="18">
      <c r="A740" s="50" t="s">
        <v>6114</v>
      </c>
      <c r="B740" s="50" t="s">
        <v>9338</v>
      </c>
      <c r="C740" s="50" t="s">
        <v>5830</v>
      </c>
      <c r="D740" s="17" t="s">
        <v>8912</v>
      </c>
    </row>
    <row r="741" spans="1:4" ht="18">
      <c r="A741" s="50" t="s">
        <v>6115</v>
      </c>
      <c r="B741" s="50" t="s">
        <v>9339</v>
      </c>
      <c r="C741" s="50" t="s">
        <v>5496</v>
      </c>
      <c r="D741" s="17" t="s">
        <v>8912</v>
      </c>
    </row>
    <row r="742" spans="1:4" ht="18">
      <c r="A742" s="50" t="s">
        <v>6114</v>
      </c>
      <c r="B742" s="50" t="s">
        <v>9338</v>
      </c>
      <c r="C742" s="50" t="s">
        <v>5830</v>
      </c>
      <c r="D742" s="17" t="s">
        <v>8912</v>
      </c>
    </row>
    <row r="743" spans="1:4" ht="18">
      <c r="A743" s="50" t="s">
        <v>6114</v>
      </c>
      <c r="B743" s="50" t="s">
        <v>9338</v>
      </c>
      <c r="C743" s="50" t="s">
        <v>5830</v>
      </c>
      <c r="D743" s="17" t="s">
        <v>8912</v>
      </c>
    </row>
    <row r="744" spans="1:4" ht="18">
      <c r="A744" s="50" t="s">
        <v>6114</v>
      </c>
      <c r="B744" s="50" t="s">
        <v>9338</v>
      </c>
      <c r="C744" s="50" t="s">
        <v>5830</v>
      </c>
      <c r="D744" s="17" t="s">
        <v>8912</v>
      </c>
    </row>
    <row r="745" spans="1:4" ht="18">
      <c r="A745" s="50" t="s">
        <v>6114</v>
      </c>
      <c r="B745" s="50" t="s">
        <v>9338</v>
      </c>
      <c r="C745" s="50" t="s">
        <v>5830</v>
      </c>
      <c r="D745" s="17" t="s">
        <v>8912</v>
      </c>
    </row>
    <row r="746" spans="1:4" ht="18">
      <c r="A746" s="50" t="s">
        <v>6116</v>
      </c>
      <c r="B746" s="50" t="s">
        <v>9340</v>
      </c>
      <c r="C746" s="50" t="s">
        <v>5835</v>
      </c>
      <c r="D746" s="17" t="s">
        <v>8912</v>
      </c>
    </row>
    <row r="747" spans="1:4" ht="18">
      <c r="A747" s="50" t="s">
        <v>6116</v>
      </c>
      <c r="B747" s="50" t="s">
        <v>9340</v>
      </c>
      <c r="C747" s="50" t="s">
        <v>5835</v>
      </c>
      <c r="D747" s="17" t="s">
        <v>8912</v>
      </c>
    </row>
    <row r="748" spans="1:4" ht="18">
      <c r="A748" s="50" t="s">
        <v>6116</v>
      </c>
      <c r="B748" s="50" t="s">
        <v>9340</v>
      </c>
      <c r="C748" s="50" t="s">
        <v>5835</v>
      </c>
      <c r="D748" s="17" t="s">
        <v>8912</v>
      </c>
    </row>
    <row r="749" spans="1:4" ht="18">
      <c r="A749" s="50" t="s">
        <v>6117</v>
      </c>
      <c r="B749" s="50" t="s">
        <v>9341</v>
      </c>
      <c r="C749" s="50" t="s">
        <v>5832</v>
      </c>
      <c r="D749" s="17" t="s">
        <v>8913</v>
      </c>
    </row>
    <row r="750" spans="1:4" ht="18">
      <c r="A750" s="50" t="s">
        <v>6109</v>
      </c>
      <c r="B750" s="50" t="s">
        <v>9333</v>
      </c>
      <c r="C750" s="50" t="s">
        <v>5828</v>
      </c>
      <c r="D750" s="17" t="s">
        <v>8912</v>
      </c>
    </row>
    <row r="751" spans="1:4" ht="18">
      <c r="A751" s="50" t="s">
        <v>6118</v>
      </c>
      <c r="B751" s="50" t="s">
        <v>9342</v>
      </c>
      <c r="C751" s="50" t="s">
        <v>5843</v>
      </c>
      <c r="D751" s="17" t="s">
        <v>8912</v>
      </c>
    </row>
    <row r="752" spans="1:4" ht="18">
      <c r="A752" s="50" t="s">
        <v>6119</v>
      </c>
      <c r="B752" s="50" t="s">
        <v>9343</v>
      </c>
      <c r="C752" s="50" t="s">
        <v>5835</v>
      </c>
      <c r="D752" s="17" t="s">
        <v>8912</v>
      </c>
    </row>
    <row r="753" spans="1:4" ht="18">
      <c r="A753" s="50" t="s">
        <v>6120</v>
      </c>
      <c r="B753" s="50" t="s">
        <v>9344</v>
      </c>
      <c r="C753" s="50" t="s">
        <v>5600</v>
      </c>
      <c r="D753" s="17" t="s">
        <v>8912</v>
      </c>
    </row>
    <row r="754" spans="1:4" ht="18">
      <c r="A754" s="50" t="s">
        <v>6121</v>
      </c>
      <c r="B754" s="50" t="s">
        <v>9345</v>
      </c>
      <c r="C754" s="50" t="s">
        <v>5849</v>
      </c>
      <c r="D754" s="17" t="s">
        <v>8912</v>
      </c>
    </row>
    <row r="755" spans="1:4" ht="18">
      <c r="A755" s="50" t="s">
        <v>6119</v>
      </c>
      <c r="B755" s="50" t="s">
        <v>9343</v>
      </c>
      <c r="C755" s="50" t="s">
        <v>5835</v>
      </c>
      <c r="D755" s="17" t="s">
        <v>8912</v>
      </c>
    </row>
    <row r="756" spans="1:4" ht="18">
      <c r="A756" s="50" t="s">
        <v>6122</v>
      </c>
      <c r="B756" s="50" t="s">
        <v>9346</v>
      </c>
      <c r="C756" s="50" t="s">
        <v>5840</v>
      </c>
      <c r="D756" s="17" t="s">
        <v>8912</v>
      </c>
    </row>
    <row r="757" spans="1:4" ht="18">
      <c r="A757" s="50" t="s">
        <v>6122</v>
      </c>
      <c r="B757" s="50" t="s">
        <v>9346</v>
      </c>
      <c r="C757" s="50" t="s">
        <v>5840</v>
      </c>
      <c r="D757" s="17" t="s">
        <v>8912</v>
      </c>
    </row>
    <row r="758" spans="1:4" ht="18">
      <c r="A758" s="50" t="s">
        <v>6115</v>
      </c>
      <c r="B758" s="50" t="s">
        <v>9339</v>
      </c>
      <c r="C758" s="50" t="s">
        <v>5496</v>
      </c>
      <c r="D758" s="17" t="s">
        <v>8912</v>
      </c>
    </row>
    <row r="759" spans="1:4" ht="18">
      <c r="A759" s="50" t="s">
        <v>6122</v>
      </c>
      <c r="B759" s="50" t="s">
        <v>9346</v>
      </c>
      <c r="C759" s="50" t="s">
        <v>5840</v>
      </c>
      <c r="D759" s="17" t="s">
        <v>8912</v>
      </c>
    </row>
    <row r="760" spans="1:4" ht="18">
      <c r="A760" s="50" t="s">
        <v>6120</v>
      </c>
      <c r="B760" s="50" t="s">
        <v>9344</v>
      </c>
      <c r="C760" s="50" t="s">
        <v>5600</v>
      </c>
      <c r="D760" s="17" t="s">
        <v>8912</v>
      </c>
    </row>
    <row r="761" spans="1:4" ht="18">
      <c r="A761" s="50" t="s">
        <v>6121</v>
      </c>
      <c r="B761" s="50" t="s">
        <v>9345</v>
      </c>
      <c r="C761" s="50" t="s">
        <v>5849</v>
      </c>
      <c r="D761" s="17" t="s">
        <v>8912</v>
      </c>
    </row>
    <row r="762" spans="1:4" ht="18">
      <c r="A762" s="50" t="s">
        <v>6123</v>
      </c>
      <c r="B762" s="50" t="s">
        <v>9347</v>
      </c>
      <c r="C762" s="50" t="s">
        <v>5839</v>
      </c>
      <c r="D762" s="17" t="s">
        <v>8912</v>
      </c>
    </row>
    <row r="763" spans="1:4" ht="18">
      <c r="A763" s="50" t="s">
        <v>6124</v>
      </c>
      <c r="B763" s="50" t="s">
        <v>9348</v>
      </c>
      <c r="C763" s="50" t="s">
        <v>5849</v>
      </c>
      <c r="D763" s="17" t="s">
        <v>8912</v>
      </c>
    </row>
    <row r="764" spans="1:4" ht="18">
      <c r="A764" s="50" t="s">
        <v>6125</v>
      </c>
      <c r="B764" s="50" t="s">
        <v>9349</v>
      </c>
      <c r="C764" s="50" t="s">
        <v>5843</v>
      </c>
      <c r="D764" s="17" t="s">
        <v>8913</v>
      </c>
    </row>
    <row r="765" spans="1:4" ht="18">
      <c r="A765" s="50" t="s">
        <v>6121</v>
      </c>
      <c r="B765" s="50" t="s">
        <v>9345</v>
      </c>
      <c r="C765" s="50" t="s">
        <v>5849</v>
      </c>
      <c r="D765" s="17" t="s">
        <v>8912</v>
      </c>
    </row>
    <row r="766" spans="1:4" ht="18">
      <c r="A766" s="50" t="s">
        <v>6123</v>
      </c>
      <c r="B766" s="50" t="s">
        <v>9347</v>
      </c>
      <c r="C766" s="50" t="s">
        <v>5839</v>
      </c>
      <c r="D766" s="17" t="s">
        <v>8912</v>
      </c>
    </row>
    <row r="767" spans="1:4" ht="18">
      <c r="A767" s="50" t="s">
        <v>6126</v>
      </c>
      <c r="B767" s="50" t="s">
        <v>9350</v>
      </c>
      <c r="C767" s="50" t="s">
        <v>5077</v>
      </c>
      <c r="D767" s="17" t="s">
        <v>8913</v>
      </c>
    </row>
    <row r="768" spans="1:4" ht="18">
      <c r="A768" s="50" t="s">
        <v>6126</v>
      </c>
      <c r="B768" s="50" t="s">
        <v>9350</v>
      </c>
      <c r="C768" s="50" t="s">
        <v>5077</v>
      </c>
      <c r="D768" s="17" t="s">
        <v>8913</v>
      </c>
    </row>
    <row r="769" spans="1:4" ht="18">
      <c r="A769" s="50" t="s">
        <v>6126</v>
      </c>
      <c r="B769" s="50" t="s">
        <v>9350</v>
      </c>
      <c r="C769" s="50" t="s">
        <v>5077</v>
      </c>
      <c r="D769" s="17" t="s">
        <v>8913</v>
      </c>
    </row>
    <row r="770" spans="1:4" ht="18">
      <c r="A770" s="50" t="s">
        <v>6126</v>
      </c>
      <c r="B770" s="50" t="s">
        <v>9350</v>
      </c>
      <c r="C770" s="50" t="s">
        <v>5077</v>
      </c>
      <c r="D770" s="17" t="s">
        <v>8913</v>
      </c>
    </row>
    <row r="771" spans="1:4" ht="18">
      <c r="A771" s="50" t="s">
        <v>6127</v>
      </c>
      <c r="B771" s="50" t="s">
        <v>9351</v>
      </c>
      <c r="C771" s="50" t="s">
        <v>5418</v>
      </c>
      <c r="D771" s="17" t="s">
        <v>8913</v>
      </c>
    </row>
    <row r="772" spans="1:4" ht="18">
      <c r="A772" s="50" t="s">
        <v>6132</v>
      </c>
      <c r="B772" s="50" t="s">
        <v>9352</v>
      </c>
      <c r="C772" s="50" t="s">
        <v>5480</v>
      </c>
      <c r="D772" s="17" t="s">
        <v>8913</v>
      </c>
    </row>
    <row r="773" spans="1:4" ht="18">
      <c r="A773" s="50" t="s">
        <v>6132</v>
      </c>
      <c r="B773" s="50" t="s">
        <v>9352</v>
      </c>
      <c r="C773" s="50" t="s">
        <v>5480</v>
      </c>
      <c r="D773" s="17" t="s">
        <v>8913</v>
      </c>
    </row>
    <row r="774" spans="1:4" ht="18">
      <c r="A774" s="50" t="s">
        <v>6132</v>
      </c>
      <c r="B774" s="50" t="s">
        <v>9352</v>
      </c>
      <c r="C774" s="50" t="s">
        <v>5480</v>
      </c>
      <c r="D774" s="17" t="s">
        <v>8913</v>
      </c>
    </row>
    <row r="775" spans="1:4" ht="18">
      <c r="A775" s="50" t="s">
        <v>6133</v>
      </c>
      <c r="B775" s="50" t="s">
        <v>9353</v>
      </c>
      <c r="C775" s="50" t="s">
        <v>5483</v>
      </c>
      <c r="D775" s="17" t="s">
        <v>8913</v>
      </c>
    </row>
    <row r="776" spans="1:4" ht="18">
      <c r="A776" s="50" t="s">
        <v>6134</v>
      </c>
      <c r="B776" s="50" t="s">
        <v>9354</v>
      </c>
      <c r="C776" s="50" t="s">
        <v>6243</v>
      </c>
      <c r="D776" s="17" t="s">
        <v>8912</v>
      </c>
    </row>
    <row r="777" spans="1:4" ht="18">
      <c r="A777" s="50" t="s">
        <v>6135</v>
      </c>
      <c r="B777" s="50" t="s">
        <v>9355</v>
      </c>
      <c r="C777" s="50" t="s">
        <v>6244</v>
      </c>
      <c r="D777" s="17" t="s">
        <v>8912</v>
      </c>
    </row>
    <row r="778" spans="1:4" ht="18">
      <c r="A778" s="50" t="s">
        <v>6136</v>
      </c>
      <c r="B778" s="50" t="s">
        <v>9356</v>
      </c>
      <c r="C778" s="50" t="s">
        <v>6245</v>
      </c>
      <c r="D778" s="17" t="s">
        <v>8912</v>
      </c>
    </row>
    <row r="779" spans="1:4" ht="18">
      <c r="A779" s="50" t="s">
        <v>6135</v>
      </c>
      <c r="B779" s="50" t="s">
        <v>9355</v>
      </c>
      <c r="C779" s="50" t="s">
        <v>6244</v>
      </c>
      <c r="D779" s="17" t="s">
        <v>8912</v>
      </c>
    </row>
    <row r="780" spans="1:4" ht="18">
      <c r="A780" s="50" t="s">
        <v>6137</v>
      </c>
      <c r="B780" s="50" t="s">
        <v>9357</v>
      </c>
      <c r="C780" s="50" t="s">
        <v>6246</v>
      </c>
      <c r="D780" s="17" t="s">
        <v>8912</v>
      </c>
    </row>
    <row r="781" spans="1:4" ht="18">
      <c r="A781" s="50" t="s">
        <v>6136</v>
      </c>
      <c r="B781" s="50" t="s">
        <v>9356</v>
      </c>
      <c r="C781" s="50" t="s">
        <v>6245</v>
      </c>
      <c r="D781" s="17" t="s">
        <v>8912</v>
      </c>
    </row>
    <row r="782" spans="1:4" ht="18">
      <c r="A782" s="50" t="s">
        <v>6136</v>
      </c>
      <c r="B782" s="50" t="s">
        <v>9356</v>
      </c>
      <c r="C782" s="50" t="s">
        <v>6245</v>
      </c>
      <c r="D782" s="17" t="s">
        <v>8912</v>
      </c>
    </row>
    <row r="783" spans="1:4" ht="18">
      <c r="A783" s="50" t="s">
        <v>6136</v>
      </c>
      <c r="B783" s="50" t="s">
        <v>9356</v>
      </c>
      <c r="C783" s="50" t="s">
        <v>6245</v>
      </c>
      <c r="D783" s="17" t="s">
        <v>8912</v>
      </c>
    </row>
    <row r="784" spans="1:4" ht="18">
      <c r="A784" s="50" t="s">
        <v>6134</v>
      </c>
      <c r="B784" s="50" t="s">
        <v>9354</v>
      </c>
      <c r="C784" s="50" t="s">
        <v>6243</v>
      </c>
      <c r="D784" s="17" t="s">
        <v>8912</v>
      </c>
    </row>
    <row r="785" spans="1:4" ht="18">
      <c r="A785" s="50" t="s">
        <v>6138</v>
      </c>
      <c r="B785" s="50" t="s">
        <v>9358</v>
      </c>
      <c r="C785" s="50" t="s">
        <v>6243</v>
      </c>
      <c r="D785" s="17" t="s">
        <v>8912</v>
      </c>
    </row>
    <row r="786" spans="1:4" ht="18">
      <c r="A786" s="50" t="s">
        <v>6139</v>
      </c>
      <c r="B786" s="50" t="s">
        <v>9359</v>
      </c>
      <c r="C786" s="50" t="s">
        <v>6246</v>
      </c>
      <c r="D786" s="17" t="s">
        <v>8912</v>
      </c>
    </row>
    <row r="787" spans="1:4" ht="18">
      <c r="A787" s="50" t="s">
        <v>6139</v>
      </c>
      <c r="B787" s="50" t="s">
        <v>9359</v>
      </c>
      <c r="C787" s="50" t="s">
        <v>6246</v>
      </c>
      <c r="D787" s="17" t="s">
        <v>8912</v>
      </c>
    </row>
    <row r="788" spans="1:4" ht="18">
      <c r="A788" s="50" t="s">
        <v>6140</v>
      </c>
      <c r="B788" s="50" t="s">
        <v>9360</v>
      </c>
      <c r="C788" s="50" t="s">
        <v>6243</v>
      </c>
      <c r="D788" s="17" t="s">
        <v>8912</v>
      </c>
    </row>
    <row r="789" spans="1:4" ht="18">
      <c r="A789" s="50" t="s">
        <v>6141</v>
      </c>
      <c r="B789" s="50" t="s">
        <v>9361</v>
      </c>
      <c r="C789" s="50" t="s">
        <v>6247</v>
      </c>
      <c r="D789" s="17" t="s">
        <v>8912</v>
      </c>
    </row>
    <row r="790" spans="1:4" ht="18">
      <c r="A790" s="50" t="s">
        <v>6142</v>
      </c>
      <c r="B790" s="50" t="s">
        <v>9362</v>
      </c>
      <c r="C790" s="50" t="s">
        <v>5850</v>
      </c>
      <c r="D790" s="17" t="s">
        <v>8913</v>
      </c>
    </row>
    <row r="791" spans="1:4" ht="18">
      <c r="A791" s="50" t="s">
        <v>6143</v>
      </c>
      <c r="B791" s="50" t="s">
        <v>9363</v>
      </c>
      <c r="C791" s="50" t="s">
        <v>6248</v>
      </c>
      <c r="D791" s="17" t="s">
        <v>8912</v>
      </c>
    </row>
    <row r="792" spans="1:4" ht="18">
      <c r="A792" s="50" t="s">
        <v>6141</v>
      </c>
      <c r="B792" s="50" t="s">
        <v>9361</v>
      </c>
      <c r="C792" s="50" t="s">
        <v>6247</v>
      </c>
      <c r="D792" s="17" t="s">
        <v>8912</v>
      </c>
    </row>
    <row r="793" spans="1:4" ht="18">
      <c r="A793" s="50" t="s">
        <v>6144</v>
      </c>
      <c r="B793" s="50" t="s">
        <v>9364</v>
      </c>
      <c r="C793" s="50" t="s">
        <v>6248</v>
      </c>
      <c r="D793" s="17" t="s">
        <v>8912</v>
      </c>
    </row>
    <row r="794" spans="1:4" ht="18">
      <c r="A794" s="50" t="s">
        <v>6145</v>
      </c>
      <c r="B794" s="50" t="s">
        <v>9365</v>
      </c>
      <c r="C794" s="50" t="s">
        <v>6249</v>
      </c>
      <c r="D794" s="17" t="s">
        <v>8912</v>
      </c>
    </row>
    <row r="795" spans="1:4" ht="18">
      <c r="A795" s="50" t="s">
        <v>6146</v>
      </c>
      <c r="B795" s="50" t="s">
        <v>9366</v>
      </c>
      <c r="C795" s="50" t="s">
        <v>6243</v>
      </c>
      <c r="D795" s="17" t="s">
        <v>8912</v>
      </c>
    </row>
    <row r="796" spans="1:4" ht="18">
      <c r="A796" s="50" t="s">
        <v>6146</v>
      </c>
      <c r="B796" s="50" t="s">
        <v>9366</v>
      </c>
      <c r="C796" s="50" t="s">
        <v>6243</v>
      </c>
      <c r="D796" s="17" t="s">
        <v>8912</v>
      </c>
    </row>
    <row r="797" spans="1:4" ht="18">
      <c r="A797" s="50" t="s">
        <v>6147</v>
      </c>
      <c r="B797" s="50" t="s">
        <v>9367</v>
      </c>
      <c r="C797" s="50" t="s">
        <v>6075</v>
      </c>
      <c r="D797" s="17" t="s">
        <v>8912</v>
      </c>
    </row>
    <row r="798" spans="1:4" ht="18">
      <c r="A798" s="50" t="s">
        <v>6148</v>
      </c>
      <c r="B798" s="50" t="s">
        <v>9368</v>
      </c>
      <c r="C798" s="50" t="s">
        <v>6247</v>
      </c>
      <c r="D798" s="17" t="s">
        <v>8912</v>
      </c>
    </row>
    <row r="799" spans="1:4" ht="18">
      <c r="A799" s="50" t="s">
        <v>6148</v>
      </c>
      <c r="B799" s="50" t="s">
        <v>9368</v>
      </c>
      <c r="C799" s="50" t="s">
        <v>6247</v>
      </c>
      <c r="D799" s="17" t="s">
        <v>8912</v>
      </c>
    </row>
    <row r="800" spans="1:4" ht="18">
      <c r="A800" s="50" t="s">
        <v>6145</v>
      </c>
      <c r="B800" s="50" t="s">
        <v>9365</v>
      </c>
      <c r="C800" s="50" t="s">
        <v>6249</v>
      </c>
      <c r="D800" s="17" t="s">
        <v>8912</v>
      </c>
    </row>
    <row r="801" spans="1:4" ht="18">
      <c r="A801" s="50" t="s">
        <v>6146</v>
      </c>
      <c r="B801" s="50" t="s">
        <v>9366</v>
      </c>
      <c r="C801" s="50" t="s">
        <v>6243</v>
      </c>
      <c r="D801" s="17" t="s">
        <v>8912</v>
      </c>
    </row>
    <row r="802" spans="1:4" ht="18">
      <c r="A802" s="50" t="s">
        <v>6146</v>
      </c>
      <c r="B802" s="50" t="s">
        <v>9366</v>
      </c>
      <c r="C802" s="50" t="s">
        <v>6243</v>
      </c>
      <c r="D802" s="17" t="s">
        <v>8912</v>
      </c>
    </row>
    <row r="803" spans="1:4" ht="18">
      <c r="A803" s="50" t="s">
        <v>6148</v>
      </c>
      <c r="B803" s="50" t="s">
        <v>9368</v>
      </c>
      <c r="C803" s="50" t="s">
        <v>6247</v>
      </c>
      <c r="D803" s="17" t="s">
        <v>8912</v>
      </c>
    </row>
    <row r="804" spans="1:4" ht="18">
      <c r="A804" s="50" t="s">
        <v>6144</v>
      </c>
      <c r="B804" s="50" t="s">
        <v>9364</v>
      </c>
      <c r="C804" s="50" t="s">
        <v>6248</v>
      </c>
      <c r="D804" s="17" t="s">
        <v>8912</v>
      </c>
    </row>
    <row r="805" spans="1:4" ht="18">
      <c r="A805" s="50" t="s">
        <v>6149</v>
      </c>
      <c r="B805" s="50" t="s">
        <v>9369</v>
      </c>
      <c r="C805" s="50" t="s">
        <v>6245</v>
      </c>
      <c r="D805" s="17" t="s">
        <v>8912</v>
      </c>
    </row>
    <row r="806" spans="1:4" ht="18">
      <c r="A806" s="50" t="s">
        <v>6147</v>
      </c>
      <c r="B806" s="50" t="s">
        <v>9367</v>
      </c>
      <c r="C806" s="50" t="s">
        <v>6075</v>
      </c>
      <c r="D806" s="17" t="s">
        <v>8912</v>
      </c>
    </row>
    <row r="807" spans="1:4" ht="18">
      <c r="A807" s="50" t="s">
        <v>6150</v>
      </c>
      <c r="B807" s="50" t="s">
        <v>9370</v>
      </c>
      <c r="C807" s="50" t="s">
        <v>6245</v>
      </c>
      <c r="D807" s="17" t="s">
        <v>8913</v>
      </c>
    </row>
    <row r="808" spans="1:4" ht="18">
      <c r="A808" s="50" t="s">
        <v>6147</v>
      </c>
      <c r="B808" s="50" t="s">
        <v>9367</v>
      </c>
      <c r="C808" s="50" t="s">
        <v>6075</v>
      </c>
      <c r="D808" s="17" t="s">
        <v>8912</v>
      </c>
    </row>
    <row r="809" spans="1:4" ht="18">
      <c r="A809" s="50" t="s">
        <v>6151</v>
      </c>
      <c r="B809" s="50" t="s">
        <v>9371</v>
      </c>
      <c r="C809" s="50" t="s">
        <v>6248</v>
      </c>
      <c r="D809" s="17" t="s">
        <v>8913</v>
      </c>
    </row>
    <row r="810" spans="1:4" ht="18">
      <c r="A810" s="50" t="s">
        <v>6152</v>
      </c>
      <c r="B810" s="50" t="s">
        <v>9372</v>
      </c>
      <c r="C810" s="50" t="s">
        <v>6247</v>
      </c>
      <c r="D810" s="17" t="s">
        <v>8912</v>
      </c>
    </row>
    <row r="811" spans="1:4" ht="18">
      <c r="A811" s="50" t="s">
        <v>6153</v>
      </c>
      <c r="B811" s="50" t="s">
        <v>9373</v>
      </c>
      <c r="C811" s="50" t="s">
        <v>6250</v>
      </c>
      <c r="D811" s="17" t="s">
        <v>8912</v>
      </c>
    </row>
    <row r="812" spans="1:4" ht="18">
      <c r="A812" s="50" t="s">
        <v>6154</v>
      </c>
      <c r="B812" s="50" t="s">
        <v>9374</v>
      </c>
      <c r="C812" s="50" t="s">
        <v>6250</v>
      </c>
      <c r="D812" s="17" t="s">
        <v>8913</v>
      </c>
    </row>
    <row r="813" spans="1:4" ht="18">
      <c r="A813" s="50" t="s">
        <v>6155</v>
      </c>
      <c r="B813" s="50" t="s">
        <v>9375</v>
      </c>
      <c r="C813" s="50" t="s">
        <v>6243</v>
      </c>
      <c r="D813" s="17" t="s">
        <v>8912</v>
      </c>
    </row>
    <row r="814" spans="1:4" ht="18">
      <c r="A814" s="50" t="s">
        <v>6156</v>
      </c>
      <c r="B814" s="50" t="s">
        <v>9376</v>
      </c>
      <c r="C814" s="50" t="s">
        <v>6249</v>
      </c>
      <c r="D814" s="17" t="s">
        <v>8912</v>
      </c>
    </row>
    <row r="815" spans="1:4" ht="18">
      <c r="A815" s="50" t="s">
        <v>6157</v>
      </c>
      <c r="B815" s="50" t="s">
        <v>9377</v>
      </c>
      <c r="C815" s="50" t="s">
        <v>6245</v>
      </c>
      <c r="D815" s="17" t="s">
        <v>8912</v>
      </c>
    </row>
    <row r="816" spans="1:4" ht="18">
      <c r="A816" s="50" t="s">
        <v>6158</v>
      </c>
      <c r="B816" s="50" t="s">
        <v>9378</v>
      </c>
      <c r="C816" s="50" t="s">
        <v>6249</v>
      </c>
      <c r="D816" s="17" t="s">
        <v>8912</v>
      </c>
    </row>
    <row r="817" spans="1:4" ht="18">
      <c r="A817" s="50" t="s">
        <v>6158</v>
      </c>
      <c r="B817" s="50" t="s">
        <v>9378</v>
      </c>
      <c r="C817" s="50" t="s">
        <v>6249</v>
      </c>
      <c r="D817" s="17" t="s">
        <v>8912</v>
      </c>
    </row>
    <row r="818" spans="1:4" ht="18">
      <c r="A818" s="50" t="s">
        <v>6154</v>
      </c>
      <c r="B818" s="50" t="s">
        <v>9374</v>
      </c>
      <c r="C818" s="50" t="s">
        <v>6250</v>
      </c>
      <c r="D818" s="17" t="s">
        <v>8913</v>
      </c>
    </row>
    <row r="819" spans="1:4" ht="18">
      <c r="A819" s="50" t="s">
        <v>6159</v>
      </c>
      <c r="B819" s="50" t="s">
        <v>9379</v>
      </c>
      <c r="C819" s="50" t="s">
        <v>6246</v>
      </c>
      <c r="D819" s="17" t="s">
        <v>8912</v>
      </c>
    </row>
    <row r="820" spans="1:4" ht="18">
      <c r="A820" s="50" t="s">
        <v>6159</v>
      </c>
      <c r="B820" s="50" t="s">
        <v>9379</v>
      </c>
      <c r="C820" s="50" t="s">
        <v>6246</v>
      </c>
      <c r="D820" s="17" t="s">
        <v>8912</v>
      </c>
    </row>
    <row r="821" spans="1:4" ht="18">
      <c r="A821" s="50" t="s">
        <v>6143</v>
      </c>
      <c r="B821" s="50" t="s">
        <v>9363</v>
      </c>
      <c r="C821" s="50" t="s">
        <v>6248</v>
      </c>
      <c r="D821" s="17" t="s">
        <v>8912</v>
      </c>
    </row>
    <row r="822" spans="1:4" ht="18">
      <c r="A822" s="50" t="s">
        <v>6160</v>
      </c>
      <c r="B822" s="50" t="s">
        <v>9380</v>
      </c>
      <c r="C822" s="50" t="s">
        <v>6075</v>
      </c>
      <c r="D822" s="17" t="s">
        <v>8912</v>
      </c>
    </row>
    <row r="823" spans="1:4" ht="18">
      <c r="A823" s="50" t="s">
        <v>6161</v>
      </c>
      <c r="B823" s="50" t="s">
        <v>9381</v>
      </c>
      <c r="C823" s="50" t="s">
        <v>6243</v>
      </c>
      <c r="D823" s="17" t="s">
        <v>8912</v>
      </c>
    </row>
    <row r="824" spans="1:4" ht="18">
      <c r="A824" s="50" t="s">
        <v>6162</v>
      </c>
      <c r="B824" s="50" t="s">
        <v>9382</v>
      </c>
      <c r="C824" s="50" t="s">
        <v>5857</v>
      </c>
      <c r="D824" s="17" t="s">
        <v>8912</v>
      </c>
    </row>
    <row r="825" spans="1:4" ht="18">
      <c r="A825" s="50" t="s">
        <v>6161</v>
      </c>
      <c r="B825" s="50" t="s">
        <v>9381</v>
      </c>
      <c r="C825" s="50" t="s">
        <v>6243</v>
      </c>
      <c r="D825" s="17" t="s">
        <v>8912</v>
      </c>
    </row>
    <row r="826" spans="1:4" ht="18">
      <c r="A826" s="50" t="s">
        <v>6163</v>
      </c>
      <c r="B826" s="50" t="s">
        <v>9383</v>
      </c>
      <c r="C826" s="50" t="s">
        <v>6251</v>
      </c>
      <c r="D826" s="17" t="s">
        <v>8912</v>
      </c>
    </row>
    <row r="827" spans="1:4" ht="18">
      <c r="A827" s="50" t="s">
        <v>6161</v>
      </c>
      <c r="B827" s="50" t="s">
        <v>9381</v>
      </c>
      <c r="C827" s="50" t="s">
        <v>6243</v>
      </c>
      <c r="D827" s="17" t="s">
        <v>8912</v>
      </c>
    </row>
    <row r="828" spans="1:4" ht="18">
      <c r="A828" s="50" t="s">
        <v>6164</v>
      </c>
      <c r="B828" s="50" t="s">
        <v>9384</v>
      </c>
      <c r="C828" s="50" t="s">
        <v>5850</v>
      </c>
      <c r="D828" s="17" t="s">
        <v>8912</v>
      </c>
    </row>
    <row r="829" spans="1:4" ht="18">
      <c r="A829" s="50" t="s">
        <v>6163</v>
      </c>
      <c r="B829" s="50" t="s">
        <v>9383</v>
      </c>
      <c r="C829" s="50" t="s">
        <v>6251</v>
      </c>
      <c r="D829" s="17" t="s">
        <v>8912</v>
      </c>
    </row>
    <row r="830" spans="1:4" ht="18">
      <c r="A830" s="50" t="s">
        <v>6165</v>
      </c>
      <c r="B830" s="50" t="s">
        <v>9385</v>
      </c>
      <c r="C830" s="50" t="s">
        <v>6248</v>
      </c>
      <c r="D830" s="17" t="s">
        <v>8913</v>
      </c>
    </row>
    <row r="831" spans="1:4" ht="18">
      <c r="A831" s="50" t="s">
        <v>6166</v>
      </c>
      <c r="B831" s="50" t="s">
        <v>9386</v>
      </c>
      <c r="C831" s="50" t="s">
        <v>6245</v>
      </c>
      <c r="D831" s="17" t="s">
        <v>8912</v>
      </c>
    </row>
    <row r="832" spans="1:4" ht="18">
      <c r="A832" s="50" t="s">
        <v>6166</v>
      </c>
      <c r="B832" s="50" t="s">
        <v>9386</v>
      </c>
      <c r="C832" s="50" t="s">
        <v>6245</v>
      </c>
      <c r="D832" s="17" t="s">
        <v>8912</v>
      </c>
    </row>
    <row r="833" spans="1:4" ht="18">
      <c r="A833" s="50" t="s">
        <v>6146</v>
      </c>
      <c r="B833" s="50" t="s">
        <v>9366</v>
      </c>
      <c r="C833" s="50" t="s">
        <v>6243</v>
      </c>
      <c r="D833" s="17" t="s">
        <v>8912</v>
      </c>
    </row>
    <row r="834" spans="1:4" ht="18">
      <c r="A834" s="50" t="s">
        <v>6167</v>
      </c>
      <c r="B834" s="50" t="s">
        <v>9387</v>
      </c>
      <c r="C834" s="50" t="s">
        <v>6245</v>
      </c>
      <c r="D834" s="17" t="s">
        <v>8912</v>
      </c>
    </row>
    <row r="835" spans="1:4" ht="18">
      <c r="A835" s="50" t="s">
        <v>6152</v>
      </c>
      <c r="B835" s="50" t="s">
        <v>9372</v>
      </c>
      <c r="C835" s="50" t="s">
        <v>6247</v>
      </c>
      <c r="D835" s="17" t="s">
        <v>8912</v>
      </c>
    </row>
    <row r="836" spans="1:4" ht="18">
      <c r="A836" s="50" t="s">
        <v>6153</v>
      </c>
      <c r="B836" s="50" t="s">
        <v>9373</v>
      </c>
      <c r="C836" s="50" t="s">
        <v>6250</v>
      </c>
      <c r="D836" s="17" t="s">
        <v>8912</v>
      </c>
    </row>
    <row r="837" spans="1:4" ht="18">
      <c r="A837" s="50" t="s">
        <v>6155</v>
      </c>
      <c r="B837" s="50" t="s">
        <v>9375</v>
      </c>
      <c r="C837" s="50" t="s">
        <v>6243</v>
      </c>
      <c r="D837" s="17" t="s">
        <v>8912</v>
      </c>
    </row>
    <row r="838" spans="1:4" ht="18">
      <c r="A838" s="50" t="s">
        <v>6168</v>
      </c>
      <c r="B838" s="50" t="s">
        <v>9388</v>
      </c>
      <c r="C838" s="50" t="s">
        <v>6249</v>
      </c>
      <c r="D838" s="17" t="s">
        <v>8912</v>
      </c>
    </row>
    <row r="839" spans="1:4" ht="18">
      <c r="A839" s="50" t="s">
        <v>6162</v>
      </c>
      <c r="B839" s="50" t="s">
        <v>9382</v>
      </c>
      <c r="C839" s="50" t="s">
        <v>5857</v>
      </c>
      <c r="D839" s="17" t="s">
        <v>8912</v>
      </c>
    </row>
    <row r="840" spans="1:4" ht="18">
      <c r="A840" s="50" t="s">
        <v>6161</v>
      </c>
      <c r="B840" s="50" t="s">
        <v>9381</v>
      </c>
      <c r="C840" s="50" t="s">
        <v>6243</v>
      </c>
      <c r="D840" s="17" t="s">
        <v>8912</v>
      </c>
    </row>
    <row r="841" spans="1:4" ht="18">
      <c r="A841" s="50" t="s">
        <v>6169</v>
      </c>
      <c r="B841" s="50" t="s">
        <v>9389</v>
      </c>
      <c r="C841" s="50" t="s">
        <v>5302</v>
      </c>
      <c r="D841" s="17" t="s">
        <v>8913</v>
      </c>
    </row>
    <row r="842" spans="1:4" ht="18">
      <c r="A842" s="50" t="s">
        <v>6170</v>
      </c>
      <c r="B842" s="50" t="s">
        <v>9390</v>
      </c>
      <c r="C842" s="50" t="s">
        <v>5367</v>
      </c>
      <c r="D842" s="17" t="s">
        <v>8913</v>
      </c>
    </row>
    <row r="843" spans="1:4" ht="18">
      <c r="A843" s="50" t="s">
        <v>6170</v>
      </c>
      <c r="B843" s="50" t="s">
        <v>9390</v>
      </c>
      <c r="C843" s="50" t="s">
        <v>5367</v>
      </c>
      <c r="D843" s="17" t="s">
        <v>8913</v>
      </c>
    </row>
    <row r="844" spans="1:4" ht="18">
      <c r="A844" s="50" t="s">
        <v>6170</v>
      </c>
      <c r="B844" s="50" t="s">
        <v>9390</v>
      </c>
      <c r="C844" s="50" t="s">
        <v>5367</v>
      </c>
      <c r="D844" s="17" t="s">
        <v>8913</v>
      </c>
    </row>
    <row r="845" spans="1:4" ht="18">
      <c r="A845" s="50" t="s">
        <v>6170</v>
      </c>
      <c r="B845" s="50" t="s">
        <v>9390</v>
      </c>
      <c r="C845" s="50" t="s">
        <v>5367</v>
      </c>
      <c r="D845" s="17" t="s">
        <v>8913</v>
      </c>
    </row>
    <row r="846" spans="1:4" ht="18">
      <c r="A846" s="50" t="s">
        <v>6170</v>
      </c>
      <c r="B846" s="50" t="s">
        <v>9390</v>
      </c>
      <c r="C846" s="50" t="s">
        <v>5367</v>
      </c>
      <c r="D846" s="17" t="s">
        <v>8913</v>
      </c>
    </row>
    <row r="847" spans="1:4" ht="18">
      <c r="A847" s="50" t="s">
        <v>6170</v>
      </c>
      <c r="B847" s="50" t="s">
        <v>9390</v>
      </c>
      <c r="C847" s="50" t="s">
        <v>5367</v>
      </c>
      <c r="D847" s="17" t="s">
        <v>8913</v>
      </c>
    </row>
    <row r="848" spans="1:4" ht="18">
      <c r="A848" s="50" t="s">
        <v>6171</v>
      </c>
      <c r="B848" s="50" t="s">
        <v>9391</v>
      </c>
      <c r="C848" s="50" t="s">
        <v>5300</v>
      </c>
      <c r="D848" s="17" t="s">
        <v>8913</v>
      </c>
    </row>
    <row r="849" spans="1:4" ht="18">
      <c r="A849" s="50" t="s">
        <v>6172</v>
      </c>
      <c r="B849" s="50" t="s">
        <v>9392</v>
      </c>
      <c r="C849" s="50" t="s">
        <v>5300</v>
      </c>
      <c r="D849" s="17" t="s">
        <v>8912</v>
      </c>
    </row>
    <row r="850" spans="1:4" ht="18">
      <c r="A850" s="50" t="s">
        <v>6173</v>
      </c>
      <c r="B850" s="50" t="s">
        <v>9393</v>
      </c>
      <c r="C850" s="50" t="s">
        <v>5379</v>
      </c>
      <c r="D850" s="17" t="s">
        <v>8913</v>
      </c>
    </row>
    <row r="851" spans="1:4" ht="18">
      <c r="A851" s="50" t="s">
        <v>6173</v>
      </c>
      <c r="B851" s="50" t="s">
        <v>9393</v>
      </c>
      <c r="C851" s="50" t="s">
        <v>5379</v>
      </c>
      <c r="D851" s="17" t="s">
        <v>8913</v>
      </c>
    </row>
    <row r="852" spans="1:4" ht="18">
      <c r="A852" s="50" t="s">
        <v>6174</v>
      </c>
      <c r="B852" s="50" t="s">
        <v>9394</v>
      </c>
      <c r="C852" s="50" t="s">
        <v>5379</v>
      </c>
      <c r="D852" s="17" t="s">
        <v>8912</v>
      </c>
    </row>
    <row r="853" spans="1:4" ht="18">
      <c r="A853" s="50" t="s">
        <v>6175</v>
      </c>
      <c r="B853" s="50" t="s">
        <v>9395</v>
      </c>
      <c r="C853" s="50" t="s">
        <v>5299</v>
      </c>
      <c r="D853" s="17" t="s">
        <v>8912</v>
      </c>
    </row>
    <row r="854" spans="1:4" ht="18">
      <c r="A854" s="50" t="s">
        <v>6176</v>
      </c>
      <c r="B854" s="50" t="s">
        <v>9396</v>
      </c>
      <c r="C854" s="50" t="s">
        <v>5364</v>
      </c>
      <c r="D854" s="17" t="s">
        <v>8913</v>
      </c>
    </row>
    <row r="855" spans="1:4" ht="18">
      <c r="A855" s="50" t="s">
        <v>6176</v>
      </c>
      <c r="B855" s="50" t="s">
        <v>9396</v>
      </c>
      <c r="C855" s="50" t="s">
        <v>5364</v>
      </c>
      <c r="D855" s="17" t="s">
        <v>8913</v>
      </c>
    </row>
    <row r="856" spans="1:4" ht="18">
      <c r="A856" s="50" t="s">
        <v>6176</v>
      </c>
      <c r="B856" s="50" t="s">
        <v>9396</v>
      </c>
      <c r="C856" s="50" t="s">
        <v>5364</v>
      </c>
      <c r="D856" s="17" t="s">
        <v>8913</v>
      </c>
    </row>
    <row r="857" spans="1:4" ht="18">
      <c r="A857" s="50" t="s">
        <v>6177</v>
      </c>
      <c r="B857" s="50" t="s">
        <v>9397</v>
      </c>
      <c r="C857" s="50" t="s">
        <v>5364</v>
      </c>
      <c r="D857" s="17" t="s">
        <v>8912</v>
      </c>
    </row>
    <row r="858" spans="1:4" ht="18">
      <c r="A858" s="50" t="s">
        <v>6177</v>
      </c>
      <c r="B858" s="50" t="s">
        <v>9397</v>
      </c>
      <c r="C858" s="50" t="s">
        <v>5364</v>
      </c>
      <c r="D858" s="17" t="s">
        <v>8912</v>
      </c>
    </row>
    <row r="859" spans="1:4" ht="18">
      <c r="A859" s="50" t="s">
        <v>6178</v>
      </c>
      <c r="B859" s="50" t="s">
        <v>9398</v>
      </c>
      <c r="C859" s="50" t="s">
        <v>5415</v>
      </c>
      <c r="D859" s="17" t="s">
        <v>8912</v>
      </c>
    </row>
    <row r="860" spans="1:4" ht="18">
      <c r="A860" s="50" t="s">
        <v>6179</v>
      </c>
      <c r="B860" s="50" t="s">
        <v>9399</v>
      </c>
      <c r="C860" s="50" t="s">
        <v>5566</v>
      </c>
      <c r="D860" s="17" t="s">
        <v>8913</v>
      </c>
    </row>
    <row r="861" spans="1:4" ht="18">
      <c r="A861" s="50" t="s">
        <v>6179</v>
      </c>
      <c r="B861" s="50" t="s">
        <v>9399</v>
      </c>
      <c r="C861" s="50" t="s">
        <v>5566</v>
      </c>
      <c r="D861" s="17" t="s">
        <v>8913</v>
      </c>
    </row>
    <row r="862" spans="1:4" ht="18">
      <c r="A862" s="50" t="s">
        <v>6180</v>
      </c>
      <c r="B862" s="50" t="s">
        <v>9400</v>
      </c>
      <c r="C862" s="50" t="s">
        <v>5840</v>
      </c>
      <c r="D862" s="17" t="s">
        <v>8912</v>
      </c>
    </row>
    <row r="863" spans="1:4" ht="18">
      <c r="A863" s="50" t="s">
        <v>6181</v>
      </c>
      <c r="B863" s="50" t="s">
        <v>9401</v>
      </c>
      <c r="C863" s="50" t="s">
        <v>5849</v>
      </c>
      <c r="D863" s="17" t="s">
        <v>8912</v>
      </c>
    </row>
    <row r="864" spans="1:4" ht="18">
      <c r="A864" s="50" t="s">
        <v>6182</v>
      </c>
      <c r="B864" s="50" t="s">
        <v>9402</v>
      </c>
      <c r="C864" s="50" t="s">
        <v>5846</v>
      </c>
      <c r="D864" s="17" t="s">
        <v>8912</v>
      </c>
    </row>
    <row r="865" spans="1:4" ht="18">
      <c r="A865" s="50" t="s">
        <v>6182</v>
      </c>
      <c r="B865" s="50" t="s">
        <v>9402</v>
      </c>
      <c r="C865" s="50" t="s">
        <v>5846</v>
      </c>
      <c r="D865" s="17" t="s">
        <v>8912</v>
      </c>
    </row>
    <row r="866" spans="1:4" ht="18">
      <c r="A866" s="50" t="s">
        <v>6183</v>
      </c>
      <c r="B866" s="50" t="s">
        <v>9403</v>
      </c>
      <c r="C866" s="50" t="s">
        <v>5850</v>
      </c>
      <c r="D866" s="17" t="s">
        <v>8912</v>
      </c>
    </row>
    <row r="867" spans="1:4" ht="18">
      <c r="A867" s="50" t="s">
        <v>6184</v>
      </c>
      <c r="B867" s="50" t="s">
        <v>9404</v>
      </c>
      <c r="C867" s="50" t="s">
        <v>5848</v>
      </c>
      <c r="D867" s="17" t="s">
        <v>8912</v>
      </c>
    </row>
    <row r="868" spans="1:4" ht="18">
      <c r="A868" s="50" t="s">
        <v>6184</v>
      </c>
      <c r="B868" s="50" t="s">
        <v>9404</v>
      </c>
      <c r="C868" s="50" t="s">
        <v>5848</v>
      </c>
      <c r="D868" s="17" t="s">
        <v>8912</v>
      </c>
    </row>
    <row r="869" spans="1:4" ht="18">
      <c r="A869" s="50" t="s">
        <v>6185</v>
      </c>
      <c r="B869" s="50" t="s">
        <v>9405</v>
      </c>
      <c r="C869" s="50" t="s">
        <v>5848</v>
      </c>
      <c r="D869" s="17" t="s">
        <v>8913</v>
      </c>
    </row>
    <row r="870" spans="1:4" ht="18">
      <c r="A870" s="50" t="s">
        <v>6186</v>
      </c>
      <c r="B870" s="50" t="s">
        <v>9406</v>
      </c>
      <c r="C870" s="50" t="s">
        <v>6248</v>
      </c>
      <c r="D870" s="17" t="s">
        <v>8913</v>
      </c>
    </row>
    <row r="871" spans="1:4" ht="18">
      <c r="A871" s="50" t="s">
        <v>6187</v>
      </c>
      <c r="B871" s="50" t="s">
        <v>9407</v>
      </c>
      <c r="C871" s="50" t="s">
        <v>5849</v>
      </c>
      <c r="D871" s="17" t="s">
        <v>8913</v>
      </c>
    </row>
    <row r="872" spans="1:4" ht="18">
      <c r="A872" s="50" t="s">
        <v>6188</v>
      </c>
      <c r="B872" s="50" t="s">
        <v>9408</v>
      </c>
      <c r="C872" s="50" t="s">
        <v>5857</v>
      </c>
      <c r="D872" s="17" t="s">
        <v>8912</v>
      </c>
    </row>
    <row r="873" spans="1:4" ht="18">
      <c r="A873" s="50" t="s">
        <v>6186</v>
      </c>
      <c r="B873" s="50" t="s">
        <v>9406</v>
      </c>
      <c r="C873" s="50" t="s">
        <v>6248</v>
      </c>
      <c r="D873" s="17" t="s">
        <v>8913</v>
      </c>
    </row>
    <row r="874" spans="1:4" ht="18">
      <c r="A874" s="50" t="s">
        <v>6189</v>
      </c>
      <c r="B874" s="50" t="s">
        <v>9409</v>
      </c>
      <c r="C874" s="50" t="s">
        <v>5857</v>
      </c>
      <c r="D874" s="17" t="s">
        <v>8913</v>
      </c>
    </row>
    <row r="875" spans="1:4" ht="18">
      <c r="A875" s="50" t="s">
        <v>6190</v>
      </c>
      <c r="B875" s="50" t="s">
        <v>9410</v>
      </c>
      <c r="C875" s="50" t="s">
        <v>5600</v>
      </c>
      <c r="D875" s="17" t="s">
        <v>8913</v>
      </c>
    </row>
    <row r="876" spans="1:4" ht="18">
      <c r="A876" s="50" t="s">
        <v>6182</v>
      </c>
      <c r="B876" s="50" t="s">
        <v>9402</v>
      </c>
      <c r="C876" s="50" t="s">
        <v>5846</v>
      </c>
      <c r="D876" s="17" t="s">
        <v>8912</v>
      </c>
    </row>
    <row r="877" spans="1:4" ht="18">
      <c r="A877" s="50" t="s">
        <v>6182</v>
      </c>
      <c r="B877" s="50" t="s">
        <v>9402</v>
      </c>
      <c r="C877" s="50" t="s">
        <v>5846</v>
      </c>
      <c r="D877" s="17" t="s">
        <v>8912</v>
      </c>
    </row>
    <row r="878" spans="1:4" ht="18">
      <c r="A878" s="50" t="s">
        <v>6191</v>
      </c>
      <c r="B878" s="50" t="s">
        <v>9411</v>
      </c>
      <c r="C878" s="50" t="s">
        <v>6246</v>
      </c>
      <c r="D878" s="17" t="s">
        <v>8913</v>
      </c>
    </row>
    <row r="879" spans="1:4" ht="18">
      <c r="A879" s="50" t="s">
        <v>6191</v>
      </c>
      <c r="B879" s="50" t="s">
        <v>9411</v>
      </c>
      <c r="C879" s="50" t="s">
        <v>6246</v>
      </c>
      <c r="D879" s="17" t="s">
        <v>8913</v>
      </c>
    </row>
    <row r="880" spans="1:4" ht="18">
      <c r="A880" s="50" t="s">
        <v>6185</v>
      </c>
      <c r="B880" s="50" t="s">
        <v>9405</v>
      </c>
      <c r="C880" s="50" t="s">
        <v>5848</v>
      </c>
      <c r="D880" s="17" t="s">
        <v>8913</v>
      </c>
    </row>
    <row r="881" spans="1:4" ht="18">
      <c r="A881" s="50" t="s">
        <v>6192</v>
      </c>
      <c r="B881" s="50" t="s">
        <v>9412</v>
      </c>
      <c r="C881" s="50" t="s">
        <v>6249</v>
      </c>
      <c r="D881" s="17" t="s">
        <v>8913</v>
      </c>
    </row>
    <row r="882" spans="1:4" ht="18">
      <c r="A882" s="50" t="s">
        <v>6193</v>
      </c>
      <c r="B882" s="50" t="s">
        <v>9413</v>
      </c>
      <c r="C882" s="50" t="s">
        <v>5843</v>
      </c>
      <c r="D882" s="17" t="s">
        <v>8912</v>
      </c>
    </row>
    <row r="883" spans="1:4" ht="18">
      <c r="A883" s="50" t="s">
        <v>6187</v>
      </c>
      <c r="B883" s="50" t="s">
        <v>9407</v>
      </c>
      <c r="C883" s="50" t="s">
        <v>5849</v>
      </c>
      <c r="D883" s="17" t="s">
        <v>8913</v>
      </c>
    </row>
    <row r="884" spans="1:4" ht="18">
      <c r="A884" s="50" t="s">
        <v>6194</v>
      </c>
      <c r="B884" s="50" t="s">
        <v>9414</v>
      </c>
      <c r="C884" s="50" t="s">
        <v>6249</v>
      </c>
      <c r="D884" s="17" t="s">
        <v>8912</v>
      </c>
    </row>
    <row r="885" spans="1:4" ht="18">
      <c r="A885" s="50" t="s">
        <v>6186</v>
      </c>
      <c r="B885" s="50" t="s">
        <v>9406</v>
      </c>
      <c r="C885" s="50" t="s">
        <v>6248</v>
      </c>
      <c r="D885" s="17" t="s">
        <v>8913</v>
      </c>
    </row>
    <row r="886" spans="1:4" ht="18">
      <c r="A886" s="50" t="s">
        <v>6194</v>
      </c>
      <c r="B886" s="50" t="s">
        <v>9414</v>
      </c>
      <c r="C886" s="50" t="s">
        <v>6249</v>
      </c>
      <c r="D886" s="17" t="s">
        <v>8912</v>
      </c>
    </row>
    <row r="887" spans="1:4" ht="18">
      <c r="A887" s="50" t="s">
        <v>6195</v>
      </c>
      <c r="B887" s="50" t="s">
        <v>9415</v>
      </c>
      <c r="C887" s="50" t="s">
        <v>6244</v>
      </c>
      <c r="D887" s="17" t="s">
        <v>8913</v>
      </c>
    </row>
    <row r="888" spans="1:4" ht="18">
      <c r="A888" s="50" t="s">
        <v>6196</v>
      </c>
      <c r="B888" s="50" t="s">
        <v>9416</v>
      </c>
      <c r="C888" s="50" t="s">
        <v>6075</v>
      </c>
      <c r="D888" s="17" t="s">
        <v>8913</v>
      </c>
    </row>
    <row r="889" spans="1:4" ht="18">
      <c r="A889" s="50" t="s">
        <v>6185</v>
      </c>
      <c r="B889" s="50" t="s">
        <v>9405</v>
      </c>
      <c r="C889" s="50" t="s">
        <v>5848</v>
      </c>
      <c r="D889" s="17" t="s">
        <v>8913</v>
      </c>
    </row>
    <row r="890" spans="1:4" ht="18">
      <c r="A890" s="50" t="s">
        <v>6197</v>
      </c>
      <c r="B890" s="50" t="s">
        <v>9417</v>
      </c>
      <c r="C890" s="50" t="s">
        <v>5857</v>
      </c>
      <c r="D890" s="17" t="s">
        <v>8912</v>
      </c>
    </row>
    <row r="891" spans="1:4" ht="18">
      <c r="A891" s="50" t="s">
        <v>6198</v>
      </c>
      <c r="B891" s="50" t="s">
        <v>9418</v>
      </c>
      <c r="C891" s="50" t="s">
        <v>6246</v>
      </c>
      <c r="D891" s="17" t="s">
        <v>8912</v>
      </c>
    </row>
    <row r="892" spans="1:4" ht="18">
      <c r="A892" s="50" t="s">
        <v>6199</v>
      </c>
      <c r="B892" s="50" t="s">
        <v>9419</v>
      </c>
      <c r="C892" s="50" t="s">
        <v>5600</v>
      </c>
      <c r="D892" s="17" t="s">
        <v>8912</v>
      </c>
    </row>
    <row r="893" spans="1:4" ht="18">
      <c r="A893" s="50" t="s">
        <v>6197</v>
      </c>
      <c r="B893" s="50" t="s">
        <v>9417</v>
      </c>
      <c r="C893" s="50" t="s">
        <v>5857</v>
      </c>
      <c r="D893" s="17" t="s">
        <v>8912</v>
      </c>
    </row>
    <row r="894" spans="1:4" ht="18">
      <c r="A894" s="50" t="s">
        <v>6197</v>
      </c>
      <c r="B894" s="50" t="s">
        <v>9417</v>
      </c>
      <c r="C894" s="50" t="s">
        <v>5857</v>
      </c>
      <c r="D894" s="17" t="s">
        <v>8912</v>
      </c>
    </row>
    <row r="895" spans="1:4" ht="18">
      <c r="A895" s="50" t="s">
        <v>6200</v>
      </c>
      <c r="B895" s="50" t="s">
        <v>9420</v>
      </c>
      <c r="C895" s="50" t="s">
        <v>6245</v>
      </c>
      <c r="D895" s="17" t="s">
        <v>8913</v>
      </c>
    </row>
    <row r="896" spans="1:4" ht="18">
      <c r="A896" s="50" t="s">
        <v>6201</v>
      </c>
      <c r="B896" s="50" t="s">
        <v>9421</v>
      </c>
      <c r="C896" s="50" t="s">
        <v>6128</v>
      </c>
      <c r="D896" s="17" t="s">
        <v>8913</v>
      </c>
    </row>
    <row r="897" spans="1:4" ht="18">
      <c r="A897" s="50" t="s">
        <v>6202</v>
      </c>
      <c r="B897" s="50" t="s">
        <v>9422</v>
      </c>
      <c r="C897" s="50" t="s">
        <v>5846</v>
      </c>
      <c r="D897" s="17" t="s">
        <v>8913</v>
      </c>
    </row>
    <row r="898" spans="1:4" ht="18">
      <c r="A898" s="50" t="s">
        <v>6188</v>
      </c>
      <c r="B898" s="50" t="s">
        <v>9408</v>
      </c>
      <c r="C898" s="50" t="s">
        <v>5857</v>
      </c>
      <c r="D898" s="17" t="s">
        <v>8912</v>
      </c>
    </row>
    <row r="899" spans="1:4" ht="18">
      <c r="A899" s="50" t="s">
        <v>6201</v>
      </c>
      <c r="B899" s="50" t="s">
        <v>9421</v>
      </c>
      <c r="C899" s="50" t="s">
        <v>6128</v>
      </c>
      <c r="D899" s="17" t="s">
        <v>8913</v>
      </c>
    </row>
    <row r="900" spans="1:4" ht="18">
      <c r="A900" s="50" t="s">
        <v>6197</v>
      </c>
      <c r="B900" s="50" t="s">
        <v>9417</v>
      </c>
      <c r="C900" s="50" t="s">
        <v>5857</v>
      </c>
      <c r="D900" s="17" t="s">
        <v>8912</v>
      </c>
    </row>
    <row r="901" spans="1:4" ht="18">
      <c r="A901" s="50" t="s">
        <v>6201</v>
      </c>
      <c r="B901" s="50" t="s">
        <v>9421</v>
      </c>
      <c r="C901" s="50" t="s">
        <v>6128</v>
      </c>
      <c r="D901" s="17" t="s">
        <v>8913</v>
      </c>
    </row>
    <row r="902" spans="1:4" ht="18">
      <c r="A902" s="50" t="s">
        <v>6193</v>
      </c>
      <c r="B902" s="50" t="s">
        <v>9413</v>
      </c>
      <c r="C902" s="50" t="s">
        <v>5843</v>
      </c>
      <c r="D902" s="17" t="s">
        <v>8912</v>
      </c>
    </row>
    <row r="903" spans="1:4" ht="18">
      <c r="A903" s="50" t="s">
        <v>6203</v>
      </c>
      <c r="B903" s="50" t="s">
        <v>9423</v>
      </c>
      <c r="C903" s="50" t="s">
        <v>5843</v>
      </c>
      <c r="D903" s="17" t="s">
        <v>8913</v>
      </c>
    </row>
    <row r="904" spans="1:4" ht="18">
      <c r="A904" s="50" t="s">
        <v>6185</v>
      </c>
      <c r="B904" s="50" t="s">
        <v>9405</v>
      </c>
      <c r="C904" s="50" t="s">
        <v>5848</v>
      </c>
      <c r="D904" s="17" t="s">
        <v>8913</v>
      </c>
    </row>
    <row r="905" spans="1:4" ht="18">
      <c r="A905" s="50" t="s">
        <v>6197</v>
      </c>
      <c r="B905" s="50" t="s">
        <v>9417</v>
      </c>
      <c r="C905" s="50" t="s">
        <v>5857</v>
      </c>
      <c r="D905" s="17" t="s">
        <v>8912</v>
      </c>
    </row>
    <row r="906" spans="1:4" ht="18">
      <c r="A906" s="50" t="s">
        <v>6197</v>
      </c>
      <c r="B906" s="50" t="s">
        <v>9417</v>
      </c>
      <c r="C906" s="50" t="s">
        <v>5857</v>
      </c>
      <c r="D906" s="17" t="s">
        <v>8912</v>
      </c>
    </row>
    <row r="907" spans="1:4" ht="18">
      <c r="A907" s="50" t="s">
        <v>6200</v>
      </c>
      <c r="B907" s="50" t="s">
        <v>9420</v>
      </c>
      <c r="C907" s="50" t="s">
        <v>6245</v>
      </c>
      <c r="D907" s="17" t="s">
        <v>8913</v>
      </c>
    </row>
    <row r="908" spans="1:4" ht="18">
      <c r="A908" s="50" t="s">
        <v>6186</v>
      </c>
      <c r="B908" s="50" t="s">
        <v>9406</v>
      </c>
      <c r="C908" s="50" t="s">
        <v>6248</v>
      </c>
      <c r="D908" s="17" t="s">
        <v>8913</v>
      </c>
    </row>
    <row r="909" spans="1:4" ht="18">
      <c r="A909" s="50" t="s">
        <v>6204</v>
      </c>
      <c r="B909" s="50" t="s">
        <v>9424</v>
      </c>
      <c r="C909" s="50" t="s">
        <v>6251</v>
      </c>
      <c r="D909" s="17" t="s">
        <v>8913</v>
      </c>
    </row>
    <row r="910" spans="1:4" ht="18">
      <c r="A910" s="50" t="s">
        <v>6195</v>
      </c>
      <c r="B910" s="50" t="s">
        <v>9415</v>
      </c>
      <c r="C910" s="50" t="s">
        <v>6244</v>
      </c>
      <c r="D910" s="17" t="s">
        <v>8913</v>
      </c>
    </row>
    <row r="911" spans="1:4" ht="18">
      <c r="A911" s="50" t="s">
        <v>6203</v>
      </c>
      <c r="B911" s="50" t="s">
        <v>9423</v>
      </c>
      <c r="C911" s="50" t="s">
        <v>5843</v>
      </c>
      <c r="D911" s="17" t="s">
        <v>8913</v>
      </c>
    </row>
    <row r="912" spans="1:4" ht="18">
      <c r="A912" s="50" t="s">
        <v>6192</v>
      </c>
      <c r="B912" s="50" t="s">
        <v>9412</v>
      </c>
      <c r="C912" s="50" t="s">
        <v>6249</v>
      </c>
      <c r="D912" s="17" t="s">
        <v>8913</v>
      </c>
    </row>
    <row r="913" spans="1:4" ht="18">
      <c r="A913" s="50" t="s">
        <v>6197</v>
      </c>
      <c r="B913" s="50" t="s">
        <v>9417</v>
      </c>
      <c r="C913" s="50" t="s">
        <v>5857</v>
      </c>
      <c r="D913" s="17" t="s">
        <v>8912</v>
      </c>
    </row>
    <row r="914" spans="1:4" ht="18">
      <c r="A914" s="50" t="s">
        <v>6205</v>
      </c>
      <c r="B914" s="50" t="s">
        <v>9425</v>
      </c>
      <c r="C914" s="50" t="s">
        <v>5846</v>
      </c>
      <c r="D914" s="17" t="s">
        <v>8913</v>
      </c>
    </row>
    <row r="915" spans="1:4" ht="18">
      <c r="A915" s="50" t="s">
        <v>6202</v>
      </c>
      <c r="B915" s="50" t="s">
        <v>9422</v>
      </c>
      <c r="C915" s="50" t="s">
        <v>5846</v>
      </c>
      <c r="D915" s="17" t="s">
        <v>8913</v>
      </c>
    </row>
    <row r="916" spans="1:4" ht="18">
      <c r="A916" s="50" t="s">
        <v>6206</v>
      </c>
      <c r="B916" s="50" t="s">
        <v>9426</v>
      </c>
      <c r="C916" s="50" t="s">
        <v>5843</v>
      </c>
      <c r="D916" s="17" t="s">
        <v>8912</v>
      </c>
    </row>
    <row r="917" spans="1:4" ht="18">
      <c r="A917" s="50" t="s">
        <v>6207</v>
      </c>
      <c r="B917" s="50" t="s">
        <v>9427</v>
      </c>
      <c r="C917" s="50" t="s">
        <v>5600</v>
      </c>
      <c r="D917" s="17" t="s">
        <v>8912</v>
      </c>
    </row>
    <row r="918" spans="1:4" ht="18">
      <c r="A918" s="50" t="s">
        <v>6208</v>
      </c>
      <c r="B918" s="50" t="s">
        <v>9428</v>
      </c>
      <c r="C918" s="50" t="s">
        <v>5846</v>
      </c>
      <c r="D918" s="17" t="s">
        <v>8912</v>
      </c>
    </row>
    <row r="919" spans="1:4" ht="18">
      <c r="A919" s="50" t="s">
        <v>6202</v>
      </c>
      <c r="B919" s="50" t="s">
        <v>9422</v>
      </c>
      <c r="C919" s="50" t="s">
        <v>5846</v>
      </c>
      <c r="D919" s="17" t="s">
        <v>8913</v>
      </c>
    </row>
    <row r="920" spans="1:4" ht="18">
      <c r="A920" s="50" t="s">
        <v>6209</v>
      </c>
      <c r="B920" s="50" t="s">
        <v>9429</v>
      </c>
      <c r="C920" s="50" t="s">
        <v>6245</v>
      </c>
      <c r="D920" s="17" t="s">
        <v>8912</v>
      </c>
    </row>
    <row r="921" spans="1:4" ht="18">
      <c r="A921" s="50" t="s">
        <v>6210</v>
      </c>
      <c r="B921" s="50" t="s">
        <v>9430</v>
      </c>
      <c r="C921" s="50" t="s">
        <v>5850</v>
      </c>
      <c r="D921" s="17" t="s">
        <v>8913</v>
      </c>
    </row>
    <row r="922" spans="1:4" ht="18">
      <c r="A922" s="50" t="s">
        <v>6211</v>
      </c>
      <c r="B922" s="50" t="s">
        <v>9431</v>
      </c>
      <c r="C922" s="50" t="s">
        <v>5846</v>
      </c>
      <c r="D922" s="17" t="s">
        <v>8913</v>
      </c>
    </row>
    <row r="923" spans="1:4" ht="18">
      <c r="A923" s="50" t="s">
        <v>6212</v>
      </c>
      <c r="B923" s="50" t="s">
        <v>9432</v>
      </c>
      <c r="C923" s="50" t="s">
        <v>6247</v>
      </c>
      <c r="D923" s="17" t="s">
        <v>8913</v>
      </c>
    </row>
    <row r="924" spans="1:4" ht="18">
      <c r="A924" s="50" t="s">
        <v>6212</v>
      </c>
      <c r="B924" s="50" t="s">
        <v>9432</v>
      </c>
      <c r="C924" s="50" t="s">
        <v>6247</v>
      </c>
      <c r="D924" s="17" t="s">
        <v>8913</v>
      </c>
    </row>
    <row r="925" spans="1:4" ht="18">
      <c r="A925" s="50" t="s">
        <v>6213</v>
      </c>
      <c r="B925" s="50" t="s">
        <v>9433</v>
      </c>
      <c r="C925" s="50" t="s">
        <v>5846</v>
      </c>
      <c r="D925" s="17" t="s">
        <v>8912</v>
      </c>
    </row>
    <row r="926" spans="1:4" ht="18">
      <c r="A926" s="50" t="s">
        <v>6210</v>
      </c>
      <c r="B926" s="50" t="s">
        <v>9430</v>
      </c>
      <c r="C926" s="50" t="s">
        <v>5850</v>
      </c>
      <c r="D926" s="17" t="s">
        <v>8913</v>
      </c>
    </row>
    <row r="927" spans="1:4" ht="18">
      <c r="A927" s="50" t="s">
        <v>6214</v>
      </c>
      <c r="B927" s="50" t="s">
        <v>9434</v>
      </c>
      <c r="C927" s="50" t="s">
        <v>6075</v>
      </c>
      <c r="D927" s="17" t="s">
        <v>8912</v>
      </c>
    </row>
    <row r="928" spans="1:4" ht="18">
      <c r="A928" s="50" t="s">
        <v>6215</v>
      </c>
      <c r="B928" s="50" t="s">
        <v>9435</v>
      </c>
      <c r="C928" s="50" t="s">
        <v>5600</v>
      </c>
      <c r="D928" s="17" t="s">
        <v>8913</v>
      </c>
    </row>
    <row r="929" spans="1:4" ht="18">
      <c r="A929" s="50" t="s">
        <v>6213</v>
      </c>
      <c r="B929" s="50" t="s">
        <v>9433</v>
      </c>
      <c r="C929" s="50" t="s">
        <v>5846</v>
      </c>
      <c r="D929" s="17" t="s">
        <v>8912</v>
      </c>
    </row>
    <row r="930" spans="1:4" ht="18">
      <c r="A930" s="50" t="s">
        <v>6216</v>
      </c>
      <c r="B930" s="50" t="s">
        <v>9436</v>
      </c>
      <c r="C930" s="50" t="s">
        <v>6243</v>
      </c>
      <c r="D930" s="17" t="s">
        <v>8913</v>
      </c>
    </row>
    <row r="931" spans="1:4" ht="18">
      <c r="A931" s="50" t="s">
        <v>6217</v>
      </c>
      <c r="B931" s="50" t="s">
        <v>9437</v>
      </c>
      <c r="C931" s="50" t="s">
        <v>5843</v>
      </c>
      <c r="D931" s="17" t="s">
        <v>8912</v>
      </c>
    </row>
    <row r="932" spans="1:4" ht="18">
      <c r="A932" s="50" t="s">
        <v>6217</v>
      </c>
      <c r="B932" s="50" t="s">
        <v>9437</v>
      </c>
      <c r="C932" s="50" t="s">
        <v>5843</v>
      </c>
      <c r="D932" s="17" t="s">
        <v>8912</v>
      </c>
    </row>
    <row r="933" spans="1:4" ht="18">
      <c r="A933" s="50" t="s">
        <v>6207</v>
      </c>
      <c r="B933" s="50" t="s">
        <v>9427</v>
      </c>
      <c r="C933" s="50" t="s">
        <v>5600</v>
      </c>
      <c r="D933" s="17" t="s">
        <v>8912</v>
      </c>
    </row>
    <row r="934" spans="1:4" ht="18">
      <c r="A934" s="50" t="s">
        <v>6208</v>
      </c>
      <c r="B934" s="50" t="s">
        <v>9428</v>
      </c>
      <c r="C934" s="50" t="s">
        <v>5846</v>
      </c>
      <c r="D934" s="17" t="s">
        <v>8912</v>
      </c>
    </row>
    <row r="935" spans="1:4" ht="18">
      <c r="A935" s="50" t="s">
        <v>6208</v>
      </c>
      <c r="B935" s="50" t="s">
        <v>9428</v>
      </c>
      <c r="C935" s="50" t="s">
        <v>5846</v>
      </c>
      <c r="D935" s="17" t="s">
        <v>8912</v>
      </c>
    </row>
    <row r="936" spans="1:4" ht="18">
      <c r="A936" s="50" t="s">
        <v>6216</v>
      </c>
      <c r="B936" s="50" t="s">
        <v>9436</v>
      </c>
      <c r="C936" s="50" t="s">
        <v>6243</v>
      </c>
      <c r="D936" s="17" t="s">
        <v>8913</v>
      </c>
    </row>
    <row r="937" spans="1:4" ht="18">
      <c r="A937" s="50" t="s">
        <v>6196</v>
      </c>
      <c r="B937" s="50" t="s">
        <v>9416</v>
      </c>
      <c r="C937" s="50" t="s">
        <v>6075</v>
      </c>
      <c r="D937" s="17" t="s">
        <v>8913</v>
      </c>
    </row>
    <row r="938" spans="1:4" ht="18">
      <c r="A938" s="50" t="s">
        <v>6194</v>
      </c>
      <c r="B938" s="50" t="s">
        <v>9414</v>
      </c>
      <c r="C938" s="50" t="s">
        <v>6249</v>
      </c>
      <c r="D938" s="17" t="s">
        <v>8912</v>
      </c>
    </row>
    <row r="939" spans="1:4" ht="18">
      <c r="A939" s="50" t="s">
        <v>6218</v>
      </c>
      <c r="B939" s="50" t="s">
        <v>9438</v>
      </c>
      <c r="C939" s="50" t="s">
        <v>5839</v>
      </c>
      <c r="D939" s="17" t="s">
        <v>8912</v>
      </c>
    </row>
    <row r="940" spans="1:4" ht="18">
      <c r="A940" s="50" t="s">
        <v>6218</v>
      </c>
      <c r="B940" s="50" t="s">
        <v>9438</v>
      </c>
      <c r="C940" s="50" t="s">
        <v>5839</v>
      </c>
      <c r="D940" s="17" t="s">
        <v>8912</v>
      </c>
    </row>
    <row r="941" spans="1:4" ht="18">
      <c r="A941" s="50" t="s">
        <v>6219</v>
      </c>
      <c r="B941" s="50" t="s">
        <v>9439</v>
      </c>
      <c r="C941" s="50" t="s">
        <v>5839</v>
      </c>
      <c r="D941" s="17" t="s">
        <v>8913</v>
      </c>
    </row>
    <row r="942" spans="1:4" ht="18">
      <c r="A942" s="50" t="s">
        <v>6219</v>
      </c>
      <c r="B942" s="50" t="s">
        <v>9439</v>
      </c>
      <c r="C942" s="50" t="s">
        <v>5839</v>
      </c>
      <c r="D942" s="17" t="s">
        <v>8913</v>
      </c>
    </row>
    <row r="943" spans="1:4" ht="18">
      <c r="A943" s="50" t="s">
        <v>6220</v>
      </c>
      <c r="B943" s="50" t="s">
        <v>9440</v>
      </c>
      <c r="C943" s="50" t="s">
        <v>5600</v>
      </c>
      <c r="D943" s="17" t="s">
        <v>8913</v>
      </c>
    </row>
    <row r="944" spans="1:4" ht="18">
      <c r="A944" s="50" t="s">
        <v>6221</v>
      </c>
      <c r="B944" s="50" t="s">
        <v>9441</v>
      </c>
      <c r="C944" s="50" t="s">
        <v>5832</v>
      </c>
      <c r="D944" s="17" t="s">
        <v>8913</v>
      </c>
    </row>
    <row r="945" spans="1:4" ht="18">
      <c r="A945" s="50" t="s">
        <v>6222</v>
      </c>
      <c r="B945" s="50" t="s">
        <v>9442</v>
      </c>
      <c r="C945" s="50" t="s">
        <v>5835</v>
      </c>
      <c r="D945" s="17" t="s">
        <v>8912</v>
      </c>
    </row>
    <row r="946" spans="1:4" ht="18">
      <c r="A946" s="50" t="s">
        <v>6222</v>
      </c>
      <c r="B946" s="50" t="s">
        <v>9442</v>
      </c>
      <c r="C946" s="50" t="s">
        <v>5835</v>
      </c>
      <c r="D946" s="17" t="s">
        <v>8912</v>
      </c>
    </row>
    <row r="947" spans="1:4" ht="18">
      <c r="A947" s="50" t="s">
        <v>6223</v>
      </c>
      <c r="B947" s="50" t="s">
        <v>9443</v>
      </c>
      <c r="C947" s="50" t="s">
        <v>5828</v>
      </c>
      <c r="D947" s="17" t="s">
        <v>8913</v>
      </c>
    </row>
    <row r="948" spans="1:4" ht="18">
      <c r="A948" s="50" t="s">
        <v>6221</v>
      </c>
      <c r="B948" s="50" t="s">
        <v>9441</v>
      </c>
      <c r="C948" s="50" t="s">
        <v>5832</v>
      </c>
      <c r="D948" s="17" t="s">
        <v>8913</v>
      </c>
    </row>
    <row r="949" spans="1:4" ht="18">
      <c r="A949" s="50" t="s">
        <v>6223</v>
      </c>
      <c r="B949" s="50" t="s">
        <v>9443</v>
      </c>
      <c r="C949" s="50" t="s">
        <v>5828</v>
      </c>
      <c r="D949" s="17" t="s">
        <v>8913</v>
      </c>
    </row>
    <row r="950" spans="1:4" ht="18">
      <c r="A950" s="50" t="s">
        <v>6224</v>
      </c>
      <c r="B950" s="50" t="s">
        <v>9444</v>
      </c>
      <c r="C950" s="50" t="s">
        <v>5496</v>
      </c>
      <c r="D950" s="17" t="s">
        <v>8912</v>
      </c>
    </row>
    <row r="951" spans="1:4" ht="18">
      <c r="A951" s="50" t="s">
        <v>6225</v>
      </c>
      <c r="B951" s="50" t="s">
        <v>9445</v>
      </c>
      <c r="C951" s="50" t="s">
        <v>5839</v>
      </c>
      <c r="D951" s="17" t="s">
        <v>8913</v>
      </c>
    </row>
    <row r="952" spans="1:4" ht="18">
      <c r="A952" s="50" t="s">
        <v>6226</v>
      </c>
      <c r="B952" s="50" t="s">
        <v>9446</v>
      </c>
      <c r="C952" s="50" t="s">
        <v>5839</v>
      </c>
      <c r="D952" s="17" t="s">
        <v>8912</v>
      </c>
    </row>
    <row r="953" spans="1:4" ht="18">
      <c r="A953" s="50" t="s">
        <v>6227</v>
      </c>
      <c r="B953" s="50" t="s">
        <v>9447</v>
      </c>
      <c r="C953" s="50" t="s">
        <v>5830</v>
      </c>
      <c r="D953" s="17" t="s">
        <v>8912</v>
      </c>
    </row>
    <row r="954" spans="1:4" ht="18">
      <c r="A954" s="50" t="s">
        <v>6228</v>
      </c>
      <c r="B954" s="50" t="s">
        <v>9448</v>
      </c>
      <c r="C954" s="50" t="s">
        <v>5837</v>
      </c>
      <c r="D954" s="17" t="s">
        <v>8912</v>
      </c>
    </row>
    <row r="955" spans="1:4" ht="18">
      <c r="A955" s="50" t="s">
        <v>6227</v>
      </c>
      <c r="B955" s="50" t="s">
        <v>9447</v>
      </c>
      <c r="C955" s="50" t="s">
        <v>5830</v>
      </c>
      <c r="D955" s="17" t="s">
        <v>8912</v>
      </c>
    </row>
    <row r="956" spans="1:4" ht="18">
      <c r="A956" s="50" t="s">
        <v>6229</v>
      </c>
      <c r="B956" s="50" t="s">
        <v>9449</v>
      </c>
      <c r="C956" s="50" t="s">
        <v>5828</v>
      </c>
      <c r="D956" s="17" t="s">
        <v>8912</v>
      </c>
    </row>
    <row r="957" spans="1:4" ht="18">
      <c r="A957" s="50" t="s">
        <v>6230</v>
      </c>
      <c r="B957" s="50" t="s">
        <v>9450</v>
      </c>
      <c r="C957" s="50" t="s">
        <v>5496</v>
      </c>
      <c r="D957" s="17" t="s">
        <v>8913</v>
      </c>
    </row>
    <row r="958" spans="1:4" ht="18">
      <c r="A958" s="50" t="s">
        <v>6230</v>
      </c>
      <c r="B958" s="50" t="s">
        <v>9450</v>
      </c>
      <c r="C958" s="50" t="s">
        <v>5496</v>
      </c>
      <c r="D958" s="17" t="s">
        <v>8913</v>
      </c>
    </row>
    <row r="959" spans="1:4" ht="18">
      <c r="A959" s="50" t="s">
        <v>6229</v>
      </c>
      <c r="B959" s="50" t="s">
        <v>9449</v>
      </c>
      <c r="C959" s="50" t="s">
        <v>5828</v>
      </c>
      <c r="D959" s="17" t="s">
        <v>8912</v>
      </c>
    </row>
    <row r="960" spans="1:4" ht="18">
      <c r="A960" s="50" t="s">
        <v>6231</v>
      </c>
      <c r="B960" s="50" t="s">
        <v>9451</v>
      </c>
      <c r="C960" s="50" t="s">
        <v>5828</v>
      </c>
      <c r="D960" s="17" t="s">
        <v>8913</v>
      </c>
    </row>
    <row r="961" spans="1:4" ht="18">
      <c r="A961" s="50" t="s">
        <v>6232</v>
      </c>
      <c r="B961" s="50" t="s">
        <v>9452</v>
      </c>
      <c r="C961" s="50" t="s">
        <v>5835</v>
      </c>
      <c r="D961" s="17" t="s">
        <v>8913</v>
      </c>
    </row>
    <row r="962" spans="1:4" ht="18">
      <c r="A962" s="50" t="s">
        <v>6219</v>
      </c>
      <c r="B962" s="50" t="s">
        <v>9439</v>
      </c>
      <c r="C962" s="50" t="s">
        <v>5839</v>
      </c>
      <c r="D962" s="17" t="s">
        <v>8913</v>
      </c>
    </row>
    <row r="963" spans="1:4" ht="18">
      <c r="A963" s="50" t="s">
        <v>6233</v>
      </c>
      <c r="B963" s="50" t="s">
        <v>9453</v>
      </c>
      <c r="C963" s="50" t="s">
        <v>5837</v>
      </c>
      <c r="D963" s="17" t="s">
        <v>8913</v>
      </c>
    </row>
    <row r="964" spans="1:4" ht="18">
      <c r="A964" s="50" t="s">
        <v>6234</v>
      </c>
      <c r="B964" s="50" t="s">
        <v>9454</v>
      </c>
      <c r="C964" s="50" t="s">
        <v>6252</v>
      </c>
      <c r="D964" s="17" t="s">
        <v>8912</v>
      </c>
    </row>
    <row r="965" spans="1:4" ht="18">
      <c r="A965" s="50" t="s">
        <v>6233</v>
      </c>
      <c r="B965" s="50" t="s">
        <v>9453</v>
      </c>
      <c r="C965" s="50" t="s">
        <v>5837</v>
      </c>
      <c r="D965" s="17" t="s">
        <v>8913</v>
      </c>
    </row>
    <row r="966" spans="1:4" ht="18">
      <c r="A966" s="50" t="s">
        <v>6233</v>
      </c>
      <c r="B966" s="50" t="s">
        <v>9453</v>
      </c>
      <c r="C966" s="50" t="s">
        <v>5837</v>
      </c>
      <c r="D966" s="17" t="s">
        <v>8913</v>
      </c>
    </row>
    <row r="967" spans="1:4" ht="18">
      <c r="A967" s="50" t="s">
        <v>6235</v>
      </c>
      <c r="B967" s="50" t="s">
        <v>9455</v>
      </c>
      <c r="C967" s="50" t="s">
        <v>5830</v>
      </c>
      <c r="D967" s="17" t="s">
        <v>8913</v>
      </c>
    </row>
    <row r="968" spans="1:4" ht="18">
      <c r="A968" s="50" t="s">
        <v>6236</v>
      </c>
      <c r="B968" s="50" t="s">
        <v>9456</v>
      </c>
      <c r="C968" s="50" t="s">
        <v>5832</v>
      </c>
      <c r="D968" s="17" t="s">
        <v>8912</v>
      </c>
    </row>
    <row r="969" spans="1:4" ht="18">
      <c r="A969" s="50" t="s">
        <v>6237</v>
      </c>
      <c r="B969" s="50" t="s">
        <v>9457</v>
      </c>
      <c r="C969" s="50" t="s">
        <v>5832</v>
      </c>
      <c r="D969" s="17" t="s">
        <v>8913</v>
      </c>
    </row>
    <row r="970" spans="1:4" ht="18">
      <c r="A970" s="50" t="s">
        <v>6235</v>
      </c>
      <c r="B970" s="50" t="s">
        <v>9455</v>
      </c>
      <c r="C970" s="50" t="s">
        <v>5830</v>
      </c>
      <c r="D970" s="17" t="s">
        <v>8913</v>
      </c>
    </row>
    <row r="971" spans="1:4" ht="18">
      <c r="A971" s="50" t="s">
        <v>6237</v>
      </c>
      <c r="B971" s="50" t="s">
        <v>9457</v>
      </c>
      <c r="C971" s="50" t="s">
        <v>5832</v>
      </c>
      <c r="D971" s="17" t="s">
        <v>8913</v>
      </c>
    </row>
    <row r="972" spans="1:4" ht="18">
      <c r="A972" s="50" t="s">
        <v>6237</v>
      </c>
      <c r="B972" s="50" t="s">
        <v>9457</v>
      </c>
      <c r="C972" s="50" t="s">
        <v>5832</v>
      </c>
      <c r="D972" s="17" t="s">
        <v>8913</v>
      </c>
    </row>
    <row r="973" spans="1:4" ht="18">
      <c r="A973" s="50" t="s">
        <v>6233</v>
      </c>
      <c r="B973" s="50" t="s">
        <v>9453</v>
      </c>
      <c r="C973" s="50" t="s">
        <v>5837</v>
      </c>
      <c r="D973" s="17" t="s">
        <v>8913</v>
      </c>
    </row>
    <row r="974" spans="1:4" ht="18">
      <c r="A974" s="50" t="s">
        <v>6221</v>
      </c>
      <c r="B974" s="50" t="s">
        <v>9441</v>
      </c>
      <c r="C974" s="50" t="s">
        <v>5832</v>
      </c>
      <c r="D974" s="17" t="s">
        <v>8913</v>
      </c>
    </row>
    <row r="975" spans="1:4" ht="18">
      <c r="A975" s="50" t="s">
        <v>6238</v>
      </c>
      <c r="B975" s="50" t="s">
        <v>9458</v>
      </c>
      <c r="C975" s="50" t="s">
        <v>5837</v>
      </c>
      <c r="D975" s="17" t="s">
        <v>8912</v>
      </c>
    </row>
    <row r="976" spans="1:4" ht="18">
      <c r="A976" s="50" t="s">
        <v>6239</v>
      </c>
      <c r="B976" s="50" t="s">
        <v>9459</v>
      </c>
      <c r="C976" s="50" t="s">
        <v>5840</v>
      </c>
      <c r="D976" s="17" t="s">
        <v>8913</v>
      </c>
    </row>
    <row r="977" spans="1:4" ht="18">
      <c r="A977" s="50" t="s">
        <v>6240</v>
      </c>
      <c r="B977" s="50" t="s">
        <v>9460</v>
      </c>
      <c r="C977" s="50" t="s">
        <v>5830</v>
      </c>
      <c r="D977" s="17" t="s">
        <v>8913</v>
      </c>
    </row>
    <row r="978" spans="1:4" ht="18">
      <c r="A978" s="50" t="s">
        <v>6239</v>
      </c>
      <c r="B978" s="50" t="s">
        <v>9459</v>
      </c>
      <c r="C978" s="50" t="s">
        <v>5840</v>
      </c>
      <c r="D978" s="17" t="s">
        <v>8913</v>
      </c>
    </row>
    <row r="979" spans="1:4" ht="18">
      <c r="A979" s="50" t="s">
        <v>6241</v>
      </c>
      <c r="B979" s="50" t="s">
        <v>9461</v>
      </c>
      <c r="C979" s="50" t="s">
        <v>5835</v>
      </c>
      <c r="D979" s="17" t="s">
        <v>8912</v>
      </c>
    </row>
    <row r="980" spans="1:4" ht="18">
      <c r="A980" s="50" t="s">
        <v>6242</v>
      </c>
      <c r="B980" s="50" t="s">
        <v>9462</v>
      </c>
      <c r="C980" s="50" t="s">
        <v>5849</v>
      </c>
      <c r="D980" s="17" t="s">
        <v>8912</v>
      </c>
    </row>
    <row r="981" spans="1:4" ht="18">
      <c r="A981" s="50" t="s">
        <v>6289</v>
      </c>
      <c r="B981" s="50" t="s">
        <v>9463</v>
      </c>
      <c r="C981" s="50" t="s">
        <v>5840</v>
      </c>
      <c r="D981" s="17" t="s">
        <v>8913</v>
      </c>
    </row>
    <row r="982" spans="1:4" ht="18">
      <c r="A982" s="50" t="s">
        <v>6290</v>
      </c>
      <c r="B982" s="50" t="s">
        <v>9464</v>
      </c>
      <c r="C982" s="50" t="s">
        <v>5849</v>
      </c>
      <c r="D982" s="17" t="s">
        <v>8913</v>
      </c>
    </row>
    <row r="983" spans="1:4" ht="18">
      <c r="A983" s="50" t="s">
        <v>6290</v>
      </c>
      <c r="B983" s="50" t="s">
        <v>9464</v>
      </c>
      <c r="C983" s="50" t="s">
        <v>5849</v>
      </c>
      <c r="D983" s="17" t="s">
        <v>8913</v>
      </c>
    </row>
    <row r="984" spans="1:4" ht="18">
      <c r="A984" s="50" t="s">
        <v>6289</v>
      </c>
      <c r="B984" s="50" t="s">
        <v>9463</v>
      </c>
      <c r="C984" s="50" t="s">
        <v>5840</v>
      </c>
      <c r="D984" s="17" t="s">
        <v>8913</v>
      </c>
    </row>
    <row r="985" spans="1:4" ht="18">
      <c r="A985" s="50" t="s">
        <v>6289</v>
      </c>
      <c r="B985" s="50" t="s">
        <v>9463</v>
      </c>
      <c r="C985" s="50" t="s">
        <v>5840</v>
      </c>
      <c r="D985" s="17" t="s">
        <v>8913</v>
      </c>
    </row>
    <row r="986" spans="1:4" ht="18">
      <c r="A986" s="50" t="s">
        <v>6291</v>
      </c>
      <c r="B986" s="50" t="s">
        <v>9465</v>
      </c>
      <c r="C986" s="50" t="s">
        <v>6249</v>
      </c>
      <c r="D986" s="17" t="s">
        <v>8913</v>
      </c>
    </row>
    <row r="987" spans="1:4" ht="18">
      <c r="A987" s="50" t="s">
        <v>6292</v>
      </c>
      <c r="B987" s="50" t="s">
        <v>9466</v>
      </c>
      <c r="C987" s="50" t="s">
        <v>6250</v>
      </c>
      <c r="D987" s="17" t="s">
        <v>8913</v>
      </c>
    </row>
    <row r="988" spans="1:4" ht="18">
      <c r="A988" s="50" t="s">
        <v>6293</v>
      </c>
      <c r="B988" s="50" t="s">
        <v>9467</v>
      </c>
      <c r="C988" s="50" t="s">
        <v>6075</v>
      </c>
      <c r="D988" s="17" t="s">
        <v>8913</v>
      </c>
    </row>
    <row r="989" spans="1:4" ht="18">
      <c r="A989" s="50" t="s">
        <v>6294</v>
      </c>
      <c r="B989" s="50" t="s">
        <v>9468</v>
      </c>
      <c r="C989" s="50" t="s">
        <v>5837</v>
      </c>
      <c r="D989" s="17" t="s">
        <v>8913</v>
      </c>
    </row>
    <row r="990" spans="1:4" ht="18">
      <c r="A990" s="50" t="s">
        <v>6295</v>
      </c>
      <c r="B990" s="50" t="s">
        <v>9469</v>
      </c>
      <c r="C990" s="50" t="s">
        <v>5273</v>
      </c>
      <c r="D990" s="17" t="s">
        <v>8912</v>
      </c>
    </row>
    <row r="991" spans="1:4" ht="18">
      <c r="A991" s="50" t="s">
        <v>6295</v>
      </c>
      <c r="B991" s="50" t="s">
        <v>9469</v>
      </c>
      <c r="C991" s="50" t="s">
        <v>5273</v>
      </c>
      <c r="D991" s="17" t="s">
        <v>8912</v>
      </c>
    </row>
    <row r="992" spans="1:4" ht="18">
      <c r="A992" s="50" t="s">
        <v>6296</v>
      </c>
      <c r="B992" s="50" t="s">
        <v>9470</v>
      </c>
      <c r="C992" s="50" t="s">
        <v>5331</v>
      </c>
      <c r="D992" s="17" t="s">
        <v>8913</v>
      </c>
    </row>
    <row r="993" spans="1:4" ht="18">
      <c r="A993" s="50" t="s">
        <v>6295</v>
      </c>
      <c r="B993" s="50" t="s">
        <v>9469</v>
      </c>
      <c r="C993" s="50" t="s">
        <v>5273</v>
      </c>
      <c r="D993" s="17" t="s">
        <v>8912</v>
      </c>
    </row>
    <row r="994" spans="1:4" ht="18">
      <c r="A994" s="50" t="s">
        <v>6296</v>
      </c>
      <c r="B994" s="50" t="s">
        <v>9470</v>
      </c>
      <c r="C994" s="50" t="s">
        <v>5331</v>
      </c>
      <c r="D994" s="17" t="s">
        <v>8913</v>
      </c>
    </row>
    <row r="995" spans="1:4" ht="18">
      <c r="A995" s="50" t="s">
        <v>6297</v>
      </c>
      <c r="B995" s="50" t="s">
        <v>9471</v>
      </c>
      <c r="C995" s="50" t="s">
        <v>5557</v>
      </c>
      <c r="D995" s="17" t="s">
        <v>8912</v>
      </c>
    </row>
    <row r="996" spans="1:4" ht="18">
      <c r="A996" s="50" t="s">
        <v>6304</v>
      </c>
      <c r="B996" s="50" t="s">
        <v>9472</v>
      </c>
      <c r="C996" s="50" t="s">
        <v>6305</v>
      </c>
      <c r="D996" s="17" t="s">
        <v>8913</v>
      </c>
    </row>
    <row r="997" spans="1:4" ht="18">
      <c r="A997" s="50" t="s">
        <v>6307</v>
      </c>
      <c r="B997" s="50" t="s">
        <v>9473</v>
      </c>
      <c r="C997" s="50" t="s">
        <v>6308</v>
      </c>
      <c r="D997" s="17" t="s">
        <v>8913</v>
      </c>
    </row>
    <row r="998" spans="1:4" ht="18">
      <c r="A998" s="50" t="s">
        <v>6311</v>
      </c>
      <c r="B998" s="50" t="s">
        <v>9474</v>
      </c>
      <c r="C998" s="50" t="s">
        <v>6312</v>
      </c>
      <c r="D998" s="17" t="s">
        <v>8912</v>
      </c>
    </row>
    <row r="999" spans="1:4" ht="18">
      <c r="A999" s="50" t="s">
        <v>6311</v>
      </c>
      <c r="B999" s="50" t="s">
        <v>9474</v>
      </c>
      <c r="C999" s="50" t="s">
        <v>6312</v>
      </c>
      <c r="D999" s="17" t="s">
        <v>8912</v>
      </c>
    </row>
    <row r="1000" spans="1:4" ht="18">
      <c r="A1000" s="50" t="s">
        <v>6313</v>
      </c>
      <c r="B1000" s="50" t="s">
        <v>9475</v>
      </c>
      <c r="C1000" s="50" t="s">
        <v>6314</v>
      </c>
      <c r="D1000" s="17" t="s">
        <v>8912</v>
      </c>
    </row>
    <row r="1001" spans="1:4" ht="18">
      <c r="A1001" s="50" t="s">
        <v>6316</v>
      </c>
      <c r="B1001" s="50" t="s">
        <v>9476</v>
      </c>
      <c r="C1001" s="50" t="s">
        <v>6302</v>
      </c>
      <c r="D1001" s="17" t="s">
        <v>8912</v>
      </c>
    </row>
    <row r="1002" spans="1:4" ht="18">
      <c r="A1002" s="50" t="s">
        <v>6313</v>
      </c>
      <c r="B1002" s="50" t="s">
        <v>9475</v>
      </c>
      <c r="C1002" s="50" t="s">
        <v>6314</v>
      </c>
      <c r="D1002" s="17" t="s">
        <v>8912</v>
      </c>
    </row>
    <row r="1003" spans="1:4" ht="18">
      <c r="A1003" s="50" t="s">
        <v>6319</v>
      </c>
      <c r="B1003" s="50" t="s">
        <v>9477</v>
      </c>
      <c r="C1003" s="50" t="s">
        <v>6314</v>
      </c>
      <c r="D1003" s="17" t="s">
        <v>8912</v>
      </c>
    </row>
    <row r="1004" spans="1:4" ht="18">
      <c r="A1004" s="50" t="s">
        <v>6320</v>
      </c>
      <c r="B1004" s="50" t="s">
        <v>9478</v>
      </c>
      <c r="C1004" s="50" t="s">
        <v>6308</v>
      </c>
      <c r="D1004" s="17" t="s">
        <v>8912</v>
      </c>
    </row>
    <row r="1005" spans="1:4" ht="18">
      <c r="A1005" s="50" t="s">
        <v>6319</v>
      </c>
      <c r="B1005" s="50" t="s">
        <v>9477</v>
      </c>
      <c r="C1005" s="50" t="s">
        <v>6314</v>
      </c>
      <c r="D1005" s="17" t="s">
        <v>8912</v>
      </c>
    </row>
    <row r="1006" spans="1:4" ht="18">
      <c r="A1006" s="50" t="s">
        <v>6322</v>
      </c>
      <c r="B1006" s="50" t="s">
        <v>9479</v>
      </c>
      <c r="C1006" s="50" t="s">
        <v>6323</v>
      </c>
      <c r="D1006" s="17" t="s">
        <v>8912</v>
      </c>
    </row>
    <row r="1007" spans="1:4" ht="18">
      <c r="A1007" s="50" t="s">
        <v>6322</v>
      </c>
      <c r="B1007" s="50" t="s">
        <v>9479</v>
      </c>
      <c r="C1007" s="50" t="s">
        <v>6323</v>
      </c>
      <c r="D1007" s="17" t="s">
        <v>8912</v>
      </c>
    </row>
    <row r="1008" spans="1:4" ht="18">
      <c r="A1008" s="50" t="s">
        <v>6316</v>
      </c>
      <c r="B1008" s="50" t="s">
        <v>9476</v>
      </c>
      <c r="C1008" s="50" t="s">
        <v>6302</v>
      </c>
      <c r="D1008" s="17" t="s">
        <v>8912</v>
      </c>
    </row>
    <row r="1009" spans="1:4" ht="18">
      <c r="A1009" s="50" t="s">
        <v>6327</v>
      </c>
      <c r="B1009" s="50" t="s">
        <v>9480</v>
      </c>
      <c r="C1009" s="50" t="s">
        <v>6328</v>
      </c>
      <c r="D1009" s="17" t="s">
        <v>8912</v>
      </c>
    </row>
    <row r="1010" spans="1:4" ht="18">
      <c r="A1010" s="50" t="s">
        <v>6327</v>
      </c>
      <c r="B1010" s="50" t="s">
        <v>9480</v>
      </c>
      <c r="C1010" s="50" t="s">
        <v>6328</v>
      </c>
      <c r="D1010" s="17" t="s">
        <v>8912</v>
      </c>
    </row>
    <row r="1011" spans="1:4" ht="18">
      <c r="A1011" s="50" t="s">
        <v>6327</v>
      </c>
      <c r="B1011" s="50" t="s">
        <v>9480</v>
      </c>
      <c r="C1011" s="50" t="s">
        <v>6328</v>
      </c>
      <c r="D1011" s="17" t="s">
        <v>8912</v>
      </c>
    </row>
    <row r="1012" spans="1:4" ht="18">
      <c r="A1012" s="50" t="s">
        <v>6327</v>
      </c>
      <c r="B1012" s="50" t="s">
        <v>9480</v>
      </c>
      <c r="C1012" s="50" t="s">
        <v>6328</v>
      </c>
      <c r="D1012" s="17" t="s">
        <v>8912</v>
      </c>
    </row>
    <row r="1013" spans="1:4" ht="18">
      <c r="A1013" s="50" t="s">
        <v>6334</v>
      </c>
      <c r="B1013" s="50" t="s">
        <v>9481</v>
      </c>
      <c r="C1013" s="50" t="s">
        <v>6314</v>
      </c>
      <c r="D1013" s="17" t="s">
        <v>8912</v>
      </c>
    </row>
    <row r="1014" spans="1:4" ht="18">
      <c r="A1014" s="50" t="s">
        <v>6336</v>
      </c>
      <c r="B1014" s="50" t="s">
        <v>9482</v>
      </c>
      <c r="C1014" s="50" t="s">
        <v>6337</v>
      </c>
      <c r="D1014" s="17" t="s">
        <v>8912</v>
      </c>
    </row>
    <row r="1015" spans="1:4" ht="18">
      <c r="A1015" s="50" t="s">
        <v>6339</v>
      </c>
      <c r="B1015" s="50" t="s">
        <v>9483</v>
      </c>
      <c r="C1015" s="50" t="s">
        <v>6323</v>
      </c>
      <c r="D1015" s="17" t="s">
        <v>8912</v>
      </c>
    </row>
    <row r="1016" spans="1:4" ht="18">
      <c r="A1016" s="50" t="s">
        <v>6334</v>
      </c>
      <c r="B1016" s="50" t="s">
        <v>9481</v>
      </c>
      <c r="C1016" s="50" t="s">
        <v>6314</v>
      </c>
      <c r="D1016" s="17" t="s">
        <v>8912</v>
      </c>
    </row>
    <row r="1017" spans="1:4" ht="18">
      <c r="A1017" s="50" t="s">
        <v>6341</v>
      </c>
      <c r="B1017" s="50" t="s">
        <v>9484</v>
      </c>
      <c r="C1017" s="50" t="s">
        <v>6302</v>
      </c>
      <c r="D1017" s="17" t="s">
        <v>8912</v>
      </c>
    </row>
    <row r="1018" spans="1:4" ht="18">
      <c r="A1018" s="50" t="s">
        <v>6341</v>
      </c>
      <c r="B1018" s="50" t="s">
        <v>9484</v>
      </c>
      <c r="C1018" s="50" t="s">
        <v>6302</v>
      </c>
      <c r="D1018" s="17" t="s">
        <v>8912</v>
      </c>
    </row>
    <row r="1019" spans="1:4" ht="18">
      <c r="A1019" s="50" t="s">
        <v>6345</v>
      </c>
      <c r="B1019" s="50" t="s">
        <v>9485</v>
      </c>
      <c r="C1019" s="50" t="s">
        <v>6302</v>
      </c>
      <c r="D1019" s="17" t="s">
        <v>8912</v>
      </c>
    </row>
    <row r="1020" spans="1:4" ht="18">
      <c r="A1020" s="50" t="s">
        <v>6346</v>
      </c>
      <c r="B1020" s="50" t="s">
        <v>9486</v>
      </c>
      <c r="C1020" s="50" t="s">
        <v>6308</v>
      </c>
      <c r="D1020" s="17" t="s">
        <v>8913</v>
      </c>
    </row>
    <row r="1021" spans="1:4" ht="18">
      <c r="A1021" s="50" t="s">
        <v>6349</v>
      </c>
      <c r="B1021" s="50" t="s">
        <v>9487</v>
      </c>
      <c r="C1021" s="50" t="s">
        <v>6302</v>
      </c>
      <c r="D1021" s="17" t="s">
        <v>8912</v>
      </c>
    </row>
    <row r="1022" spans="1:4" ht="18">
      <c r="A1022" s="50" t="s">
        <v>6351</v>
      </c>
      <c r="B1022" s="50" t="s">
        <v>9488</v>
      </c>
      <c r="C1022" s="50" t="s">
        <v>6310</v>
      </c>
      <c r="D1022" s="17" t="s">
        <v>8912</v>
      </c>
    </row>
    <row r="1023" spans="1:4" ht="18">
      <c r="A1023" s="50" t="s">
        <v>6352</v>
      </c>
      <c r="B1023" s="50" t="s">
        <v>9489</v>
      </c>
      <c r="C1023" s="50" t="s">
        <v>6308</v>
      </c>
      <c r="D1023" s="17" t="s">
        <v>8912</v>
      </c>
    </row>
    <row r="1024" spans="1:4" ht="18">
      <c r="A1024" s="50" t="s">
        <v>6353</v>
      </c>
      <c r="B1024" s="50" t="s">
        <v>9490</v>
      </c>
      <c r="C1024" s="50" t="s">
        <v>6323</v>
      </c>
      <c r="D1024" s="17" t="s">
        <v>8912</v>
      </c>
    </row>
    <row r="1025" spans="1:4" ht="18">
      <c r="A1025" s="50" t="s">
        <v>6355</v>
      </c>
      <c r="B1025" s="50" t="s">
        <v>9491</v>
      </c>
      <c r="C1025" s="50" t="s">
        <v>6310</v>
      </c>
      <c r="D1025" s="17" t="s">
        <v>8912</v>
      </c>
    </row>
    <row r="1026" spans="1:4" ht="18">
      <c r="A1026" s="50" t="s">
        <v>6355</v>
      </c>
      <c r="B1026" s="50" t="s">
        <v>9491</v>
      </c>
      <c r="C1026" s="50" t="s">
        <v>6310</v>
      </c>
      <c r="D1026" s="17" t="s">
        <v>8912</v>
      </c>
    </row>
    <row r="1027" spans="1:4" ht="18">
      <c r="A1027" s="50" t="s">
        <v>6341</v>
      </c>
      <c r="B1027" s="50" t="s">
        <v>9484</v>
      </c>
      <c r="C1027" s="50" t="s">
        <v>6302</v>
      </c>
      <c r="D1027" s="17" t="s">
        <v>8912</v>
      </c>
    </row>
    <row r="1028" spans="1:4" ht="18">
      <c r="A1028" s="50" t="s">
        <v>6359</v>
      </c>
      <c r="B1028" s="50" t="s">
        <v>9492</v>
      </c>
      <c r="C1028" s="50" t="s">
        <v>6302</v>
      </c>
      <c r="D1028" s="17" t="s">
        <v>8912</v>
      </c>
    </row>
    <row r="1029" spans="1:4" ht="18">
      <c r="A1029" s="50" t="s">
        <v>6341</v>
      </c>
      <c r="B1029" s="50" t="s">
        <v>9484</v>
      </c>
      <c r="C1029" s="50" t="s">
        <v>6302</v>
      </c>
      <c r="D1029" s="17" t="s">
        <v>8912</v>
      </c>
    </row>
    <row r="1030" spans="1:4" ht="18">
      <c r="A1030" s="50" t="s">
        <v>6359</v>
      </c>
      <c r="B1030" s="50" t="s">
        <v>9492</v>
      </c>
      <c r="C1030" s="50" t="s">
        <v>6302</v>
      </c>
      <c r="D1030" s="17" t="s">
        <v>8912</v>
      </c>
    </row>
    <row r="1031" spans="1:4" ht="18">
      <c r="A1031" s="50" t="s">
        <v>6364</v>
      </c>
      <c r="B1031" s="50" t="s">
        <v>9493</v>
      </c>
      <c r="C1031" s="50" t="s">
        <v>6302</v>
      </c>
      <c r="D1031" s="17" t="s">
        <v>8912</v>
      </c>
    </row>
    <row r="1032" spans="1:4" ht="18">
      <c r="A1032" s="50" t="s">
        <v>6364</v>
      </c>
      <c r="B1032" s="50" t="s">
        <v>9493</v>
      </c>
      <c r="C1032" s="50" t="s">
        <v>6302</v>
      </c>
      <c r="D1032" s="17" t="s">
        <v>8912</v>
      </c>
    </row>
    <row r="1033" spans="1:4" ht="18">
      <c r="A1033" s="50" t="s">
        <v>6366</v>
      </c>
      <c r="B1033" s="50" t="s">
        <v>9494</v>
      </c>
      <c r="C1033" s="50" t="s">
        <v>6310</v>
      </c>
      <c r="D1033" s="17" t="s">
        <v>8912</v>
      </c>
    </row>
    <row r="1034" spans="1:4" ht="18">
      <c r="A1034" s="50" t="s">
        <v>6366</v>
      </c>
      <c r="B1034" s="50" t="s">
        <v>9494</v>
      </c>
      <c r="C1034" s="50" t="s">
        <v>6310</v>
      </c>
      <c r="D1034" s="17" t="s">
        <v>8912</v>
      </c>
    </row>
    <row r="1035" spans="1:4" ht="18">
      <c r="A1035" s="50" t="s">
        <v>6368</v>
      </c>
      <c r="B1035" s="50" t="s">
        <v>9495</v>
      </c>
      <c r="C1035" s="50" t="s">
        <v>6328</v>
      </c>
      <c r="D1035" s="17" t="s">
        <v>8912</v>
      </c>
    </row>
    <row r="1036" spans="1:4" ht="18">
      <c r="A1036" s="50" t="s">
        <v>6368</v>
      </c>
      <c r="B1036" s="50" t="s">
        <v>9495</v>
      </c>
      <c r="C1036" s="50" t="s">
        <v>6328</v>
      </c>
      <c r="D1036" s="17" t="s">
        <v>8912</v>
      </c>
    </row>
    <row r="1037" spans="1:4" ht="18">
      <c r="A1037" s="50" t="s">
        <v>6334</v>
      </c>
      <c r="B1037" s="50" t="s">
        <v>9481</v>
      </c>
      <c r="C1037" s="50" t="s">
        <v>6314</v>
      </c>
      <c r="D1037" s="17" t="s">
        <v>8912</v>
      </c>
    </row>
    <row r="1038" spans="1:4" ht="18">
      <c r="A1038" s="50" t="s">
        <v>6370</v>
      </c>
      <c r="B1038" s="50" t="s">
        <v>9496</v>
      </c>
      <c r="C1038" s="50" t="s">
        <v>6310</v>
      </c>
      <c r="D1038" s="17" t="s">
        <v>8912</v>
      </c>
    </row>
    <row r="1039" spans="1:4" ht="18">
      <c r="A1039" s="50" t="s">
        <v>6353</v>
      </c>
      <c r="B1039" s="50" t="s">
        <v>9490</v>
      </c>
      <c r="C1039" s="50" t="s">
        <v>6323</v>
      </c>
      <c r="D1039" s="17" t="s">
        <v>8912</v>
      </c>
    </row>
    <row r="1040" spans="1:4" ht="18">
      <c r="A1040" s="50" t="s">
        <v>6352</v>
      </c>
      <c r="B1040" s="50" t="s">
        <v>9489</v>
      </c>
      <c r="C1040" s="50" t="s">
        <v>6308</v>
      </c>
      <c r="D1040" s="17" t="s">
        <v>8912</v>
      </c>
    </row>
    <row r="1041" spans="1:4" ht="18">
      <c r="A1041" s="50" t="s">
        <v>6355</v>
      </c>
      <c r="B1041" s="50" t="s">
        <v>9491</v>
      </c>
      <c r="C1041" s="50" t="s">
        <v>6310</v>
      </c>
      <c r="D1041" s="17" t="s">
        <v>8912</v>
      </c>
    </row>
    <row r="1042" spans="1:4" ht="18">
      <c r="A1042" s="50" t="s">
        <v>6355</v>
      </c>
      <c r="B1042" s="50" t="s">
        <v>9491</v>
      </c>
      <c r="C1042" s="50" t="s">
        <v>6310</v>
      </c>
      <c r="D1042" s="17" t="s">
        <v>8912</v>
      </c>
    </row>
    <row r="1043" spans="1:4" ht="18">
      <c r="A1043" s="50" t="s">
        <v>6355</v>
      </c>
      <c r="B1043" s="50" t="s">
        <v>9491</v>
      </c>
      <c r="C1043" s="50" t="s">
        <v>6310</v>
      </c>
      <c r="D1043" s="17" t="s">
        <v>8912</v>
      </c>
    </row>
    <row r="1044" spans="1:4" ht="18">
      <c r="A1044" s="50" t="s">
        <v>6374</v>
      </c>
      <c r="B1044" s="50" t="s">
        <v>9497</v>
      </c>
      <c r="C1044" s="50" t="s">
        <v>6308</v>
      </c>
      <c r="D1044" s="17" t="s">
        <v>8912</v>
      </c>
    </row>
    <row r="1045" spans="1:4" ht="18">
      <c r="A1045" s="50" t="s">
        <v>6374</v>
      </c>
      <c r="B1045" s="50" t="s">
        <v>9497</v>
      </c>
      <c r="C1045" s="50" t="s">
        <v>6308</v>
      </c>
      <c r="D1045" s="17" t="s">
        <v>8912</v>
      </c>
    </row>
    <row r="1046" spans="1:4" ht="18">
      <c r="A1046" s="50" t="s">
        <v>6375</v>
      </c>
      <c r="B1046" s="50" t="s">
        <v>9498</v>
      </c>
      <c r="C1046" s="50" t="s">
        <v>6302</v>
      </c>
      <c r="D1046" s="17" t="s">
        <v>8912</v>
      </c>
    </row>
    <row r="1047" spans="1:4" ht="18">
      <c r="A1047" s="50" t="s">
        <v>6374</v>
      </c>
      <c r="B1047" s="50" t="s">
        <v>9497</v>
      </c>
      <c r="C1047" s="50" t="s">
        <v>6308</v>
      </c>
      <c r="D1047" s="17" t="s">
        <v>8912</v>
      </c>
    </row>
    <row r="1048" spans="1:4" ht="18">
      <c r="A1048" s="50" t="s">
        <v>6374</v>
      </c>
      <c r="B1048" s="50" t="s">
        <v>9497</v>
      </c>
      <c r="C1048" s="50" t="s">
        <v>6308</v>
      </c>
      <c r="D1048" s="17" t="s">
        <v>8912</v>
      </c>
    </row>
    <row r="1049" spans="1:4" ht="18">
      <c r="A1049" s="50" t="s">
        <v>6375</v>
      </c>
      <c r="B1049" s="50" t="s">
        <v>9498</v>
      </c>
      <c r="C1049" s="50" t="s">
        <v>6302</v>
      </c>
      <c r="D1049" s="17" t="s">
        <v>8912</v>
      </c>
    </row>
    <row r="1050" spans="1:4" ht="18">
      <c r="A1050" s="50" t="s">
        <v>6374</v>
      </c>
      <c r="B1050" s="50" t="s">
        <v>9497</v>
      </c>
      <c r="C1050" s="50" t="s">
        <v>6308</v>
      </c>
      <c r="D1050" s="17" t="s">
        <v>8912</v>
      </c>
    </row>
    <row r="1051" spans="1:4" ht="18">
      <c r="A1051" s="50" t="s">
        <v>6377</v>
      </c>
      <c r="B1051" s="50" t="s">
        <v>9499</v>
      </c>
      <c r="C1051" s="50" t="s">
        <v>6302</v>
      </c>
      <c r="D1051" s="17" t="s">
        <v>8913</v>
      </c>
    </row>
    <row r="1052" spans="1:4" ht="18">
      <c r="A1052" s="50" t="s">
        <v>6378</v>
      </c>
      <c r="B1052" s="50" t="s">
        <v>9500</v>
      </c>
      <c r="C1052" s="50" t="s">
        <v>6379</v>
      </c>
      <c r="D1052" s="17" t="s">
        <v>8912</v>
      </c>
    </row>
    <row r="1053" spans="1:4" ht="18">
      <c r="A1053" s="50" t="s">
        <v>6380</v>
      </c>
      <c r="B1053" s="50" t="s">
        <v>9501</v>
      </c>
      <c r="C1053" s="50" t="s">
        <v>6323</v>
      </c>
      <c r="D1053" s="17" t="s">
        <v>8912</v>
      </c>
    </row>
    <row r="1054" spans="1:4" ht="18">
      <c r="A1054" s="50" t="s">
        <v>6381</v>
      </c>
      <c r="B1054" s="50" t="s">
        <v>9502</v>
      </c>
      <c r="C1054" s="50" t="s">
        <v>6325</v>
      </c>
      <c r="D1054" s="17" t="s">
        <v>8913</v>
      </c>
    </row>
    <row r="1055" spans="1:4" ht="18">
      <c r="A1055" s="50" t="s">
        <v>6382</v>
      </c>
      <c r="B1055" s="50" t="s">
        <v>9503</v>
      </c>
      <c r="C1055" s="50" t="s">
        <v>6383</v>
      </c>
      <c r="D1055" s="17" t="s">
        <v>8912</v>
      </c>
    </row>
    <row r="1056" spans="1:4" ht="18">
      <c r="A1056" s="50" t="s">
        <v>6384</v>
      </c>
      <c r="B1056" s="50" t="s">
        <v>9504</v>
      </c>
      <c r="C1056" s="50" t="s">
        <v>6276</v>
      </c>
      <c r="D1056" s="17" t="s">
        <v>8913</v>
      </c>
    </row>
    <row r="1057" spans="1:4" ht="18">
      <c r="A1057" s="50" t="s">
        <v>6384</v>
      </c>
      <c r="B1057" s="50" t="s">
        <v>9504</v>
      </c>
      <c r="C1057" s="50" t="s">
        <v>6276</v>
      </c>
      <c r="D1057" s="17" t="s">
        <v>8913</v>
      </c>
    </row>
    <row r="1058" spans="1:4" ht="18">
      <c r="A1058" s="50" t="s">
        <v>6384</v>
      </c>
      <c r="B1058" s="50" t="s">
        <v>9504</v>
      </c>
      <c r="C1058" s="50" t="s">
        <v>6276</v>
      </c>
      <c r="D1058" s="17" t="s">
        <v>8913</v>
      </c>
    </row>
    <row r="1059" spans="1:4" ht="18">
      <c r="A1059" s="50" t="s">
        <v>6384</v>
      </c>
      <c r="B1059" s="50" t="s">
        <v>9504</v>
      </c>
      <c r="C1059" s="50" t="s">
        <v>6276</v>
      </c>
      <c r="D1059" s="17" t="s">
        <v>8913</v>
      </c>
    </row>
    <row r="1060" spans="1:4" ht="18">
      <c r="A1060" s="50" t="s">
        <v>6387</v>
      </c>
      <c r="B1060" s="50" t="s">
        <v>9505</v>
      </c>
      <c r="C1060" s="50" t="s">
        <v>6361</v>
      </c>
      <c r="D1060" s="17" t="s">
        <v>8913</v>
      </c>
    </row>
    <row r="1061" spans="1:4" ht="18">
      <c r="A1061" s="50" t="s">
        <v>6384</v>
      </c>
      <c r="B1061" s="50" t="s">
        <v>9504</v>
      </c>
      <c r="C1061" s="50" t="s">
        <v>6276</v>
      </c>
      <c r="D1061" s="17" t="s">
        <v>8913</v>
      </c>
    </row>
    <row r="1062" spans="1:4" ht="18">
      <c r="A1062" s="50" t="s">
        <v>6389</v>
      </c>
      <c r="B1062" s="50" t="s">
        <v>9506</v>
      </c>
      <c r="C1062" s="50" t="s">
        <v>6328</v>
      </c>
      <c r="D1062" s="17" t="s">
        <v>8912</v>
      </c>
    </row>
    <row r="1063" spans="1:4" ht="18">
      <c r="A1063" s="50" t="s">
        <v>6391</v>
      </c>
      <c r="B1063" s="50" t="s">
        <v>9507</v>
      </c>
      <c r="C1063" s="50" t="s">
        <v>6314</v>
      </c>
      <c r="D1063" s="17" t="s">
        <v>8913</v>
      </c>
    </row>
    <row r="1064" spans="1:4" ht="18">
      <c r="A1064" s="50" t="s">
        <v>6393</v>
      </c>
      <c r="B1064" s="50" t="s">
        <v>9508</v>
      </c>
      <c r="C1064" s="50" t="s">
        <v>6363</v>
      </c>
      <c r="D1064" s="17" t="s">
        <v>8913</v>
      </c>
    </row>
    <row r="1065" spans="1:4" ht="18">
      <c r="A1065" s="50" t="s">
        <v>6394</v>
      </c>
      <c r="B1065" s="50" t="s">
        <v>9509</v>
      </c>
      <c r="C1065" s="50" t="s">
        <v>6395</v>
      </c>
      <c r="D1065" s="17" t="s">
        <v>8913</v>
      </c>
    </row>
    <row r="1066" spans="1:4" ht="18">
      <c r="A1066" s="50" t="s">
        <v>6396</v>
      </c>
      <c r="B1066" s="50" t="s">
        <v>9510</v>
      </c>
      <c r="C1066" s="50" t="s">
        <v>6361</v>
      </c>
      <c r="D1066" s="17" t="s">
        <v>8912</v>
      </c>
    </row>
    <row r="1067" spans="1:4" ht="18">
      <c r="A1067" s="50" t="s">
        <v>6397</v>
      </c>
      <c r="B1067" s="50" t="s">
        <v>9511</v>
      </c>
      <c r="C1067" s="50" t="s">
        <v>6337</v>
      </c>
      <c r="D1067" s="17" t="s">
        <v>8913</v>
      </c>
    </row>
    <row r="1068" spans="1:4" ht="18">
      <c r="A1068" s="50" t="s">
        <v>6399</v>
      </c>
      <c r="B1068" s="50" t="s">
        <v>9512</v>
      </c>
      <c r="C1068" s="50" t="s">
        <v>6363</v>
      </c>
      <c r="D1068" s="17" t="s">
        <v>8912</v>
      </c>
    </row>
    <row r="1069" spans="1:4" ht="18">
      <c r="A1069" s="50" t="s">
        <v>6399</v>
      </c>
      <c r="B1069" s="50" t="s">
        <v>9512</v>
      </c>
      <c r="C1069" s="50" t="s">
        <v>6363</v>
      </c>
      <c r="D1069" s="17" t="s">
        <v>8912</v>
      </c>
    </row>
    <row r="1070" spans="1:4" ht="18">
      <c r="A1070" s="50" t="s">
        <v>6400</v>
      </c>
      <c r="B1070" s="50" t="s">
        <v>9513</v>
      </c>
      <c r="C1070" s="50" t="s">
        <v>6314</v>
      </c>
      <c r="D1070" s="17" t="s">
        <v>8912</v>
      </c>
    </row>
    <row r="1071" spans="1:4" ht="18">
      <c r="A1071" s="50" t="s">
        <v>6396</v>
      </c>
      <c r="B1071" s="50" t="s">
        <v>9510</v>
      </c>
      <c r="C1071" s="50" t="s">
        <v>6361</v>
      </c>
      <c r="D1071" s="17" t="s">
        <v>8912</v>
      </c>
    </row>
    <row r="1072" spans="1:4" ht="18">
      <c r="A1072" s="50" t="s">
        <v>6402</v>
      </c>
      <c r="B1072" s="50" t="s">
        <v>9514</v>
      </c>
      <c r="C1072" s="50" t="s">
        <v>6325</v>
      </c>
      <c r="D1072" s="17" t="s">
        <v>8913</v>
      </c>
    </row>
    <row r="1073" spans="1:4" ht="18">
      <c r="A1073" s="50" t="s">
        <v>6402</v>
      </c>
      <c r="B1073" s="50" t="s">
        <v>9514</v>
      </c>
      <c r="C1073" s="50" t="s">
        <v>6325</v>
      </c>
      <c r="D1073" s="17" t="s">
        <v>8913</v>
      </c>
    </row>
    <row r="1074" spans="1:4" ht="18">
      <c r="A1074" s="50" t="s">
        <v>6404</v>
      </c>
      <c r="B1074" s="50" t="s">
        <v>9515</v>
      </c>
      <c r="C1074" s="50" t="s">
        <v>6314</v>
      </c>
      <c r="D1074" s="17" t="s">
        <v>8912</v>
      </c>
    </row>
    <row r="1075" spans="1:4" ht="18">
      <c r="A1075" s="50" t="s">
        <v>6384</v>
      </c>
      <c r="B1075" s="50" t="s">
        <v>9504</v>
      </c>
      <c r="C1075" s="50" t="s">
        <v>6276</v>
      </c>
      <c r="D1075" s="17" t="s">
        <v>8913</v>
      </c>
    </row>
    <row r="1076" spans="1:4" ht="18">
      <c r="A1076" s="50" t="s">
        <v>6405</v>
      </c>
      <c r="B1076" s="50" t="s">
        <v>9516</v>
      </c>
      <c r="C1076" s="50" t="s">
        <v>6325</v>
      </c>
      <c r="D1076" s="17" t="s">
        <v>8912</v>
      </c>
    </row>
    <row r="1077" spans="1:4" ht="18">
      <c r="A1077" s="50" t="s">
        <v>6384</v>
      </c>
      <c r="B1077" s="50" t="s">
        <v>9504</v>
      </c>
      <c r="C1077" s="50" t="s">
        <v>6276</v>
      </c>
      <c r="D1077" s="17" t="s">
        <v>8913</v>
      </c>
    </row>
    <row r="1078" spans="1:4" ht="18">
      <c r="A1078" s="50" t="s">
        <v>6406</v>
      </c>
      <c r="B1078" s="50" t="s">
        <v>9517</v>
      </c>
      <c r="C1078" s="50" t="s">
        <v>6330</v>
      </c>
      <c r="D1078" s="17" t="s">
        <v>8912</v>
      </c>
    </row>
    <row r="1079" spans="1:4" ht="18">
      <c r="A1079" s="50" t="s">
        <v>6407</v>
      </c>
      <c r="B1079" s="50" t="s">
        <v>9518</v>
      </c>
      <c r="C1079" s="50" t="s">
        <v>6408</v>
      </c>
      <c r="D1079" s="17" t="s">
        <v>8912</v>
      </c>
    </row>
    <row r="1080" spans="1:4" ht="18">
      <c r="A1080" s="50" t="s">
        <v>6409</v>
      </c>
      <c r="B1080" s="50" t="s">
        <v>9519</v>
      </c>
      <c r="C1080" s="50" t="s">
        <v>6410</v>
      </c>
      <c r="D1080" s="17" t="s">
        <v>8912</v>
      </c>
    </row>
    <row r="1081" spans="1:4" ht="18">
      <c r="A1081" s="50" t="s">
        <v>6411</v>
      </c>
      <c r="B1081" s="50" t="s">
        <v>9520</v>
      </c>
      <c r="C1081" s="50" t="s">
        <v>6412</v>
      </c>
      <c r="D1081" s="17" t="s">
        <v>8912</v>
      </c>
    </row>
    <row r="1082" spans="1:4" ht="18">
      <c r="A1082" s="50" t="s">
        <v>6413</v>
      </c>
      <c r="B1082" s="50" t="s">
        <v>9521</v>
      </c>
      <c r="C1082" s="50" t="s">
        <v>6312</v>
      </c>
      <c r="D1082" s="17" t="s">
        <v>8912</v>
      </c>
    </row>
    <row r="1083" spans="1:4" ht="18">
      <c r="A1083" s="50" t="s">
        <v>6414</v>
      </c>
      <c r="B1083" s="50" t="s">
        <v>9522</v>
      </c>
      <c r="C1083" s="50" t="s">
        <v>6325</v>
      </c>
      <c r="D1083" s="17" t="s">
        <v>8912</v>
      </c>
    </row>
    <row r="1084" spans="1:4" ht="18">
      <c r="A1084" s="50" t="s">
        <v>6415</v>
      </c>
      <c r="B1084" s="50" t="s">
        <v>9523</v>
      </c>
      <c r="C1084" s="50" t="s">
        <v>6305</v>
      </c>
      <c r="D1084" s="17" t="s">
        <v>8913</v>
      </c>
    </row>
    <row r="1085" spans="1:4" ht="18">
      <c r="A1085" s="50" t="s">
        <v>6413</v>
      </c>
      <c r="B1085" s="50" t="s">
        <v>9521</v>
      </c>
      <c r="C1085" s="50" t="s">
        <v>6312</v>
      </c>
      <c r="D1085" s="17" t="s">
        <v>8912</v>
      </c>
    </row>
    <row r="1086" spans="1:4" ht="18">
      <c r="A1086" s="50" t="s">
        <v>6417</v>
      </c>
      <c r="B1086" s="50" t="s">
        <v>9524</v>
      </c>
      <c r="C1086" s="50" t="s">
        <v>6328</v>
      </c>
      <c r="D1086" s="17" t="s">
        <v>8912</v>
      </c>
    </row>
    <row r="1087" spans="1:4" ht="18">
      <c r="A1087" s="50" t="s">
        <v>6419</v>
      </c>
      <c r="B1087" s="50" t="s">
        <v>9525</v>
      </c>
      <c r="C1087" s="50" t="s">
        <v>6128</v>
      </c>
      <c r="D1087" s="17" t="s">
        <v>8912</v>
      </c>
    </row>
    <row r="1088" spans="1:4" ht="18">
      <c r="A1088" s="50" t="s">
        <v>6419</v>
      </c>
      <c r="B1088" s="50" t="s">
        <v>9525</v>
      </c>
      <c r="C1088" s="50" t="s">
        <v>6128</v>
      </c>
      <c r="D1088" s="17" t="s">
        <v>8912</v>
      </c>
    </row>
    <row r="1089" spans="1:4" ht="18">
      <c r="A1089" s="50" t="s">
        <v>6420</v>
      </c>
      <c r="B1089" s="50" t="s">
        <v>9526</v>
      </c>
      <c r="C1089" s="50" t="s">
        <v>6395</v>
      </c>
      <c r="D1089" s="17" t="s">
        <v>8912</v>
      </c>
    </row>
    <row r="1090" spans="1:4" ht="18">
      <c r="A1090" s="50" t="s">
        <v>6422</v>
      </c>
      <c r="B1090" s="50" t="s">
        <v>9527</v>
      </c>
      <c r="C1090" s="50" t="s">
        <v>6408</v>
      </c>
      <c r="D1090" s="17" t="s">
        <v>8912</v>
      </c>
    </row>
    <row r="1091" spans="1:4" ht="18">
      <c r="A1091" s="50" t="s">
        <v>6419</v>
      </c>
      <c r="B1091" s="50" t="s">
        <v>9525</v>
      </c>
      <c r="C1091" s="50" t="s">
        <v>6128</v>
      </c>
      <c r="D1091" s="17" t="s">
        <v>8912</v>
      </c>
    </row>
    <row r="1092" spans="1:4" ht="18">
      <c r="A1092" s="50" t="s">
        <v>6419</v>
      </c>
      <c r="B1092" s="50" t="s">
        <v>9525</v>
      </c>
      <c r="C1092" s="50" t="s">
        <v>6128</v>
      </c>
      <c r="D1092" s="17" t="s">
        <v>8912</v>
      </c>
    </row>
    <row r="1093" spans="1:4" ht="18">
      <c r="A1093" s="50" t="s">
        <v>6423</v>
      </c>
      <c r="B1093" s="50" t="s">
        <v>9528</v>
      </c>
      <c r="C1093" s="50" t="s">
        <v>6412</v>
      </c>
      <c r="D1093" s="17" t="s">
        <v>8912</v>
      </c>
    </row>
    <row r="1094" spans="1:4" ht="18">
      <c r="A1094" s="50" t="s">
        <v>6425</v>
      </c>
      <c r="B1094" s="50" t="s">
        <v>9529</v>
      </c>
      <c r="C1094" s="50" t="s">
        <v>6395</v>
      </c>
      <c r="D1094" s="17" t="s">
        <v>8912</v>
      </c>
    </row>
    <row r="1095" spans="1:4" ht="18">
      <c r="A1095" s="50" t="s">
        <v>6427</v>
      </c>
      <c r="B1095" s="50" t="s">
        <v>9530</v>
      </c>
      <c r="C1095" s="50" t="s">
        <v>6244</v>
      </c>
      <c r="D1095" s="17" t="s">
        <v>8913</v>
      </c>
    </row>
    <row r="1096" spans="1:4" ht="18">
      <c r="A1096" s="50" t="s">
        <v>6419</v>
      </c>
      <c r="B1096" s="50" t="s">
        <v>9525</v>
      </c>
      <c r="C1096" s="50" t="s">
        <v>6128</v>
      </c>
      <c r="D1096" s="17" t="s">
        <v>8912</v>
      </c>
    </row>
    <row r="1097" spans="1:4" ht="18">
      <c r="A1097" s="50" t="s">
        <v>6422</v>
      </c>
      <c r="B1097" s="50" t="s">
        <v>9527</v>
      </c>
      <c r="C1097" s="50" t="s">
        <v>6408</v>
      </c>
      <c r="D1097" s="17" t="s">
        <v>8912</v>
      </c>
    </row>
    <row r="1098" spans="1:4" ht="18">
      <c r="A1098" s="50" t="s">
        <v>6422</v>
      </c>
      <c r="B1098" s="50" t="s">
        <v>9527</v>
      </c>
      <c r="C1098" s="50" t="s">
        <v>6408</v>
      </c>
      <c r="D1098" s="17" t="s">
        <v>8912</v>
      </c>
    </row>
    <row r="1099" spans="1:4" ht="18">
      <c r="A1099" s="50" t="s">
        <v>6431</v>
      </c>
      <c r="B1099" s="50" t="s">
        <v>9531</v>
      </c>
      <c r="C1099" s="50" t="s">
        <v>6325</v>
      </c>
      <c r="D1099" s="17" t="s">
        <v>8913</v>
      </c>
    </row>
    <row r="1100" spans="1:4" ht="18">
      <c r="A1100" s="50" t="s">
        <v>6433</v>
      </c>
      <c r="B1100" s="50" t="s">
        <v>9532</v>
      </c>
      <c r="C1100" s="50" t="s">
        <v>6343</v>
      </c>
      <c r="D1100" s="17" t="s">
        <v>8912</v>
      </c>
    </row>
    <row r="1101" spans="1:4" ht="18">
      <c r="A1101" s="50" t="s">
        <v>6433</v>
      </c>
      <c r="B1101" s="50" t="s">
        <v>9532</v>
      </c>
      <c r="C1101" s="50" t="s">
        <v>6343</v>
      </c>
      <c r="D1101" s="17" t="s">
        <v>8912</v>
      </c>
    </row>
    <row r="1102" spans="1:4" ht="18">
      <c r="A1102" s="50" t="s">
        <v>6435</v>
      </c>
      <c r="B1102" s="50" t="s">
        <v>9533</v>
      </c>
      <c r="C1102" s="50" t="s">
        <v>6412</v>
      </c>
      <c r="D1102" s="17" t="s">
        <v>8912</v>
      </c>
    </row>
    <row r="1103" spans="1:4" ht="18">
      <c r="A1103" s="50" t="s">
        <v>6425</v>
      </c>
      <c r="B1103" s="50" t="s">
        <v>9529</v>
      </c>
      <c r="C1103" s="50" t="s">
        <v>6395</v>
      </c>
      <c r="D1103" s="17" t="s">
        <v>8912</v>
      </c>
    </row>
    <row r="1104" spans="1:4" ht="18">
      <c r="A1104" s="50" t="s">
        <v>6422</v>
      </c>
      <c r="B1104" s="50" t="s">
        <v>9527</v>
      </c>
      <c r="C1104" s="50" t="s">
        <v>6408</v>
      </c>
      <c r="D1104" s="17" t="s">
        <v>8912</v>
      </c>
    </row>
    <row r="1105" spans="1:4" ht="18">
      <c r="A1105" s="50" t="s">
        <v>6436</v>
      </c>
      <c r="B1105" s="50" t="s">
        <v>9534</v>
      </c>
      <c r="C1105" s="50" t="s">
        <v>6332</v>
      </c>
      <c r="D1105" s="17" t="s">
        <v>8912</v>
      </c>
    </row>
    <row r="1106" spans="1:4" ht="18">
      <c r="A1106" s="50" t="s">
        <v>6436</v>
      </c>
      <c r="B1106" s="50" t="s">
        <v>9534</v>
      </c>
      <c r="C1106" s="50" t="s">
        <v>6332</v>
      </c>
      <c r="D1106" s="17" t="s">
        <v>8912</v>
      </c>
    </row>
    <row r="1107" spans="1:4" ht="18">
      <c r="A1107" s="50" t="s">
        <v>6437</v>
      </c>
      <c r="B1107" s="50" t="s">
        <v>9535</v>
      </c>
      <c r="C1107" s="50" t="s">
        <v>6395</v>
      </c>
      <c r="D1107" s="17" t="s">
        <v>8912</v>
      </c>
    </row>
    <row r="1108" spans="1:4" ht="18">
      <c r="A1108" s="50" t="s">
        <v>6438</v>
      </c>
      <c r="B1108" s="50" t="s">
        <v>9536</v>
      </c>
      <c r="C1108" s="50" t="s">
        <v>6363</v>
      </c>
      <c r="D1108" s="17" t="s">
        <v>8912</v>
      </c>
    </row>
    <row r="1109" spans="1:4" ht="18">
      <c r="A1109" s="50" t="s">
        <v>6437</v>
      </c>
      <c r="B1109" s="50" t="s">
        <v>9535</v>
      </c>
      <c r="C1109" s="50" t="s">
        <v>6395</v>
      </c>
      <c r="D1109" s="17" t="s">
        <v>8912</v>
      </c>
    </row>
    <row r="1110" spans="1:4" ht="18">
      <c r="A1110" s="50" t="s">
        <v>6438</v>
      </c>
      <c r="B1110" s="50" t="s">
        <v>9536</v>
      </c>
      <c r="C1110" s="50" t="s">
        <v>6363</v>
      </c>
      <c r="D1110" s="17" t="s">
        <v>8912</v>
      </c>
    </row>
    <row r="1111" spans="1:4" ht="18">
      <c r="A1111" s="50" t="s">
        <v>6439</v>
      </c>
      <c r="B1111" s="50" t="s">
        <v>9537</v>
      </c>
      <c r="C1111" s="50" t="s">
        <v>6330</v>
      </c>
      <c r="D1111" s="17" t="s">
        <v>8912</v>
      </c>
    </row>
    <row r="1112" spans="1:4" ht="18">
      <c r="A1112" s="50" t="s">
        <v>6440</v>
      </c>
      <c r="B1112" s="50" t="s">
        <v>9538</v>
      </c>
      <c r="C1112" s="50" t="s">
        <v>6330</v>
      </c>
      <c r="D1112" s="17" t="s">
        <v>8912</v>
      </c>
    </row>
    <row r="1113" spans="1:4" ht="18">
      <c r="A1113" s="50" t="s">
        <v>6439</v>
      </c>
      <c r="B1113" s="50" t="s">
        <v>9537</v>
      </c>
      <c r="C1113" s="50" t="s">
        <v>6330</v>
      </c>
      <c r="D1113" s="17" t="s">
        <v>8912</v>
      </c>
    </row>
    <row r="1114" spans="1:4" ht="18">
      <c r="A1114" s="50" t="s">
        <v>6442</v>
      </c>
      <c r="B1114" s="50" t="s">
        <v>9539</v>
      </c>
      <c r="C1114" s="50" t="s">
        <v>6128</v>
      </c>
      <c r="D1114" s="17" t="s">
        <v>8912</v>
      </c>
    </row>
    <row r="1115" spans="1:4" ht="18">
      <c r="A1115" s="50" t="s">
        <v>6443</v>
      </c>
      <c r="B1115" s="50" t="s">
        <v>9540</v>
      </c>
      <c r="C1115" s="50" t="s">
        <v>6330</v>
      </c>
      <c r="D1115" s="17" t="s">
        <v>8912</v>
      </c>
    </row>
    <row r="1116" spans="1:4" ht="18">
      <c r="A1116" s="50" t="s">
        <v>6444</v>
      </c>
      <c r="B1116" s="50" t="s">
        <v>9541</v>
      </c>
      <c r="C1116" s="50" t="s">
        <v>6343</v>
      </c>
      <c r="D1116" s="17" t="s">
        <v>8913</v>
      </c>
    </row>
    <row r="1117" spans="1:4" ht="18">
      <c r="A1117" s="50" t="s">
        <v>6446</v>
      </c>
      <c r="B1117" s="50" t="s">
        <v>9542</v>
      </c>
      <c r="C1117" s="50" t="s">
        <v>6332</v>
      </c>
      <c r="D1117" s="17" t="s">
        <v>8912</v>
      </c>
    </row>
    <row r="1118" spans="1:4" ht="18">
      <c r="A1118" s="50" t="s">
        <v>6446</v>
      </c>
      <c r="B1118" s="50" t="s">
        <v>9542</v>
      </c>
      <c r="C1118" s="50" t="s">
        <v>6332</v>
      </c>
      <c r="D1118" s="17" t="s">
        <v>8912</v>
      </c>
    </row>
    <row r="1119" spans="1:4" ht="18">
      <c r="A1119" s="50" t="s">
        <v>6447</v>
      </c>
      <c r="B1119" s="50" t="s">
        <v>9543</v>
      </c>
      <c r="C1119" s="50" t="s">
        <v>6412</v>
      </c>
      <c r="D1119" s="17" t="s">
        <v>8912</v>
      </c>
    </row>
    <row r="1120" spans="1:4" ht="18">
      <c r="A1120" s="50" t="s">
        <v>6449</v>
      </c>
      <c r="B1120" s="50" t="s">
        <v>9544</v>
      </c>
      <c r="C1120" s="50" t="s">
        <v>6408</v>
      </c>
      <c r="D1120" s="17" t="s">
        <v>8912</v>
      </c>
    </row>
    <row r="1121" spans="1:4" ht="18">
      <c r="A1121" s="50" t="s">
        <v>6449</v>
      </c>
      <c r="B1121" s="50" t="s">
        <v>9544</v>
      </c>
      <c r="C1121" s="50" t="s">
        <v>6408</v>
      </c>
      <c r="D1121" s="17" t="s">
        <v>8912</v>
      </c>
    </row>
    <row r="1122" spans="1:4" ht="18">
      <c r="A1122" s="50" t="s">
        <v>6436</v>
      </c>
      <c r="B1122" s="50" t="s">
        <v>9534</v>
      </c>
      <c r="C1122" s="50" t="s">
        <v>6332</v>
      </c>
      <c r="D1122" s="17" t="s">
        <v>8912</v>
      </c>
    </row>
    <row r="1123" spans="1:4" ht="18">
      <c r="A1123" s="50" t="s">
        <v>6436</v>
      </c>
      <c r="B1123" s="50" t="s">
        <v>9534</v>
      </c>
      <c r="C1123" s="50" t="s">
        <v>6332</v>
      </c>
      <c r="D1123" s="17" t="s">
        <v>8912</v>
      </c>
    </row>
    <row r="1124" spans="1:4" ht="18">
      <c r="A1124" s="50" t="s">
        <v>6443</v>
      </c>
      <c r="B1124" s="50" t="s">
        <v>9540</v>
      </c>
      <c r="C1124" s="50" t="s">
        <v>6330</v>
      </c>
      <c r="D1124" s="17" t="s">
        <v>8912</v>
      </c>
    </row>
    <row r="1125" spans="1:4" ht="18">
      <c r="A1125" s="50" t="s">
        <v>6443</v>
      </c>
      <c r="B1125" s="50" t="s">
        <v>9540</v>
      </c>
      <c r="C1125" s="50" t="s">
        <v>6330</v>
      </c>
      <c r="D1125" s="17" t="s">
        <v>8912</v>
      </c>
    </row>
    <row r="1126" spans="1:4" ht="18">
      <c r="A1126" s="50" t="s">
        <v>6450</v>
      </c>
      <c r="B1126" s="50" t="s">
        <v>9545</v>
      </c>
      <c r="C1126" s="50" t="s">
        <v>6128</v>
      </c>
      <c r="D1126" s="17" t="s">
        <v>8913</v>
      </c>
    </row>
    <row r="1127" spans="1:4" ht="18">
      <c r="A1127" s="50" t="s">
        <v>6439</v>
      </c>
      <c r="B1127" s="50" t="s">
        <v>9537</v>
      </c>
      <c r="C1127" s="50" t="s">
        <v>6330</v>
      </c>
      <c r="D1127" s="17" t="s">
        <v>8912</v>
      </c>
    </row>
    <row r="1128" spans="1:4" ht="18">
      <c r="A1128" s="50" t="s">
        <v>6446</v>
      </c>
      <c r="B1128" s="50" t="s">
        <v>9542</v>
      </c>
      <c r="C1128" s="50" t="s">
        <v>6332</v>
      </c>
      <c r="D1128" s="17" t="s">
        <v>8912</v>
      </c>
    </row>
    <row r="1129" spans="1:4" ht="18">
      <c r="A1129" s="50" t="str">
        <f>"50100-9255377"</f>
        <v>50100-9255377</v>
      </c>
      <c r="B1129" s="50" t="s">
        <v>9546</v>
      </c>
      <c r="C1129" s="50" t="str">
        <f>"96/07/01"</f>
        <v>96/07/01</v>
      </c>
      <c r="D1129" s="17" t="s">
        <v>8912</v>
      </c>
    </row>
    <row r="1130" spans="1:4" ht="18">
      <c r="A1130" s="50" t="str">
        <f>"50100-9270318"</f>
        <v>50100-9270318</v>
      </c>
      <c r="B1130" s="50" t="s">
        <v>9547</v>
      </c>
      <c r="C1130" s="50" t="str">
        <f>"96/07/04"</f>
        <v>96/07/04</v>
      </c>
      <c r="D1130" s="17" t="s">
        <v>8913</v>
      </c>
    </row>
    <row r="1131" spans="1:4" ht="18">
      <c r="A1131" s="50" t="str">
        <f>"50100-9246923"</f>
        <v>50100-9246923</v>
      </c>
      <c r="B1131" s="50" t="s">
        <v>9548</v>
      </c>
      <c r="C1131" s="50" t="str">
        <f>"96/07/01"</f>
        <v>96/07/01</v>
      </c>
      <c r="D1131" s="17" t="s">
        <v>8912</v>
      </c>
    </row>
    <row r="1132" spans="1:4" ht="18">
      <c r="A1132" s="50" t="str">
        <f>"50100-9246923"</f>
        <v>50100-9246923</v>
      </c>
      <c r="B1132" s="50" t="s">
        <v>9548</v>
      </c>
      <c r="C1132" s="50" t="str">
        <f>"96/07/01"</f>
        <v>96/07/01</v>
      </c>
      <c r="D1132" s="17" t="s">
        <v>8912</v>
      </c>
    </row>
    <row r="1133" spans="1:4" ht="18">
      <c r="A1133" s="50" t="str">
        <f>"50100-9298800"</f>
        <v>50100-9298800</v>
      </c>
      <c r="B1133" s="50" t="s">
        <v>9549</v>
      </c>
      <c r="C1133" s="50" t="str">
        <f>"96/07/12"</f>
        <v>96/07/12</v>
      </c>
      <c r="D1133" s="17" t="s">
        <v>8913</v>
      </c>
    </row>
    <row r="1134" spans="1:4" ht="18">
      <c r="A1134" s="50" t="str">
        <f>"50100-9308739"</f>
        <v>50100-9308739</v>
      </c>
      <c r="B1134" s="50" t="s">
        <v>9550</v>
      </c>
      <c r="C1134" s="50" t="str">
        <f>"96/07/15"</f>
        <v>96/07/15</v>
      </c>
      <c r="D1134" s="17" t="s">
        <v>8912</v>
      </c>
    </row>
    <row r="1135" spans="1:4" ht="18">
      <c r="A1135" s="50" t="str">
        <f>"50100-9246923"</f>
        <v>50100-9246923</v>
      </c>
      <c r="B1135" s="50" t="s">
        <v>9548</v>
      </c>
      <c r="C1135" s="50" t="str">
        <f>"96/07/01"</f>
        <v>96/07/01</v>
      </c>
      <c r="D1135" s="17" t="s">
        <v>8912</v>
      </c>
    </row>
    <row r="1136" spans="1:4" ht="18">
      <c r="A1136" s="50" t="str">
        <f>"50100-9252308"</f>
        <v>50100-9252308</v>
      </c>
      <c r="B1136" s="50" t="s">
        <v>9551</v>
      </c>
      <c r="C1136" s="50" t="str">
        <f>"96/07/01"</f>
        <v>96/07/01</v>
      </c>
      <c r="D1136" s="17" t="s">
        <v>8912</v>
      </c>
    </row>
    <row r="1137" spans="1:4" ht="18">
      <c r="A1137" s="50" t="str">
        <f>"50100-9277324"</f>
        <v>50100-9277324</v>
      </c>
      <c r="B1137" s="50" t="s">
        <v>9552</v>
      </c>
      <c r="C1137" s="50" t="str">
        <f>"96/07/05"</f>
        <v>96/07/05</v>
      </c>
      <c r="D1137" s="17" t="s">
        <v>8912</v>
      </c>
    </row>
    <row r="1138" spans="1:4" ht="18">
      <c r="A1138" s="50" t="str">
        <f>"50100-9277324"</f>
        <v>50100-9277324</v>
      </c>
      <c r="B1138" s="50" t="s">
        <v>9552</v>
      </c>
      <c r="C1138" s="50" t="str">
        <f>"96/07/05"</f>
        <v>96/07/05</v>
      </c>
      <c r="D1138" s="17" t="s">
        <v>8912</v>
      </c>
    </row>
    <row r="1139" spans="1:4" ht="18">
      <c r="A1139" s="50" t="str">
        <f>"50100-9277324"</f>
        <v>50100-9277324</v>
      </c>
      <c r="B1139" s="50" t="s">
        <v>9552</v>
      </c>
      <c r="C1139" s="50" t="str">
        <f>"96/07/05"</f>
        <v>96/07/05</v>
      </c>
      <c r="D1139" s="17" t="s">
        <v>8912</v>
      </c>
    </row>
    <row r="1140" spans="1:4" ht="18">
      <c r="A1140" s="50" t="str">
        <f>"50100-9277324"</f>
        <v>50100-9277324</v>
      </c>
      <c r="B1140" s="50" t="s">
        <v>9552</v>
      </c>
      <c r="C1140" s="50" t="str">
        <f>"96/07/05"</f>
        <v>96/07/05</v>
      </c>
      <c r="D1140" s="17" t="s">
        <v>8912</v>
      </c>
    </row>
    <row r="1141" spans="1:4" ht="18">
      <c r="A1141" s="50" t="str">
        <f>"50100-9285236"</f>
        <v>50100-9285236</v>
      </c>
      <c r="B1141" s="50" t="s">
        <v>9553</v>
      </c>
      <c r="C1141" s="50" t="str">
        <f>"96/07/10"</f>
        <v>96/07/10</v>
      </c>
      <c r="D1141" s="17" t="s">
        <v>8912</v>
      </c>
    </row>
    <row r="1142" spans="1:4" ht="18">
      <c r="A1142" s="50" t="str">
        <f>"50100-9285236"</f>
        <v>50100-9285236</v>
      </c>
      <c r="B1142" s="50" t="s">
        <v>9553</v>
      </c>
      <c r="C1142" s="50" t="str">
        <f>"96/07/10"</f>
        <v>96/07/10</v>
      </c>
      <c r="D1142" s="17" t="s">
        <v>8912</v>
      </c>
    </row>
    <row r="1143" spans="1:4" ht="18">
      <c r="A1143" s="50" t="str">
        <f>"50100-9253609"</f>
        <v>50100-9253609</v>
      </c>
      <c r="B1143" s="50" t="s">
        <v>9554</v>
      </c>
      <c r="C1143" s="50" t="str">
        <f>"96/07/01"</f>
        <v>96/07/01</v>
      </c>
      <c r="D1143" s="17" t="s">
        <v>8912</v>
      </c>
    </row>
    <row r="1144" spans="1:4" ht="18">
      <c r="A1144" s="50" t="str">
        <f>"50100-9253609"</f>
        <v>50100-9253609</v>
      </c>
      <c r="B1144" s="50" t="s">
        <v>9554</v>
      </c>
      <c r="C1144" s="50" t="str">
        <f>"96/07/01"</f>
        <v>96/07/01</v>
      </c>
      <c r="D1144" s="17" t="s">
        <v>8912</v>
      </c>
    </row>
    <row r="1145" spans="1:4" ht="18">
      <c r="A1145" s="50" t="str">
        <f>"50100-9285697"</f>
        <v>50100-9285697</v>
      </c>
      <c r="B1145" s="50" t="s">
        <v>9555</v>
      </c>
      <c r="C1145" s="50" t="str">
        <f>"96/07/10"</f>
        <v>96/07/10</v>
      </c>
      <c r="D1145" s="17" t="s">
        <v>8913</v>
      </c>
    </row>
    <row r="1146" spans="1:4" ht="18">
      <c r="A1146" s="50" t="str">
        <f>"50100-9252308"</f>
        <v>50100-9252308</v>
      </c>
      <c r="B1146" s="50" t="s">
        <v>9551</v>
      </c>
      <c r="C1146" s="50" t="str">
        <f>"96/07/01"</f>
        <v>96/07/01</v>
      </c>
      <c r="D1146" s="17" t="s">
        <v>8912</v>
      </c>
    </row>
    <row r="1147" spans="1:4" ht="18">
      <c r="A1147" s="50" t="str">
        <f>"50100-9253609"</f>
        <v>50100-9253609</v>
      </c>
      <c r="B1147" s="50" t="s">
        <v>9554</v>
      </c>
      <c r="C1147" s="50" t="str">
        <f>"96/07/01"</f>
        <v>96/07/01</v>
      </c>
      <c r="D1147" s="17" t="s">
        <v>8912</v>
      </c>
    </row>
    <row r="1148" spans="1:4" ht="18">
      <c r="A1148" s="50" t="str">
        <f>"50100-9279481"</f>
        <v>50100-9279481</v>
      </c>
      <c r="B1148" s="50" t="s">
        <v>9556</v>
      </c>
      <c r="C1148" s="50" t="str">
        <f>"96/07/06"</f>
        <v>96/07/06</v>
      </c>
      <c r="D1148" s="17" t="s">
        <v>8913</v>
      </c>
    </row>
    <row r="1149" spans="1:4" ht="18">
      <c r="A1149" s="50" t="str">
        <f>"50100-9251859"</f>
        <v>50100-9251859</v>
      </c>
      <c r="B1149" s="50" t="s">
        <v>9557</v>
      </c>
      <c r="C1149" s="50" t="str">
        <f>"96/07/01"</f>
        <v>96/07/01</v>
      </c>
      <c r="D1149" s="17" t="s">
        <v>8913</v>
      </c>
    </row>
    <row r="1150" spans="1:4" ht="18">
      <c r="A1150" s="50" t="str">
        <f>"50100-9253609"</f>
        <v>50100-9253609</v>
      </c>
      <c r="B1150" s="50" t="s">
        <v>9554</v>
      </c>
      <c r="C1150" s="50" t="str">
        <f>"96/07/01"</f>
        <v>96/07/01</v>
      </c>
      <c r="D1150" s="17" t="s">
        <v>8912</v>
      </c>
    </row>
    <row r="1151" spans="1:4" ht="18">
      <c r="A1151" s="50" t="str">
        <f>"50100-9277324"</f>
        <v>50100-9277324</v>
      </c>
      <c r="B1151" s="50" t="s">
        <v>9552</v>
      </c>
      <c r="C1151" s="50" t="str">
        <f>"96/07/05"</f>
        <v>96/07/05</v>
      </c>
      <c r="D1151" s="17" t="s">
        <v>8912</v>
      </c>
    </row>
    <row r="1152" spans="1:4" ht="18">
      <c r="A1152" s="50" t="str">
        <f>"50100-9253609"</f>
        <v>50100-9253609</v>
      </c>
      <c r="B1152" s="50" t="s">
        <v>9554</v>
      </c>
      <c r="C1152" s="50" t="str">
        <f>"96/07/01"</f>
        <v>96/07/01</v>
      </c>
      <c r="D1152" s="17" t="s">
        <v>8912</v>
      </c>
    </row>
    <row r="1153" spans="1:4" ht="18">
      <c r="A1153" s="50" t="str">
        <f>"50100-9252308"</f>
        <v>50100-9252308</v>
      </c>
      <c r="B1153" s="50" t="s">
        <v>9551</v>
      </c>
      <c r="C1153" s="50" t="str">
        <f>"96/07/01"</f>
        <v>96/07/01</v>
      </c>
      <c r="D1153" s="17" t="s">
        <v>8912</v>
      </c>
    </row>
    <row r="1154" spans="1:4" ht="18">
      <c r="A1154" s="50" t="str">
        <f>"50100-9246923"</f>
        <v>50100-9246923</v>
      </c>
      <c r="B1154" s="50" t="s">
        <v>9548</v>
      </c>
      <c r="C1154" s="50" t="str">
        <f>"96/07/01"</f>
        <v>96/07/01</v>
      </c>
      <c r="D1154" s="17" t="s">
        <v>8912</v>
      </c>
    </row>
    <row r="1155" spans="1:4" ht="18">
      <c r="A1155" s="50" t="str">
        <f>"50100-9294126"</f>
        <v>50100-9294126</v>
      </c>
      <c r="B1155" s="50" t="s">
        <v>9558</v>
      </c>
      <c r="C1155" s="50" t="str">
        <f>"96/07/11"</f>
        <v>96/07/11</v>
      </c>
      <c r="D1155" s="17" t="s">
        <v>8912</v>
      </c>
    </row>
    <row r="1156" spans="1:4" ht="18">
      <c r="A1156" s="50" t="str">
        <f>"50100-9294126"</f>
        <v>50100-9294126</v>
      </c>
      <c r="B1156" s="50" t="s">
        <v>9558</v>
      </c>
      <c r="C1156" s="50" t="str">
        <f>"96/07/11"</f>
        <v>96/07/11</v>
      </c>
      <c r="D1156" s="17" t="s">
        <v>8912</v>
      </c>
    </row>
    <row r="1157" spans="1:4" ht="18">
      <c r="A1157" s="50" t="str">
        <f>"50100-9259007"</f>
        <v>50100-9259007</v>
      </c>
      <c r="B1157" s="50" t="s">
        <v>9559</v>
      </c>
      <c r="C1157" s="50" t="str">
        <f>"96/07/02"</f>
        <v>96/07/02</v>
      </c>
      <c r="D1157" s="17" t="s">
        <v>8912</v>
      </c>
    </row>
    <row r="1158" spans="1:4" ht="18">
      <c r="A1158" s="50" t="str">
        <f>"50100-9259007"</f>
        <v>50100-9259007</v>
      </c>
      <c r="B1158" s="50" t="s">
        <v>9559</v>
      </c>
      <c r="C1158" s="50" t="str">
        <f>"96/07/02"</f>
        <v>96/07/02</v>
      </c>
      <c r="D1158" s="17" t="s">
        <v>8912</v>
      </c>
    </row>
    <row r="1159" spans="1:4" ht="18">
      <c r="A1159" s="50" t="str">
        <f>"50100-9270589"</f>
        <v>50100-9270589</v>
      </c>
      <c r="B1159" s="50" t="s">
        <v>9560</v>
      </c>
      <c r="C1159" s="50" t="str">
        <f>"96/07/04"</f>
        <v>96/07/04</v>
      </c>
      <c r="D1159" s="17" t="s">
        <v>8912</v>
      </c>
    </row>
    <row r="1160" spans="1:4" ht="18">
      <c r="A1160" s="50" t="str">
        <f>"50100-9292714"</f>
        <v>50100-9292714</v>
      </c>
      <c r="B1160" s="50" t="s">
        <v>9561</v>
      </c>
      <c r="C1160" s="50" t="str">
        <f>"96/07/11"</f>
        <v>96/07/11</v>
      </c>
      <c r="D1160" s="17" t="s">
        <v>8912</v>
      </c>
    </row>
    <row r="1161" spans="1:4" ht="18">
      <c r="A1161" s="50" t="str">
        <f>"50100-9292714"</f>
        <v>50100-9292714</v>
      </c>
      <c r="B1161" s="50" t="s">
        <v>9561</v>
      </c>
      <c r="C1161" s="50" t="str">
        <f>"96/07/11"</f>
        <v>96/07/11</v>
      </c>
      <c r="D1161" s="17" t="s">
        <v>8912</v>
      </c>
    </row>
    <row r="1162" spans="1:4" ht="18">
      <c r="A1162" s="50" t="str">
        <f>"50100-9292714"</f>
        <v>50100-9292714</v>
      </c>
      <c r="B1162" s="50" t="s">
        <v>9561</v>
      </c>
      <c r="C1162" s="50" t="str">
        <f>"96/07/11"</f>
        <v>96/07/11</v>
      </c>
      <c r="D1162" s="17" t="s">
        <v>8912</v>
      </c>
    </row>
    <row r="1163" spans="1:4" ht="18">
      <c r="A1163" s="50" t="str">
        <f>"50100-9253166"</f>
        <v>50100-9253166</v>
      </c>
      <c r="B1163" s="50" t="s">
        <v>9562</v>
      </c>
      <c r="C1163" s="50" t="str">
        <f>"96/07/01"</f>
        <v>96/07/01</v>
      </c>
      <c r="D1163" s="17" t="s">
        <v>8912</v>
      </c>
    </row>
    <row r="1164" spans="1:4" ht="18">
      <c r="A1164" s="50" t="str">
        <f>"50100-9259136"</f>
        <v>50100-9259136</v>
      </c>
      <c r="B1164" s="50" t="s">
        <v>9563</v>
      </c>
      <c r="C1164" s="50" t="str">
        <f>"96/07/02"</f>
        <v>96/07/02</v>
      </c>
      <c r="D1164" s="17" t="s">
        <v>8912</v>
      </c>
    </row>
    <row r="1165" spans="1:4" ht="18">
      <c r="A1165" s="50" t="str">
        <f>"50100-9260242"</f>
        <v>50100-9260242</v>
      </c>
      <c r="B1165" s="50" t="s">
        <v>9564</v>
      </c>
      <c r="C1165" s="50" t="str">
        <f>"96/07/02"</f>
        <v>96/07/02</v>
      </c>
      <c r="D1165" s="17" t="s">
        <v>8912</v>
      </c>
    </row>
    <row r="1166" spans="1:4" ht="18">
      <c r="A1166" s="50" t="str">
        <f>"50100-9254995"</f>
        <v>50100-9254995</v>
      </c>
      <c r="B1166" s="50" t="s">
        <v>9565</v>
      </c>
      <c r="C1166" s="50" t="str">
        <f>"96/07/01"</f>
        <v>96/07/01</v>
      </c>
      <c r="D1166" s="17" t="s">
        <v>8912</v>
      </c>
    </row>
    <row r="1167" spans="1:4" ht="18">
      <c r="A1167" s="50" t="str">
        <f>"50100-9260524"</f>
        <v>50100-9260524</v>
      </c>
      <c r="B1167" s="50" t="s">
        <v>9566</v>
      </c>
      <c r="C1167" s="50" t="str">
        <f>"96/07/02"</f>
        <v>96/07/02</v>
      </c>
      <c r="D1167" s="17" t="s">
        <v>8912</v>
      </c>
    </row>
    <row r="1168" spans="1:4" ht="18">
      <c r="A1168" s="50" t="str">
        <f>"50100-9260242"</f>
        <v>50100-9260242</v>
      </c>
      <c r="B1168" s="50" t="s">
        <v>9564</v>
      </c>
      <c r="C1168" s="50" t="str">
        <f>"96/07/02"</f>
        <v>96/07/02</v>
      </c>
      <c r="D1168" s="17" t="s">
        <v>8912</v>
      </c>
    </row>
    <row r="1169" spans="1:4" ht="18">
      <c r="A1169" s="50" t="str">
        <f>"50100-9254747"</f>
        <v>50100-9254747</v>
      </c>
      <c r="B1169" s="50" t="s">
        <v>9567</v>
      </c>
      <c r="C1169" s="50" t="str">
        <f>"96/07/01"</f>
        <v>96/07/01</v>
      </c>
      <c r="D1169" s="17" t="s">
        <v>8912</v>
      </c>
    </row>
    <row r="1170" spans="1:4" ht="18">
      <c r="A1170" s="50" t="str">
        <f>"50100-9271159"</f>
        <v>50100-9271159</v>
      </c>
      <c r="B1170" s="50" t="s">
        <v>9568</v>
      </c>
      <c r="C1170" s="50" t="str">
        <f>"96/07/04"</f>
        <v>96/07/04</v>
      </c>
      <c r="D1170" s="17" t="s">
        <v>8912</v>
      </c>
    </row>
    <row r="1171" spans="1:4" ht="18">
      <c r="A1171" s="50" t="str">
        <f>"50100-9271159"</f>
        <v>50100-9271159</v>
      </c>
      <c r="B1171" s="50" t="s">
        <v>9568</v>
      </c>
      <c r="C1171" s="50" t="str">
        <f>"96/07/04"</f>
        <v>96/07/04</v>
      </c>
      <c r="D1171" s="17" t="s">
        <v>8912</v>
      </c>
    </row>
    <row r="1172" spans="1:4" ht="18">
      <c r="A1172" s="50" t="str">
        <f>"50100-9259972"</f>
        <v>50100-9259972</v>
      </c>
      <c r="B1172" s="50" t="s">
        <v>9569</v>
      </c>
      <c r="C1172" s="50" t="str">
        <f>"96/07/02"</f>
        <v>96/07/02</v>
      </c>
      <c r="D1172" s="17" t="s">
        <v>8912</v>
      </c>
    </row>
    <row r="1173" spans="1:4" ht="18">
      <c r="A1173" s="50" t="str">
        <f>"50100-9253166"</f>
        <v>50100-9253166</v>
      </c>
      <c r="B1173" s="50" t="s">
        <v>9562</v>
      </c>
      <c r="C1173" s="50" t="str">
        <f>"96/07/01"</f>
        <v>96/07/01</v>
      </c>
      <c r="D1173" s="17" t="s">
        <v>8912</v>
      </c>
    </row>
    <row r="1174" spans="1:4" ht="18">
      <c r="A1174" s="50" t="str">
        <f>"50100-9292714"</f>
        <v>50100-9292714</v>
      </c>
      <c r="B1174" s="50" t="s">
        <v>9561</v>
      </c>
      <c r="C1174" s="50" t="str">
        <f>"96/07/11"</f>
        <v>96/07/11</v>
      </c>
      <c r="D1174" s="17" t="s">
        <v>8912</v>
      </c>
    </row>
    <row r="1175" spans="1:4" ht="18">
      <c r="A1175" s="50" t="str">
        <f>"50100-9260242"</f>
        <v>50100-9260242</v>
      </c>
      <c r="B1175" s="50" t="s">
        <v>9564</v>
      </c>
      <c r="C1175" s="50" t="str">
        <f>"96/07/02"</f>
        <v>96/07/02</v>
      </c>
      <c r="D1175" s="17" t="s">
        <v>8912</v>
      </c>
    </row>
    <row r="1176" spans="1:4" ht="18">
      <c r="A1176" s="50" t="str">
        <f>"50100-9290891"</f>
        <v>50100-9290891</v>
      </c>
      <c r="B1176" s="50" t="s">
        <v>9570</v>
      </c>
      <c r="C1176" s="50" t="str">
        <f>"96/07/11"</f>
        <v>96/07/11</v>
      </c>
      <c r="D1176" s="17" t="s">
        <v>8912</v>
      </c>
    </row>
    <row r="1177" spans="1:4" ht="18">
      <c r="A1177" s="50" t="str">
        <f>"15100-474619"</f>
        <v>15100-474619</v>
      </c>
      <c r="B1177" s="50" t="s">
        <v>9571</v>
      </c>
      <c r="C1177" s="50" t="str">
        <f>"96/06/27"</f>
        <v>96/06/27</v>
      </c>
      <c r="D1177" s="17" t="s">
        <v>8913</v>
      </c>
    </row>
    <row r="1178" spans="1:4" ht="18">
      <c r="A1178" s="50" t="str">
        <f>"15100-474619"</f>
        <v>15100-474619</v>
      </c>
      <c r="B1178" s="50" t="s">
        <v>9571</v>
      </c>
      <c r="C1178" s="50" t="str">
        <f>"96/06/27"</f>
        <v>96/06/27</v>
      </c>
      <c r="D1178" s="17" t="s">
        <v>8913</v>
      </c>
    </row>
    <row r="1179" spans="1:4" ht="18">
      <c r="A1179" s="50" t="str">
        <f>"15100-473987"</f>
        <v>15100-473987</v>
      </c>
      <c r="B1179" s="50" t="s">
        <v>9572</v>
      </c>
      <c r="C1179" s="50" t="str">
        <f>"96/06/26"</f>
        <v>96/06/26</v>
      </c>
      <c r="D1179" s="17" t="s">
        <v>8913</v>
      </c>
    </row>
    <row r="1180" spans="1:4" ht="18">
      <c r="A1180" s="50" t="str">
        <f>"15100-473987"</f>
        <v>15100-473987</v>
      </c>
      <c r="B1180" s="50" t="s">
        <v>9572</v>
      </c>
      <c r="C1180" s="50" t="str">
        <f>"96/06/26"</f>
        <v>96/06/26</v>
      </c>
      <c r="D1180" s="17" t="s">
        <v>8913</v>
      </c>
    </row>
    <row r="1181" spans="1:4" ht="18">
      <c r="A1181" s="50" t="str">
        <f>"15100-474472"</f>
        <v>15100-474472</v>
      </c>
      <c r="B1181" s="50" t="s">
        <v>9573</v>
      </c>
      <c r="C1181" s="50" t="str">
        <f>"96/06/27"</f>
        <v>96/06/27</v>
      </c>
      <c r="D1181" s="17" t="s">
        <v>8913</v>
      </c>
    </row>
    <row r="1182" spans="1:4" ht="18">
      <c r="A1182" s="50" t="str">
        <f>"15100-474472"</f>
        <v>15100-474472</v>
      </c>
      <c r="B1182" s="50" t="s">
        <v>9573</v>
      </c>
      <c r="C1182" s="50" t="str">
        <f>"96/06/27"</f>
        <v>96/06/27</v>
      </c>
      <c r="D1182" s="17" t="s">
        <v>8913</v>
      </c>
    </row>
    <row r="1183" spans="1:4" ht="18">
      <c r="A1183" s="50" t="str">
        <f>"15100-472943"</f>
        <v>15100-472943</v>
      </c>
      <c r="B1183" s="50" t="s">
        <v>9574</v>
      </c>
      <c r="C1183" s="50" t="str">
        <f>"96/06/23"</f>
        <v>96/06/23</v>
      </c>
      <c r="D1183" s="17" t="s">
        <v>8913</v>
      </c>
    </row>
    <row r="1184" spans="1:4" ht="18">
      <c r="A1184" s="50" t="str">
        <f>"15100-476287"</f>
        <v>15100-476287</v>
      </c>
      <c r="B1184" s="50" t="s">
        <v>9575</v>
      </c>
      <c r="C1184" s="50" t="str">
        <f>"96/06/30"</f>
        <v>96/06/30</v>
      </c>
      <c r="D1184" s="17" t="s">
        <v>8912</v>
      </c>
    </row>
    <row r="1185" spans="1:4" ht="18">
      <c r="A1185" s="50" t="str">
        <f>"15100-472943"</f>
        <v>15100-472943</v>
      </c>
      <c r="B1185" s="50" t="s">
        <v>9574</v>
      </c>
      <c r="C1185" s="50" t="str">
        <f>"96/06/23"</f>
        <v>96/06/23</v>
      </c>
      <c r="D1185" s="17" t="s">
        <v>8913</v>
      </c>
    </row>
    <row r="1186" spans="1:4" ht="18">
      <c r="A1186" s="50" t="str">
        <f>"15100-476299"</f>
        <v>15100-476299</v>
      </c>
      <c r="B1186" s="50" t="s">
        <v>9576</v>
      </c>
      <c r="C1186" s="50" t="str">
        <f>"96/06/30"</f>
        <v>96/06/30</v>
      </c>
      <c r="D1186" s="17" t="s">
        <v>8912</v>
      </c>
    </row>
    <row r="1187" spans="1:4" ht="18">
      <c r="A1187" s="50" t="str">
        <f t="shared" ref="A1187:A1192" si="4">"15100-472943"</f>
        <v>15100-472943</v>
      </c>
      <c r="B1187" s="50" t="s">
        <v>9574</v>
      </c>
      <c r="C1187" s="50" t="str">
        <f t="shared" ref="C1187:C1192" si="5">"96/06/23"</f>
        <v>96/06/23</v>
      </c>
      <c r="D1187" s="17" t="s">
        <v>8913</v>
      </c>
    </row>
    <row r="1188" spans="1:4" ht="18">
      <c r="A1188" s="50" t="str">
        <f t="shared" si="4"/>
        <v>15100-472943</v>
      </c>
      <c r="B1188" s="50" t="s">
        <v>9574</v>
      </c>
      <c r="C1188" s="50" t="str">
        <f t="shared" si="5"/>
        <v>96/06/23</v>
      </c>
      <c r="D1188" s="17" t="s">
        <v>8913</v>
      </c>
    </row>
    <row r="1189" spans="1:4" ht="18">
      <c r="A1189" s="50" t="str">
        <f t="shared" si="4"/>
        <v>15100-472943</v>
      </c>
      <c r="B1189" s="50" t="s">
        <v>9574</v>
      </c>
      <c r="C1189" s="50" t="str">
        <f t="shared" si="5"/>
        <v>96/06/23</v>
      </c>
      <c r="D1189" s="17" t="s">
        <v>8913</v>
      </c>
    </row>
    <row r="1190" spans="1:4" ht="18">
      <c r="A1190" s="50" t="str">
        <f t="shared" si="4"/>
        <v>15100-472943</v>
      </c>
      <c r="B1190" s="50" t="s">
        <v>9574</v>
      </c>
      <c r="C1190" s="50" t="str">
        <f t="shared" si="5"/>
        <v>96/06/23</v>
      </c>
      <c r="D1190" s="17" t="s">
        <v>8913</v>
      </c>
    </row>
    <row r="1191" spans="1:4" ht="18">
      <c r="A1191" s="50" t="str">
        <f t="shared" si="4"/>
        <v>15100-472943</v>
      </c>
      <c r="B1191" s="50" t="s">
        <v>9574</v>
      </c>
      <c r="C1191" s="50" t="str">
        <f t="shared" si="5"/>
        <v>96/06/23</v>
      </c>
      <c r="D1191" s="17" t="s">
        <v>8913</v>
      </c>
    </row>
    <row r="1192" spans="1:4" ht="18">
      <c r="A1192" s="50" t="str">
        <f t="shared" si="4"/>
        <v>15100-472943</v>
      </c>
      <c r="B1192" s="50" t="s">
        <v>9574</v>
      </c>
      <c r="C1192" s="50" t="str">
        <f t="shared" si="5"/>
        <v>96/06/23</v>
      </c>
      <c r="D1192" s="17" t="s">
        <v>8913</v>
      </c>
    </row>
    <row r="1193" spans="1:4" ht="18">
      <c r="A1193" s="50" t="str">
        <f>"15100-475643"</f>
        <v>15100-475643</v>
      </c>
      <c r="B1193" s="50" t="s">
        <v>9577</v>
      </c>
      <c r="C1193" s="50" t="str">
        <f>"96/06/29"</f>
        <v>96/06/29</v>
      </c>
      <c r="D1193" s="17" t="s">
        <v>8912</v>
      </c>
    </row>
    <row r="1194" spans="1:4" ht="18">
      <c r="A1194" s="50" t="str">
        <f>"15100-473355"</f>
        <v>15100-473355</v>
      </c>
      <c r="B1194" s="50" t="s">
        <v>9578</v>
      </c>
      <c r="C1194" s="50" t="str">
        <f>"96/06/25"</f>
        <v>96/06/25</v>
      </c>
      <c r="D1194" s="17" t="s">
        <v>8912</v>
      </c>
    </row>
    <row r="1195" spans="1:4" ht="18">
      <c r="A1195" s="50" t="str">
        <f>"15100-471808"</f>
        <v>15100-471808</v>
      </c>
      <c r="B1195" s="50" t="s">
        <v>9579</v>
      </c>
      <c r="C1195" s="50" t="str">
        <f>"96/06/21"</f>
        <v>96/06/21</v>
      </c>
      <c r="D1195" s="17" t="s">
        <v>8913</v>
      </c>
    </row>
    <row r="1196" spans="1:4" ht="18">
      <c r="A1196" s="50" t="str">
        <f>"15100-475062"</f>
        <v>15100-475062</v>
      </c>
      <c r="B1196" s="50" t="s">
        <v>9580</v>
      </c>
      <c r="C1196" s="50" t="str">
        <f>"96/06/28"</f>
        <v>96/06/28</v>
      </c>
      <c r="D1196" s="17" t="s">
        <v>8913</v>
      </c>
    </row>
    <row r="1197" spans="1:4" ht="18">
      <c r="A1197" s="50" t="str">
        <f>"15100-471808"</f>
        <v>15100-471808</v>
      </c>
      <c r="B1197" s="50" t="s">
        <v>9579</v>
      </c>
      <c r="C1197" s="50" t="str">
        <f>"96/06/21"</f>
        <v>96/06/21</v>
      </c>
      <c r="D1197" s="17" t="s">
        <v>8913</v>
      </c>
    </row>
    <row r="1198" spans="1:4" ht="18">
      <c r="A1198" s="50" t="str">
        <f>"15100-471808"</f>
        <v>15100-471808</v>
      </c>
      <c r="B1198" s="50" t="s">
        <v>9579</v>
      </c>
      <c r="C1198" s="50" t="str">
        <f>"96/06/21"</f>
        <v>96/06/21</v>
      </c>
      <c r="D1198" s="17" t="s">
        <v>8913</v>
      </c>
    </row>
    <row r="1199" spans="1:4" ht="18">
      <c r="A1199" s="50" t="str">
        <f>"15100-474559"</f>
        <v>15100-474559</v>
      </c>
      <c r="B1199" s="50" t="s">
        <v>9581</v>
      </c>
      <c r="C1199" s="50" t="str">
        <f>"96/06/27"</f>
        <v>96/06/27</v>
      </c>
      <c r="D1199" s="17" t="s">
        <v>8912</v>
      </c>
    </row>
    <row r="1200" spans="1:4" ht="18">
      <c r="A1200" s="50" t="str">
        <f>"15100-476335"</f>
        <v>15100-476335</v>
      </c>
      <c r="B1200" s="50" t="s">
        <v>9582</v>
      </c>
      <c r="C1200" s="50" t="str">
        <f>"96/06/30"</f>
        <v>96/06/30</v>
      </c>
      <c r="D1200" s="17" t="s">
        <v>8913</v>
      </c>
    </row>
    <row r="1201" spans="1:4" ht="18">
      <c r="A1201" s="50" t="str">
        <f>"15100-475694"</f>
        <v>15100-475694</v>
      </c>
      <c r="B1201" s="50" t="s">
        <v>9583</v>
      </c>
      <c r="C1201" s="50" t="str">
        <f>"96/06/29"</f>
        <v>96/06/29</v>
      </c>
      <c r="D1201" s="17" t="s">
        <v>8913</v>
      </c>
    </row>
    <row r="1202" spans="1:4" ht="18">
      <c r="A1202" s="50" t="str">
        <f>"15100-473345"</f>
        <v>15100-473345</v>
      </c>
      <c r="B1202" s="50" t="s">
        <v>9584</v>
      </c>
      <c r="C1202" s="50" t="str">
        <f>"96/06/25"</f>
        <v>96/06/25</v>
      </c>
      <c r="D1202" s="17" t="s">
        <v>8913</v>
      </c>
    </row>
    <row r="1203" spans="1:4" ht="18">
      <c r="A1203" s="50" t="str">
        <f>"15100-474559"</f>
        <v>15100-474559</v>
      </c>
      <c r="B1203" s="50" t="s">
        <v>9581</v>
      </c>
      <c r="C1203" s="50" t="str">
        <f>"96/06/27"</f>
        <v>96/06/27</v>
      </c>
      <c r="D1203" s="17" t="s">
        <v>8912</v>
      </c>
    </row>
    <row r="1204" spans="1:4" ht="18">
      <c r="A1204" s="50" t="s">
        <v>8622</v>
      </c>
      <c r="B1204" s="50" t="s">
        <v>9585</v>
      </c>
      <c r="C1204" s="50" t="s">
        <v>8623</v>
      </c>
      <c r="D1204" s="17" t="s">
        <v>8912</v>
      </c>
    </row>
    <row r="1205" spans="1:4" ht="18">
      <c r="A1205" s="50" t="s">
        <v>8622</v>
      </c>
      <c r="B1205" s="50" t="s">
        <v>9585</v>
      </c>
      <c r="C1205" s="50" t="s">
        <v>8623</v>
      </c>
      <c r="D1205" s="17" t="s">
        <v>8912</v>
      </c>
    </row>
    <row r="1206" spans="1:4" ht="18">
      <c r="A1206" s="50" t="s">
        <v>8622</v>
      </c>
      <c r="B1206" s="50" t="s">
        <v>9585</v>
      </c>
      <c r="C1206" s="50" t="s">
        <v>8623</v>
      </c>
      <c r="D1206" s="17" t="s">
        <v>8912</v>
      </c>
    </row>
    <row r="1207" spans="1:4" ht="18">
      <c r="A1207" s="50" t="s">
        <v>8624</v>
      </c>
      <c r="B1207" s="50" t="s">
        <v>9586</v>
      </c>
      <c r="C1207" s="50" t="s">
        <v>8616</v>
      </c>
      <c r="D1207" s="17" t="s">
        <v>8913</v>
      </c>
    </row>
    <row r="1208" spans="1:4" ht="18">
      <c r="A1208" s="50" t="s">
        <v>8625</v>
      </c>
      <c r="B1208" s="50" t="s">
        <v>9587</v>
      </c>
      <c r="C1208" s="50" t="s">
        <v>8616</v>
      </c>
      <c r="D1208" s="17" t="s">
        <v>8912</v>
      </c>
    </row>
    <row r="1209" spans="1:4" ht="18">
      <c r="A1209" s="50" t="s">
        <v>8626</v>
      </c>
      <c r="B1209" s="50" t="s">
        <v>9588</v>
      </c>
      <c r="C1209" s="50" t="s">
        <v>8627</v>
      </c>
      <c r="D1209" s="17" t="s">
        <v>8913</v>
      </c>
    </row>
    <row r="1210" spans="1:4" ht="18">
      <c r="A1210" s="50" t="s">
        <v>8628</v>
      </c>
      <c r="B1210" s="50" t="s">
        <v>9589</v>
      </c>
      <c r="C1210" s="50" t="s">
        <v>8629</v>
      </c>
      <c r="D1210" s="17" t="s">
        <v>8913</v>
      </c>
    </row>
    <row r="1211" spans="1:4" ht="18">
      <c r="A1211" s="50" t="s">
        <v>8630</v>
      </c>
      <c r="B1211" s="50" t="s">
        <v>9590</v>
      </c>
      <c r="C1211" s="50" t="s">
        <v>8631</v>
      </c>
      <c r="D1211" s="17" t="s">
        <v>8912</v>
      </c>
    </row>
    <row r="1212" spans="1:4" ht="18">
      <c r="A1212" s="50" t="s">
        <v>8630</v>
      </c>
      <c r="B1212" s="50" t="s">
        <v>9590</v>
      </c>
      <c r="C1212" s="50" t="s">
        <v>8631</v>
      </c>
      <c r="D1212" s="17" t="s">
        <v>8912</v>
      </c>
    </row>
    <row r="1213" spans="1:4" ht="18">
      <c r="A1213" s="50" t="s">
        <v>8632</v>
      </c>
      <c r="B1213" s="50" t="s">
        <v>9591</v>
      </c>
      <c r="C1213" s="50" t="s">
        <v>8618</v>
      </c>
      <c r="D1213" s="17" t="s">
        <v>8912</v>
      </c>
    </row>
    <row r="1214" spans="1:4" ht="18">
      <c r="A1214" s="50" t="s">
        <v>8632</v>
      </c>
      <c r="B1214" s="50" t="s">
        <v>9591</v>
      </c>
      <c r="C1214" s="50" t="s">
        <v>8618</v>
      </c>
      <c r="D1214" s="17" t="s">
        <v>8912</v>
      </c>
    </row>
    <row r="1215" spans="1:4" ht="18">
      <c r="A1215" s="50" t="s">
        <v>8630</v>
      </c>
      <c r="B1215" s="50" t="s">
        <v>9590</v>
      </c>
      <c r="C1215" s="50" t="s">
        <v>8631</v>
      </c>
      <c r="D1215" s="17" t="s">
        <v>8912</v>
      </c>
    </row>
    <row r="1216" spans="1:4" ht="18">
      <c r="A1216" s="50" t="s">
        <v>8633</v>
      </c>
      <c r="B1216" s="50" t="s">
        <v>9592</v>
      </c>
      <c r="C1216" s="50" t="s">
        <v>8616</v>
      </c>
      <c r="D1216" s="17" t="s">
        <v>8912</v>
      </c>
    </row>
    <row r="1217" spans="1:4" ht="18">
      <c r="A1217" s="50" t="s">
        <v>8630</v>
      </c>
      <c r="B1217" s="50" t="s">
        <v>9590</v>
      </c>
      <c r="C1217" s="50" t="s">
        <v>8631</v>
      </c>
      <c r="D1217" s="17" t="s">
        <v>8912</v>
      </c>
    </row>
    <row r="1218" spans="1:4" ht="18">
      <c r="A1218" s="50" t="s">
        <v>8634</v>
      </c>
      <c r="B1218" s="50" t="s">
        <v>9593</v>
      </c>
      <c r="C1218" s="50" t="s">
        <v>8619</v>
      </c>
      <c r="D1218" s="17" t="s">
        <v>8912</v>
      </c>
    </row>
    <row r="1219" spans="1:4" ht="18">
      <c r="A1219" s="50" t="s">
        <v>8634</v>
      </c>
      <c r="B1219" s="50" t="s">
        <v>9593</v>
      </c>
      <c r="C1219" s="50" t="s">
        <v>8619</v>
      </c>
      <c r="D1219" s="17" t="s">
        <v>8912</v>
      </c>
    </row>
    <row r="1220" spans="1:4" ht="18">
      <c r="A1220" s="50" t="s">
        <v>8635</v>
      </c>
      <c r="B1220" s="50" t="s">
        <v>9594</v>
      </c>
      <c r="C1220" s="50" t="s">
        <v>8636</v>
      </c>
      <c r="D1220" s="17" t="s">
        <v>8913</v>
      </c>
    </row>
    <row r="1221" spans="1:4" ht="18">
      <c r="A1221" s="50" t="s">
        <v>8637</v>
      </c>
      <c r="B1221" s="50" t="s">
        <v>9595</v>
      </c>
      <c r="C1221" s="50" t="s">
        <v>8627</v>
      </c>
      <c r="D1221" s="17" t="s">
        <v>8913</v>
      </c>
    </row>
    <row r="1222" spans="1:4" ht="18">
      <c r="A1222" s="50" t="s">
        <v>8638</v>
      </c>
      <c r="B1222" s="50" t="s">
        <v>9596</v>
      </c>
      <c r="C1222" s="50" t="s">
        <v>8627</v>
      </c>
      <c r="D1222" s="17" t="s">
        <v>8912</v>
      </c>
    </row>
    <row r="1223" spans="1:4" ht="18">
      <c r="A1223" s="50" t="s">
        <v>8639</v>
      </c>
      <c r="B1223" s="50" t="s">
        <v>9597</v>
      </c>
      <c r="C1223" s="50" t="s">
        <v>8629</v>
      </c>
      <c r="D1223" s="17" t="s">
        <v>8912</v>
      </c>
    </row>
    <row r="1224" spans="1:4" ht="18">
      <c r="A1224" s="50" t="s">
        <v>8637</v>
      </c>
      <c r="B1224" s="50" t="s">
        <v>9595</v>
      </c>
      <c r="C1224" s="50" t="s">
        <v>8627</v>
      </c>
      <c r="D1224" s="17" t="s">
        <v>8913</v>
      </c>
    </row>
    <row r="1225" spans="1:4" ht="18">
      <c r="A1225" s="50" t="s">
        <v>8637</v>
      </c>
      <c r="B1225" s="50" t="s">
        <v>9595</v>
      </c>
      <c r="C1225" s="50" t="s">
        <v>8627</v>
      </c>
      <c r="D1225" s="17" t="s">
        <v>8913</v>
      </c>
    </row>
    <row r="1226" spans="1:4" ht="18">
      <c r="A1226" s="50" t="s">
        <v>8637</v>
      </c>
      <c r="B1226" s="50" t="s">
        <v>9595</v>
      </c>
      <c r="C1226" s="50" t="s">
        <v>8627</v>
      </c>
      <c r="D1226" s="17" t="s">
        <v>8913</v>
      </c>
    </row>
    <row r="1227" spans="1:4" ht="18">
      <c r="A1227" s="50" t="s">
        <v>8637</v>
      </c>
      <c r="B1227" s="50" t="s">
        <v>9595</v>
      </c>
      <c r="C1227" s="50" t="s">
        <v>8627</v>
      </c>
      <c r="D1227" s="17" t="s">
        <v>8913</v>
      </c>
    </row>
    <row r="1228" spans="1:4" ht="18">
      <c r="A1228" s="50" t="s">
        <v>8640</v>
      </c>
      <c r="B1228" s="50" t="s">
        <v>9598</v>
      </c>
      <c r="C1228" s="50" t="s">
        <v>8629</v>
      </c>
      <c r="D1228" s="17" t="s">
        <v>8912</v>
      </c>
    </row>
    <row r="1229" spans="1:4" ht="18">
      <c r="A1229" s="50" t="s">
        <v>8640</v>
      </c>
      <c r="B1229" s="50" t="s">
        <v>9598</v>
      </c>
      <c r="C1229" s="50" t="s">
        <v>8629</v>
      </c>
      <c r="D1229" s="17" t="s">
        <v>8912</v>
      </c>
    </row>
    <row r="1230" spans="1:4" ht="18">
      <c r="A1230" s="50" t="s">
        <v>8641</v>
      </c>
      <c r="B1230" s="50" t="s">
        <v>9599</v>
      </c>
      <c r="C1230" s="50" t="s">
        <v>8618</v>
      </c>
      <c r="D1230" s="17" t="s">
        <v>8912</v>
      </c>
    </row>
    <row r="1231" spans="1:4" ht="18">
      <c r="A1231" s="50" t="s">
        <v>8641</v>
      </c>
      <c r="B1231" s="50" t="s">
        <v>9599</v>
      </c>
      <c r="C1231" s="50" t="s">
        <v>8618</v>
      </c>
      <c r="D1231" s="17" t="s">
        <v>8912</v>
      </c>
    </row>
    <row r="1232" spans="1:4" ht="18">
      <c r="A1232" s="50" t="s">
        <v>8642</v>
      </c>
      <c r="B1232" s="50" t="s">
        <v>9600</v>
      </c>
      <c r="C1232" s="50" t="s">
        <v>8631</v>
      </c>
      <c r="D1232" s="17" t="s">
        <v>8913</v>
      </c>
    </row>
    <row r="1233" spans="1:4" ht="18">
      <c r="A1233" s="50" t="s">
        <v>8643</v>
      </c>
      <c r="B1233" s="50" t="s">
        <v>9601</v>
      </c>
      <c r="C1233" s="50" t="s">
        <v>8631</v>
      </c>
      <c r="D1233" s="17" t="s">
        <v>8912</v>
      </c>
    </row>
    <row r="1234" spans="1:4" ht="18">
      <c r="A1234" s="50" t="s">
        <v>8644</v>
      </c>
      <c r="B1234" s="50" t="s">
        <v>9602</v>
      </c>
      <c r="C1234" s="50" t="s">
        <v>8645</v>
      </c>
      <c r="D1234" s="17" t="s">
        <v>8912</v>
      </c>
    </row>
    <row r="1235" spans="1:4" ht="18">
      <c r="A1235" s="50" t="s">
        <v>8646</v>
      </c>
      <c r="B1235" s="50" t="s">
        <v>9603</v>
      </c>
      <c r="C1235" s="50" t="s">
        <v>8627</v>
      </c>
      <c r="D1235" s="17" t="s">
        <v>8912</v>
      </c>
    </row>
    <row r="1236" spans="1:4" ht="18">
      <c r="A1236" s="50" t="s">
        <v>8647</v>
      </c>
      <c r="B1236" s="50" t="s">
        <v>9604</v>
      </c>
      <c r="C1236" s="50" t="s">
        <v>8629</v>
      </c>
      <c r="D1236" s="17" t="s">
        <v>8912</v>
      </c>
    </row>
    <row r="1237" spans="1:4" ht="18">
      <c r="A1237" s="50" t="s">
        <v>8647</v>
      </c>
      <c r="B1237" s="50" t="s">
        <v>9604</v>
      </c>
      <c r="C1237" s="50" t="s">
        <v>8629</v>
      </c>
      <c r="D1237" s="17" t="s">
        <v>8912</v>
      </c>
    </row>
    <row r="1238" spans="1:4" ht="18">
      <c r="A1238" s="50" t="s">
        <v>8646</v>
      </c>
      <c r="B1238" s="50" t="s">
        <v>9603</v>
      </c>
      <c r="C1238" s="50" t="s">
        <v>8627</v>
      </c>
      <c r="D1238" s="17" t="s">
        <v>8912</v>
      </c>
    </row>
    <row r="1239" spans="1:4" ht="18">
      <c r="A1239" s="50" t="s">
        <v>8642</v>
      </c>
      <c r="B1239" s="50" t="s">
        <v>9600</v>
      </c>
      <c r="C1239" s="50" t="s">
        <v>8631</v>
      </c>
      <c r="D1239" s="17" t="s">
        <v>8913</v>
      </c>
    </row>
    <row r="1240" spans="1:4" ht="18">
      <c r="A1240" s="50" t="s">
        <v>8647</v>
      </c>
      <c r="B1240" s="50" t="s">
        <v>9604</v>
      </c>
      <c r="C1240" s="50" t="s">
        <v>8629</v>
      </c>
      <c r="D1240" s="17" t="s">
        <v>8912</v>
      </c>
    </row>
    <row r="1241" spans="1:4" ht="18">
      <c r="A1241" s="50" t="s">
        <v>8648</v>
      </c>
      <c r="B1241" s="50" t="s">
        <v>9605</v>
      </c>
      <c r="C1241" s="50" t="s">
        <v>8636</v>
      </c>
      <c r="D1241" s="17" t="s">
        <v>8912</v>
      </c>
    </row>
    <row r="1242" spans="1:4" ht="18">
      <c r="A1242" s="50" t="s">
        <v>8643</v>
      </c>
      <c r="B1242" s="50" t="s">
        <v>9601</v>
      </c>
      <c r="C1242" s="50" t="s">
        <v>8631</v>
      </c>
      <c r="D1242" s="17" t="s">
        <v>8912</v>
      </c>
    </row>
    <row r="1243" spans="1:4" ht="18">
      <c r="A1243" s="50" t="s">
        <v>8647</v>
      </c>
      <c r="B1243" s="50" t="s">
        <v>9604</v>
      </c>
      <c r="C1243" s="50" t="s">
        <v>8629</v>
      </c>
      <c r="D1243" s="17" t="s">
        <v>8912</v>
      </c>
    </row>
    <row r="1244" spans="1:4" ht="18">
      <c r="A1244" s="50" t="s">
        <v>8648</v>
      </c>
      <c r="B1244" s="50" t="s">
        <v>9605</v>
      </c>
      <c r="C1244" s="50" t="s">
        <v>8636</v>
      </c>
      <c r="D1244" s="17" t="s">
        <v>8912</v>
      </c>
    </row>
    <row r="1245" spans="1:4" ht="18">
      <c r="A1245" s="50" t="s">
        <v>8649</v>
      </c>
      <c r="B1245" s="50" t="s">
        <v>9606</v>
      </c>
      <c r="C1245" s="50" t="s">
        <v>8650</v>
      </c>
      <c r="D1245" s="17" t="s">
        <v>8913</v>
      </c>
    </row>
    <row r="1246" spans="1:4" ht="18">
      <c r="A1246" s="50" t="s">
        <v>8651</v>
      </c>
      <c r="B1246" s="50" t="s">
        <v>9607</v>
      </c>
      <c r="C1246" s="50" t="s">
        <v>8627</v>
      </c>
      <c r="D1246" s="17" t="s">
        <v>8912</v>
      </c>
    </row>
    <row r="1247" spans="1:4" ht="18">
      <c r="A1247" s="50" t="s">
        <v>8648</v>
      </c>
      <c r="B1247" s="50" t="s">
        <v>9605</v>
      </c>
      <c r="C1247" s="50" t="s">
        <v>8636</v>
      </c>
      <c r="D1247" s="17" t="s">
        <v>8912</v>
      </c>
    </row>
    <row r="1248" spans="1:4" ht="18">
      <c r="A1248" s="50" t="s">
        <v>8652</v>
      </c>
      <c r="B1248" s="50" t="s">
        <v>9608</v>
      </c>
      <c r="C1248" s="50" t="s">
        <v>8619</v>
      </c>
      <c r="D1248" s="17" t="s">
        <v>8912</v>
      </c>
    </row>
    <row r="1249" spans="1:4" ht="18">
      <c r="A1249" s="50" t="s">
        <v>8653</v>
      </c>
      <c r="B1249" s="50" t="s">
        <v>9609</v>
      </c>
      <c r="C1249" s="50" t="s">
        <v>8650</v>
      </c>
      <c r="D1249" s="17" t="s">
        <v>8912</v>
      </c>
    </row>
    <row r="1250" spans="1:4" ht="18">
      <c r="A1250" s="50" t="s">
        <v>8654</v>
      </c>
      <c r="B1250" s="50" t="s">
        <v>9610</v>
      </c>
      <c r="C1250" s="50" t="s">
        <v>8629</v>
      </c>
      <c r="D1250" s="17" t="s">
        <v>8913</v>
      </c>
    </row>
    <row r="1251" spans="1:4" ht="18">
      <c r="A1251" s="50" t="s">
        <v>8649</v>
      </c>
      <c r="B1251" s="50" t="s">
        <v>9606</v>
      </c>
      <c r="C1251" s="50" t="s">
        <v>8650</v>
      </c>
      <c r="D1251" s="17" t="s">
        <v>8913</v>
      </c>
    </row>
    <row r="1252" spans="1:4" ht="18">
      <c r="A1252" s="50" t="s">
        <v>8655</v>
      </c>
      <c r="B1252" s="50" t="s">
        <v>9611</v>
      </c>
      <c r="C1252" s="50" t="s">
        <v>8650</v>
      </c>
      <c r="D1252" s="17" t="s">
        <v>8913</v>
      </c>
    </row>
    <row r="1253" spans="1:4" ht="18">
      <c r="A1253" s="50" t="s">
        <v>8651</v>
      </c>
      <c r="B1253" s="50" t="s">
        <v>9607</v>
      </c>
      <c r="C1253" s="50" t="s">
        <v>8627</v>
      </c>
      <c r="D1253" s="17" t="s">
        <v>8912</v>
      </c>
    </row>
    <row r="1254" spans="1:4" ht="18">
      <c r="A1254" s="50" t="s">
        <v>8651</v>
      </c>
      <c r="B1254" s="50" t="s">
        <v>9607</v>
      </c>
      <c r="C1254" s="50" t="s">
        <v>8627</v>
      </c>
      <c r="D1254" s="17" t="s">
        <v>8912</v>
      </c>
    </row>
    <row r="1255" spans="1:4" ht="18">
      <c r="A1255" s="50" t="s">
        <v>8655</v>
      </c>
      <c r="B1255" s="50" t="s">
        <v>9611</v>
      </c>
      <c r="C1255" s="50" t="s">
        <v>8650</v>
      </c>
      <c r="D1255" s="17" t="s">
        <v>8913</v>
      </c>
    </row>
    <row r="1256" spans="1:4" ht="18">
      <c r="A1256" s="50" t="s">
        <v>8656</v>
      </c>
      <c r="B1256" s="50" t="s">
        <v>9612</v>
      </c>
      <c r="C1256" s="50" t="s">
        <v>8619</v>
      </c>
      <c r="D1256" s="17" t="s">
        <v>8913</v>
      </c>
    </row>
    <row r="1257" spans="1:4" ht="18">
      <c r="A1257" s="50" t="s">
        <v>8657</v>
      </c>
      <c r="B1257" s="50" t="s">
        <v>9613</v>
      </c>
      <c r="C1257" s="50" t="s">
        <v>8650</v>
      </c>
      <c r="D1257" s="17" t="s">
        <v>8912</v>
      </c>
    </row>
    <row r="1258" spans="1:4" ht="18">
      <c r="A1258" s="50" t="s">
        <v>8657</v>
      </c>
      <c r="B1258" s="50" t="s">
        <v>9613</v>
      </c>
      <c r="C1258" s="50" t="s">
        <v>8650</v>
      </c>
      <c r="D1258" s="17" t="s">
        <v>8912</v>
      </c>
    </row>
    <row r="1259" spans="1:4" ht="18">
      <c r="A1259" s="50" t="s">
        <v>8656</v>
      </c>
      <c r="B1259" s="50" t="s">
        <v>9612</v>
      </c>
      <c r="C1259" s="50" t="s">
        <v>8619</v>
      </c>
      <c r="D1259" s="17" t="s">
        <v>8913</v>
      </c>
    </row>
    <row r="1260" spans="1:4" ht="18">
      <c r="A1260" s="50" t="s">
        <v>8656</v>
      </c>
      <c r="B1260" s="50" t="s">
        <v>9612</v>
      </c>
      <c r="C1260" s="50" t="s">
        <v>8619</v>
      </c>
      <c r="D1260" s="17" t="s">
        <v>8913</v>
      </c>
    </row>
    <row r="1261" spans="1:4" ht="18">
      <c r="A1261" s="50" t="s">
        <v>8656</v>
      </c>
      <c r="B1261" s="50" t="s">
        <v>9612</v>
      </c>
      <c r="C1261" s="50" t="s">
        <v>8619</v>
      </c>
      <c r="D1261" s="17" t="s">
        <v>8913</v>
      </c>
    </row>
    <row r="1262" spans="1:4" ht="18">
      <c r="A1262" s="50" t="s">
        <v>8656</v>
      </c>
      <c r="B1262" s="50" t="s">
        <v>9612</v>
      </c>
      <c r="C1262" s="50" t="s">
        <v>8619</v>
      </c>
      <c r="D1262" s="17" t="s">
        <v>8913</v>
      </c>
    </row>
    <row r="1263" spans="1:4" ht="18">
      <c r="A1263" s="50" t="s">
        <v>8657</v>
      </c>
      <c r="B1263" s="50" t="s">
        <v>9613</v>
      </c>
      <c r="C1263" s="50" t="s">
        <v>8650</v>
      </c>
      <c r="D1263" s="17" t="s">
        <v>8912</v>
      </c>
    </row>
    <row r="1264" spans="1:4" ht="18">
      <c r="A1264" s="50" t="s">
        <v>8637</v>
      </c>
      <c r="B1264" s="50" t="s">
        <v>9595</v>
      </c>
      <c r="C1264" s="50" t="s">
        <v>8627</v>
      </c>
      <c r="D1264" s="17" t="s">
        <v>8913</v>
      </c>
    </row>
    <row r="1265" spans="1:4" ht="18">
      <c r="A1265" s="50" t="s">
        <v>8658</v>
      </c>
      <c r="B1265" s="50" t="s">
        <v>9614</v>
      </c>
      <c r="C1265" s="50" t="s">
        <v>8636</v>
      </c>
      <c r="D1265" s="17" t="s">
        <v>8912</v>
      </c>
    </row>
    <row r="1266" spans="1:4" ht="18">
      <c r="A1266" s="50" t="s">
        <v>8647</v>
      </c>
      <c r="B1266" s="50" t="s">
        <v>9604</v>
      </c>
      <c r="C1266" s="50" t="s">
        <v>8629</v>
      </c>
      <c r="D1266" s="17" t="s">
        <v>8912</v>
      </c>
    </row>
    <row r="1267" spans="1:4" ht="18">
      <c r="A1267" s="50" t="s">
        <v>8651</v>
      </c>
      <c r="B1267" s="50" t="s">
        <v>9607</v>
      </c>
      <c r="C1267" s="50" t="s">
        <v>8627</v>
      </c>
      <c r="D1267" s="17" t="s">
        <v>8912</v>
      </c>
    </row>
    <row r="1268" spans="1:4" ht="18">
      <c r="A1268" s="50" t="s">
        <v>8659</v>
      </c>
      <c r="B1268" s="50" t="s">
        <v>9615</v>
      </c>
      <c r="C1268" s="50" t="s">
        <v>6308</v>
      </c>
      <c r="D1268" s="17" t="s">
        <v>8912</v>
      </c>
    </row>
    <row r="1269" spans="1:4" ht="18">
      <c r="A1269" s="50" t="s">
        <v>8659</v>
      </c>
      <c r="B1269" s="50" t="s">
        <v>9615</v>
      </c>
      <c r="C1269" s="50" t="s">
        <v>6308</v>
      </c>
      <c r="D1269" s="17" t="s">
        <v>8912</v>
      </c>
    </row>
    <row r="1270" spans="1:4" ht="18">
      <c r="A1270" s="50" t="s">
        <v>8659</v>
      </c>
      <c r="B1270" s="50" t="s">
        <v>9615</v>
      </c>
      <c r="C1270" s="50" t="s">
        <v>6308</v>
      </c>
      <c r="D1270" s="17" t="s">
        <v>8912</v>
      </c>
    </row>
    <row r="1271" spans="1:4" ht="18">
      <c r="A1271" s="50" t="s">
        <v>8659</v>
      </c>
      <c r="B1271" s="50" t="s">
        <v>9615</v>
      </c>
      <c r="C1271" s="50" t="s">
        <v>6308</v>
      </c>
      <c r="D1271" s="17" t="s">
        <v>8912</v>
      </c>
    </row>
    <row r="1272" spans="1:4" ht="18">
      <c r="A1272" s="50" t="s">
        <v>8660</v>
      </c>
      <c r="B1272" s="50" t="s">
        <v>9616</v>
      </c>
      <c r="C1272" s="50" t="s">
        <v>6379</v>
      </c>
      <c r="D1272" s="17" t="s">
        <v>8912</v>
      </c>
    </row>
    <row r="1273" spans="1:4" ht="18">
      <c r="A1273" s="50" t="s">
        <v>8688</v>
      </c>
      <c r="B1273" s="50" t="s">
        <v>9617</v>
      </c>
      <c r="C1273" s="50" t="s">
        <v>6302</v>
      </c>
      <c r="D1273" s="17" t="s">
        <v>8912</v>
      </c>
    </row>
    <row r="1274" spans="1:4" ht="18">
      <c r="A1274" s="50" t="s">
        <v>8689</v>
      </c>
      <c r="B1274" s="50" t="s">
        <v>9618</v>
      </c>
      <c r="C1274" s="50" t="s">
        <v>6328</v>
      </c>
      <c r="D1274" s="17" t="s">
        <v>8913</v>
      </c>
    </row>
    <row r="1275" spans="1:4" ht="18">
      <c r="A1275" s="50" t="s">
        <v>8690</v>
      </c>
      <c r="B1275" s="50" t="s">
        <v>9619</v>
      </c>
      <c r="C1275" s="50" t="s">
        <v>6332</v>
      </c>
      <c r="D1275" s="17" t="s">
        <v>8912</v>
      </c>
    </row>
    <row r="1276" spans="1:4" ht="18">
      <c r="A1276" s="50" t="s">
        <v>8691</v>
      </c>
      <c r="B1276" s="50" t="s">
        <v>9620</v>
      </c>
      <c r="C1276" s="50" t="s">
        <v>8692</v>
      </c>
      <c r="D1276" s="17" t="s">
        <v>8913</v>
      </c>
    </row>
    <row r="1277" spans="1:4" ht="18">
      <c r="A1277" s="50" t="s">
        <v>8691</v>
      </c>
      <c r="B1277" s="50" t="s">
        <v>9620</v>
      </c>
      <c r="C1277" s="50" t="s">
        <v>8692</v>
      </c>
      <c r="D1277" s="17" t="s">
        <v>8913</v>
      </c>
    </row>
    <row r="1278" spans="1:4" ht="18">
      <c r="A1278" s="50" t="s">
        <v>8691</v>
      </c>
      <c r="B1278" s="50" t="s">
        <v>9620</v>
      </c>
      <c r="C1278" s="50" t="s">
        <v>8692</v>
      </c>
      <c r="D1278" s="17" t="s">
        <v>8913</v>
      </c>
    </row>
    <row r="1279" spans="1:4" ht="18">
      <c r="A1279" s="50" t="s">
        <v>8691</v>
      </c>
      <c r="B1279" s="50" t="s">
        <v>9620</v>
      </c>
      <c r="C1279" s="50" t="s">
        <v>8692</v>
      </c>
      <c r="D1279" s="17" t="s">
        <v>8913</v>
      </c>
    </row>
    <row r="1280" spans="1:4" ht="18">
      <c r="A1280" s="50" t="s">
        <v>8691</v>
      </c>
      <c r="B1280" s="50" t="s">
        <v>9620</v>
      </c>
      <c r="C1280" s="50" t="s">
        <v>8692</v>
      </c>
      <c r="D1280" s="17" t="s">
        <v>8913</v>
      </c>
    </row>
    <row r="1281" spans="1:4" ht="18">
      <c r="A1281" s="50" t="s">
        <v>8693</v>
      </c>
      <c r="B1281" s="50" t="s">
        <v>9621</v>
      </c>
      <c r="C1281" s="50" t="s">
        <v>6337</v>
      </c>
      <c r="D1281" s="17" t="s">
        <v>8913</v>
      </c>
    </row>
    <row r="1282" spans="1:4" ht="18">
      <c r="A1282" s="50" t="s">
        <v>8693</v>
      </c>
      <c r="B1282" s="50" t="s">
        <v>9621</v>
      </c>
      <c r="C1282" s="50" t="s">
        <v>6337</v>
      </c>
      <c r="D1282" s="17" t="s">
        <v>8913</v>
      </c>
    </row>
    <row r="1283" spans="1:4" ht="18">
      <c r="A1283" s="50" t="s">
        <v>8694</v>
      </c>
      <c r="B1283" s="50" t="s">
        <v>9622</v>
      </c>
      <c r="C1283" s="50" t="s">
        <v>6323</v>
      </c>
      <c r="D1283" s="17" t="s">
        <v>8913</v>
      </c>
    </row>
    <row r="1284" spans="1:4" ht="18">
      <c r="A1284" s="50" t="s">
        <v>8694</v>
      </c>
      <c r="B1284" s="50" t="s">
        <v>9622</v>
      </c>
      <c r="C1284" s="50" t="s">
        <v>6323</v>
      </c>
      <c r="D1284" s="17" t="s">
        <v>8913</v>
      </c>
    </row>
    <row r="1285" spans="1:4" ht="18">
      <c r="A1285" s="50" t="s">
        <v>8694</v>
      </c>
      <c r="B1285" s="50" t="s">
        <v>9622</v>
      </c>
      <c r="C1285" s="50" t="s">
        <v>6323</v>
      </c>
      <c r="D1285" s="17" t="s">
        <v>8913</v>
      </c>
    </row>
    <row r="1286" spans="1:4" ht="18">
      <c r="A1286" s="50" t="s">
        <v>8694</v>
      </c>
      <c r="B1286" s="50" t="s">
        <v>9622</v>
      </c>
      <c r="C1286" s="50" t="s">
        <v>6323</v>
      </c>
      <c r="D1286" s="17" t="s">
        <v>8913</v>
      </c>
    </row>
    <row r="1287" spans="1:4" ht="18">
      <c r="A1287" s="50" t="s">
        <v>8694</v>
      </c>
      <c r="B1287" s="50" t="s">
        <v>9622</v>
      </c>
      <c r="C1287" s="50" t="s">
        <v>6323</v>
      </c>
      <c r="D1287" s="17" t="s">
        <v>8913</v>
      </c>
    </row>
    <row r="1288" spans="1:4" ht="18">
      <c r="A1288" s="50" t="s">
        <v>8691</v>
      </c>
      <c r="B1288" s="50" t="s">
        <v>9620</v>
      </c>
      <c r="C1288" s="50" t="s">
        <v>8692</v>
      </c>
      <c r="D1288" s="17" t="s">
        <v>8913</v>
      </c>
    </row>
    <row r="1289" spans="1:4" ht="18">
      <c r="A1289" s="50" t="s">
        <v>8694</v>
      </c>
      <c r="B1289" s="50" t="s">
        <v>9622</v>
      </c>
      <c r="C1289" s="50" t="s">
        <v>6323</v>
      </c>
      <c r="D1289" s="17" t="s">
        <v>8913</v>
      </c>
    </row>
    <row r="1290" spans="1:4" ht="18">
      <c r="A1290" s="50" t="s">
        <v>8761</v>
      </c>
      <c r="B1290" s="50" t="s">
        <v>9623</v>
      </c>
      <c r="C1290" s="50" t="s">
        <v>8621</v>
      </c>
      <c r="D1290" s="17" t="s">
        <v>8912</v>
      </c>
    </row>
    <row r="1291" spans="1:4" ht="18">
      <c r="A1291" s="50" t="s">
        <v>8763</v>
      </c>
      <c r="B1291" s="50" t="s">
        <v>9624</v>
      </c>
      <c r="C1291" s="50" t="s">
        <v>8764</v>
      </c>
      <c r="D1291" s="17" t="s">
        <v>8912</v>
      </c>
    </row>
    <row r="1292" spans="1:4" ht="18">
      <c r="A1292" s="50" t="s">
        <v>8763</v>
      </c>
      <c r="B1292" s="50" t="s">
        <v>9624</v>
      </c>
      <c r="C1292" s="50" t="s">
        <v>8764</v>
      </c>
      <c r="D1292" s="17" t="s">
        <v>8912</v>
      </c>
    </row>
    <row r="1293" spans="1:4" ht="18">
      <c r="A1293" s="50" t="s">
        <v>8766</v>
      </c>
      <c r="B1293" s="50" t="s">
        <v>9625</v>
      </c>
      <c r="C1293" s="50" t="s">
        <v>8767</v>
      </c>
      <c r="D1293" s="17" t="s">
        <v>8912</v>
      </c>
    </row>
    <row r="1294" spans="1:4" ht="18">
      <c r="A1294" s="50" t="s">
        <v>8769</v>
      </c>
      <c r="B1294" s="50" t="s">
        <v>9626</v>
      </c>
      <c r="C1294" s="50" t="s">
        <v>8770</v>
      </c>
      <c r="D1294" s="17" t="s">
        <v>8912</v>
      </c>
    </row>
    <row r="1295" spans="1:4" ht="18">
      <c r="A1295" s="50" t="s">
        <v>8772</v>
      </c>
      <c r="B1295" s="50" t="s">
        <v>9627</v>
      </c>
      <c r="C1295" s="50" t="s">
        <v>8770</v>
      </c>
      <c r="D1295" s="17" t="s">
        <v>8913</v>
      </c>
    </row>
    <row r="1296" spans="1:4" ht="18">
      <c r="A1296" s="50" t="s">
        <v>8775</v>
      </c>
      <c r="B1296" s="50" t="s">
        <v>9628</v>
      </c>
      <c r="C1296" s="50" t="s">
        <v>6457</v>
      </c>
      <c r="D1296" s="17" t="s">
        <v>8912</v>
      </c>
    </row>
    <row r="1297" spans="1:4" ht="18">
      <c r="A1297" s="50" t="s">
        <v>8777</v>
      </c>
      <c r="B1297" s="50" t="s">
        <v>9629</v>
      </c>
      <c r="C1297" s="50" t="s">
        <v>6457</v>
      </c>
      <c r="D1297" s="17" t="s">
        <v>8912</v>
      </c>
    </row>
    <row r="1298" spans="1:4" ht="18">
      <c r="A1298" s="50" t="s">
        <v>8777</v>
      </c>
      <c r="B1298" s="50" t="s">
        <v>9629</v>
      </c>
      <c r="C1298" s="50" t="s">
        <v>6457</v>
      </c>
      <c r="D1298" s="17" t="s">
        <v>8912</v>
      </c>
    </row>
    <row r="1299" spans="1:4" ht="18">
      <c r="A1299" s="50" t="s">
        <v>8779</v>
      </c>
      <c r="B1299" s="50" t="s">
        <v>9630</v>
      </c>
      <c r="C1299" s="50" t="s">
        <v>8621</v>
      </c>
      <c r="D1299" s="17" t="s">
        <v>8912</v>
      </c>
    </row>
    <row r="1300" spans="1:4" ht="18">
      <c r="A1300" s="50" t="s">
        <v>8779</v>
      </c>
      <c r="B1300" s="50" t="s">
        <v>9630</v>
      </c>
      <c r="C1300" s="50" t="s">
        <v>8621</v>
      </c>
      <c r="D1300" s="17" t="s">
        <v>8912</v>
      </c>
    </row>
    <row r="1301" spans="1:4" ht="18">
      <c r="A1301" s="50" t="s">
        <v>8781</v>
      </c>
      <c r="B1301" s="50" t="s">
        <v>9631</v>
      </c>
      <c r="C1301" s="50" t="s">
        <v>8764</v>
      </c>
      <c r="D1301" s="17" t="s">
        <v>8912</v>
      </c>
    </row>
    <row r="1302" spans="1:4" ht="18">
      <c r="A1302" s="50" t="s">
        <v>8783</v>
      </c>
      <c r="B1302" s="50" t="s">
        <v>9632</v>
      </c>
      <c r="C1302" s="50" t="s">
        <v>8617</v>
      </c>
      <c r="D1302" s="17" t="s">
        <v>8913</v>
      </c>
    </row>
    <row r="1303" spans="1:4" ht="18">
      <c r="A1303" s="50" t="s">
        <v>8785</v>
      </c>
      <c r="B1303" s="50" t="s">
        <v>9633</v>
      </c>
      <c r="C1303" s="50" t="s">
        <v>8770</v>
      </c>
      <c r="D1303" s="17" t="s">
        <v>8913</v>
      </c>
    </row>
    <row r="1304" spans="1:4" ht="18">
      <c r="A1304" s="50" t="s">
        <v>8781</v>
      </c>
      <c r="B1304" s="50" t="s">
        <v>9631</v>
      </c>
      <c r="C1304" s="50" t="s">
        <v>8764</v>
      </c>
      <c r="D1304" s="17" t="s">
        <v>8912</v>
      </c>
    </row>
    <row r="1305" spans="1:4" ht="18">
      <c r="A1305" s="50" t="s">
        <v>8787</v>
      </c>
      <c r="B1305" s="50" t="s">
        <v>9634</v>
      </c>
      <c r="C1305" s="50" t="s">
        <v>8788</v>
      </c>
      <c r="D1305" s="17" t="s">
        <v>8912</v>
      </c>
    </row>
    <row r="1306" spans="1:4" ht="18">
      <c r="A1306" s="50" t="s">
        <v>8789</v>
      </c>
      <c r="B1306" s="50" t="s">
        <v>9635</v>
      </c>
      <c r="C1306" s="50" t="s">
        <v>8617</v>
      </c>
      <c r="D1306" s="17" t="s">
        <v>8913</v>
      </c>
    </row>
    <row r="1307" spans="1:4" ht="18">
      <c r="A1307" s="50" t="s">
        <v>8791</v>
      </c>
      <c r="B1307" s="50" t="s">
        <v>9636</v>
      </c>
      <c r="C1307" s="50" t="s">
        <v>8764</v>
      </c>
      <c r="D1307" s="17" t="s">
        <v>8912</v>
      </c>
    </row>
    <row r="1308" spans="1:4" ht="18">
      <c r="A1308" s="50" t="s">
        <v>8791</v>
      </c>
      <c r="B1308" s="50" t="s">
        <v>9636</v>
      </c>
      <c r="C1308" s="50" t="s">
        <v>8764</v>
      </c>
      <c r="D1308" s="17" t="s">
        <v>8912</v>
      </c>
    </row>
    <row r="1309" spans="1:4" ht="18">
      <c r="A1309" s="50" t="s">
        <v>8792</v>
      </c>
      <c r="B1309" s="50" t="s">
        <v>9637</v>
      </c>
      <c r="C1309" s="50" t="s">
        <v>8793</v>
      </c>
      <c r="D1309" s="17" t="s">
        <v>8912</v>
      </c>
    </row>
    <row r="1310" spans="1:4" ht="18">
      <c r="A1310" s="50" t="s">
        <v>8795</v>
      </c>
      <c r="B1310" s="50" t="s">
        <v>9638</v>
      </c>
      <c r="C1310" s="50" t="s">
        <v>8764</v>
      </c>
      <c r="D1310" s="17" t="s">
        <v>8912</v>
      </c>
    </row>
    <row r="1311" spans="1:4" ht="18">
      <c r="A1311" s="50" t="s">
        <v>8796</v>
      </c>
      <c r="B1311" s="50" t="s">
        <v>9639</v>
      </c>
      <c r="C1311" s="50" t="s">
        <v>6457</v>
      </c>
      <c r="D1311" s="17" t="s">
        <v>8912</v>
      </c>
    </row>
    <row r="1312" spans="1:4" ht="18">
      <c r="A1312" s="50" t="s">
        <v>8797</v>
      </c>
      <c r="B1312" s="50" t="s">
        <v>9640</v>
      </c>
      <c r="C1312" s="50" t="s">
        <v>8767</v>
      </c>
      <c r="D1312" s="17" t="s">
        <v>8912</v>
      </c>
    </row>
    <row r="1313" spans="1:4" ht="18">
      <c r="A1313" s="50" t="s">
        <v>8791</v>
      </c>
      <c r="B1313" s="50" t="s">
        <v>9636</v>
      </c>
      <c r="C1313" s="50" t="s">
        <v>8764</v>
      </c>
      <c r="D1313" s="17" t="s">
        <v>8912</v>
      </c>
    </row>
    <row r="1314" spans="1:4" ht="18">
      <c r="A1314" s="50" t="s">
        <v>8798</v>
      </c>
      <c r="B1314" s="50" t="s">
        <v>9641</v>
      </c>
      <c r="C1314" s="50" t="s">
        <v>8695</v>
      </c>
      <c r="D1314" s="17" t="s">
        <v>8912</v>
      </c>
    </row>
    <row r="1315" spans="1:4" ht="18">
      <c r="A1315" s="50" t="s">
        <v>8798</v>
      </c>
      <c r="B1315" s="50" t="s">
        <v>9641</v>
      </c>
      <c r="C1315" s="50" t="s">
        <v>8695</v>
      </c>
      <c r="D1315" s="17" t="s">
        <v>8912</v>
      </c>
    </row>
    <row r="1316" spans="1:4" ht="18">
      <c r="A1316" s="50" t="s">
        <v>8797</v>
      </c>
      <c r="B1316" s="50" t="s">
        <v>9640</v>
      </c>
      <c r="C1316" s="50" t="s">
        <v>8767</v>
      </c>
      <c r="D1316" s="17" t="s">
        <v>8912</v>
      </c>
    </row>
    <row r="1317" spans="1:4" ht="18">
      <c r="A1317" s="50" t="s">
        <v>8801</v>
      </c>
      <c r="B1317" s="50" t="s">
        <v>9642</v>
      </c>
      <c r="C1317" s="50" t="s">
        <v>8770</v>
      </c>
      <c r="D1317" s="17" t="s">
        <v>8912</v>
      </c>
    </row>
    <row r="1318" spans="1:4" ht="18">
      <c r="A1318" s="50" t="s">
        <v>8791</v>
      </c>
      <c r="B1318" s="50" t="s">
        <v>9636</v>
      </c>
      <c r="C1318" s="50" t="s">
        <v>8764</v>
      </c>
      <c r="D1318" s="17" t="s">
        <v>8912</v>
      </c>
    </row>
    <row r="1319" spans="1:4" ht="18">
      <c r="A1319" s="50" t="s">
        <v>8787</v>
      </c>
      <c r="B1319" s="50" t="s">
        <v>9634</v>
      </c>
      <c r="C1319" s="50" t="s">
        <v>8788</v>
      </c>
      <c r="D1319" s="17" t="s">
        <v>8912</v>
      </c>
    </row>
    <row r="1320" spans="1:4" ht="18">
      <c r="A1320" s="50" t="s">
        <v>8796</v>
      </c>
      <c r="B1320" s="50" t="s">
        <v>9639</v>
      </c>
      <c r="C1320" s="50" t="s">
        <v>6457</v>
      </c>
      <c r="D1320" s="17" t="s">
        <v>8912</v>
      </c>
    </row>
    <row r="1321" spans="1:4" ht="18">
      <c r="A1321" s="50" t="s">
        <v>8804</v>
      </c>
      <c r="B1321" s="50" t="s">
        <v>9643</v>
      </c>
      <c r="C1321" s="50" t="s">
        <v>8621</v>
      </c>
      <c r="D1321" s="17" t="s">
        <v>8913</v>
      </c>
    </row>
    <row r="1322" spans="1:4" ht="18">
      <c r="A1322" s="50" t="s">
        <v>8798</v>
      </c>
      <c r="B1322" s="50" t="s">
        <v>9641</v>
      </c>
      <c r="C1322" s="50" t="s">
        <v>8695</v>
      </c>
      <c r="D1322" s="17" t="s">
        <v>8912</v>
      </c>
    </row>
    <row r="1323" spans="1:4" ht="18">
      <c r="A1323" s="50" t="s">
        <v>8807</v>
      </c>
      <c r="B1323" s="50" t="s">
        <v>9644</v>
      </c>
      <c r="C1323" s="50" t="s">
        <v>6457</v>
      </c>
      <c r="D1323" s="17" t="s">
        <v>8912</v>
      </c>
    </row>
    <row r="1324" spans="1:4" ht="18">
      <c r="A1324" s="50" t="s">
        <v>8792</v>
      </c>
      <c r="B1324" s="50" t="s">
        <v>9637</v>
      </c>
      <c r="C1324" s="50" t="s">
        <v>8793</v>
      </c>
      <c r="D1324" s="17" t="s">
        <v>8912</v>
      </c>
    </row>
    <row r="1325" spans="1:4" ht="18">
      <c r="A1325" s="50" t="s">
        <v>8777</v>
      </c>
      <c r="B1325" s="50" t="s">
        <v>9629</v>
      </c>
      <c r="C1325" s="50" t="s">
        <v>6457</v>
      </c>
      <c r="D1325" s="17" t="s">
        <v>8912</v>
      </c>
    </row>
    <row r="1326" spans="1:4" ht="18">
      <c r="A1326" s="50" t="s">
        <v>8809</v>
      </c>
      <c r="B1326" s="50" t="s">
        <v>9645</v>
      </c>
      <c r="C1326" s="50" t="s">
        <v>8764</v>
      </c>
      <c r="D1326" s="17" t="s">
        <v>8912</v>
      </c>
    </row>
    <row r="1327" spans="1:4" ht="18">
      <c r="A1327" s="50" t="s">
        <v>8811</v>
      </c>
      <c r="B1327" s="50" t="s">
        <v>9646</v>
      </c>
      <c r="C1327" s="50" t="s">
        <v>8788</v>
      </c>
      <c r="D1327" s="17" t="s">
        <v>8912</v>
      </c>
    </row>
    <row r="1328" spans="1:4" ht="18">
      <c r="A1328" s="50" t="s">
        <v>8809</v>
      </c>
      <c r="B1328" s="50" t="s">
        <v>9645</v>
      </c>
      <c r="C1328" s="50" t="s">
        <v>8764</v>
      </c>
      <c r="D1328" s="17" t="s">
        <v>8912</v>
      </c>
    </row>
    <row r="1329" spans="1:4" ht="18">
      <c r="A1329" s="50" t="s">
        <v>8795</v>
      </c>
      <c r="B1329" s="50" t="s">
        <v>9638</v>
      </c>
      <c r="C1329" s="50" t="s">
        <v>8764</v>
      </c>
      <c r="D1329" s="17" t="s">
        <v>8912</v>
      </c>
    </row>
    <row r="1330" spans="1:4" ht="18">
      <c r="A1330" s="50" t="s">
        <v>8809</v>
      </c>
      <c r="B1330" s="50" t="s">
        <v>9645</v>
      </c>
      <c r="C1330" s="50" t="s">
        <v>8764</v>
      </c>
      <c r="D1330" s="17" t="s">
        <v>8912</v>
      </c>
    </row>
    <row r="1331" spans="1:4" ht="18">
      <c r="A1331" s="50" t="s">
        <v>8798</v>
      </c>
      <c r="B1331" s="50" t="s">
        <v>9641</v>
      </c>
      <c r="C1331" s="50" t="s">
        <v>8695</v>
      </c>
      <c r="D1331" s="17" t="s">
        <v>8912</v>
      </c>
    </row>
    <row r="1332" spans="1:4" ht="18">
      <c r="A1332" s="50" t="s">
        <v>8813</v>
      </c>
      <c r="B1332" s="50" t="s">
        <v>9647</v>
      </c>
      <c r="C1332" s="50" t="s">
        <v>8793</v>
      </c>
      <c r="D1332" s="17" t="s">
        <v>8912</v>
      </c>
    </row>
    <row r="1333" spans="1:4" ht="18">
      <c r="A1333" s="50" t="s">
        <v>8814</v>
      </c>
      <c r="B1333" s="50" t="s">
        <v>9648</v>
      </c>
      <c r="C1333" s="50" t="s">
        <v>8617</v>
      </c>
      <c r="D1333" s="17" t="s">
        <v>8912</v>
      </c>
    </row>
    <row r="1334" spans="1:4" ht="18">
      <c r="A1334" s="50" t="s">
        <v>8815</v>
      </c>
      <c r="B1334" s="50" t="s">
        <v>9649</v>
      </c>
      <c r="C1334" s="50" t="s">
        <v>8695</v>
      </c>
      <c r="D1334" s="17" t="s">
        <v>8912</v>
      </c>
    </row>
    <row r="1335" spans="1:4" ht="18">
      <c r="A1335" s="50" t="s">
        <v>8817</v>
      </c>
      <c r="B1335" s="50" t="s">
        <v>9650</v>
      </c>
      <c r="C1335" s="50" t="s">
        <v>8793</v>
      </c>
      <c r="D1335" s="17" t="s">
        <v>8912</v>
      </c>
    </row>
    <row r="1336" spans="1:4" ht="18">
      <c r="A1336" s="50" t="s">
        <v>8801</v>
      </c>
      <c r="B1336" s="50" t="s">
        <v>9642</v>
      </c>
      <c r="C1336" s="50" t="s">
        <v>8770</v>
      </c>
      <c r="D1336" s="17" t="s">
        <v>8912</v>
      </c>
    </row>
    <row r="1337" spans="1:4" ht="18">
      <c r="A1337" s="50" t="s">
        <v>8814</v>
      </c>
      <c r="B1337" s="50" t="s">
        <v>9648</v>
      </c>
      <c r="C1337" s="50" t="s">
        <v>8617</v>
      </c>
      <c r="D1337" s="17" t="s">
        <v>8912</v>
      </c>
    </row>
    <row r="1338" spans="1:4" ht="18">
      <c r="A1338" s="50" t="s">
        <v>8819</v>
      </c>
      <c r="B1338" s="50" t="s">
        <v>9651</v>
      </c>
      <c r="C1338" s="50" t="s">
        <v>8617</v>
      </c>
      <c r="D1338" s="17" t="s">
        <v>8912</v>
      </c>
    </row>
    <row r="1339" spans="1:4" ht="18">
      <c r="A1339" s="50" t="s">
        <v>8819</v>
      </c>
      <c r="B1339" s="50" t="s">
        <v>9651</v>
      </c>
      <c r="C1339" s="50" t="s">
        <v>8617</v>
      </c>
      <c r="D1339" s="17" t="s">
        <v>8912</v>
      </c>
    </row>
    <row r="1340" spans="1:4" ht="18">
      <c r="A1340" s="50" t="s">
        <v>8822</v>
      </c>
      <c r="B1340" s="50" t="s">
        <v>9652</v>
      </c>
      <c r="C1340" s="50" t="s">
        <v>8770</v>
      </c>
      <c r="D1340" s="17" t="s">
        <v>8912</v>
      </c>
    </row>
    <row r="1341" spans="1:4" ht="18">
      <c r="A1341" s="50" t="s">
        <v>8822</v>
      </c>
      <c r="B1341" s="50" t="s">
        <v>9652</v>
      </c>
      <c r="C1341" s="50" t="s">
        <v>8770</v>
      </c>
      <c r="D1341" s="17" t="s">
        <v>8912</v>
      </c>
    </row>
    <row r="1342" spans="1:4" ht="18">
      <c r="A1342" s="50" t="s">
        <v>8823</v>
      </c>
      <c r="B1342" s="50" t="s">
        <v>9653</v>
      </c>
      <c r="C1342" s="50" t="s">
        <v>8824</v>
      </c>
      <c r="D1342" s="17" t="s">
        <v>8912</v>
      </c>
    </row>
    <row r="1343" spans="1:4" ht="18">
      <c r="A1343" s="50" t="s">
        <v>8813</v>
      </c>
      <c r="B1343" s="50" t="s">
        <v>9647</v>
      </c>
      <c r="C1343" s="50" t="s">
        <v>8793</v>
      </c>
      <c r="D1343" s="17" t="s">
        <v>8912</v>
      </c>
    </row>
    <row r="1344" spans="1:4" ht="18">
      <c r="A1344" s="50" t="s">
        <v>8811</v>
      </c>
      <c r="B1344" s="50" t="s">
        <v>9646</v>
      </c>
      <c r="C1344" s="50" t="s">
        <v>8788</v>
      </c>
      <c r="D1344" s="17" t="s">
        <v>8912</v>
      </c>
    </row>
    <row r="1345" spans="1:4" ht="18">
      <c r="A1345" s="50" t="s">
        <v>8811</v>
      </c>
      <c r="B1345" s="50" t="s">
        <v>9646</v>
      </c>
      <c r="C1345" s="50" t="s">
        <v>8788</v>
      </c>
      <c r="D1345" s="17" t="s">
        <v>8912</v>
      </c>
    </row>
    <row r="1346" spans="1:4" ht="18">
      <c r="A1346" s="50" t="s">
        <v>8809</v>
      </c>
      <c r="B1346" s="50" t="s">
        <v>9645</v>
      </c>
      <c r="C1346" s="50" t="s">
        <v>8764</v>
      </c>
      <c r="D1346" s="17" t="s">
        <v>8912</v>
      </c>
    </row>
    <row r="1347" spans="1:4" ht="18">
      <c r="A1347" s="50" t="s">
        <v>8826</v>
      </c>
      <c r="B1347" s="50" t="s">
        <v>9654</v>
      </c>
      <c r="C1347" s="50" t="s">
        <v>8770</v>
      </c>
      <c r="D1347" s="17" t="s">
        <v>8912</v>
      </c>
    </row>
    <row r="1348" spans="1:4" ht="18">
      <c r="A1348" s="50" t="s">
        <v>8827</v>
      </c>
      <c r="B1348" s="50" t="s">
        <v>9655</v>
      </c>
      <c r="C1348" s="50" t="s">
        <v>8621</v>
      </c>
      <c r="D1348" s="17" t="s">
        <v>8912</v>
      </c>
    </row>
    <row r="1349" spans="1:4" ht="18">
      <c r="A1349" s="50" t="s">
        <v>8829</v>
      </c>
      <c r="B1349" s="50" t="s">
        <v>9656</v>
      </c>
      <c r="C1349" s="50" t="s">
        <v>8793</v>
      </c>
      <c r="D1349" s="17" t="s">
        <v>8912</v>
      </c>
    </row>
    <row r="1350" spans="1:4" ht="18">
      <c r="A1350" s="50" t="s">
        <v>8814</v>
      </c>
      <c r="B1350" s="50" t="s">
        <v>9648</v>
      </c>
      <c r="C1350" s="50" t="s">
        <v>8617</v>
      </c>
      <c r="D1350" s="17" t="s">
        <v>8912</v>
      </c>
    </row>
    <row r="1351" spans="1:4" ht="18">
      <c r="A1351" s="50" t="s">
        <v>8831</v>
      </c>
      <c r="B1351" s="50" t="s">
        <v>9657</v>
      </c>
      <c r="C1351" s="50" t="s">
        <v>8770</v>
      </c>
      <c r="D1351" s="17" t="s">
        <v>8912</v>
      </c>
    </row>
    <row r="1352" spans="1:4" ht="18">
      <c r="A1352" s="50" t="s">
        <v>8817</v>
      </c>
      <c r="B1352" s="50" t="s">
        <v>9650</v>
      </c>
      <c r="C1352" s="50" t="s">
        <v>8793</v>
      </c>
      <c r="D1352" s="17" t="s">
        <v>8912</v>
      </c>
    </row>
    <row r="1353" spans="1:4" ht="18">
      <c r="A1353" s="50" t="s">
        <v>8817</v>
      </c>
      <c r="B1353" s="50" t="s">
        <v>9650</v>
      </c>
      <c r="C1353" s="50" t="s">
        <v>8793</v>
      </c>
      <c r="D1353" s="17" t="s">
        <v>8912</v>
      </c>
    </row>
    <row r="1354" spans="1:4" ht="18">
      <c r="A1354" s="50" t="s">
        <v>8819</v>
      </c>
      <c r="B1354" s="50" t="s">
        <v>9651</v>
      </c>
      <c r="C1354" s="50" t="s">
        <v>8617</v>
      </c>
      <c r="D1354" s="17" t="s">
        <v>8912</v>
      </c>
    </row>
    <row r="1355" spans="1:4" ht="18">
      <c r="A1355" s="50" t="s">
        <v>8834</v>
      </c>
      <c r="B1355" s="50" t="s">
        <v>9658</v>
      </c>
      <c r="C1355" s="50" t="s">
        <v>6412</v>
      </c>
      <c r="D1355" s="17" t="s">
        <v>8913</v>
      </c>
    </row>
    <row r="1356" spans="1:4" ht="18">
      <c r="A1356" s="50" t="s">
        <v>8834</v>
      </c>
      <c r="B1356" s="50" t="s">
        <v>9658</v>
      </c>
      <c r="C1356" s="50" t="s">
        <v>6412</v>
      </c>
      <c r="D1356" s="17" t="s">
        <v>8913</v>
      </c>
    </row>
    <row r="1357" spans="1:4" ht="18">
      <c r="A1357" s="50" t="s">
        <v>8836</v>
      </c>
      <c r="B1357" s="50" t="s">
        <v>9659</v>
      </c>
      <c r="C1357" s="50" t="s">
        <v>8837</v>
      </c>
      <c r="D1357" s="17" t="s">
        <v>8912</v>
      </c>
    </row>
    <row r="1358" spans="1:4" ht="18">
      <c r="A1358" s="50" t="s">
        <v>8838</v>
      </c>
      <c r="B1358" s="50" t="s">
        <v>9660</v>
      </c>
      <c r="C1358" s="50" t="s">
        <v>8837</v>
      </c>
      <c r="D1358" s="17" t="s">
        <v>8913</v>
      </c>
    </row>
    <row r="1359" spans="1:4" ht="18">
      <c r="A1359" s="50" t="s">
        <v>8838</v>
      </c>
      <c r="B1359" s="50" t="s">
        <v>9660</v>
      </c>
      <c r="C1359" s="50" t="s">
        <v>8837</v>
      </c>
      <c r="D1359" s="17" t="s">
        <v>8913</v>
      </c>
    </row>
    <row r="1360" spans="1:4" ht="18">
      <c r="A1360" s="50" t="s">
        <v>8838</v>
      </c>
      <c r="B1360" s="50" t="s">
        <v>9660</v>
      </c>
      <c r="C1360" s="50" t="s">
        <v>8837</v>
      </c>
      <c r="D1360" s="17" t="s">
        <v>8913</v>
      </c>
    </row>
    <row r="1361" spans="1:4" ht="18">
      <c r="A1361" s="50" t="s">
        <v>8838</v>
      </c>
      <c r="B1361" s="50" t="s">
        <v>9660</v>
      </c>
      <c r="C1361" s="50" t="s">
        <v>8837</v>
      </c>
      <c r="D1361" s="17" t="s">
        <v>8913</v>
      </c>
    </row>
    <row r="1362" spans="1:4" ht="18">
      <c r="A1362" s="50" t="s">
        <v>8838</v>
      </c>
      <c r="B1362" s="50" t="s">
        <v>9660</v>
      </c>
      <c r="C1362" s="50" t="s">
        <v>8837</v>
      </c>
      <c r="D1362" s="17" t="s">
        <v>8913</v>
      </c>
    </row>
    <row r="1363" spans="1:4" ht="18">
      <c r="A1363" s="50" t="s">
        <v>8838</v>
      </c>
      <c r="B1363" s="50" t="s">
        <v>9660</v>
      </c>
      <c r="C1363" s="50" t="s">
        <v>8837</v>
      </c>
      <c r="D1363" s="17" t="s">
        <v>8913</v>
      </c>
    </row>
    <row r="1364" spans="1:4" ht="18">
      <c r="A1364" s="50" t="s">
        <v>8838</v>
      </c>
      <c r="B1364" s="50" t="s">
        <v>9660</v>
      </c>
      <c r="C1364" s="50" t="s">
        <v>8837</v>
      </c>
      <c r="D1364" s="17" t="s">
        <v>8913</v>
      </c>
    </row>
    <row r="1365" spans="1:4" ht="18">
      <c r="A1365" s="50" t="s">
        <v>8839</v>
      </c>
      <c r="B1365" s="50" t="s">
        <v>9661</v>
      </c>
      <c r="C1365" s="50" t="s">
        <v>8837</v>
      </c>
      <c r="D1365" s="17" t="s">
        <v>8912</v>
      </c>
    </row>
    <row r="1366" spans="1:4" ht="18">
      <c r="A1366" s="50" t="s">
        <v>8840</v>
      </c>
      <c r="B1366" s="50" t="s">
        <v>9662</v>
      </c>
      <c r="C1366" s="50" t="s">
        <v>8629</v>
      </c>
      <c r="D1366" s="17" t="s">
        <v>8913</v>
      </c>
    </row>
    <row r="1367" spans="1:4" ht="18">
      <c r="A1367" s="50" t="s">
        <v>8840</v>
      </c>
      <c r="B1367" s="50" t="s">
        <v>9662</v>
      </c>
      <c r="C1367" s="50" t="s">
        <v>8629</v>
      </c>
      <c r="D1367" s="17" t="s">
        <v>8913</v>
      </c>
    </row>
    <row r="1368" spans="1:4" ht="18">
      <c r="A1368" s="50" t="s">
        <v>8838</v>
      </c>
      <c r="B1368" s="50" t="s">
        <v>9660</v>
      </c>
      <c r="C1368" s="50" t="s">
        <v>8837</v>
      </c>
      <c r="D1368" s="17" t="s">
        <v>8913</v>
      </c>
    </row>
    <row r="1369" spans="1:4" ht="18">
      <c r="A1369" s="50" t="s">
        <v>8841</v>
      </c>
      <c r="B1369" s="50" t="s">
        <v>9663</v>
      </c>
      <c r="C1369" s="50" t="s">
        <v>8618</v>
      </c>
      <c r="D1369" s="17" t="s">
        <v>8912</v>
      </c>
    </row>
    <row r="1370" spans="1:4" ht="18">
      <c r="A1370" s="50" t="s">
        <v>8842</v>
      </c>
      <c r="B1370" s="50" t="s">
        <v>9664</v>
      </c>
      <c r="C1370" s="50" t="s">
        <v>8645</v>
      </c>
      <c r="D1370" s="17" t="s">
        <v>8912</v>
      </c>
    </row>
    <row r="1371" spans="1:4" ht="18">
      <c r="A1371" s="50" t="s">
        <v>8843</v>
      </c>
      <c r="B1371" s="50" t="s">
        <v>9665</v>
      </c>
      <c r="C1371" s="50" t="s">
        <v>8645</v>
      </c>
      <c r="D1371" s="17" t="s">
        <v>8913</v>
      </c>
    </row>
    <row r="1372" spans="1:4" ht="18">
      <c r="A1372" s="50" t="s">
        <v>8843</v>
      </c>
      <c r="B1372" s="50" t="s">
        <v>9665</v>
      </c>
      <c r="C1372" s="50" t="s">
        <v>8645</v>
      </c>
      <c r="D1372" s="17" t="s">
        <v>8913</v>
      </c>
    </row>
    <row r="1373" spans="1:4" ht="18">
      <c r="A1373" s="50" t="s">
        <v>8844</v>
      </c>
      <c r="B1373" s="50" t="s">
        <v>9666</v>
      </c>
      <c r="C1373" s="50" t="s">
        <v>8636</v>
      </c>
      <c r="D1373" s="17" t="s">
        <v>8913</v>
      </c>
    </row>
    <row r="1374" spans="1:4" ht="18">
      <c r="A1374" s="50" t="s">
        <v>8844</v>
      </c>
      <c r="B1374" s="50" t="s">
        <v>9666</v>
      </c>
      <c r="C1374" s="50" t="s">
        <v>8636</v>
      </c>
      <c r="D1374" s="17" t="s">
        <v>8913</v>
      </c>
    </row>
    <row r="1375" spans="1:4" ht="18">
      <c r="A1375" s="50" t="s">
        <v>8844</v>
      </c>
      <c r="B1375" s="50" t="s">
        <v>9666</v>
      </c>
      <c r="C1375" s="50" t="s">
        <v>8636</v>
      </c>
      <c r="D1375" s="17" t="s">
        <v>8913</v>
      </c>
    </row>
    <row r="1376" spans="1:4" ht="18">
      <c r="A1376" s="50" t="s">
        <v>8844</v>
      </c>
      <c r="B1376" s="50" t="s">
        <v>9666</v>
      </c>
      <c r="C1376" s="50" t="s">
        <v>8636</v>
      </c>
      <c r="D1376" s="17" t="s">
        <v>8913</v>
      </c>
    </row>
    <row r="1377" spans="1:4" ht="18">
      <c r="A1377" s="50" t="s">
        <v>8844</v>
      </c>
      <c r="B1377" s="50" t="s">
        <v>9666</v>
      </c>
      <c r="C1377" s="50" t="s">
        <v>8636</v>
      </c>
      <c r="D1377" s="17" t="s">
        <v>8913</v>
      </c>
    </row>
    <row r="1378" spans="1:4" ht="18">
      <c r="A1378" s="50" t="s">
        <v>8847</v>
      </c>
      <c r="B1378" s="50" t="s">
        <v>9667</v>
      </c>
      <c r="C1378" s="50" t="s">
        <v>8695</v>
      </c>
      <c r="D1378" s="17" t="s">
        <v>8912</v>
      </c>
    </row>
    <row r="1379" spans="1:4" ht="18">
      <c r="A1379" s="50" t="s">
        <v>8847</v>
      </c>
      <c r="B1379" s="50" t="s">
        <v>9667</v>
      </c>
      <c r="C1379" s="50" t="s">
        <v>8695</v>
      </c>
      <c r="D1379" s="17" t="s">
        <v>8912</v>
      </c>
    </row>
    <row r="1380" spans="1:4" ht="18">
      <c r="A1380" s="50" t="s">
        <v>8848</v>
      </c>
      <c r="B1380" s="50" t="s">
        <v>9668</v>
      </c>
      <c r="C1380" s="50" t="s">
        <v>8767</v>
      </c>
      <c r="D1380" s="17" t="s">
        <v>8913</v>
      </c>
    </row>
    <row r="1381" spans="1:4" ht="18">
      <c r="A1381" s="50" t="s">
        <v>8847</v>
      </c>
      <c r="B1381" s="50" t="s">
        <v>9667</v>
      </c>
      <c r="C1381" s="50" t="s">
        <v>8695</v>
      </c>
      <c r="D1381" s="17" t="s">
        <v>8912</v>
      </c>
    </row>
    <row r="1382" spans="1:4" ht="18">
      <c r="A1382" s="50" t="s">
        <v>8849</v>
      </c>
      <c r="B1382" s="50" t="s">
        <v>9669</v>
      </c>
      <c r="C1382" s="50" t="s">
        <v>8793</v>
      </c>
      <c r="D1382" s="17" t="s">
        <v>8913</v>
      </c>
    </row>
    <row r="1383" spans="1:4" ht="18">
      <c r="A1383" s="50" t="s">
        <v>8851</v>
      </c>
      <c r="B1383" s="50" t="s">
        <v>9670</v>
      </c>
      <c r="C1383" s="50" t="s">
        <v>8824</v>
      </c>
      <c r="D1383" s="17" t="s">
        <v>8912</v>
      </c>
    </row>
    <row r="1384" spans="1:4" ht="18">
      <c r="A1384" s="50" t="s">
        <v>8847</v>
      </c>
      <c r="B1384" s="50" t="s">
        <v>9667</v>
      </c>
      <c r="C1384" s="50" t="s">
        <v>8695</v>
      </c>
      <c r="D1384" s="17" t="s">
        <v>8912</v>
      </c>
    </row>
    <row r="1385" spans="1:4" ht="18">
      <c r="A1385" s="50" t="s">
        <v>8847</v>
      </c>
      <c r="B1385" s="50" t="s">
        <v>9667</v>
      </c>
      <c r="C1385" s="50" t="s">
        <v>8695</v>
      </c>
      <c r="D1385" s="17" t="s">
        <v>8912</v>
      </c>
    </row>
    <row r="1386" spans="1:4" ht="18">
      <c r="A1386" s="50" t="s">
        <v>8854</v>
      </c>
      <c r="B1386" s="50" t="s">
        <v>9671</v>
      </c>
      <c r="C1386" s="50" t="s">
        <v>8855</v>
      </c>
      <c r="D1386" s="17" t="s">
        <v>8913</v>
      </c>
    </row>
    <row r="1387" spans="1:4" ht="18">
      <c r="A1387" s="50" t="s">
        <v>8848</v>
      </c>
      <c r="B1387" s="50" t="s">
        <v>9668</v>
      </c>
      <c r="C1387" s="50" t="s">
        <v>8767</v>
      </c>
      <c r="D1387" s="17" t="s">
        <v>8913</v>
      </c>
    </row>
    <row r="1388" spans="1:4" ht="18">
      <c r="A1388" s="50" t="s">
        <v>8849</v>
      </c>
      <c r="B1388" s="50" t="s">
        <v>9669</v>
      </c>
      <c r="C1388" s="50" t="s">
        <v>8793</v>
      </c>
      <c r="D1388" s="17" t="s">
        <v>8913</v>
      </c>
    </row>
    <row r="1389" spans="1:4" ht="18">
      <c r="A1389" s="50" t="s">
        <v>8849</v>
      </c>
      <c r="B1389" s="50" t="s">
        <v>9669</v>
      </c>
      <c r="C1389" s="50" t="s">
        <v>8793</v>
      </c>
      <c r="D1389" s="17" t="s">
        <v>8913</v>
      </c>
    </row>
    <row r="1390" spans="1:4" ht="18">
      <c r="A1390" s="50" t="s">
        <v>8849</v>
      </c>
      <c r="B1390" s="50" t="s">
        <v>9669</v>
      </c>
      <c r="C1390" s="50" t="s">
        <v>8793</v>
      </c>
      <c r="D1390" s="17" t="s">
        <v>8913</v>
      </c>
    </row>
    <row r="1391" spans="1:4" ht="18">
      <c r="A1391" s="50" t="s">
        <v>8860</v>
      </c>
      <c r="B1391" s="50" t="s">
        <v>9672</v>
      </c>
      <c r="C1391" s="50" t="s">
        <v>8855</v>
      </c>
      <c r="D1391" s="17" t="s">
        <v>8912</v>
      </c>
    </row>
    <row r="1392" spans="1:4" ht="18">
      <c r="A1392" s="50" t="s">
        <v>8862</v>
      </c>
      <c r="B1392" s="50" t="s">
        <v>9673</v>
      </c>
      <c r="C1392" s="50" t="s">
        <v>8824</v>
      </c>
      <c r="D1392" s="17" t="s">
        <v>8912</v>
      </c>
    </row>
    <row r="1393" spans="1:4" ht="18">
      <c r="A1393" s="50" t="s">
        <v>8863</v>
      </c>
      <c r="B1393" s="50" t="s">
        <v>9674</v>
      </c>
      <c r="C1393" s="50" t="s">
        <v>8770</v>
      </c>
      <c r="D1393" s="17" t="s">
        <v>8913</v>
      </c>
    </row>
    <row r="1394" spans="1:4" ht="18">
      <c r="A1394" s="50" t="s">
        <v>8864</v>
      </c>
      <c r="B1394" s="50" t="s">
        <v>9675</v>
      </c>
      <c r="C1394" s="50" t="s">
        <v>8855</v>
      </c>
      <c r="D1394" s="17" t="s">
        <v>8913</v>
      </c>
    </row>
    <row r="1395" spans="1:4" ht="18">
      <c r="A1395" s="50" t="s">
        <v>8864</v>
      </c>
      <c r="B1395" s="50" t="s">
        <v>9675</v>
      </c>
      <c r="C1395" s="50" t="s">
        <v>8855</v>
      </c>
      <c r="D1395" s="17" t="s">
        <v>8913</v>
      </c>
    </row>
    <row r="1396" spans="1:4" ht="18">
      <c r="A1396" s="50" t="s">
        <v>8860</v>
      </c>
      <c r="B1396" s="50" t="s">
        <v>9672</v>
      </c>
      <c r="C1396" s="50" t="s">
        <v>8855</v>
      </c>
      <c r="D1396" s="17" t="s">
        <v>8912</v>
      </c>
    </row>
    <row r="1397" spans="1:4" ht="18">
      <c r="A1397" s="50" t="s">
        <v>8860</v>
      </c>
      <c r="B1397" s="50" t="s">
        <v>9672</v>
      </c>
      <c r="C1397" s="50" t="s">
        <v>8855</v>
      </c>
      <c r="D1397" s="17" t="s">
        <v>8912</v>
      </c>
    </row>
    <row r="1398" spans="1:4" ht="18">
      <c r="A1398" s="50" t="s">
        <v>8864</v>
      </c>
      <c r="B1398" s="50" t="s">
        <v>9675</v>
      </c>
      <c r="C1398" s="50" t="s">
        <v>8855</v>
      </c>
      <c r="D1398" s="17" t="s">
        <v>8913</v>
      </c>
    </row>
    <row r="1399" spans="1:4" ht="18">
      <c r="A1399" s="50" t="s">
        <v>8864</v>
      </c>
      <c r="B1399" s="50" t="s">
        <v>9675</v>
      </c>
      <c r="C1399" s="50" t="s">
        <v>8855</v>
      </c>
      <c r="D1399" s="17" t="s">
        <v>8913</v>
      </c>
    </row>
    <row r="1400" spans="1:4" ht="18">
      <c r="A1400" s="50" t="s">
        <v>8868</v>
      </c>
      <c r="B1400" s="50" t="s">
        <v>9676</v>
      </c>
      <c r="C1400" s="50" t="s">
        <v>8770</v>
      </c>
      <c r="D1400" s="17" t="s">
        <v>8913</v>
      </c>
    </row>
    <row r="1401" spans="1:4" ht="18">
      <c r="A1401" s="50" t="s">
        <v>8869</v>
      </c>
      <c r="B1401" s="50" t="s">
        <v>9677</v>
      </c>
      <c r="C1401" s="50" t="s">
        <v>8824</v>
      </c>
      <c r="D1401" s="17" t="s">
        <v>8912</v>
      </c>
    </row>
    <row r="1402" spans="1:4" ht="18">
      <c r="A1402" s="50" t="s">
        <v>8870</v>
      </c>
      <c r="B1402" s="50" t="s">
        <v>9678</v>
      </c>
      <c r="C1402" s="50" t="s">
        <v>8793</v>
      </c>
      <c r="D1402" s="17" t="s">
        <v>8912</v>
      </c>
    </row>
    <row r="1403" spans="1:4" ht="18">
      <c r="A1403" s="50" t="s">
        <v>8871</v>
      </c>
      <c r="B1403" s="50" t="s">
        <v>9679</v>
      </c>
      <c r="C1403" s="50" t="s">
        <v>8767</v>
      </c>
      <c r="D1403" s="17" t="s">
        <v>8912</v>
      </c>
    </row>
    <row r="1404" spans="1:4" ht="18">
      <c r="A1404" s="50" t="s">
        <v>8874</v>
      </c>
      <c r="B1404" s="50" t="s">
        <v>9680</v>
      </c>
      <c r="C1404" s="50" t="s">
        <v>6457</v>
      </c>
      <c r="D1404" s="17" t="s">
        <v>8912</v>
      </c>
    </row>
    <row r="1405" spans="1:4" ht="18">
      <c r="A1405" s="50" t="s">
        <v>8874</v>
      </c>
      <c r="B1405" s="50" t="s">
        <v>9680</v>
      </c>
      <c r="C1405" s="50" t="s">
        <v>6457</v>
      </c>
      <c r="D1405" s="17" t="s">
        <v>8912</v>
      </c>
    </row>
    <row r="1406" spans="1:4" ht="18">
      <c r="A1406" s="50" t="s">
        <v>8875</v>
      </c>
      <c r="B1406" s="50" t="s">
        <v>9681</v>
      </c>
      <c r="C1406" s="50" t="s">
        <v>8764</v>
      </c>
      <c r="D1406" s="17" t="s">
        <v>8912</v>
      </c>
    </row>
    <row r="1407" spans="1:4" ht="18">
      <c r="A1407" s="50" t="s">
        <v>8876</v>
      </c>
      <c r="B1407" s="50" t="s">
        <v>9682</v>
      </c>
      <c r="C1407" s="50" t="s">
        <v>8788</v>
      </c>
      <c r="D1407" s="17" t="s">
        <v>8913</v>
      </c>
    </row>
    <row r="1408" spans="1:4" ht="18">
      <c r="A1408" s="50" t="s">
        <v>8878</v>
      </c>
      <c r="B1408" s="50" t="s">
        <v>9683</v>
      </c>
      <c r="C1408" s="50" t="s">
        <v>8770</v>
      </c>
      <c r="D1408" s="17" t="s">
        <v>8912</v>
      </c>
    </row>
    <row r="1409" spans="1:4" ht="18">
      <c r="A1409" s="50" t="s">
        <v>8879</v>
      </c>
      <c r="B1409" s="50" t="s">
        <v>9684</v>
      </c>
      <c r="C1409" s="50" t="s">
        <v>8788</v>
      </c>
      <c r="D1409" s="17" t="s">
        <v>8912</v>
      </c>
    </row>
    <row r="1410" spans="1:4" ht="18">
      <c r="A1410" s="50" t="s">
        <v>8880</v>
      </c>
      <c r="B1410" s="50" t="s">
        <v>9685</v>
      </c>
      <c r="C1410" s="50" t="s">
        <v>8830</v>
      </c>
      <c r="D1410" s="17" t="s">
        <v>8913</v>
      </c>
    </row>
    <row r="1411" spans="1:4" ht="18">
      <c r="A1411" s="50" t="s">
        <v>8882</v>
      </c>
      <c r="B1411" s="50" t="s">
        <v>9686</v>
      </c>
      <c r="C1411" s="50" t="s">
        <v>8764</v>
      </c>
      <c r="D1411" s="17" t="s">
        <v>8913</v>
      </c>
    </row>
    <row r="1412" spans="1:4" ht="18">
      <c r="A1412" s="50" t="s">
        <v>8883</v>
      </c>
      <c r="B1412" s="50" t="s">
        <v>9687</v>
      </c>
      <c r="C1412" s="50" t="s">
        <v>6457</v>
      </c>
      <c r="D1412" s="17" t="s">
        <v>8913</v>
      </c>
    </row>
    <row r="1413" spans="1:4" ht="18">
      <c r="A1413" s="50" t="s">
        <v>8884</v>
      </c>
      <c r="B1413" s="50" t="s">
        <v>9688</v>
      </c>
      <c r="C1413" s="50" t="s">
        <v>8764</v>
      </c>
      <c r="D1413" s="17" t="s">
        <v>8913</v>
      </c>
    </row>
    <row r="1414" spans="1:4" ht="18">
      <c r="A1414" s="50" t="s">
        <v>8886</v>
      </c>
      <c r="B1414" s="50" t="s">
        <v>9689</v>
      </c>
      <c r="C1414" s="50" t="s">
        <v>8767</v>
      </c>
      <c r="D1414" s="17" t="s">
        <v>8913</v>
      </c>
    </row>
    <row r="1415" spans="1:4" ht="18">
      <c r="A1415" s="50" t="s">
        <v>8876</v>
      </c>
      <c r="B1415" s="50" t="s">
        <v>9682</v>
      </c>
      <c r="C1415" s="50" t="s">
        <v>8788</v>
      </c>
      <c r="D1415" s="17" t="s">
        <v>8913</v>
      </c>
    </row>
    <row r="1416" spans="1:4" ht="18">
      <c r="A1416" s="50" t="s">
        <v>8879</v>
      </c>
      <c r="B1416" s="50" t="s">
        <v>9684</v>
      </c>
      <c r="C1416" s="50" t="s">
        <v>8788</v>
      </c>
      <c r="D1416" s="17" t="s">
        <v>8912</v>
      </c>
    </row>
    <row r="1417" spans="1:4" ht="18">
      <c r="A1417" s="50" t="s">
        <v>8888</v>
      </c>
      <c r="B1417" s="50" t="s">
        <v>9690</v>
      </c>
      <c r="C1417" s="50" t="s">
        <v>8764</v>
      </c>
      <c r="D1417" s="17" t="s">
        <v>8912</v>
      </c>
    </row>
    <row r="1418" spans="1:4" ht="18">
      <c r="A1418" s="50" t="s">
        <v>8884</v>
      </c>
      <c r="B1418" s="50" t="s">
        <v>9688</v>
      </c>
      <c r="C1418" s="50" t="s">
        <v>8764</v>
      </c>
      <c r="D1418" s="17" t="s">
        <v>8913</v>
      </c>
    </row>
    <row r="1419" spans="1:4" ht="18">
      <c r="A1419" s="50" t="s">
        <v>8889</v>
      </c>
      <c r="B1419" s="50" t="s">
        <v>9691</v>
      </c>
      <c r="C1419" s="50" t="s">
        <v>8617</v>
      </c>
      <c r="D1419" s="17" t="s">
        <v>8913</v>
      </c>
    </row>
    <row r="1420" spans="1:4" ht="18">
      <c r="A1420" s="50" t="s">
        <v>8864</v>
      </c>
      <c r="B1420" s="50" t="s">
        <v>9675</v>
      </c>
      <c r="C1420" s="50" t="s">
        <v>8855</v>
      </c>
      <c r="D1420" s="17" t="s">
        <v>8913</v>
      </c>
    </row>
    <row r="1421" spans="1:4" ht="18">
      <c r="A1421" s="50" t="s">
        <v>8864</v>
      </c>
      <c r="B1421" s="50" t="s">
        <v>9675</v>
      </c>
      <c r="C1421" s="50" t="s">
        <v>8855</v>
      </c>
      <c r="D1421" s="17" t="s">
        <v>8913</v>
      </c>
    </row>
    <row r="1422" spans="1:4" ht="18">
      <c r="A1422" s="50" t="s">
        <v>8868</v>
      </c>
      <c r="B1422" s="50" t="s">
        <v>9676</v>
      </c>
      <c r="C1422" s="50" t="s">
        <v>8770</v>
      </c>
      <c r="D1422" s="17" t="s">
        <v>8913</v>
      </c>
    </row>
    <row r="1423" spans="1:4" ht="18">
      <c r="A1423" s="50" t="s">
        <v>8883</v>
      </c>
      <c r="B1423" s="50" t="s">
        <v>9687</v>
      </c>
      <c r="C1423" s="50" t="s">
        <v>6457</v>
      </c>
      <c r="D1423" s="17" t="s">
        <v>8913</v>
      </c>
    </row>
    <row r="1424" spans="1:4" ht="18">
      <c r="A1424" s="50" t="s">
        <v>8888</v>
      </c>
      <c r="B1424" s="50" t="s">
        <v>9690</v>
      </c>
      <c r="C1424" s="50" t="s">
        <v>8764</v>
      </c>
      <c r="D1424" s="17" t="s">
        <v>8912</v>
      </c>
    </row>
    <row r="1425" spans="1:4" ht="18">
      <c r="A1425" s="50" t="s">
        <v>8874</v>
      </c>
      <c r="B1425" s="50" t="s">
        <v>9680</v>
      </c>
      <c r="C1425" s="50" t="s">
        <v>6457</v>
      </c>
      <c r="D1425" s="17" t="s">
        <v>8912</v>
      </c>
    </row>
    <row r="1426" spans="1:4" ht="18">
      <c r="A1426" s="50" t="s">
        <v>8892</v>
      </c>
      <c r="B1426" s="50" t="s">
        <v>9692</v>
      </c>
      <c r="C1426" s="50" t="s">
        <v>8764</v>
      </c>
      <c r="D1426" s="17" t="s">
        <v>8912</v>
      </c>
    </row>
    <row r="1427" spans="1:4" ht="18">
      <c r="A1427" s="50" t="s">
        <v>8875</v>
      </c>
      <c r="B1427" s="50" t="s">
        <v>9681</v>
      </c>
      <c r="C1427" s="50" t="s">
        <v>8764</v>
      </c>
      <c r="D1427" s="17" t="s">
        <v>8912</v>
      </c>
    </row>
    <row r="1428" spans="1:4" ht="18">
      <c r="A1428" s="50" t="s">
        <v>8893</v>
      </c>
      <c r="B1428" s="50" t="s">
        <v>9693</v>
      </c>
      <c r="C1428" s="50" t="s">
        <v>8621</v>
      </c>
      <c r="D1428" s="17" t="s">
        <v>8912</v>
      </c>
    </row>
    <row r="1429" spans="1:4" ht="18">
      <c r="A1429" s="50" t="s">
        <v>8894</v>
      </c>
      <c r="B1429" s="50" t="s">
        <v>9694</v>
      </c>
      <c r="C1429" s="50" t="s">
        <v>8695</v>
      </c>
      <c r="D1429" s="17" t="s">
        <v>8913</v>
      </c>
    </row>
    <row r="1430" spans="1:4" ht="18">
      <c r="A1430" s="50" t="s">
        <v>8868</v>
      </c>
      <c r="B1430" s="50" t="s">
        <v>9676</v>
      </c>
      <c r="C1430" s="50" t="s">
        <v>8770</v>
      </c>
      <c r="D1430" s="17" t="s">
        <v>8913</v>
      </c>
    </row>
    <row r="1431" spans="1:4" ht="18">
      <c r="A1431" s="50" t="s">
        <v>8879</v>
      </c>
      <c r="B1431" s="50" t="s">
        <v>9684</v>
      </c>
      <c r="C1431" s="50" t="s">
        <v>8788</v>
      </c>
      <c r="D1431" s="17" t="s">
        <v>8912</v>
      </c>
    </row>
    <row r="1432" spans="1:4" ht="18">
      <c r="A1432" s="50" t="s">
        <v>8895</v>
      </c>
      <c r="B1432" s="50" t="s">
        <v>9695</v>
      </c>
      <c r="C1432" s="50" t="s">
        <v>8770</v>
      </c>
      <c r="D1432" s="17" t="s">
        <v>8912</v>
      </c>
    </row>
    <row r="1433" spans="1:4" ht="18">
      <c r="A1433" s="50" t="s">
        <v>8869</v>
      </c>
      <c r="B1433" s="50" t="s">
        <v>9677</v>
      </c>
      <c r="C1433" s="50" t="s">
        <v>8824</v>
      </c>
      <c r="D1433" s="17" t="s">
        <v>8912</v>
      </c>
    </row>
    <row r="1434" spans="1:4" ht="18">
      <c r="A1434" s="50" t="s">
        <v>8895</v>
      </c>
      <c r="B1434" s="50" t="s">
        <v>9695</v>
      </c>
      <c r="C1434" s="50" t="s">
        <v>8770</v>
      </c>
      <c r="D1434" s="17" t="s">
        <v>8912</v>
      </c>
    </row>
    <row r="1435" spans="1:4" ht="18">
      <c r="A1435" s="50" t="s">
        <v>8874</v>
      </c>
      <c r="B1435" s="50" t="s">
        <v>9680</v>
      </c>
      <c r="C1435" s="50" t="s">
        <v>6457</v>
      </c>
      <c r="D1435" s="17" t="s">
        <v>8912</v>
      </c>
    </row>
    <row r="1436" spans="1:4" ht="18">
      <c r="A1436" s="50" t="s">
        <v>8884</v>
      </c>
      <c r="B1436" s="50" t="s">
        <v>9688</v>
      </c>
      <c r="C1436" s="50" t="s">
        <v>8764</v>
      </c>
      <c r="D1436" s="17" t="s">
        <v>8913</v>
      </c>
    </row>
    <row r="1437" spans="1:4" ht="18">
      <c r="A1437" s="50" t="s">
        <v>8871</v>
      </c>
      <c r="B1437" s="50" t="s">
        <v>9679</v>
      </c>
      <c r="C1437" s="50" t="s">
        <v>8767</v>
      </c>
      <c r="D1437" s="17" t="s">
        <v>8912</v>
      </c>
    </row>
    <row r="1438" spans="1:4" ht="18">
      <c r="A1438" s="50" t="s">
        <v>8880</v>
      </c>
      <c r="B1438" s="50" t="s">
        <v>9685</v>
      </c>
      <c r="C1438" s="50" t="s">
        <v>8830</v>
      </c>
      <c r="D1438" s="17" t="s">
        <v>8913</v>
      </c>
    </row>
    <row r="1439" spans="1:4" ht="18">
      <c r="A1439" s="50" t="s">
        <v>8880</v>
      </c>
      <c r="B1439" s="50" t="s">
        <v>9685</v>
      </c>
      <c r="C1439" s="50" t="s">
        <v>8830</v>
      </c>
      <c r="D1439" s="17" t="s">
        <v>8913</v>
      </c>
    </row>
    <row r="1440" spans="1:4" ht="18">
      <c r="A1440" s="50" t="s">
        <v>8897</v>
      </c>
      <c r="B1440" s="50" t="s">
        <v>9696</v>
      </c>
      <c r="C1440" s="50" t="s">
        <v>8898</v>
      </c>
      <c r="D1440" s="17" t="s">
        <v>8913</v>
      </c>
    </row>
    <row r="1441" spans="1:4" ht="18">
      <c r="A1441" s="50" t="s">
        <v>8899</v>
      </c>
      <c r="B1441" s="50" t="s">
        <v>9697</v>
      </c>
      <c r="C1441" s="50" t="s">
        <v>8621</v>
      </c>
      <c r="D1441" s="17" t="s">
        <v>8913</v>
      </c>
    </row>
    <row r="1442" spans="1:4" ht="18">
      <c r="A1442" s="50" t="s">
        <v>8886</v>
      </c>
      <c r="B1442" s="50" t="s">
        <v>9689</v>
      </c>
      <c r="C1442" s="50" t="s">
        <v>8767</v>
      </c>
      <c r="D1442" s="17" t="s">
        <v>8913</v>
      </c>
    </row>
    <row r="1443" spans="1:4" ht="18">
      <c r="A1443" s="50" t="s">
        <v>8897</v>
      </c>
      <c r="B1443" s="50" t="s">
        <v>9696</v>
      </c>
      <c r="C1443" s="50" t="s">
        <v>8898</v>
      </c>
      <c r="D1443" s="17" t="s">
        <v>8913</v>
      </c>
    </row>
    <row r="1444" spans="1:4" ht="18">
      <c r="A1444" s="50" t="s">
        <v>8899</v>
      </c>
      <c r="B1444" s="50" t="s">
        <v>9697</v>
      </c>
      <c r="C1444" s="50" t="s">
        <v>8621</v>
      </c>
      <c r="D1444" s="17" t="s">
        <v>8913</v>
      </c>
    </row>
    <row r="1445" spans="1:4" ht="18">
      <c r="A1445" s="50" t="s">
        <v>8886</v>
      </c>
      <c r="B1445" s="50" t="s">
        <v>9689</v>
      </c>
      <c r="C1445" s="50" t="s">
        <v>8767</v>
      </c>
      <c r="D1445" s="17" t="s">
        <v>8913</v>
      </c>
    </row>
    <row r="1446" spans="1:4" ht="18">
      <c r="A1446" s="50" t="s">
        <v>8897</v>
      </c>
      <c r="B1446" s="50" t="s">
        <v>9696</v>
      </c>
      <c r="C1446" s="50" t="s">
        <v>8898</v>
      </c>
      <c r="D1446" s="17" t="s">
        <v>8913</v>
      </c>
    </row>
    <row r="1447" spans="1:4" ht="18">
      <c r="A1447" s="50" t="s">
        <v>8897</v>
      </c>
      <c r="B1447" s="50" t="s">
        <v>9696</v>
      </c>
      <c r="C1447" s="50" t="s">
        <v>8898</v>
      </c>
      <c r="D1447" s="17" t="s">
        <v>8913</v>
      </c>
    </row>
    <row r="1448" spans="1:4" ht="18">
      <c r="A1448" s="50" t="s">
        <v>8899</v>
      </c>
      <c r="B1448" s="50" t="s">
        <v>9697</v>
      </c>
      <c r="C1448" s="50" t="s">
        <v>8621</v>
      </c>
      <c r="D1448" s="17" t="s">
        <v>8913</v>
      </c>
    </row>
    <row r="1449" spans="1:4" ht="18">
      <c r="A1449" s="50" t="s">
        <v>8886</v>
      </c>
      <c r="B1449" s="50" t="s">
        <v>9689</v>
      </c>
      <c r="C1449" s="50" t="s">
        <v>8767</v>
      </c>
      <c r="D1449" s="17" t="s">
        <v>8913</v>
      </c>
    </row>
    <row r="1450" spans="1:4" ht="18">
      <c r="A1450" s="50" t="s">
        <v>8897</v>
      </c>
      <c r="B1450" s="50" t="s">
        <v>9696</v>
      </c>
      <c r="C1450" s="50" t="s">
        <v>8898</v>
      </c>
      <c r="D1450" s="17" t="s">
        <v>8913</v>
      </c>
    </row>
    <row r="1451" spans="1:4" ht="18">
      <c r="A1451" s="50" t="s">
        <v>8899</v>
      </c>
      <c r="B1451" s="50" t="s">
        <v>9697</v>
      </c>
      <c r="C1451" s="50" t="s">
        <v>8621</v>
      </c>
      <c r="D1451" s="17" t="s">
        <v>8913</v>
      </c>
    </row>
    <row r="1452" spans="1:4" ht="18">
      <c r="A1452" s="50" t="s">
        <v>8901</v>
      </c>
      <c r="B1452" s="50" t="s">
        <v>9698</v>
      </c>
      <c r="C1452" s="50" t="s">
        <v>8767</v>
      </c>
      <c r="D1452" s="17" t="s">
        <v>8912</v>
      </c>
    </row>
    <row r="1453" spans="1:4" ht="18">
      <c r="A1453" s="50" t="s">
        <v>8902</v>
      </c>
      <c r="B1453" s="50" t="s">
        <v>9699</v>
      </c>
      <c r="C1453" s="50" t="s">
        <v>8898</v>
      </c>
      <c r="D1453" s="17" t="s">
        <v>8912</v>
      </c>
    </row>
    <row r="1454" spans="1:4" ht="18">
      <c r="A1454" s="50" t="s">
        <v>8864</v>
      </c>
      <c r="B1454" s="50" t="s">
        <v>9675</v>
      </c>
      <c r="C1454" s="50" t="s">
        <v>8855</v>
      </c>
      <c r="D1454" s="17" t="s">
        <v>8913</v>
      </c>
    </row>
    <row r="1455" spans="1:4" ht="18">
      <c r="A1455" s="50" t="s">
        <v>8864</v>
      </c>
      <c r="B1455" s="50" t="s">
        <v>9675</v>
      </c>
      <c r="C1455" s="50" t="s">
        <v>8855</v>
      </c>
      <c r="D1455" s="17" t="s">
        <v>8913</v>
      </c>
    </row>
    <row r="1456" spans="1:4" ht="18">
      <c r="A1456" s="50" t="s">
        <v>8880</v>
      </c>
      <c r="B1456" s="50" t="s">
        <v>9685</v>
      </c>
      <c r="C1456" s="50" t="s">
        <v>8830</v>
      </c>
      <c r="D1456" s="17" t="s">
        <v>8913</v>
      </c>
    </row>
    <row r="1457" spans="1:4" ht="18">
      <c r="A1457" s="50" t="s">
        <v>8879</v>
      </c>
      <c r="B1457" s="50" t="s">
        <v>9684</v>
      </c>
      <c r="C1457" s="50" t="s">
        <v>8788</v>
      </c>
      <c r="D1457" s="17" t="s">
        <v>8912</v>
      </c>
    </row>
    <row r="1458" spans="1:4" ht="18">
      <c r="A1458" s="50" t="s">
        <v>8903</v>
      </c>
      <c r="B1458" s="50" t="s">
        <v>9700</v>
      </c>
      <c r="C1458" s="50" t="s">
        <v>8617</v>
      </c>
      <c r="D1458" s="17" t="s">
        <v>8913</v>
      </c>
    </row>
    <row r="1459" spans="1:4" ht="18">
      <c r="A1459" s="50" t="s">
        <v>8903</v>
      </c>
      <c r="B1459" s="50" t="s">
        <v>9700</v>
      </c>
      <c r="C1459" s="50" t="s">
        <v>8617</v>
      </c>
      <c r="D1459" s="17" t="s">
        <v>8913</v>
      </c>
    </row>
    <row r="1460" spans="1:4" ht="18">
      <c r="A1460" s="50" t="s">
        <v>8903</v>
      </c>
      <c r="B1460" s="50" t="s">
        <v>9700</v>
      </c>
      <c r="C1460" s="50" t="s">
        <v>8617</v>
      </c>
      <c r="D1460" s="17" t="s">
        <v>8913</v>
      </c>
    </row>
    <row r="1461" spans="1:4" ht="18">
      <c r="A1461" s="50" t="s">
        <v>8868</v>
      </c>
      <c r="B1461" s="50" t="s">
        <v>9676</v>
      </c>
      <c r="C1461" s="50" t="s">
        <v>8770</v>
      </c>
      <c r="D1461" s="17" t="s">
        <v>8913</v>
      </c>
    </row>
    <row r="1462" spans="1:4" ht="18">
      <c r="A1462" s="50" t="s">
        <v>8904</v>
      </c>
      <c r="B1462" s="50" t="s">
        <v>9701</v>
      </c>
      <c r="C1462" s="50" t="s">
        <v>8793</v>
      </c>
      <c r="D1462" s="17" t="s">
        <v>8912</v>
      </c>
    </row>
    <row r="1463" spans="1:4" ht="18">
      <c r="A1463" s="50" t="s">
        <v>8905</v>
      </c>
      <c r="B1463" s="50" t="s">
        <v>9702</v>
      </c>
      <c r="C1463" s="50" t="s">
        <v>8788</v>
      </c>
      <c r="D1463" s="17" t="s">
        <v>8912</v>
      </c>
    </row>
    <row r="1464" spans="1:4" ht="18">
      <c r="A1464" s="50" t="s">
        <v>8906</v>
      </c>
      <c r="B1464" s="50" t="s">
        <v>9703</v>
      </c>
      <c r="C1464" s="50" t="s">
        <v>8898</v>
      </c>
      <c r="D1464" s="17" t="s">
        <v>8912</v>
      </c>
    </row>
    <row r="1465" spans="1:4" ht="18">
      <c r="A1465" s="50" t="s">
        <v>8880</v>
      </c>
      <c r="B1465" s="50" t="s">
        <v>9685</v>
      </c>
      <c r="C1465" s="50" t="s">
        <v>8830</v>
      </c>
      <c r="D1465" s="17" t="s">
        <v>8913</v>
      </c>
    </row>
    <row r="1466" spans="1:4" ht="18">
      <c r="A1466" s="50" t="s">
        <v>8907</v>
      </c>
      <c r="B1466" s="50" t="s">
        <v>9704</v>
      </c>
      <c r="C1466" s="50" t="s">
        <v>8617</v>
      </c>
      <c r="D1466" s="17" t="s">
        <v>8912</v>
      </c>
    </row>
    <row r="1467" spans="1:4" ht="18">
      <c r="A1467" s="50" t="s">
        <v>8889</v>
      </c>
      <c r="B1467" s="50" t="s">
        <v>9691</v>
      </c>
      <c r="C1467" s="50" t="s">
        <v>8617</v>
      </c>
      <c r="D1467" s="17" t="s">
        <v>8913</v>
      </c>
    </row>
    <row r="1468" spans="1:4" ht="18">
      <c r="A1468" s="50" t="s">
        <v>8908</v>
      </c>
      <c r="B1468" s="50" t="s">
        <v>9705</v>
      </c>
      <c r="C1468" s="50" t="s">
        <v>8824</v>
      </c>
      <c r="D1468" s="17" t="s">
        <v>8913</v>
      </c>
    </row>
    <row r="1469" spans="1:4" ht="18">
      <c r="A1469" s="50" t="s">
        <v>8908</v>
      </c>
      <c r="B1469" s="50" t="s">
        <v>9705</v>
      </c>
      <c r="C1469" s="50" t="s">
        <v>8824</v>
      </c>
      <c r="D1469" s="17" t="s">
        <v>8913</v>
      </c>
    </row>
    <row r="1470" spans="1:4" ht="18">
      <c r="A1470" s="50" t="s">
        <v>8908</v>
      </c>
      <c r="B1470" s="50" t="s">
        <v>9705</v>
      </c>
      <c r="C1470" s="50" t="s">
        <v>8824</v>
      </c>
      <c r="D1470" s="17" t="s">
        <v>8913</v>
      </c>
    </row>
    <row r="1471" spans="1:4" ht="18">
      <c r="A1471" s="50" t="s">
        <v>8910</v>
      </c>
      <c r="B1471" s="50" t="s">
        <v>9706</v>
      </c>
      <c r="C1471" s="50" t="s">
        <v>8636</v>
      </c>
      <c r="D1471" s="17" t="s">
        <v>8912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87"/>
  <sheetViews>
    <sheetView rightToLeft="1" topLeftCell="A97" workbookViewId="0">
      <selection activeCell="A2" sqref="A2:A4487"/>
    </sheetView>
  </sheetViews>
  <sheetFormatPr defaultRowHeight="14.25"/>
  <cols>
    <col min="9" max="9" width="12.25" bestFit="1" customWidth="1"/>
    <col min="10" max="10" width="12.25" style="1" customWidth="1"/>
  </cols>
  <sheetData>
    <row r="1" spans="1:11">
      <c r="B1" s="127" t="s">
        <v>10174</v>
      </c>
      <c r="C1" s="127" t="s">
        <v>10175</v>
      </c>
      <c r="D1" s="128"/>
      <c r="E1" s="127" t="s">
        <v>10176</v>
      </c>
      <c r="F1" s="127" t="s">
        <v>10177</v>
      </c>
      <c r="G1" s="127" t="s">
        <v>5603</v>
      </c>
      <c r="H1" s="129" t="s">
        <v>10178</v>
      </c>
      <c r="I1" s="127" t="s">
        <v>10179</v>
      </c>
      <c r="J1" s="127"/>
      <c r="K1" s="130" t="s">
        <v>10180</v>
      </c>
    </row>
    <row r="2" spans="1:11">
      <c r="A2" t="str">
        <f>B2&amp;J2&amp;K2</f>
        <v>50100-823152395-951500342200000</v>
      </c>
      <c r="B2" s="131" t="s">
        <v>4402</v>
      </c>
      <c r="C2" s="131" t="s">
        <v>10181</v>
      </c>
      <c r="D2" s="132" t="s">
        <v>3420</v>
      </c>
      <c r="E2" s="131" t="s">
        <v>4442</v>
      </c>
      <c r="F2" s="131" t="s">
        <v>4442</v>
      </c>
      <c r="G2" s="133">
        <v>1395438159001</v>
      </c>
      <c r="H2" s="134" t="s">
        <v>6298</v>
      </c>
      <c r="I2" s="131">
        <v>951500342</v>
      </c>
      <c r="J2" s="131" t="s">
        <v>4469</v>
      </c>
      <c r="K2" s="135">
        <v>200000</v>
      </c>
    </row>
    <row r="3" spans="1:11">
      <c r="A3" s="1" t="str">
        <f t="shared" ref="A3:A66" si="0">B3&amp;J3&amp;K3</f>
        <v>50100-732547395-952500002255391</v>
      </c>
      <c r="B3" s="136" t="s">
        <v>2947</v>
      </c>
      <c r="C3" s="136" t="s">
        <v>10182</v>
      </c>
      <c r="D3" s="132" t="s">
        <v>3420</v>
      </c>
      <c r="E3" s="136" t="s">
        <v>2866</v>
      </c>
      <c r="F3" s="136" t="s">
        <v>2866</v>
      </c>
      <c r="G3" s="137">
        <v>1394394801001</v>
      </c>
      <c r="H3" s="138" t="s">
        <v>10183</v>
      </c>
      <c r="I3" s="136">
        <v>952500002</v>
      </c>
      <c r="J3" s="131" t="s">
        <v>2804</v>
      </c>
      <c r="K3" s="139">
        <v>255391</v>
      </c>
    </row>
    <row r="4" spans="1:11">
      <c r="A4" s="1" t="str">
        <f t="shared" si="0"/>
        <v>15100-31372995-95150010469717</v>
      </c>
      <c r="B4" s="136" t="s">
        <v>3423</v>
      </c>
      <c r="C4" s="136" t="s">
        <v>10184</v>
      </c>
      <c r="D4" s="132" t="s">
        <v>3420</v>
      </c>
      <c r="E4" s="136" t="s">
        <v>3451</v>
      </c>
      <c r="F4" s="136" t="s">
        <v>3451</v>
      </c>
      <c r="G4" s="137">
        <v>1395397985001</v>
      </c>
      <c r="H4" s="138" t="s">
        <v>6298</v>
      </c>
      <c r="I4" s="136">
        <v>951500104</v>
      </c>
      <c r="J4" s="131" t="s">
        <v>3466</v>
      </c>
      <c r="K4" s="139">
        <v>69717</v>
      </c>
    </row>
    <row r="5" spans="1:11">
      <c r="A5" s="1" t="str">
        <f t="shared" si="0"/>
        <v>50100-823152395-951500479102000</v>
      </c>
      <c r="B5" s="136" t="s">
        <v>4402</v>
      </c>
      <c r="C5" s="136" t="s">
        <v>10181</v>
      </c>
      <c r="D5" s="132" t="s">
        <v>3420</v>
      </c>
      <c r="E5" s="136" t="s">
        <v>4442</v>
      </c>
      <c r="F5" s="136" t="s">
        <v>4442</v>
      </c>
      <c r="G5" s="137">
        <v>1395449892001</v>
      </c>
      <c r="H5" s="138" t="s">
        <v>6454</v>
      </c>
      <c r="I5" s="136">
        <v>951500479</v>
      </c>
      <c r="J5" s="131" t="s">
        <v>4461</v>
      </c>
      <c r="K5" s="139">
        <v>102000</v>
      </c>
    </row>
    <row r="6" spans="1:11">
      <c r="A6" s="1" t="str">
        <f t="shared" si="0"/>
        <v>50100-745693595-9515001539350</v>
      </c>
      <c r="B6" s="136" t="s">
        <v>3229</v>
      </c>
      <c r="C6" s="136" t="s">
        <v>10185</v>
      </c>
      <c r="D6" s="132" t="s">
        <v>3420</v>
      </c>
      <c r="E6" s="136" t="s">
        <v>3208</v>
      </c>
      <c r="F6" s="136" t="s">
        <v>3208</v>
      </c>
      <c r="G6" s="137">
        <v>1395399149001</v>
      </c>
      <c r="H6" s="138" t="s">
        <v>10186</v>
      </c>
      <c r="I6" s="136">
        <v>951500153</v>
      </c>
      <c r="J6" s="131" t="s">
        <v>3106</v>
      </c>
      <c r="K6" s="139">
        <v>9350</v>
      </c>
    </row>
    <row r="7" spans="1:11">
      <c r="A7" s="1" t="str">
        <f t="shared" si="0"/>
        <v>50100-716645194-9415006399559</v>
      </c>
      <c r="B7" s="136" t="s">
        <v>2592</v>
      </c>
      <c r="C7" s="136" t="s">
        <v>10187</v>
      </c>
      <c r="D7" s="132" t="s">
        <v>3420</v>
      </c>
      <c r="E7" s="136" t="s">
        <v>2612</v>
      </c>
      <c r="F7" s="136" t="s">
        <v>2612</v>
      </c>
      <c r="G7" s="137">
        <v>1394389331001</v>
      </c>
      <c r="H7" s="138" t="s">
        <v>10183</v>
      </c>
      <c r="I7" s="136">
        <v>941500639</v>
      </c>
      <c r="J7" s="131" t="s">
        <v>7063</v>
      </c>
      <c r="K7" s="139">
        <v>9559</v>
      </c>
    </row>
    <row r="8" spans="1:11">
      <c r="A8" s="1" t="str">
        <f t="shared" si="0"/>
        <v>15100-39577395-952500105109967</v>
      </c>
      <c r="B8" s="136" t="s">
        <v>4829</v>
      </c>
      <c r="C8" s="136" t="s">
        <v>10188</v>
      </c>
      <c r="D8" s="132" t="s">
        <v>3420</v>
      </c>
      <c r="E8" s="136" t="s">
        <v>4876</v>
      </c>
      <c r="F8" s="136" t="s">
        <v>4876</v>
      </c>
      <c r="G8" s="137">
        <v>1395462017001</v>
      </c>
      <c r="H8" s="138" t="s">
        <v>6298</v>
      </c>
      <c r="I8" s="136">
        <v>952500105</v>
      </c>
      <c r="J8" s="131" t="s">
        <v>4950</v>
      </c>
      <c r="K8" s="139">
        <v>109967</v>
      </c>
    </row>
    <row r="9" spans="1:11">
      <c r="A9" s="1" t="str">
        <f t="shared" si="0"/>
        <v>15100-26785694-941500783114150</v>
      </c>
      <c r="B9" s="136" t="s">
        <v>10189</v>
      </c>
      <c r="C9" s="136" t="s">
        <v>10190</v>
      </c>
      <c r="D9" s="132" t="s">
        <v>3420</v>
      </c>
      <c r="E9" s="136" t="s">
        <v>2851</v>
      </c>
      <c r="F9" s="136" t="s">
        <v>2851</v>
      </c>
      <c r="G9" s="137">
        <v>1394394178001</v>
      </c>
      <c r="H9" s="138" t="s">
        <v>6298</v>
      </c>
      <c r="I9" s="136">
        <v>941500783</v>
      </c>
      <c r="J9" s="131" t="s">
        <v>2761</v>
      </c>
      <c r="K9" s="139">
        <v>114150</v>
      </c>
    </row>
    <row r="10" spans="1:11">
      <c r="A10" s="1" t="str">
        <f t="shared" si="0"/>
        <v>50100-758908195-9515001741791</v>
      </c>
      <c r="B10" s="136" t="s">
        <v>3310</v>
      </c>
      <c r="C10" s="136" t="s">
        <v>10191</v>
      </c>
      <c r="D10" s="132" t="s">
        <v>3420</v>
      </c>
      <c r="E10" s="136" t="s">
        <v>3324</v>
      </c>
      <c r="F10" s="136" t="s">
        <v>3324</v>
      </c>
      <c r="G10" s="137">
        <v>1395400303001</v>
      </c>
      <c r="H10" s="138" t="s">
        <v>6453</v>
      </c>
      <c r="I10" s="136">
        <v>951500174</v>
      </c>
      <c r="J10" s="131" t="s">
        <v>3345</v>
      </c>
      <c r="K10" s="139">
        <v>1791</v>
      </c>
    </row>
    <row r="11" spans="1:11">
      <c r="A11" s="1" t="str">
        <f t="shared" si="0"/>
        <v>50100-758908195-951500182495069</v>
      </c>
      <c r="B11" s="136" t="s">
        <v>3310</v>
      </c>
      <c r="C11" s="136" t="s">
        <v>10191</v>
      </c>
      <c r="D11" s="132" t="s">
        <v>3420</v>
      </c>
      <c r="E11" s="136" t="s">
        <v>3324</v>
      </c>
      <c r="F11" s="136" t="s">
        <v>3324</v>
      </c>
      <c r="G11" s="137">
        <v>1395400303001</v>
      </c>
      <c r="H11" s="138" t="s">
        <v>6453</v>
      </c>
      <c r="I11" s="136">
        <v>951500182</v>
      </c>
      <c r="J11" s="131" t="s">
        <v>3349</v>
      </c>
      <c r="K11" s="139">
        <v>495069</v>
      </c>
    </row>
    <row r="12" spans="1:11">
      <c r="A12" s="1" t="str">
        <f t="shared" si="0"/>
        <v>50100-749689495-95250001742568</v>
      </c>
      <c r="B12" s="136" t="s">
        <v>3226</v>
      </c>
      <c r="C12" s="136" t="s">
        <v>10192</v>
      </c>
      <c r="D12" s="132" t="s">
        <v>3420</v>
      </c>
      <c r="E12" s="136" t="s">
        <v>3241</v>
      </c>
      <c r="F12" s="136" t="s">
        <v>3241</v>
      </c>
      <c r="G12" s="137">
        <v>1395397987001</v>
      </c>
      <c r="H12" s="138" t="s">
        <v>10183</v>
      </c>
      <c r="I12" s="136">
        <v>952500017</v>
      </c>
      <c r="J12" s="131" t="s">
        <v>3249</v>
      </c>
      <c r="K12" s="139">
        <v>42568</v>
      </c>
    </row>
    <row r="13" spans="1:11">
      <c r="A13" s="1" t="str">
        <f t="shared" si="0"/>
        <v>50100-735971294-94150060810854</v>
      </c>
      <c r="B13" s="136" t="s">
        <v>2939</v>
      </c>
      <c r="C13" s="136" t="s">
        <v>10193</v>
      </c>
      <c r="D13" s="132" t="s">
        <v>3420</v>
      </c>
      <c r="E13" s="136" t="s">
        <v>3049</v>
      </c>
      <c r="F13" s="136" t="s">
        <v>3049</v>
      </c>
      <c r="G13" s="137">
        <v>1394389329001</v>
      </c>
      <c r="H13" s="138" t="s">
        <v>6298</v>
      </c>
      <c r="I13" s="136">
        <v>941500608</v>
      </c>
      <c r="J13" s="131" t="s">
        <v>2586</v>
      </c>
      <c r="K13" s="139">
        <v>10854</v>
      </c>
    </row>
    <row r="14" spans="1:11">
      <c r="A14" s="1" t="str">
        <f t="shared" si="0"/>
        <v>50100-758065195-95150018226040</v>
      </c>
      <c r="B14" s="136" t="s">
        <v>3304</v>
      </c>
      <c r="C14" s="136" t="s">
        <v>10194</v>
      </c>
      <c r="D14" s="132" t="s">
        <v>3420</v>
      </c>
      <c r="E14" s="136" t="s">
        <v>3326</v>
      </c>
      <c r="F14" s="136" t="s">
        <v>3326</v>
      </c>
      <c r="G14" s="137">
        <v>1395400303001</v>
      </c>
      <c r="H14" s="138" t="s">
        <v>6453</v>
      </c>
      <c r="I14" s="136">
        <v>951500182</v>
      </c>
      <c r="J14" s="131" t="s">
        <v>3349</v>
      </c>
      <c r="K14" s="139">
        <v>26040</v>
      </c>
    </row>
    <row r="15" spans="1:11">
      <c r="A15" s="1" t="str">
        <f t="shared" si="0"/>
        <v>50100-732761095-951500106969500</v>
      </c>
      <c r="B15" s="136" t="s">
        <v>2973</v>
      </c>
      <c r="C15" s="136" t="s">
        <v>10195</v>
      </c>
      <c r="D15" s="132" t="s">
        <v>3420</v>
      </c>
      <c r="E15" s="136" t="s">
        <v>2866</v>
      </c>
      <c r="F15" s="136" t="s">
        <v>2866</v>
      </c>
      <c r="G15" s="137">
        <v>1395397990001</v>
      </c>
      <c r="H15" s="138" t="s">
        <v>6456</v>
      </c>
      <c r="I15" s="136">
        <v>951500106</v>
      </c>
      <c r="J15" s="131" t="s">
        <v>3131</v>
      </c>
      <c r="K15" s="139">
        <v>969500</v>
      </c>
    </row>
    <row r="16" spans="1:11">
      <c r="A16" s="1" t="str">
        <f t="shared" si="0"/>
        <v>15100-30848695-951500145303580</v>
      </c>
      <c r="B16" s="136" t="s">
        <v>10196</v>
      </c>
      <c r="C16" s="136" t="s">
        <v>10197</v>
      </c>
      <c r="D16" s="132" t="s">
        <v>3420</v>
      </c>
      <c r="E16" s="136" t="s">
        <v>3399</v>
      </c>
      <c r="F16" s="136" t="s">
        <v>3399</v>
      </c>
      <c r="G16" s="137">
        <v>1395401420001</v>
      </c>
      <c r="H16" s="138" t="s">
        <v>6298</v>
      </c>
      <c r="I16" s="136">
        <v>951500145</v>
      </c>
      <c r="J16" s="131" t="s">
        <v>3419</v>
      </c>
      <c r="K16" s="139">
        <v>303580</v>
      </c>
    </row>
    <row r="17" spans="1:11">
      <c r="A17" s="1" t="str">
        <f t="shared" si="0"/>
        <v>50100-727257195-95150010023480</v>
      </c>
      <c r="B17" s="136" t="s">
        <v>2920</v>
      </c>
      <c r="C17" s="136" t="s">
        <v>10198</v>
      </c>
      <c r="D17" s="132" t="s">
        <v>3420</v>
      </c>
      <c r="E17" s="136" t="s">
        <v>2856</v>
      </c>
      <c r="F17" s="136" t="s">
        <v>2856</v>
      </c>
      <c r="G17" s="137">
        <v>1394395847001</v>
      </c>
      <c r="H17" s="138" t="s">
        <v>10183</v>
      </c>
      <c r="I17" s="136">
        <v>951500100</v>
      </c>
      <c r="J17" s="131" t="s">
        <v>2813</v>
      </c>
      <c r="K17" s="139">
        <v>23480</v>
      </c>
    </row>
    <row r="18" spans="1:11">
      <c r="A18" s="1" t="str">
        <f t="shared" si="0"/>
        <v>50100-824554895-9525000712495</v>
      </c>
      <c r="B18" s="136" t="s">
        <v>4529</v>
      </c>
      <c r="C18" s="136" t="s">
        <v>10199</v>
      </c>
      <c r="D18" s="132" t="s">
        <v>3420</v>
      </c>
      <c r="E18" s="136" t="s">
        <v>4574</v>
      </c>
      <c r="F18" s="136" t="s">
        <v>4574</v>
      </c>
      <c r="G18" s="137">
        <v>1395452682001</v>
      </c>
      <c r="H18" s="138" t="s">
        <v>10183</v>
      </c>
      <c r="I18" s="136">
        <v>952500071</v>
      </c>
      <c r="J18" s="131" t="s">
        <v>4474</v>
      </c>
      <c r="K18" s="139">
        <v>2495</v>
      </c>
    </row>
    <row r="19" spans="1:11">
      <c r="A19" s="1" t="str">
        <f t="shared" si="0"/>
        <v>50100-733377395-951500029645920</v>
      </c>
      <c r="B19" s="136" t="s">
        <v>2917</v>
      </c>
      <c r="C19" s="136" t="s">
        <v>10200</v>
      </c>
      <c r="D19" s="132" t="s">
        <v>3420</v>
      </c>
      <c r="E19" s="136" t="s">
        <v>3040</v>
      </c>
      <c r="F19" s="136" t="s">
        <v>3040</v>
      </c>
      <c r="G19" s="137">
        <v>1395397985001</v>
      </c>
      <c r="H19" s="138" t="s">
        <v>6298</v>
      </c>
      <c r="I19" s="136">
        <v>951500029</v>
      </c>
      <c r="J19" s="131" t="s">
        <v>3069</v>
      </c>
      <c r="K19" s="139">
        <v>645920</v>
      </c>
    </row>
    <row r="20" spans="1:11">
      <c r="A20" s="1" t="str">
        <f t="shared" si="0"/>
        <v>50100-738266394-94150024820290</v>
      </c>
      <c r="B20" s="136" t="s">
        <v>2916</v>
      </c>
      <c r="C20" s="136" t="s">
        <v>10201</v>
      </c>
      <c r="D20" s="132" t="s">
        <v>3420</v>
      </c>
      <c r="E20" s="136" t="s">
        <v>3050</v>
      </c>
      <c r="F20" s="136" t="s">
        <v>3050</v>
      </c>
      <c r="G20" s="137">
        <v>1394343980001</v>
      </c>
      <c r="H20" s="138" t="s">
        <v>6453</v>
      </c>
      <c r="I20" s="136">
        <v>941500248</v>
      </c>
      <c r="J20" s="131" t="s">
        <v>6678</v>
      </c>
      <c r="K20" s="139">
        <v>20290</v>
      </c>
    </row>
    <row r="21" spans="1:11">
      <c r="A21" s="1" t="str">
        <f t="shared" si="0"/>
        <v>50100-738266395-951500115425270</v>
      </c>
      <c r="B21" s="136" t="s">
        <v>2916</v>
      </c>
      <c r="C21" s="136" t="s">
        <v>10201</v>
      </c>
      <c r="D21" s="132" t="s">
        <v>3420</v>
      </c>
      <c r="E21" s="136" t="s">
        <v>3050</v>
      </c>
      <c r="F21" s="136" t="s">
        <v>3050</v>
      </c>
      <c r="G21" s="137">
        <v>1394395845001</v>
      </c>
      <c r="H21" s="138" t="s">
        <v>6453</v>
      </c>
      <c r="I21" s="136">
        <v>951500115</v>
      </c>
      <c r="J21" s="131" t="s">
        <v>3082</v>
      </c>
      <c r="K21" s="139">
        <v>425270</v>
      </c>
    </row>
    <row r="22" spans="1:11">
      <c r="A22" s="1" t="str">
        <f t="shared" si="0"/>
        <v>50100-727937095-951500036114750</v>
      </c>
      <c r="B22" s="136" t="s">
        <v>2924</v>
      </c>
      <c r="C22" s="136" t="s">
        <v>10202</v>
      </c>
      <c r="D22" s="132" t="s">
        <v>3420</v>
      </c>
      <c r="E22" s="136" t="s">
        <v>2860</v>
      </c>
      <c r="F22" s="136" t="s">
        <v>2860</v>
      </c>
      <c r="G22" s="137">
        <v>1394395847001</v>
      </c>
      <c r="H22" s="138" t="s">
        <v>10183</v>
      </c>
      <c r="I22" s="136">
        <v>951500036</v>
      </c>
      <c r="J22" s="131" t="s">
        <v>2811</v>
      </c>
      <c r="K22" s="139">
        <v>114750</v>
      </c>
    </row>
    <row r="23" spans="1:11">
      <c r="A23" s="1" t="str">
        <f t="shared" si="0"/>
        <v>50100-720354494-94150083838400</v>
      </c>
      <c r="B23" s="136" t="s">
        <v>2692</v>
      </c>
      <c r="C23" s="136" t="s">
        <v>10203</v>
      </c>
      <c r="D23" s="132" t="s">
        <v>3420</v>
      </c>
      <c r="E23" s="136" t="s">
        <v>2755</v>
      </c>
      <c r="F23" s="136" t="s">
        <v>2755</v>
      </c>
      <c r="G23" s="137">
        <v>1394395844001</v>
      </c>
      <c r="H23" s="138" t="s">
        <v>6298</v>
      </c>
      <c r="I23" s="136">
        <v>941500838</v>
      </c>
      <c r="J23" s="131" t="s">
        <v>2777</v>
      </c>
      <c r="K23" s="139">
        <v>38400</v>
      </c>
    </row>
    <row r="24" spans="1:11">
      <c r="A24" s="1" t="str">
        <f t="shared" si="0"/>
        <v>15100-35103195-95150040422960</v>
      </c>
      <c r="B24" s="136" t="s">
        <v>4086</v>
      </c>
      <c r="C24" s="136" t="s">
        <v>10204</v>
      </c>
      <c r="D24" s="132" t="s">
        <v>3420</v>
      </c>
      <c r="E24" s="136" t="s">
        <v>3934</v>
      </c>
      <c r="F24" s="136" t="s">
        <v>3934</v>
      </c>
      <c r="G24" s="137">
        <v>1395445412001</v>
      </c>
      <c r="H24" s="138" t="s">
        <v>6298</v>
      </c>
      <c r="I24" s="136">
        <v>951500404</v>
      </c>
      <c r="J24" s="131" t="s">
        <v>4265</v>
      </c>
      <c r="K24" s="139">
        <v>22960</v>
      </c>
    </row>
    <row r="25" spans="1:11">
      <c r="A25" s="1" t="str">
        <f t="shared" si="0"/>
        <v>50100-831738195-951500312998900</v>
      </c>
      <c r="B25" s="136" t="s">
        <v>4618</v>
      </c>
      <c r="C25" s="136" t="s">
        <v>10205</v>
      </c>
      <c r="D25" s="132" t="s">
        <v>3420</v>
      </c>
      <c r="E25" s="136" t="s">
        <v>4657</v>
      </c>
      <c r="F25" s="136" t="s">
        <v>4657</v>
      </c>
      <c r="G25" s="137">
        <v>1395435642001</v>
      </c>
      <c r="H25" s="138" t="s">
        <v>10206</v>
      </c>
      <c r="I25" s="136">
        <v>951500312</v>
      </c>
      <c r="J25" s="131" t="s">
        <v>4671</v>
      </c>
      <c r="K25" s="139">
        <v>998900</v>
      </c>
    </row>
    <row r="26" spans="1:11">
      <c r="A26" s="1" t="str">
        <f t="shared" si="0"/>
        <v>50100-824554895-952500078387225</v>
      </c>
      <c r="B26" s="136" t="s">
        <v>4529</v>
      </c>
      <c r="C26" s="136" t="s">
        <v>10199</v>
      </c>
      <c r="D26" s="132" t="s">
        <v>3420</v>
      </c>
      <c r="E26" s="136" t="s">
        <v>4574</v>
      </c>
      <c r="F26" s="136" t="s">
        <v>4574</v>
      </c>
      <c r="G26" s="137">
        <v>1395456621001</v>
      </c>
      <c r="H26" s="138" t="s">
        <v>10183</v>
      </c>
      <c r="I26" s="136">
        <v>952500078</v>
      </c>
      <c r="J26" s="131" t="s">
        <v>4584</v>
      </c>
      <c r="K26" s="139">
        <v>387225</v>
      </c>
    </row>
    <row r="27" spans="1:11">
      <c r="A27" s="1" t="str">
        <f t="shared" si="0"/>
        <v>50100-731070695-951500072670786</v>
      </c>
      <c r="B27" s="136" t="s">
        <v>2922</v>
      </c>
      <c r="C27" s="136" t="s">
        <v>10207</v>
      </c>
      <c r="D27" s="132" t="s">
        <v>3420</v>
      </c>
      <c r="E27" s="136" t="s">
        <v>2857</v>
      </c>
      <c r="F27" s="136" t="s">
        <v>2857</v>
      </c>
      <c r="G27" s="137">
        <v>1394395845001</v>
      </c>
      <c r="H27" s="138" t="s">
        <v>6453</v>
      </c>
      <c r="I27" s="136">
        <v>951500072</v>
      </c>
      <c r="J27" s="131" t="s">
        <v>3067</v>
      </c>
      <c r="K27" s="139">
        <v>670786</v>
      </c>
    </row>
    <row r="28" spans="1:11">
      <c r="A28" s="1" t="str">
        <f t="shared" si="0"/>
        <v>50100-822572495-951500422991970</v>
      </c>
      <c r="B28" s="136" t="s">
        <v>4405</v>
      </c>
      <c r="C28" s="136" t="s">
        <v>10208</v>
      </c>
      <c r="D28" s="132" t="s">
        <v>3420</v>
      </c>
      <c r="E28" s="136" t="s">
        <v>4444</v>
      </c>
      <c r="F28" s="136" t="s">
        <v>4444</v>
      </c>
      <c r="G28" s="137">
        <v>1395447375001</v>
      </c>
      <c r="H28" s="138" t="s">
        <v>6454</v>
      </c>
      <c r="I28" s="136">
        <v>951500422</v>
      </c>
      <c r="J28" s="131" t="s">
        <v>4467</v>
      </c>
      <c r="K28" s="139">
        <v>991970</v>
      </c>
    </row>
    <row r="29" spans="1:11">
      <c r="A29" s="1" t="str">
        <f t="shared" si="0"/>
        <v>50100-786862695-954200037659626</v>
      </c>
      <c r="B29" s="136" t="s">
        <v>3679</v>
      </c>
      <c r="C29" s="136" t="s">
        <v>10209</v>
      </c>
      <c r="D29" s="132" t="s">
        <v>3420</v>
      </c>
      <c r="E29" s="136" t="s">
        <v>3714</v>
      </c>
      <c r="F29" s="136" t="s">
        <v>3714</v>
      </c>
      <c r="G29" s="137">
        <v>1395434889001</v>
      </c>
      <c r="H29" s="138" t="s">
        <v>6298</v>
      </c>
      <c r="I29" s="136">
        <v>954200037</v>
      </c>
      <c r="J29" s="131" t="s">
        <v>3727</v>
      </c>
      <c r="K29" s="139">
        <v>659626</v>
      </c>
    </row>
    <row r="30" spans="1:11">
      <c r="A30" s="1" t="str">
        <f t="shared" si="0"/>
        <v>50100-758065195-951500176289660</v>
      </c>
      <c r="B30" s="136" t="s">
        <v>3304</v>
      </c>
      <c r="C30" s="136" t="s">
        <v>10194</v>
      </c>
      <c r="D30" s="132" t="s">
        <v>3420</v>
      </c>
      <c r="E30" s="136" t="s">
        <v>3326</v>
      </c>
      <c r="F30" s="136" t="s">
        <v>3326</v>
      </c>
      <c r="G30" s="137">
        <v>1395400303001</v>
      </c>
      <c r="H30" s="138" t="s">
        <v>6453</v>
      </c>
      <c r="I30" s="136">
        <v>951500176</v>
      </c>
      <c r="J30" s="131" t="s">
        <v>3340</v>
      </c>
      <c r="K30" s="139">
        <v>289660</v>
      </c>
    </row>
    <row r="31" spans="1:11">
      <c r="A31" s="1" t="str">
        <f t="shared" si="0"/>
        <v>50100-738266394-941500711293230</v>
      </c>
      <c r="B31" s="136" t="s">
        <v>2916</v>
      </c>
      <c r="C31" s="136" t="s">
        <v>10201</v>
      </c>
      <c r="D31" s="132" t="s">
        <v>3420</v>
      </c>
      <c r="E31" s="136" t="s">
        <v>3050</v>
      </c>
      <c r="F31" s="136" t="s">
        <v>3050</v>
      </c>
      <c r="G31" s="137">
        <v>1394392654001</v>
      </c>
      <c r="H31" s="138" t="s">
        <v>6453</v>
      </c>
      <c r="I31" s="136">
        <v>941500711</v>
      </c>
      <c r="J31" s="131" t="s">
        <v>6851</v>
      </c>
      <c r="K31" s="139">
        <v>293230</v>
      </c>
    </row>
    <row r="32" spans="1:11">
      <c r="A32" s="1" t="str">
        <f t="shared" si="0"/>
        <v>50100-833359095-951500479182945</v>
      </c>
      <c r="B32" s="136" t="s">
        <v>4632</v>
      </c>
      <c r="C32" s="136" t="s">
        <v>10210</v>
      </c>
      <c r="D32" s="132" t="s">
        <v>3420</v>
      </c>
      <c r="E32" s="136" t="s">
        <v>4517</v>
      </c>
      <c r="F32" s="136" t="s">
        <v>4517</v>
      </c>
      <c r="G32" s="137">
        <v>1395449892001</v>
      </c>
      <c r="H32" s="138" t="s">
        <v>6454</v>
      </c>
      <c r="I32" s="136">
        <v>951500479</v>
      </c>
      <c r="J32" s="131" t="s">
        <v>4461</v>
      </c>
      <c r="K32" s="139">
        <v>182945</v>
      </c>
    </row>
    <row r="33" spans="1:11">
      <c r="A33" s="1" t="str">
        <f t="shared" si="0"/>
        <v>50100-833359095-951500478322055</v>
      </c>
      <c r="B33" s="136" t="s">
        <v>4632</v>
      </c>
      <c r="C33" s="136" t="s">
        <v>10210</v>
      </c>
      <c r="D33" s="132" t="s">
        <v>3420</v>
      </c>
      <c r="E33" s="136" t="s">
        <v>4517</v>
      </c>
      <c r="F33" s="136" t="s">
        <v>4517</v>
      </c>
      <c r="G33" s="137">
        <v>1395449892001</v>
      </c>
      <c r="H33" s="138" t="s">
        <v>6454</v>
      </c>
      <c r="I33" s="136">
        <v>951500478</v>
      </c>
      <c r="J33" s="131" t="s">
        <v>4691</v>
      </c>
      <c r="K33" s="139">
        <v>322055</v>
      </c>
    </row>
    <row r="34" spans="1:11">
      <c r="A34" s="1" t="str">
        <f t="shared" si="0"/>
        <v>50100-827821295-951500530493575</v>
      </c>
      <c r="B34" s="136" t="s">
        <v>4550</v>
      </c>
      <c r="C34" s="136" t="s">
        <v>10211</v>
      </c>
      <c r="D34" s="132" t="s">
        <v>3420</v>
      </c>
      <c r="E34" s="136" t="s">
        <v>4571</v>
      </c>
      <c r="F34" s="136" t="s">
        <v>4571</v>
      </c>
      <c r="G34" s="137">
        <v>1395447373001</v>
      </c>
      <c r="H34" s="138" t="s">
        <v>6453</v>
      </c>
      <c r="I34" s="136">
        <v>951500530</v>
      </c>
      <c r="J34" s="131" t="s">
        <v>4485</v>
      </c>
      <c r="K34" s="139">
        <v>493575</v>
      </c>
    </row>
    <row r="35" spans="1:11">
      <c r="A35" s="1" t="str">
        <f t="shared" si="0"/>
        <v>50100-831738195-951500311169100</v>
      </c>
      <c r="B35" s="136" t="s">
        <v>4618</v>
      </c>
      <c r="C35" s="136" t="s">
        <v>10205</v>
      </c>
      <c r="D35" s="132" t="s">
        <v>3420</v>
      </c>
      <c r="E35" s="136" t="s">
        <v>4657</v>
      </c>
      <c r="F35" s="136" t="s">
        <v>4657</v>
      </c>
      <c r="G35" s="137">
        <v>1395435642001</v>
      </c>
      <c r="H35" s="138" t="s">
        <v>10206</v>
      </c>
      <c r="I35" s="136">
        <v>951500311</v>
      </c>
      <c r="J35" s="131" t="s">
        <v>4459</v>
      </c>
      <c r="K35" s="139">
        <v>169100</v>
      </c>
    </row>
    <row r="36" spans="1:11">
      <c r="A36" s="1" t="str">
        <f t="shared" si="0"/>
        <v>50100-732537495-952500010195072</v>
      </c>
      <c r="B36" s="136" t="s">
        <v>2919</v>
      </c>
      <c r="C36" s="136" t="s">
        <v>10212</v>
      </c>
      <c r="D36" s="132" t="s">
        <v>3420</v>
      </c>
      <c r="E36" s="136" t="s">
        <v>2858</v>
      </c>
      <c r="F36" s="136" t="s">
        <v>2858</v>
      </c>
      <c r="G36" s="137">
        <v>1394395847001</v>
      </c>
      <c r="H36" s="138" t="s">
        <v>10183</v>
      </c>
      <c r="I36" s="136">
        <v>952500010</v>
      </c>
      <c r="J36" s="131" t="s">
        <v>3061</v>
      </c>
      <c r="K36" s="139">
        <v>195072</v>
      </c>
    </row>
    <row r="37" spans="1:11">
      <c r="A37" s="1" t="str">
        <f t="shared" si="0"/>
        <v>50100-727257195-951500060176440</v>
      </c>
      <c r="B37" s="136" t="s">
        <v>2920</v>
      </c>
      <c r="C37" s="136" t="s">
        <v>10198</v>
      </c>
      <c r="D37" s="132" t="s">
        <v>3420</v>
      </c>
      <c r="E37" s="136" t="s">
        <v>2856</v>
      </c>
      <c r="F37" s="136" t="s">
        <v>2856</v>
      </c>
      <c r="G37" s="137">
        <v>1394395847001</v>
      </c>
      <c r="H37" s="138" t="s">
        <v>10183</v>
      </c>
      <c r="I37" s="136">
        <v>951500060</v>
      </c>
      <c r="J37" s="131" t="s">
        <v>2797</v>
      </c>
      <c r="K37" s="139">
        <v>176440</v>
      </c>
    </row>
    <row r="38" spans="1:11">
      <c r="A38" s="1" t="str">
        <f t="shared" si="0"/>
        <v>50100-824554895-9525000772958</v>
      </c>
      <c r="B38" s="136" t="s">
        <v>4529</v>
      </c>
      <c r="C38" s="136" t="s">
        <v>10199</v>
      </c>
      <c r="D38" s="132" t="s">
        <v>3420</v>
      </c>
      <c r="E38" s="136" t="s">
        <v>4574</v>
      </c>
      <c r="F38" s="136" t="s">
        <v>4574</v>
      </c>
      <c r="G38" s="137">
        <v>1395456621001</v>
      </c>
      <c r="H38" s="138" t="s">
        <v>10183</v>
      </c>
      <c r="I38" s="136">
        <v>952500077</v>
      </c>
      <c r="J38" s="131" t="s">
        <v>4582</v>
      </c>
      <c r="K38" s="139">
        <v>2958</v>
      </c>
    </row>
    <row r="39" spans="1:11">
      <c r="A39" s="1" t="str">
        <f t="shared" si="0"/>
        <v>50100-733377395-951500049640000</v>
      </c>
      <c r="B39" s="136" t="s">
        <v>2917</v>
      </c>
      <c r="C39" s="136" t="s">
        <v>10200</v>
      </c>
      <c r="D39" s="132" t="s">
        <v>3420</v>
      </c>
      <c r="E39" s="136" t="s">
        <v>3040</v>
      </c>
      <c r="F39" s="136" t="s">
        <v>3040</v>
      </c>
      <c r="G39" s="137">
        <v>1395397985001</v>
      </c>
      <c r="H39" s="138" t="s">
        <v>6298</v>
      </c>
      <c r="I39" s="136">
        <v>951500049</v>
      </c>
      <c r="J39" s="131" t="s">
        <v>3060</v>
      </c>
      <c r="K39" s="139">
        <v>640000</v>
      </c>
    </row>
    <row r="40" spans="1:11">
      <c r="A40" s="1" t="str">
        <f t="shared" si="0"/>
        <v>50100-738266394-9415006682300</v>
      </c>
      <c r="B40" s="136" t="s">
        <v>2916</v>
      </c>
      <c r="C40" s="136" t="s">
        <v>10201</v>
      </c>
      <c r="D40" s="132" t="s">
        <v>3420</v>
      </c>
      <c r="E40" s="136" t="s">
        <v>3050</v>
      </c>
      <c r="F40" s="136" t="s">
        <v>3050</v>
      </c>
      <c r="G40" s="137">
        <v>1394389330001</v>
      </c>
      <c r="H40" s="138" t="s">
        <v>6453</v>
      </c>
      <c r="I40" s="136">
        <v>941500668</v>
      </c>
      <c r="J40" s="131" t="s">
        <v>6853</v>
      </c>
      <c r="K40" s="139">
        <v>2300</v>
      </c>
    </row>
    <row r="41" spans="1:11">
      <c r="A41" s="1" t="str">
        <f t="shared" si="0"/>
        <v>50100-738266394-941500731649390</v>
      </c>
      <c r="B41" s="136" t="s">
        <v>2916</v>
      </c>
      <c r="C41" s="136" t="s">
        <v>10201</v>
      </c>
      <c r="D41" s="132" t="s">
        <v>3420</v>
      </c>
      <c r="E41" s="136" t="s">
        <v>3050</v>
      </c>
      <c r="F41" s="136" t="s">
        <v>3050</v>
      </c>
      <c r="G41" s="137">
        <v>1394392654001</v>
      </c>
      <c r="H41" s="138" t="s">
        <v>6453</v>
      </c>
      <c r="I41" s="136">
        <v>941500731</v>
      </c>
      <c r="J41" s="131" t="s">
        <v>6870</v>
      </c>
      <c r="K41" s="139">
        <v>649390</v>
      </c>
    </row>
    <row r="42" spans="1:11">
      <c r="A42" s="1" t="str">
        <f t="shared" si="0"/>
        <v>50100-716645195-951500017471711</v>
      </c>
      <c r="B42" s="136" t="s">
        <v>2592</v>
      </c>
      <c r="C42" s="136" t="s">
        <v>10187</v>
      </c>
      <c r="D42" s="132" t="s">
        <v>3420</v>
      </c>
      <c r="E42" s="136" t="s">
        <v>2612</v>
      </c>
      <c r="F42" s="136" t="s">
        <v>2612</v>
      </c>
      <c r="G42" s="137">
        <v>1394394801001</v>
      </c>
      <c r="H42" s="138" t="s">
        <v>10183</v>
      </c>
      <c r="I42" s="136">
        <v>951500017</v>
      </c>
      <c r="J42" s="131" t="s">
        <v>2642</v>
      </c>
      <c r="K42" s="139">
        <v>471711</v>
      </c>
    </row>
    <row r="43" spans="1:11">
      <c r="A43" s="1" t="str">
        <f t="shared" si="0"/>
        <v>50100-727257195-951500107797080</v>
      </c>
      <c r="B43" s="136" t="s">
        <v>2920</v>
      </c>
      <c r="C43" s="136" t="s">
        <v>10198</v>
      </c>
      <c r="D43" s="132" t="s">
        <v>3420</v>
      </c>
      <c r="E43" s="136" t="s">
        <v>2856</v>
      </c>
      <c r="F43" s="136" t="s">
        <v>2856</v>
      </c>
      <c r="G43" s="137">
        <v>1394395847001</v>
      </c>
      <c r="H43" s="138" t="s">
        <v>10183</v>
      </c>
      <c r="I43" s="136">
        <v>951500107</v>
      </c>
      <c r="J43" s="131" t="s">
        <v>3063</v>
      </c>
      <c r="K43" s="139">
        <v>797080</v>
      </c>
    </row>
    <row r="44" spans="1:11">
      <c r="A44" s="1" t="str">
        <f t="shared" si="0"/>
        <v>50100-733394295-951500046138732</v>
      </c>
      <c r="B44" s="136" t="s">
        <v>2921</v>
      </c>
      <c r="C44" s="136" t="s">
        <v>10213</v>
      </c>
      <c r="D44" s="132" t="s">
        <v>3420</v>
      </c>
      <c r="E44" s="136" t="s">
        <v>3040</v>
      </c>
      <c r="F44" s="136" t="s">
        <v>3040</v>
      </c>
      <c r="G44" s="137">
        <v>1395397985001</v>
      </c>
      <c r="H44" s="138" t="s">
        <v>6298</v>
      </c>
      <c r="I44" s="136">
        <v>951500046</v>
      </c>
      <c r="J44" s="131" t="s">
        <v>3064</v>
      </c>
      <c r="K44" s="139">
        <v>138732</v>
      </c>
    </row>
    <row r="45" spans="1:11">
      <c r="A45" s="1" t="str">
        <f t="shared" si="0"/>
        <v>50100-733377395-951500046210060</v>
      </c>
      <c r="B45" s="136" t="s">
        <v>2917</v>
      </c>
      <c r="C45" s="136" t="s">
        <v>10200</v>
      </c>
      <c r="D45" s="132" t="s">
        <v>3420</v>
      </c>
      <c r="E45" s="136" t="s">
        <v>3040</v>
      </c>
      <c r="F45" s="136" t="s">
        <v>3040</v>
      </c>
      <c r="G45" s="137">
        <v>1395397985001</v>
      </c>
      <c r="H45" s="138" t="s">
        <v>6298</v>
      </c>
      <c r="I45" s="136">
        <v>951500046</v>
      </c>
      <c r="J45" s="131" t="s">
        <v>3064</v>
      </c>
      <c r="K45" s="139">
        <v>210060</v>
      </c>
    </row>
    <row r="46" spans="1:11">
      <c r="A46" s="1" t="str">
        <f t="shared" si="0"/>
        <v>50100-731070695-9515000731327484</v>
      </c>
      <c r="B46" s="136" t="s">
        <v>2922</v>
      </c>
      <c r="C46" s="136" t="s">
        <v>10207</v>
      </c>
      <c r="D46" s="132" t="s">
        <v>3420</v>
      </c>
      <c r="E46" s="136" t="s">
        <v>2857</v>
      </c>
      <c r="F46" s="136" t="s">
        <v>2857</v>
      </c>
      <c r="G46" s="137">
        <v>1394395845001</v>
      </c>
      <c r="H46" s="138" t="s">
        <v>6453</v>
      </c>
      <c r="I46" s="136">
        <v>951500073</v>
      </c>
      <c r="J46" s="131" t="s">
        <v>3065</v>
      </c>
      <c r="K46" s="139">
        <v>1327484</v>
      </c>
    </row>
    <row r="47" spans="1:11">
      <c r="A47" s="1" t="str">
        <f t="shared" si="0"/>
        <v>50100-786862695-9542000361800000</v>
      </c>
      <c r="B47" s="136" t="s">
        <v>3679</v>
      </c>
      <c r="C47" s="136" t="s">
        <v>10209</v>
      </c>
      <c r="D47" s="132" t="s">
        <v>3420</v>
      </c>
      <c r="E47" s="136" t="s">
        <v>3714</v>
      </c>
      <c r="F47" s="136" t="s">
        <v>3714</v>
      </c>
      <c r="G47" s="137">
        <v>1395427836001</v>
      </c>
      <c r="H47" s="138" t="s">
        <v>6298</v>
      </c>
      <c r="I47" s="136">
        <v>954200036</v>
      </c>
      <c r="J47" s="131" t="s">
        <v>3724</v>
      </c>
      <c r="K47" s="139">
        <v>1800000</v>
      </c>
    </row>
    <row r="48" spans="1:11">
      <c r="A48" s="1" t="str">
        <f t="shared" si="0"/>
        <v>50100-727937095-951500123375720</v>
      </c>
      <c r="B48" s="136" t="s">
        <v>2924</v>
      </c>
      <c r="C48" s="136" t="s">
        <v>10202</v>
      </c>
      <c r="D48" s="132" t="s">
        <v>3420</v>
      </c>
      <c r="E48" s="136" t="s">
        <v>2860</v>
      </c>
      <c r="F48" s="136" t="s">
        <v>2860</v>
      </c>
      <c r="G48" s="137">
        <v>1394395847001</v>
      </c>
      <c r="H48" s="138" t="s">
        <v>10183</v>
      </c>
      <c r="I48" s="136">
        <v>951500123</v>
      </c>
      <c r="J48" s="131" t="s">
        <v>3068</v>
      </c>
      <c r="K48" s="139">
        <v>375720</v>
      </c>
    </row>
    <row r="49" spans="1:11">
      <c r="A49" s="1" t="str">
        <f t="shared" si="0"/>
        <v>50100-720354494-941500848700000</v>
      </c>
      <c r="B49" s="136" t="s">
        <v>2692</v>
      </c>
      <c r="C49" s="136" t="s">
        <v>10203</v>
      </c>
      <c r="D49" s="132" t="s">
        <v>3420</v>
      </c>
      <c r="E49" s="136" t="s">
        <v>2755</v>
      </c>
      <c r="F49" s="136" t="s">
        <v>2755</v>
      </c>
      <c r="G49" s="137">
        <v>1394395844001</v>
      </c>
      <c r="H49" s="138" t="s">
        <v>6298</v>
      </c>
      <c r="I49" s="136">
        <v>941500848</v>
      </c>
      <c r="J49" s="131" t="s">
        <v>2780</v>
      </c>
      <c r="K49" s="139">
        <v>700000</v>
      </c>
    </row>
    <row r="50" spans="1:11">
      <c r="A50" s="1" t="str">
        <f t="shared" si="0"/>
        <v>50100-749689495-952500016225620</v>
      </c>
      <c r="B50" s="136" t="s">
        <v>3226</v>
      </c>
      <c r="C50" s="136" t="s">
        <v>10192</v>
      </c>
      <c r="D50" s="132" t="s">
        <v>3420</v>
      </c>
      <c r="E50" s="136" t="s">
        <v>3241</v>
      </c>
      <c r="F50" s="136" t="s">
        <v>3241</v>
      </c>
      <c r="G50" s="137">
        <v>1395397987001</v>
      </c>
      <c r="H50" s="138" t="s">
        <v>10183</v>
      </c>
      <c r="I50" s="136">
        <v>952500016</v>
      </c>
      <c r="J50" s="131" t="s">
        <v>3248</v>
      </c>
      <c r="K50" s="139">
        <v>225620</v>
      </c>
    </row>
    <row r="51" spans="1:11">
      <c r="A51" s="1" t="str">
        <f t="shared" si="0"/>
        <v>50100-758065195-951500178700000</v>
      </c>
      <c r="B51" s="136" t="s">
        <v>3304</v>
      </c>
      <c r="C51" s="136" t="s">
        <v>10194</v>
      </c>
      <c r="D51" s="132" t="s">
        <v>3420</v>
      </c>
      <c r="E51" s="136" t="s">
        <v>3326</v>
      </c>
      <c r="F51" s="136" t="s">
        <v>3326</v>
      </c>
      <c r="G51" s="137">
        <v>1395400303001</v>
      </c>
      <c r="H51" s="138" t="s">
        <v>6453</v>
      </c>
      <c r="I51" s="136">
        <v>951500178</v>
      </c>
      <c r="J51" s="131" t="s">
        <v>3342</v>
      </c>
      <c r="K51" s="139">
        <v>700000</v>
      </c>
    </row>
    <row r="52" spans="1:11">
      <c r="A52" s="1" t="str">
        <f t="shared" si="0"/>
        <v>15100-36839895-9515003231840</v>
      </c>
      <c r="B52" s="136" t="s">
        <v>4364</v>
      </c>
      <c r="C52" s="136" t="s">
        <v>10214</v>
      </c>
      <c r="D52" s="132" t="s">
        <v>3420</v>
      </c>
      <c r="E52" s="136" t="s">
        <v>4437</v>
      </c>
      <c r="F52" s="136" t="s">
        <v>4437</v>
      </c>
      <c r="G52" s="137">
        <v>1395438159001</v>
      </c>
      <c r="H52" s="138" t="s">
        <v>6298</v>
      </c>
      <c r="I52" s="136">
        <v>951500323</v>
      </c>
      <c r="J52" s="131" t="s">
        <v>3843</v>
      </c>
      <c r="K52" s="139">
        <v>1840</v>
      </c>
    </row>
    <row r="53" spans="1:11">
      <c r="A53" s="1" t="str">
        <f t="shared" si="0"/>
        <v>15100-36839895-951500382165460</v>
      </c>
      <c r="B53" s="136" t="s">
        <v>4364</v>
      </c>
      <c r="C53" s="136" t="s">
        <v>10214</v>
      </c>
      <c r="D53" s="132" t="s">
        <v>3420</v>
      </c>
      <c r="E53" s="136" t="s">
        <v>4437</v>
      </c>
      <c r="F53" s="136" t="s">
        <v>4437</v>
      </c>
      <c r="G53" s="137">
        <v>1395445412001</v>
      </c>
      <c r="H53" s="138" t="s">
        <v>6298</v>
      </c>
      <c r="I53" s="136">
        <v>951500382</v>
      </c>
      <c r="J53" s="131" t="s">
        <v>4289</v>
      </c>
      <c r="K53" s="139">
        <v>165460</v>
      </c>
    </row>
    <row r="54" spans="1:11">
      <c r="A54" s="1" t="str">
        <f t="shared" si="0"/>
        <v>15100-36839895-95150049620700</v>
      </c>
      <c r="B54" s="136" t="s">
        <v>4364</v>
      </c>
      <c r="C54" s="136" t="s">
        <v>10214</v>
      </c>
      <c r="D54" s="132" t="s">
        <v>3420</v>
      </c>
      <c r="E54" s="136" t="s">
        <v>4437</v>
      </c>
      <c r="F54" s="136" t="s">
        <v>4437</v>
      </c>
      <c r="G54" s="137">
        <v>1395449236001</v>
      </c>
      <c r="H54" s="138" t="s">
        <v>6298</v>
      </c>
      <c r="I54" s="136">
        <v>951500496</v>
      </c>
      <c r="J54" s="131" t="s">
        <v>4350</v>
      </c>
      <c r="K54" s="139">
        <v>20700</v>
      </c>
    </row>
    <row r="55" spans="1:11">
      <c r="A55" s="1" t="str">
        <f t="shared" si="0"/>
        <v>50100-716645194-9425001058771</v>
      </c>
      <c r="B55" s="136" t="s">
        <v>2592</v>
      </c>
      <c r="C55" s="136" t="s">
        <v>10187</v>
      </c>
      <c r="D55" s="132" t="s">
        <v>3420</v>
      </c>
      <c r="E55" s="136" t="s">
        <v>2612</v>
      </c>
      <c r="F55" s="136" t="s">
        <v>2612</v>
      </c>
      <c r="G55" s="137">
        <v>1394390727001</v>
      </c>
      <c r="H55" s="138" t="s">
        <v>10183</v>
      </c>
      <c r="I55" s="136">
        <v>942500105</v>
      </c>
      <c r="J55" s="131" t="s">
        <v>7052</v>
      </c>
      <c r="K55" s="139">
        <v>8771</v>
      </c>
    </row>
    <row r="56" spans="1:11">
      <c r="A56" s="1" t="str">
        <f t="shared" si="0"/>
        <v>50100-822441995-951500528989190</v>
      </c>
      <c r="B56" s="136" t="s">
        <v>4406</v>
      </c>
      <c r="C56" s="136" t="s">
        <v>10215</v>
      </c>
      <c r="D56" s="132" t="s">
        <v>3420</v>
      </c>
      <c r="E56" s="136" t="s">
        <v>4444</v>
      </c>
      <c r="F56" s="136" t="s">
        <v>4444</v>
      </c>
      <c r="G56" s="137">
        <v>1395447374001</v>
      </c>
      <c r="H56" s="138" t="s">
        <v>6456</v>
      </c>
      <c r="I56" s="136">
        <v>951500528</v>
      </c>
      <c r="J56" s="131" t="s">
        <v>4212</v>
      </c>
      <c r="K56" s="139">
        <v>989190</v>
      </c>
    </row>
    <row r="57" spans="1:11">
      <c r="A57" s="1" t="str">
        <f t="shared" si="0"/>
        <v>50100-732517095-951500114997000</v>
      </c>
      <c r="B57" s="136" t="s">
        <v>2987</v>
      </c>
      <c r="C57" s="136" t="s">
        <v>10216</v>
      </c>
      <c r="D57" s="132" t="s">
        <v>3420</v>
      </c>
      <c r="E57" s="136" t="s">
        <v>2858</v>
      </c>
      <c r="F57" s="136" t="s">
        <v>2858</v>
      </c>
      <c r="G57" s="137">
        <v>1395397990001</v>
      </c>
      <c r="H57" s="138" t="s">
        <v>6456</v>
      </c>
      <c r="I57" s="136">
        <v>951500114</v>
      </c>
      <c r="J57" s="131" t="s">
        <v>3084</v>
      </c>
      <c r="K57" s="139">
        <v>997000</v>
      </c>
    </row>
    <row r="58" spans="1:11">
      <c r="A58" s="1" t="str">
        <f t="shared" si="0"/>
        <v>15100-36977395-951500562163700</v>
      </c>
      <c r="B58" s="136" t="s">
        <v>4363</v>
      </c>
      <c r="C58" s="136" t="s">
        <v>10217</v>
      </c>
      <c r="D58" s="132" t="s">
        <v>3420</v>
      </c>
      <c r="E58" s="136" t="s">
        <v>4436</v>
      </c>
      <c r="F58" s="136" t="s">
        <v>4436</v>
      </c>
      <c r="G58" s="137">
        <v>1395452679001</v>
      </c>
      <c r="H58" s="138" t="s">
        <v>6298</v>
      </c>
      <c r="I58" s="136">
        <v>951500562</v>
      </c>
      <c r="J58" s="131" t="s">
        <v>4448</v>
      </c>
      <c r="K58" s="139">
        <v>163700</v>
      </c>
    </row>
    <row r="59" spans="1:11">
      <c r="A59" s="1" t="str">
        <f t="shared" si="0"/>
        <v>15100-37460795-9515003729900</v>
      </c>
      <c r="B59" s="136" t="s">
        <v>4522</v>
      </c>
      <c r="C59" s="136" t="s">
        <v>10218</v>
      </c>
      <c r="D59" s="132" t="s">
        <v>3420</v>
      </c>
      <c r="E59" s="136" t="s">
        <v>4571</v>
      </c>
      <c r="F59" s="136" t="s">
        <v>4571</v>
      </c>
      <c r="G59" s="137">
        <v>1395441908001</v>
      </c>
      <c r="H59" s="138" t="s">
        <v>6298</v>
      </c>
      <c r="I59" s="136">
        <v>951500372</v>
      </c>
      <c r="J59" s="131" t="s">
        <v>3839</v>
      </c>
      <c r="K59" s="139">
        <v>9900</v>
      </c>
    </row>
    <row r="60" spans="1:11">
      <c r="A60" s="1" t="str">
        <f t="shared" si="0"/>
        <v>50100-720024394-941500830999560</v>
      </c>
      <c r="B60" s="136" t="s">
        <v>10219</v>
      </c>
      <c r="C60" s="136" t="s">
        <v>10220</v>
      </c>
      <c r="D60" s="132" t="s">
        <v>3420</v>
      </c>
      <c r="E60" s="136" t="s">
        <v>2756</v>
      </c>
      <c r="F60" s="136" t="s">
        <v>2756</v>
      </c>
      <c r="G60" s="137">
        <v>1394392647001</v>
      </c>
      <c r="H60" s="138" t="s">
        <v>6454</v>
      </c>
      <c r="I60" s="136">
        <v>941500830</v>
      </c>
      <c r="J60" s="131" t="s">
        <v>2635</v>
      </c>
      <c r="K60" s="139">
        <v>999560</v>
      </c>
    </row>
    <row r="61" spans="1:11">
      <c r="A61" s="1" t="str">
        <f t="shared" si="0"/>
        <v>50100-745693595-9515001661282650</v>
      </c>
      <c r="B61" s="136" t="s">
        <v>3229</v>
      </c>
      <c r="C61" s="136" t="s">
        <v>10185</v>
      </c>
      <c r="D61" s="132" t="s">
        <v>3420</v>
      </c>
      <c r="E61" s="136" t="s">
        <v>3208</v>
      </c>
      <c r="F61" s="136" t="s">
        <v>3208</v>
      </c>
      <c r="G61" s="137">
        <v>1395399149001</v>
      </c>
      <c r="H61" s="138" t="s">
        <v>10186</v>
      </c>
      <c r="I61" s="136">
        <v>951500166</v>
      </c>
      <c r="J61" s="131" t="s">
        <v>3252</v>
      </c>
      <c r="K61" s="139">
        <v>1282650</v>
      </c>
    </row>
    <row r="62" spans="1:11">
      <c r="A62" s="1" t="str">
        <f t="shared" si="0"/>
        <v>50100-716645194-9415007763798</v>
      </c>
      <c r="B62" s="136" t="s">
        <v>2592</v>
      </c>
      <c r="C62" s="136" t="s">
        <v>10187</v>
      </c>
      <c r="D62" s="132" t="s">
        <v>3420</v>
      </c>
      <c r="E62" s="136" t="s">
        <v>2612</v>
      </c>
      <c r="F62" s="136" t="s">
        <v>2612</v>
      </c>
      <c r="G62" s="137">
        <v>1394394316001</v>
      </c>
      <c r="H62" s="138" t="s">
        <v>10183</v>
      </c>
      <c r="I62" s="136">
        <v>941500776</v>
      </c>
      <c r="J62" s="131" t="s">
        <v>7087</v>
      </c>
      <c r="K62" s="139">
        <v>3798</v>
      </c>
    </row>
    <row r="63" spans="1:11">
      <c r="A63" s="1" t="str">
        <f t="shared" si="0"/>
        <v>50100-729139495-951500071657516</v>
      </c>
      <c r="B63" s="136" t="s">
        <v>2951</v>
      </c>
      <c r="C63" s="136" t="s">
        <v>10221</v>
      </c>
      <c r="D63" s="132" t="s">
        <v>3420</v>
      </c>
      <c r="E63" s="136" t="s">
        <v>2855</v>
      </c>
      <c r="F63" s="136" t="s">
        <v>2855</v>
      </c>
      <c r="G63" s="137">
        <v>1394395845001</v>
      </c>
      <c r="H63" s="138" t="s">
        <v>6453</v>
      </c>
      <c r="I63" s="136">
        <v>951500071</v>
      </c>
      <c r="J63" s="131" t="s">
        <v>3085</v>
      </c>
      <c r="K63" s="139">
        <v>657516</v>
      </c>
    </row>
    <row r="64" spans="1:11">
      <c r="A64" s="1" t="str">
        <f t="shared" si="0"/>
        <v>50100-735971295-951500051386246</v>
      </c>
      <c r="B64" s="136" t="s">
        <v>2939</v>
      </c>
      <c r="C64" s="136" t="s">
        <v>10193</v>
      </c>
      <c r="D64" s="132" t="s">
        <v>3420</v>
      </c>
      <c r="E64" s="136" t="s">
        <v>3049</v>
      </c>
      <c r="F64" s="136" t="s">
        <v>3049</v>
      </c>
      <c r="G64" s="137">
        <v>1395397985001</v>
      </c>
      <c r="H64" s="138" t="s">
        <v>6298</v>
      </c>
      <c r="I64" s="136">
        <v>951500051</v>
      </c>
      <c r="J64" s="131" t="s">
        <v>3066</v>
      </c>
      <c r="K64" s="139">
        <v>386246</v>
      </c>
    </row>
    <row r="65" spans="1:11">
      <c r="A65" s="1" t="str">
        <f t="shared" si="0"/>
        <v>50100-729139495-9515000721329214</v>
      </c>
      <c r="B65" s="136" t="s">
        <v>2951</v>
      </c>
      <c r="C65" s="136" t="s">
        <v>10221</v>
      </c>
      <c r="D65" s="132" t="s">
        <v>3420</v>
      </c>
      <c r="E65" s="136" t="s">
        <v>2855</v>
      </c>
      <c r="F65" s="136" t="s">
        <v>2855</v>
      </c>
      <c r="G65" s="137">
        <v>1394395845001</v>
      </c>
      <c r="H65" s="138" t="s">
        <v>6453</v>
      </c>
      <c r="I65" s="136">
        <v>951500072</v>
      </c>
      <c r="J65" s="131" t="s">
        <v>3067</v>
      </c>
      <c r="K65" s="139">
        <v>1329214</v>
      </c>
    </row>
    <row r="66" spans="1:11">
      <c r="A66" s="1" t="str">
        <f t="shared" si="0"/>
        <v>50100-849004495-951500592891528</v>
      </c>
      <c r="B66" s="136" t="s">
        <v>4847</v>
      </c>
      <c r="C66" s="136" t="s">
        <v>8921</v>
      </c>
      <c r="D66" s="132" t="s">
        <v>4971</v>
      </c>
      <c r="E66" s="136" t="s">
        <v>4882</v>
      </c>
      <c r="F66" s="136" t="s">
        <v>4882</v>
      </c>
      <c r="G66" s="137">
        <v>1395451404001</v>
      </c>
      <c r="H66" s="138" t="s">
        <v>6456</v>
      </c>
      <c r="I66" s="136">
        <v>951500592</v>
      </c>
      <c r="J66" s="131" t="s">
        <v>4961</v>
      </c>
      <c r="K66" s="139">
        <v>891528</v>
      </c>
    </row>
    <row r="67" spans="1:11">
      <c r="A67" s="1" t="str">
        <f t="shared" ref="A67:A130" si="1">B67&amp;J67&amp;K67</f>
        <v>15100-37460795-95150055213520</v>
      </c>
      <c r="B67" s="136" t="s">
        <v>4522</v>
      </c>
      <c r="C67" s="136" t="s">
        <v>10218</v>
      </c>
      <c r="D67" s="132" t="s">
        <v>3420</v>
      </c>
      <c r="E67" s="136" t="s">
        <v>4571</v>
      </c>
      <c r="F67" s="136" t="s">
        <v>4571</v>
      </c>
      <c r="G67" s="137">
        <v>1395452679001</v>
      </c>
      <c r="H67" s="138" t="s">
        <v>6298</v>
      </c>
      <c r="I67" s="136">
        <v>951500552</v>
      </c>
      <c r="J67" s="131" t="s">
        <v>4577</v>
      </c>
      <c r="K67" s="139">
        <v>13520</v>
      </c>
    </row>
    <row r="68" spans="1:11">
      <c r="A68" s="1" t="str">
        <f t="shared" si="1"/>
        <v>50100-727787695-951500109990090</v>
      </c>
      <c r="B68" s="136" t="s">
        <v>2997</v>
      </c>
      <c r="C68" s="136" t="s">
        <v>10222</v>
      </c>
      <c r="D68" s="132" t="s">
        <v>3420</v>
      </c>
      <c r="E68" s="136" t="s">
        <v>2860</v>
      </c>
      <c r="F68" s="136" t="s">
        <v>2860</v>
      </c>
      <c r="G68" s="137">
        <v>1394395847001</v>
      </c>
      <c r="H68" s="138" t="s">
        <v>10183</v>
      </c>
      <c r="I68" s="136">
        <v>951500109</v>
      </c>
      <c r="J68" s="131" t="s">
        <v>3127</v>
      </c>
      <c r="K68" s="139">
        <v>990090</v>
      </c>
    </row>
    <row r="69" spans="1:11">
      <c r="A69" s="1" t="str">
        <f t="shared" si="1"/>
        <v>50100-720354495-951500023257100</v>
      </c>
      <c r="B69" s="136" t="s">
        <v>2692</v>
      </c>
      <c r="C69" s="136" t="s">
        <v>10203</v>
      </c>
      <c r="D69" s="132" t="s">
        <v>3420</v>
      </c>
      <c r="E69" s="136" t="s">
        <v>2755</v>
      </c>
      <c r="F69" s="136" t="s">
        <v>2755</v>
      </c>
      <c r="G69" s="137">
        <v>1395397985001</v>
      </c>
      <c r="H69" s="138" t="s">
        <v>6298</v>
      </c>
      <c r="I69" s="136">
        <v>951500023</v>
      </c>
      <c r="J69" s="131" t="s">
        <v>2784</v>
      </c>
      <c r="K69" s="139">
        <v>257100</v>
      </c>
    </row>
    <row r="70" spans="1:11">
      <c r="A70" s="1" t="str">
        <f t="shared" si="1"/>
        <v>50100-758065195-951500175500000</v>
      </c>
      <c r="B70" s="136" t="s">
        <v>3304</v>
      </c>
      <c r="C70" s="136" t="s">
        <v>10194</v>
      </c>
      <c r="D70" s="132" t="s">
        <v>3420</v>
      </c>
      <c r="E70" s="136" t="s">
        <v>3326</v>
      </c>
      <c r="F70" s="136" t="s">
        <v>3326</v>
      </c>
      <c r="G70" s="137">
        <v>1395400303001</v>
      </c>
      <c r="H70" s="138" t="s">
        <v>6453</v>
      </c>
      <c r="I70" s="136">
        <v>951500175</v>
      </c>
      <c r="J70" s="131" t="s">
        <v>3341</v>
      </c>
      <c r="K70" s="139">
        <v>500000</v>
      </c>
    </row>
    <row r="71" spans="1:11">
      <c r="A71" s="1" t="str">
        <f t="shared" si="1"/>
        <v>15100-36839895-9515003924980</v>
      </c>
      <c r="B71" s="136" t="s">
        <v>4364</v>
      </c>
      <c r="C71" s="136" t="s">
        <v>10214</v>
      </c>
      <c r="D71" s="132" t="s">
        <v>3420</v>
      </c>
      <c r="E71" s="136" t="s">
        <v>4437</v>
      </c>
      <c r="F71" s="136" t="s">
        <v>4437</v>
      </c>
      <c r="G71" s="137">
        <v>1395445412001</v>
      </c>
      <c r="H71" s="138" t="s">
        <v>6298</v>
      </c>
      <c r="I71" s="136">
        <v>951500392</v>
      </c>
      <c r="J71" s="131" t="s">
        <v>4291</v>
      </c>
      <c r="K71" s="139">
        <v>4980</v>
      </c>
    </row>
    <row r="72" spans="1:11">
      <c r="A72" s="1" t="str">
        <f t="shared" si="1"/>
        <v>50100-749689495-9525000181182083</v>
      </c>
      <c r="B72" s="136" t="s">
        <v>3226</v>
      </c>
      <c r="C72" s="136" t="s">
        <v>10192</v>
      </c>
      <c r="D72" s="132" t="s">
        <v>3420</v>
      </c>
      <c r="E72" s="136" t="s">
        <v>3241</v>
      </c>
      <c r="F72" s="136" t="s">
        <v>3241</v>
      </c>
      <c r="G72" s="137">
        <v>1395397987001</v>
      </c>
      <c r="H72" s="138" t="s">
        <v>10183</v>
      </c>
      <c r="I72" s="136">
        <v>952500018</v>
      </c>
      <c r="J72" s="131" t="s">
        <v>3250</v>
      </c>
      <c r="K72" s="139">
        <v>1182083</v>
      </c>
    </row>
    <row r="73" spans="1:11">
      <c r="A73" s="1" t="str">
        <f t="shared" si="1"/>
        <v>50100-822023195-95150026724878</v>
      </c>
      <c r="B73" s="136" t="s">
        <v>4398</v>
      </c>
      <c r="C73" s="136" t="s">
        <v>10223</v>
      </c>
      <c r="D73" s="132" t="s">
        <v>3420</v>
      </c>
      <c r="E73" s="136" t="s">
        <v>4436</v>
      </c>
      <c r="F73" s="136" t="s">
        <v>4436</v>
      </c>
      <c r="G73" s="137">
        <v>1395435642001</v>
      </c>
      <c r="H73" s="138" t="s">
        <v>10206</v>
      </c>
      <c r="I73" s="136">
        <v>951500267</v>
      </c>
      <c r="J73" s="131" t="s">
        <v>3890</v>
      </c>
      <c r="K73" s="139">
        <v>24878</v>
      </c>
    </row>
    <row r="74" spans="1:11">
      <c r="A74" s="1" t="str">
        <f t="shared" si="1"/>
        <v>50100-822023195-951500268134826</v>
      </c>
      <c r="B74" s="136" t="s">
        <v>4398</v>
      </c>
      <c r="C74" s="136" t="s">
        <v>10223</v>
      </c>
      <c r="D74" s="132" t="s">
        <v>3420</v>
      </c>
      <c r="E74" s="136" t="s">
        <v>4436</v>
      </c>
      <c r="F74" s="136" t="s">
        <v>4436</v>
      </c>
      <c r="G74" s="137">
        <v>1395435642001</v>
      </c>
      <c r="H74" s="138" t="s">
        <v>10206</v>
      </c>
      <c r="I74" s="136">
        <v>951500268</v>
      </c>
      <c r="J74" s="131" t="s">
        <v>4456</v>
      </c>
      <c r="K74" s="139">
        <v>134826</v>
      </c>
    </row>
    <row r="75" spans="1:11">
      <c r="A75" s="1" t="str">
        <f t="shared" si="1"/>
        <v>50100-735033195-954100006999349</v>
      </c>
      <c r="B75" s="136" t="s">
        <v>3005</v>
      </c>
      <c r="C75" s="136" t="s">
        <v>10224</v>
      </c>
      <c r="D75" s="132" t="s">
        <v>3420</v>
      </c>
      <c r="E75" s="136" t="s">
        <v>3048</v>
      </c>
      <c r="F75" s="136" t="s">
        <v>3048</v>
      </c>
      <c r="G75" s="137">
        <v>1395397988001</v>
      </c>
      <c r="H75" s="138" t="s">
        <v>10183</v>
      </c>
      <c r="I75" s="136">
        <v>954100006</v>
      </c>
      <c r="J75" s="131" t="s">
        <v>3132</v>
      </c>
      <c r="K75" s="139">
        <v>999349</v>
      </c>
    </row>
    <row r="76" spans="1:11">
      <c r="A76" s="1" t="str">
        <f t="shared" si="1"/>
        <v>50100-734635895-9515001144900</v>
      </c>
      <c r="B76" s="136" t="s">
        <v>3006</v>
      </c>
      <c r="C76" s="136" t="s">
        <v>10225</v>
      </c>
      <c r="D76" s="132" t="s">
        <v>3420</v>
      </c>
      <c r="E76" s="136" t="s">
        <v>3048</v>
      </c>
      <c r="F76" s="136" t="s">
        <v>3048</v>
      </c>
      <c r="G76" s="137">
        <v>1395397990001</v>
      </c>
      <c r="H76" s="138" t="s">
        <v>6456</v>
      </c>
      <c r="I76" s="136">
        <v>951500114</v>
      </c>
      <c r="J76" s="131" t="s">
        <v>3084</v>
      </c>
      <c r="K76" s="139">
        <v>4900</v>
      </c>
    </row>
    <row r="77" spans="1:11">
      <c r="A77" s="1" t="str">
        <f t="shared" si="1"/>
        <v>50100-717697495-9515000141006342</v>
      </c>
      <c r="B77" s="136" t="s">
        <v>2720</v>
      </c>
      <c r="C77" s="136" t="s">
        <v>10226</v>
      </c>
      <c r="D77" s="132" t="s">
        <v>3420</v>
      </c>
      <c r="E77" s="136" t="s">
        <v>2749</v>
      </c>
      <c r="F77" s="136" t="s">
        <v>2749</v>
      </c>
      <c r="G77" s="137">
        <v>1394394801001</v>
      </c>
      <c r="H77" s="138" t="s">
        <v>10183</v>
      </c>
      <c r="I77" s="136">
        <v>951500014</v>
      </c>
      <c r="J77" s="131" t="s">
        <v>2650</v>
      </c>
      <c r="K77" s="139">
        <v>1006342</v>
      </c>
    </row>
    <row r="78" spans="1:11">
      <c r="A78" s="1" t="str">
        <f t="shared" si="1"/>
        <v>50100-735166195-95150003177342</v>
      </c>
      <c r="B78" s="136" t="s">
        <v>2926</v>
      </c>
      <c r="C78" s="136" t="s">
        <v>10227</v>
      </c>
      <c r="D78" s="132" t="s">
        <v>3420</v>
      </c>
      <c r="E78" s="136" t="s">
        <v>3049</v>
      </c>
      <c r="F78" s="136" t="s">
        <v>3049</v>
      </c>
      <c r="G78" s="137">
        <v>1395397985001</v>
      </c>
      <c r="H78" s="138" t="s">
        <v>6298</v>
      </c>
      <c r="I78" s="136">
        <v>951500031</v>
      </c>
      <c r="J78" s="131" t="s">
        <v>3083</v>
      </c>
      <c r="K78" s="139">
        <v>77342</v>
      </c>
    </row>
    <row r="79" spans="1:11">
      <c r="A79" s="1" t="str">
        <f t="shared" si="1"/>
        <v>50100-738529295-9541000081188255</v>
      </c>
      <c r="B79" s="136" t="s">
        <v>3144</v>
      </c>
      <c r="C79" s="136" t="s">
        <v>10228</v>
      </c>
      <c r="D79" s="132" t="s">
        <v>3420</v>
      </c>
      <c r="E79" s="136" t="s">
        <v>3045</v>
      </c>
      <c r="F79" s="136" t="s">
        <v>3045</v>
      </c>
      <c r="G79" s="137">
        <v>1395397988001</v>
      </c>
      <c r="H79" s="138" t="s">
        <v>10183</v>
      </c>
      <c r="I79" s="136">
        <v>954100008</v>
      </c>
      <c r="J79" s="131" t="s">
        <v>3173</v>
      </c>
      <c r="K79" s="139">
        <v>1188255</v>
      </c>
    </row>
    <row r="80" spans="1:11">
      <c r="A80" s="1" t="str">
        <f t="shared" si="1"/>
        <v>50100-721664395-951500022414600</v>
      </c>
      <c r="B80" s="136" t="s">
        <v>2719</v>
      </c>
      <c r="C80" s="136" t="s">
        <v>10229</v>
      </c>
      <c r="D80" s="132" t="s">
        <v>3420</v>
      </c>
      <c r="E80" s="136" t="s">
        <v>2757</v>
      </c>
      <c r="F80" s="136" t="s">
        <v>2757</v>
      </c>
      <c r="G80" s="137">
        <v>1395397985001</v>
      </c>
      <c r="H80" s="138" t="s">
        <v>6298</v>
      </c>
      <c r="I80" s="136">
        <v>951500022</v>
      </c>
      <c r="J80" s="131" t="s">
        <v>2801</v>
      </c>
      <c r="K80" s="139">
        <v>414600</v>
      </c>
    </row>
    <row r="81" spans="1:11">
      <c r="A81" s="1" t="str">
        <f t="shared" si="1"/>
        <v>50100-732761095-95150003030500</v>
      </c>
      <c r="B81" s="136" t="s">
        <v>2973</v>
      </c>
      <c r="C81" s="136" t="s">
        <v>10195</v>
      </c>
      <c r="D81" s="132" t="s">
        <v>3420</v>
      </c>
      <c r="E81" s="136" t="s">
        <v>2866</v>
      </c>
      <c r="F81" s="136" t="s">
        <v>2866</v>
      </c>
      <c r="G81" s="137">
        <v>1395397985001</v>
      </c>
      <c r="H81" s="138" t="s">
        <v>6298</v>
      </c>
      <c r="I81" s="136">
        <v>951500030</v>
      </c>
      <c r="J81" s="131" t="s">
        <v>2785</v>
      </c>
      <c r="K81" s="139">
        <v>30500</v>
      </c>
    </row>
    <row r="82" spans="1:11">
      <c r="A82" s="1" t="str">
        <f t="shared" si="1"/>
        <v>50100-720766195-951500086438011</v>
      </c>
      <c r="B82" s="136" t="s">
        <v>2695</v>
      </c>
      <c r="C82" s="136" t="s">
        <v>10230</v>
      </c>
      <c r="D82" s="132" t="s">
        <v>3420</v>
      </c>
      <c r="E82" s="136" t="s">
        <v>2755</v>
      </c>
      <c r="F82" s="136" t="s">
        <v>2755</v>
      </c>
      <c r="G82" s="137">
        <v>1395397987001</v>
      </c>
      <c r="H82" s="138" t="s">
        <v>10183</v>
      </c>
      <c r="I82" s="136">
        <v>951500086</v>
      </c>
      <c r="J82" s="131" t="s">
        <v>2783</v>
      </c>
      <c r="K82" s="139">
        <v>438011</v>
      </c>
    </row>
    <row r="83" spans="1:11">
      <c r="A83" s="1" t="str">
        <f t="shared" si="1"/>
        <v>50100-829842395-951500563904267</v>
      </c>
      <c r="B83" s="136" t="s">
        <v>4621</v>
      </c>
      <c r="C83" s="136" t="s">
        <v>10231</v>
      </c>
      <c r="D83" s="132" t="s">
        <v>3420</v>
      </c>
      <c r="E83" s="136" t="s">
        <v>4659</v>
      </c>
      <c r="F83" s="136" t="s">
        <v>4516</v>
      </c>
      <c r="G83" s="137">
        <v>1395449242001</v>
      </c>
      <c r="H83" s="138" t="s">
        <v>6300</v>
      </c>
      <c r="I83" s="136">
        <v>951500563</v>
      </c>
      <c r="J83" s="131" t="s">
        <v>4579</v>
      </c>
      <c r="K83" s="139">
        <v>904267</v>
      </c>
    </row>
    <row r="84" spans="1:11">
      <c r="A84" s="1" t="str">
        <f t="shared" si="1"/>
        <v>50100-852154396-961500005312025</v>
      </c>
      <c r="B84" s="136" t="s">
        <v>4979</v>
      </c>
      <c r="C84" s="136" t="s">
        <v>8941</v>
      </c>
      <c r="D84" s="132" t="s">
        <v>4971</v>
      </c>
      <c r="E84" s="136" t="s">
        <v>5009</v>
      </c>
      <c r="F84" s="136" t="s">
        <v>5009</v>
      </c>
      <c r="G84" s="137">
        <v>1395451404001</v>
      </c>
      <c r="H84" s="138" t="s">
        <v>6456</v>
      </c>
      <c r="I84" s="136">
        <v>961500005</v>
      </c>
      <c r="J84" s="131" t="s">
        <v>5018</v>
      </c>
      <c r="K84" s="139">
        <v>312025</v>
      </c>
    </row>
    <row r="85" spans="1:11">
      <c r="A85" s="1" t="str">
        <f t="shared" si="1"/>
        <v>50100-713108394-941500739695980</v>
      </c>
      <c r="B85" s="136" t="s">
        <v>10232</v>
      </c>
      <c r="C85" s="136" t="s">
        <v>10233</v>
      </c>
      <c r="D85" s="132" t="s">
        <v>3420</v>
      </c>
      <c r="E85" s="136" t="s">
        <v>2614</v>
      </c>
      <c r="F85" s="136" t="s">
        <v>2614</v>
      </c>
      <c r="G85" s="137">
        <v>1394392935001</v>
      </c>
      <c r="H85" s="138" t="s">
        <v>6298</v>
      </c>
      <c r="I85" s="136">
        <v>941500739</v>
      </c>
      <c r="J85" s="131" t="s">
        <v>2636</v>
      </c>
      <c r="K85" s="139">
        <v>695980</v>
      </c>
    </row>
    <row r="86" spans="1:11">
      <c r="A86" s="1" t="str">
        <f t="shared" si="1"/>
        <v>50100-855732495-95150057135812</v>
      </c>
      <c r="B86" s="136" t="s">
        <v>4981</v>
      </c>
      <c r="C86" s="136" t="s">
        <v>8943</v>
      </c>
      <c r="D86" s="132" t="s">
        <v>4971</v>
      </c>
      <c r="E86" s="136" t="s">
        <v>4972</v>
      </c>
      <c r="F86" s="136" t="s">
        <v>4972</v>
      </c>
      <c r="G86" s="137">
        <v>1395451399001</v>
      </c>
      <c r="H86" s="138" t="s">
        <v>10206</v>
      </c>
      <c r="I86" s="136">
        <v>951500571</v>
      </c>
      <c r="J86" s="131" t="s">
        <v>4937</v>
      </c>
      <c r="K86" s="139">
        <v>35812</v>
      </c>
    </row>
    <row r="87" spans="1:11">
      <c r="A87" s="1" t="str">
        <f t="shared" si="1"/>
        <v>50100-822023195-9515002661024296</v>
      </c>
      <c r="B87" s="136" t="s">
        <v>4398</v>
      </c>
      <c r="C87" s="136" t="s">
        <v>10223</v>
      </c>
      <c r="D87" s="132" t="s">
        <v>3420</v>
      </c>
      <c r="E87" s="136" t="s">
        <v>4436</v>
      </c>
      <c r="F87" s="136" t="s">
        <v>4436</v>
      </c>
      <c r="G87" s="137">
        <v>1395435642001</v>
      </c>
      <c r="H87" s="138" t="s">
        <v>10206</v>
      </c>
      <c r="I87" s="136">
        <v>951500266</v>
      </c>
      <c r="J87" s="131" t="s">
        <v>4226</v>
      </c>
      <c r="K87" s="139">
        <v>1024296</v>
      </c>
    </row>
    <row r="88" spans="1:11">
      <c r="A88" s="1" t="str">
        <f t="shared" si="1"/>
        <v>50100-736529995-951500051260767</v>
      </c>
      <c r="B88" s="136" t="s">
        <v>2923</v>
      </c>
      <c r="C88" s="136" t="s">
        <v>10234</v>
      </c>
      <c r="D88" s="132" t="s">
        <v>3420</v>
      </c>
      <c r="E88" s="136" t="s">
        <v>3043</v>
      </c>
      <c r="F88" s="136" t="s">
        <v>3043</v>
      </c>
      <c r="G88" s="137">
        <v>1395397985001</v>
      </c>
      <c r="H88" s="138" t="s">
        <v>6298</v>
      </c>
      <c r="I88" s="136">
        <v>951500051</v>
      </c>
      <c r="J88" s="131" t="s">
        <v>3066</v>
      </c>
      <c r="K88" s="139">
        <v>260767</v>
      </c>
    </row>
    <row r="89" spans="1:11">
      <c r="A89" s="1" t="str">
        <f t="shared" si="1"/>
        <v>50100-830063795-951500411200000</v>
      </c>
      <c r="B89" s="136" t="s">
        <v>4620</v>
      </c>
      <c r="C89" s="136" t="s">
        <v>10235</v>
      </c>
      <c r="D89" s="132" t="s">
        <v>3420</v>
      </c>
      <c r="E89" s="136" t="s">
        <v>4659</v>
      </c>
      <c r="F89" s="136" t="s">
        <v>4659</v>
      </c>
      <c r="G89" s="137">
        <v>1395447369001</v>
      </c>
      <c r="H89" s="138" t="s">
        <v>6298</v>
      </c>
      <c r="I89" s="136">
        <v>951500411</v>
      </c>
      <c r="J89" s="131" t="s">
        <v>4676</v>
      </c>
      <c r="K89" s="139">
        <v>200000</v>
      </c>
    </row>
    <row r="90" spans="1:11">
      <c r="A90" s="1" t="str">
        <f t="shared" si="1"/>
        <v>50100-736529994-9415003801960</v>
      </c>
      <c r="B90" s="136" t="s">
        <v>2923</v>
      </c>
      <c r="C90" s="136" t="s">
        <v>10234</v>
      </c>
      <c r="D90" s="132" t="s">
        <v>3420</v>
      </c>
      <c r="E90" s="136" t="s">
        <v>3043</v>
      </c>
      <c r="F90" s="136" t="s">
        <v>3043</v>
      </c>
      <c r="G90" s="137">
        <v>1394365030001</v>
      </c>
      <c r="H90" s="138" t="s">
        <v>6298</v>
      </c>
      <c r="I90" s="136">
        <v>941500380</v>
      </c>
      <c r="J90" s="131" t="s">
        <v>2376</v>
      </c>
      <c r="K90" s="139">
        <v>1960</v>
      </c>
    </row>
    <row r="91" spans="1:11">
      <c r="A91" s="1" t="str">
        <f t="shared" si="1"/>
        <v>50100-717737595-9515000331488460</v>
      </c>
      <c r="B91" s="136" t="s">
        <v>2694</v>
      </c>
      <c r="C91" s="136" t="s">
        <v>10236</v>
      </c>
      <c r="D91" s="132" t="s">
        <v>3420</v>
      </c>
      <c r="E91" s="136" t="s">
        <v>2749</v>
      </c>
      <c r="F91" s="136" t="s">
        <v>2749</v>
      </c>
      <c r="G91" s="137">
        <v>1394394801001</v>
      </c>
      <c r="H91" s="138" t="s">
        <v>10183</v>
      </c>
      <c r="I91" s="136">
        <v>951500033</v>
      </c>
      <c r="J91" s="131" t="s">
        <v>2782</v>
      </c>
      <c r="K91" s="139">
        <v>1488460</v>
      </c>
    </row>
    <row r="92" spans="1:11">
      <c r="A92" s="1" t="str">
        <f t="shared" si="1"/>
        <v>50100-825269995-951500550758313</v>
      </c>
      <c r="B92" s="136" t="s">
        <v>4535</v>
      </c>
      <c r="C92" s="136" t="s">
        <v>10237</v>
      </c>
      <c r="D92" s="132" t="s">
        <v>3420</v>
      </c>
      <c r="E92" s="136" t="s">
        <v>4575</v>
      </c>
      <c r="F92" s="136" t="s">
        <v>4575</v>
      </c>
      <c r="G92" s="137">
        <v>1395447926001</v>
      </c>
      <c r="H92" s="138" t="s">
        <v>6300</v>
      </c>
      <c r="I92" s="136">
        <v>951500550</v>
      </c>
      <c r="J92" s="131" t="s">
        <v>4511</v>
      </c>
      <c r="K92" s="139">
        <v>758313</v>
      </c>
    </row>
    <row r="93" spans="1:11">
      <c r="A93" s="1" t="str">
        <f t="shared" si="1"/>
        <v>50100-856263796-962500007447983</v>
      </c>
      <c r="B93" s="136" t="s">
        <v>4986</v>
      </c>
      <c r="C93" s="136" t="s">
        <v>8948</v>
      </c>
      <c r="D93" s="132" t="s">
        <v>4971</v>
      </c>
      <c r="E93" s="136" t="s">
        <v>5007</v>
      </c>
      <c r="F93" s="136" t="s">
        <v>5007</v>
      </c>
      <c r="G93" s="137">
        <v>1395452682001</v>
      </c>
      <c r="H93" s="138" t="s">
        <v>10183</v>
      </c>
      <c r="I93" s="136">
        <v>962500007</v>
      </c>
      <c r="J93" s="131" t="s">
        <v>5027</v>
      </c>
      <c r="K93" s="139">
        <v>447983</v>
      </c>
    </row>
    <row r="94" spans="1:11">
      <c r="A94" s="1" t="str">
        <f t="shared" si="1"/>
        <v>50100-731343294-941500797591340</v>
      </c>
      <c r="B94" s="136" t="s">
        <v>10238</v>
      </c>
      <c r="C94" s="136" t="s">
        <v>10239</v>
      </c>
      <c r="D94" s="132" t="s">
        <v>3420</v>
      </c>
      <c r="E94" s="136" t="s">
        <v>2865</v>
      </c>
      <c r="F94" s="136" t="s">
        <v>2865</v>
      </c>
      <c r="G94" s="137">
        <v>1394391771001</v>
      </c>
      <c r="H94" s="138" t="s">
        <v>10186</v>
      </c>
      <c r="I94" s="136">
        <v>941500797</v>
      </c>
      <c r="J94" s="131" t="s">
        <v>3097</v>
      </c>
      <c r="K94" s="139">
        <v>591340</v>
      </c>
    </row>
    <row r="95" spans="1:11">
      <c r="A95" s="1" t="str">
        <f t="shared" si="1"/>
        <v>50100-729944795-951500063299260</v>
      </c>
      <c r="B95" s="136" t="s">
        <v>2928</v>
      </c>
      <c r="C95" s="136" t="s">
        <v>10240</v>
      </c>
      <c r="D95" s="132" t="s">
        <v>3420</v>
      </c>
      <c r="E95" s="136" t="s">
        <v>2852</v>
      </c>
      <c r="F95" s="136" t="s">
        <v>2852</v>
      </c>
      <c r="G95" s="137">
        <v>1395397985001</v>
      </c>
      <c r="H95" s="138" t="s">
        <v>6298</v>
      </c>
      <c r="I95" s="136">
        <v>951500063</v>
      </c>
      <c r="J95" s="131" t="s">
        <v>3098</v>
      </c>
      <c r="K95" s="139">
        <v>299260</v>
      </c>
    </row>
    <row r="96" spans="1:11">
      <c r="A96" s="1" t="str">
        <f t="shared" si="1"/>
        <v>50100-729944795-951500027324340</v>
      </c>
      <c r="B96" s="136" t="s">
        <v>2928</v>
      </c>
      <c r="C96" s="136" t="s">
        <v>10240</v>
      </c>
      <c r="D96" s="132" t="s">
        <v>3420</v>
      </c>
      <c r="E96" s="136" t="s">
        <v>2852</v>
      </c>
      <c r="F96" s="136" t="s">
        <v>2852</v>
      </c>
      <c r="G96" s="137">
        <v>1395397985001</v>
      </c>
      <c r="H96" s="138" t="s">
        <v>6298</v>
      </c>
      <c r="I96" s="136">
        <v>951500027</v>
      </c>
      <c r="J96" s="131" t="s">
        <v>2802</v>
      </c>
      <c r="K96" s="139">
        <v>324340</v>
      </c>
    </row>
    <row r="97" spans="1:11">
      <c r="A97" s="1" t="str">
        <f t="shared" si="1"/>
        <v>50100-719833494-94150062322140</v>
      </c>
      <c r="B97" s="136" t="s">
        <v>2699</v>
      </c>
      <c r="C97" s="136" t="s">
        <v>10241</v>
      </c>
      <c r="D97" s="132" t="s">
        <v>3420</v>
      </c>
      <c r="E97" s="136" t="s">
        <v>2756</v>
      </c>
      <c r="F97" s="136" t="s">
        <v>2756</v>
      </c>
      <c r="G97" s="137">
        <v>1394389331001</v>
      </c>
      <c r="H97" s="138" t="s">
        <v>10183</v>
      </c>
      <c r="I97" s="136">
        <v>941500623</v>
      </c>
      <c r="J97" s="131" t="s">
        <v>7022</v>
      </c>
      <c r="K97" s="139">
        <v>22140</v>
      </c>
    </row>
    <row r="98" spans="1:11">
      <c r="A98" s="1" t="str">
        <f t="shared" si="1"/>
        <v>50100-765721195-951500192300000</v>
      </c>
      <c r="B98" s="136" t="s">
        <v>10242</v>
      </c>
      <c r="C98" s="136" t="s">
        <v>10243</v>
      </c>
      <c r="D98" s="132" t="s">
        <v>3420</v>
      </c>
      <c r="E98" s="136" t="s">
        <v>3397</v>
      </c>
      <c r="F98" s="136" t="s">
        <v>3397</v>
      </c>
      <c r="G98" s="137">
        <v>1395400303001</v>
      </c>
      <c r="H98" s="138" t="s">
        <v>6453</v>
      </c>
      <c r="I98" s="136">
        <v>951500192</v>
      </c>
      <c r="J98" s="131" t="s">
        <v>3405</v>
      </c>
      <c r="K98" s="139">
        <v>300000</v>
      </c>
    </row>
    <row r="99" spans="1:11">
      <c r="A99" s="1" t="str">
        <f t="shared" si="1"/>
        <v>15100-37212095-95150055249600</v>
      </c>
      <c r="B99" s="136" t="s">
        <v>4521</v>
      </c>
      <c r="C99" s="136" t="s">
        <v>10244</v>
      </c>
      <c r="D99" s="132" t="s">
        <v>3420</v>
      </c>
      <c r="E99" s="136" t="s">
        <v>4570</v>
      </c>
      <c r="F99" s="136" t="s">
        <v>4570</v>
      </c>
      <c r="G99" s="137">
        <v>1395452679001</v>
      </c>
      <c r="H99" s="138" t="s">
        <v>6298</v>
      </c>
      <c r="I99" s="136">
        <v>951500552</v>
      </c>
      <c r="J99" s="131" t="s">
        <v>4577</v>
      </c>
      <c r="K99" s="139">
        <v>49600</v>
      </c>
    </row>
    <row r="100" spans="1:11">
      <c r="A100" s="1" t="str">
        <f t="shared" si="1"/>
        <v>50100-830063795-95150043153360</v>
      </c>
      <c r="B100" s="136" t="s">
        <v>4620</v>
      </c>
      <c r="C100" s="136" t="s">
        <v>10235</v>
      </c>
      <c r="D100" s="132" t="s">
        <v>3420</v>
      </c>
      <c r="E100" s="136" t="s">
        <v>4659</v>
      </c>
      <c r="F100" s="136" t="s">
        <v>4659</v>
      </c>
      <c r="G100" s="137">
        <v>1395447925001</v>
      </c>
      <c r="H100" s="138" t="s">
        <v>6298</v>
      </c>
      <c r="I100" s="136">
        <v>951500431</v>
      </c>
      <c r="J100" s="131" t="s">
        <v>4611</v>
      </c>
      <c r="K100" s="139">
        <v>53360</v>
      </c>
    </row>
    <row r="101" spans="1:11">
      <c r="A101" s="1" t="str">
        <f t="shared" si="1"/>
        <v>50100-852154395-951500592306652</v>
      </c>
      <c r="B101" s="136" t="s">
        <v>4979</v>
      </c>
      <c r="C101" s="136" t="s">
        <v>8941</v>
      </c>
      <c r="D101" s="132" t="s">
        <v>4971</v>
      </c>
      <c r="E101" s="136" t="s">
        <v>5009</v>
      </c>
      <c r="F101" s="136" t="s">
        <v>5009</v>
      </c>
      <c r="G101" s="137">
        <v>1395451404001</v>
      </c>
      <c r="H101" s="138" t="s">
        <v>6456</v>
      </c>
      <c r="I101" s="136">
        <v>951500592</v>
      </c>
      <c r="J101" s="131" t="s">
        <v>4961</v>
      </c>
      <c r="K101" s="139">
        <v>306652</v>
      </c>
    </row>
    <row r="102" spans="1:11">
      <c r="A102" s="1" t="str">
        <f t="shared" si="1"/>
        <v>50100-727205095-951500091998520</v>
      </c>
      <c r="B102" s="136" t="s">
        <v>2988</v>
      </c>
      <c r="C102" s="136" t="s">
        <v>10245</v>
      </c>
      <c r="D102" s="132" t="s">
        <v>3420</v>
      </c>
      <c r="E102" s="136" t="s">
        <v>2856</v>
      </c>
      <c r="F102" s="136" t="s">
        <v>2856</v>
      </c>
      <c r="G102" s="137">
        <v>1394395845001</v>
      </c>
      <c r="H102" s="138" t="s">
        <v>6453</v>
      </c>
      <c r="I102" s="136">
        <v>951500091</v>
      </c>
      <c r="J102" s="131" t="s">
        <v>3123</v>
      </c>
      <c r="K102" s="139">
        <v>998520</v>
      </c>
    </row>
    <row r="103" spans="1:11">
      <c r="A103" s="1" t="str">
        <f t="shared" si="1"/>
        <v>50100-713108394-941500815304020</v>
      </c>
      <c r="B103" s="136" t="s">
        <v>10232</v>
      </c>
      <c r="C103" s="136" t="s">
        <v>10233</v>
      </c>
      <c r="D103" s="132" t="s">
        <v>3420</v>
      </c>
      <c r="E103" s="136" t="s">
        <v>2614</v>
      </c>
      <c r="F103" s="136" t="s">
        <v>2614</v>
      </c>
      <c r="G103" s="137">
        <v>1394394802001</v>
      </c>
      <c r="H103" s="138" t="s">
        <v>6298</v>
      </c>
      <c r="I103" s="136">
        <v>941500815</v>
      </c>
      <c r="J103" s="131" t="s">
        <v>2640</v>
      </c>
      <c r="K103" s="139">
        <v>304020</v>
      </c>
    </row>
    <row r="104" spans="1:11">
      <c r="A104" s="1" t="str">
        <f t="shared" si="1"/>
        <v>50100-738266394-94150074297350</v>
      </c>
      <c r="B104" s="136" t="s">
        <v>2916</v>
      </c>
      <c r="C104" s="136" t="s">
        <v>10201</v>
      </c>
      <c r="D104" s="132" t="s">
        <v>3420</v>
      </c>
      <c r="E104" s="136" t="s">
        <v>3050</v>
      </c>
      <c r="F104" s="136" t="s">
        <v>3050</v>
      </c>
      <c r="G104" s="137">
        <v>1394392654001</v>
      </c>
      <c r="H104" s="138" t="s">
        <v>6453</v>
      </c>
      <c r="I104" s="136">
        <v>941500742</v>
      </c>
      <c r="J104" s="131" t="s">
        <v>6877</v>
      </c>
      <c r="K104" s="139">
        <v>97350</v>
      </c>
    </row>
    <row r="105" spans="1:11">
      <c r="A105" s="1" t="str">
        <f t="shared" si="1"/>
        <v>50100-756748195-951500202298510</v>
      </c>
      <c r="B105" s="136" t="s">
        <v>3295</v>
      </c>
      <c r="C105" s="136" t="s">
        <v>10246</v>
      </c>
      <c r="D105" s="132" t="s">
        <v>3420</v>
      </c>
      <c r="E105" s="136" t="s">
        <v>3323</v>
      </c>
      <c r="F105" s="136" t="s">
        <v>3323</v>
      </c>
      <c r="G105" s="137">
        <v>1395397987001</v>
      </c>
      <c r="H105" s="138" t="s">
        <v>10183</v>
      </c>
      <c r="I105" s="136">
        <v>951500202</v>
      </c>
      <c r="J105" s="131" t="s">
        <v>3330</v>
      </c>
      <c r="K105" s="139">
        <v>298510</v>
      </c>
    </row>
    <row r="106" spans="1:11">
      <c r="A106" s="1" t="str">
        <f t="shared" si="1"/>
        <v>50100-723775595-951500011100000</v>
      </c>
      <c r="B106" s="136" t="s">
        <v>2930</v>
      </c>
      <c r="C106" s="136" t="s">
        <v>10247</v>
      </c>
      <c r="D106" s="132" t="s">
        <v>3420</v>
      </c>
      <c r="E106" s="136" t="s">
        <v>2863</v>
      </c>
      <c r="F106" s="136" t="s">
        <v>2863</v>
      </c>
      <c r="G106" s="137">
        <v>1394392647001</v>
      </c>
      <c r="H106" s="138" t="s">
        <v>6454</v>
      </c>
      <c r="I106" s="136">
        <v>951500011</v>
      </c>
      <c r="J106" s="131" t="s">
        <v>3075</v>
      </c>
      <c r="K106" s="139">
        <v>100000</v>
      </c>
    </row>
    <row r="107" spans="1:11">
      <c r="A107" s="1" t="str">
        <f t="shared" si="1"/>
        <v>50100-726021795-951500083665072</v>
      </c>
      <c r="B107" s="136" t="s">
        <v>2931</v>
      </c>
      <c r="C107" s="136" t="s">
        <v>10248</v>
      </c>
      <c r="D107" s="132" t="s">
        <v>3420</v>
      </c>
      <c r="E107" s="136" t="s">
        <v>2867</v>
      </c>
      <c r="F107" s="136" t="s">
        <v>2867</v>
      </c>
      <c r="G107" s="137">
        <v>1394395845001</v>
      </c>
      <c r="H107" s="138" t="s">
        <v>6453</v>
      </c>
      <c r="I107" s="136">
        <v>951500083</v>
      </c>
      <c r="J107" s="131" t="s">
        <v>3078</v>
      </c>
      <c r="K107" s="139">
        <v>665072</v>
      </c>
    </row>
    <row r="108" spans="1:11">
      <c r="A108" s="1" t="str">
        <f t="shared" si="1"/>
        <v>50100-765462995-951500064378538</v>
      </c>
      <c r="B108" s="136" t="s">
        <v>10249</v>
      </c>
      <c r="C108" s="136" t="s">
        <v>10250</v>
      </c>
      <c r="D108" s="132" t="s">
        <v>3420</v>
      </c>
      <c r="E108" s="136" t="s">
        <v>3397</v>
      </c>
      <c r="F108" s="136" t="s">
        <v>3397</v>
      </c>
      <c r="G108" s="137">
        <v>1395397986001</v>
      </c>
      <c r="H108" s="138" t="s">
        <v>6454</v>
      </c>
      <c r="I108" s="136">
        <v>951500064</v>
      </c>
      <c r="J108" s="131" t="s">
        <v>3343</v>
      </c>
      <c r="K108" s="139">
        <v>378538</v>
      </c>
    </row>
    <row r="109" spans="1:11">
      <c r="A109" s="1" t="str">
        <f t="shared" si="1"/>
        <v>50100-820876795-951500327264304</v>
      </c>
      <c r="B109" s="136" t="s">
        <v>4404</v>
      </c>
      <c r="C109" s="136" t="s">
        <v>10251</v>
      </c>
      <c r="D109" s="132" t="s">
        <v>3420</v>
      </c>
      <c r="E109" s="136" t="s">
        <v>4440</v>
      </c>
      <c r="F109" s="136" t="s">
        <v>4440</v>
      </c>
      <c r="G109" s="137">
        <v>1395438159001</v>
      </c>
      <c r="H109" s="138" t="s">
        <v>6298</v>
      </c>
      <c r="I109" s="136">
        <v>951500327</v>
      </c>
      <c r="J109" s="131" t="s">
        <v>4213</v>
      </c>
      <c r="K109" s="139">
        <v>264304</v>
      </c>
    </row>
    <row r="110" spans="1:11">
      <c r="A110" s="1" t="str">
        <f t="shared" si="1"/>
        <v>15100-33415495-95150026973620</v>
      </c>
      <c r="B110" s="136" t="s">
        <v>3769</v>
      </c>
      <c r="C110" s="136" t="s">
        <v>10252</v>
      </c>
      <c r="D110" s="132" t="s">
        <v>3420</v>
      </c>
      <c r="E110" s="136" t="s">
        <v>3717</v>
      </c>
      <c r="F110" s="136" t="s">
        <v>3717</v>
      </c>
      <c r="G110" s="137">
        <v>1395435642001</v>
      </c>
      <c r="H110" s="138" t="s">
        <v>10206</v>
      </c>
      <c r="I110" s="136">
        <v>951500269</v>
      </c>
      <c r="J110" s="131" t="s">
        <v>3835</v>
      </c>
      <c r="K110" s="139">
        <v>73620</v>
      </c>
    </row>
    <row r="111" spans="1:11">
      <c r="A111" s="1" t="str">
        <f t="shared" si="1"/>
        <v>50100-754208995-951500111463455</v>
      </c>
      <c r="B111" s="136" t="s">
        <v>3302</v>
      </c>
      <c r="C111" s="136" t="s">
        <v>10253</v>
      </c>
      <c r="D111" s="132" t="s">
        <v>3420</v>
      </c>
      <c r="E111" s="136" t="s">
        <v>3280</v>
      </c>
      <c r="F111" s="136" t="s">
        <v>3280</v>
      </c>
      <c r="G111" s="137">
        <v>1395397987001</v>
      </c>
      <c r="H111" s="138" t="s">
        <v>10183</v>
      </c>
      <c r="I111" s="136">
        <v>951500111</v>
      </c>
      <c r="J111" s="131" t="s">
        <v>3335</v>
      </c>
      <c r="K111" s="139">
        <v>463455</v>
      </c>
    </row>
    <row r="112" spans="1:11">
      <c r="A112" s="1" t="str">
        <f t="shared" si="1"/>
        <v>50100-855732496-961500043434328</v>
      </c>
      <c r="B112" s="136" t="s">
        <v>4981</v>
      </c>
      <c r="C112" s="136" t="s">
        <v>8943</v>
      </c>
      <c r="D112" s="132" t="s">
        <v>4971</v>
      </c>
      <c r="E112" s="136" t="s">
        <v>4972</v>
      </c>
      <c r="F112" s="136" t="s">
        <v>4972</v>
      </c>
      <c r="G112" s="137">
        <v>1396472779001</v>
      </c>
      <c r="H112" s="138" t="s">
        <v>10206</v>
      </c>
      <c r="I112" s="136">
        <v>961500043</v>
      </c>
      <c r="J112" s="131" t="s">
        <v>5020</v>
      </c>
      <c r="K112" s="139">
        <v>434328</v>
      </c>
    </row>
    <row r="113" spans="1:11">
      <c r="A113" s="1" t="str">
        <f t="shared" si="1"/>
        <v>50100-734635895-951500105483700</v>
      </c>
      <c r="B113" s="136" t="s">
        <v>3006</v>
      </c>
      <c r="C113" s="136" t="s">
        <v>10225</v>
      </c>
      <c r="D113" s="132" t="s">
        <v>3420</v>
      </c>
      <c r="E113" s="136" t="s">
        <v>3048</v>
      </c>
      <c r="F113" s="136" t="s">
        <v>3048</v>
      </c>
      <c r="G113" s="137">
        <v>1395397990001</v>
      </c>
      <c r="H113" s="138" t="s">
        <v>6456</v>
      </c>
      <c r="I113" s="136">
        <v>951500105</v>
      </c>
      <c r="J113" s="131" t="s">
        <v>3130</v>
      </c>
      <c r="K113" s="139">
        <v>483700</v>
      </c>
    </row>
    <row r="114" spans="1:11">
      <c r="A114" s="1" t="str">
        <f t="shared" si="1"/>
        <v>50100-715490094-9415008301000000</v>
      </c>
      <c r="B114" s="136" t="s">
        <v>10254</v>
      </c>
      <c r="C114" s="136" t="s">
        <v>10255</v>
      </c>
      <c r="D114" s="132" t="s">
        <v>3420</v>
      </c>
      <c r="E114" s="136" t="s">
        <v>2609</v>
      </c>
      <c r="F114" s="136" t="s">
        <v>2609</v>
      </c>
      <c r="G114" s="137">
        <v>1394392647001</v>
      </c>
      <c r="H114" s="138" t="s">
        <v>6454</v>
      </c>
      <c r="I114" s="136">
        <v>941500830</v>
      </c>
      <c r="J114" s="131" t="s">
        <v>2635</v>
      </c>
      <c r="K114" s="139">
        <v>1000000</v>
      </c>
    </row>
    <row r="115" spans="1:11">
      <c r="A115" s="1" t="str">
        <f t="shared" si="1"/>
        <v>50100-756637595-951500179792820</v>
      </c>
      <c r="B115" s="136" t="s">
        <v>3300</v>
      </c>
      <c r="C115" s="136" t="s">
        <v>10256</v>
      </c>
      <c r="D115" s="132" t="s">
        <v>3420</v>
      </c>
      <c r="E115" s="136" t="s">
        <v>3323</v>
      </c>
      <c r="F115" s="136" t="s">
        <v>3323</v>
      </c>
      <c r="G115" s="137">
        <v>1395400303001</v>
      </c>
      <c r="H115" s="138" t="s">
        <v>6453</v>
      </c>
      <c r="I115" s="136">
        <v>951500179</v>
      </c>
      <c r="J115" s="131" t="s">
        <v>3344</v>
      </c>
      <c r="K115" s="139">
        <v>792820</v>
      </c>
    </row>
    <row r="116" spans="1:11">
      <c r="A116" s="1" t="str">
        <f t="shared" si="1"/>
        <v>50100-765462995-951500137481155</v>
      </c>
      <c r="B116" s="136" t="s">
        <v>10249</v>
      </c>
      <c r="C116" s="136" t="s">
        <v>10250</v>
      </c>
      <c r="D116" s="132" t="s">
        <v>3420</v>
      </c>
      <c r="E116" s="136" t="s">
        <v>3397</v>
      </c>
      <c r="F116" s="136" t="s">
        <v>3397</v>
      </c>
      <c r="G116" s="137">
        <v>1395397986001</v>
      </c>
      <c r="H116" s="138" t="s">
        <v>6454</v>
      </c>
      <c r="I116" s="136">
        <v>951500137</v>
      </c>
      <c r="J116" s="131" t="s">
        <v>3401</v>
      </c>
      <c r="K116" s="139">
        <v>481155</v>
      </c>
    </row>
    <row r="117" spans="1:11">
      <c r="A117" s="1" t="str">
        <f t="shared" si="1"/>
        <v>50100-829323295-951500431268636</v>
      </c>
      <c r="B117" s="136" t="s">
        <v>4563</v>
      </c>
      <c r="C117" s="136" t="s">
        <v>10257</v>
      </c>
      <c r="D117" s="132" t="s">
        <v>3420</v>
      </c>
      <c r="E117" s="136" t="s">
        <v>4515</v>
      </c>
      <c r="F117" s="136" t="s">
        <v>4515</v>
      </c>
      <c r="G117" s="137">
        <v>1395447925001</v>
      </c>
      <c r="H117" s="138" t="s">
        <v>6298</v>
      </c>
      <c r="I117" s="136">
        <v>951500431</v>
      </c>
      <c r="J117" s="131" t="s">
        <v>4611</v>
      </c>
      <c r="K117" s="139">
        <v>268636</v>
      </c>
    </row>
    <row r="118" spans="1:11">
      <c r="A118" s="1" t="str">
        <f t="shared" si="1"/>
        <v>50100-761578095-951500177494960</v>
      </c>
      <c r="B118" s="136" t="s">
        <v>10258</v>
      </c>
      <c r="C118" s="136" t="s">
        <v>10259</v>
      </c>
      <c r="D118" s="132" t="s">
        <v>3420</v>
      </c>
      <c r="E118" s="136" t="s">
        <v>3378</v>
      </c>
      <c r="F118" s="136" t="s">
        <v>3378</v>
      </c>
      <c r="G118" s="137">
        <v>1395401420001</v>
      </c>
      <c r="H118" s="138" t="s">
        <v>6298</v>
      </c>
      <c r="I118" s="136">
        <v>951500177</v>
      </c>
      <c r="J118" s="131" t="s">
        <v>3329</v>
      </c>
      <c r="K118" s="139">
        <v>494960</v>
      </c>
    </row>
    <row r="119" spans="1:11">
      <c r="A119" s="1" t="str">
        <f t="shared" si="1"/>
        <v>50100-825486695-9515005544840</v>
      </c>
      <c r="B119" s="136" t="s">
        <v>4560</v>
      </c>
      <c r="C119" s="136" t="s">
        <v>10260</v>
      </c>
      <c r="D119" s="132" t="s">
        <v>3420</v>
      </c>
      <c r="E119" s="136" t="s">
        <v>4575</v>
      </c>
      <c r="F119" s="136" t="s">
        <v>4575</v>
      </c>
      <c r="G119" s="137">
        <v>1395456621001</v>
      </c>
      <c r="H119" s="138" t="s">
        <v>10183</v>
      </c>
      <c r="I119" s="136">
        <v>951500554</v>
      </c>
      <c r="J119" s="131" t="s">
        <v>4590</v>
      </c>
      <c r="K119" s="139">
        <v>4840</v>
      </c>
    </row>
    <row r="120" spans="1:11">
      <c r="A120" s="1" t="str">
        <f t="shared" si="1"/>
        <v>15100-33520695-95150026948020</v>
      </c>
      <c r="B120" s="136" t="s">
        <v>3770</v>
      </c>
      <c r="C120" s="136" t="s">
        <v>10261</v>
      </c>
      <c r="D120" s="132" t="s">
        <v>3420</v>
      </c>
      <c r="E120" s="136" t="s">
        <v>3718</v>
      </c>
      <c r="F120" s="136" t="s">
        <v>3718</v>
      </c>
      <c r="G120" s="137">
        <v>1395435642001</v>
      </c>
      <c r="H120" s="138" t="s">
        <v>10206</v>
      </c>
      <c r="I120" s="136">
        <v>951500269</v>
      </c>
      <c r="J120" s="131" t="s">
        <v>3835</v>
      </c>
      <c r="K120" s="139">
        <v>48020</v>
      </c>
    </row>
    <row r="121" spans="1:11">
      <c r="A121" s="1" t="str">
        <f t="shared" si="1"/>
        <v>50100-829323295-951500535198940</v>
      </c>
      <c r="B121" s="136" t="s">
        <v>4563</v>
      </c>
      <c r="C121" s="136" t="s">
        <v>10257</v>
      </c>
      <c r="D121" s="132" t="s">
        <v>3420</v>
      </c>
      <c r="E121" s="136" t="s">
        <v>4515</v>
      </c>
      <c r="F121" s="136" t="s">
        <v>4515</v>
      </c>
      <c r="G121" s="137">
        <v>1395452679001</v>
      </c>
      <c r="H121" s="138" t="s">
        <v>6298</v>
      </c>
      <c r="I121" s="136">
        <v>951500535</v>
      </c>
      <c r="J121" s="131" t="s">
        <v>4610</v>
      </c>
      <c r="K121" s="139">
        <v>198940</v>
      </c>
    </row>
    <row r="122" spans="1:11">
      <c r="A122" s="1" t="str">
        <f t="shared" si="1"/>
        <v>50100-729538995-9515000801000000</v>
      </c>
      <c r="B122" s="136" t="s">
        <v>3004</v>
      </c>
      <c r="C122" s="136" t="s">
        <v>10262</v>
      </c>
      <c r="D122" s="132" t="s">
        <v>3420</v>
      </c>
      <c r="E122" s="136" t="s">
        <v>2859</v>
      </c>
      <c r="F122" s="136" t="s">
        <v>2859</v>
      </c>
      <c r="G122" s="137">
        <v>1394395845001</v>
      </c>
      <c r="H122" s="138" t="s">
        <v>6453</v>
      </c>
      <c r="I122" s="136">
        <v>951500080</v>
      </c>
      <c r="J122" s="131" t="s">
        <v>3137</v>
      </c>
      <c r="K122" s="139">
        <v>1000000</v>
      </c>
    </row>
    <row r="123" spans="1:11">
      <c r="A123" s="1" t="str">
        <f t="shared" si="1"/>
        <v>50100-737356995-95150012368920</v>
      </c>
      <c r="B123" s="136" t="s">
        <v>2936</v>
      </c>
      <c r="C123" s="136" t="s">
        <v>10263</v>
      </c>
      <c r="D123" s="132" t="s">
        <v>3420</v>
      </c>
      <c r="E123" s="136" t="s">
        <v>3041</v>
      </c>
      <c r="F123" s="136" t="s">
        <v>3041</v>
      </c>
      <c r="G123" s="137">
        <v>1394395847001</v>
      </c>
      <c r="H123" s="138" t="s">
        <v>10183</v>
      </c>
      <c r="I123" s="136">
        <v>951500123</v>
      </c>
      <c r="J123" s="131" t="s">
        <v>3068</v>
      </c>
      <c r="K123" s="139">
        <v>68920</v>
      </c>
    </row>
    <row r="124" spans="1:11">
      <c r="A124" s="1" t="str">
        <f t="shared" si="1"/>
        <v>50100-729944795-951500113374940</v>
      </c>
      <c r="B124" s="136" t="s">
        <v>2928</v>
      </c>
      <c r="C124" s="136" t="s">
        <v>10240</v>
      </c>
      <c r="D124" s="132" t="s">
        <v>3420</v>
      </c>
      <c r="E124" s="136" t="s">
        <v>2852</v>
      </c>
      <c r="F124" s="136" t="s">
        <v>2852</v>
      </c>
      <c r="G124" s="137">
        <v>1395397985001</v>
      </c>
      <c r="H124" s="138" t="s">
        <v>6298</v>
      </c>
      <c r="I124" s="136">
        <v>951500113</v>
      </c>
      <c r="J124" s="131" t="s">
        <v>3100</v>
      </c>
      <c r="K124" s="139">
        <v>374940</v>
      </c>
    </row>
    <row r="125" spans="1:11">
      <c r="A125" s="1" t="str">
        <f t="shared" si="1"/>
        <v>50100-821704195-951500495196660</v>
      </c>
      <c r="B125" s="136" t="s">
        <v>4400</v>
      </c>
      <c r="C125" s="136" t="s">
        <v>10264</v>
      </c>
      <c r="D125" s="132" t="s">
        <v>3420</v>
      </c>
      <c r="E125" s="136" t="s">
        <v>4307</v>
      </c>
      <c r="F125" s="136" t="s">
        <v>4307</v>
      </c>
      <c r="G125" s="137">
        <v>1395449236001</v>
      </c>
      <c r="H125" s="138" t="s">
        <v>6298</v>
      </c>
      <c r="I125" s="136">
        <v>951500495</v>
      </c>
      <c r="J125" s="131" t="s">
        <v>4458</v>
      </c>
      <c r="K125" s="139">
        <v>196660</v>
      </c>
    </row>
    <row r="126" spans="1:11">
      <c r="A126" s="1" t="str">
        <f t="shared" si="1"/>
        <v>50100-853729696-9615000151200000</v>
      </c>
      <c r="B126" s="136" t="s">
        <v>4980</v>
      </c>
      <c r="C126" s="136" t="s">
        <v>8942</v>
      </c>
      <c r="D126" s="132" t="s">
        <v>4971</v>
      </c>
      <c r="E126" s="136" t="s">
        <v>5010</v>
      </c>
      <c r="F126" s="136" t="s">
        <v>5010</v>
      </c>
      <c r="G126" s="137">
        <v>1396471726001</v>
      </c>
      <c r="H126" s="138" t="s">
        <v>10206</v>
      </c>
      <c r="I126" s="136">
        <v>961500015</v>
      </c>
      <c r="J126" s="131" t="s">
        <v>5019</v>
      </c>
      <c r="K126" s="139">
        <v>1200000</v>
      </c>
    </row>
    <row r="127" spans="1:11">
      <c r="A127" s="1" t="str">
        <f t="shared" si="1"/>
        <v>50100-747928595-952500016975790</v>
      </c>
      <c r="B127" s="136" t="s">
        <v>3230</v>
      </c>
      <c r="C127" s="136" t="s">
        <v>10265</v>
      </c>
      <c r="D127" s="132" t="s">
        <v>3420</v>
      </c>
      <c r="E127" s="136" t="s">
        <v>3242</v>
      </c>
      <c r="F127" s="136" t="s">
        <v>3242</v>
      </c>
      <c r="G127" s="137">
        <v>1395397987001</v>
      </c>
      <c r="H127" s="138" t="s">
        <v>10183</v>
      </c>
      <c r="I127" s="136">
        <v>952500016</v>
      </c>
      <c r="J127" s="131" t="s">
        <v>3248</v>
      </c>
      <c r="K127" s="139">
        <v>975790</v>
      </c>
    </row>
    <row r="128" spans="1:11">
      <c r="A128" s="1" t="str">
        <f t="shared" si="1"/>
        <v>50100-765721195-951500191600000</v>
      </c>
      <c r="B128" s="136" t="s">
        <v>10242</v>
      </c>
      <c r="C128" s="136" t="s">
        <v>10243</v>
      </c>
      <c r="D128" s="132" t="s">
        <v>3420</v>
      </c>
      <c r="E128" s="136" t="s">
        <v>3397</v>
      </c>
      <c r="F128" s="136" t="s">
        <v>3397</v>
      </c>
      <c r="G128" s="137">
        <v>1395400303001</v>
      </c>
      <c r="H128" s="138" t="s">
        <v>6453</v>
      </c>
      <c r="I128" s="136">
        <v>951500191</v>
      </c>
      <c r="J128" s="131" t="s">
        <v>3403</v>
      </c>
      <c r="K128" s="139">
        <v>600000</v>
      </c>
    </row>
    <row r="129" spans="1:11">
      <c r="A129" s="1" t="str">
        <f t="shared" si="1"/>
        <v>50100-760431295-951500186500000</v>
      </c>
      <c r="B129" s="136" t="s">
        <v>3303</v>
      </c>
      <c r="C129" s="136" t="s">
        <v>10266</v>
      </c>
      <c r="D129" s="132" t="s">
        <v>3420</v>
      </c>
      <c r="E129" s="136" t="s">
        <v>3325</v>
      </c>
      <c r="F129" s="136" t="s">
        <v>3325</v>
      </c>
      <c r="G129" s="137">
        <v>1395400303001</v>
      </c>
      <c r="H129" s="138" t="s">
        <v>6453</v>
      </c>
      <c r="I129" s="136">
        <v>951500186</v>
      </c>
      <c r="J129" s="131" t="s">
        <v>3338</v>
      </c>
      <c r="K129" s="139">
        <v>500000</v>
      </c>
    </row>
    <row r="130" spans="1:11">
      <c r="A130" s="1" t="str">
        <f t="shared" si="1"/>
        <v>50100-726021795-9515000671300</v>
      </c>
      <c r="B130" s="136" t="s">
        <v>2931</v>
      </c>
      <c r="C130" s="136" t="s">
        <v>10248</v>
      </c>
      <c r="D130" s="132" t="s">
        <v>3420</v>
      </c>
      <c r="E130" s="136" t="s">
        <v>2867</v>
      </c>
      <c r="F130" s="136" t="s">
        <v>2867</v>
      </c>
      <c r="G130" s="137">
        <v>1394395845001</v>
      </c>
      <c r="H130" s="138" t="s">
        <v>6453</v>
      </c>
      <c r="I130" s="136">
        <v>951500067</v>
      </c>
      <c r="J130" s="131" t="s">
        <v>2807</v>
      </c>
      <c r="K130" s="139">
        <v>1300</v>
      </c>
    </row>
    <row r="131" spans="1:11">
      <c r="A131" s="1" t="str">
        <f t="shared" ref="A131:A194" si="2">B131&amp;J131&amp;K131</f>
        <v>50100-765462995-951500052133057</v>
      </c>
      <c r="B131" s="136" t="s">
        <v>10249</v>
      </c>
      <c r="C131" s="136" t="s">
        <v>10250</v>
      </c>
      <c r="D131" s="132" t="s">
        <v>3420</v>
      </c>
      <c r="E131" s="136" t="s">
        <v>3397</v>
      </c>
      <c r="F131" s="136" t="s">
        <v>3397</v>
      </c>
      <c r="G131" s="137">
        <v>1395397985001</v>
      </c>
      <c r="H131" s="138" t="s">
        <v>6298</v>
      </c>
      <c r="I131" s="136">
        <v>951500052</v>
      </c>
      <c r="J131" s="131" t="s">
        <v>3181</v>
      </c>
      <c r="K131" s="139">
        <v>133057</v>
      </c>
    </row>
    <row r="132" spans="1:11">
      <c r="A132" s="1" t="str">
        <f t="shared" si="2"/>
        <v>50100-820876795-951500340100000</v>
      </c>
      <c r="B132" s="136" t="s">
        <v>4404</v>
      </c>
      <c r="C132" s="136" t="s">
        <v>10251</v>
      </c>
      <c r="D132" s="132" t="s">
        <v>3420</v>
      </c>
      <c r="E132" s="136" t="s">
        <v>4440</v>
      </c>
      <c r="F132" s="136" t="s">
        <v>4440</v>
      </c>
      <c r="G132" s="137">
        <v>1395438159001</v>
      </c>
      <c r="H132" s="138" t="s">
        <v>6298</v>
      </c>
      <c r="I132" s="136">
        <v>951500340</v>
      </c>
      <c r="J132" s="131" t="s">
        <v>4465</v>
      </c>
      <c r="K132" s="139">
        <v>100000</v>
      </c>
    </row>
    <row r="133" spans="1:11">
      <c r="A133" s="1" t="str">
        <f t="shared" si="2"/>
        <v>50100-820876795-952500055293756</v>
      </c>
      <c r="B133" s="136" t="s">
        <v>4404</v>
      </c>
      <c r="C133" s="136" t="s">
        <v>10251</v>
      </c>
      <c r="D133" s="132" t="s">
        <v>3420</v>
      </c>
      <c r="E133" s="136" t="s">
        <v>4440</v>
      </c>
      <c r="F133" s="136" t="s">
        <v>4440</v>
      </c>
      <c r="G133" s="137">
        <v>1395441908001</v>
      </c>
      <c r="H133" s="138" t="s">
        <v>6298</v>
      </c>
      <c r="I133" s="136">
        <v>952500055</v>
      </c>
      <c r="J133" s="131" t="s">
        <v>4466</v>
      </c>
      <c r="K133" s="139">
        <v>293756</v>
      </c>
    </row>
    <row r="134" spans="1:11">
      <c r="A134" s="1" t="str">
        <f t="shared" si="2"/>
        <v>50100-727937095-952500011500000</v>
      </c>
      <c r="B134" s="136" t="s">
        <v>2924</v>
      </c>
      <c r="C134" s="136" t="s">
        <v>10202</v>
      </c>
      <c r="D134" s="132" t="s">
        <v>3420</v>
      </c>
      <c r="E134" s="136" t="s">
        <v>2860</v>
      </c>
      <c r="F134" s="136" t="s">
        <v>2860</v>
      </c>
      <c r="G134" s="137">
        <v>1394395847001</v>
      </c>
      <c r="H134" s="138" t="s">
        <v>10183</v>
      </c>
      <c r="I134" s="136">
        <v>952500011</v>
      </c>
      <c r="J134" s="131" t="s">
        <v>3077</v>
      </c>
      <c r="K134" s="139">
        <v>500000</v>
      </c>
    </row>
    <row r="135" spans="1:11">
      <c r="A135" s="1" t="str">
        <f t="shared" si="2"/>
        <v>15100-36839895-9515003865560</v>
      </c>
      <c r="B135" s="136" t="s">
        <v>4364</v>
      </c>
      <c r="C135" s="136" t="s">
        <v>10214</v>
      </c>
      <c r="D135" s="132" t="s">
        <v>3420</v>
      </c>
      <c r="E135" s="136" t="s">
        <v>4437</v>
      </c>
      <c r="F135" s="136" t="s">
        <v>4437</v>
      </c>
      <c r="G135" s="137">
        <v>1395445412001</v>
      </c>
      <c r="H135" s="138" t="s">
        <v>6298</v>
      </c>
      <c r="I135" s="136">
        <v>951500386</v>
      </c>
      <c r="J135" s="131" t="s">
        <v>4290</v>
      </c>
      <c r="K135" s="139">
        <v>5560</v>
      </c>
    </row>
    <row r="136" spans="1:11">
      <c r="A136" s="1" t="str">
        <f t="shared" si="2"/>
        <v>15100-36839895-95150047640660</v>
      </c>
      <c r="B136" s="136" t="s">
        <v>4364</v>
      </c>
      <c r="C136" s="136" t="s">
        <v>10214</v>
      </c>
      <c r="D136" s="132" t="s">
        <v>3420</v>
      </c>
      <c r="E136" s="136" t="s">
        <v>4437</v>
      </c>
      <c r="F136" s="136" t="s">
        <v>4437</v>
      </c>
      <c r="G136" s="137">
        <v>1395449236001</v>
      </c>
      <c r="H136" s="138" t="s">
        <v>6298</v>
      </c>
      <c r="I136" s="136">
        <v>951500476</v>
      </c>
      <c r="J136" s="131" t="s">
        <v>4451</v>
      </c>
      <c r="K136" s="139">
        <v>40660</v>
      </c>
    </row>
    <row r="137" spans="1:11">
      <c r="A137" s="1" t="str">
        <f t="shared" si="2"/>
        <v>50100-834122695-952500088492012</v>
      </c>
      <c r="B137" s="136" t="s">
        <v>4635</v>
      </c>
      <c r="C137" s="136" t="s">
        <v>10267</v>
      </c>
      <c r="D137" s="132" t="s">
        <v>3420</v>
      </c>
      <c r="E137" s="136" t="s">
        <v>4658</v>
      </c>
      <c r="F137" s="136" t="s">
        <v>4658</v>
      </c>
      <c r="G137" s="137">
        <v>1395447928001</v>
      </c>
      <c r="H137" s="138" t="s">
        <v>10183</v>
      </c>
      <c r="I137" s="136">
        <v>952500088</v>
      </c>
      <c r="J137" s="131" t="s">
        <v>4695</v>
      </c>
      <c r="K137" s="139">
        <v>492012</v>
      </c>
    </row>
    <row r="138" spans="1:11">
      <c r="A138" s="1" t="str">
        <f t="shared" si="2"/>
        <v>50100-744422495-951500139153320</v>
      </c>
      <c r="B138" s="136" t="s">
        <v>3145</v>
      </c>
      <c r="C138" s="136" t="s">
        <v>10268</v>
      </c>
      <c r="D138" s="132" t="s">
        <v>3420</v>
      </c>
      <c r="E138" s="136" t="s">
        <v>3164</v>
      </c>
      <c r="F138" s="136" t="s">
        <v>3164</v>
      </c>
      <c r="G138" s="137">
        <v>1395401420001</v>
      </c>
      <c r="H138" s="138" t="s">
        <v>6298</v>
      </c>
      <c r="I138" s="136">
        <v>951500139</v>
      </c>
      <c r="J138" s="131" t="s">
        <v>3174</v>
      </c>
      <c r="K138" s="139">
        <v>153320</v>
      </c>
    </row>
    <row r="139" spans="1:11">
      <c r="A139" s="1" t="str">
        <f t="shared" si="2"/>
        <v>50100-734286094-94150079039107</v>
      </c>
      <c r="B139" s="136" t="s">
        <v>2933</v>
      </c>
      <c r="C139" s="136" t="s">
        <v>10269</v>
      </c>
      <c r="D139" s="132" t="s">
        <v>3420</v>
      </c>
      <c r="E139" s="136" t="s">
        <v>3046</v>
      </c>
      <c r="F139" s="136" t="s">
        <v>3046</v>
      </c>
      <c r="G139" s="137">
        <v>1394394802001</v>
      </c>
      <c r="H139" s="138" t="s">
        <v>6298</v>
      </c>
      <c r="I139" s="136">
        <v>941500790</v>
      </c>
      <c r="J139" s="131" t="s">
        <v>2630</v>
      </c>
      <c r="K139" s="139">
        <v>39107</v>
      </c>
    </row>
    <row r="140" spans="1:11">
      <c r="A140" s="1" t="str">
        <f t="shared" si="2"/>
        <v>50100-734286094-94250010362782</v>
      </c>
      <c r="B140" s="136" t="s">
        <v>2933</v>
      </c>
      <c r="C140" s="136" t="s">
        <v>10269</v>
      </c>
      <c r="D140" s="132" t="s">
        <v>3420</v>
      </c>
      <c r="E140" s="136" t="s">
        <v>3046</v>
      </c>
      <c r="F140" s="136" t="s">
        <v>3046</v>
      </c>
      <c r="G140" s="137">
        <v>1394392935001</v>
      </c>
      <c r="H140" s="138" t="s">
        <v>6298</v>
      </c>
      <c r="I140" s="136">
        <v>942500103</v>
      </c>
      <c r="J140" s="131" t="s">
        <v>3107</v>
      </c>
      <c r="K140" s="139">
        <v>62782</v>
      </c>
    </row>
    <row r="141" spans="1:11">
      <c r="A141" s="1" t="str">
        <f t="shared" si="2"/>
        <v>50100-734534695-951500161499960</v>
      </c>
      <c r="B141" s="136" t="s">
        <v>2961</v>
      </c>
      <c r="C141" s="136" t="s">
        <v>10270</v>
      </c>
      <c r="D141" s="132" t="s">
        <v>3420</v>
      </c>
      <c r="E141" s="136" t="s">
        <v>3046</v>
      </c>
      <c r="F141" s="136" t="s">
        <v>3046</v>
      </c>
      <c r="G141" s="137">
        <v>1395401420001</v>
      </c>
      <c r="H141" s="138" t="s">
        <v>6298</v>
      </c>
      <c r="I141" s="136">
        <v>951500161</v>
      </c>
      <c r="J141" s="131" t="s">
        <v>3111</v>
      </c>
      <c r="K141" s="139">
        <v>499960</v>
      </c>
    </row>
    <row r="142" spans="1:11">
      <c r="A142" s="1" t="str">
        <f t="shared" si="2"/>
        <v>50100-735166195-95150004611208</v>
      </c>
      <c r="B142" s="136" t="s">
        <v>2926</v>
      </c>
      <c r="C142" s="136" t="s">
        <v>10227</v>
      </c>
      <c r="D142" s="132" t="s">
        <v>3420</v>
      </c>
      <c r="E142" s="136" t="s">
        <v>3049</v>
      </c>
      <c r="F142" s="136" t="s">
        <v>3049</v>
      </c>
      <c r="G142" s="137">
        <v>1395397985001</v>
      </c>
      <c r="H142" s="138" t="s">
        <v>6298</v>
      </c>
      <c r="I142" s="136">
        <v>951500046</v>
      </c>
      <c r="J142" s="131" t="s">
        <v>3064</v>
      </c>
      <c r="K142" s="139">
        <v>11208</v>
      </c>
    </row>
    <row r="143" spans="1:11">
      <c r="A143" s="1" t="str">
        <f t="shared" si="2"/>
        <v>50100-756637595-95150011115000</v>
      </c>
      <c r="B143" s="136" t="s">
        <v>3300</v>
      </c>
      <c r="C143" s="136" t="s">
        <v>10256</v>
      </c>
      <c r="D143" s="132" t="s">
        <v>3420</v>
      </c>
      <c r="E143" s="136" t="s">
        <v>3323</v>
      </c>
      <c r="F143" s="136" t="s">
        <v>3323</v>
      </c>
      <c r="G143" s="137">
        <v>1395397987001</v>
      </c>
      <c r="H143" s="138" t="s">
        <v>10183</v>
      </c>
      <c r="I143" s="136">
        <v>951500111</v>
      </c>
      <c r="J143" s="131" t="s">
        <v>3335</v>
      </c>
      <c r="K143" s="139">
        <v>15000</v>
      </c>
    </row>
    <row r="144" spans="1:11">
      <c r="A144" s="1" t="str">
        <f t="shared" si="2"/>
        <v>50100-830063795-951500427518160</v>
      </c>
      <c r="B144" s="136" t="s">
        <v>4620</v>
      </c>
      <c r="C144" s="136" t="s">
        <v>10235</v>
      </c>
      <c r="D144" s="132" t="s">
        <v>3420</v>
      </c>
      <c r="E144" s="136" t="s">
        <v>4659</v>
      </c>
      <c r="F144" s="136" t="s">
        <v>4659</v>
      </c>
      <c r="G144" s="137">
        <v>1395447925001</v>
      </c>
      <c r="H144" s="138" t="s">
        <v>6298</v>
      </c>
      <c r="I144" s="136">
        <v>951500427</v>
      </c>
      <c r="J144" s="131" t="s">
        <v>4672</v>
      </c>
      <c r="K144" s="139">
        <v>518160</v>
      </c>
    </row>
    <row r="145" spans="1:11">
      <c r="A145" s="1" t="str">
        <f t="shared" si="2"/>
        <v>50100-852154395-951500580191555</v>
      </c>
      <c r="B145" s="136" t="s">
        <v>4979</v>
      </c>
      <c r="C145" s="136" t="s">
        <v>8941</v>
      </c>
      <c r="D145" s="132" t="s">
        <v>4971</v>
      </c>
      <c r="E145" s="136" t="s">
        <v>5009</v>
      </c>
      <c r="F145" s="136" t="s">
        <v>5009</v>
      </c>
      <c r="G145" s="137">
        <v>1395451404001</v>
      </c>
      <c r="H145" s="138" t="s">
        <v>6456</v>
      </c>
      <c r="I145" s="136">
        <v>951500580</v>
      </c>
      <c r="J145" s="131" t="s">
        <v>4933</v>
      </c>
      <c r="K145" s="139">
        <v>191555</v>
      </c>
    </row>
    <row r="146" spans="1:11">
      <c r="A146" s="1" t="str">
        <f t="shared" si="2"/>
        <v>50100-719302195-951500057500000</v>
      </c>
      <c r="B146" s="136" t="s">
        <v>2693</v>
      </c>
      <c r="C146" s="136" t="s">
        <v>10271</v>
      </c>
      <c r="D146" s="132" t="s">
        <v>3420</v>
      </c>
      <c r="E146" s="136" t="s">
        <v>2753</v>
      </c>
      <c r="F146" s="136" t="s">
        <v>2753</v>
      </c>
      <c r="G146" s="137">
        <v>1394395845001</v>
      </c>
      <c r="H146" s="138" t="s">
        <v>6453</v>
      </c>
      <c r="I146" s="136">
        <v>951500057</v>
      </c>
      <c r="J146" s="131" t="s">
        <v>2779</v>
      </c>
      <c r="K146" s="139">
        <v>500000</v>
      </c>
    </row>
    <row r="147" spans="1:11">
      <c r="A147" s="1" t="str">
        <f t="shared" si="2"/>
        <v>50100-745729795-95150003039600</v>
      </c>
      <c r="B147" s="136" t="s">
        <v>3232</v>
      </c>
      <c r="C147" s="136" t="s">
        <v>10272</v>
      </c>
      <c r="D147" s="132" t="s">
        <v>3420</v>
      </c>
      <c r="E147" s="136" t="s">
        <v>3208</v>
      </c>
      <c r="F147" s="136" t="s">
        <v>3208</v>
      </c>
      <c r="G147" s="137">
        <v>1395397985001</v>
      </c>
      <c r="H147" s="138" t="s">
        <v>6298</v>
      </c>
      <c r="I147" s="136">
        <v>951500030</v>
      </c>
      <c r="J147" s="131" t="s">
        <v>2785</v>
      </c>
      <c r="K147" s="139">
        <v>39600</v>
      </c>
    </row>
    <row r="148" spans="1:11">
      <c r="A148" s="1" t="str">
        <f t="shared" si="2"/>
        <v>50100-721664395-951500027373260</v>
      </c>
      <c r="B148" s="136" t="s">
        <v>2719</v>
      </c>
      <c r="C148" s="136" t="s">
        <v>10229</v>
      </c>
      <c r="D148" s="132" t="s">
        <v>3420</v>
      </c>
      <c r="E148" s="136" t="s">
        <v>2757</v>
      </c>
      <c r="F148" s="136" t="s">
        <v>2757</v>
      </c>
      <c r="G148" s="137">
        <v>1395397985001</v>
      </c>
      <c r="H148" s="138" t="s">
        <v>6298</v>
      </c>
      <c r="I148" s="136">
        <v>951500027</v>
      </c>
      <c r="J148" s="131" t="s">
        <v>2802</v>
      </c>
      <c r="K148" s="139">
        <v>373260</v>
      </c>
    </row>
    <row r="149" spans="1:11">
      <c r="A149" s="1" t="str">
        <f t="shared" si="2"/>
        <v>50100-721664395-951500023188940</v>
      </c>
      <c r="B149" s="136" t="s">
        <v>2719</v>
      </c>
      <c r="C149" s="136" t="s">
        <v>10229</v>
      </c>
      <c r="D149" s="132" t="s">
        <v>3420</v>
      </c>
      <c r="E149" s="136" t="s">
        <v>2757</v>
      </c>
      <c r="F149" s="136" t="s">
        <v>2757</v>
      </c>
      <c r="G149" s="137">
        <v>1395397985001</v>
      </c>
      <c r="H149" s="138" t="s">
        <v>6298</v>
      </c>
      <c r="I149" s="136">
        <v>951500023</v>
      </c>
      <c r="J149" s="131" t="s">
        <v>2784</v>
      </c>
      <c r="K149" s="139">
        <v>188940</v>
      </c>
    </row>
    <row r="150" spans="1:11">
      <c r="A150" s="1" t="str">
        <f t="shared" si="2"/>
        <v>50100-820876795-951500335195840</v>
      </c>
      <c r="B150" s="136" t="s">
        <v>4404</v>
      </c>
      <c r="C150" s="136" t="s">
        <v>10251</v>
      </c>
      <c r="D150" s="132" t="s">
        <v>3420</v>
      </c>
      <c r="E150" s="136" t="s">
        <v>4440</v>
      </c>
      <c r="F150" s="136" t="s">
        <v>4440</v>
      </c>
      <c r="G150" s="137">
        <v>1395438159001</v>
      </c>
      <c r="H150" s="138" t="s">
        <v>6298</v>
      </c>
      <c r="I150" s="136">
        <v>951500335</v>
      </c>
      <c r="J150" s="131" t="s">
        <v>4468</v>
      </c>
      <c r="K150" s="139">
        <v>195840</v>
      </c>
    </row>
    <row r="151" spans="1:11">
      <c r="A151" s="1" t="str">
        <f t="shared" si="2"/>
        <v>50100-733868195-952500010386752</v>
      </c>
      <c r="B151" s="136" t="s">
        <v>2952</v>
      </c>
      <c r="C151" s="136" t="s">
        <v>10273</v>
      </c>
      <c r="D151" s="132" t="s">
        <v>3420</v>
      </c>
      <c r="E151" s="136" t="s">
        <v>3047</v>
      </c>
      <c r="F151" s="136" t="s">
        <v>3047</v>
      </c>
      <c r="G151" s="137">
        <v>1394395847001</v>
      </c>
      <c r="H151" s="138" t="s">
        <v>10183</v>
      </c>
      <c r="I151" s="136">
        <v>952500010</v>
      </c>
      <c r="J151" s="131" t="s">
        <v>3061</v>
      </c>
      <c r="K151" s="139">
        <v>386752</v>
      </c>
    </row>
    <row r="152" spans="1:11">
      <c r="A152" s="1" t="str">
        <f t="shared" si="2"/>
        <v>50100-829323295-951500430459120</v>
      </c>
      <c r="B152" s="136" t="s">
        <v>4563</v>
      </c>
      <c r="C152" s="136" t="s">
        <v>10257</v>
      </c>
      <c r="D152" s="132" t="s">
        <v>3420</v>
      </c>
      <c r="E152" s="136" t="s">
        <v>4515</v>
      </c>
      <c r="F152" s="136" t="s">
        <v>4515</v>
      </c>
      <c r="G152" s="137">
        <v>1395447925001</v>
      </c>
      <c r="H152" s="138" t="s">
        <v>6298</v>
      </c>
      <c r="I152" s="136">
        <v>951500430</v>
      </c>
      <c r="J152" s="131" t="s">
        <v>4609</v>
      </c>
      <c r="K152" s="139">
        <v>459120</v>
      </c>
    </row>
    <row r="153" spans="1:11">
      <c r="A153" s="1" t="str">
        <f t="shared" si="2"/>
        <v>50100-761662895-95250002214102</v>
      </c>
      <c r="B153" s="136" t="s">
        <v>10274</v>
      </c>
      <c r="C153" s="136" t="s">
        <v>10275</v>
      </c>
      <c r="D153" s="132" t="s">
        <v>3420</v>
      </c>
      <c r="E153" s="136" t="s">
        <v>3376</v>
      </c>
      <c r="F153" s="136" t="s">
        <v>3376</v>
      </c>
      <c r="G153" s="137">
        <v>1395397987001</v>
      </c>
      <c r="H153" s="138" t="s">
        <v>10183</v>
      </c>
      <c r="I153" s="136">
        <v>952500022</v>
      </c>
      <c r="J153" s="131" t="s">
        <v>3404</v>
      </c>
      <c r="K153" s="139">
        <v>14102</v>
      </c>
    </row>
    <row r="154" spans="1:11">
      <c r="A154" s="1" t="str">
        <f t="shared" si="2"/>
        <v>50100-827315995-95150050074650</v>
      </c>
      <c r="B154" s="136" t="s">
        <v>4534</v>
      </c>
      <c r="C154" s="136" t="s">
        <v>10276</v>
      </c>
      <c r="D154" s="132" t="s">
        <v>3420</v>
      </c>
      <c r="E154" s="136" t="s">
        <v>4500</v>
      </c>
      <c r="F154" s="136" t="s">
        <v>4500</v>
      </c>
      <c r="G154" s="137">
        <v>1395447373001</v>
      </c>
      <c r="H154" s="138" t="s">
        <v>6453</v>
      </c>
      <c r="I154" s="136">
        <v>951500500</v>
      </c>
      <c r="J154" s="131" t="s">
        <v>4208</v>
      </c>
      <c r="K154" s="139">
        <v>74650</v>
      </c>
    </row>
    <row r="155" spans="1:11">
      <c r="A155" s="1" t="str">
        <f t="shared" si="2"/>
        <v>15100-37138995-95150055245260</v>
      </c>
      <c r="B155" s="136" t="s">
        <v>4520</v>
      </c>
      <c r="C155" s="136" t="s">
        <v>10277</v>
      </c>
      <c r="D155" s="132" t="s">
        <v>3420</v>
      </c>
      <c r="E155" s="136" t="s">
        <v>4569</v>
      </c>
      <c r="F155" s="136" t="s">
        <v>4569</v>
      </c>
      <c r="G155" s="137">
        <v>1395452679001</v>
      </c>
      <c r="H155" s="138" t="s">
        <v>6298</v>
      </c>
      <c r="I155" s="136">
        <v>951500552</v>
      </c>
      <c r="J155" s="131" t="s">
        <v>4577</v>
      </c>
      <c r="K155" s="139">
        <v>45260</v>
      </c>
    </row>
    <row r="156" spans="1:11">
      <c r="A156" s="1" t="str">
        <f t="shared" si="2"/>
        <v>50100-712602794-9415008331484940</v>
      </c>
      <c r="B156" s="136" t="s">
        <v>10278</v>
      </c>
      <c r="C156" s="136" t="s">
        <v>10279</v>
      </c>
      <c r="D156" s="132" t="s">
        <v>3420</v>
      </c>
      <c r="E156" s="136" t="s">
        <v>2616</v>
      </c>
      <c r="F156" s="136" t="s">
        <v>2616</v>
      </c>
      <c r="G156" s="137">
        <v>1394394801001</v>
      </c>
      <c r="H156" s="138" t="s">
        <v>10183</v>
      </c>
      <c r="I156" s="136">
        <v>941500833</v>
      </c>
      <c r="J156" s="131" t="s">
        <v>7093</v>
      </c>
      <c r="K156" s="139">
        <v>1484940</v>
      </c>
    </row>
    <row r="157" spans="1:11">
      <c r="A157" s="1" t="str">
        <f t="shared" si="2"/>
        <v>50100-729538995-9515000911480</v>
      </c>
      <c r="B157" s="136" t="s">
        <v>3004</v>
      </c>
      <c r="C157" s="136" t="s">
        <v>10262</v>
      </c>
      <c r="D157" s="132" t="s">
        <v>3420</v>
      </c>
      <c r="E157" s="136" t="s">
        <v>2859</v>
      </c>
      <c r="F157" s="136" t="s">
        <v>2859</v>
      </c>
      <c r="G157" s="137">
        <v>1394395845001</v>
      </c>
      <c r="H157" s="138" t="s">
        <v>6453</v>
      </c>
      <c r="I157" s="136">
        <v>951500091</v>
      </c>
      <c r="J157" s="131" t="s">
        <v>3123</v>
      </c>
      <c r="K157" s="139">
        <v>1480</v>
      </c>
    </row>
    <row r="158" spans="1:11">
      <c r="A158" s="1" t="str">
        <f t="shared" si="2"/>
        <v>50100-847039395-9541000441090314</v>
      </c>
      <c r="B158" s="136" t="s">
        <v>4818</v>
      </c>
      <c r="C158" s="136" t="s">
        <v>10280</v>
      </c>
      <c r="D158" s="132" t="s">
        <v>3420</v>
      </c>
      <c r="E158" s="136" t="s">
        <v>4878</v>
      </c>
      <c r="F158" s="136" t="s">
        <v>4878</v>
      </c>
      <c r="G158" s="137">
        <v>1395468402001</v>
      </c>
      <c r="H158" s="138" t="s">
        <v>10183</v>
      </c>
      <c r="I158" s="136">
        <v>954100044</v>
      </c>
      <c r="J158" s="131" t="s">
        <v>4943</v>
      </c>
      <c r="K158" s="139">
        <v>1090314</v>
      </c>
    </row>
    <row r="159" spans="1:11">
      <c r="A159" s="1" t="str">
        <f t="shared" si="2"/>
        <v>50100-855732495-95150051821560</v>
      </c>
      <c r="B159" s="136" t="s">
        <v>4981</v>
      </c>
      <c r="C159" s="136" t="s">
        <v>8943</v>
      </c>
      <c r="D159" s="132" t="s">
        <v>4971</v>
      </c>
      <c r="E159" s="136" t="s">
        <v>4972</v>
      </c>
      <c r="F159" s="136" t="s">
        <v>4972</v>
      </c>
      <c r="G159" s="137">
        <v>1395451399001</v>
      </c>
      <c r="H159" s="138" t="s">
        <v>10206</v>
      </c>
      <c r="I159" s="136">
        <v>951500518</v>
      </c>
      <c r="J159" s="131" t="s">
        <v>4896</v>
      </c>
      <c r="K159" s="139">
        <v>21560</v>
      </c>
    </row>
    <row r="160" spans="1:11">
      <c r="A160" s="1" t="str">
        <f t="shared" si="2"/>
        <v>50100-856084296-961500020500000</v>
      </c>
      <c r="B160" s="136" t="s">
        <v>4976</v>
      </c>
      <c r="C160" s="136" t="s">
        <v>8938</v>
      </c>
      <c r="D160" s="132" t="s">
        <v>4971</v>
      </c>
      <c r="E160" s="136" t="s">
        <v>5007</v>
      </c>
      <c r="F160" s="136" t="s">
        <v>5007</v>
      </c>
      <c r="G160" s="137">
        <v>1395467470001</v>
      </c>
      <c r="H160" s="138" t="s">
        <v>6298</v>
      </c>
      <c r="I160" s="136">
        <v>961500020</v>
      </c>
      <c r="J160" s="131" t="s">
        <v>5015</v>
      </c>
      <c r="K160" s="139">
        <v>500000</v>
      </c>
    </row>
    <row r="161" spans="1:11">
      <c r="A161" s="1" t="str">
        <f t="shared" si="2"/>
        <v>50100-723775595-951500005903000</v>
      </c>
      <c r="B161" s="136" t="s">
        <v>2930</v>
      </c>
      <c r="C161" s="136" t="s">
        <v>10247</v>
      </c>
      <c r="D161" s="132" t="s">
        <v>3420</v>
      </c>
      <c r="E161" s="136" t="s">
        <v>2863</v>
      </c>
      <c r="F161" s="136" t="s">
        <v>2863</v>
      </c>
      <c r="G161" s="137">
        <v>1394392647001</v>
      </c>
      <c r="H161" s="138" t="s">
        <v>6454</v>
      </c>
      <c r="I161" s="136">
        <v>951500005</v>
      </c>
      <c r="J161" s="131" t="s">
        <v>2786</v>
      </c>
      <c r="K161" s="139">
        <v>903000</v>
      </c>
    </row>
    <row r="162" spans="1:11">
      <c r="A162" s="1" t="str">
        <f t="shared" si="2"/>
        <v>50100-820876795-951500338200000</v>
      </c>
      <c r="B162" s="136" t="s">
        <v>4404</v>
      </c>
      <c r="C162" s="136" t="s">
        <v>10251</v>
      </c>
      <c r="D162" s="132" t="s">
        <v>3420</v>
      </c>
      <c r="E162" s="136" t="s">
        <v>4440</v>
      </c>
      <c r="F162" s="136" t="s">
        <v>4440</v>
      </c>
      <c r="G162" s="137">
        <v>1395438159001</v>
      </c>
      <c r="H162" s="138" t="s">
        <v>6298</v>
      </c>
      <c r="I162" s="136">
        <v>951500338</v>
      </c>
      <c r="J162" s="131" t="s">
        <v>4470</v>
      </c>
      <c r="K162" s="139">
        <v>200000</v>
      </c>
    </row>
    <row r="163" spans="1:11">
      <c r="A163" s="1" t="str">
        <f t="shared" si="2"/>
        <v>50100-820876795-951500350180000</v>
      </c>
      <c r="B163" s="136" t="s">
        <v>4404</v>
      </c>
      <c r="C163" s="136" t="s">
        <v>10251</v>
      </c>
      <c r="D163" s="132" t="s">
        <v>3420</v>
      </c>
      <c r="E163" s="136" t="s">
        <v>4440</v>
      </c>
      <c r="F163" s="136" t="s">
        <v>4440</v>
      </c>
      <c r="G163" s="137">
        <v>1395438159001</v>
      </c>
      <c r="H163" s="138" t="s">
        <v>6298</v>
      </c>
      <c r="I163" s="136">
        <v>951500350</v>
      </c>
      <c r="J163" s="131" t="s">
        <v>4471</v>
      </c>
      <c r="K163" s="139">
        <v>180000</v>
      </c>
    </row>
    <row r="164" spans="1:11">
      <c r="A164" s="1" t="str">
        <f t="shared" si="2"/>
        <v>15100-36844095-95250007646532</v>
      </c>
      <c r="B164" s="136" t="s">
        <v>4366</v>
      </c>
      <c r="C164" s="136" t="s">
        <v>10281</v>
      </c>
      <c r="D164" s="132" t="s">
        <v>3420</v>
      </c>
      <c r="E164" s="136" t="s">
        <v>4437</v>
      </c>
      <c r="F164" s="136" t="s">
        <v>4437</v>
      </c>
      <c r="G164" s="137">
        <v>1395453120001</v>
      </c>
      <c r="H164" s="138" t="s">
        <v>10282</v>
      </c>
      <c r="I164" s="136">
        <v>952500076</v>
      </c>
      <c r="J164" s="131" t="s">
        <v>4447</v>
      </c>
      <c r="K164" s="139">
        <v>46532</v>
      </c>
    </row>
    <row r="165" spans="1:11">
      <c r="A165" s="1" t="str">
        <f t="shared" si="2"/>
        <v>50100-829323295-95250005678154</v>
      </c>
      <c r="B165" s="136" t="s">
        <v>4563</v>
      </c>
      <c r="C165" s="136" t="s">
        <v>10257</v>
      </c>
      <c r="D165" s="132" t="s">
        <v>3420</v>
      </c>
      <c r="E165" s="136" t="s">
        <v>4515</v>
      </c>
      <c r="F165" s="136" t="s">
        <v>4515</v>
      </c>
      <c r="G165" s="137">
        <v>1395441908001</v>
      </c>
      <c r="H165" s="138" t="s">
        <v>6298</v>
      </c>
      <c r="I165" s="136">
        <v>952500056</v>
      </c>
      <c r="J165" s="131" t="s">
        <v>4597</v>
      </c>
      <c r="K165" s="139">
        <v>78154</v>
      </c>
    </row>
    <row r="166" spans="1:11">
      <c r="A166" s="1" t="str">
        <f t="shared" si="2"/>
        <v>50100-731343294-941500795887976</v>
      </c>
      <c r="B166" s="136" t="s">
        <v>10238</v>
      </c>
      <c r="C166" s="136" t="s">
        <v>10239</v>
      </c>
      <c r="D166" s="132" t="s">
        <v>3420</v>
      </c>
      <c r="E166" s="136" t="s">
        <v>2865</v>
      </c>
      <c r="F166" s="136" t="s">
        <v>2865</v>
      </c>
      <c r="G166" s="137">
        <v>1394391770001</v>
      </c>
      <c r="H166" s="138" t="s">
        <v>10186</v>
      </c>
      <c r="I166" s="136">
        <v>941500795</v>
      </c>
      <c r="J166" s="131" t="s">
        <v>2629</v>
      </c>
      <c r="K166" s="139">
        <v>887976</v>
      </c>
    </row>
    <row r="167" spans="1:11">
      <c r="A167" s="1" t="str">
        <f t="shared" si="2"/>
        <v>50100-731343294-941500824382980</v>
      </c>
      <c r="B167" s="136" t="s">
        <v>10238</v>
      </c>
      <c r="C167" s="136" t="s">
        <v>10239</v>
      </c>
      <c r="D167" s="132" t="s">
        <v>3420</v>
      </c>
      <c r="E167" s="136" t="s">
        <v>2865</v>
      </c>
      <c r="F167" s="136" t="s">
        <v>2865</v>
      </c>
      <c r="G167" s="137">
        <v>1394391770001</v>
      </c>
      <c r="H167" s="138" t="s">
        <v>10186</v>
      </c>
      <c r="I167" s="136">
        <v>941500824</v>
      </c>
      <c r="J167" s="131" t="s">
        <v>3073</v>
      </c>
      <c r="K167" s="139">
        <v>382980</v>
      </c>
    </row>
    <row r="168" spans="1:11">
      <c r="A168" s="1" t="str">
        <f t="shared" si="2"/>
        <v>50100-729944795-951500130400000</v>
      </c>
      <c r="B168" s="136" t="s">
        <v>2928</v>
      </c>
      <c r="C168" s="136" t="s">
        <v>10240</v>
      </c>
      <c r="D168" s="132" t="s">
        <v>3420</v>
      </c>
      <c r="E168" s="136" t="s">
        <v>2852</v>
      </c>
      <c r="F168" s="136" t="s">
        <v>2852</v>
      </c>
      <c r="G168" s="137">
        <v>1395397985001</v>
      </c>
      <c r="H168" s="138" t="s">
        <v>6298</v>
      </c>
      <c r="I168" s="136">
        <v>951500130</v>
      </c>
      <c r="J168" s="131" t="s">
        <v>3074</v>
      </c>
      <c r="K168" s="139">
        <v>400000</v>
      </c>
    </row>
    <row r="169" spans="1:11">
      <c r="A169" s="1" t="str">
        <f t="shared" si="2"/>
        <v>50100-729944795-951500051352987</v>
      </c>
      <c r="B169" s="136" t="s">
        <v>2928</v>
      </c>
      <c r="C169" s="136" t="s">
        <v>10240</v>
      </c>
      <c r="D169" s="132" t="s">
        <v>3420</v>
      </c>
      <c r="E169" s="136" t="s">
        <v>2852</v>
      </c>
      <c r="F169" s="136" t="s">
        <v>2852</v>
      </c>
      <c r="G169" s="137">
        <v>1395397985001</v>
      </c>
      <c r="H169" s="138" t="s">
        <v>6298</v>
      </c>
      <c r="I169" s="136">
        <v>951500051</v>
      </c>
      <c r="J169" s="131" t="s">
        <v>3066</v>
      </c>
      <c r="K169" s="139">
        <v>352987</v>
      </c>
    </row>
    <row r="170" spans="1:11">
      <c r="A170" s="1" t="str">
        <f t="shared" si="2"/>
        <v>50100-729944795-951500011239473</v>
      </c>
      <c r="B170" s="136" t="s">
        <v>2928</v>
      </c>
      <c r="C170" s="136" t="s">
        <v>10240</v>
      </c>
      <c r="D170" s="132" t="s">
        <v>3420</v>
      </c>
      <c r="E170" s="136" t="s">
        <v>2852</v>
      </c>
      <c r="F170" s="136" t="s">
        <v>2852</v>
      </c>
      <c r="G170" s="137">
        <v>1394392647001</v>
      </c>
      <c r="H170" s="138" t="s">
        <v>6454</v>
      </c>
      <c r="I170" s="136">
        <v>951500011</v>
      </c>
      <c r="J170" s="131" t="s">
        <v>3075</v>
      </c>
      <c r="K170" s="139">
        <v>239473</v>
      </c>
    </row>
    <row r="171" spans="1:11">
      <c r="A171" s="1" t="str">
        <f t="shared" si="2"/>
        <v>50100-711786694-942500108490189</v>
      </c>
      <c r="B171" s="136" t="s">
        <v>10283</v>
      </c>
      <c r="C171" s="136" t="s">
        <v>10284</v>
      </c>
      <c r="D171" s="132" t="s">
        <v>3420</v>
      </c>
      <c r="E171" s="136" t="s">
        <v>2608</v>
      </c>
      <c r="F171" s="136" t="s">
        <v>2608</v>
      </c>
      <c r="G171" s="137">
        <v>1394392936001</v>
      </c>
      <c r="H171" s="138" t="s">
        <v>10183</v>
      </c>
      <c r="I171" s="136">
        <v>942500108</v>
      </c>
      <c r="J171" s="131" t="s">
        <v>7066</v>
      </c>
      <c r="K171" s="139">
        <v>490189</v>
      </c>
    </row>
    <row r="172" spans="1:11">
      <c r="A172" s="1" t="str">
        <f t="shared" si="2"/>
        <v>50100-720653695-951500030500000</v>
      </c>
      <c r="B172" s="136" t="s">
        <v>2696</v>
      </c>
      <c r="C172" s="136" t="s">
        <v>10285</v>
      </c>
      <c r="D172" s="132" t="s">
        <v>3420</v>
      </c>
      <c r="E172" s="136" t="s">
        <v>2755</v>
      </c>
      <c r="F172" s="136" t="s">
        <v>2755</v>
      </c>
      <c r="G172" s="137">
        <v>1395397985001</v>
      </c>
      <c r="H172" s="138" t="s">
        <v>6298</v>
      </c>
      <c r="I172" s="136">
        <v>951500030</v>
      </c>
      <c r="J172" s="131" t="s">
        <v>2785</v>
      </c>
      <c r="K172" s="139">
        <v>500000</v>
      </c>
    </row>
    <row r="173" spans="1:11">
      <c r="A173" s="1" t="str">
        <f t="shared" si="2"/>
        <v>50100-731343294-941500796117020</v>
      </c>
      <c r="B173" s="136" t="s">
        <v>10238</v>
      </c>
      <c r="C173" s="136" t="s">
        <v>10239</v>
      </c>
      <c r="D173" s="132" t="s">
        <v>3420</v>
      </c>
      <c r="E173" s="136" t="s">
        <v>2865</v>
      </c>
      <c r="F173" s="136" t="s">
        <v>2865</v>
      </c>
      <c r="G173" s="137">
        <v>1394391770001</v>
      </c>
      <c r="H173" s="138" t="s">
        <v>10186</v>
      </c>
      <c r="I173" s="136">
        <v>941500796</v>
      </c>
      <c r="J173" s="131" t="s">
        <v>3120</v>
      </c>
      <c r="K173" s="139">
        <v>117020</v>
      </c>
    </row>
    <row r="174" spans="1:11">
      <c r="A174" s="1" t="str">
        <f t="shared" si="2"/>
        <v>50100-821704195-951500522303840</v>
      </c>
      <c r="B174" s="136" t="s">
        <v>4400</v>
      </c>
      <c r="C174" s="136" t="s">
        <v>10264</v>
      </c>
      <c r="D174" s="132" t="s">
        <v>3420</v>
      </c>
      <c r="E174" s="136" t="s">
        <v>4307</v>
      </c>
      <c r="F174" s="136" t="s">
        <v>4307</v>
      </c>
      <c r="G174" s="137">
        <v>1395449236001</v>
      </c>
      <c r="H174" s="138" t="s">
        <v>6298</v>
      </c>
      <c r="I174" s="136">
        <v>951500522</v>
      </c>
      <c r="J174" s="131" t="s">
        <v>4460</v>
      </c>
      <c r="K174" s="139">
        <v>303840</v>
      </c>
    </row>
    <row r="175" spans="1:11">
      <c r="A175" s="1" t="str">
        <f t="shared" si="2"/>
        <v>50100-743567995-951500052610193</v>
      </c>
      <c r="B175" s="136" t="s">
        <v>3150</v>
      </c>
      <c r="C175" s="136" t="s">
        <v>10286</v>
      </c>
      <c r="D175" s="132" t="s">
        <v>3420</v>
      </c>
      <c r="E175" s="136" t="s">
        <v>3167</v>
      </c>
      <c r="F175" s="136" t="s">
        <v>3167</v>
      </c>
      <c r="G175" s="137">
        <v>1395397985001</v>
      </c>
      <c r="H175" s="138" t="s">
        <v>6298</v>
      </c>
      <c r="I175" s="136">
        <v>951500052</v>
      </c>
      <c r="J175" s="131" t="s">
        <v>3181</v>
      </c>
      <c r="K175" s="139">
        <v>610193</v>
      </c>
    </row>
    <row r="176" spans="1:11">
      <c r="A176" s="1" t="str">
        <f t="shared" si="2"/>
        <v>50100-711398394-941500752345000</v>
      </c>
      <c r="B176" s="136" t="s">
        <v>10287</v>
      </c>
      <c r="C176" s="136" t="s">
        <v>10288</v>
      </c>
      <c r="D176" s="132" t="s">
        <v>3420</v>
      </c>
      <c r="E176" s="136" t="s">
        <v>2615</v>
      </c>
      <c r="F176" s="136" t="s">
        <v>2615</v>
      </c>
      <c r="G176" s="137">
        <v>1394394178001</v>
      </c>
      <c r="H176" s="138" t="s">
        <v>6298</v>
      </c>
      <c r="I176" s="136">
        <v>941500752</v>
      </c>
      <c r="J176" s="131" t="s">
        <v>2637</v>
      </c>
      <c r="K176" s="139">
        <v>345000</v>
      </c>
    </row>
    <row r="177" spans="1:11">
      <c r="A177" s="1" t="str">
        <f t="shared" si="2"/>
        <v>50100-711398394-941500746238140</v>
      </c>
      <c r="B177" s="136" t="s">
        <v>10287</v>
      </c>
      <c r="C177" s="136" t="s">
        <v>10288</v>
      </c>
      <c r="D177" s="132" t="s">
        <v>3420</v>
      </c>
      <c r="E177" s="136" t="s">
        <v>2615</v>
      </c>
      <c r="F177" s="136" t="s">
        <v>2615</v>
      </c>
      <c r="G177" s="137">
        <v>1394394178001</v>
      </c>
      <c r="H177" s="138" t="s">
        <v>6298</v>
      </c>
      <c r="I177" s="136">
        <v>941500746</v>
      </c>
      <c r="J177" s="131" t="s">
        <v>2628</v>
      </c>
      <c r="K177" s="139">
        <v>238140</v>
      </c>
    </row>
    <row r="178" spans="1:11">
      <c r="A178" s="1" t="str">
        <f t="shared" si="2"/>
        <v>50100-761662895-951500203998720</v>
      </c>
      <c r="B178" s="136" t="s">
        <v>10274</v>
      </c>
      <c r="C178" s="136" t="s">
        <v>10275</v>
      </c>
      <c r="D178" s="132" t="s">
        <v>3420</v>
      </c>
      <c r="E178" s="136" t="s">
        <v>3376</v>
      </c>
      <c r="F178" s="136" t="s">
        <v>3376</v>
      </c>
      <c r="G178" s="137">
        <v>1395397987001</v>
      </c>
      <c r="H178" s="138" t="s">
        <v>10183</v>
      </c>
      <c r="I178" s="136">
        <v>951500203</v>
      </c>
      <c r="J178" s="131" t="s">
        <v>3409</v>
      </c>
      <c r="K178" s="139">
        <v>998720</v>
      </c>
    </row>
    <row r="179" spans="1:11">
      <c r="A179" s="1" t="str">
        <f t="shared" si="2"/>
        <v>15100-28132995-95150016224200</v>
      </c>
      <c r="B179" s="136" t="s">
        <v>3194</v>
      </c>
      <c r="C179" s="136" t="s">
        <v>10289</v>
      </c>
      <c r="D179" s="132" t="s">
        <v>3420</v>
      </c>
      <c r="E179" s="136" t="s">
        <v>3207</v>
      </c>
      <c r="F179" s="136" t="s">
        <v>3207</v>
      </c>
      <c r="G179" s="137">
        <v>1395401420001</v>
      </c>
      <c r="H179" s="138" t="s">
        <v>6298</v>
      </c>
      <c r="I179" s="136">
        <v>951500162</v>
      </c>
      <c r="J179" s="131" t="s">
        <v>3052</v>
      </c>
      <c r="K179" s="139">
        <v>24200</v>
      </c>
    </row>
    <row r="180" spans="1:11">
      <c r="A180" s="1" t="str">
        <f t="shared" si="2"/>
        <v>15100-34442095-95250003771160</v>
      </c>
      <c r="B180" s="136" t="s">
        <v>3792</v>
      </c>
      <c r="C180" s="136" t="s">
        <v>10290</v>
      </c>
      <c r="D180" s="132" t="s">
        <v>3420</v>
      </c>
      <c r="E180" s="136" t="s">
        <v>3829</v>
      </c>
      <c r="F180" s="136" t="s">
        <v>3829</v>
      </c>
      <c r="G180" s="137">
        <v>1395441451001</v>
      </c>
      <c r="H180" s="138" t="s">
        <v>10282</v>
      </c>
      <c r="I180" s="136">
        <v>952500037</v>
      </c>
      <c r="J180" s="131" t="s">
        <v>3836</v>
      </c>
      <c r="K180" s="139">
        <v>71160</v>
      </c>
    </row>
    <row r="181" spans="1:11">
      <c r="A181" s="1" t="str">
        <f t="shared" si="2"/>
        <v>50100-785171395-95150021581450</v>
      </c>
      <c r="B181" s="136" t="s">
        <v>3688</v>
      </c>
      <c r="C181" s="136" t="s">
        <v>10291</v>
      </c>
      <c r="D181" s="132" t="s">
        <v>3420</v>
      </c>
      <c r="E181" s="136" t="s">
        <v>3668</v>
      </c>
      <c r="F181" s="136" t="s">
        <v>3668</v>
      </c>
      <c r="G181" s="137">
        <v>1395421206001</v>
      </c>
      <c r="H181" s="138" t="s">
        <v>6298</v>
      </c>
      <c r="I181" s="136">
        <v>951500215</v>
      </c>
      <c r="J181" s="131" t="s">
        <v>3567</v>
      </c>
      <c r="K181" s="139">
        <v>81450</v>
      </c>
    </row>
    <row r="182" spans="1:11">
      <c r="A182" s="1" t="str">
        <f t="shared" si="2"/>
        <v>50100-785171395-95150021144925</v>
      </c>
      <c r="B182" s="136" t="s">
        <v>3688</v>
      </c>
      <c r="C182" s="136" t="s">
        <v>10291</v>
      </c>
      <c r="D182" s="132" t="s">
        <v>3420</v>
      </c>
      <c r="E182" s="136" t="s">
        <v>3668</v>
      </c>
      <c r="F182" s="136" t="s">
        <v>3668</v>
      </c>
      <c r="G182" s="137">
        <v>1395421206001</v>
      </c>
      <c r="H182" s="138" t="s">
        <v>6298</v>
      </c>
      <c r="I182" s="136">
        <v>951500211</v>
      </c>
      <c r="J182" s="131" t="s">
        <v>3561</v>
      </c>
      <c r="K182" s="139">
        <v>44925</v>
      </c>
    </row>
    <row r="183" spans="1:11">
      <c r="A183" s="1" t="str">
        <f t="shared" si="2"/>
        <v>50100-735166195-95150004870878</v>
      </c>
      <c r="B183" s="136" t="s">
        <v>2926</v>
      </c>
      <c r="C183" s="136" t="s">
        <v>10227</v>
      </c>
      <c r="D183" s="132" t="s">
        <v>3420</v>
      </c>
      <c r="E183" s="136" t="s">
        <v>3049</v>
      </c>
      <c r="F183" s="136" t="s">
        <v>3049</v>
      </c>
      <c r="G183" s="137">
        <v>1395397985001</v>
      </c>
      <c r="H183" s="138" t="s">
        <v>6298</v>
      </c>
      <c r="I183" s="136">
        <v>951500048</v>
      </c>
      <c r="J183" s="131" t="s">
        <v>3070</v>
      </c>
      <c r="K183" s="139">
        <v>70878</v>
      </c>
    </row>
    <row r="184" spans="1:11">
      <c r="A184" s="1" t="str">
        <f t="shared" si="2"/>
        <v>50100-729128095-9515000881500000</v>
      </c>
      <c r="B184" s="136" t="s">
        <v>2941</v>
      </c>
      <c r="C184" s="136" t="s">
        <v>10292</v>
      </c>
      <c r="D184" s="132" t="s">
        <v>3420</v>
      </c>
      <c r="E184" s="136" t="s">
        <v>2855</v>
      </c>
      <c r="F184" s="136" t="s">
        <v>2855</v>
      </c>
      <c r="G184" s="137">
        <v>1394395845001</v>
      </c>
      <c r="H184" s="138" t="s">
        <v>6453</v>
      </c>
      <c r="I184" s="136">
        <v>951500088</v>
      </c>
      <c r="J184" s="131" t="s">
        <v>3090</v>
      </c>
      <c r="K184" s="139">
        <v>1500000</v>
      </c>
    </row>
    <row r="185" spans="1:11">
      <c r="A185" s="1" t="str">
        <f t="shared" si="2"/>
        <v>50100-729128095-951500089489320</v>
      </c>
      <c r="B185" s="136" t="s">
        <v>2941</v>
      </c>
      <c r="C185" s="136" t="s">
        <v>10292</v>
      </c>
      <c r="D185" s="132" t="s">
        <v>3420</v>
      </c>
      <c r="E185" s="136" t="s">
        <v>2855</v>
      </c>
      <c r="F185" s="136" t="s">
        <v>2855</v>
      </c>
      <c r="G185" s="137">
        <v>1394395845001</v>
      </c>
      <c r="H185" s="138" t="s">
        <v>6453</v>
      </c>
      <c r="I185" s="136">
        <v>951500089</v>
      </c>
      <c r="J185" s="131" t="s">
        <v>3091</v>
      </c>
      <c r="K185" s="139">
        <v>489320</v>
      </c>
    </row>
    <row r="186" spans="1:11">
      <c r="A186" s="1" t="str">
        <f t="shared" si="2"/>
        <v>15100-35658295-95250006269347</v>
      </c>
      <c r="B186" s="136" t="s">
        <v>4101</v>
      </c>
      <c r="C186" s="136" t="s">
        <v>10293</v>
      </c>
      <c r="D186" s="132" t="s">
        <v>3420</v>
      </c>
      <c r="E186" s="136" t="s">
        <v>4179</v>
      </c>
      <c r="F186" s="136" t="s">
        <v>4179</v>
      </c>
      <c r="G186" s="137">
        <v>1395447378002</v>
      </c>
      <c r="H186" s="138" t="s">
        <v>10282</v>
      </c>
      <c r="I186" s="136">
        <v>952500062</v>
      </c>
      <c r="J186" s="131" t="s">
        <v>4278</v>
      </c>
      <c r="K186" s="139">
        <v>69347</v>
      </c>
    </row>
    <row r="187" spans="1:11">
      <c r="A187" s="1" t="str">
        <f t="shared" si="2"/>
        <v>50100-829740695-951500414199400</v>
      </c>
      <c r="B187" s="136" t="s">
        <v>4532</v>
      </c>
      <c r="C187" s="136" t="s">
        <v>10294</v>
      </c>
      <c r="D187" s="132" t="s">
        <v>3420</v>
      </c>
      <c r="E187" s="136" t="s">
        <v>4516</v>
      </c>
      <c r="F187" s="136" t="s">
        <v>4516</v>
      </c>
      <c r="G187" s="137">
        <v>1395447369001</v>
      </c>
      <c r="H187" s="138" t="s">
        <v>6298</v>
      </c>
      <c r="I187" s="136">
        <v>951500414</v>
      </c>
      <c r="J187" s="131" t="s">
        <v>4585</v>
      </c>
      <c r="K187" s="139">
        <v>199400</v>
      </c>
    </row>
    <row r="188" spans="1:11">
      <c r="A188" s="1" t="str">
        <f t="shared" si="2"/>
        <v>15100-27902295-95150016225380</v>
      </c>
      <c r="B188" s="136" t="s">
        <v>2902</v>
      </c>
      <c r="C188" s="136" t="s">
        <v>10295</v>
      </c>
      <c r="D188" s="132" t="s">
        <v>3420</v>
      </c>
      <c r="E188" s="136" t="s">
        <v>3042</v>
      </c>
      <c r="F188" s="136" t="s">
        <v>3042</v>
      </c>
      <c r="G188" s="137">
        <v>1395401420001</v>
      </c>
      <c r="H188" s="138" t="s">
        <v>6298</v>
      </c>
      <c r="I188" s="136">
        <v>951500162</v>
      </c>
      <c r="J188" s="131" t="s">
        <v>3052</v>
      </c>
      <c r="K188" s="139">
        <v>25380</v>
      </c>
    </row>
    <row r="189" spans="1:11">
      <c r="A189" s="1" t="str">
        <f t="shared" si="2"/>
        <v>15100-27713295-95150016250200</v>
      </c>
      <c r="B189" s="136" t="s">
        <v>2899</v>
      </c>
      <c r="C189" s="136" t="s">
        <v>10296</v>
      </c>
      <c r="D189" s="132" t="s">
        <v>3420</v>
      </c>
      <c r="E189" s="136" t="s">
        <v>3041</v>
      </c>
      <c r="F189" s="136" t="s">
        <v>3041</v>
      </c>
      <c r="G189" s="137">
        <v>1395401420001</v>
      </c>
      <c r="H189" s="138" t="s">
        <v>6298</v>
      </c>
      <c r="I189" s="136">
        <v>951500162</v>
      </c>
      <c r="J189" s="131" t="s">
        <v>3052</v>
      </c>
      <c r="K189" s="139">
        <v>50200</v>
      </c>
    </row>
    <row r="190" spans="1:11">
      <c r="A190" s="1" t="str">
        <f t="shared" si="2"/>
        <v>15100-27713294-94150062819810</v>
      </c>
      <c r="B190" s="136" t="s">
        <v>2899</v>
      </c>
      <c r="C190" s="136" t="s">
        <v>10296</v>
      </c>
      <c r="D190" s="132" t="s">
        <v>3420</v>
      </c>
      <c r="E190" s="136" t="s">
        <v>3041</v>
      </c>
      <c r="F190" s="136" t="s">
        <v>3041</v>
      </c>
      <c r="G190" s="137">
        <v>1394390338001</v>
      </c>
      <c r="H190" s="138" t="s">
        <v>6298</v>
      </c>
      <c r="I190" s="136">
        <v>941500628</v>
      </c>
      <c r="J190" s="131" t="s">
        <v>2512</v>
      </c>
      <c r="K190" s="139">
        <v>19810</v>
      </c>
    </row>
    <row r="191" spans="1:11">
      <c r="A191" s="1" t="str">
        <f t="shared" si="2"/>
        <v>15100-36884195-952500076235621</v>
      </c>
      <c r="B191" s="136" t="s">
        <v>4371</v>
      </c>
      <c r="C191" s="136" t="s">
        <v>10297</v>
      </c>
      <c r="D191" s="132" t="s">
        <v>3420</v>
      </c>
      <c r="E191" s="136" t="s">
        <v>4440</v>
      </c>
      <c r="F191" s="136" t="s">
        <v>4440</v>
      </c>
      <c r="G191" s="137">
        <v>1395453120001</v>
      </c>
      <c r="H191" s="138" t="s">
        <v>10282</v>
      </c>
      <c r="I191" s="136">
        <v>952500076</v>
      </c>
      <c r="J191" s="131" t="s">
        <v>4447</v>
      </c>
      <c r="K191" s="139">
        <v>235621</v>
      </c>
    </row>
    <row r="192" spans="1:11">
      <c r="A192" s="1" t="str">
        <f t="shared" si="2"/>
        <v>15100-35901095-95250006245867</v>
      </c>
      <c r="B192" s="136" t="s">
        <v>4372</v>
      </c>
      <c r="C192" s="136" t="s">
        <v>10298</v>
      </c>
      <c r="D192" s="132" t="s">
        <v>3420</v>
      </c>
      <c r="E192" s="136" t="s">
        <v>3967</v>
      </c>
      <c r="F192" s="136" t="s">
        <v>3967</v>
      </c>
      <c r="G192" s="137">
        <v>1395447378002</v>
      </c>
      <c r="H192" s="138" t="s">
        <v>10282</v>
      </c>
      <c r="I192" s="136">
        <v>952500062</v>
      </c>
      <c r="J192" s="131" t="s">
        <v>4278</v>
      </c>
      <c r="K192" s="139">
        <v>45867</v>
      </c>
    </row>
    <row r="193" spans="1:11">
      <c r="A193" s="1" t="str">
        <f t="shared" si="2"/>
        <v>15100-36704295-95250006269848</v>
      </c>
      <c r="B193" s="136" t="s">
        <v>4373</v>
      </c>
      <c r="C193" s="136" t="s">
        <v>10299</v>
      </c>
      <c r="D193" s="132" t="s">
        <v>3420</v>
      </c>
      <c r="E193" s="136" t="s">
        <v>4441</v>
      </c>
      <c r="F193" s="136" t="s">
        <v>4441</v>
      </c>
      <c r="G193" s="137">
        <v>1395447378002</v>
      </c>
      <c r="H193" s="138" t="s">
        <v>10282</v>
      </c>
      <c r="I193" s="136">
        <v>952500062</v>
      </c>
      <c r="J193" s="131" t="s">
        <v>4278</v>
      </c>
      <c r="K193" s="139">
        <v>69848</v>
      </c>
    </row>
    <row r="194" spans="1:11">
      <c r="A194" s="1" t="str">
        <f t="shared" si="2"/>
        <v>15100-36704295-952500076159579</v>
      </c>
      <c r="B194" s="136" t="s">
        <v>4373</v>
      </c>
      <c r="C194" s="136" t="s">
        <v>10299</v>
      </c>
      <c r="D194" s="132" t="s">
        <v>3420</v>
      </c>
      <c r="E194" s="136" t="s">
        <v>4441</v>
      </c>
      <c r="F194" s="136" t="s">
        <v>4441</v>
      </c>
      <c r="G194" s="137">
        <v>1395453120001</v>
      </c>
      <c r="H194" s="138" t="s">
        <v>10282</v>
      </c>
      <c r="I194" s="136">
        <v>952500076</v>
      </c>
      <c r="J194" s="131" t="s">
        <v>4447</v>
      </c>
      <c r="K194" s="139">
        <v>159579</v>
      </c>
    </row>
    <row r="195" spans="1:11">
      <c r="A195" s="1" t="str">
        <f t="shared" ref="A195:A258" si="3">B195&amp;J195&amp;K195</f>
        <v>50100-850602395-951500598205851</v>
      </c>
      <c r="B195" s="136" t="s">
        <v>4977</v>
      </c>
      <c r="C195" s="136" t="s">
        <v>8939</v>
      </c>
      <c r="D195" s="132" t="s">
        <v>4971</v>
      </c>
      <c r="E195" s="136" t="s">
        <v>5008</v>
      </c>
      <c r="F195" s="136" t="s">
        <v>5008</v>
      </c>
      <c r="G195" s="137">
        <v>1395462017001</v>
      </c>
      <c r="H195" s="138" t="s">
        <v>6298</v>
      </c>
      <c r="I195" s="136">
        <v>951500598</v>
      </c>
      <c r="J195" s="131" t="s">
        <v>4949</v>
      </c>
      <c r="K195" s="139">
        <v>205851</v>
      </c>
    </row>
    <row r="196" spans="1:11">
      <c r="A196" s="1" t="str">
        <f t="shared" si="3"/>
        <v>50100-751219295-951500053304666</v>
      </c>
      <c r="B196" s="136" t="s">
        <v>3297</v>
      </c>
      <c r="C196" s="136" t="s">
        <v>10300</v>
      </c>
      <c r="D196" s="132" t="s">
        <v>3420</v>
      </c>
      <c r="E196" s="136" t="s">
        <v>3276</v>
      </c>
      <c r="F196" s="136" t="s">
        <v>3276</v>
      </c>
      <c r="G196" s="137">
        <v>1395397985001</v>
      </c>
      <c r="H196" s="138" t="s">
        <v>6298</v>
      </c>
      <c r="I196" s="136">
        <v>951500053</v>
      </c>
      <c r="J196" s="131" t="s">
        <v>3182</v>
      </c>
      <c r="K196" s="139">
        <v>304666</v>
      </c>
    </row>
    <row r="197" spans="1:11">
      <c r="A197" s="1" t="str">
        <f t="shared" si="3"/>
        <v>15100-34317295-952500037115976</v>
      </c>
      <c r="B197" s="136" t="s">
        <v>3772</v>
      </c>
      <c r="C197" s="136" t="s">
        <v>10301</v>
      </c>
      <c r="D197" s="132" t="s">
        <v>3420</v>
      </c>
      <c r="E197" s="136" t="s">
        <v>3820</v>
      </c>
      <c r="F197" s="136" t="s">
        <v>3820</v>
      </c>
      <c r="G197" s="137">
        <v>1395441451001</v>
      </c>
      <c r="H197" s="138" t="s">
        <v>10282</v>
      </c>
      <c r="I197" s="136">
        <v>952500037</v>
      </c>
      <c r="J197" s="131" t="s">
        <v>3836</v>
      </c>
      <c r="K197" s="139">
        <v>115976</v>
      </c>
    </row>
    <row r="198" spans="1:11">
      <c r="A198" s="1" t="str">
        <f t="shared" si="3"/>
        <v>50100-725119394-941500842400000</v>
      </c>
      <c r="B198" s="136" t="s">
        <v>10302</v>
      </c>
      <c r="C198" s="136" t="s">
        <v>10303</v>
      </c>
      <c r="D198" s="132" t="s">
        <v>3420</v>
      </c>
      <c r="E198" s="136" t="s">
        <v>2868</v>
      </c>
      <c r="F198" s="136" t="s">
        <v>2868</v>
      </c>
      <c r="G198" s="137">
        <v>1394395844001</v>
      </c>
      <c r="H198" s="138" t="s">
        <v>6298</v>
      </c>
      <c r="I198" s="136">
        <v>941500842</v>
      </c>
      <c r="J198" s="131" t="s">
        <v>3062</v>
      </c>
      <c r="K198" s="139">
        <v>400000</v>
      </c>
    </row>
    <row r="199" spans="1:11">
      <c r="A199" s="1" t="str">
        <f t="shared" si="3"/>
        <v>50100-788357195-951500234199000</v>
      </c>
      <c r="B199" s="136" t="s">
        <v>3681</v>
      </c>
      <c r="C199" s="136" t="s">
        <v>10304</v>
      </c>
      <c r="D199" s="132" t="s">
        <v>3420</v>
      </c>
      <c r="E199" s="136" t="s">
        <v>3715</v>
      </c>
      <c r="F199" s="136" t="s">
        <v>3715</v>
      </c>
      <c r="G199" s="137">
        <v>1395421206001</v>
      </c>
      <c r="H199" s="138" t="s">
        <v>6298</v>
      </c>
      <c r="I199" s="136">
        <v>951500234</v>
      </c>
      <c r="J199" s="131" t="s">
        <v>3728</v>
      </c>
      <c r="K199" s="139">
        <v>199000</v>
      </c>
    </row>
    <row r="200" spans="1:11">
      <c r="A200" s="1" t="str">
        <f t="shared" si="3"/>
        <v>50100-825269995-951500548242387</v>
      </c>
      <c r="B200" s="136" t="s">
        <v>4535</v>
      </c>
      <c r="C200" s="136" t="s">
        <v>10237</v>
      </c>
      <c r="D200" s="132" t="s">
        <v>3420</v>
      </c>
      <c r="E200" s="136" t="s">
        <v>4575</v>
      </c>
      <c r="F200" s="136" t="s">
        <v>4575</v>
      </c>
      <c r="G200" s="137">
        <v>1395447372001</v>
      </c>
      <c r="H200" s="138" t="s">
        <v>6300</v>
      </c>
      <c r="I200" s="136">
        <v>951500548</v>
      </c>
      <c r="J200" s="131" t="s">
        <v>4473</v>
      </c>
      <c r="K200" s="139">
        <v>242387</v>
      </c>
    </row>
    <row r="201" spans="1:11">
      <c r="A201" s="1" t="str">
        <f t="shared" si="3"/>
        <v>50100-829842395-95150048598063</v>
      </c>
      <c r="B201" s="136" t="s">
        <v>4621</v>
      </c>
      <c r="C201" s="136" t="s">
        <v>10231</v>
      </c>
      <c r="D201" s="132" t="s">
        <v>3420</v>
      </c>
      <c r="E201" s="136" t="s">
        <v>4659</v>
      </c>
      <c r="F201" s="136" t="s">
        <v>4516</v>
      </c>
      <c r="G201" s="137">
        <v>1395449236001</v>
      </c>
      <c r="H201" s="138" t="s">
        <v>6298</v>
      </c>
      <c r="I201" s="136">
        <v>951500485</v>
      </c>
      <c r="J201" s="131" t="s">
        <v>4677</v>
      </c>
      <c r="K201" s="139">
        <v>98063</v>
      </c>
    </row>
    <row r="202" spans="1:11">
      <c r="A202" s="1" t="str">
        <f t="shared" si="3"/>
        <v>50100-830063795-951500418220000</v>
      </c>
      <c r="B202" s="136" t="s">
        <v>4620</v>
      </c>
      <c r="C202" s="136" t="s">
        <v>10235</v>
      </c>
      <c r="D202" s="132" t="s">
        <v>3420</v>
      </c>
      <c r="E202" s="136" t="s">
        <v>4659</v>
      </c>
      <c r="F202" s="136" t="s">
        <v>4659</v>
      </c>
      <c r="G202" s="137">
        <v>1395445412001</v>
      </c>
      <c r="H202" s="138" t="s">
        <v>6298</v>
      </c>
      <c r="I202" s="136">
        <v>951500418</v>
      </c>
      <c r="J202" s="131" t="s">
        <v>4678</v>
      </c>
      <c r="K202" s="139">
        <v>220000</v>
      </c>
    </row>
    <row r="203" spans="1:11">
      <c r="A203" s="1" t="str">
        <f t="shared" si="3"/>
        <v>50100-711398394-94150074512840</v>
      </c>
      <c r="B203" s="136" t="s">
        <v>10287</v>
      </c>
      <c r="C203" s="136" t="s">
        <v>10288</v>
      </c>
      <c r="D203" s="132" t="s">
        <v>3420</v>
      </c>
      <c r="E203" s="136" t="s">
        <v>2615</v>
      </c>
      <c r="F203" s="136" t="s">
        <v>2615</v>
      </c>
      <c r="G203" s="137">
        <v>1394394178001</v>
      </c>
      <c r="H203" s="138" t="s">
        <v>6298</v>
      </c>
      <c r="I203" s="136">
        <v>941500745</v>
      </c>
      <c r="J203" s="131" t="s">
        <v>2631</v>
      </c>
      <c r="K203" s="139">
        <v>12840</v>
      </c>
    </row>
    <row r="204" spans="1:11">
      <c r="A204" s="1" t="str">
        <f t="shared" si="3"/>
        <v>50100-845647195-951500580808445</v>
      </c>
      <c r="B204" s="136" t="s">
        <v>4805</v>
      </c>
      <c r="C204" s="136" t="s">
        <v>10305</v>
      </c>
      <c r="D204" s="132" t="s">
        <v>3420</v>
      </c>
      <c r="E204" s="136" t="s">
        <v>4875</v>
      </c>
      <c r="F204" s="136" t="s">
        <v>4875</v>
      </c>
      <c r="G204" s="137">
        <v>1395451404001</v>
      </c>
      <c r="H204" s="138" t="s">
        <v>6456</v>
      </c>
      <c r="I204" s="136">
        <v>951500580</v>
      </c>
      <c r="J204" s="131" t="s">
        <v>4933</v>
      </c>
      <c r="K204" s="139">
        <v>808445</v>
      </c>
    </row>
    <row r="205" spans="1:11">
      <c r="A205" s="1" t="str">
        <f t="shared" si="3"/>
        <v>50100-785068895-951500259487430</v>
      </c>
      <c r="B205" s="136" t="s">
        <v>3683</v>
      </c>
      <c r="C205" s="136" t="s">
        <v>10306</v>
      </c>
      <c r="D205" s="132" t="s">
        <v>3420</v>
      </c>
      <c r="E205" s="136" t="s">
        <v>3668</v>
      </c>
      <c r="F205" s="136" t="s">
        <v>3668</v>
      </c>
      <c r="G205" s="137">
        <v>1395431925001</v>
      </c>
      <c r="H205" s="138" t="s">
        <v>10183</v>
      </c>
      <c r="I205" s="136">
        <v>951500259</v>
      </c>
      <c r="J205" s="131" t="s">
        <v>3730</v>
      </c>
      <c r="K205" s="139">
        <v>487430</v>
      </c>
    </row>
    <row r="206" spans="1:11">
      <c r="A206" s="1" t="str">
        <f t="shared" si="3"/>
        <v>50100-823119495-951500311119986</v>
      </c>
      <c r="B206" s="136" t="s">
        <v>4401</v>
      </c>
      <c r="C206" s="136" t="s">
        <v>10307</v>
      </c>
      <c r="D206" s="132" t="s">
        <v>3420</v>
      </c>
      <c r="E206" s="136" t="s">
        <v>4442</v>
      </c>
      <c r="F206" s="136" t="s">
        <v>4442</v>
      </c>
      <c r="G206" s="137">
        <v>1395435642001</v>
      </c>
      <c r="H206" s="138" t="s">
        <v>10206</v>
      </c>
      <c r="I206" s="136">
        <v>951500311</v>
      </c>
      <c r="J206" s="131" t="s">
        <v>4459</v>
      </c>
      <c r="K206" s="139">
        <v>119986</v>
      </c>
    </row>
    <row r="207" spans="1:11">
      <c r="A207" s="1" t="str">
        <f t="shared" si="3"/>
        <v>50100-824384495-952500041199797</v>
      </c>
      <c r="B207" s="136" t="s">
        <v>4530</v>
      </c>
      <c r="C207" s="136" t="s">
        <v>10308</v>
      </c>
      <c r="D207" s="132" t="s">
        <v>3420</v>
      </c>
      <c r="E207" s="136" t="s">
        <v>4574</v>
      </c>
      <c r="F207" s="136" t="s">
        <v>4574</v>
      </c>
      <c r="G207" s="137">
        <v>1395441908001</v>
      </c>
      <c r="H207" s="138" t="s">
        <v>6298</v>
      </c>
      <c r="I207" s="136">
        <v>952500041</v>
      </c>
      <c r="J207" s="131" t="s">
        <v>4586</v>
      </c>
      <c r="K207" s="139">
        <v>199797</v>
      </c>
    </row>
    <row r="208" spans="1:11">
      <c r="A208" s="1" t="str">
        <f t="shared" si="3"/>
        <v>15100-39503095-95150059746380</v>
      </c>
      <c r="B208" s="136" t="s">
        <v>4830</v>
      </c>
      <c r="C208" s="136" t="s">
        <v>10309</v>
      </c>
      <c r="D208" s="132" t="s">
        <v>3420</v>
      </c>
      <c r="E208" s="136" t="s">
        <v>4878</v>
      </c>
      <c r="F208" s="136" t="s">
        <v>4878</v>
      </c>
      <c r="G208" s="137">
        <v>1395462017001</v>
      </c>
      <c r="H208" s="138" t="s">
        <v>6298</v>
      </c>
      <c r="I208" s="136">
        <v>951500597</v>
      </c>
      <c r="J208" s="131" t="s">
        <v>4951</v>
      </c>
      <c r="K208" s="139">
        <v>46380</v>
      </c>
    </row>
    <row r="209" spans="1:11">
      <c r="A209" s="1" t="str">
        <f t="shared" si="3"/>
        <v>15100-39503095-95150060322460</v>
      </c>
      <c r="B209" s="136" t="s">
        <v>4830</v>
      </c>
      <c r="C209" s="136" t="s">
        <v>10309</v>
      </c>
      <c r="D209" s="132" t="s">
        <v>3420</v>
      </c>
      <c r="E209" s="136" t="s">
        <v>4878</v>
      </c>
      <c r="F209" s="136" t="s">
        <v>4878</v>
      </c>
      <c r="G209" s="137">
        <v>1395462017001</v>
      </c>
      <c r="H209" s="138" t="s">
        <v>6298</v>
      </c>
      <c r="I209" s="136">
        <v>951500603</v>
      </c>
      <c r="J209" s="131" t="s">
        <v>4952</v>
      </c>
      <c r="K209" s="139">
        <v>22460</v>
      </c>
    </row>
    <row r="210" spans="1:11">
      <c r="A210" s="1" t="str">
        <f t="shared" si="3"/>
        <v>15100-39574295-95150060395760</v>
      </c>
      <c r="B210" s="136" t="s">
        <v>4831</v>
      </c>
      <c r="C210" s="136" t="s">
        <v>10310</v>
      </c>
      <c r="D210" s="132" t="s">
        <v>3420</v>
      </c>
      <c r="E210" s="136" t="s">
        <v>4876</v>
      </c>
      <c r="F210" s="136" t="s">
        <v>4876</v>
      </c>
      <c r="G210" s="137">
        <v>1395462017001</v>
      </c>
      <c r="H210" s="138" t="s">
        <v>6298</v>
      </c>
      <c r="I210" s="136">
        <v>951500603</v>
      </c>
      <c r="J210" s="131" t="s">
        <v>4952</v>
      </c>
      <c r="K210" s="139">
        <v>95760</v>
      </c>
    </row>
    <row r="211" spans="1:11">
      <c r="A211" s="1" t="str">
        <f t="shared" si="3"/>
        <v>50100-833309795-951500345349700</v>
      </c>
      <c r="B211" s="136" t="s">
        <v>4623</v>
      </c>
      <c r="C211" s="136" t="s">
        <v>10311</v>
      </c>
      <c r="D211" s="132" t="s">
        <v>3420</v>
      </c>
      <c r="E211" s="136" t="s">
        <v>4517</v>
      </c>
      <c r="F211" s="136" t="s">
        <v>4517</v>
      </c>
      <c r="G211" s="137">
        <v>1395438610001</v>
      </c>
      <c r="H211" s="138" t="s">
        <v>10312</v>
      </c>
      <c r="I211" s="136">
        <v>951500345</v>
      </c>
      <c r="J211" s="131" t="s">
        <v>4681</v>
      </c>
      <c r="K211" s="139">
        <v>349700</v>
      </c>
    </row>
    <row r="212" spans="1:11">
      <c r="A212" s="1" t="str">
        <f t="shared" si="3"/>
        <v>15100-27138995-95150005048520</v>
      </c>
      <c r="B212" s="136" t="s">
        <v>2830</v>
      </c>
      <c r="C212" s="136" t="s">
        <v>10313</v>
      </c>
      <c r="D212" s="132" t="s">
        <v>3420</v>
      </c>
      <c r="E212" s="136" t="s">
        <v>2865</v>
      </c>
      <c r="F212" s="136" t="s">
        <v>2865</v>
      </c>
      <c r="G212" s="137">
        <v>1395397985001</v>
      </c>
      <c r="H212" s="138" t="s">
        <v>6298</v>
      </c>
      <c r="I212" s="136">
        <v>951500050</v>
      </c>
      <c r="J212" s="131" t="s">
        <v>2889</v>
      </c>
      <c r="K212" s="139">
        <v>48520</v>
      </c>
    </row>
    <row r="213" spans="1:11">
      <c r="A213" s="1" t="str">
        <f t="shared" si="3"/>
        <v>15100-28660495-95150003224300</v>
      </c>
      <c r="B213" s="136" t="s">
        <v>3195</v>
      </c>
      <c r="C213" s="136" t="s">
        <v>10314</v>
      </c>
      <c r="D213" s="132" t="s">
        <v>3420</v>
      </c>
      <c r="E213" s="136" t="s">
        <v>3208</v>
      </c>
      <c r="F213" s="136" t="s">
        <v>3208</v>
      </c>
      <c r="G213" s="137">
        <v>1395397985001</v>
      </c>
      <c r="H213" s="138" t="s">
        <v>6298</v>
      </c>
      <c r="I213" s="136">
        <v>951500032</v>
      </c>
      <c r="J213" s="131" t="s">
        <v>3210</v>
      </c>
      <c r="K213" s="139">
        <v>24300</v>
      </c>
    </row>
    <row r="214" spans="1:11">
      <c r="A214" s="1" t="str">
        <f t="shared" si="3"/>
        <v>50100-822553395-95150047340187</v>
      </c>
      <c r="B214" s="136" t="s">
        <v>4409</v>
      </c>
      <c r="C214" s="136" t="s">
        <v>10315</v>
      </c>
      <c r="D214" s="132" t="s">
        <v>3420</v>
      </c>
      <c r="E214" s="136" t="s">
        <v>4444</v>
      </c>
      <c r="F214" s="136" t="s">
        <v>4444</v>
      </c>
      <c r="G214" s="137">
        <v>1395441450001</v>
      </c>
      <c r="H214" s="138" t="s">
        <v>6300</v>
      </c>
      <c r="I214" s="136">
        <v>951500473</v>
      </c>
      <c r="J214" s="131" t="s">
        <v>4188</v>
      </c>
      <c r="K214" s="139">
        <v>40187</v>
      </c>
    </row>
    <row r="215" spans="1:11">
      <c r="A215" s="1" t="str">
        <f t="shared" si="3"/>
        <v>50100-822553395-951500548557113</v>
      </c>
      <c r="B215" s="136" t="s">
        <v>4409</v>
      </c>
      <c r="C215" s="136" t="s">
        <v>10315</v>
      </c>
      <c r="D215" s="132" t="s">
        <v>3420</v>
      </c>
      <c r="E215" s="136" t="s">
        <v>4444</v>
      </c>
      <c r="F215" s="136" t="s">
        <v>4444</v>
      </c>
      <c r="G215" s="137">
        <v>1395447372001</v>
      </c>
      <c r="H215" s="138" t="s">
        <v>6300</v>
      </c>
      <c r="I215" s="136">
        <v>951500548</v>
      </c>
      <c r="J215" s="131" t="s">
        <v>4473</v>
      </c>
      <c r="K215" s="139">
        <v>557113</v>
      </c>
    </row>
    <row r="216" spans="1:11">
      <c r="A216" s="1" t="str">
        <f t="shared" si="3"/>
        <v>50100-843317895-95150056797185</v>
      </c>
      <c r="B216" s="136" t="s">
        <v>4798</v>
      </c>
      <c r="C216" s="136" t="s">
        <v>10316</v>
      </c>
      <c r="D216" s="132" t="s">
        <v>3420</v>
      </c>
      <c r="E216" s="136" t="s">
        <v>4872</v>
      </c>
      <c r="F216" s="136" t="s">
        <v>4872</v>
      </c>
      <c r="G216" s="137">
        <v>1395450759001</v>
      </c>
      <c r="H216" s="138" t="s">
        <v>6454</v>
      </c>
      <c r="I216" s="136">
        <v>951500567</v>
      </c>
      <c r="J216" s="131" t="s">
        <v>4931</v>
      </c>
      <c r="K216" s="139">
        <v>97185</v>
      </c>
    </row>
    <row r="217" spans="1:11">
      <c r="A217" s="1" t="str">
        <f t="shared" si="3"/>
        <v>50100-843581295-951500590200630</v>
      </c>
      <c r="B217" s="136" t="s">
        <v>4799</v>
      </c>
      <c r="C217" s="136" t="s">
        <v>10317</v>
      </c>
      <c r="D217" s="132" t="s">
        <v>3420</v>
      </c>
      <c r="E217" s="136" t="s">
        <v>4872</v>
      </c>
      <c r="F217" s="136" t="s">
        <v>4872</v>
      </c>
      <c r="G217" s="137">
        <v>1395451401001</v>
      </c>
      <c r="H217" s="138" t="s">
        <v>6300</v>
      </c>
      <c r="I217" s="136">
        <v>951500590</v>
      </c>
      <c r="J217" s="131" t="s">
        <v>4932</v>
      </c>
      <c r="K217" s="139">
        <v>200630</v>
      </c>
    </row>
    <row r="218" spans="1:11">
      <c r="A218" s="1" t="str">
        <f t="shared" si="3"/>
        <v>50100-713357594-941500790200200</v>
      </c>
      <c r="B218" s="136" t="s">
        <v>10318</v>
      </c>
      <c r="C218" s="136" t="s">
        <v>10319</v>
      </c>
      <c r="D218" s="132" t="s">
        <v>3420</v>
      </c>
      <c r="E218" s="136" t="s">
        <v>2611</v>
      </c>
      <c r="F218" s="136" t="s">
        <v>2611</v>
      </c>
      <c r="G218" s="137">
        <v>1394394802001</v>
      </c>
      <c r="H218" s="138" t="s">
        <v>6298</v>
      </c>
      <c r="I218" s="136">
        <v>941500790</v>
      </c>
      <c r="J218" s="131" t="s">
        <v>2630</v>
      </c>
      <c r="K218" s="139">
        <v>200200</v>
      </c>
    </row>
    <row r="219" spans="1:11">
      <c r="A219" s="1" t="str">
        <f t="shared" si="3"/>
        <v>50100-784856495-954200030393739</v>
      </c>
      <c r="B219" s="136" t="s">
        <v>3682</v>
      </c>
      <c r="C219" s="136" t="s">
        <v>10320</v>
      </c>
      <c r="D219" s="132" t="s">
        <v>3420</v>
      </c>
      <c r="E219" s="136" t="s">
        <v>3664</v>
      </c>
      <c r="F219" s="136" t="s">
        <v>3664</v>
      </c>
      <c r="G219" s="137">
        <v>1395422325001</v>
      </c>
      <c r="H219" s="138" t="s">
        <v>10183</v>
      </c>
      <c r="I219" s="136">
        <v>954200030</v>
      </c>
      <c r="J219" s="131" t="s">
        <v>3729</v>
      </c>
      <c r="K219" s="139">
        <v>393739</v>
      </c>
    </row>
    <row r="220" spans="1:11">
      <c r="A220" s="1" t="str">
        <f t="shared" si="3"/>
        <v>50100-722917995-95150001815149</v>
      </c>
      <c r="B220" s="136" t="s">
        <v>2962</v>
      </c>
      <c r="C220" s="136" t="s">
        <v>10321</v>
      </c>
      <c r="D220" s="132" t="s">
        <v>3420</v>
      </c>
      <c r="E220" s="136" t="s">
        <v>2862</v>
      </c>
      <c r="F220" s="136" t="s">
        <v>2862</v>
      </c>
      <c r="G220" s="137">
        <v>1394394801001</v>
      </c>
      <c r="H220" s="138" t="s">
        <v>10183</v>
      </c>
      <c r="I220" s="136">
        <v>951500018</v>
      </c>
      <c r="J220" s="131" t="s">
        <v>2809</v>
      </c>
      <c r="K220" s="139">
        <v>15149</v>
      </c>
    </row>
    <row r="221" spans="1:11">
      <c r="A221" s="1" t="str">
        <f t="shared" si="3"/>
        <v>50100-761795195-952500019191923</v>
      </c>
      <c r="B221" s="136" t="s">
        <v>10322</v>
      </c>
      <c r="C221" s="136" t="s">
        <v>10323</v>
      </c>
      <c r="D221" s="132" t="s">
        <v>3420</v>
      </c>
      <c r="E221" s="136" t="s">
        <v>3376</v>
      </c>
      <c r="F221" s="136" t="s">
        <v>3376</v>
      </c>
      <c r="G221" s="137">
        <v>1395397987001</v>
      </c>
      <c r="H221" s="138" t="s">
        <v>10183</v>
      </c>
      <c r="I221" s="136">
        <v>952500019</v>
      </c>
      <c r="J221" s="131" t="s">
        <v>3336</v>
      </c>
      <c r="K221" s="139">
        <v>191923</v>
      </c>
    </row>
    <row r="222" spans="1:11">
      <c r="A222" s="1" t="str">
        <f t="shared" si="3"/>
        <v>50100-761795195-952500022166898</v>
      </c>
      <c r="B222" s="136" t="s">
        <v>10322</v>
      </c>
      <c r="C222" s="136" t="s">
        <v>10323</v>
      </c>
      <c r="D222" s="132" t="s">
        <v>3420</v>
      </c>
      <c r="E222" s="136" t="s">
        <v>3376</v>
      </c>
      <c r="F222" s="136" t="s">
        <v>3376</v>
      </c>
      <c r="G222" s="137">
        <v>1395397987001</v>
      </c>
      <c r="H222" s="138" t="s">
        <v>10183</v>
      </c>
      <c r="I222" s="136">
        <v>952500022</v>
      </c>
      <c r="J222" s="131" t="s">
        <v>3404</v>
      </c>
      <c r="K222" s="139">
        <v>166898</v>
      </c>
    </row>
    <row r="223" spans="1:11">
      <c r="A223" s="1" t="str">
        <f t="shared" si="3"/>
        <v>50100-752304095-9525000021049</v>
      </c>
      <c r="B223" s="136" t="s">
        <v>3301</v>
      </c>
      <c r="C223" s="136" t="s">
        <v>10324</v>
      </c>
      <c r="D223" s="132" t="s">
        <v>3420</v>
      </c>
      <c r="E223" s="136" t="s">
        <v>3278</v>
      </c>
      <c r="F223" s="136" t="s">
        <v>3278</v>
      </c>
      <c r="G223" s="137">
        <v>1394394801001</v>
      </c>
      <c r="H223" s="138" t="s">
        <v>10183</v>
      </c>
      <c r="I223" s="136">
        <v>952500002</v>
      </c>
      <c r="J223" s="131" t="s">
        <v>2804</v>
      </c>
      <c r="K223" s="139">
        <v>1049</v>
      </c>
    </row>
    <row r="224" spans="1:11">
      <c r="A224" s="1" t="str">
        <f t="shared" si="3"/>
        <v>50100-752304095-9525000191110896</v>
      </c>
      <c r="B224" s="136" t="s">
        <v>3301</v>
      </c>
      <c r="C224" s="136" t="s">
        <v>10324</v>
      </c>
      <c r="D224" s="132" t="s">
        <v>3420</v>
      </c>
      <c r="E224" s="136" t="s">
        <v>3278</v>
      </c>
      <c r="F224" s="136" t="s">
        <v>3278</v>
      </c>
      <c r="G224" s="137">
        <v>1395397987001</v>
      </c>
      <c r="H224" s="138" t="s">
        <v>10183</v>
      </c>
      <c r="I224" s="136">
        <v>952500019</v>
      </c>
      <c r="J224" s="131" t="s">
        <v>3336</v>
      </c>
      <c r="K224" s="139">
        <v>1110896</v>
      </c>
    </row>
    <row r="225" spans="1:11">
      <c r="A225" s="1" t="str">
        <f t="shared" si="3"/>
        <v>50100-710931794-942500108207524</v>
      </c>
      <c r="B225" s="136" t="s">
        <v>10325</v>
      </c>
      <c r="C225" s="136" t="s">
        <v>10326</v>
      </c>
      <c r="D225" s="132" t="s">
        <v>3420</v>
      </c>
      <c r="E225" s="136" t="s">
        <v>2613</v>
      </c>
      <c r="F225" s="136" t="s">
        <v>2613</v>
      </c>
      <c r="G225" s="137">
        <v>1394392936001</v>
      </c>
      <c r="H225" s="138" t="s">
        <v>10183</v>
      </c>
      <c r="I225" s="136">
        <v>942500108</v>
      </c>
      <c r="J225" s="131" t="s">
        <v>7066</v>
      </c>
      <c r="K225" s="139">
        <v>207524</v>
      </c>
    </row>
    <row r="226" spans="1:11">
      <c r="A226" s="1" t="str">
        <f t="shared" si="3"/>
        <v>50100-856084296-961500051240000</v>
      </c>
      <c r="B226" s="136" t="s">
        <v>4976</v>
      </c>
      <c r="C226" s="136" t="s">
        <v>8938</v>
      </c>
      <c r="D226" s="132" t="s">
        <v>4971</v>
      </c>
      <c r="E226" s="136" t="s">
        <v>5007</v>
      </c>
      <c r="F226" s="136" t="s">
        <v>5007</v>
      </c>
      <c r="G226" s="137">
        <v>1395467470001</v>
      </c>
      <c r="H226" s="138" t="s">
        <v>6298</v>
      </c>
      <c r="I226" s="136">
        <v>961500051</v>
      </c>
      <c r="J226" s="131" t="s">
        <v>5016</v>
      </c>
      <c r="K226" s="139">
        <v>240000</v>
      </c>
    </row>
    <row r="227" spans="1:11">
      <c r="A227" s="1" t="str">
        <f t="shared" si="3"/>
        <v>50100-726021795-95150006952308</v>
      </c>
      <c r="B227" s="136" t="s">
        <v>2931</v>
      </c>
      <c r="C227" s="136" t="s">
        <v>10248</v>
      </c>
      <c r="D227" s="132" t="s">
        <v>3420</v>
      </c>
      <c r="E227" s="136" t="s">
        <v>2867</v>
      </c>
      <c r="F227" s="136" t="s">
        <v>2867</v>
      </c>
      <c r="G227" s="137">
        <v>1394395845001</v>
      </c>
      <c r="H227" s="138" t="s">
        <v>6453</v>
      </c>
      <c r="I227" s="136">
        <v>951500069</v>
      </c>
      <c r="J227" s="131" t="s">
        <v>3086</v>
      </c>
      <c r="K227" s="139">
        <v>52308</v>
      </c>
    </row>
    <row r="228" spans="1:11">
      <c r="A228" s="1" t="str">
        <f t="shared" si="3"/>
        <v>15100-32739095-95150025045880</v>
      </c>
      <c r="B228" s="136" t="s">
        <v>3632</v>
      </c>
      <c r="C228" s="136" t="s">
        <v>10327</v>
      </c>
      <c r="D228" s="132" t="s">
        <v>3420</v>
      </c>
      <c r="E228" s="136" t="s">
        <v>3669</v>
      </c>
      <c r="F228" s="136" t="s">
        <v>3669</v>
      </c>
      <c r="G228" s="137">
        <v>1395427836001</v>
      </c>
      <c r="H228" s="138" t="s">
        <v>6298</v>
      </c>
      <c r="I228" s="136">
        <v>951500250</v>
      </c>
      <c r="J228" s="131" t="s">
        <v>3660</v>
      </c>
      <c r="K228" s="139">
        <v>45880</v>
      </c>
    </row>
    <row r="229" spans="1:11">
      <c r="A229" s="1" t="str">
        <f t="shared" si="3"/>
        <v>15100-32790295-95150025048040</v>
      </c>
      <c r="B229" s="136" t="s">
        <v>3633</v>
      </c>
      <c r="C229" s="136" t="s">
        <v>10328</v>
      </c>
      <c r="D229" s="132" t="s">
        <v>3420</v>
      </c>
      <c r="E229" s="136" t="s">
        <v>3667</v>
      </c>
      <c r="F229" s="136" t="s">
        <v>3667</v>
      </c>
      <c r="G229" s="137">
        <v>1395427836001</v>
      </c>
      <c r="H229" s="138" t="s">
        <v>6298</v>
      </c>
      <c r="I229" s="136">
        <v>951500250</v>
      </c>
      <c r="J229" s="131" t="s">
        <v>3660</v>
      </c>
      <c r="K229" s="139">
        <v>48040</v>
      </c>
    </row>
    <row r="230" spans="1:11">
      <c r="A230" s="1" t="str">
        <f t="shared" si="3"/>
        <v>50100-736574595-9515001481500000</v>
      </c>
      <c r="B230" s="136" t="s">
        <v>2946</v>
      </c>
      <c r="C230" s="136" t="s">
        <v>10329</v>
      </c>
      <c r="D230" s="132" t="s">
        <v>3420</v>
      </c>
      <c r="E230" s="136" t="s">
        <v>3043</v>
      </c>
      <c r="F230" s="136" t="s">
        <v>3043</v>
      </c>
      <c r="G230" s="137">
        <v>1395397987001</v>
      </c>
      <c r="H230" s="138" t="s">
        <v>10183</v>
      </c>
      <c r="I230" s="136">
        <v>951500148</v>
      </c>
      <c r="J230" s="131" t="s">
        <v>3095</v>
      </c>
      <c r="K230" s="139">
        <v>1500000</v>
      </c>
    </row>
    <row r="231" spans="1:11">
      <c r="A231" s="1" t="str">
        <f t="shared" si="3"/>
        <v>50100-736574595-951500156545580</v>
      </c>
      <c r="B231" s="136" t="s">
        <v>2946</v>
      </c>
      <c r="C231" s="136" t="s">
        <v>10329</v>
      </c>
      <c r="D231" s="132" t="s">
        <v>3420</v>
      </c>
      <c r="E231" s="136" t="s">
        <v>3043</v>
      </c>
      <c r="F231" s="136" t="s">
        <v>3043</v>
      </c>
      <c r="G231" s="137">
        <v>1395397987001</v>
      </c>
      <c r="H231" s="138" t="s">
        <v>10183</v>
      </c>
      <c r="I231" s="136">
        <v>951500156</v>
      </c>
      <c r="J231" s="131" t="s">
        <v>3096</v>
      </c>
      <c r="K231" s="139">
        <v>545580</v>
      </c>
    </row>
    <row r="232" spans="1:11">
      <c r="A232" s="1" t="str">
        <f t="shared" si="3"/>
        <v>50100-824828195-951500554992880</v>
      </c>
      <c r="B232" s="136" t="s">
        <v>4533</v>
      </c>
      <c r="C232" s="136" t="s">
        <v>10330</v>
      </c>
      <c r="D232" s="132" t="s">
        <v>3420</v>
      </c>
      <c r="E232" s="136" t="s">
        <v>4570</v>
      </c>
      <c r="F232" s="136" t="s">
        <v>4570</v>
      </c>
      <c r="G232" s="137">
        <v>1395456621001</v>
      </c>
      <c r="H232" s="138" t="s">
        <v>10183</v>
      </c>
      <c r="I232" s="136">
        <v>951500554</v>
      </c>
      <c r="J232" s="131" t="s">
        <v>4590</v>
      </c>
      <c r="K232" s="139">
        <v>992880</v>
      </c>
    </row>
    <row r="233" spans="1:11">
      <c r="A233" s="1" t="str">
        <f t="shared" si="3"/>
        <v>50100-737362795-952500012127921</v>
      </c>
      <c r="B233" s="136" t="s">
        <v>2940</v>
      </c>
      <c r="C233" s="136" t="s">
        <v>10331</v>
      </c>
      <c r="D233" s="132" t="s">
        <v>3420</v>
      </c>
      <c r="E233" s="136" t="s">
        <v>3041</v>
      </c>
      <c r="F233" s="136" t="s">
        <v>3041</v>
      </c>
      <c r="G233" s="137">
        <v>1395397987001</v>
      </c>
      <c r="H233" s="138" t="s">
        <v>10183</v>
      </c>
      <c r="I233" s="136">
        <v>952500012</v>
      </c>
      <c r="J233" s="131" t="s">
        <v>3110</v>
      </c>
      <c r="K233" s="139">
        <v>127921</v>
      </c>
    </row>
    <row r="234" spans="1:11">
      <c r="A234" s="1" t="str">
        <f t="shared" si="3"/>
        <v>50100-739268695-951500139271230</v>
      </c>
      <c r="B234" s="136" t="s">
        <v>3157</v>
      </c>
      <c r="C234" s="136" t="s">
        <v>10332</v>
      </c>
      <c r="D234" s="132" t="s">
        <v>3420</v>
      </c>
      <c r="E234" s="136" t="s">
        <v>3042</v>
      </c>
      <c r="F234" s="136" t="s">
        <v>3042</v>
      </c>
      <c r="G234" s="137">
        <v>1395401420001</v>
      </c>
      <c r="H234" s="138" t="s">
        <v>6298</v>
      </c>
      <c r="I234" s="136">
        <v>951500139</v>
      </c>
      <c r="J234" s="131" t="s">
        <v>3174</v>
      </c>
      <c r="K234" s="139">
        <v>271230</v>
      </c>
    </row>
    <row r="235" spans="1:11">
      <c r="A235" s="1" t="str">
        <f t="shared" si="3"/>
        <v>50100-842623095-951500576785</v>
      </c>
      <c r="B235" s="136" t="s">
        <v>4801</v>
      </c>
      <c r="C235" s="136" t="s">
        <v>10333</v>
      </c>
      <c r="D235" s="132" t="s">
        <v>3420</v>
      </c>
      <c r="E235" s="136" t="s">
        <v>4731</v>
      </c>
      <c r="F235" s="136" t="s">
        <v>4731</v>
      </c>
      <c r="G235" s="137">
        <v>1395451404001</v>
      </c>
      <c r="H235" s="138" t="s">
        <v>6456</v>
      </c>
      <c r="I235" s="136">
        <v>951500576</v>
      </c>
      <c r="J235" s="131" t="s">
        <v>4919</v>
      </c>
      <c r="K235" s="139">
        <v>785</v>
      </c>
    </row>
    <row r="236" spans="1:11">
      <c r="A236" s="1" t="str">
        <f t="shared" si="3"/>
        <v>50100-824384495-951500359200000</v>
      </c>
      <c r="B236" s="136" t="s">
        <v>4530</v>
      </c>
      <c r="C236" s="136" t="s">
        <v>10308</v>
      </c>
      <c r="D236" s="132" t="s">
        <v>3420</v>
      </c>
      <c r="E236" s="136" t="s">
        <v>4574</v>
      </c>
      <c r="F236" s="136" t="s">
        <v>4574</v>
      </c>
      <c r="G236" s="137">
        <v>1395441908001</v>
      </c>
      <c r="H236" s="138" t="s">
        <v>6298</v>
      </c>
      <c r="I236" s="136">
        <v>951500359</v>
      </c>
      <c r="J236" s="131" t="s">
        <v>4591</v>
      </c>
      <c r="K236" s="139">
        <v>200000</v>
      </c>
    </row>
    <row r="237" spans="1:11">
      <c r="A237" s="1" t="str">
        <f t="shared" si="3"/>
        <v>50100-827375995-951500286398491</v>
      </c>
      <c r="B237" s="136" t="s">
        <v>4540</v>
      </c>
      <c r="C237" s="136" t="s">
        <v>10334</v>
      </c>
      <c r="D237" s="132" t="s">
        <v>3420</v>
      </c>
      <c r="E237" s="136" t="s">
        <v>4500</v>
      </c>
      <c r="F237" s="136" t="s">
        <v>4500</v>
      </c>
      <c r="G237" s="137">
        <v>1395437984001</v>
      </c>
      <c r="H237" s="138" t="s">
        <v>10335</v>
      </c>
      <c r="I237" s="136">
        <v>951500286</v>
      </c>
      <c r="J237" s="131" t="s">
        <v>3752</v>
      </c>
      <c r="K237" s="139">
        <v>398491</v>
      </c>
    </row>
    <row r="238" spans="1:11">
      <c r="A238" s="1" t="str">
        <f t="shared" si="3"/>
        <v>50100-827375995-951500370112540</v>
      </c>
      <c r="B238" s="136" t="s">
        <v>4540</v>
      </c>
      <c r="C238" s="136" t="s">
        <v>10334</v>
      </c>
      <c r="D238" s="132" t="s">
        <v>3420</v>
      </c>
      <c r="E238" s="136" t="s">
        <v>4500</v>
      </c>
      <c r="F238" s="136" t="s">
        <v>4500</v>
      </c>
      <c r="G238" s="137">
        <v>1395438159001</v>
      </c>
      <c r="H238" s="138" t="s">
        <v>6298</v>
      </c>
      <c r="I238" s="136">
        <v>951500370</v>
      </c>
      <c r="J238" s="131" t="s">
        <v>4593</v>
      </c>
      <c r="K238" s="139">
        <v>112540</v>
      </c>
    </row>
    <row r="239" spans="1:11">
      <c r="A239" s="1" t="str">
        <f t="shared" si="3"/>
        <v>50100-843543195-951500576486008</v>
      </c>
      <c r="B239" s="136" t="s">
        <v>4802</v>
      </c>
      <c r="C239" s="136" t="s">
        <v>10336</v>
      </c>
      <c r="D239" s="132" t="s">
        <v>3420</v>
      </c>
      <c r="E239" s="136" t="s">
        <v>4872</v>
      </c>
      <c r="F239" s="136" t="s">
        <v>4872</v>
      </c>
      <c r="G239" s="137">
        <v>1395451404001</v>
      </c>
      <c r="H239" s="138" t="s">
        <v>6456</v>
      </c>
      <c r="I239" s="136">
        <v>951500576</v>
      </c>
      <c r="J239" s="131" t="s">
        <v>4919</v>
      </c>
      <c r="K239" s="139">
        <v>486008</v>
      </c>
    </row>
    <row r="240" spans="1:11">
      <c r="A240" s="1" t="str">
        <f t="shared" si="3"/>
        <v>50100-719881895-951500024857747</v>
      </c>
      <c r="B240" s="136" t="s">
        <v>2721</v>
      </c>
      <c r="C240" s="136" t="s">
        <v>10337</v>
      </c>
      <c r="D240" s="132" t="s">
        <v>3420</v>
      </c>
      <c r="E240" s="136" t="s">
        <v>2756</v>
      </c>
      <c r="F240" s="136" t="s">
        <v>2756</v>
      </c>
      <c r="G240" s="137">
        <v>1394395845001</v>
      </c>
      <c r="H240" s="138" t="s">
        <v>6453</v>
      </c>
      <c r="I240" s="136">
        <v>951500024</v>
      </c>
      <c r="J240" s="131" t="s">
        <v>2790</v>
      </c>
      <c r="K240" s="139">
        <v>857747</v>
      </c>
    </row>
    <row r="241" spans="1:11">
      <c r="A241" s="1" t="str">
        <f t="shared" si="3"/>
        <v>15100-35712595-95250006270398</v>
      </c>
      <c r="B241" s="136" t="s">
        <v>4126</v>
      </c>
      <c r="C241" s="136" t="s">
        <v>10338</v>
      </c>
      <c r="D241" s="132" t="s">
        <v>3420</v>
      </c>
      <c r="E241" s="136" t="s">
        <v>4178</v>
      </c>
      <c r="F241" s="136" t="s">
        <v>4178</v>
      </c>
      <c r="G241" s="137">
        <v>1395447378002</v>
      </c>
      <c r="H241" s="138" t="s">
        <v>10282</v>
      </c>
      <c r="I241" s="136">
        <v>952500062</v>
      </c>
      <c r="J241" s="131" t="s">
        <v>4278</v>
      </c>
      <c r="K241" s="139">
        <v>70398</v>
      </c>
    </row>
    <row r="242" spans="1:11">
      <c r="A242" s="1" t="str">
        <f t="shared" si="3"/>
        <v>15100-35779295-95250006246378</v>
      </c>
      <c r="B242" s="136" t="s">
        <v>4127</v>
      </c>
      <c r="C242" s="136" t="s">
        <v>10339</v>
      </c>
      <c r="D242" s="132" t="s">
        <v>3420</v>
      </c>
      <c r="E242" s="136" t="s">
        <v>4177</v>
      </c>
      <c r="F242" s="136" t="s">
        <v>4177</v>
      </c>
      <c r="G242" s="137">
        <v>1395447378002</v>
      </c>
      <c r="H242" s="138" t="s">
        <v>10282</v>
      </c>
      <c r="I242" s="136">
        <v>952500062</v>
      </c>
      <c r="J242" s="131" t="s">
        <v>4278</v>
      </c>
      <c r="K242" s="139">
        <v>46378</v>
      </c>
    </row>
    <row r="243" spans="1:11">
      <c r="A243" s="1" t="str">
        <f t="shared" si="3"/>
        <v>15100-36928295-952500076161221</v>
      </c>
      <c r="B243" s="136" t="s">
        <v>4362</v>
      </c>
      <c r="C243" s="136" t="s">
        <v>10340</v>
      </c>
      <c r="D243" s="132" t="s">
        <v>3420</v>
      </c>
      <c r="E243" s="136" t="s">
        <v>4307</v>
      </c>
      <c r="F243" s="136" t="s">
        <v>4307</v>
      </c>
      <c r="G243" s="137">
        <v>1395453120001</v>
      </c>
      <c r="H243" s="138" t="s">
        <v>10282</v>
      </c>
      <c r="I243" s="136">
        <v>952500076</v>
      </c>
      <c r="J243" s="131" t="s">
        <v>4447</v>
      </c>
      <c r="K243" s="139">
        <v>161221</v>
      </c>
    </row>
    <row r="244" spans="1:11">
      <c r="A244" s="1" t="str">
        <f t="shared" si="3"/>
        <v>50100-739719595-951500167289790</v>
      </c>
      <c r="B244" s="136" t="s">
        <v>3149</v>
      </c>
      <c r="C244" s="136" t="s">
        <v>10341</v>
      </c>
      <c r="D244" s="132" t="s">
        <v>3420</v>
      </c>
      <c r="E244" s="136" t="s">
        <v>3168</v>
      </c>
      <c r="F244" s="136" t="s">
        <v>3168</v>
      </c>
      <c r="G244" s="137">
        <v>1395397990001</v>
      </c>
      <c r="H244" s="138" t="s">
        <v>6456</v>
      </c>
      <c r="I244" s="136">
        <v>951500167</v>
      </c>
      <c r="J244" s="131" t="s">
        <v>3121</v>
      </c>
      <c r="K244" s="139">
        <v>289790</v>
      </c>
    </row>
    <row r="245" spans="1:11">
      <c r="A245" s="1" t="str">
        <f t="shared" si="3"/>
        <v>50100-760431295-951500189270539</v>
      </c>
      <c r="B245" s="136" t="s">
        <v>3303</v>
      </c>
      <c r="C245" s="136" t="s">
        <v>10266</v>
      </c>
      <c r="D245" s="132" t="s">
        <v>3420</v>
      </c>
      <c r="E245" s="136" t="s">
        <v>3325</v>
      </c>
      <c r="F245" s="136" t="s">
        <v>3325</v>
      </c>
      <c r="G245" s="137">
        <v>1395400303001</v>
      </c>
      <c r="H245" s="138" t="s">
        <v>6453</v>
      </c>
      <c r="I245" s="136">
        <v>951500189</v>
      </c>
      <c r="J245" s="131" t="s">
        <v>3339</v>
      </c>
      <c r="K245" s="139">
        <v>270539</v>
      </c>
    </row>
    <row r="246" spans="1:11">
      <c r="A246" s="1" t="str">
        <f t="shared" si="3"/>
        <v>50100-719302195-951500056476800</v>
      </c>
      <c r="B246" s="136" t="s">
        <v>2693</v>
      </c>
      <c r="C246" s="136" t="s">
        <v>10271</v>
      </c>
      <c r="D246" s="132" t="s">
        <v>3420</v>
      </c>
      <c r="E246" s="136" t="s">
        <v>2753</v>
      </c>
      <c r="F246" s="136" t="s">
        <v>2753</v>
      </c>
      <c r="G246" s="137">
        <v>1394395845001</v>
      </c>
      <c r="H246" s="138" t="s">
        <v>6453</v>
      </c>
      <c r="I246" s="136">
        <v>951500056</v>
      </c>
      <c r="J246" s="131" t="s">
        <v>2781</v>
      </c>
      <c r="K246" s="139">
        <v>476800</v>
      </c>
    </row>
    <row r="247" spans="1:11">
      <c r="A247" s="1" t="str">
        <f t="shared" si="3"/>
        <v>50100-757129795-951500082579</v>
      </c>
      <c r="B247" s="136" t="s">
        <v>3299</v>
      </c>
      <c r="C247" s="136" t="s">
        <v>10342</v>
      </c>
      <c r="D247" s="132" t="s">
        <v>3420</v>
      </c>
      <c r="E247" s="136" t="s">
        <v>3321</v>
      </c>
      <c r="F247" s="136" t="s">
        <v>3321</v>
      </c>
      <c r="G247" s="137">
        <v>1394395845001</v>
      </c>
      <c r="H247" s="138" t="s">
        <v>6453</v>
      </c>
      <c r="I247" s="136">
        <v>951500082</v>
      </c>
      <c r="J247" s="131" t="s">
        <v>3138</v>
      </c>
      <c r="K247" s="139">
        <v>579</v>
      </c>
    </row>
    <row r="248" spans="1:11">
      <c r="A248" s="1" t="str">
        <f t="shared" si="3"/>
        <v>15100-34353695-95250003770567</v>
      </c>
      <c r="B248" s="136" t="s">
        <v>3773</v>
      </c>
      <c r="C248" s="136" t="s">
        <v>10343</v>
      </c>
      <c r="D248" s="132" t="s">
        <v>3420</v>
      </c>
      <c r="E248" s="136" t="s">
        <v>3768</v>
      </c>
      <c r="F248" s="136" t="s">
        <v>3768</v>
      </c>
      <c r="G248" s="137">
        <v>1395441451001</v>
      </c>
      <c r="H248" s="138" t="s">
        <v>10282</v>
      </c>
      <c r="I248" s="136">
        <v>952500037</v>
      </c>
      <c r="J248" s="131" t="s">
        <v>3836</v>
      </c>
      <c r="K248" s="139">
        <v>70567</v>
      </c>
    </row>
    <row r="249" spans="1:11">
      <c r="A249" s="1" t="str">
        <f t="shared" si="3"/>
        <v>50100-734901495-952500010388634</v>
      </c>
      <c r="B249" s="136" t="s">
        <v>2937</v>
      </c>
      <c r="C249" s="136" t="s">
        <v>10344</v>
      </c>
      <c r="D249" s="132" t="s">
        <v>3420</v>
      </c>
      <c r="E249" s="136" t="s">
        <v>3048</v>
      </c>
      <c r="F249" s="136" t="s">
        <v>3048</v>
      </c>
      <c r="G249" s="137">
        <v>1394395847001</v>
      </c>
      <c r="H249" s="138" t="s">
        <v>10183</v>
      </c>
      <c r="I249" s="136">
        <v>952500010</v>
      </c>
      <c r="J249" s="131" t="s">
        <v>3061</v>
      </c>
      <c r="K249" s="139">
        <v>388634</v>
      </c>
    </row>
    <row r="250" spans="1:11">
      <c r="A250" s="1" t="str">
        <f t="shared" si="3"/>
        <v>50100-758690495-952500021196330</v>
      </c>
      <c r="B250" s="136" t="s">
        <v>3298</v>
      </c>
      <c r="C250" s="136" t="s">
        <v>10345</v>
      </c>
      <c r="D250" s="132" t="s">
        <v>3420</v>
      </c>
      <c r="E250" s="136" t="s">
        <v>3324</v>
      </c>
      <c r="F250" s="136" t="s">
        <v>3324</v>
      </c>
      <c r="G250" s="137">
        <v>1395397987001</v>
      </c>
      <c r="H250" s="138" t="s">
        <v>10183</v>
      </c>
      <c r="I250" s="136">
        <v>952500021</v>
      </c>
      <c r="J250" s="131" t="s">
        <v>3331</v>
      </c>
      <c r="K250" s="139">
        <v>196330</v>
      </c>
    </row>
    <row r="251" spans="1:11">
      <c r="A251" s="1" t="str">
        <f t="shared" si="3"/>
        <v>50100-823774395-951500479100055</v>
      </c>
      <c r="B251" s="136" t="s">
        <v>4531</v>
      </c>
      <c r="C251" s="136" t="s">
        <v>10346</v>
      </c>
      <c r="D251" s="132" t="s">
        <v>3420</v>
      </c>
      <c r="E251" s="136" t="s">
        <v>4569</v>
      </c>
      <c r="F251" s="136" t="s">
        <v>4569</v>
      </c>
      <c r="G251" s="137">
        <v>1395449892001</v>
      </c>
      <c r="H251" s="138" t="s">
        <v>6454</v>
      </c>
      <c r="I251" s="136">
        <v>951500479</v>
      </c>
      <c r="J251" s="131" t="s">
        <v>4461</v>
      </c>
      <c r="K251" s="139">
        <v>100055</v>
      </c>
    </row>
    <row r="252" spans="1:11">
      <c r="A252" s="1" t="str">
        <f t="shared" si="3"/>
        <v>50100-751219295-9515000272400</v>
      </c>
      <c r="B252" s="136" t="s">
        <v>3297</v>
      </c>
      <c r="C252" s="136" t="s">
        <v>10300</v>
      </c>
      <c r="D252" s="132" t="s">
        <v>3420</v>
      </c>
      <c r="E252" s="136" t="s">
        <v>3276</v>
      </c>
      <c r="F252" s="136" t="s">
        <v>3276</v>
      </c>
      <c r="G252" s="137">
        <v>1395397985001</v>
      </c>
      <c r="H252" s="138" t="s">
        <v>6298</v>
      </c>
      <c r="I252" s="136">
        <v>951500027</v>
      </c>
      <c r="J252" s="131" t="s">
        <v>2802</v>
      </c>
      <c r="K252" s="139">
        <v>2400</v>
      </c>
    </row>
    <row r="253" spans="1:11">
      <c r="A253" s="1" t="str">
        <f t="shared" si="3"/>
        <v>50100-712254994-941500803600000</v>
      </c>
      <c r="B253" s="136" t="s">
        <v>10347</v>
      </c>
      <c r="C253" s="136" t="s">
        <v>10348</v>
      </c>
      <c r="D253" s="132" t="s">
        <v>3420</v>
      </c>
      <c r="E253" s="136" t="s">
        <v>2610</v>
      </c>
      <c r="F253" s="136" t="s">
        <v>2610</v>
      </c>
      <c r="G253" s="137">
        <v>1394392654001</v>
      </c>
      <c r="H253" s="138" t="s">
        <v>6453</v>
      </c>
      <c r="I253" s="136">
        <v>941500803</v>
      </c>
      <c r="J253" s="131" t="s">
        <v>6872</v>
      </c>
      <c r="K253" s="139">
        <v>600000</v>
      </c>
    </row>
    <row r="254" spans="1:11">
      <c r="A254" s="1" t="str">
        <f t="shared" si="3"/>
        <v>50100-747793995-952500014673087</v>
      </c>
      <c r="B254" s="136" t="s">
        <v>3227</v>
      </c>
      <c r="C254" s="136" t="s">
        <v>10349</v>
      </c>
      <c r="D254" s="132" t="s">
        <v>3420</v>
      </c>
      <c r="E254" s="136" t="s">
        <v>3242</v>
      </c>
      <c r="F254" s="136" t="s">
        <v>3242</v>
      </c>
      <c r="G254" s="137">
        <v>1395397987001</v>
      </c>
      <c r="H254" s="138" t="s">
        <v>10183</v>
      </c>
      <c r="I254" s="136">
        <v>952500014</v>
      </c>
      <c r="J254" s="131" t="s">
        <v>3183</v>
      </c>
      <c r="K254" s="139">
        <v>673087</v>
      </c>
    </row>
    <row r="255" spans="1:11">
      <c r="A255" s="1" t="str">
        <f t="shared" si="3"/>
        <v>50100-833309795-951500313125050</v>
      </c>
      <c r="B255" s="136" t="s">
        <v>4623</v>
      </c>
      <c r="C255" s="136" t="s">
        <v>10311</v>
      </c>
      <c r="D255" s="132" t="s">
        <v>3420</v>
      </c>
      <c r="E255" s="136" t="s">
        <v>4517</v>
      </c>
      <c r="F255" s="136" t="s">
        <v>4517</v>
      </c>
      <c r="G255" s="137">
        <v>1395438608001</v>
      </c>
      <c r="H255" s="138" t="s">
        <v>10312</v>
      </c>
      <c r="I255" s="136">
        <v>951500313</v>
      </c>
      <c r="J255" s="131" t="s">
        <v>4674</v>
      </c>
      <c r="K255" s="139">
        <v>125050</v>
      </c>
    </row>
    <row r="256" spans="1:11">
      <c r="A256" s="1" t="str">
        <f t="shared" si="3"/>
        <v>50100-827834595-95150053042020</v>
      </c>
      <c r="B256" s="136" t="s">
        <v>4545</v>
      </c>
      <c r="C256" s="136" t="s">
        <v>10350</v>
      </c>
      <c r="D256" s="132" t="s">
        <v>3420</v>
      </c>
      <c r="E256" s="136" t="s">
        <v>4514</v>
      </c>
      <c r="F256" s="136" t="s">
        <v>4514</v>
      </c>
      <c r="G256" s="137">
        <v>1395447373001</v>
      </c>
      <c r="H256" s="138" t="s">
        <v>6453</v>
      </c>
      <c r="I256" s="136">
        <v>951500530</v>
      </c>
      <c r="J256" s="131" t="s">
        <v>4485</v>
      </c>
      <c r="K256" s="139">
        <v>42020</v>
      </c>
    </row>
    <row r="257" spans="1:11">
      <c r="A257" s="1" t="str">
        <f t="shared" si="3"/>
        <v>50100-823119495-951500268365114</v>
      </c>
      <c r="B257" s="136" t="s">
        <v>4401</v>
      </c>
      <c r="C257" s="136" t="s">
        <v>10307</v>
      </c>
      <c r="D257" s="132" t="s">
        <v>3420</v>
      </c>
      <c r="E257" s="136" t="s">
        <v>4442</v>
      </c>
      <c r="F257" s="136" t="s">
        <v>4442</v>
      </c>
      <c r="G257" s="137">
        <v>1395435642001</v>
      </c>
      <c r="H257" s="138" t="s">
        <v>10206</v>
      </c>
      <c r="I257" s="136">
        <v>951500268</v>
      </c>
      <c r="J257" s="131" t="s">
        <v>4456</v>
      </c>
      <c r="K257" s="139">
        <v>365114</v>
      </c>
    </row>
    <row r="258" spans="1:11">
      <c r="A258" s="1" t="str">
        <f t="shared" si="3"/>
        <v>15100-30173795-95150003222960</v>
      </c>
      <c r="B258" s="136" t="s">
        <v>3357</v>
      </c>
      <c r="C258" s="136" t="s">
        <v>10351</v>
      </c>
      <c r="D258" s="132" t="s">
        <v>3420</v>
      </c>
      <c r="E258" s="136" t="s">
        <v>3328</v>
      </c>
      <c r="F258" s="136" t="s">
        <v>3328</v>
      </c>
      <c r="G258" s="137">
        <v>1395397985001</v>
      </c>
      <c r="H258" s="138" t="s">
        <v>6298</v>
      </c>
      <c r="I258" s="136">
        <v>951500032</v>
      </c>
      <c r="J258" s="131" t="s">
        <v>3210</v>
      </c>
      <c r="K258" s="139">
        <v>22960</v>
      </c>
    </row>
    <row r="259" spans="1:11">
      <c r="A259" s="1" t="str">
        <f t="shared" ref="A259:A322" si="4">B259&amp;J259&amp;K259</f>
        <v>15100-30806595-95150003270860</v>
      </c>
      <c r="B259" s="136" t="s">
        <v>10352</v>
      </c>
      <c r="C259" s="136" t="s">
        <v>10353</v>
      </c>
      <c r="D259" s="132" t="s">
        <v>3420</v>
      </c>
      <c r="E259" s="136" t="s">
        <v>3398</v>
      </c>
      <c r="F259" s="136" t="s">
        <v>3398</v>
      </c>
      <c r="G259" s="137">
        <v>1395397985001</v>
      </c>
      <c r="H259" s="138" t="s">
        <v>6298</v>
      </c>
      <c r="I259" s="136">
        <v>951500032</v>
      </c>
      <c r="J259" s="131" t="s">
        <v>3210</v>
      </c>
      <c r="K259" s="139">
        <v>70860</v>
      </c>
    </row>
    <row r="260" spans="1:11">
      <c r="A260" s="1" t="str">
        <f t="shared" si="4"/>
        <v>50100-824847495-951500555994180</v>
      </c>
      <c r="B260" s="136" t="s">
        <v>4528</v>
      </c>
      <c r="C260" s="136" t="s">
        <v>10354</v>
      </c>
      <c r="D260" s="132" t="s">
        <v>3420</v>
      </c>
      <c r="E260" s="136" t="s">
        <v>4570</v>
      </c>
      <c r="F260" s="136" t="s">
        <v>4570</v>
      </c>
      <c r="G260" s="137">
        <v>1395456621001</v>
      </c>
      <c r="H260" s="138" t="s">
        <v>10183</v>
      </c>
      <c r="I260" s="136">
        <v>951500555</v>
      </c>
      <c r="J260" s="131" t="s">
        <v>4581</v>
      </c>
      <c r="K260" s="139">
        <v>994180</v>
      </c>
    </row>
    <row r="261" spans="1:11">
      <c r="A261" s="1" t="str">
        <f t="shared" si="4"/>
        <v>50100-737356995-952500011500000</v>
      </c>
      <c r="B261" s="136" t="s">
        <v>2936</v>
      </c>
      <c r="C261" s="136" t="s">
        <v>10263</v>
      </c>
      <c r="D261" s="132" t="s">
        <v>3420</v>
      </c>
      <c r="E261" s="136" t="s">
        <v>3041</v>
      </c>
      <c r="F261" s="136" t="s">
        <v>3041</v>
      </c>
      <c r="G261" s="137">
        <v>1394395847001</v>
      </c>
      <c r="H261" s="138" t="s">
        <v>10183</v>
      </c>
      <c r="I261" s="136">
        <v>952500011</v>
      </c>
      <c r="J261" s="131" t="s">
        <v>3077</v>
      </c>
      <c r="K261" s="139">
        <v>500000</v>
      </c>
    </row>
    <row r="262" spans="1:11">
      <c r="A262" s="1" t="str">
        <f t="shared" si="4"/>
        <v>50100-751315595-951500116341713</v>
      </c>
      <c r="B262" s="136" t="s">
        <v>3307</v>
      </c>
      <c r="C262" s="136" t="s">
        <v>10355</v>
      </c>
      <c r="D262" s="132" t="s">
        <v>3420</v>
      </c>
      <c r="E262" s="136" t="s">
        <v>3276</v>
      </c>
      <c r="F262" s="136" t="s">
        <v>3276</v>
      </c>
      <c r="G262" s="137">
        <v>1394395845001</v>
      </c>
      <c r="H262" s="138" t="s">
        <v>6453</v>
      </c>
      <c r="I262" s="136">
        <v>951500116</v>
      </c>
      <c r="J262" s="131" t="s">
        <v>3258</v>
      </c>
      <c r="K262" s="139">
        <v>341713</v>
      </c>
    </row>
    <row r="263" spans="1:11">
      <c r="A263" s="1" t="str">
        <f t="shared" si="4"/>
        <v>50100-751315595-951500118157886</v>
      </c>
      <c r="B263" s="136" t="s">
        <v>3307</v>
      </c>
      <c r="C263" s="136" t="s">
        <v>10355</v>
      </c>
      <c r="D263" s="132" t="s">
        <v>3420</v>
      </c>
      <c r="E263" s="136" t="s">
        <v>3276</v>
      </c>
      <c r="F263" s="136" t="s">
        <v>3276</v>
      </c>
      <c r="G263" s="137">
        <v>1394395845001</v>
      </c>
      <c r="H263" s="138" t="s">
        <v>6453</v>
      </c>
      <c r="I263" s="136">
        <v>951500118</v>
      </c>
      <c r="J263" s="131" t="s">
        <v>3346</v>
      </c>
      <c r="K263" s="139">
        <v>157886</v>
      </c>
    </row>
    <row r="264" spans="1:11">
      <c r="A264" s="1" t="str">
        <f t="shared" si="4"/>
        <v>50100-733946295-9515001571000000</v>
      </c>
      <c r="B264" s="136" t="s">
        <v>2950</v>
      </c>
      <c r="C264" s="136" t="s">
        <v>10356</v>
      </c>
      <c r="D264" s="132" t="s">
        <v>3420</v>
      </c>
      <c r="E264" s="136" t="s">
        <v>3047</v>
      </c>
      <c r="F264" s="136" t="s">
        <v>3047</v>
      </c>
      <c r="G264" s="137">
        <v>1395397990001</v>
      </c>
      <c r="H264" s="138" t="s">
        <v>6456</v>
      </c>
      <c r="I264" s="136">
        <v>951500157</v>
      </c>
      <c r="J264" s="131" t="s">
        <v>3102</v>
      </c>
      <c r="K264" s="139">
        <v>1000000</v>
      </c>
    </row>
    <row r="265" spans="1:11">
      <c r="A265" s="1" t="str">
        <f t="shared" si="4"/>
        <v>15100-25060394-941500758402800</v>
      </c>
      <c r="B265" s="136" t="s">
        <v>10357</v>
      </c>
      <c r="C265" s="136" t="s">
        <v>10358</v>
      </c>
      <c r="D265" s="132" t="s">
        <v>3420</v>
      </c>
      <c r="E265" s="136" t="s">
        <v>2613</v>
      </c>
      <c r="F265" s="136" t="s">
        <v>2613</v>
      </c>
      <c r="G265" s="137">
        <v>1394394178001</v>
      </c>
      <c r="H265" s="138" t="s">
        <v>6298</v>
      </c>
      <c r="I265" s="136">
        <v>941500758</v>
      </c>
      <c r="J265" s="131" t="s">
        <v>2552</v>
      </c>
      <c r="K265" s="139">
        <v>402800</v>
      </c>
    </row>
    <row r="266" spans="1:11">
      <c r="A266" s="1" t="str">
        <f t="shared" si="4"/>
        <v>15100-35840595-95250006268564</v>
      </c>
      <c r="B266" s="136" t="s">
        <v>4164</v>
      </c>
      <c r="C266" s="136" t="s">
        <v>10359</v>
      </c>
      <c r="D266" s="132" t="s">
        <v>3420</v>
      </c>
      <c r="E266" s="136" t="s">
        <v>4185</v>
      </c>
      <c r="F266" s="136" t="s">
        <v>4185</v>
      </c>
      <c r="G266" s="137">
        <v>1395447378002</v>
      </c>
      <c r="H266" s="138" t="s">
        <v>10282</v>
      </c>
      <c r="I266" s="136">
        <v>952500062</v>
      </c>
      <c r="J266" s="131" t="s">
        <v>4278</v>
      </c>
      <c r="K266" s="139">
        <v>68564</v>
      </c>
    </row>
    <row r="267" spans="1:11">
      <c r="A267" s="1" t="str">
        <f t="shared" si="4"/>
        <v>50100-719881895-951500020129393</v>
      </c>
      <c r="B267" s="136" t="s">
        <v>2721</v>
      </c>
      <c r="C267" s="136" t="s">
        <v>10337</v>
      </c>
      <c r="D267" s="132" t="s">
        <v>3420</v>
      </c>
      <c r="E267" s="136" t="s">
        <v>2756</v>
      </c>
      <c r="F267" s="136" t="s">
        <v>2756</v>
      </c>
      <c r="G267" s="137">
        <v>1394395845001</v>
      </c>
      <c r="H267" s="138" t="s">
        <v>6453</v>
      </c>
      <c r="I267" s="136">
        <v>951500020</v>
      </c>
      <c r="J267" s="131" t="s">
        <v>2799</v>
      </c>
      <c r="K267" s="139">
        <v>129393</v>
      </c>
    </row>
    <row r="268" spans="1:11">
      <c r="A268" s="1" t="str">
        <f t="shared" si="4"/>
        <v>50100-757341795-951500173100000</v>
      </c>
      <c r="B268" s="136" t="s">
        <v>3293</v>
      </c>
      <c r="C268" s="136" t="s">
        <v>10360</v>
      </c>
      <c r="D268" s="132" t="s">
        <v>3420</v>
      </c>
      <c r="E268" s="136" t="s">
        <v>3321</v>
      </c>
      <c r="F268" s="136" t="s">
        <v>3321</v>
      </c>
      <c r="G268" s="137">
        <v>1395400303001</v>
      </c>
      <c r="H268" s="138" t="s">
        <v>6453</v>
      </c>
      <c r="I268" s="136">
        <v>951500173</v>
      </c>
      <c r="J268" s="131" t="s">
        <v>3334</v>
      </c>
      <c r="K268" s="139">
        <v>100000</v>
      </c>
    </row>
    <row r="269" spans="1:11">
      <c r="A269" s="1" t="str">
        <f t="shared" si="4"/>
        <v>15100-31748395-95250003260320</v>
      </c>
      <c r="B269" s="136" t="s">
        <v>3422</v>
      </c>
      <c r="C269" s="136" t="s">
        <v>10361</v>
      </c>
      <c r="D269" s="132" t="s">
        <v>3420</v>
      </c>
      <c r="E269" s="136" t="s">
        <v>3450</v>
      </c>
      <c r="F269" s="136" t="s">
        <v>3450</v>
      </c>
      <c r="G269" s="137">
        <v>1395424250001</v>
      </c>
      <c r="H269" s="138" t="s">
        <v>10282</v>
      </c>
      <c r="I269" s="136">
        <v>952500032</v>
      </c>
      <c r="J269" s="131" t="s">
        <v>3465</v>
      </c>
      <c r="K269" s="139">
        <v>60320</v>
      </c>
    </row>
    <row r="270" spans="1:11">
      <c r="A270" s="1" t="str">
        <f t="shared" si="4"/>
        <v>15100-26757294-94150081872800</v>
      </c>
      <c r="B270" s="136" t="s">
        <v>10362</v>
      </c>
      <c r="C270" s="136" t="s">
        <v>10363</v>
      </c>
      <c r="D270" s="132" t="s">
        <v>3420</v>
      </c>
      <c r="E270" s="136" t="s">
        <v>2860</v>
      </c>
      <c r="F270" s="136" t="s">
        <v>2860</v>
      </c>
      <c r="G270" s="137">
        <v>1394394802001</v>
      </c>
      <c r="H270" s="138" t="s">
        <v>6298</v>
      </c>
      <c r="I270" s="136">
        <v>941500818</v>
      </c>
      <c r="J270" s="131" t="s">
        <v>2884</v>
      </c>
      <c r="K270" s="139">
        <v>72800</v>
      </c>
    </row>
    <row r="271" spans="1:11">
      <c r="A271" s="1" t="str">
        <f t="shared" si="4"/>
        <v>15100-33110895-95150027045860</v>
      </c>
      <c r="B271" s="136" t="s">
        <v>3625</v>
      </c>
      <c r="C271" s="136" t="s">
        <v>10364</v>
      </c>
      <c r="D271" s="132" t="s">
        <v>3420</v>
      </c>
      <c r="E271" s="136" t="s">
        <v>3662</v>
      </c>
      <c r="F271" s="136" t="s">
        <v>3662</v>
      </c>
      <c r="G271" s="137">
        <v>1395435642001</v>
      </c>
      <c r="H271" s="138" t="s">
        <v>10206</v>
      </c>
      <c r="I271" s="136">
        <v>951500270</v>
      </c>
      <c r="J271" s="131" t="s">
        <v>3654</v>
      </c>
      <c r="K271" s="139">
        <v>45860</v>
      </c>
    </row>
    <row r="272" spans="1:11">
      <c r="A272" s="1" t="str">
        <f t="shared" si="4"/>
        <v>50100-760431295-9515001831000000</v>
      </c>
      <c r="B272" s="136" t="s">
        <v>3303</v>
      </c>
      <c r="C272" s="136" t="s">
        <v>10266</v>
      </c>
      <c r="D272" s="132" t="s">
        <v>3420</v>
      </c>
      <c r="E272" s="136" t="s">
        <v>3325</v>
      </c>
      <c r="F272" s="136" t="s">
        <v>3325</v>
      </c>
      <c r="G272" s="137">
        <v>1395400303001</v>
      </c>
      <c r="H272" s="138" t="s">
        <v>6453</v>
      </c>
      <c r="I272" s="136">
        <v>951500183</v>
      </c>
      <c r="J272" s="131" t="s">
        <v>3337</v>
      </c>
      <c r="K272" s="139">
        <v>1000000</v>
      </c>
    </row>
    <row r="273" spans="1:11">
      <c r="A273" s="1" t="str">
        <f t="shared" si="4"/>
        <v>50100-784334195-951500248192740</v>
      </c>
      <c r="B273" s="136" t="s">
        <v>3680</v>
      </c>
      <c r="C273" s="136" t="s">
        <v>10365</v>
      </c>
      <c r="D273" s="132" t="s">
        <v>3420</v>
      </c>
      <c r="E273" s="136" t="s">
        <v>3665</v>
      </c>
      <c r="F273" s="136" t="s">
        <v>3665</v>
      </c>
      <c r="G273" s="137">
        <v>1395426988001</v>
      </c>
      <c r="H273" s="138" t="s">
        <v>6300</v>
      </c>
      <c r="I273" s="136">
        <v>951500248</v>
      </c>
      <c r="J273" s="131" t="s">
        <v>3674</v>
      </c>
      <c r="K273" s="139">
        <v>192740</v>
      </c>
    </row>
    <row r="274" spans="1:11">
      <c r="A274" s="1" t="str">
        <f t="shared" si="4"/>
        <v>50100-784334195-951500255486400</v>
      </c>
      <c r="B274" s="136" t="s">
        <v>3680</v>
      </c>
      <c r="C274" s="136" t="s">
        <v>10365</v>
      </c>
      <c r="D274" s="132" t="s">
        <v>3420</v>
      </c>
      <c r="E274" s="136" t="s">
        <v>3665</v>
      </c>
      <c r="F274" s="136" t="s">
        <v>3665</v>
      </c>
      <c r="G274" s="137">
        <v>1395426988001</v>
      </c>
      <c r="H274" s="138" t="s">
        <v>6300</v>
      </c>
      <c r="I274" s="136">
        <v>951500255</v>
      </c>
      <c r="J274" s="131" t="s">
        <v>3675</v>
      </c>
      <c r="K274" s="139">
        <v>486400</v>
      </c>
    </row>
    <row r="275" spans="1:11">
      <c r="A275" s="1" t="str">
        <f t="shared" si="4"/>
        <v>50100-784334195-951500232780</v>
      </c>
      <c r="B275" s="136" t="s">
        <v>3680</v>
      </c>
      <c r="C275" s="136" t="s">
        <v>10365</v>
      </c>
      <c r="D275" s="132" t="s">
        <v>3420</v>
      </c>
      <c r="E275" s="136" t="s">
        <v>3665</v>
      </c>
      <c r="F275" s="136" t="s">
        <v>3665</v>
      </c>
      <c r="G275" s="137">
        <v>1395426988001</v>
      </c>
      <c r="H275" s="138" t="s">
        <v>6300</v>
      </c>
      <c r="I275" s="136">
        <v>951500232</v>
      </c>
      <c r="J275" s="131" t="s">
        <v>3564</v>
      </c>
      <c r="K275" s="139">
        <v>780</v>
      </c>
    </row>
    <row r="276" spans="1:11">
      <c r="A276" s="1" t="str">
        <f t="shared" si="4"/>
        <v>15100-26757294-94150081939000</v>
      </c>
      <c r="B276" s="136" t="s">
        <v>10362</v>
      </c>
      <c r="C276" s="136" t="s">
        <v>10363</v>
      </c>
      <c r="D276" s="132" t="s">
        <v>3420</v>
      </c>
      <c r="E276" s="136" t="s">
        <v>2860</v>
      </c>
      <c r="F276" s="136" t="s">
        <v>2860</v>
      </c>
      <c r="G276" s="137">
        <v>1394394802001</v>
      </c>
      <c r="H276" s="138" t="s">
        <v>6298</v>
      </c>
      <c r="I276" s="136">
        <v>941500819</v>
      </c>
      <c r="J276" s="131" t="s">
        <v>2882</v>
      </c>
      <c r="K276" s="139">
        <v>39000</v>
      </c>
    </row>
    <row r="277" spans="1:11">
      <c r="A277" s="1" t="str">
        <f t="shared" si="4"/>
        <v>15100-26757294-94150071624770</v>
      </c>
      <c r="B277" s="136" t="s">
        <v>10362</v>
      </c>
      <c r="C277" s="136" t="s">
        <v>10363</v>
      </c>
      <c r="D277" s="132" t="s">
        <v>3420</v>
      </c>
      <c r="E277" s="136" t="s">
        <v>2860</v>
      </c>
      <c r="F277" s="136" t="s">
        <v>2860</v>
      </c>
      <c r="G277" s="137">
        <v>1394392935001</v>
      </c>
      <c r="H277" s="138" t="s">
        <v>6298</v>
      </c>
      <c r="I277" s="136">
        <v>941500716</v>
      </c>
      <c r="J277" s="131" t="s">
        <v>2767</v>
      </c>
      <c r="K277" s="139">
        <v>24770</v>
      </c>
    </row>
    <row r="278" spans="1:11">
      <c r="A278" s="1" t="str">
        <f t="shared" si="4"/>
        <v>50100-712748394-941500792200000</v>
      </c>
      <c r="B278" s="136" t="s">
        <v>10366</v>
      </c>
      <c r="C278" s="136" t="s">
        <v>10367</v>
      </c>
      <c r="D278" s="132" t="s">
        <v>3420</v>
      </c>
      <c r="E278" s="136" t="s">
        <v>2616</v>
      </c>
      <c r="F278" s="136" t="s">
        <v>2616</v>
      </c>
      <c r="G278" s="137">
        <v>1394394802001</v>
      </c>
      <c r="H278" s="138" t="s">
        <v>6298</v>
      </c>
      <c r="I278" s="136">
        <v>941500792</v>
      </c>
      <c r="J278" s="131" t="s">
        <v>2638</v>
      </c>
      <c r="K278" s="139">
        <v>200000</v>
      </c>
    </row>
    <row r="279" spans="1:11">
      <c r="A279" s="1" t="str">
        <f t="shared" si="4"/>
        <v>50100-712267294-94250009022087</v>
      </c>
      <c r="B279" s="136" t="s">
        <v>10368</v>
      </c>
      <c r="C279" s="136" t="s">
        <v>10369</v>
      </c>
      <c r="D279" s="132" t="s">
        <v>3420</v>
      </c>
      <c r="E279" s="136" t="s">
        <v>2610</v>
      </c>
      <c r="F279" s="136" t="s">
        <v>2610</v>
      </c>
      <c r="G279" s="137">
        <v>1394380971001</v>
      </c>
      <c r="H279" s="138" t="s">
        <v>10183</v>
      </c>
      <c r="I279" s="136">
        <v>942500090</v>
      </c>
      <c r="J279" s="131" t="s">
        <v>7031</v>
      </c>
      <c r="K279" s="139">
        <v>22087</v>
      </c>
    </row>
    <row r="280" spans="1:11">
      <c r="A280" s="1" t="str">
        <f t="shared" si="4"/>
        <v>50100-718047895-951500019298650</v>
      </c>
      <c r="B280" s="136" t="s">
        <v>2738</v>
      </c>
      <c r="C280" s="136" t="s">
        <v>10370</v>
      </c>
      <c r="D280" s="132" t="s">
        <v>3420</v>
      </c>
      <c r="E280" s="136" t="s">
        <v>2749</v>
      </c>
      <c r="F280" s="136" t="s">
        <v>2749</v>
      </c>
      <c r="G280" s="137">
        <v>1394395845001</v>
      </c>
      <c r="H280" s="138" t="s">
        <v>6453</v>
      </c>
      <c r="I280" s="136">
        <v>951500019</v>
      </c>
      <c r="J280" s="131" t="s">
        <v>2789</v>
      </c>
      <c r="K280" s="139">
        <v>298650</v>
      </c>
    </row>
    <row r="281" spans="1:11">
      <c r="A281" s="1" t="str">
        <f t="shared" si="4"/>
        <v>50100-850602395-951500600149480</v>
      </c>
      <c r="B281" s="136" t="s">
        <v>4977</v>
      </c>
      <c r="C281" s="136" t="s">
        <v>8939</v>
      </c>
      <c r="D281" s="132" t="s">
        <v>4971</v>
      </c>
      <c r="E281" s="136" t="s">
        <v>5008</v>
      </c>
      <c r="F281" s="136" t="s">
        <v>5008</v>
      </c>
      <c r="G281" s="137">
        <v>1395462017001</v>
      </c>
      <c r="H281" s="138" t="s">
        <v>6298</v>
      </c>
      <c r="I281" s="136">
        <v>951500600</v>
      </c>
      <c r="J281" s="131" t="s">
        <v>5021</v>
      </c>
      <c r="K281" s="139">
        <v>149480</v>
      </c>
    </row>
    <row r="282" spans="1:11">
      <c r="A282" s="1" t="str">
        <f t="shared" si="4"/>
        <v>50100-827375995-95250004954594</v>
      </c>
      <c r="B282" s="136" t="s">
        <v>4540</v>
      </c>
      <c r="C282" s="136" t="s">
        <v>10334</v>
      </c>
      <c r="D282" s="132" t="s">
        <v>3420</v>
      </c>
      <c r="E282" s="136" t="s">
        <v>4500</v>
      </c>
      <c r="F282" s="136" t="s">
        <v>4500</v>
      </c>
      <c r="G282" s="137">
        <v>1395441908001</v>
      </c>
      <c r="H282" s="138" t="s">
        <v>6298</v>
      </c>
      <c r="I282" s="136">
        <v>952500049</v>
      </c>
      <c r="J282" s="131" t="s">
        <v>4598</v>
      </c>
      <c r="K282" s="139">
        <v>54594</v>
      </c>
    </row>
    <row r="283" spans="1:11">
      <c r="A283" s="1" t="str">
        <f t="shared" si="4"/>
        <v>15100-25726194-94150075040760</v>
      </c>
      <c r="B283" s="136" t="s">
        <v>10371</v>
      </c>
      <c r="C283" s="136" t="s">
        <v>10372</v>
      </c>
      <c r="D283" s="132" t="s">
        <v>3420</v>
      </c>
      <c r="E283" s="136" t="s">
        <v>2750</v>
      </c>
      <c r="F283" s="136" t="s">
        <v>2750</v>
      </c>
      <c r="G283" s="137">
        <v>1394392654001</v>
      </c>
      <c r="H283" s="138" t="s">
        <v>6453</v>
      </c>
      <c r="I283" s="136">
        <v>941500750</v>
      </c>
      <c r="J283" s="131" t="s">
        <v>6848</v>
      </c>
      <c r="K283" s="139">
        <v>40760</v>
      </c>
    </row>
    <row r="284" spans="1:11">
      <c r="A284" s="1" t="str">
        <f t="shared" si="4"/>
        <v>15100-25726194-941500783308660</v>
      </c>
      <c r="B284" s="136" t="s">
        <v>10371</v>
      </c>
      <c r="C284" s="136" t="s">
        <v>10372</v>
      </c>
      <c r="D284" s="132" t="s">
        <v>3420</v>
      </c>
      <c r="E284" s="136" t="s">
        <v>2750</v>
      </c>
      <c r="F284" s="136" t="s">
        <v>2750</v>
      </c>
      <c r="G284" s="137">
        <v>1394394178001</v>
      </c>
      <c r="H284" s="138" t="s">
        <v>6298</v>
      </c>
      <c r="I284" s="136">
        <v>941500783</v>
      </c>
      <c r="J284" s="131" t="s">
        <v>2761</v>
      </c>
      <c r="K284" s="139">
        <v>308660</v>
      </c>
    </row>
    <row r="285" spans="1:11">
      <c r="A285" s="1" t="str">
        <f t="shared" si="4"/>
        <v>15100-25825094-94150077349490</v>
      </c>
      <c r="B285" s="136" t="s">
        <v>10373</v>
      </c>
      <c r="C285" s="136" t="s">
        <v>10374</v>
      </c>
      <c r="D285" s="132" t="s">
        <v>3420</v>
      </c>
      <c r="E285" s="136" t="s">
        <v>2751</v>
      </c>
      <c r="F285" s="136" t="s">
        <v>2751</v>
      </c>
      <c r="G285" s="137">
        <v>1394394178001</v>
      </c>
      <c r="H285" s="138" t="s">
        <v>6298</v>
      </c>
      <c r="I285" s="136">
        <v>941500773</v>
      </c>
      <c r="J285" s="131" t="s">
        <v>2760</v>
      </c>
      <c r="K285" s="139">
        <v>49490</v>
      </c>
    </row>
    <row r="286" spans="1:11">
      <c r="A286" s="1" t="str">
        <f t="shared" si="4"/>
        <v>15100-25060394-941500783301230</v>
      </c>
      <c r="B286" s="136" t="s">
        <v>10357</v>
      </c>
      <c r="C286" s="136" t="s">
        <v>10358</v>
      </c>
      <c r="D286" s="132" t="s">
        <v>3420</v>
      </c>
      <c r="E286" s="136" t="s">
        <v>2613</v>
      </c>
      <c r="F286" s="136" t="s">
        <v>2613</v>
      </c>
      <c r="G286" s="137">
        <v>1394394178001</v>
      </c>
      <c r="H286" s="138" t="s">
        <v>6298</v>
      </c>
      <c r="I286" s="136">
        <v>941500783</v>
      </c>
      <c r="J286" s="131" t="s">
        <v>2761</v>
      </c>
      <c r="K286" s="139">
        <v>301230</v>
      </c>
    </row>
    <row r="287" spans="1:11">
      <c r="A287" s="1" t="str">
        <f t="shared" si="4"/>
        <v>15100-25098494-94150073672680</v>
      </c>
      <c r="B287" s="136" t="s">
        <v>10375</v>
      </c>
      <c r="C287" s="136" t="s">
        <v>10376</v>
      </c>
      <c r="D287" s="132" t="s">
        <v>3420</v>
      </c>
      <c r="E287" s="136" t="s">
        <v>2615</v>
      </c>
      <c r="F287" s="136" t="s">
        <v>2615</v>
      </c>
      <c r="G287" s="137">
        <v>1394392654001</v>
      </c>
      <c r="H287" s="138" t="s">
        <v>6453</v>
      </c>
      <c r="I287" s="136">
        <v>941500736</v>
      </c>
      <c r="J287" s="131" t="s">
        <v>6846</v>
      </c>
      <c r="K287" s="139">
        <v>72680</v>
      </c>
    </row>
    <row r="288" spans="1:11">
      <c r="A288" s="1" t="str">
        <f t="shared" si="4"/>
        <v>15100-25098494-94150078349360</v>
      </c>
      <c r="B288" s="136" t="s">
        <v>10375</v>
      </c>
      <c r="C288" s="136" t="s">
        <v>10376</v>
      </c>
      <c r="D288" s="132" t="s">
        <v>3420</v>
      </c>
      <c r="E288" s="136" t="s">
        <v>2615</v>
      </c>
      <c r="F288" s="136" t="s">
        <v>2615</v>
      </c>
      <c r="G288" s="137">
        <v>1394394178001</v>
      </c>
      <c r="H288" s="138" t="s">
        <v>6298</v>
      </c>
      <c r="I288" s="136">
        <v>941500783</v>
      </c>
      <c r="J288" s="131" t="s">
        <v>2761</v>
      </c>
      <c r="K288" s="139">
        <v>49360</v>
      </c>
    </row>
    <row r="289" spans="1:11">
      <c r="A289" s="1" t="str">
        <f t="shared" si="4"/>
        <v>15100-25464494-941500773245710</v>
      </c>
      <c r="B289" s="136" t="s">
        <v>2685</v>
      </c>
      <c r="C289" s="136" t="s">
        <v>10377</v>
      </c>
      <c r="D289" s="132" t="s">
        <v>3420</v>
      </c>
      <c r="E289" s="136" t="s">
        <v>2619</v>
      </c>
      <c r="F289" s="136" t="s">
        <v>2619</v>
      </c>
      <c r="G289" s="137">
        <v>1394394178001</v>
      </c>
      <c r="H289" s="138" t="s">
        <v>6298</v>
      </c>
      <c r="I289" s="136">
        <v>941500773</v>
      </c>
      <c r="J289" s="131" t="s">
        <v>2760</v>
      </c>
      <c r="K289" s="139">
        <v>245710</v>
      </c>
    </row>
    <row r="290" spans="1:11">
      <c r="A290" s="1" t="str">
        <f t="shared" si="4"/>
        <v>15100-26876094-94150065520950</v>
      </c>
      <c r="B290" s="136" t="s">
        <v>10378</v>
      </c>
      <c r="C290" s="136" t="s">
        <v>10379</v>
      </c>
      <c r="D290" s="132" t="s">
        <v>3420</v>
      </c>
      <c r="E290" s="136" t="s">
        <v>2855</v>
      </c>
      <c r="F290" s="136" t="s">
        <v>2855</v>
      </c>
      <c r="G290" s="137">
        <v>1394391329001</v>
      </c>
      <c r="H290" s="138" t="s">
        <v>6298</v>
      </c>
      <c r="I290" s="136">
        <v>941500655</v>
      </c>
      <c r="J290" s="131" t="s">
        <v>2534</v>
      </c>
      <c r="K290" s="139">
        <v>20950</v>
      </c>
    </row>
    <row r="291" spans="1:11">
      <c r="A291" s="1" t="str">
        <f t="shared" si="4"/>
        <v>15100-26876094-94150078331440</v>
      </c>
      <c r="B291" s="136" t="s">
        <v>10378</v>
      </c>
      <c r="C291" s="136" t="s">
        <v>10379</v>
      </c>
      <c r="D291" s="132" t="s">
        <v>3420</v>
      </c>
      <c r="E291" s="136" t="s">
        <v>2855</v>
      </c>
      <c r="F291" s="136" t="s">
        <v>2855</v>
      </c>
      <c r="G291" s="137">
        <v>1394394178001</v>
      </c>
      <c r="H291" s="138" t="s">
        <v>6298</v>
      </c>
      <c r="I291" s="136">
        <v>941500783</v>
      </c>
      <c r="J291" s="131" t="s">
        <v>2761</v>
      </c>
      <c r="K291" s="139">
        <v>31440</v>
      </c>
    </row>
    <row r="292" spans="1:11">
      <c r="A292" s="1" t="str">
        <f t="shared" si="4"/>
        <v>15100-26876094-941500835149380</v>
      </c>
      <c r="B292" s="136" t="s">
        <v>10378</v>
      </c>
      <c r="C292" s="136" t="s">
        <v>10379</v>
      </c>
      <c r="D292" s="132" t="s">
        <v>3420</v>
      </c>
      <c r="E292" s="136" t="s">
        <v>2855</v>
      </c>
      <c r="F292" s="136" t="s">
        <v>2855</v>
      </c>
      <c r="G292" s="137">
        <v>1394395844001</v>
      </c>
      <c r="H292" s="138" t="s">
        <v>6298</v>
      </c>
      <c r="I292" s="136">
        <v>941500835</v>
      </c>
      <c r="J292" s="131" t="s">
        <v>2876</v>
      </c>
      <c r="K292" s="139">
        <v>149380</v>
      </c>
    </row>
    <row r="293" spans="1:11">
      <c r="A293" s="1" t="str">
        <f t="shared" si="4"/>
        <v>50100-784261195-954200027589633</v>
      </c>
      <c r="B293" s="136" t="s">
        <v>3692</v>
      </c>
      <c r="C293" s="136" t="s">
        <v>10380</v>
      </c>
      <c r="D293" s="132" t="s">
        <v>3420</v>
      </c>
      <c r="E293" s="136" t="s">
        <v>3665</v>
      </c>
      <c r="F293" s="136" t="s">
        <v>3665</v>
      </c>
      <c r="G293" s="137">
        <v>1395426991001</v>
      </c>
      <c r="H293" s="138" t="s">
        <v>10183</v>
      </c>
      <c r="I293" s="136">
        <v>954200027</v>
      </c>
      <c r="J293" s="131" t="s">
        <v>3738</v>
      </c>
      <c r="K293" s="139">
        <v>589633</v>
      </c>
    </row>
    <row r="294" spans="1:11">
      <c r="A294" s="1" t="str">
        <f t="shared" si="4"/>
        <v>50100-762747595-952500023485407</v>
      </c>
      <c r="B294" s="136" t="s">
        <v>10381</v>
      </c>
      <c r="C294" s="136" t="s">
        <v>10382</v>
      </c>
      <c r="D294" s="132" t="s">
        <v>3420</v>
      </c>
      <c r="E294" s="136" t="s">
        <v>10383</v>
      </c>
      <c r="F294" s="136" t="s">
        <v>10383</v>
      </c>
      <c r="G294" s="137">
        <v>1395397987001</v>
      </c>
      <c r="H294" s="138" t="s">
        <v>10183</v>
      </c>
      <c r="I294" s="136">
        <v>952500023</v>
      </c>
      <c r="J294" s="131" t="s">
        <v>3406</v>
      </c>
      <c r="K294" s="139">
        <v>485407</v>
      </c>
    </row>
    <row r="295" spans="1:11">
      <c r="A295" s="1" t="str">
        <f t="shared" si="4"/>
        <v>50100-737362795-95250000921397</v>
      </c>
      <c r="B295" s="136" t="s">
        <v>2940</v>
      </c>
      <c r="C295" s="136" t="s">
        <v>10331</v>
      </c>
      <c r="D295" s="132" t="s">
        <v>3420</v>
      </c>
      <c r="E295" s="136" t="s">
        <v>3041</v>
      </c>
      <c r="F295" s="136" t="s">
        <v>3041</v>
      </c>
      <c r="G295" s="137">
        <v>1395397987001</v>
      </c>
      <c r="H295" s="138" t="s">
        <v>10183</v>
      </c>
      <c r="I295" s="136">
        <v>952500009</v>
      </c>
      <c r="J295" s="131" t="s">
        <v>3088</v>
      </c>
      <c r="K295" s="139">
        <v>21397</v>
      </c>
    </row>
    <row r="296" spans="1:11">
      <c r="A296" s="1" t="str">
        <f t="shared" si="4"/>
        <v>50100-739268694-9415006502350</v>
      </c>
      <c r="B296" s="136" t="s">
        <v>3157</v>
      </c>
      <c r="C296" s="136" t="s">
        <v>10332</v>
      </c>
      <c r="D296" s="132" t="s">
        <v>3420</v>
      </c>
      <c r="E296" s="136" t="s">
        <v>3042</v>
      </c>
      <c r="F296" s="136" t="s">
        <v>3042</v>
      </c>
      <c r="G296" s="137">
        <v>1394391329001</v>
      </c>
      <c r="H296" s="138" t="s">
        <v>6298</v>
      </c>
      <c r="I296" s="136">
        <v>941500650</v>
      </c>
      <c r="J296" s="131" t="s">
        <v>2499</v>
      </c>
      <c r="K296" s="139">
        <v>2350</v>
      </c>
    </row>
    <row r="297" spans="1:11">
      <c r="A297" s="1" t="str">
        <f t="shared" si="4"/>
        <v>50100-737399395-951500155500000</v>
      </c>
      <c r="B297" s="136" t="s">
        <v>2965</v>
      </c>
      <c r="C297" s="136" t="s">
        <v>10384</v>
      </c>
      <c r="D297" s="132" t="s">
        <v>3420</v>
      </c>
      <c r="E297" s="136" t="s">
        <v>3051</v>
      </c>
      <c r="F297" s="136" t="s">
        <v>3051</v>
      </c>
      <c r="G297" s="137">
        <v>1395397987001</v>
      </c>
      <c r="H297" s="138" t="s">
        <v>10183</v>
      </c>
      <c r="I297" s="136">
        <v>951500155</v>
      </c>
      <c r="J297" s="131" t="s">
        <v>3119</v>
      </c>
      <c r="K297" s="139">
        <v>500000</v>
      </c>
    </row>
    <row r="298" spans="1:11">
      <c r="A298" s="1" t="str">
        <f t="shared" si="4"/>
        <v>50100-737399395-952500004187653</v>
      </c>
      <c r="B298" s="136" t="s">
        <v>2965</v>
      </c>
      <c r="C298" s="136" t="s">
        <v>10384</v>
      </c>
      <c r="D298" s="132" t="s">
        <v>3420</v>
      </c>
      <c r="E298" s="136" t="s">
        <v>3051</v>
      </c>
      <c r="F298" s="136" t="s">
        <v>3051</v>
      </c>
      <c r="G298" s="137">
        <v>1394394801001</v>
      </c>
      <c r="H298" s="138" t="s">
        <v>10183</v>
      </c>
      <c r="I298" s="136">
        <v>952500004</v>
      </c>
      <c r="J298" s="131" t="s">
        <v>3117</v>
      </c>
      <c r="K298" s="139">
        <v>187653</v>
      </c>
    </row>
    <row r="299" spans="1:11">
      <c r="A299" s="1" t="str">
        <f t="shared" si="4"/>
        <v>50100-727824795-952500004486687</v>
      </c>
      <c r="B299" s="136" t="s">
        <v>2984</v>
      </c>
      <c r="C299" s="136" t="s">
        <v>10385</v>
      </c>
      <c r="D299" s="132" t="s">
        <v>3420</v>
      </c>
      <c r="E299" s="136" t="s">
        <v>2860</v>
      </c>
      <c r="F299" s="136" t="s">
        <v>2860</v>
      </c>
      <c r="G299" s="137">
        <v>1394394801001</v>
      </c>
      <c r="H299" s="138" t="s">
        <v>10183</v>
      </c>
      <c r="I299" s="136">
        <v>952500004</v>
      </c>
      <c r="J299" s="131" t="s">
        <v>3117</v>
      </c>
      <c r="K299" s="139">
        <v>486687</v>
      </c>
    </row>
    <row r="300" spans="1:11">
      <c r="A300" s="1" t="str">
        <f t="shared" si="4"/>
        <v>50100-765058894-941500839974453</v>
      </c>
      <c r="B300" s="136" t="s">
        <v>10386</v>
      </c>
      <c r="C300" s="136" t="s">
        <v>10387</v>
      </c>
      <c r="D300" s="132" t="s">
        <v>3420</v>
      </c>
      <c r="E300" s="136" t="s">
        <v>3399</v>
      </c>
      <c r="F300" s="136" t="s">
        <v>3399</v>
      </c>
      <c r="G300" s="137">
        <v>1394395844001</v>
      </c>
      <c r="H300" s="138" t="s">
        <v>6298</v>
      </c>
      <c r="I300" s="136">
        <v>941500839</v>
      </c>
      <c r="J300" s="131" t="s">
        <v>3411</v>
      </c>
      <c r="K300" s="139">
        <v>974453</v>
      </c>
    </row>
    <row r="301" spans="1:11">
      <c r="A301" s="1" t="str">
        <f t="shared" si="4"/>
        <v>15100-38813695-95150057910370</v>
      </c>
      <c r="B301" s="136" t="s">
        <v>4754</v>
      </c>
      <c r="C301" s="136" t="s">
        <v>10388</v>
      </c>
      <c r="D301" s="132" t="s">
        <v>3420</v>
      </c>
      <c r="E301" s="136" t="s">
        <v>4864</v>
      </c>
      <c r="F301" s="136" t="s">
        <v>4864</v>
      </c>
      <c r="G301" s="137">
        <v>1395455038001</v>
      </c>
      <c r="H301" s="138" t="s">
        <v>6298</v>
      </c>
      <c r="I301" s="136">
        <v>951500579</v>
      </c>
      <c r="J301" s="131" t="s">
        <v>4893</v>
      </c>
      <c r="K301" s="139">
        <v>10370</v>
      </c>
    </row>
    <row r="302" spans="1:11">
      <c r="A302" s="1" t="str">
        <f t="shared" si="4"/>
        <v>50100-757341795-951500082199421</v>
      </c>
      <c r="B302" s="136" t="s">
        <v>3293</v>
      </c>
      <c r="C302" s="136" t="s">
        <v>10360</v>
      </c>
      <c r="D302" s="132" t="s">
        <v>3420</v>
      </c>
      <c r="E302" s="136" t="s">
        <v>3321</v>
      </c>
      <c r="F302" s="136" t="s">
        <v>3321</v>
      </c>
      <c r="G302" s="137">
        <v>1394395845001</v>
      </c>
      <c r="H302" s="138" t="s">
        <v>6453</v>
      </c>
      <c r="I302" s="136">
        <v>951500082</v>
      </c>
      <c r="J302" s="131" t="s">
        <v>3138</v>
      </c>
      <c r="K302" s="139">
        <v>199421</v>
      </c>
    </row>
    <row r="303" spans="1:11">
      <c r="A303" s="1" t="str">
        <f t="shared" si="4"/>
        <v>50100-732183694-942500108123061</v>
      </c>
      <c r="B303" s="136" t="s">
        <v>3023</v>
      </c>
      <c r="C303" s="136" t="s">
        <v>10389</v>
      </c>
      <c r="D303" s="132" t="s">
        <v>3420</v>
      </c>
      <c r="E303" s="136" t="s">
        <v>2858</v>
      </c>
      <c r="F303" s="136" t="s">
        <v>2858</v>
      </c>
      <c r="G303" s="137">
        <v>1394392936001</v>
      </c>
      <c r="H303" s="138" t="s">
        <v>10183</v>
      </c>
      <c r="I303" s="136">
        <v>942500108</v>
      </c>
      <c r="J303" s="131" t="s">
        <v>7066</v>
      </c>
      <c r="K303" s="139">
        <v>123061</v>
      </c>
    </row>
    <row r="304" spans="1:11">
      <c r="A304" s="1" t="str">
        <f t="shared" si="4"/>
        <v>50100-732183695-952500013350000</v>
      </c>
      <c r="B304" s="136" t="s">
        <v>3023</v>
      </c>
      <c r="C304" s="136" t="s">
        <v>10389</v>
      </c>
      <c r="D304" s="132" t="s">
        <v>3420</v>
      </c>
      <c r="E304" s="136" t="s">
        <v>2858</v>
      </c>
      <c r="F304" s="136" t="s">
        <v>2858</v>
      </c>
      <c r="G304" s="137">
        <v>1394395847001</v>
      </c>
      <c r="H304" s="138" t="s">
        <v>10183</v>
      </c>
      <c r="I304" s="136">
        <v>952500013</v>
      </c>
      <c r="J304" s="131" t="s">
        <v>3141</v>
      </c>
      <c r="K304" s="139">
        <v>350000</v>
      </c>
    </row>
    <row r="305" spans="1:11">
      <c r="A305" s="1" t="str">
        <f t="shared" si="4"/>
        <v>50100-751219295-9515001491560014</v>
      </c>
      <c r="B305" s="136" t="s">
        <v>3297</v>
      </c>
      <c r="C305" s="136" t="s">
        <v>10300</v>
      </c>
      <c r="D305" s="132" t="s">
        <v>3420</v>
      </c>
      <c r="E305" s="136" t="s">
        <v>3276</v>
      </c>
      <c r="F305" s="136" t="s">
        <v>3276</v>
      </c>
      <c r="G305" s="137">
        <v>1395401420001</v>
      </c>
      <c r="H305" s="138" t="s">
        <v>6298</v>
      </c>
      <c r="I305" s="136">
        <v>951500149</v>
      </c>
      <c r="J305" s="131" t="s">
        <v>3255</v>
      </c>
      <c r="K305" s="139">
        <v>1560014</v>
      </c>
    </row>
    <row r="306" spans="1:11">
      <c r="A306" s="1" t="str">
        <f t="shared" si="4"/>
        <v>50100-824384495-951500491245113</v>
      </c>
      <c r="B306" s="136" t="s">
        <v>4530</v>
      </c>
      <c r="C306" s="136" t="s">
        <v>10308</v>
      </c>
      <c r="D306" s="132" t="s">
        <v>3420</v>
      </c>
      <c r="E306" s="136" t="s">
        <v>4574</v>
      </c>
      <c r="F306" s="136" t="s">
        <v>4574</v>
      </c>
      <c r="G306" s="137">
        <v>1395449236001</v>
      </c>
      <c r="H306" s="138" t="s">
        <v>6298</v>
      </c>
      <c r="I306" s="136">
        <v>951500491</v>
      </c>
      <c r="J306" s="131" t="s">
        <v>4602</v>
      </c>
      <c r="K306" s="139">
        <v>245113</v>
      </c>
    </row>
    <row r="307" spans="1:11">
      <c r="A307" s="1" t="str">
        <f t="shared" si="4"/>
        <v>50100-855557896-962500015253825</v>
      </c>
      <c r="B307" s="136" t="s">
        <v>4978</v>
      </c>
      <c r="C307" s="136" t="s">
        <v>8940</v>
      </c>
      <c r="D307" s="132" t="s">
        <v>4971</v>
      </c>
      <c r="E307" s="136" t="s">
        <v>4972</v>
      </c>
      <c r="F307" s="136" t="s">
        <v>4972</v>
      </c>
      <c r="G307" s="137">
        <v>1396471989001</v>
      </c>
      <c r="H307" s="140" t="s">
        <v>6456</v>
      </c>
      <c r="I307" s="141">
        <v>962500015</v>
      </c>
      <c r="J307" s="131" t="s">
        <v>5017</v>
      </c>
      <c r="K307" s="142">
        <v>253825</v>
      </c>
    </row>
    <row r="308" spans="1:11">
      <c r="A308" s="1" t="str">
        <f t="shared" si="4"/>
        <v>50100-827375995-95250004322831</v>
      </c>
      <c r="B308" s="136" t="s">
        <v>4540</v>
      </c>
      <c r="C308" s="136" t="s">
        <v>10334</v>
      </c>
      <c r="D308" s="132" t="s">
        <v>3420</v>
      </c>
      <c r="E308" s="136" t="s">
        <v>4500</v>
      </c>
      <c r="F308" s="136" t="s">
        <v>4500</v>
      </c>
      <c r="G308" s="137">
        <v>1395441908001</v>
      </c>
      <c r="H308" s="138" t="s">
        <v>6298</v>
      </c>
      <c r="I308" s="136">
        <v>952500043</v>
      </c>
      <c r="J308" s="131" t="s">
        <v>4603</v>
      </c>
      <c r="K308" s="139">
        <v>22831</v>
      </c>
    </row>
    <row r="309" spans="1:11">
      <c r="A309" s="1" t="str">
        <f t="shared" si="4"/>
        <v>50100-747793995-952500016298590</v>
      </c>
      <c r="B309" s="136" t="s">
        <v>3227</v>
      </c>
      <c r="C309" s="136" t="s">
        <v>10349</v>
      </c>
      <c r="D309" s="132" t="s">
        <v>3420</v>
      </c>
      <c r="E309" s="136" t="s">
        <v>3242</v>
      </c>
      <c r="F309" s="136" t="s">
        <v>3242</v>
      </c>
      <c r="G309" s="137">
        <v>1395397987001</v>
      </c>
      <c r="H309" s="138" t="s">
        <v>10183</v>
      </c>
      <c r="I309" s="136">
        <v>952500016</v>
      </c>
      <c r="J309" s="131" t="s">
        <v>3248</v>
      </c>
      <c r="K309" s="139">
        <v>298590</v>
      </c>
    </row>
    <row r="310" spans="1:11">
      <c r="A310" s="1" t="str">
        <f t="shared" si="4"/>
        <v>50100-833309795-95150031428100</v>
      </c>
      <c r="B310" s="136" t="s">
        <v>4623</v>
      </c>
      <c r="C310" s="136" t="s">
        <v>10311</v>
      </c>
      <c r="D310" s="132" t="s">
        <v>3420</v>
      </c>
      <c r="E310" s="136" t="s">
        <v>4517</v>
      </c>
      <c r="F310" s="136" t="s">
        <v>4517</v>
      </c>
      <c r="G310" s="137">
        <v>1395438609001</v>
      </c>
      <c r="H310" s="138" t="s">
        <v>10312</v>
      </c>
      <c r="I310" s="136">
        <v>951500314</v>
      </c>
      <c r="J310" s="131" t="s">
        <v>4675</v>
      </c>
      <c r="K310" s="139">
        <v>28100</v>
      </c>
    </row>
    <row r="311" spans="1:11">
      <c r="A311" s="1" t="str">
        <f t="shared" si="4"/>
        <v>50100-757341795-951500172200000</v>
      </c>
      <c r="B311" s="136" t="s">
        <v>3293</v>
      </c>
      <c r="C311" s="136" t="s">
        <v>10360</v>
      </c>
      <c r="D311" s="132" t="s">
        <v>3420</v>
      </c>
      <c r="E311" s="136" t="s">
        <v>3321</v>
      </c>
      <c r="F311" s="136" t="s">
        <v>3321</v>
      </c>
      <c r="G311" s="137">
        <v>1395400303001</v>
      </c>
      <c r="H311" s="138" t="s">
        <v>6453</v>
      </c>
      <c r="I311" s="136">
        <v>951500172</v>
      </c>
      <c r="J311" s="131" t="s">
        <v>3332</v>
      </c>
      <c r="K311" s="139">
        <v>200000</v>
      </c>
    </row>
    <row r="312" spans="1:11">
      <c r="A312" s="1" t="str">
        <f t="shared" si="4"/>
        <v>50100-727216595-951500093100860</v>
      </c>
      <c r="B312" s="136" t="s">
        <v>2992</v>
      </c>
      <c r="C312" s="136" t="s">
        <v>10390</v>
      </c>
      <c r="D312" s="132" t="s">
        <v>3420</v>
      </c>
      <c r="E312" s="136" t="s">
        <v>2856</v>
      </c>
      <c r="F312" s="136" t="s">
        <v>2856</v>
      </c>
      <c r="G312" s="137">
        <v>1394395845001</v>
      </c>
      <c r="H312" s="138" t="s">
        <v>6453</v>
      </c>
      <c r="I312" s="136">
        <v>951500093</v>
      </c>
      <c r="J312" s="131" t="s">
        <v>3113</v>
      </c>
      <c r="K312" s="139">
        <v>100860</v>
      </c>
    </row>
    <row r="313" spans="1:11">
      <c r="A313" s="1" t="str">
        <f t="shared" si="4"/>
        <v>50100-843330495-951500567100320</v>
      </c>
      <c r="B313" s="136" t="s">
        <v>4825</v>
      </c>
      <c r="C313" s="136" t="s">
        <v>10391</v>
      </c>
      <c r="D313" s="132" t="s">
        <v>3420</v>
      </c>
      <c r="E313" s="136" t="s">
        <v>4872</v>
      </c>
      <c r="F313" s="136" t="s">
        <v>4872</v>
      </c>
      <c r="G313" s="137">
        <v>1395450759001</v>
      </c>
      <c r="H313" s="138" t="s">
        <v>6454</v>
      </c>
      <c r="I313" s="136">
        <v>951500567</v>
      </c>
      <c r="J313" s="131" t="s">
        <v>4931</v>
      </c>
      <c r="K313" s="139">
        <v>100320</v>
      </c>
    </row>
    <row r="314" spans="1:11">
      <c r="A314" s="1" t="str">
        <f t="shared" si="4"/>
        <v>50100-843576195-95150059099070</v>
      </c>
      <c r="B314" s="136" t="s">
        <v>4824</v>
      </c>
      <c r="C314" s="136" t="s">
        <v>10392</v>
      </c>
      <c r="D314" s="132" t="s">
        <v>3420</v>
      </c>
      <c r="E314" s="136" t="s">
        <v>4872</v>
      </c>
      <c r="F314" s="136" t="s">
        <v>4872</v>
      </c>
      <c r="G314" s="137">
        <v>1395451401001</v>
      </c>
      <c r="H314" s="138" t="s">
        <v>6300</v>
      </c>
      <c r="I314" s="136">
        <v>951500590</v>
      </c>
      <c r="J314" s="131" t="s">
        <v>4932</v>
      </c>
      <c r="K314" s="139">
        <v>99070</v>
      </c>
    </row>
    <row r="315" spans="1:11">
      <c r="A315" s="1" t="str">
        <f t="shared" si="4"/>
        <v>50100-737399395-951500156780164</v>
      </c>
      <c r="B315" s="136" t="s">
        <v>2965</v>
      </c>
      <c r="C315" s="136" t="s">
        <v>10384</v>
      </c>
      <c r="D315" s="132" t="s">
        <v>3420</v>
      </c>
      <c r="E315" s="136" t="s">
        <v>3051</v>
      </c>
      <c r="F315" s="136" t="s">
        <v>3051</v>
      </c>
      <c r="G315" s="137">
        <v>1395397987001</v>
      </c>
      <c r="H315" s="138" t="s">
        <v>10183</v>
      </c>
      <c r="I315" s="136">
        <v>951500156</v>
      </c>
      <c r="J315" s="131" t="s">
        <v>3096</v>
      </c>
      <c r="K315" s="139">
        <v>780164</v>
      </c>
    </row>
    <row r="316" spans="1:11">
      <c r="A316" s="1" t="str">
        <f t="shared" si="4"/>
        <v>50100-828116795-951500380300000</v>
      </c>
      <c r="B316" s="136" t="s">
        <v>4527</v>
      </c>
      <c r="C316" s="136" t="s">
        <v>10393</v>
      </c>
      <c r="D316" s="132" t="s">
        <v>3420</v>
      </c>
      <c r="E316" s="136" t="s">
        <v>4571</v>
      </c>
      <c r="F316" s="136" t="s">
        <v>4571</v>
      </c>
      <c r="G316" s="137">
        <v>1395445412001</v>
      </c>
      <c r="H316" s="138" t="s">
        <v>6298</v>
      </c>
      <c r="I316" s="136">
        <v>951500380</v>
      </c>
      <c r="J316" s="131" t="s">
        <v>4580</v>
      </c>
      <c r="K316" s="139">
        <v>300000</v>
      </c>
    </row>
    <row r="317" spans="1:11">
      <c r="A317" s="1" t="str">
        <f t="shared" si="4"/>
        <v>50100-787238495-95420003858563</v>
      </c>
      <c r="B317" s="136" t="s">
        <v>3684</v>
      </c>
      <c r="C317" s="136" t="s">
        <v>10394</v>
      </c>
      <c r="D317" s="132" t="s">
        <v>3420</v>
      </c>
      <c r="E317" s="136" t="s">
        <v>3716</v>
      </c>
      <c r="F317" s="136" t="s">
        <v>3716</v>
      </c>
      <c r="G317" s="137">
        <v>1395434889001</v>
      </c>
      <c r="H317" s="138" t="s">
        <v>6298</v>
      </c>
      <c r="I317" s="136">
        <v>954200038</v>
      </c>
      <c r="J317" s="131" t="s">
        <v>3731</v>
      </c>
      <c r="K317" s="139">
        <v>58563</v>
      </c>
    </row>
    <row r="318" spans="1:11">
      <c r="A318" s="1" t="str">
        <f t="shared" si="4"/>
        <v>50100-711499394-941500768500000</v>
      </c>
      <c r="B318" s="136" t="s">
        <v>10395</v>
      </c>
      <c r="C318" s="136" t="s">
        <v>10396</v>
      </c>
      <c r="D318" s="132" t="s">
        <v>3420</v>
      </c>
      <c r="E318" s="136" t="s">
        <v>10397</v>
      </c>
      <c r="F318" s="136" t="s">
        <v>10397</v>
      </c>
      <c r="G318" s="137">
        <v>1394392654001</v>
      </c>
      <c r="H318" s="138" t="s">
        <v>6453</v>
      </c>
      <c r="I318" s="136">
        <v>941500768</v>
      </c>
      <c r="J318" s="131" t="s">
        <v>6875</v>
      </c>
      <c r="K318" s="139">
        <v>500000</v>
      </c>
    </row>
    <row r="319" spans="1:11">
      <c r="A319" s="1" t="str">
        <f t="shared" si="4"/>
        <v>50100-724392695-951500078999960</v>
      </c>
      <c r="B319" s="136" t="s">
        <v>2971</v>
      </c>
      <c r="C319" s="136" t="s">
        <v>10398</v>
      </c>
      <c r="D319" s="132" t="s">
        <v>3420</v>
      </c>
      <c r="E319" s="136" t="s">
        <v>2870</v>
      </c>
      <c r="F319" s="136" t="s">
        <v>2870</v>
      </c>
      <c r="G319" s="137">
        <v>1394395845001</v>
      </c>
      <c r="H319" s="138" t="s">
        <v>6453</v>
      </c>
      <c r="I319" s="136">
        <v>951500078</v>
      </c>
      <c r="J319" s="131" t="s">
        <v>3103</v>
      </c>
      <c r="K319" s="139">
        <v>999960</v>
      </c>
    </row>
    <row r="320" spans="1:11">
      <c r="A320" s="1" t="str">
        <f t="shared" si="4"/>
        <v>50100-720693495-952500002488336</v>
      </c>
      <c r="B320" s="136" t="s">
        <v>2739</v>
      </c>
      <c r="C320" s="136" t="s">
        <v>10399</v>
      </c>
      <c r="D320" s="132" t="s">
        <v>3420</v>
      </c>
      <c r="E320" s="136" t="s">
        <v>2755</v>
      </c>
      <c r="F320" s="136" t="s">
        <v>2755</v>
      </c>
      <c r="G320" s="137">
        <v>1394394801001</v>
      </c>
      <c r="H320" s="138" t="s">
        <v>10183</v>
      </c>
      <c r="I320" s="136">
        <v>952500002</v>
      </c>
      <c r="J320" s="131" t="s">
        <v>2804</v>
      </c>
      <c r="K320" s="139">
        <v>488336</v>
      </c>
    </row>
    <row r="321" spans="1:11">
      <c r="A321" s="1" t="str">
        <f t="shared" si="4"/>
        <v>15100-31295695-95150010490390</v>
      </c>
      <c r="B321" s="136" t="s">
        <v>3424</v>
      </c>
      <c r="C321" s="136" t="s">
        <v>10400</v>
      </c>
      <c r="D321" s="132" t="s">
        <v>3420</v>
      </c>
      <c r="E321" s="136" t="s">
        <v>3452</v>
      </c>
      <c r="F321" s="136" t="s">
        <v>3452</v>
      </c>
      <c r="G321" s="137">
        <v>1395397985001</v>
      </c>
      <c r="H321" s="138" t="s">
        <v>6298</v>
      </c>
      <c r="I321" s="136">
        <v>951500104</v>
      </c>
      <c r="J321" s="131" t="s">
        <v>3466</v>
      </c>
      <c r="K321" s="139">
        <v>90390</v>
      </c>
    </row>
    <row r="322" spans="1:11">
      <c r="A322" s="1" t="str">
        <f t="shared" si="4"/>
        <v>50100-717924194-94150075687291</v>
      </c>
      <c r="B322" s="136" t="s">
        <v>2743</v>
      </c>
      <c r="C322" s="136" t="s">
        <v>10401</v>
      </c>
      <c r="D322" s="132" t="s">
        <v>3420</v>
      </c>
      <c r="E322" s="136" t="s">
        <v>2749</v>
      </c>
      <c r="F322" s="136" t="s">
        <v>2749</v>
      </c>
      <c r="G322" s="137">
        <v>1394392936001</v>
      </c>
      <c r="H322" s="138" t="s">
        <v>10183</v>
      </c>
      <c r="I322" s="136">
        <v>941500756</v>
      </c>
      <c r="J322" s="131" t="s">
        <v>7075</v>
      </c>
      <c r="K322" s="139">
        <v>87291</v>
      </c>
    </row>
    <row r="323" spans="1:11">
      <c r="A323" s="1" t="str">
        <f t="shared" ref="A323:A386" si="5">B323&amp;J323&amp;K323</f>
        <v>50100-714028994-94150079820075</v>
      </c>
      <c r="B323" s="136" t="s">
        <v>10402</v>
      </c>
      <c r="C323" s="136" t="s">
        <v>10403</v>
      </c>
      <c r="D323" s="132" t="s">
        <v>3420</v>
      </c>
      <c r="E323" s="136" t="s">
        <v>2617</v>
      </c>
      <c r="F323" s="136" t="s">
        <v>2617</v>
      </c>
      <c r="G323" s="137">
        <v>1394394802001</v>
      </c>
      <c r="H323" s="138" t="s">
        <v>6298</v>
      </c>
      <c r="I323" s="136">
        <v>941500798</v>
      </c>
      <c r="J323" s="131" t="s">
        <v>2639</v>
      </c>
      <c r="K323" s="139">
        <v>20075</v>
      </c>
    </row>
    <row r="324" spans="1:11">
      <c r="A324" s="1" t="str">
        <f t="shared" si="5"/>
        <v>50100-729352495-95150000593660</v>
      </c>
      <c r="B324" s="136" t="s">
        <v>2982</v>
      </c>
      <c r="C324" s="136" t="s">
        <v>10404</v>
      </c>
      <c r="D324" s="132" t="s">
        <v>3420</v>
      </c>
      <c r="E324" s="136" t="s">
        <v>2859</v>
      </c>
      <c r="F324" s="136" t="s">
        <v>2859</v>
      </c>
      <c r="G324" s="137">
        <v>1394392647001</v>
      </c>
      <c r="H324" s="138" t="s">
        <v>6454</v>
      </c>
      <c r="I324" s="136">
        <v>951500005</v>
      </c>
      <c r="J324" s="131" t="s">
        <v>2786</v>
      </c>
      <c r="K324" s="139">
        <v>93660</v>
      </c>
    </row>
    <row r="325" spans="1:11">
      <c r="A325" s="1" t="str">
        <f t="shared" si="5"/>
        <v>50100-729352495-9515000471912190</v>
      </c>
      <c r="B325" s="136" t="s">
        <v>2982</v>
      </c>
      <c r="C325" s="136" t="s">
        <v>10404</v>
      </c>
      <c r="D325" s="132" t="s">
        <v>3420</v>
      </c>
      <c r="E325" s="136" t="s">
        <v>2859</v>
      </c>
      <c r="F325" s="136" t="s">
        <v>2859</v>
      </c>
      <c r="G325" s="137">
        <v>1395397986001</v>
      </c>
      <c r="H325" s="138" t="s">
        <v>6454</v>
      </c>
      <c r="I325" s="136">
        <v>951500047</v>
      </c>
      <c r="J325" s="131" t="s">
        <v>3118</v>
      </c>
      <c r="K325" s="139">
        <v>1912190</v>
      </c>
    </row>
    <row r="326" spans="1:11">
      <c r="A326" s="1" t="str">
        <f t="shared" si="5"/>
        <v>50100-765795294-941500837399840</v>
      </c>
      <c r="B326" s="136" t="s">
        <v>10405</v>
      </c>
      <c r="C326" s="136" t="s">
        <v>10406</v>
      </c>
      <c r="D326" s="132" t="s">
        <v>3420</v>
      </c>
      <c r="E326" s="136" t="s">
        <v>3397</v>
      </c>
      <c r="F326" s="136" t="s">
        <v>3397</v>
      </c>
      <c r="G326" s="137">
        <v>1394395844001</v>
      </c>
      <c r="H326" s="138" t="s">
        <v>6298</v>
      </c>
      <c r="I326" s="136">
        <v>941500837</v>
      </c>
      <c r="J326" s="131" t="s">
        <v>3408</v>
      </c>
      <c r="K326" s="139">
        <v>399840</v>
      </c>
    </row>
    <row r="327" spans="1:11">
      <c r="A327" s="1" t="str">
        <f t="shared" si="5"/>
        <v>50100-765795295-95150004760160</v>
      </c>
      <c r="B327" s="136" t="s">
        <v>10405</v>
      </c>
      <c r="C327" s="136" t="s">
        <v>10406</v>
      </c>
      <c r="D327" s="132" t="s">
        <v>3420</v>
      </c>
      <c r="E327" s="136" t="s">
        <v>3397</v>
      </c>
      <c r="F327" s="136" t="s">
        <v>3397</v>
      </c>
      <c r="G327" s="137">
        <v>1395397986001</v>
      </c>
      <c r="H327" s="138" t="s">
        <v>6454</v>
      </c>
      <c r="I327" s="136">
        <v>951500047</v>
      </c>
      <c r="J327" s="131" t="s">
        <v>3118</v>
      </c>
      <c r="K327" s="139">
        <v>60160</v>
      </c>
    </row>
    <row r="328" spans="1:11">
      <c r="A328" s="1" t="str">
        <f t="shared" si="5"/>
        <v>50100-743554095-951500107305580</v>
      </c>
      <c r="B328" s="136" t="s">
        <v>3148</v>
      </c>
      <c r="C328" s="136" t="s">
        <v>10407</v>
      </c>
      <c r="D328" s="132" t="s">
        <v>3420</v>
      </c>
      <c r="E328" s="136" t="s">
        <v>3167</v>
      </c>
      <c r="F328" s="136" t="s">
        <v>3167</v>
      </c>
      <c r="G328" s="137">
        <v>1394395847001</v>
      </c>
      <c r="H328" s="138" t="s">
        <v>10183</v>
      </c>
      <c r="I328" s="136">
        <v>951500107</v>
      </c>
      <c r="J328" s="131" t="s">
        <v>3063</v>
      </c>
      <c r="K328" s="139">
        <v>305580</v>
      </c>
    </row>
    <row r="329" spans="1:11">
      <c r="A329" s="1" t="str">
        <f t="shared" si="5"/>
        <v>50100-723921494-941500792298360</v>
      </c>
      <c r="B329" s="136" t="s">
        <v>10408</v>
      </c>
      <c r="C329" s="136" t="s">
        <v>10409</v>
      </c>
      <c r="D329" s="132" t="s">
        <v>3420</v>
      </c>
      <c r="E329" s="136" t="s">
        <v>2863</v>
      </c>
      <c r="F329" s="136" t="s">
        <v>2863</v>
      </c>
      <c r="G329" s="137">
        <v>1394394802001</v>
      </c>
      <c r="H329" s="138" t="s">
        <v>6298</v>
      </c>
      <c r="I329" s="136">
        <v>941500792</v>
      </c>
      <c r="J329" s="131" t="s">
        <v>2638</v>
      </c>
      <c r="K329" s="139">
        <v>298360</v>
      </c>
    </row>
    <row r="330" spans="1:11">
      <c r="A330" s="1" t="str">
        <f t="shared" si="5"/>
        <v>50100-735617395-9515001021000180</v>
      </c>
      <c r="B330" s="136" t="s">
        <v>2969</v>
      </c>
      <c r="C330" s="136" t="s">
        <v>10410</v>
      </c>
      <c r="D330" s="132" t="s">
        <v>3420</v>
      </c>
      <c r="E330" s="136" t="s">
        <v>3044</v>
      </c>
      <c r="F330" s="136" t="s">
        <v>3044</v>
      </c>
      <c r="G330" s="137">
        <v>1394395845001</v>
      </c>
      <c r="H330" s="138" t="s">
        <v>6453</v>
      </c>
      <c r="I330" s="136">
        <v>951500102</v>
      </c>
      <c r="J330" s="131" t="s">
        <v>3094</v>
      </c>
      <c r="K330" s="139">
        <v>1000180</v>
      </c>
    </row>
    <row r="331" spans="1:11">
      <c r="A331" s="1" t="str">
        <f t="shared" si="5"/>
        <v>15100-33366595-951500270119040</v>
      </c>
      <c r="B331" s="136" t="s">
        <v>3790</v>
      </c>
      <c r="C331" s="136" t="s">
        <v>10411</v>
      </c>
      <c r="D331" s="132" t="s">
        <v>3420</v>
      </c>
      <c r="E331" s="136" t="s">
        <v>3722</v>
      </c>
      <c r="F331" s="136" t="s">
        <v>3722</v>
      </c>
      <c r="G331" s="137">
        <v>1395435642001</v>
      </c>
      <c r="H331" s="138" t="s">
        <v>10206</v>
      </c>
      <c r="I331" s="136">
        <v>951500270</v>
      </c>
      <c r="J331" s="131" t="s">
        <v>3654</v>
      </c>
      <c r="K331" s="139">
        <v>119040</v>
      </c>
    </row>
    <row r="332" spans="1:11">
      <c r="A332" s="1" t="str">
        <f t="shared" si="5"/>
        <v>50100-827076395-951500525499020</v>
      </c>
      <c r="B332" s="136" t="s">
        <v>4537</v>
      </c>
      <c r="C332" s="136" t="s">
        <v>10412</v>
      </c>
      <c r="D332" s="132" t="s">
        <v>3420</v>
      </c>
      <c r="E332" s="136" t="s">
        <v>4576</v>
      </c>
      <c r="F332" s="136" t="s">
        <v>4576</v>
      </c>
      <c r="G332" s="137">
        <v>1395451221001</v>
      </c>
      <c r="H332" s="138" t="s">
        <v>6301</v>
      </c>
      <c r="I332" s="136">
        <v>951500525</v>
      </c>
      <c r="J332" s="131" t="s">
        <v>4508</v>
      </c>
      <c r="K332" s="139">
        <v>499020</v>
      </c>
    </row>
    <row r="333" spans="1:11">
      <c r="A333" s="1" t="str">
        <f t="shared" si="5"/>
        <v>15100-25124994-941500714120890</v>
      </c>
      <c r="B333" s="136" t="s">
        <v>10413</v>
      </c>
      <c r="C333" s="136" t="s">
        <v>10414</v>
      </c>
      <c r="D333" s="132" t="s">
        <v>3420</v>
      </c>
      <c r="E333" s="136" t="s">
        <v>2608</v>
      </c>
      <c r="F333" s="136" t="s">
        <v>2608</v>
      </c>
      <c r="G333" s="137">
        <v>1394392935001</v>
      </c>
      <c r="H333" s="138" t="s">
        <v>6298</v>
      </c>
      <c r="I333" s="136">
        <v>941500714</v>
      </c>
      <c r="J333" s="131" t="s">
        <v>2768</v>
      </c>
      <c r="K333" s="139">
        <v>120890</v>
      </c>
    </row>
    <row r="334" spans="1:11">
      <c r="A334" s="1" t="str">
        <f t="shared" si="5"/>
        <v>50100-737362795-95250000321356</v>
      </c>
      <c r="B334" s="136" t="s">
        <v>2940</v>
      </c>
      <c r="C334" s="136" t="s">
        <v>10331</v>
      </c>
      <c r="D334" s="132" t="s">
        <v>3420</v>
      </c>
      <c r="E334" s="136" t="s">
        <v>3041</v>
      </c>
      <c r="F334" s="136" t="s">
        <v>3041</v>
      </c>
      <c r="G334" s="137">
        <v>1394394801001</v>
      </c>
      <c r="H334" s="138" t="s">
        <v>10183</v>
      </c>
      <c r="I334" s="136">
        <v>952500003</v>
      </c>
      <c r="J334" s="131" t="s">
        <v>3093</v>
      </c>
      <c r="K334" s="139">
        <v>21356</v>
      </c>
    </row>
    <row r="335" spans="1:11">
      <c r="A335" s="1" t="str">
        <f t="shared" si="5"/>
        <v>50100-739268694-941500843107720</v>
      </c>
      <c r="B335" s="136" t="s">
        <v>3157</v>
      </c>
      <c r="C335" s="136" t="s">
        <v>10332</v>
      </c>
      <c r="D335" s="132" t="s">
        <v>3420</v>
      </c>
      <c r="E335" s="136" t="s">
        <v>3042</v>
      </c>
      <c r="F335" s="136" t="s">
        <v>3042</v>
      </c>
      <c r="G335" s="137">
        <v>1394395844001</v>
      </c>
      <c r="H335" s="138" t="s">
        <v>6298</v>
      </c>
      <c r="I335" s="136">
        <v>941500843</v>
      </c>
      <c r="J335" s="131" t="s">
        <v>2644</v>
      </c>
      <c r="K335" s="139">
        <v>107720</v>
      </c>
    </row>
    <row r="336" spans="1:11">
      <c r="A336" s="1" t="str">
        <f t="shared" si="5"/>
        <v>50100-739268694-9415007005000</v>
      </c>
      <c r="B336" s="136" t="s">
        <v>3157</v>
      </c>
      <c r="C336" s="136" t="s">
        <v>10332</v>
      </c>
      <c r="D336" s="132" t="s">
        <v>3420</v>
      </c>
      <c r="E336" s="136" t="s">
        <v>3042</v>
      </c>
      <c r="F336" s="136" t="s">
        <v>3042</v>
      </c>
      <c r="G336" s="137">
        <v>1394392646001</v>
      </c>
      <c r="H336" s="138" t="s">
        <v>6298</v>
      </c>
      <c r="I336" s="136">
        <v>941500700</v>
      </c>
      <c r="J336" s="131" t="s">
        <v>2634</v>
      </c>
      <c r="K336" s="139">
        <v>5000</v>
      </c>
    </row>
    <row r="337" spans="1:11">
      <c r="A337" s="1" t="str">
        <f t="shared" si="5"/>
        <v>50100-751219295-9515000482620</v>
      </c>
      <c r="B337" s="136" t="s">
        <v>3297</v>
      </c>
      <c r="C337" s="136" t="s">
        <v>10300</v>
      </c>
      <c r="D337" s="132" t="s">
        <v>3420</v>
      </c>
      <c r="E337" s="136" t="s">
        <v>3276</v>
      </c>
      <c r="F337" s="136" t="s">
        <v>3276</v>
      </c>
      <c r="G337" s="137">
        <v>1395397985001</v>
      </c>
      <c r="H337" s="138" t="s">
        <v>6298</v>
      </c>
      <c r="I337" s="136">
        <v>951500048</v>
      </c>
      <c r="J337" s="131" t="s">
        <v>3070</v>
      </c>
      <c r="K337" s="139">
        <v>2620</v>
      </c>
    </row>
    <row r="338" spans="1:11">
      <c r="A338" s="1" t="str">
        <f t="shared" si="5"/>
        <v>50100-842623095-951500575993615</v>
      </c>
      <c r="B338" s="136" t="s">
        <v>4801</v>
      </c>
      <c r="C338" s="136" t="s">
        <v>10333</v>
      </c>
      <c r="D338" s="132" t="s">
        <v>3420</v>
      </c>
      <c r="E338" s="136" t="s">
        <v>4731</v>
      </c>
      <c r="F338" s="136" t="s">
        <v>4731</v>
      </c>
      <c r="G338" s="137">
        <v>1395451404001</v>
      </c>
      <c r="H338" s="138" t="s">
        <v>6456</v>
      </c>
      <c r="I338" s="136">
        <v>951500575</v>
      </c>
      <c r="J338" s="131" t="s">
        <v>4895</v>
      </c>
      <c r="K338" s="139">
        <v>993615</v>
      </c>
    </row>
    <row r="339" spans="1:11">
      <c r="A339" s="1" t="str">
        <f t="shared" si="5"/>
        <v>50100-824384495-95150033933740</v>
      </c>
      <c r="B339" s="136" t="s">
        <v>4530</v>
      </c>
      <c r="C339" s="136" t="s">
        <v>10308</v>
      </c>
      <c r="D339" s="132" t="s">
        <v>3420</v>
      </c>
      <c r="E339" s="136" t="s">
        <v>4574</v>
      </c>
      <c r="F339" s="136" t="s">
        <v>4574</v>
      </c>
      <c r="G339" s="137">
        <v>1395438159001</v>
      </c>
      <c r="H339" s="138" t="s">
        <v>6298</v>
      </c>
      <c r="I339" s="136">
        <v>951500339</v>
      </c>
      <c r="J339" s="131" t="s">
        <v>4589</v>
      </c>
      <c r="K339" s="139">
        <v>33740</v>
      </c>
    </row>
    <row r="340" spans="1:11">
      <c r="A340" s="1" t="str">
        <f t="shared" si="5"/>
        <v>50100-711792094-941500565499240</v>
      </c>
      <c r="B340" s="136" t="s">
        <v>10415</v>
      </c>
      <c r="C340" s="136" t="s">
        <v>10416</v>
      </c>
      <c r="D340" s="132" t="s">
        <v>3420</v>
      </c>
      <c r="E340" s="136" t="s">
        <v>10397</v>
      </c>
      <c r="F340" s="136" t="s">
        <v>10397</v>
      </c>
      <c r="G340" s="137">
        <v>1394376735001</v>
      </c>
      <c r="H340" s="138" t="s">
        <v>10183</v>
      </c>
      <c r="I340" s="136">
        <v>941500565</v>
      </c>
      <c r="J340" s="131" t="s">
        <v>7092</v>
      </c>
      <c r="K340" s="139">
        <v>499240</v>
      </c>
    </row>
    <row r="341" spans="1:11">
      <c r="A341" s="1" t="str">
        <f t="shared" si="5"/>
        <v>50100-722803295-951500071447344</v>
      </c>
      <c r="B341" s="136" t="s">
        <v>2932</v>
      </c>
      <c r="C341" s="136" t="s">
        <v>10417</v>
      </c>
      <c r="D341" s="132" t="s">
        <v>3420</v>
      </c>
      <c r="E341" s="136" t="s">
        <v>2862</v>
      </c>
      <c r="F341" s="136" t="s">
        <v>2862</v>
      </c>
      <c r="G341" s="137">
        <v>1394395845001</v>
      </c>
      <c r="H341" s="138" t="s">
        <v>6453</v>
      </c>
      <c r="I341" s="136">
        <v>951500071</v>
      </c>
      <c r="J341" s="131" t="s">
        <v>3085</v>
      </c>
      <c r="K341" s="139">
        <v>447344</v>
      </c>
    </row>
    <row r="342" spans="1:11">
      <c r="A342" s="1" t="str">
        <f t="shared" si="5"/>
        <v>15100-33304595-95250003442913</v>
      </c>
      <c r="B342" s="136" t="s">
        <v>3592</v>
      </c>
      <c r="C342" s="136" t="s">
        <v>10418</v>
      </c>
      <c r="D342" s="132" t="s">
        <v>3420</v>
      </c>
      <c r="E342" s="136" t="s">
        <v>3715</v>
      </c>
      <c r="F342" s="136" t="s">
        <v>3715</v>
      </c>
      <c r="G342" s="137">
        <v>1395434890001</v>
      </c>
      <c r="H342" s="138" t="s">
        <v>10282</v>
      </c>
      <c r="I342" s="136">
        <v>952500034</v>
      </c>
      <c r="J342" s="131" t="s">
        <v>3643</v>
      </c>
      <c r="K342" s="139">
        <v>42913</v>
      </c>
    </row>
    <row r="343" spans="1:11">
      <c r="A343" s="1" t="str">
        <f t="shared" si="5"/>
        <v>15100-33348495-952500034141127</v>
      </c>
      <c r="B343" s="136" t="s">
        <v>3771</v>
      </c>
      <c r="C343" s="136" t="s">
        <v>10419</v>
      </c>
      <c r="D343" s="132" t="s">
        <v>3420</v>
      </c>
      <c r="E343" s="136" t="s">
        <v>3722</v>
      </c>
      <c r="F343" s="136" t="s">
        <v>3722</v>
      </c>
      <c r="G343" s="137">
        <v>1395434890001</v>
      </c>
      <c r="H343" s="138" t="s">
        <v>10282</v>
      </c>
      <c r="I343" s="136">
        <v>952500034</v>
      </c>
      <c r="J343" s="131" t="s">
        <v>3643</v>
      </c>
      <c r="K343" s="139">
        <v>141127</v>
      </c>
    </row>
    <row r="344" spans="1:11">
      <c r="A344" s="1" t="str">
        <f t="shared" si="5"/>
        <v>50100-723835195-951500036482660</v>
      </c>
      <c r="B344" s="136" t="s">
        <v>2918</v>
      </c>
      <c r="C344" s="136" t="s">
        <v>10420</v>
      </c>
      <c r="D344" s="132" t="s">
        <v>3420</v>
      </c>
      <c r="E344" s="136" t="s">
        <v>2863</v>
      </c>
      <c r="F344" s="136" t="s">
        <v>2863</v>
      </c>
      <c r="G344" s="137">
        <v>1394395847001</v>
      </c>
      <c r="H344" s="138" t="s">
        <v>10183</v>
      </c>
      <c r="I344" s="136">
        <v>951500036</v>
      </c>
      <c r="J344" s="131" t="s">
        <v>2811</v>
      </c>
      <c r="K344" s="139">
        <v>482660</v>
      </c>
    </row>
    <row r="345" spans="1:11">
      <c r="A345" s="1" t="str">
        <f t="shared" si="5"/>
        <v>50100-829740695-951500428199480</v>
      </c>
      <c r="B345" s="136" t="s">
        <v>4532</v>
      </c>
      <c r="C345" s="136" t="s">
        <v>10294</v>
      </c>
      <c r="D345" s="132" t="s">
        <v>3420</v>
      </c>
      <c r="E345" s="136" t="s">
        <v>4516</v>
      </c>
      <c r="F345" s="136" t="s">
        <v>4516</v>
      </c>
      <c r="G345" s="137">
        <v>1395447925001</v>
      </c>
      <c r="H345" s="138" t="s">
        <v>6298</v>
      </c>
      <c r="I345" s="136">
        <v>951500428</v>
      </c>
      <c r="J345" s="131" t="s">
        <v>4587</v>
      </c>
      <c r="K345" s="139">
        <v>199480</v>
      </c>
    </row>
    <row r="346" spans="1:11">
      <c r="A346" s="1" t="str">
        <f t="shared" si="5"/>
        <v>50100-829740695-951500437101620</v>
      </c>
      <c r="B346" s="136" t="s">
        <v>4532</v>
      </c>
      <c r="C346" s="136" t="s">
        <v>10294</v>
      </c>
      <c r="D346" s="132" t="s">
        <v>3420</v>
      </c>
      <c r="E346" s="136" t="s">
        <v>4516</v>
      </c>
      <c r="F346" s="136" t="s">
        <v>4516</v>
      </c>
      <c r="G346" s="137">
        <v>1395447925001</v>
      </c>
      <c r="H346" s="138" t="s">
        <v>6298</v>
      </c>
      <c r="I346" s="136">
        <v>951500437</v>
      </c>
      <c r="J346" s="131" t="s">
        <v>4588</v>
      </c>
      <c r="K346" s="139">
        <v>101620</v>
      </c>
    </row>
    <row r="347" spans="1:11">
      <c r="A347" s="1" t="str">
        <f t="shared" si="5"/>
        <v>50100-710937494-941500793498530</v>
      </c>
      <c r="B347" s="136" t="s">
        <v>10421</v>
      </c>
      <c r="C347" s="136" t="s">
        <v>10422</v>
      </c>
      <c r="D347" s="132" t="s">
        <v>3420</v>
      </c>
      <c r="E347" s="136" t="s">
        <v>2613</v>
      </c>
      <c r="F347" s="136" t="s">
        <v>2613</v>
      </c>
      <c r="G347" s="137">
        <v>1394394802001</v>
      </c>
      <c r="H347" s="138" t="s">
        <v>6298</v>
      </c>
      <c r="I347" s="136">
        <v>941500793</v>
      </c>
      <c r="J347" s="131" t="s">
        <v>2624</v>
      </c>
      <c r="K347" s="139">
        <v>498530</v>
      </c>
    </row>
    <row r="348" spans="1:11">
      <c r="A348" s="1" t="str">
        <f t="shared" si="5"/>
        <v>50100-716656894-941500793495410</v>
      </c>
      <c r="B348" s="136" t="s">
        <v>10423</v>
      </c>
      <c r="C348" s="136" t="s">
        <v>10424</v>
      </c>
      <c r="D348" s="132" t="s">
        <v>3420</v>
      </c>
      <c r="E348" s="136" t="s">
        <v>2612</v>
      </c>
      <c r="F348" s="136" t="s">
        <v>2612</v>
      </c>
      <c r="G348" s="137">
        <v>1394394802001</v>
      </c>
      <c r="H348" s="138" t="s">
        <v>6298</v>
      </c>
      <c r="I348" s="136">
        <v>941500793</v>
      </c>
      <c r="J348" s="131" t="s">
        <v>2624</v>
      </c>
      <c r="K348" s="139">
        <v>495410</v>
      </c>
    </row>
    <row r="349" spans="1:11">
      <c r="A349" s="1" t="str">
        <f t="shared" si="5"/>
        <v>15100-33212495-95250003470027</v>
      </c>
      <c r="B349" s="136" t="s">
        <v>3618</v>
      </c>
      <c r="C349" s="136" t="s">
        <v>10425</v>
      </c>
      <c r="D349" s="132" t="s">
        <v>3420</v>
      </c>
      <c r="E349" s="136" t="s">
        <v>3716</v>
      </c>
      <c r="F349" s="136" t="s">
        <v>3716</v>
      </c>
      <c r="G349" s="137">
        <v>1395434890001</v>
      </c>
      <c r="H349" s="138" t="s">
        <v>10282</v>
      </c>
      <c r="I349" s="136">
        <v>952500034</v>
      </c>
      <c r="J349" s="131" t="s">
        <v>3643</v>
      </c>
      <c r="K349" s="139">
        <v>70027</v>
      </c>
    </row>
    <row r="350" spans="1:11">
      <c r="A350" s="1" t="str">
        <f t="shared" si="5"/>
        <v>15100-27713294-9415007774740</v>
      </c>
      <c r="B350" s="136" t="s">
        <v>2899</v>
      </c>
      <c r="C350" s="136" t="s">
        <v>10296</v>
      </c>
      <c r="D350" s="132" t="s">
        <v>3420</v>
      </c>
      <c r="E350" s="136" t="s">
        <v>3041</v>
      </c>
      <c r="F350" s="136" t="s">
        <v>3041</v>
      </c>
      <c r="G350" s="137">
        <v>1394394316001</v>
      </c>
      <c r="H350" s="138" t="s">
        <v>10183</v>
      </c>
      <c r="I350" s="136">
        <v>941500777</v>
      </c>
      <c r="J350" s="131" t="s">
        <v>7042</v>
      </c>
      <c r="K350" s="139">
        <v>4740</v>
      </c>
    </row>
    <row r="351" spans="1:11">
      <c r="A351" s="1" t="str">
        <f t="shared" si="5"/>
        <v>50100-730350395-951500114998000</v>
      </c>
      <c r="B351" s="136" t="s">
        <v>2935</v>
      </c>
      <c r="C351" s="136" t="s">
        <v>10426</v>
      </c>
      <c r="D351" s="132" t="s">
        <v>3420</v>
      </c>
      <c r="E351" s="136" t="s">
        <v>2853</v>
      </c>
      <c r="F351" s="136" t="s">
        <v>2853</v>
      </c>
      <c r="G351" s="137">
        <v>1395397990001</v>
      </c>
      <c r="H351" s="138" t="s">
        <v>6456</v>
      </c>
      <c r="I351" s="136">
        <v>951500114</v>
      </c>
      <c r="J351" s="131" t="s">
        <v>3084</v>
      </c>
      <c r="K351" s="139">
        <v>998000</v>
      </c>
    </row>
    <row r="352" spans="1:11">
      <c r="A352" s="1" t="str">
        <f t="shared" si="5"/>
        <v>50100-788357195-951500233400000</v>
      </c>
      <c r="B352" s="136" t="s">
        <v>3681</v>
      </c>
      <c r="C352" s="136" t="s">
        <v>10304</v>
      </c>
      <c r="D352" s="132" t="s">
        <v>3420</v>
      </c>
      <c r="E352" s="136" t="s">
        <v>3715</v>
      </c>
      <c r="F352" s="136" t="s">
        <v>3715</v>
      </c>
      <c r="G352" s="137">
        <v>1395421206001</v>
      </c>
      <c r="H352" s="138" t="s">
        <v>6298</v>
      </c>
      <c r="I352" s="136">
        <v>951500233</v>
      </c>
      <c r="J352" s="131" t="s">
        <v>3726</v>
      </c>
      <c r="K352" s="139">
        <v>400000</v>
      </c>
    </row>
    <row r="353" spans="1:11">
      <c r="A353" s="1" t="str">
        <f t="shared" si="5"/>
        <v>50100-711784094-941500793495000</v>
      </c>
      <c r="B353" s="136" t="s">
        <v>10427</v>
      </c>
      <c r="C353" s="136" t="s">
        <v>10428</v>
      </c>
      <c r="D353" s="132" t="s">
        <v>3420</v>
      </c>
      <c r="E353" s="136" t="s">
        <v>2608</v>
      </c>
      <c r="F353" s="136" t="s">
        <v>2608</v>
      </c>
      <c r="G353" s="137">
        <v>1394394802001</v>
      </c>
      <c r="H353" s="138" t="s">
        <v>6298</v>
      </c>
      <c r="I353" s="136">
        <v>941500793</v>
      </c>
      <c r="J353" s="131" t="s">
        <v>2624</v>
      </c>
      <c r="K353" s="139">
        <v>495000</v>
      </c>
    </row>
    <row r="354" spans="1:11">
      <c r="A354" s="1" t="str">
        <f t="shared" si="5"/>
        <v>50100-820876795-951500337250000</v>
      </c>
      <c r="B354" s="136" t="s">
        <v>4404</v>
      </c>
      <c r="C354" s="136" t="s">
        <v>10251</v>
      </c>
      <c r="D354" s="132" t="s">
        <v>3420</v>
      </c>
      <c r="E354" s="136" t="s">
        <v>4440</v>
      </c>
      <c r="F354" s="136" t="s">
        <v>4440</v>
      </c>
      <c r="G354" s="137">
        <v>1395438159001</v>
      </c>
      <c r="H354" s="138" t="s">
        <v>6298</v>
      </c>
      <c r="I354" s="136">
        <v>951500337</v>
      </c>
      <c r="J354" s="131" t="s">
        <v>4463</v>
      </c>
      <c r="K354" s="139">
        <v>250000</v>
      </c>
    </row>
    <row r="355" spans="1:11">
      <c r="A355" s="1" t="str">
        <f t="shared" si="5"/>
        <v>50100-820876795-951500349512600</v>
      </c>
      <c r="B355" s="136" t="s">
        <v>4404</v>
      </c>
      <c r="C355" s="136" t="s">
        <v>10251</v>
      </c>
      <c r="D355" s="132" t="s">
        <v>3420</v>
      </c>
      <c r="E355" s="136" t="s">
        <v>4440</v>
      </c>
      <c r="F355" s="136" t="s">
        <v>4440</v>
      </c>
      <c r="G355" s="137">
        <v>1395438159001</v>
      </c>
      <c r="H355" s="138" t="s">
        <v>6298</v>
      </c>
      <c r="I355" s="136">
        <v>951500349</v>
      </c>
      <c r="J355" s="131" t="s">
        <v>4464</v>
      </c>
      <c r="K355" s="139">
        <v>512600</v>
      </c>
    </row>
    <row r="356" spans="1:11">
      <c r="A356" s="1" t="str">
        <f t="shared" si="5"/>
        <v>50100-846464395-95150050899935</v>
      </c>
      <c r="B356" s="136" t="s">
        <v>4800</v>
      </c>
      <c r="C356" s="136" t="s">
        <v>10429</v>
      </c>
      <c r="D356" s="132" t="s">
        <v>3420</v>
      </c>
      <c r="E356" s="136" t="s">
        <v>4873</v>
      </c>
      <c r="F356" s="141" t="s">
        <v>4873</v>
      </c>
      <c r="G356" s="137">
        <v>1395451402001</v>
      </c>
      <c r="H356" s="140" t="s">
        <v>9897</v>
      </c>
      <c r="I356" s="141">
        <v>951500508</v>
      </c>
      <c r="J356" s="131" t="s">
        <v>4900</v>
      </c>
      <c r="K356" s="139">
        <v>99935</v>
      </c>
    </row>
    <row r="357" spans="1:11">
      <c r="A357" s="1" t="str">
        <f t="shared" si="5"/>
        <v>50100-744422495-951500134443980</v>
      </c>
      <c r="B357" s="136" t="s">
        <v>3145</v>
      </c>
      <c r="C357" s="136" t="s">
        <v>10268</v>
      </c>
      <c r="D357" s="132" t="s">
        <v>3420</v>
      </c>
      <c r="E357" s="136" t="s">
        <v>3164</v>
      </c>
      <c r="F357" s="136" t="s">
        <v>3164</v>
      </c>
      <c r="G357" s="137">
        <v>1395397985001</v>
      </c>
      <c r="H357" s="138" t="s">
        <v>6298</v>
      </c>
      <c r="I357" s="136">
        <v>951500134</v>
      </c>
      <c r="J357" s="131" t="s">
        <v>3176</v>
      </c>
      <c r="K357" s="139">
        <v>443980</v>
      </c>
    </row>
    <row r="358" spans="1:11">
      <c r="A358" s="1" t="str">
        <f t="shared" si="5"/>
        <v>50100-818960995-951500528989270</v>
      </c>
      <c r="B358" s="136" t="s">
        <v>4407</v>
      </c>
      <c r="C358" s="136" t="s">
        <v>10430</v>
      </c>
      <c r="D358" s="132" t="s">
        <v>3420</v>
      </c>
      <c r="E358" s="136" t="s">
        <v>4441</v>
      </c>
      <c r="F358" s="136" t="s">
        <v>4441</v>
      </c>
      <c r="G358" s="137">
        <v>1395447374001</v>
      </c>
      <c r="H358" s="138" t="s">
        <v>6456</v>
      </c>
      <c r="I358" s="136">
        <v>951500528</v>
      </c>
      <c r="J358" s="131" t="s">
        <v>4212</v>
      </c>
      <c r="K358" s="139">
        <v>989270</v>
      </c>
    </row>
    <row r="359" spans="1:11">
      <c r="A359" s="1" t="str">
        <f t="shared" si="5"/>
        <v>50100-765721195-95150019073833</v>
      </c>
      <c r="B359" s="136" t="s">
        <v>10242</v>
      </c>
      <c r="C359" s="136" t="s">
        <v>10243</v>
      </c>
      <c r="D359" s="132" t="s">
        <v>3420</v>
      </c>
      <c r="E359" s="136" t="s">
        <v>3397</v>
      </c>
      <c r="F359" s="136" t="s">
        <v>3397</v>
      </c>
      <c r="G359" s="137">
        <v>1395400303001</v>
      </c>
      <c r="H359" s="138" t="s">
        <v>6453</v>
      </c>
      <c r="I359" s="136">
        <v>951500190</v>
      </c>
      <c r="J359" s="131" t="s">
        <v>3402</v>
      </c>
      <c r="K359" s="139">
        <v>73833</v>
      </c>
    </row>
    <row r="360" spans="1:11">
      <c r="A360" s="1" t="str">
        <f t="shared" si="5"/>
        <v>50100-734534695-95150007418318</v>
      </c>
      <c r="B360" s="136" t="s">
        <v>2961</v>
      </c>
      <c r="C360" s="136" t="s">
        <v>10270</v>
      </c>
      <c r="D360" s="132" t="s">
        <v>3420</v>
      </c>
      <c r="E360" s="136" t="s">
        <v>3046</v>
      </c>
      <c r="F360" s="136" t="s">
        <v>3046</v>
      </c>
      <c r="G360" s="137">
        <v>1394395845001</v>
      </c>
      <c r="H360" s="138" t="s">
        <v>6453</v>
      </c>
      <c r="I360" s="136">
        <v>951500074</v>
      </c>
      <c r="J360" s="131" t="s">
        <v>3108</v>
      </c>
      <c r="K360" s="139">
        <v>18318</v>
      </c>
    </row>
    <row r="361" spans="1:11">
      <c r="A361" s="1" t="str">
        <f t="shared" si="5"/>
        <v>15100-33080995-95250003447259</v>
      </c>
      <c r="B361" s="136" t="s">
        <v>3619</v>
      </c>
      <c r="C361" s="136" t="s">
        <v>10431</v>
      </c>
      <c r="D361" s="132" t="s">
        <v>3420</v>
      </c>
      <c r="E361" s="136" t="s">
        <v>3662</v>
      </c>
      <c r="F361" s="136" t="s">
        <v>3662</v>
      </c>
      <c r="G361" s="137">
        <v>1395434890001</v>
      </c>
      <c r="H361" s="138" t="s">
        <v>10282</v>
      </c>
      <c r="I361" s="136">
        <v>952500034</v>
      </c>
      <c r="J361" s="131" t="s">
        <v>3643</v>
      </c>
      <c r="K361" s="139">
        <v>47259</v>
      </c>
    </row>
    <row r="362" spans="1:11">
      <c r="A362" s="1" t="str">
        <f t="shared" si="5"/>
        <v>50100-785171395-951500222200000</v>
      </c>
      <c r="B362" s="136" t="s">
        <v>3688</v>
      </c>
      <c r="C362" s="136" t="s">
        <v>10291</v>
      </c>
      <c r="D362" s="132" t="s">
        <v>3420</v>
      </c>
      <c r="E362" s="136" t="s">
        <v>3668</v>
      </c>
      <c r="F362" s="136" t="s">
        <v>3668</v>
      </c>
      <c r="G362" s="137">
        <v>1395421206001</v>
      </c>
      <c r="H362" s="138" t="s">
        <v>6298</v>
      </c>
      <c r="I362" s="136">
        <v>951500222</v>
      </c>
      <c r="J362" s="131" t="s">
        <v>3734</v>
      </c>
      <c r="K362" s="139">
        <v>200000</v>
      </c>
    </row>
    <row r="363" spans="1:11">
      <c r="A363" s="1" t="str">
        <f t="shared" si="5"/>
        <v>50100-785171395-951500220170000</v>
      </c>
      <c r="B363" s="136" t="s">
        <v>3688</v>
      </c>
      <c r="C363" s="136" t="s">
        <v>10291</v>
      </c>
      <c r="D363" s="132" t="s">
        <v>3420</v>
      </c>
      <c r="E363" s="136" t="s">
        <v>3668</v>
      </c>
      <c r="F363" s="136" t="s">
        <v>3668</v>
      </c>
      <c r="G363" s="137">
        <v>1395427836001</v>
      </c>
      <c r="H363" s="138" t="s">
        <v>6298</v>
      </c>
      <c r="I363" s="136">
        <v>951500220</v>
      </c>
      <c r="J363" s="131" t="s">
        <v>3735</v>
      </c>
      <c r="K363" s="139">
        <v>170000</v>
      </c>
    </row>
    <row r="364" spans="1:11">
      <c r="A364" s="1" t="str">
        <f t="shared" si="5"/>
        <v>50100-722917995-951500016973580</v>
      </c>
      <c r="B364" s="136" t="s">
        <v>2962</v>
      </c>
      <c r="C364" s="136" t="s">
        <v>10321</v>
      </c>
      <c r="D364" s="132" t="s">
        <v>3420</v>
      </c>
      <c r="E364" s="136" t="s">
        <v>2862</v>
      </c>
      <c r="F364" s="136" t="s">
        <v>2862</v>
      </c>
      <c r="G364" s="137">
        <v>1394394801001</v>
      </c>
      <c r="H364" s="138" t="s">
        <v>10183</v>
      </c>
      <c r="I364" s="136">
        <v>951500016</v>
      </c>
      <c r="J364" s="131" t="s">
        <v>3122</v>
      </c>
      <c r="K364" s="139">
        <v>973580</v>
      </c>
    </row>
    <row r="365" spans="1:11">
      <c r="A365" s="1" t="str">
        <f t="shared" si="5"/>
        <v>50100-850602396-962500001721569</v>
      </c>
      <c r="B365" s="136" t="s">
        <v>4977</v>
      </c>
      <c r="C365" s="136" t="s">
        <v>8939</v>
      </c>
      <c r="D365" s="132" t="s">
        <v>4971</v>
      </c>
      <c r="E365" s="136" t="s">
        <v>5008</v>
      </c>
      <c r="F365" s="136" t="s">
        <v>5008</v>
      </c>
      <c r="G365" s="137">
        <v>1395462017001</v>
      </c>
      <c r="H365" s="138" t="s">
        <v>6298</v>
      </c>
      <c r="I365" s="136">
        <v>962500001</v>
      </c>
      <c r="J365" s="131" t="s">
        <v>5022</v>
      </c>
      <c r="K365" s="139">
        <v>721569</v>
      </c>
    </row>
    <row r="366" spans="1:11">
      <c r="A366" s="1" t="str">
        <f t="shared" si="5"/>
        <v>50100-739268694-94150083813000</v>
      </c>
      <c r="B366" s="136" t="s">
        <v>3157</v>
      </c>
      <c r="C366" s="136" t="s">
        <v>10332</v>
      </c>
      <c r="D366" s="132" t="s">
        <v>3420</v>
      </c>
      <c r="E366" s="136" t="s">
        <v>3042</v>
      </c>
      <c r="F366" s="136" t="s">
        <v>3042</v>
      </c>
      <c r="G366" s="137">
        <v>1394395844001</v>
      </c>
      <c r="H366" s="138" t="s">
        <v>6298</v>
      </c>
      <c r="I366" s="136">
        <v>941500838</v>
      </c>
      <c r="J366" s="131" t="s">
        <v>2777</v>
      </c>
      <c r="K366" s="139">
        <v>13000</v>
      </c>
    </row>
    <row r="367" spans="1:11">
      <c r="A367" s="1" t="str">
        <f t="shared" si="5"/>
        <v>50100-751219294-941500847100000</v>
      </c>
      <c r="B367" s="136" t="s">
        <v>3297</v>
      </c>
      <c r="C367" s="136" t="s">
        <v>10300</v>
      </c>
      <c r="D367" s="132" t="s">
        <v>3420</v>
      </c>
      <c r="E367" s="136" t="s">
        <v>3276</v>
      </c>
      <c r="F367" s="136" t="s">
        <v>3276</v>
      </c>
      <c r="G367" s="137">
        <v>1394395844001</v>
      </c>
      <c r="H367" s="138" t="s">
        <v>6298</v>
      </c>
      <c r="I367" s="136">
        <v>941500847</v>
      </c>
      <c r="J367" s="131" t="s">
        <v>3136</v>
      </c>
      <c r="K367" s="139">
        <v>100000</v>
      </c>
    </row>
    <row r="368" spans="1:11">
      <c r="A368" s="1" t="str">
        <f t="shared" si="5"/>
        <v>50100-751219295-9515001362600</v>
      </c>
      <c r="B368" s="136" t="s">
        <v>3297</v>
      </c>
      <c r="C368" s="136" t="s">
        <v>10300</v>
      </c>
      <c r="D368" s="132" t="s">
        <v>3420</v>
      </c>
      <c r="E368" s="136" t="s">
        <v>3276</v>
      </c>
      <c r="F368" s="136" t="s">
        <v>3276</v>
      </c>
      <c r="G368" s="137">
        <v>1395397985001</v>
      </c>
      <c r="H368" s="138" t="s">
        <v>6298</v>
      </c>
      <c r="I368" s="136">
        <v>951500136</v>
      </c>
      <c r="J368" s="131" t="s">
        <v>3175</v>
      </c>
      <c r="K368" s="139">
        <v>2600</v>
      </c>
    </row>
    <row r="369" spans="1:11">
      <c r="A369" s="1" t="str">
        <f t="shared" si="5"/>
        <v>50100-723709195-951500076991850</v>
      </c>
      <c r="B369" s="136" t="s">
        <v>2960</v>
      </c>
      <c r="C369" s="136" t="s">
        <v>10432</v>
      </c>
      <c r="D369" s="132" t="s">
        <v>3420</v>
      </c>
      <c r="E369" s="136" t="s">
        <v>2863</v>
      </c>
      <c r="F369" s="136" t="s">
        <v>2863</v>
      </c>
      <c r="G369" s="137">
        <v>1394395845001</v>
      </c>
      <c r="H369" s="138" t="s">
        <v>6453</v>
      </c>
      <c r="I369" s="136">
        <v>951500076</v>
      </c>
      <c r="J369" s="131" t="s">
        <v>3104</v>
      </c>
      <c r="K369" s="139">
        <v>991850</v>
      </c>
    </row>
    <row r="370" spans="1:11">
      <c r="A370" s="1" t="str">
        <f t="shared" si="5"/>
        <v>50100-855744796-96250000679200</v>
      </c>
      <c r="B370" s="136" t="s">
        <v>5001</v>
      </c>
      <c r="C370" s="136" t="s">
        <v>8963</v>
      </c>
      <c r="D370" s="132" t="s">
        <v>4971</v>
      </c>
      <c r="E370" s="136" t="s">
        <v>4972</v>
      </c>
      <c r="F370" s="136" t="s">
        <v>4972</v>
      </c>
      <c r="G370" s="137">
        <v>1395467470001</v>
      </c>
      <c r="H370" s="138" t="s">
        <v>6298</v>
      </c>
      <c r="I370" s="136">
        <v>962500006</v>
      </c>
      <c r="J370" s="131" t="s">
        <v>5026</v>
      </c>
      <c r="K370" s="139">
        <v>79200</v>
      </c>
    </row>
    <row r="371" spans="1:11">
      <c r="A371" s="1" t="str">
        <f t="shared" si="5"/>
        <v>50100-765012095-9542000021464914</v>
      </c>
      <c r="B371" s="136" t="s">
        <v>3391</v>
      </c>
      <c r="C371" s="136" t="s">
        <v>10433</v>
      </c>
      <c r="D371" s="132" t="s">
        <v>3420</v>
      </c>
      <c r="E371" s="136" t="s">
        <v>3399</v>
      </c>
      <c r="F371" s="136" t="s">
        <v>3399</v>
      </c>
      <c r="G371" s="137">
        <v>1395418113001</v>
      </c>
      <c r="H371" s="138" t="s">
        <v>6298</v>
      </c>
      <c r="I371" s="136">
        <v>954200002</v>
      </c>
      <c r="J371" s="131" t="s">
        <v>3414</v>
      </c>
      <c r="K371" s="139">
        <v>1464914</v>
      </c>
    </row>
    <row r="372" spans="1:11">
      <c r="A372" s="1" t="str">
        <f t="shared" si="5"/>
        <v>50100-717924195-951500036905119</v>
      </c>
      <c r="B372" s="136" t="s">
        <v>2743</v>
      </c>
      <c r="C372" s="136" t="s">
        <v>10401</v>
      </c>
      <c r="D372" s="132" t="s">
        <v>3420</v>
      </c>
      <c r="E372" s="136" t="s">
        <v>2749</v>
      </c>
      <c r="F372" s="136" t="s">
        <v>2749</v>
      </c>
      <c r="G372" s="137">
        <v>1394395847001</v>
      </c>
      <c r="H372" s="138" t="s">
        <v>10183</v>
      </c>
      <c r="I372" s="136">
        <v>951500036</v>
      </c>
      <c r="J372" s="131" t="s">
        <v>2811</v>
      </c>
      <c r="K372" s="139">
        <v>905119</v>
      </c>
    </row>
    <row r="373" spans="1:11">
      <c r="A373" s="1" t="str">
        <f t="shared" si="5"/>
        <v>15100-33169095-95250003470929</v>
      </c>
      <c r="B373" s="136" t="s">
        <v>3616</v>
      </c>
      <c r="C373" s="136" t="s">
        <v>10434</v>
      </c>
      <c r="D373" s="132" t="s">
        <v>3420</v>
      </c>
      <c r="E373" s="136" t="s">
        <v>3714</v>
      </c>
      <c r="F373" s="136" t="s">
        <v>3714</v>
      </c>
      <c r="G373" s="137">
        <v>1395434890001</v>
      </c>
      <c r="H373" s="138" t="s">
        <v>10282</v>
      </c>
      <c r="I373" s="136">
        <v>952500034</v>
      </c>
      <c r="J373" s="131" t="s">
        <v>3643</v>
      </c>
      <c r="K373" s="139">
        <v>70929</v>
      </c>
    </row>
    <row r="374" spans="1:11">
      <c r="A374" s="1" t="str">
        <f t="shared" si="5"/>
        <v>45110-7062495-959000005513106</v>
      </c>
      <c r="B374" s="136" t="s">
        <v>4730</v>
      </c>
      <c r="C374" s="136" t="s">
        <v>10435</v>
      </c>
      <c r="D374" s="132" t="s">
        <v>3420</v>
      </c>
      <c r="E374" s="136" t="s">
        <v>3824</v>
      </c>
      <c r="F374" s="136" t="s">
        <v>3824</v>
      </c>
      <c r="G374" s="137" t="s">
        <v>5672</v>
      </c>
      <c r="H374" s="138" t="s">
        <v>10436</v>
      </c>
      <c r="I374" s="136">
        <v>959000005</v>
      </c>
      <c r="J374" s="131" t="s">
        <v>4668</v>
      </c>
      <c r="K374" s="139">
        <v>513106</v>
      </c>
    </row>
    <row r="375" spans="1:11">
      <c r="A375" s="1" t="str">
        <f t="shared" si="5"/>
        <v>15100-31748394-94150004511000</v>
      </c>
      <c r="B375" s="136" t="s">
        <v>3422</v>
      </c>
      <c r="C375" s="136" t="s">
        <v>10361</v>
      </c>
      <c r="D375" s="132" t="s">
        <v>3420</v>
      </c>
      <c r="E375" s="136" t="s">
        <v>3450</v>
      </c>
      <c r="F375" s="136" t="s">
        <v>3450</v>
      </c>
      <c r="G375" s="137">
        <v>1394341921001</v>
      </c>
      <c r="H375" s="138" t="s">
        <v>6298</v>
      </c>
      <c r="I375" s="136">
        <v>941500045</v>
      </c>
      <c r="J375" s="131" t="s">
        <v>1918</v>
      </c>
      <c r="K375" s="139">
        <v>11000</v>
      </c>
    </row>
    <row r="376" spans="1:11">
      <c r="A376" s="1" t="str">
        <f t="shared" si="5"/>
        <v>50100-729538995-951500094799870</v>
      </c>
      <c r="B376" s="136" t="s">
        <v>3004</v>
      </c>
      <c r="C376" s="136" t="s">
        <v>10262</v>
      </c>
      <c r="D376" s="132" t="s">
        <v>3420</v>
      </c>
      <c r="E376" s="136" t="s">
        <v>2859</v>
      </c>
      <c r="F376" s="136" t="s">
        <v>2859</v>
      </c>
      <c r="G376" s="137">
        <v>1394395845001</v>
      </c>
      <c r="H376" s="138" t="s">
        <v>6453</v>
      </c>
      <c r="I376" s="136">
        <v>951500094</v>
      </c>
      <c r="J376" s="131" t="s">
        <v>3124</v>
      </c>
      <c r="K376" s="139">
        <v>799870</v>
      </c>
    </row>
    <row r="377" spans="1:11">
      <c r="A377" s="1" t="str">
        <f t="shared" si="5"/>
        <v>50100-748994795-952500017977898</v>
      </c>
      <c r="B377" s="136" t="s">
        <v>3239</v>
      </c>
      <c r="C377" s="136" t="s">
        <v>10437</v>
      </c>
      <c r="D377" s="132" t="s">
        <v>3420</v>
      </c>
      <c r="E377" s="136" t="s">
        <v>3243</v>
      </c>
      <c r="F377" s="136" t="s">
        <v>3243</v>
      </c>
      <c r="G377" s="137">
        <v>1395397987001</v>
      </c>
      <c r="H377" s="138" t="s">
        <v>10183</v>
      </c>
      <c r="I377" s="136">
        <v>952500017</v>
      </c>
      <c r="J377" s="131" t="s">
        <v>3249</v>
      </c>
      <c r="K377" s="139">
        <v>977898</v>
      </c>
    </row>
    <row r="378" spans="1:11">
      <c r="A378" s="1" t="str">
        <f t="shared" si="5"/>
        <v>50100-736529995-951500129732773</v>
      </c>
      <c r="B378" s="136" t="s">
        <v>2923</v>
      </c>
      <c r="C378" s="136" t="s">
        <v>10234</v>
      </c>
      <c r="D378" s="132" t="s">
        <v>3420</v>
      </c>
      <c r="E378" s="136" t="s">
        <v>3043</v>
      </c>
      <c r="F378" s="136" t="s">
        <v>3043</v>
      </c>
      <c r="G378" s="137">
        <v>1395397985001</v>
      </c>
      <c r="H378" s="138" t="s">
        <v>6298</v>
      </c>
      <c r="I378" s="136">
        <v>951500129</v>
      </c>
      <c r="J378" s="131" t="s">
        <v>3071</v>
      </c>
      <c r="K378" s="139">
        <v>732773</v>
      </c>
    </row>
    <row r="379" spans="1:11">
      <c r="A379" s="1" t="str">
        <f t="shared" si="5"/>
        <v>15100-38894795-95150058947360</v>
      </c>
      <c r="B379" s="136" t="s">
        <v>4832</v>
      </c>
      <c r="C379" s="136" t="s">
        <v>10438</v>
      </c>
      <c r="D379" s="132" t="s">
        <v>3420</v>
      </c>
      <c r="E379" s="136" t="s">
        <v>4731</v>
      </c>
      <c r="F379" s="136" t="s">
        <v>4731</v>
      </c>
      <c r="G379" s="137">
        <v>1395462017001</v>
      </c>
      <c r="H379" s="138" t="s">
        <v>6298</v>
      </c>
      <c r="I379" s="136">
        <v>951500589</v>
      </c>
      <c r="J379" s="131" t="s">
        <v>4953</v>
      </c>
      <c r="K379" s="139">
        <v>47360</v>
      </c>
    </row>
    <row r="380" spans="1:11">
      <c r="A380" s="1" t="str">
        <f t="shared" si="5"/>
        <v>50100-834136195-951500531301500</v>
      </c>
      <c r="B380" s="136" t="s">
        <v>4619</v>
      </c>
      <c r="C380" s="136" t="s">
        <v>10439</v>
      </c>
      <c r="D380" s="132" t="s">
        <v>3420</v>
      </c>
      <c r="E380" s="136" t="s">
        <v>4658</v>
      </c>
      <c r="F380" s="136" t="s">
        <v>4658</v>
      </c>
      <c r="G380" s="137">
        <v>1395447373001</v>
      </c>
      <c r="H380" s="138" t="s">
        <v>6453</v>
      </c>
      <c r="I380" s="136">
        <v>951500531</v>
      </c>
      <c r="J380" s="131" t="s">
        <v>4604</v>
      </c>
      <c r="K380" s="139">
        <v>301500</v>
      </c>
    </row>
    <row r="381" spans="1:11">
      <c r="A381" s="1" t="str">
        <f t="shared" si="5"/>
        <v>50100-756637595-951500090207180</v>
      </c>
      <c r="B381" s="136" t="s">
        <v>3300</v>
      </c>
      <c r="C381" s="136" t="s">
        <v>10256</v>
      </c>
      <c r="D381" s="132" t="s">
        <v>3420</v>
      </c>
      <c r="E381" s="136" t="s">
        <v>3323</v>
      </c>
      <c r="F381" s="136" t="s">
        <v>3323</v>
      </c>
      <c r="G381" s="137">
        <v>1394395845001</v>
      </c>
      <c r="H381" s="138" t="s">
        <v>6453</v>
      </c>
      <c r="I381" s="136">
        <v>951500090</v>
      </c>
      <c r="J381" s="131" t="s">
        <v>3187</v>
      </c>
      <c r="K381" s="139">
        <v>207180</v>
      </c>
    </row>
    <row r="382" spans="1:11">
      <c r="A382" s="1" t="str">
        <f t="shared" si="5"/>
        <v>50100-729983195-9515001171000000</v>
      </c>
      <c r="B382" s="136" t="s">
        <v>2938</v>
      </c>
      <c r="C382" s="136" t="s">
        <v>10440</v>
      </c>
      <c r="D382" s="132" t="s">
        <v>3420</v>
      </c>
      <c r="E382" s="136" t="s">
        <v>2853</v>
      </c>
      <c r="F382" s="136" t="s">
        <v>2853</v>
      </c>
      <c r="G382" s="137">
        <v>1394395845001</v>
      </c>
      <c r="H382" s="138" t="s">
        <v>6453</v>
      </c>
      <c r="I382" s="136">
        <v>951500117</v>
      </c>
      <c r="J382" s="131" t="s">
        <v>3087</v>
      </c>
      <c r="K382" s="139">
        <v>1000000</v>
      </c>
    </row>
    <row r="383" spans="1:11">
      <c r="A383" s="1" t="str">
        <f t="shared" si="5"/>
        <v>50100-720766195-95150001758529</v>
      </c>
      <c r="B383" s="136" t="s">
        <v>2695</v>
      </c>
      <c r="C383" s="136" t="s">
        <v>10230</v>
      </c>
      <c r="D383" s="132" t="s">
        <v>3420</v>
      </c>
      <c r="E383" s="136" t="s">
        <v>2755</v>
      </c>
      <c r="F383" s="136" t="s">
        <v>2755</v>
      </c>
      <c r="G383" s="137">
        <v>1394394801001</v>
      </c>
      <c r="H383" s="138" t="s">
        <v>10183</v>
      </c>
      <c r="I383" s="136">
        <v>951500017</v>
      </c>
      <c r="J383" s="131" t="s">
        <v>2642</v>
      </c>
      <c r="K383" s="139">
        <v>58529</v>
      </c>
    </row>
    <row r="384" spans="1:11">
      <c r="A384" s="1" t="str">
        <f t="shared" si="5"/>
        <v>50100-856263796-96250000343616</v>
      </c>
      <c r="B384" s="136" t="s">
        <v>4986</v>
      </c>
      <c r="C384" s="136" t="s">
        <v>8948</v>
      </c>
      <c r="D384" s="132" t="s">
        <v>4971</v>
      </c>
      <c r="E384" s="136" t="s">
        <v>5007</v>
      </c>
      <c r="F384" s="136" t="s">
        <v>5007</v>
      </c>
      <c r="G384" s="137">
        <v>1395447928001</v>
      </c>
      <c r="H384" s="138" t="s">
        <v>10183</v>
      </c>
      <c r="I384" s="136">
        <v>962500003</v>
      </c>
      <c r="J384" s="131" t="s">
        <v>5028</v>
      </c>
      <c r="K384" s="139">
        <v>43616</v>
      </c>
    </row>
    <row r="385" spans="1:11">
      <c r="A385" s="1" t="str">
        <f t="shared" si="5"/>
        <v>15100-31295695-95150014525470</v>
      </c>
      <c r="B385" s="136" t="s">
        <v>3424</v>
      </c>
      <c r="C385" s="136" t="s">
        <v>10400</v>
      </c>
      <c r="D385" s="132" t="s">
        <v>3420</v>
      </c>
      <c r="E385" s="136" t="s">
        <v>3452</v>
      </c>
      <c r="F385" s="136" t="s">
        <v>3452</v>
      </c>
      <c r="G385" s="137">
        <v>1395401420001</v>
      </c>
      <c r="H385" s="138" t="s">
        <v>6298</v>
      </c>
      <c r="I385" s="136">
        <v>951500145</v>
      </c>
      <c r="J385" s="131" t="s">
        <v>3419</v>
      </c>
      <c r="K385" s="139">
        <v>25470</v>
      </c>
    </row>
    <row r="386" spans="1:11">
      <c r="A386" s="1" t="str">
        <f t="shared" si="5"/>
        <v>15100-39343395-95150059770520</v>
      </c>
      <c r="B386" s="136" t="s">
        <v>4844</v>
      </c>
      <c r="C386" s="136" t="s">
        <v>10441</v>
      </c>
      <c r="D386" s="132" t="s">
        <v>3420</v>
      </c>
      <c r="E386" s="136" t="s">
        <v>4874</v>
      </c>
      <c r="F386" s="136" t="s">
        <v>4874</v>
      </c>
      <c r="G386" s="137">
        <v>1395462017001</v>
      </c>
      <c r="H386" s="138" t="s">
        <v>6298</v>
      </c>
      <c r="I386" s="136">
        <v>951500597</v>
      </c>
      <c r="J386" s="131" t="s">
        <v>4951</v>
      </c>
      <c r="K386" s="139">
        <v>70520</v>
      </c>
    </row>
    <row r="387" spans="1:11">
      <c r="A387" s="1" t="str">
        <f t="shared" ref="A387:A450" si="6">B387&amp;J387&amp;K387</f>
        <v>50100-761795195-952500023621939</v>
      </c>
      <c r="B387" s="136" t="s">
        <v>10322</v>
      </c>
      <c r="C387" s="136" t="s">
        <v>10323</v>
      </c>
      <c r="D387" s="132" t="s">
        <v>3420</v>
      </c>
      <c r="E387" s="136" t="s">
        <v>3376</v>
      </c>
      <c r="F387" s="136" t="s">
        <v>3376</v>
      </c>
      <c r="G387" s="137">
        <v>1395397987001</v>
      </c>
      <c r="H387" s="138" t="s">
        <v>10183</v>
      </c>
      <c r="I387" s="136">
        <v>952500023</v>
      </c>
      <c r="J387" s="131" t="s">
        <v>3406</v>
      </c>
      <c r="K387" s="139">
        <v>621939</v>
      </c>
    </row>
    <row r="388" spans="1:11">
      <c r="A388" s="1" t="str">
        <f t="shared" si="6"/>
        <v>50100-741893795-951500131499100</v>
      </c>
      <c r="B388" s="136" t="s">
        <v>3146</v>
      </c>
      <c r="C388" s="136" t="s">
        <v>10442</v>
      </c>
      <c r="D388" s="132" t="s">
        <v>3420</v>
      </c>
      <c r="E388" s="136" t="s">
        <v>3165</v>
      </c>
      <c r="F388" s="136" t="s">
        <v>3165</v>
      </c>
      <c r="G388" s="137">
        <v>1395397985001</v>
      </c>
      <c r="H388" s="138" t="s">
        <v>6298</v>
      </c>
      <c r="I388" s="136">
        <v>951500131</v>
      </c>
      <c r="J388" s="131" t="s">
        <v>3180</v>
      </c>
      <c r="K388" s="139">
        <v>499100</v>
      </c>
    </row>
    <row r="389" spans="1:11">
      <c r="A389" s="1" t="str">
        <f t="shared" si="6"/>
        <v>50100-752304095-9525000181352982</v>
      </c>
      <c r="B389" s="136" t="s">
        <v>3301</v>
      </c>
      <c r="C389" s="136" t="s">
        <v>10324</v>
      </c>
      <c r="D389" s="132" t="s">
        <v>3420</v>
      </c>
      <c r="E389" s="136" t="s">
        <v>3278</v>
      </c>
      <c r="F389" s="136" t="s">
        <v>3278</v>
      </c>
      <c r="G389" s="137">
        <v>1395397987001</v>
      </c>
      <c r="H389" s="138" t="s">
        <v>10183</v>
      </c>
      <c r="I389" s="136">
        <v>952500018</v>
      </c>
      <c r="J389" s="131" t="s">
        <v>3250</v>
      </c>
      <c r="K389" s="139">
        <v>1352982</v>
      </c>
    </row>
    <row r="390" spans="1:11">
      <c r="A390" s="1" t="str">
        <f t="shared" si="6"/>
        <v>50100-720626795-951500006999660</v>
      </c>
      <c r="B390" s="136" t="s">
        <v>2697</v>
      </c>
      <c r="C390" s="136" t="s">
        <v>10443</v>
      </c>
      <c r="D390" s="132" t="s">
        <v>3420</v>
      </c>
      <c r="E390" s="136" t="s">
        <v>2755</v>
      </c>
      <c r="F390" s="136" t="s">
        <v>2755</v>
      </c>
      <c r="G390" s="137">
        <v>1394392647001</v>
      </c>
      <c r="H390" s="138" t="s">
        <v>6454</v>
      </c>
      <c r="I390" s="136">
        <v>951500006</v>
      </c>
      <c r="J390" s="131" t="s">
        <v>2787</v>
      </c>
      <c r="K390" s="139">
        <v>999660</v>
      </c>
    </row>
    <row r="391" spans="1:11">
      <c r="A391" s="1" t="str">
        <f t="shared" si="6"/>
        <v>50100-741893795-951500136322400</v>
      </c>
      <c r="B391" s="136" t="s">
        <v>3146</v>
      </c>
      <c r="C391" s="136" t="s">
        <v>10442</v>
      </c>
      <c r="D391" s="132" t="s">
        <v>3420</v>
      </c>
      <c r="E391" s="136" t="s">
        <v>3165</v>
      </c>
      <c r="F391" s="136" t="s">
        <v>3165</v>
      </c>
      <c r="G391" s="137">
        <v>1395397985001</v>
      </c>
      <c r="H391" s="138" t="s">
        <v>6298</v>
      </c>
      <c r="I391" s="136">
        <v>951500136</v>
      </c>
      <c r="J391" s="131" t="s">
        <v>3175</v>
      </c>
      <c r="K391" s="139">
        <v>322400</v>
      </c>
    </row>
    <row r="392" spans="1:11">
      <c r="A392" s="1" t="str">
        <f t="shared" si="6"/>
        <v>50100-741893795-951500134957020</v>
      </c>
      <c r="B392" s="136" t="s">
        <v>3146</v>
      </c>
      <c r="C392" s="136" t="s">
        <v>10442</v>
      </c>
      <c r="D392" s="132" t="s">
        <v>3420</v>
      </c>
      <c r="E392" s="136" t="s">
        <v>3165</v>
      </c>
      <c r="F392" s="136" t="s">
        <v>3165</v>
      </c>
      <c r="G392" s="137">
        <v>1395397985001</v>
      </c>
      <c r="H392" s="138" t="s">
        <v>6298</v>
      </c>
      <c r="I392" s="136">
        <v>951500134</v>
      </c>
      <c r="J392" s="131" t="s">
        <v>3176</v>
      </c>
      <c r="K392" s="139">
        <v>957020</v>
      </c>
    </row>
    <row r="393" spans="1:11">
      <c r="A393" s="1" t="str">
        <f t="shared" si="6"/>
        <v>50100-734032795-9515000741328364</v>
      </c>
      <c r="B393" s="136" t="s">
        <v>2955</v>
      </c>
      <c r="C393" s="136" t="s">
        <v>10444</v>
      </c>
      <c r="D393" s="132" t="s">
        <v>3420</v>
      </c>
      <c r="E393" s="136" t="s">
        <v>3047</v>
      </c>
      <c r="F393" s="136" t="s">
        <v>3047</v>
      </c>
      <c r="G393" s="137">
        <v>1394395845001</v>
      </c>
      <c r="H393" s="138" t="s">
        <v>6453</v>
      </c>
      <c r="I393" s="136">
        <v>951500074</v>
      </c>
      <c r="J393" s="131" t="s">
        <v>3108</v>
      </c>
      <c r="K393" s="139">
        <v>1328364</v>
      </c>
    </row>
    <row r="394" spans="1:11">
      <c r="A394" s="1" t="str">
        <f t="shared" si="6"/>
        <v>50100-720626795-9515000053340</v>
      </c>
      <c r="B394" s="136" t="s">
        <v>2697</v>
      </c>
      <c r="C394" s="136" t="s">
        <v>10443</v>
      </c>
      <c r="D394" s="132" t="s">
        <v>3420</v>
      </c>
      <c r="E394" s="136" t="s">
        <v>2755</v>
      </c>
      <c r="F394" s="136" t="s">
        <v>2755</v>
      </c>
      <c r="G394" s="137">
        <v>1394392647001</v>
      </c>
      <c r="H394" s="138" t="s">
        <v>6454</v>
      </c>
      <c r="I394" s="136">
        <v>951500005</v>
      </c>
      <c r="J394" s="131" t="s">
        <v>2786</v>
      </c>
      <c r="K394" s="139">
        <v>3340</v>
      </c>
    </row>
    <row r="395" spans="1:11">
      <c r="A395" s="1" t="str">
        <f t="shared" si="6"/>
        <v>50100-741893795-951500135198180</v>
      </c>
      <c r="B395" s="136" t="s">
        <v>3146</v>
      </c>
      <c r="C395" s="136" t="s">
        <v>10442</v>
      </c>
      <c r="D395" s="132" t="s">
        <v>3420</v>
      </c>
      <c r="E395" s="136" t="s">
        <v>3165</v>
      </c>
      <c r="F395" s="136" t="s">
        <v>3165</v>
      </c>
      <c r="G395" s="137">
        <v>1395397985001</v>
      </c>
      <c r="H395" s="138" t="s">
        <v>6298</v>
      </c>
      <c r="I395" s="136">
        <v>951500135</v>
      </c>
      <c r="J395" s="131" t="s">
        <v>3178</v>
      </c>
      <c r="K395" s="139">
        <v>198180</v>
      </c>
    </row>
    <row r="396" spans="1:11">
      <c r="A396" s="1" t="str">
        <f t="shared" si="6"/>
        <v>50100-749749895-951500197700000</v>
      </c>
      <c r="B396" s="136" t="s">
        <v>3231</v>
      </c>
      <c r="C396" s="136" t="s">
        <v>10445</v>
      </c>
      <c r="D396" s="132" t="s">
        <v>3420</v>
      </c>
      <c r="E396" s="136" t="s">
        <v>3244</v>
      </c>
      <c r="F396" s="136" t="s">
        <v>3244</v>
      </c>
      <c r="G396" s="137">
        <v>1395401420001</v>
      </c>
      <c r="H396" s="138" t="s">
        <v>6298</v>
      </c>
      <c r="I396" s="136">
        <v>951500197</v>
      </c>
      <c r="J396" s="131" t="s">
        <v>3254</v>
      </c>
      <c r="K396" s="139">
        <v>700000</v>
      </c>
    </row>
    <row r="397" spans="1:11">
      <c r="A397" s="1" t="str">
        <f t="shared" si="6"/>
        <v>50100-749749895-951500149435200</v>
      </c>
      <c r="B397" s="136" t="s">
        <v>3231</v>
      </c>
      <c r="C397" s="136" t="s">
        <v>10445</v>
      </c>
      <c r="D397" s="132" t="s">
        <v>3420</v>
      </c>
      <c r="E397" s="136" t="s">
        <v>3244</v>
      </c>
      <c r="F397" s="136" t="s">
        <v>3244</v>
      </c>
      <c r="G397" s="137">
        <v>1395401420001</v>
      </c>
      <c r="H397" s="138" t="s">
        <v>6298</v>
      </c>
      <c r="I397" s="136">
        <v>951500149</v>
      </c>
      <c r="J397" s="131" t="s">
        <v>3255</v>
      </c>
      <c r="K397" s="139">
        <v>435200</v>
      </c>
    </row>
    <row r="398" spans="1:11">
      <c r="A398" s="1" t="str">
        <f t="shared" si="6"/>
        <v>50100-734032795-951500073672516</v>
      </c>
      <c r="B398" s="136" t="s">
        <v>2955</v>
      </c>
      <c r="C398" s="136" t="s">
        <v>10444</v>
      </c>
      <c r="D398" s="132" t="s">
        <v>3420</v>
      </c>
      <c r="E398" s="136" t="s">
        <v>3047</v>
      </c>
      <c r="F398" s="136" t="s">
        <v>3047</v>
      </c>
      <c r="G398" s="137">
        <v>1394395845001</v>
      </c>
      <c r="H398" s="138" t="s">
        <v>6453</v>
      </c>
      <c r="I398" s="136">
        <v>951500073</v>
      </c>
      <c r="J398" s="131" t="s">
        <v>3065</v>
      </c>
      <c r="K398" s="139">
        <v>672516</v>
      </c>
    </row>
    <row r="399" spans="1:11">
      <c r="A399" s="1" t="str">
        <f t="shared" si="6"/>
        <v>50100-732183695-952500010115327</v>
      </c>
      <c r="B399" s="136" t="s">
        <v>3023</v>
      </c>
      <c r="C399" s="136" t="s">
        <v>10389</v>
      </c>
      <c r="D399" s="132" t="s">
        <v>3420</v>
      </c>
      <c r="E399" s="136" t="s">
        <v>2858</v>
      </c>
      <c r="F399" s="136" t="s">
        <v>2858</v>
      </c>
      <c r="G399" s="137">
        <v>1394395847001</v>
      </c>
      <c r="H399" s="138" t="s">
        <v>10183</v>
      </c>
      <c r="I399" s="136">
        <v>952500010</v>
      </c>
      <c r="J399" s="131" t="s">
        <v>3061</v>
      </c>
      <c r="K399" s="139">
        <v>115327</v>
      </c>
    </row>
    <row r="400" spans="1:11">
      <c r="A400" s="1" t="str">
        <f t="shared" si="6"/>
        <v>50100-735617394-9415008511960</v>
      </c>
      <c r="B400" s="136" t="s">
        <v>2969</v>
      </c>
      <c r="C400" s="136" t="s">
        <v>10410</v>
      </c>
      <c r="D400" s="132" t="s">
        <v>3420</v>
      </c>
      <c r="E400" s="136" t="s">
        <v>3044</v>
      </c>
      <c r="F400" s="136" t="s">
        <v>3044</v>
      </c>
      <c r="G400" s="137">
        <v>1394395845001</v>
      </c>
      <c r="H400" s="138" t="s">
        <v>6453</v>
      </c>
      <c r="I400" s="136">
        <v>941500851</v>
      </c>
      <c r="J400" s="131" t="s">
        <v>2657</v>
      </c>
      <c r="K400" s="139">
        <v>1960</v>
      </c>
    </row>
    <row r="401" spans="1:11">
      <c r="A401" s="1" t="str">
        <f t="shared" si="6"/>
        <v>50100-724552995-951500109990660</v>
      </c>
      <c r="B401" s="136" t="s">
        <v>3029</v>
      </c>
      <c r="C401" s="136" t="s">
        <v>10446</v>
      </c>
      <c r="D401" s="132" t="s">
        <v>3420</v>
      </c>
      <c r="E401" s="136" t="s">
        <v>2870</v>
      </c>
      <c r="F401" s="136" t="s">
        <v>2870</v>
      </c>
      <c r="G401" s="137">
        <v>1394395847001</v>
      </c>
      <c r="H401" s="138" t="s">
        <v>10183</v>
      </c>
      <c r="I401" s="136">
        <v>951500109</v>
      </c>
      <c r="J401" s="131" t="s">
        <v>3127</v>
      </c>
      <c r="K401" s="139">
        <v>990660</v>
      </c>
    </row>
    <row r="402" spans="1:11">
      <c r="A402" s="1" t="str">
        <f t="shared" si="6"/>
        <v>50100-725305795-951500110578924</v>
      </c>
      <c r="B402" s="136" t="s">
        <v>2956</v>
      </c>
      <c r="C402" s="136" t="s">
        <v>10447</v>
      </c>
      <c r="D402" s="132" t="s">
        <v>3420</v>
      </c>
      <c r="E402" s="136" t="s">
        <v>2868</v>
      </c>
      <c r="F402" s="136" t="s">
        <v>2868</v>
      </c>
      <c r="G402" s="137">
        <v>1394395847001</v>
      </c>
      <c r="H402" s="138" t="s">
        <v>10183</v>
      </c>
      <c r="I402" s="136">
        <v>951500110</v>
      </c>
      <c r="J402" s="131" t="s">
        <v>3109</v>
      </c>
      <c r="K402" s="139">
        <v>578924</v>
      </c>
    </row>
    <row r="403" spans="1:11">
      <c r="A403" s="1" t="str">
        <f t="shared" si="6"/>
        <v>50100-732525195-951500089199535</v>
      </c>
      <c r="B403" s="136" t="s">
        <v>2943</v>
      </c>
      <c r="C403" s="136" t="s">
        <v>10448</v>
      </c>
      <c r="D403" s="132" t="s">
        <v>3420</v>
      </c>
      <c r="E403" s="136" t="s">
        <v>2858</v>
      </c>
      <c r="F403" s="136" t="s">
        <v>2858</v>
      </c>
      <c r="G403" s="137">
        <v>1394395845001</v>
      </c>
      <c r="H403" s="138" t="s">
        <v>6453</v>
      </c>
      <c r="I403" s="136">
        <v>951500089</v>
      </c>
      <c r="J403" s="131" t="s">
        <v>3091</v>
      </c>
      <c r="K403" s="139">
        <v>199535</v>
      </c>
    </row>
    <row r="404" spans="1:11">
      <c r="A404" s="1" t="str">
        <f t="shared" si="6"/>
        <v>50100-763788495-954200001985195</v>
      </c>
      <c r="B404" s="136" t="s">
        <v>3393</v>
      </c>
      <c r="C404" s="136" t="s">
        <v>10449</v>
      </c>
      <c r="D404" s="132" t="s">
        <v>3420</v>
      </c>
      <c r="E404" s="136" t="s">
        <v>3380</v>
      </c>
      <c r="F404" s="136" t="s">
        <v>3380</v>
      </c>
      <c r="G404" s="137">
        <v>1395418115001</v>
      </c>
      <c r="H404" s="138" t="s">
        <v>10183</v>
      </c>
      <c r="I404" s="136">
        <v>954200001</v>
      </c>
      <c r="J404" s="131" t="s">
        <v>3415</v>
      </c>
      <c r="K404" s="139">
        <v>985195</v>
      </c>
    </row>
    <row r="405" spans="1:11">
      <c r="A405" s="1" t="str">
        <f t="shared" si="6"/>
        <v>50100-720351495-951500056449640</v>
      </c>
      <c r="B405" s="136" t="s">
        <v>2700</v>
      </c>
      <c r="C405" s="136" t="s">
        <v>10450</v>
      </c>
      <c r="D405" s="132" t="s">
        <v>3420</v>
      </c>
      <c r="E405" s="136" t="s">
        <v>2755</v>
      </c>
      <c r="F405" s="136" t="s">
        <v>2755</v>
      </c>
      <c r="G405" s="137">
        <v>1394395845001</v>
      </c>
      <c r="H405" s="138" t="s">
        <v>6453</v>
      </c>
      <c r="I405" s="136">
        <v>951500056</v>
      </c>
      <c r="J405" s="131" t="s">
        <v>2781</v>
      </c>
      <c r="K405" s="139">
        <v>449640</v>
      </c>
    </row>
    <row r="406" spans="1:11">
      <c r="A406" s="1" t="str">
        <f t="shared" si="6"/>
        <v>50100-749749895-951500147260000</v>
      </c>
      <c r="B406" s="136" t="s">
        <v>3231</v>
      </c>
      <c r="C406" s="136" t="s">
        <v>10445</v>
      </c>
      <c r="D406" s="132" t="s">
        <v>3420</v>
      </c>
      <c r="E406" s="136" t="s">
        <v>3244</v>
      </c>
      <c r="F406" s="136" t="s">
        <v>3244</v>
      </c>
      <c r="G406" s="137">
        <v>1395401420001</v>
      </c>
      <c r="H406" s="138" t="s">
        <v>6298</v>
      </c>
      <c r="I406" s="136">
        <v>951500147</v>
      </c>
      <c r="J406" s="131" t="s">
        <v>3256</v>
      </c>
      <c r="K406" s="139">
        <v>260000</v>
      </c>
    </row>
    <row r="407" spans="1:11">
      <c r="A407" s="1" t="str">
        <f t="shared" si="6"/>
        <v>50100-735624295-95150010243163</v>
      </c>
      <c r="B407" s="136" t="s">
        <v>2945</v>
      </c>
      <c r="C407" s="136" t="s">
        <v>10451</v>
      </c>
      <c r="D407" s="132" t="s">
        <v>3420</v>
      </c>
      <c r="E407" s="136" t="s">
        <v>3044</v>
      </c>
      <c r="F407" s="136" t="s">
        <v>3044</v>
      </c>
      <c r="G407" s="137">
        <v>1394395845001</v>
      </c>
      <c r="H407" s="138" t="s">
        <v>6453</v>
      </c>
      <c r="I407" s="136">
        <v>951500102</v>
      </c>
      <c r="J407" s="131" t="s">
        <v>3094</v>
      </c>
      <c r="K407" s="139">
        <v>43163</v>
      </c>
    </row>
    <row r="408" spans="1:11">
      <c r="A408" s="1" t="str">
        <f t="shared" si="6"/>
        <v>50100-731032395-951500088199330</v>
      </c>
      <c r="B408" s="136" t="s">
        <v>2944</v>
      </c>
      <c r="C408" s="136" t="s">
        <v>10452</v>
      </c>
      <c r="D408" s="132" t="s">
        <v>3420</v>
      </c>
      <c r="E408" s="136" t="s">
        <v>2857</v>
      </c>
      <c r="F408" s="136" t="s">
        <v>2857</v>
      </c>
      <c r="G408" s="137">
        <v>1394395845001</v>
      </c>
      <c r="H408" s="138" t="s">
        <v>6453</v>
      </c>
      <c r="I408" s="136">
        <v>951500088</v>
      </c>
      <c r="J408" s="131" t="s">
        <v>3090</v>
      </c>
      <c r="K408" s="139">
        <v>199330</v>
      </c>
    </row>
    <row r="409" spans="1:11">
      <c r="A409" s="1" t="str">
        <f t="shared" si="6"/>
        <v>50100-731032395-951500089796740</v>
      </c>
      <c r="B409" s="136" t="s">
        <v>2944</v>
      </c>
      <c r="C409" s="136" t="s">
        <v>10452</v>
      </c>
      <c r="D409" s="132" t="s">
        <v>3420</v>
      </c>
      <c r="E409" s="136" t="s">
        <v>2857</v>
      </c>
      <c r="F409" s="136" t="s">
        <v>2857</v>
      </c>
      <c r="G409" s="137">
        <v>1394395845001</v>
      </c>
      <c r="H409" s="138" t="s">
        <v>6453</v>
      </c>
      <c r="I409" s="136">
        <v>951500089</v>
      </c>
      <c r="J409" s="131" t="s">
        <v>3091</v>
      </c>
      <c r="K409" s="139">
        <v>796740</v>
      </c>
    </row>
    <row r="410" spans="1:11">
      <c r="A410" s="1" t="str">
        <f t="shared" si="6"/>
        <v>15100-33008395-951500270120060</v>
      </c>
      <c r="B410" s="136" t="s">
        <v>3626</v>
      </c>
      <c r="C410" s="136" t="s">
        <v>10453</v>
      </c>
      <c r="D410" s="132" t="s">
        <v>3420</v>
      </c>
      <c r="E410" s="136" t="s">
        <v>10454</v>
      </c>
      <c r="F410" s="136" t="s">
        <v>10454</v>
      </c>
      <c r="G410" s="137">
        <v>1395435642001</v>
      </c>
      <c r="H410" s="138" t="s">
        <v>10206</v>
      </c>
      <c r="I410" s="136">
        <v>951500270</v>
      </c>
      <c r="J410" s="131" t="s">
        <v>3654</v>
      </c>
      <c r="K410" s="139">
        <v>120060</v>
      </c>
    </row>
    <row r="411" spans="1:11">
      <c r="A411" s="1" t="str">
        <f t="shared" si="6"/>
        <v>50100-735628495-951500153590650</v>
      </c>
      <c r="B411" s="136" t="s">
        <v>2954</v>
      </c>
      <c r="C411" s="136" t="s">
        <v>10455</v>
      </c>
      <c r="D411" s="132" t="s">
        <v>3420</v>
      </c>
      <c r="E411" s="136" t="s">
        <v>3044</v>
      </c>
      <c r="F411" s="136" t="s">
        <v>3044</v>
      </c>
      <c r="G411" s="137">
        <v>1395399149001</v>
      </c>
      <c r="H411" s="138" t="s">
        <v>10186</v>
      </c>
      <c r="I411" s="136">
        <v>951500153</v>
      </c>
      <c r="J411" s="131" t="s">
        <v>3106</v>
      </c>
      <c r="K411" s="139">
        <v>590650</v>
      </c>
    </row>
    <row r="412" spans="1:11">
      <c r="A412" s="1" t="str">
        <f t="shared" si="6"/>
        <v>50100-720351495-95150002345860</v>
      </c>
      <c r="B412" s="136" t="s">
        <v>2700</v>
      </c>
      <c r="C412" s="136" t="s">
        <v>10450</v>
      </c>
      <c r="D412" s="132" t="s">
        <v>3420</v>
      </c>
      <c r="E412" s="136" t="s">
        <v>2755</v>
      </c>
      <c r="F412" s="136" t="s">
        <v>2755</v>
      </c>
      <c r="G412" s="137">
        <v>1395397985001</v>
      </c>
      <c r="H412" s="138" t="s">
        <v>6298</v>
      </c>
      <c r="I412" s="136">
        <v>951500023</v>
      </c>
      <c r="J412" s="131" t="s">
        <v>2784</v>
      </c>
      <c r="K412" s="139">
        <v>45860</v>
      </c>
    </row>
    <row r="413" spans="1:11">
      <c r="A413" s="1" t="str">
        <f t="shared" si="6"/>
        <v>50100-749749895-951500138587000</v>
      </c>
      <c r="B413" s="136" t="s">
        <v>3231</v>
      </c>
      <c r="C413" s="136" t="s">
        <v>10445</v>
      </c>
      <c r="D413" s="132" t="s">
        <v>3420</v>
      </c>
      <c r="E413" s="136" t="s">
        <v>3244</v>
      </c>
      <c r="F413" s="136" t="s">
        <v>3244</v>
      </c>
      <c r="G413" s="137">
        <v>1395401420001</v>
      </c>
      <c r="H413" s="138" t="s">
        <v>6298</v>
      </c>
      <c r="I413" s="136">
        <v>951500138</v>
      </c>
      <c r="J413" s="131" t="s">
        <v>3253</v>
      </c>
      <c r="K413" s="139">
        <v>587000</v>
      </c>
    </row>
    <row r="414" spans="1:11">
      <c r="A414" s="1" t="str">
        <f t="shared" si="6"/>
        <v>50100-735624295-951500108456097</v>
      </c>
      <c r="B414" s="136" t="s">
        <v>2945</v>
      </c>
      <c r="C414" s="136" t="s">
        <v>10451</v>
      </c>
      <c r="D414" s="132" t="s">
        <v>3420</v>
      </c>
      <c r="E414" s="136" t="s">
        <v>3044</v>
      </c>
      <c r="F414" s="136" t="s">
        <v>3044</v>
      </c>
      <c r="G414" s="137">
        <v>1394395845001</v>
      </c>
      <c r="H414" s="138" t="s">
        <v>6453</v>
      </c>
      <c r="I414" s="136">
        <v>951500108</v>
      </c>
      <c r="J414" s="131" t="s">
        <v>3105</v>
      </c>
      <c r="K414" s="139">
        <v>456097</v>
      </c>
    </row>
    <row r="415" spans="1:11">
      <c r="A415" s="1" t="str">
        <f t="shared" si="6"/>
        <v>50100-710931794-941500826297252</v>
      </c>
      <c r="B415" s="136" t="s">
        <v>10325</v>
      </c>
      <c r="C415" s="136" t="s">
        <v>10326</v>
      </c>
      <c r="D415" s="132" t="s">
        <v>3420</v>
      </c>
      <c r="E415" s="136" t="s">
        <v>2613</v>
      </c>
      <c r="F415" s="136" t="s">
        <v>2613</v>
      </c>
      <c r="G415" s="137">
        <v>1394392936001</v>
      </c>
      <c r="H415" s="138" t="s">
        <v>10183</v>
      </c>
      <c r="I415" s="136">
        <v>941500826</v>
      </c>
      <c r="J415" s="131" t="s">
        <v>7082</v>
      </c>
      <c r="K415" s="139">
        <v>297252</v>
      </c>
    </row>
    <row r="416" spans="1:11">
      <c r="A416" s="1" t="str">
        <f t="shared" si="6"/>
        <v>50100-731343294-94150060811994</v>
      </c>
      <c r="B416" s="136" t="s">
        <v>10238</v>
      </c>
      <c r="C416" s="136" t="s">
        <v>10239</v>
      </c>
      <c r="D416" s="132" t="s">
        <v>3420</v>
      </c>
      <c r="E416" s="136" t="s">
        <v>2865</v>
      </c>
      <c r="F416" s="136" t="s">
        <v>2865</v>
      </c>
      <c r="G416" s="137">
        <v>1394389329001</v>
      </c>
      <c r="H416" s="138" t="s">
        <v>6298</v>
      </c>
      <c r="I416" s="136">
        <v>941500608</v>
      </c>
      <c r="J416" s="131" t="s">
        <v>2586</v>
      </c>
      <c r="K416" s="139">
        <v>11994</v>
      </c>
    </row>
    <row r="417" spans="1:11">
      <c r="A417" s="1" t="str">
        <f t="shared" si="6"/>
        <v>50100-734286094-941500823150700</v>
      </c>
      <c r="B417" s="136" t="s">
        <v>2933</v>
      </c>
      <c r="C417" s="136" t="s">
        <v>10269</v>
      </c>
      <c r="D417" s="132" t="s">
        <v>3420</v>
      </c>
      <c r="E417" s="136" t="s">
        <v>3046</v>
      </c>
      <c r="F417" s="136" t="s">
        <v>3046</v>
      </c>
      <c r="G417" s="137">
        <v>1394394802001</v>
      </c>
      <c r="H417" s="138" t="s">
        <v>6298</v>
      </c>
      <c r="I417" s="136">
        <v>941500823</v>
      </c>
      <c r="J417" s="131" t="s">
        <v>2654</v>
      </c>
      <c r="K417" s="139">
        <v>150700</v>
      </c>
    </row>
    <row r="418" spans="1:11">
      <c r="A418" s="1" t="str">
        <f t="shared" si="6"/>
        <v>50100-734286095-951500035338111</v>
      </c>
      <c r="B418" s="136" t="s">
        <v>2933</v>
      </c>
      <c r="C418" s="136" t="s">
        <v>10269</v>
      </c>
      <c r="D418" s="132" t="s">
        <v>3420</v>
      </c>
      <c r="E418" s="136" t="s">
        <v>3046</v>
      </c>
      <c r="F418" s="136" t="s">
        <v>3046</v>
      </c>
      <c r="G418" s="137">
        <v>1394395847001</v>
      </c>
      <c r="H418" s="138" t="s">
        <v>10183</v>
      </c>
      <c r="I418" s="136">
        <v>951500035</v>
      </c>
      <c r="J418" s="131" t="s">
        <v>3080</v>
      </c>
      <c r="K418" s="139">
        <v>338111</v>
      </c>
    </row>
    <row r="419" spans="1:11">
      <c r="A419" s="1" t="str">
        <f t="shared" si="6"/>
        <v>50100-751315595-951500188979626</v>
      </c>
      <c r="B419" s="136" t="s">
        <v>3307</v>
      </c>
      <c r="C419" s="136" t="s">
        <v>10355</v>
      </c>
      <c r="D419" s="132" t="s">
        <v>3420</v>
      </c>
      <c r="E419" s="136" t="s">
        <v>3276</v>
      </c>
      <c r="F419" s="136" t="s">
        <v>3276</v>
      </c>
      <c r="G419" s="137">
        <v>1395401420001</v>
      </c>
      <c r="H419" s="138" t="s">
        <v>6298</v>
      </c>
      <c r="I419" s="136">
        <v>951500188</v>
      </c>
      <c r="J419" s="131" t="s">
        <v>3355</v>
      </c>
      <c r="K419" s="139">
        <v>979626</v>
      </c>
    </row>
    <row r="420" spans="1:11">
      <c r="A420" s="1" t="str">
        <f t="shared" si="6"/>
        <v>50100-719833495-951500017468680</v>
      </c>
      <c r="B420" s="136" t="s">
        <v>2699</v>
      </c>
      <c r="C420" s="136" t="s">
        <v>10241</v>
      </c>
      <c r="D420" s="132" t="s">
        <v>3420</v>
      </c>
      <c r="E420" s="136" t="s">
        <v>2756</v>
      </c>
      <c r="F420" s="136" t="s">
        <v>2756</v>
      </c>
      <c r="G420" s="137">
        <v>1394394801001</v>
      </c>
      <c r="H420" s="138" t="s">
        <v>10183</v>
      </c>
      <c r="I420" s="136">
        <v>951500017</v>
      </c>
      <c r="J420" s="131" t="s">
        <v>2642</v>
      </c>
      <c r="K420" s="139">
        <v>468680</v>
      </c>
    </row>
    <row r="421" spans="1:11">
      <c r="A421" s="1" t="str">
        <f t="shared" si="6"/>
        <v>50100-743567995-95150012967227</v>
      </c>
      <c r="B421" s="136" t="s">
        <v>3150</v>
      </c>
      <c r="C421" s="136" t="s">
        <v>10286</v>
      </c>
      <c r="D421" s="132" t="s">
        <v>3420</v>
      </c>
      <c r="E421" s="136" t="s">
        <v>3167</v>
      </c>
      <c r="F421" s="136" t="s">
        <v>3167</v>
      </c>
      <c r="G421" s="137">
        <v>1395397985001</v>
      </c>
      <c r="H421" s="138" t="s">
        <v>6298</v>
      </c>
      <c r="I421" s="136">
        <v>951500129</v>
      </c>
      <c r="J421" s="131" t="s">
        <v>3071</v>
      </c>
      <c r="K421" s="139">
        <v>67227</v>
      </c>
    </row>
    <row r="422" spans="1:11">
      <c r="A422" s="1" t="str">
        <f t="shared" si="6"/>
        <v>15100-25149194-94150071477270</v>
      </c>
      <c r="B422" s="136" t="s">
        <v>10456</v>
      </c>
      <c r="C422" s="136" t="s">
        <v>10457</v>
      </c>
      <c r="D422" s="132" t="s">
        <v>3420</v>
      </c>
      <c r="E422" s="136" t="s">
        <v>10397</v>
      </c>
      <c r="F422" s="136" t="s">
        <v>10397</v>
      </c>
      <c r="G422" s="137">
        <v>1394392935001</v>
      </c>
      <c r="H422" s="138" t="s">
        <v>6298</v>
      </c>
      <c r="I422" s="136">
        <v>941500714</v>
      </c>
      <c r="J422" s="131" t="s">
        <v>2768</v>
      </c>
      <c r="K422" s="139">
        <v>77270</v>
      </c>
    </row>
    <row r="423" spans="1:11">
      <c r="A423" s="1" t="str">
        <f t="shared" si="6"/>
        <v>15100-25214194-941500714118120</v>
      </c>
      <c r="B423" s="136" t="s">
        <v>10458</v>
      </c>
      <c r="C423" s="136" t="s">
        <v>10459</v>
      </c>
      <c r="D423" s="132" t="s">
        <v>3420</v>
      </c>
      <c r="E423" s="136" t="s">
        <v>2616</v>
      </c>
      <c r="F423" s="136" t="s">
        <v>2616</v>
      </c>
      <c r="G423" s="137">
        <v>1394392935001</v>
      </c>
      <c r="H423" s="138" t="s">
        <v>6298</v>
      </c>
      <c r="I423" s="136">
        <v>941500714</v>
      </c>
      <c r="J423" s="131" t="s">
        <v>2768</v>
      </c>
      <c r="K423" s="139">
        <v>118120</v>
      </c>
    </row>
    <row r="424" spans="1:11">
      <c r="A424" s="1" t="str">
        <f t="shared" si="6"/>
        <v>15100-26757294-94150080924460</v>
      </c>
      <c r="B424" s="136" t="s">
        <v>10362</v>
      </c>
      <c r="C424" s="136" t="s">
        <v>10363</v>
      </c>
      <c r="D424" s="132" t="s">
        <v>3420</v>
      </c>
      <c r="E424" s="136" t="s">
        <v>2860</v>
      </c>
      <c r="F424" s="136" t="s">
        <v>2860</v>
      </c>
      <c r="G424" s="137">
        <v>1394394802001</v>
      </c>
      <c r="H424" s="138" t="s">
        <v>6298</v>
      </c>
      <c r="I424" s="136">
        <v>941500809</v>
      </c>
      <c r="J424" s="131" t="s">
        <v>2893</v>
      </c>
      <c r="K424" s="139">
        <v>24460</v>
      </c>
    </row>
    <row r="425" spans="1:11">
      <c r="A425" s="1" t="str">
        <f t="shared" si="6"/>
        <v>50100-712267294-94150073414970</v>
      </c>
      <c r="B425" s="136" t="s">
        <v>10368</v>
      </c>
      <c r="C425" s="136" t="s">
        <v>10369</v>
      </c>
      <c r="D425" s="132" t="s">
        <v>3420</v>
      </c>
      <c r="E425" s="136" t="s">
        <v>2610</v>
      </c>
      <c r="F425" s="136" t="s">
        <v>2610</v>
      </c>
      <c r="G425" s="137">
        <v>1394390727001</v>
      </c>
      <c r="H425" s="138" t="s">
        <v>10183</v>
      </c>
      <c r="I425" s="136">
        <v>941500734</v>
      </c>
      <c r="J425" s="131" t="s">
        <v>7091</v>
      </c>
      <c r="K425" s="139">
        <v>14970</v>
      </c>
    </row>
    <row r="426" spans="1:11">
      <c r="A426" s="1" t="str">
        <f t="shared" si="6"/>
        <v>50100-712748394-941500817137535</v>
      </c>
      <c r="B426" s="136" t="s">
        <v>10366</v>
      </c>
      <c r="C426" s="136" t="s">
        <v>10367</v>
      </c>
      <c r="D426" s="132" t="s">
        <v>3420</v>
      </c>
      <c r="E426" s="136" t="s">
        <v>2616</v>
      </c>
      <c r="F426" s="136" t="s">
        <v>2616</v>
      </c>
      <c r="G426" s="137">
        <v>1394394802001</v>
      </c>
      <c r="H426" s="138" t="s">
        <v>6298</v>
      </c>
      <c r="I426" s="136">
        <v>941500817</v>
      </c>
      <c r="J426" s="131" t="s">
        <v>2641</v>
      </c>
      <c r="K426" s="139">
        <v>137535</v>
      </c>
    </row>
    <row r="427" spans="1:11">
      <c r="A427" s="1" t="str">
        <f t="shared" si="6"/>
        <v>50100-742114795-9541000091012591</v>
      </c>
      <c r="B427" s="136" t="s">
        <v>3163</v>
      </c>
      <c r="C427" s="136" t="s">
        <v>10460</v>
      </c>
      <c r="D427" s="132" t="s">
        <v>3420</v>
      </c>
      <c r="E427" s="136" t="s">
        <v>3165</v>
      </c>
      <c r="F427" s="136" t="s">
        <v>3165</v>
      </c>
      <c r="G427" s="137">
        <v>1395400302002</v>
      </c>
      <c r="H427" s="138" t="s">
        <v>10183</v>
      </c>
      <c r="I427" s="136">
        <v>954100009</v>
      </c>
      <c r="J427" s="131" t="s">
        <v>3192</v>
      </c>
      <c r="K427" s="139">
        <v>1012591</v>
      </c>
    </row>
    <row r="428" spans="1:11">
      <c r="A428" s="1" t="str">
        <f t="shared" si="6"/>
        <v>50100-760431295-951500182188891</v>
      </c>
      <c r="B428" s="136" t="s">
        <v>3303</v>
      </c>
      <c r="C428" s="136" t="s">
        <v>10266</v>
      </c>
      <c r="D428" s="132" t="s">
        <v>3420</v>
      </c>
      <c r="E428" s="136" t="s">
        <v>3325</v>
      </c>
      <c r="F428" s="136" t="s">
        <v>3325</v>
      </c>
      <c r="G428" s="137">
        <v>1395400303001</v>
      </c>
      <c r="H428" s="138" t="s">
        <v>6453</v>
      </c>
      <c r="I428" s="136">
        <v>951500182</v>
      </c>
      <c r="J428" s="131" t="s">
        <v>3349</v>
      </c>
      <c r="K428" s="139">
        <v>188891</v>
      </c>
    </row>
    <row r="429" spans="1:11">
      <c r="A429" s="1" t="str">
        <f t="shared" si="6"/>
        <v>50100-757129795-951500119998780</v>
      </c>
      <c r="B429" s="136" t="s">
        <v>3299</v>
      </c>
      <c r="C429" s="136" t="s">
        <v>10342</v>
      </c>
      <c r="D429" s="132" t="s">
        <v>3420</v>
      </c>
      <c r="E429" s="136" t="s">
        <v>3321</v>
      </c>
      <c r="F429" s="136" t="s">
        <v>3321</v>
      </c>
      <c r="G429" s="137">
        <v>1394395845001</v>
      </c>
      <c r="H429" s="138" t="s">
        <v>6453</v>
      </c>
      <c r="I429" s="136">
        <v>951500119</v>
      </c>
      <c r="J429" s="131" t="s">
        <v>3333</v>
      </c>
      <c r="K429" s="139">
        <v>998780</v>
      </c>
    </row>
    <row r="430" spans="1:11">
      <c r="A430" s="1" t="str">
        <f t="shared" si="6"/>
        <v>50100-725139294-941500842300000</v>
      </c>
      <c r="B430" s="136" t="s">
        <v>10461</v>
      </c>
      <c r="C430" s="136" t="s">
        <v>10462</v>
      </c>
      <c r="D430" s="132" t="s">
        <v>3420</v>
      </c>
      <c r="E430" s="136" t="s">
        <v>2868</v>
      </c>
      <c r="F430" s="136" t="s">
        <v>2868</v>
      </c>
      <c r="G430" s="137">
        <v>1394395844001</v>
      </c>
      <c r="H430" s="138" t="s">
        <v>6298</v>
      </c>
      <c r="I430" s="136">
        <v>941500842</v>
      </c>
      <c r="J430" s="131" t="s">
        <v>3062</v>
      </c>
      <c r="K430" s="139">
        <v>300000</v>
      </c>
    </row>
    <row r="431" spans="1:11">
      <c r="A431" s="1" t="str">
        <f t="shared" si="6"/>
        <v>50100-725247495-952500004196871</v>
      </c>
      <c r="B431" s="136" t="s">
        <v>3024</v>
      </c>
      <c r="C431" s="136" t="s">
        <v>10463</v>
      </c>
      <c r="D431" s="132" t="s">
        <v>3420</v>
      </c>
      <c r="E431" s="136" t="s">
        <v>2868</v>
      </c>
      <c r="F431" s="136" t="s">
        <v>2868</v>
      </c>
      <c r="G431" s="137">
        <v>1394394801001</v>
      </c>
      <c r="H431" s="138" t="s">
        <v>10183</v>
      </c>
      <c r="I431" s="136">
        <v>952500004</v>
      </c>
      <c r="J431" s="131" t="s">
        <v>3117</v>
      </c>
      <c r="K431" s="139">
        <v>196871</v>
      </c>
    </row>
    <row r="432" spans="1:11">
      <c r="A432" s="1" t="str">
        <f t="shared" si="6"/>
        <v>15100-25214194-941500725334710</v>
      </c>
      <c r="B432" s="136" t="s">
        <v>10458</v>
      </c>
      <c r="C432" s="136" t="s">
        <v>10459</v>
      </c>
      <c r="D432" s="132" t="s">
        <v>3420</v>
      </c>
      <c r="E432" s="136" t="s">
        <v>2616</v>
      </c>
      <c r="F432" s="136" t="s">
        <v>2616</v>
      </c>
      <c r="G432" s="137">
        <v>1394392935001</v>
      </c>
      <c r="H432" s="138" t="s">
        <v>6298</v>
      </c>
      <c r="I432" s="136">
        <v>941500725</v>
      </c>
      <c r="J432" s="131" t="s">
        <v>2762</v>
      </c>
      <c r="K432" s="139">
        <v>334710</v>
      </c>
    </row>
    <row r="433" spans="1:11">
      <c r="A433" s="1" t="str">
        <f t="shared" si="6"/>
        <v>50100-712267294-9415006702404</v>
      </c>
      <c r="B433" s="136" t="s">
        <v>10368</v>
      </c>
      <c r="C433" s="136" t="s">
        <v>10369</v>
      </c>
      <c r="D433" s="132" t="s">
        <v>3420</v>
      </c>
      <c r="E433" s="136" t="s">
        <v>2610</v>
      </c>
      <c r="F433" s="136" t="s">
        <v>2610</v>
      </c>
      <c r="G433" s="137">
        <v>1394389331001</v>
      </c>
      <c r="H433" s="138" t="s">
        <v>10183</v>
      </c>
      <c r="I433" s="136">
        <v>941500670</v>
      </c>
      <c r="J433" s="131" t="s">
        <v>7062</v>
      </c>
      <c r="K433" s="139">
        <v>2404</v>
      </c>
    </row>
    <row r="434" spans="1:11">
      <c r="A434" s="1" t="str">
        <f t="shared" si="6"/>
        <v>50100-786356795-9515002621000000</v>
      </c>
      <c r="B434" s="136" t="s">
        <v>3691</v>
      </c>
      <c r="C434" s="136" t="s">
        <v>10464</v>
      </c>
      <c r="D434" s="132" t="s">
        <v>3420</v>
      </c>
      <c r="E434" s="136" t="s">
        <v>3662</v>
      </c>
      <c r="F434" s="136" t="s">
        <v>3662</v>
      </c>
      <c r="G434" s="137">
        <v>1395427837001</v>
      </c>
      <c r="H434" s="138" t="s">
        <v>6300</v>
      </c>
      <c r="I434" s="136">
        <v>951500262</v>
      </c>
      <c r="J434" s="131" t="s">
        <v>3737</v>
      </c>
      <c r="K434" s="139">
        <v>1000000</v>
      </c>
    </row>
    <row r="435" spans="1:11">
      <c r="A435" s="1" t="str">
        <f t="shared" si="6"/>
        <v>50100-732552495-9515001061000000</v>
      </c>
      <c r="B435" s="136" t="s">
        <v>3002</v>
      </c>
      <c r="C435" s="136" t="s">
        <v>10465</v>
      </c>
      <c r="D435" s="132" t="s">
        <v>3420</v>
      </c>
      <c r="E435" s="136" t="s">
        <v>2866</v>
      </c>
      <c r="F435" s="136" t="s">
        <v>2866</v>
      </c>
      <c r="G435" s="137">
        <v>1395397990001</v>
      </c>
      <c r="H435" s="138" t="s">
        <v>6456</v>
      </c>
      <c r="I435" s="136">
        <v>951500106</v>
      </c>
      <c r="J435" s="131" t="s">
        <v>3131</v>
      </c>
      <c r="K435" s="139">
        <v>1000000</v>
      </c>
    </row>
    <row r="436" spans="1:11">
      <c r="A436" s="1" t="str">
        <f t="shared" si="6"/>
        <v>50100-747346295-951500053594000</v>
      </c>
      <c r="B436" s="136" t="s">
        <v>3234</v>
      </c>
      <c r="C436" s="136" t="s">
        <v>10466</v>
      </c>
      <c r="D436" s="132" t="s">
        <v>3420</v>
      </c>
      <c r="E436" s="136" t="s">
        <v>3246</v>
      </c>
      <c r="F436" s="136" t="s">
        <v>3246</v>
      </c>
      <c r="G436" s="137">
        <v>1395397985001</v>
      </c>
      <c r="H436" s="138" t="s">
        <v>6298</v>
      </c>
      <c r="I436" s="136">
        <v>951500053</v>
      </c>
      <c r="J436" s="131" t="s">
        <v>3182</v>
      </c>
      <c r="K436" s="139">
        <v>594000</v>
      </c>
    </row>
    <row r="437" spans="1:11">
      <c r="A437" s="1" t="str">
        <f t="shared" si="6"/>
        <v>15100-31090095-95150014593600</v>
      </c>
      <c r="B437" s="136" t="s">
        <v>3425</v>
      </c>
      <c r="C437" s="136" t="s">
        <v>10467</v>
      </c>
      <c r="D437" s="132" t="s">
        <v>3420</v>
      </c>
      <c r="E437" s="136" t="s">
        <v>3453</v>
      </c>
      <c r="F437" s="136" t="s">
        <v>3453</v>
      </c>
      <c r="G437" s="137">
        <v>1395401420001</v>
      </c>
      <c r="H437" s="138" t="s">
        <v>6298</v>
      </c>
      <c r="I437" s="136">
        <v>951500145</v>
      </c>
      <c r="J437" s="131" t="s">
        <v>3419</v>
      </c>
      <c r="K437" s="139">
        <v>93600</v>
      </c>
    </row>
    <row r="438" spans="1:11">
      <c r="A438" s="1" t="str">
        <f t="shared" si="6"/>
        <v>50100-824781795-951500458294720</v>
      </c>
      <c r="B438" s="136" t="s">
        <v>4538</v>
      </c>
      <c r="C438" s="136" t="s">
        <v>10468</v>
      </c>
      <c r="D438" s="132" t="s">
        <v>3420</v>
      </c>
      <c r="E438" s="136" t="s">
        <v>4570</v>
      </c>
      <c r="F438" s="136" t="s">
        <v>4570</v>
      </c>
      <c r="G438" s="137">
        <v>1395447375001</v>
      </c>
      <c r="H438" s="138" t="s">
        <v>6454</v>
      </c>
      <c r="I438" s="136">
        <v>951500458</v>
      </c>
      <c r="J438" s="131" t="s">
        <v>4495</v>
      </c>
      <c r="K438" s="139">
        <v>294720</v>
      </c>
    </row>
    <row r="439" spans="1:11">
      <c r="A439" s="1" t="str">
        <f t="shared" si="6"/>
        <v>50100-725850095-95150004828502</v>
      </c>
      <c r="B439" s="136" t="s">
        <v>3027</v>
      </c>
      <c r="C439" s="136" t="s">
        <v>10469</v>
      </c>
      <c r="D439" s="132" t="s">
        <v>3420</v>
      </c>
      <c r="E439" s="136" t="s">
        <v>2869</v>
      </c>
      <c r="F439" s="136" t="s">
        <v>2869</v>
      </c>
      <c r="G439" s="137">
        <v>1395397985001</v>
      </c>
      <c r="H439" s="138" t="s">
        <v>6298</v>
      </c>
      <c r="I439" s="136">
        <v>951500048</v>
      </c>
      <c r="J439" s="131" t="s">
        <v>3070</v>
      </c>
      <c r="K439" s="139">
        <v>28502</v>
      </c>
    </row>
    <row r="440" spans="1:11">
      <c r="A440" s="1" t="str">
        <f t="shared" si="6"/>
        <v>50100-727983995-95250000328610</v>
      </c>
      <c r="B440" s="136" t="s">
        <v>3026</v>
      </c>
      <c r="C440" s="136" t="s">
        <v>10470</v>
      </c>
      <c r="D440" s="132" t="s">
        <v>3420</v>
      </c>
      <c r="E440" s="136" t="s">
        <v>2860</v>
      </c>
      <c r="F440" s="136" t="s">
        <v>2860</v>
      </c>
      <c r="G440" s="137">
        <v>1394394801001</v>
      </c>
      <c r="H440" s="138" t="s">
        <v>10183</v>
      </c>
      <c r="I440" s="136">
        <v>952500003</v>
      </c>
      <c r="J440" s="131" t="s">
        <v>3093</v>
      </c>
      <c r="K440" s="139">
        <v>28610</v>
      </c>
    </row>
    <row r="441" spans="1:11">
      <c r="A441" s="1" t="str">
        <f t="shared" si="6"/>
        <v>50100-727983995-952500006363215</v>
      </c>
      <c r="B441" s="136" t="s">
        <v>3026</v>
      </c>
      <c r="C441" s="136" t="s">
        <v>10470</v>
      </c>
      <c r="D441" s="132" t="s">
        <v>3420</v>
      </c>
      <c r="E441" s="136" t="s">
        <v>2860</v>
      </c>
      <c r="F441" s="136" t="s">
        <v>2860</v>
      </c>
      <c r="G441" s="137">
        <v>1395397987001</v>
      </c>
      <c r="H441" s="138" t="s">
        <v>10183</v>
      </c>
      <c r="I441" s="136">
        <v>952500006</v>
      </c>
      <c r="J441" s="131" t="s">
        <v>3129</v>
      </c>
      <c r="K441" s="139">
        <v>363215</v>
      </c>
    </row>
    <row r="442" spans="1:11">
      <c r="A442" s="1" t="str">
        <f t="shared" si="6"/>
        <v>50100-854769595-95150057684724</v>
      </c>
      <c r="B442" s="136" t="s">
        <v>4999</v>
      </c>
      <c r="C442" s="136" t="s">
        <v>8961</v>
      </c>
      <c r="D442" s="132" t="s">
        <v>4971</v>
      </c>
      <c r="E442" s="136" t="s">
        <v>5012</v>
      </c>
      <c r="F442" s="136" t="s">
        <v>5012</v>
      </c>
      <c r="G442" s="137">
        <v>1395451404001</v>
      </c>
      <c r="H442" s="138" t="s">
        <v>6456</v>
      </c>
      <c r="I442" s="136">
        <v>951500576</v>
      </c>
      <c r="J442" s="131" t="s">
        <v>4919</v>
      </c>
      <c r="K442" s="139">
        <v>84724</v>
      </c>
    </row>
    <row r="443" spans="1:11">
      <c r="A443" s="1" t="str">
        <f t="shared" si="6"/>
        <v>50100-732813895-954100004964180</v>
      </c>
      <c r="B443" s="136" t="s">
        <v>3025</v>
      </c>
      <c r="C443" s="136" t="s">
        <v>10471</v>
      </c>
      <c r="D443" s="132" t="s">
        <v>3420</v>
      </c>
      <c r="E443" s="136" t="s">
        <v>2866</v>
      </c>
      <c r="F443" s="136" t="s">
        <v>2866</v>
      </c>
      <c r="G443" s="137">
        <v>1395397988001</v>
      </c>
      <c r="H443" s="138" t="s">
        <v>10183</v>
      </c>
      <c r="I443" s="136">
        <v>954100004</v>
      </c>
      <c r="J443" s="131" t="s">
        <v>3142</v>
      </c>
      <c r="K443" s="139">
        <v>964180</v>
      </c>
    </row>
    <row r="444" spans="1:11">
      <c r="A444" s="1" t="str">
        <f t="shared" si="6"/>
        <v>50100-738269494-9415004173150</v>
      </c>
      <c r="B444" s="136" t="s">
        <v>10472</v>
      </c>
      <c r="C444" s="136" t="s">
        <v>10473</v>
      </c>
      <c r="D444" s="132" t="s">
        <v>3420</v>
      </c>
      <c r="E444" s="136" t="s">
        <v>3050</v>
      </c>
      <c r="F444" s="136" t="s">
        <v>3050</v>
      </c>
      <c r="G444" s="137">
        <v>1394373284001</v>
      </c>
      <c r="H444" s="138" t="s">
        <v>6453</v>
      </c>
      <c r="I444" s="136">
        <v>941500417</v>
      </c>
      <c r="J444" s="131" t="s">
        <v>6788</v>
      </c>
      <c r="K444" s="139">
        <v>3150</v>
      </c>
    </row>
    <row r="445" spans="1:11">
      <c r="A445" s="1" t="str">
        <f t="shared" si="6"/>
        <v>15100-28805194-94150083495850</v>
      </c>
      <c r="B445" s="136" t="s">
        <v>10474</v>
      </c>
      <c r="C445" s="136" t="s">
        <v>10475</v>
      </c>
      <c r="D445" s="132" t="s">
        <v>3420</v>
      </c>
      <c r="E445" s="136" t="s">
        <v>10476</v>
      </c>
      <c r="F445" s="136" t="s">
        <v>10476</v>
      </c>
      <c r="G445" s="137">
        <v>1394395844001</v>
      </c>
      <c r="H445" s="138" t="s">
        <v>6298</v>
      </c>
      <c r="I445" s="136">
        <v>941500834</v>
      </c>
      <c r="J445" s="131" t="s">
        <v>2772</v>
      </c>
      <c r="K445" s="139">
        <v>95850</v>
      </c>
    </row>
    <row r="446" spans="1:11">
      <c r="A446" s="1" t="str">
        <f t="shared" si="6"/>
        <v>15100-27550295-95150004474880</v>
      </c>
      <c r="B446" s="136" t="s">
        <v>2910</v>
      </c>
      <c r="C446" s="136" t="s">
        <v>10477</v>
      </c>
      <c r="D446" s="132" t="s">
        <v>3420</v>
      </c>
      <c r="E446" s="136" t="s">
        <v>3044</v>
      </c>
      <c r="F446" s="136" t="s">
        <v>3044</v>
      </c>
      <c r="G446" s="137">
        <v>1394395845001</v>
      </c>
      <c r="H446" s="138" t="s">
        <v>6453</v>
      </c>
      <c r="I446" s="136">
        <v>951500044</v>
      </c>
      <c r="J446" s="131" t="s">
        <v>3053</v>
      </c>
      <c r="K446" s="139">
        <v>74880</v>
      </c>
    </row>
    <row r="447" spans="1:11">
      <c r="A447" s="1" t="str">
        <f t="shared" si="6"/>
        <v>15100-27374594-94150077425020</v>
      </c>
      <c r="B447" s="136" t="s">
        <v>10478</v>
      </c>
      <c r="C447" s="136" t="s">
        <v>10479</v>
      </c>
      <c r="D447" s="132" t="s">
        <v>3420</v>
      </c>
      <c r="E447" s="136" t="s">
        <v>3047</v>
      </c>
      <c r="F447" s="136" t="s">
        <v>3047</v>
      </c>
      <c r="G447" s="137">
        <v>1394394178001</v>
      </c>
      <c r="H447" s="138" t="s">
        <v>6298</v>
      </c>
      <c r="I447" s="136">
        <v>941500774</v>
      </c>
      <c r="J447" s="131" t="s">
        <v>2878</v>
      </c>
      <c r="K447" s="139">
        <v>25020</v>
      </c>
    </row>
    <row r="448" spans="1:11">
      <c r="A448" s="1" t="str">
        <f t="shared" si="6"/>
        <v>15100-33949595-951500351117700</v>
      </c>
      <c r="B448" s="136" t="s">
        <v>3813</v>
      </c>
      <c r="C448" s="136" t="s">
        <v>10480</v>
      </c>
      <c r="D448" s="132" t="s">
        <v>3420</v>
      </c>
      <c r="E448" s="136" t="s">
        <v>3832</v>
      </c>
      <c r="F448" s="136" t="s">
        <v>3832</v>
      </c>
      <c r="G448" s="137">
        <v>1395441444001</v>
      </c>
      <c r="H448" s="138" t="s">
        <v>6299</v>
      </c>
      <c r="I448" s="136">
        <v>951500351</v>
      </c>
      <c r="J448" s="131" t="s">
        <v>3851</v>
      </c>
      <c r="K448" s="139">
        <v>117700</v>
      </c>
    </row>
    <row r="449" spans="1:11">
      <c r="A449" s="1" t="str">
        <f t="shared" si="6"/>
        <v>15100-33997295-951500351120580</v>
      </c>
      <c r="B449" s="136" t="s">
        <v>3814</v>
      </c>
      <c r="C449" s="136" t="s">
        <v>10481</v>
      </c>
      <c r="D449" s="132" t="s">
        <v>3420</v>
      </c>
      <c r="E449" s="136" t="s">
        <v>3834</v>
      </c>
      <c r="F449" s="136" t="s">
        <v>3834</v>
      </c>
      <c r="G449" s="137">
        <v>1395441444001</v>
      </c>
      <c r="H449" s="138" t="s">
        <v>6299</v>
      </c>
      <c r="I449" s="136">
        <v>951500351</v>
      </c>
      <c r="J449" s="131" t="s">
        <v>3851</v>
      </c>
      <c r="K449" s="139">
        <v>120580</v>
      </c>
    </row>
    <row r="450" spans="1:11">
      <c r="A450" s="1" t="str">
        <f t="shared" si="6"/>
        <v>50100-728365595-95150002255108</v>
      </c>
      <c r="B450" s="136" t="s">
        <v>2986</v>
      </c>
      <c r="C450" s="136" t="s">
        <v>10482</v>
      </c>
      <c r="D450" s="132" t="s">
        <v>3420</v>
      </c>
      <c r="E450" s="136" t="s">
        <v>2851</v>
      </c>
      <c r="F450" s="136" t="s">
        <v>2851</v>
      </c>
      <c r="G450" s="137">
        <v>1395397985001</v>
      </c>
      <c r="H450" s="138" t="s">
        <v>6298</v>
      </c>
      <c r="I450" s="136">
        <v>951500022</v>
      </c>
      <c r="J450" s="131" t="s">
        <v>2801</v>
      </c>
      <c r="K450" s="139">
        <v>55108</v>
      </c>
    </row>
    <row r="451" spans="1:11">
      <c r="A451" s="1" t="str">
        <f t="shared" ref="A451:A514" si="7">B451&amp;J451&amp;K451</f>
        <v>50100-728365595-951500011163742</v>
      </c>
      <c r="B451" s="136" t="s">
        <v>2986</v>
      </c>
      <c r="C451" s="136" t="s">
        <v>10482</v>
      </c>
      <c r="D451" s="132" t="s">
        <v>3420</v>
      </c>
      <c r="E451" s="136" t="s">
        <v>2851</v>
      </c>
      <c r="F451" s="136" t="s">
        <v>2851</v>
      </c>
      <c r="G451" s="137">
        <v>1394392647001</v>
      </c>
      <c r="H451" s="138" t="s">
        <v>6454</v>
      </c>
      <c r="I451" s="136">
        <v>951500011</v>
      </c>
      <c r="J451" s="131" t="s">
        <v>3075</v>
      </c>
      <c r="K451" s="139">
        <v>163742</v>
      </c>
    </row>
    <row r="452" spans="1:11">
      <c r="A452" s="1" t="str">
        <f t="shared" si="7"/>
        <v>50100-720686995-952500002996240</v>
      </c>
      <c r="B452" s="136" t="s">
        <v>2733</v>
      </c>
      <c r="C452" s="136" t="s">
        <v>10483</v>
      </c>
      <c r="D452" s="132" t="s">
        <v>3420</v>
      </c>
      <c r="E452" s="136" t="s">
        <v>2755</v>
      </c>
      <c r="F452" s="136" t="s">
        <v>2755</v>
      </c>
      <c r="G452" s="137">
        <v>1394394801001</v>
      </c>
      <c r="H452" s="138" t="s">
        <v>10183</v>
      </c>
      <c r="I452" s="136">
        <v>952500002</v>
      </c>
      <c r="J452" s="131" t="s">
        <v>2804</v>
      </c>
      <c r="K452" s="139">
        <v>996240</v>
      </c>
    </row>
    <row r="453" spans="1:11">
      <c r="A453" s="1" t="str">
        <f t="shared" si="7"/>
        <v>50100-824781795-95250006380000</v>
      </c>
      <c r="B453" s="136" t="s">
        <v>4538</v>
      </c>
      <c r="C453" s="136" t="s">
        <v>10468</v>
      </c>
      <c r="D453" s="132" t="s">
        <v>3420</v>
      </c>
      <c r="E453" s="136" t="s">
        <v>4570</v>
      </c>
      <c r="F453" s="136" t="s">
        <v>4570</v>
      </c>
      <c r="G453" s="137">
        <v>1395441908001</v>
      </c>
      <c r="H453" s="138" t="s">
        <v>6298</v>
      </c>
      <c r="I453" s="136">
        <v>952500063</v>
      </c>
      <c r="J453" s="131" t="s">
        <v>4594</v>
      </c>
      <c r="K453" s="139">
        <v>80000</v>
      </c>
    </row>
    <row r="454" spans="1:11">
      <c r="A454" s="1" t="str">
        <f t="shared" si="7"/>
        <v>50100-824781795-952500061208455</v>
      </c>
      <c r="B454" s="136" t="s">
        <v>4538</v>
      </c>
      <c r="C454" s="136" t="s">
        <v>10468</v>
      </c>
      <c r="D454" s="132" t="s">
        <v>3420</v>
      </c>
      <c r="E454" s="136" t="s">
        <v>4570</v>
      </c>
      <c r="F454" s="136" t="s">
        <v>4570</v>
      </c>
      <c r="G454" s="137">
        <v>1395441908001</v>
      </c>
      <c r="H454" s="138" t="s">
        <v>6298</v>
      </c>
      <c r="I454" s="136">
        <v>952500061</v>
      </c>
      <c r="J454" s="131" t="s">
        <v>4595</v>
      </c>
      <c r="K454" s="139">
        <v>208455</v>
      </c>
    </row>
    <row r="455" spans="1:11">
      <c r="A455" s="1" t="str">
        <f t="shared" si="7"/>
        <v>50100-718067695-95150002812142</v>
      </c>
      <c r="B455" s="136" t="s">
        <v>2730</v>
      </c>
      <c r="C455" s="136" t="s">
        <v>10484</v>
      </c>
      <c r="D455" s="132" t="s">
        <v>3420</v>
      </c>
      <c r="E455" s="136" t="s">
        <v>2751</v>
      </c>
      <c r="F455" s="136" t="s">
        <v>2751</v>
      </c>
      <c r="G455" s="137">
        <v>1394394801001</v>
      </c>
      <c r="H455" s="138" t="s">
        <v>10183</v>
      </c>
      <c r="I455" s="136">
        <v>951500028</v>
      </c>
      <c r="J455" s="131" t="s">
        <v>2792</v>
      </c>
      <c r="K455" s="139">
        <v>12142</v>
      </c>
    </row>
    <row r="456" spans="1:11">
      <c r="A456" s="1" t="str">
        <f t="shared" si="7"/>
        <v>50100-711519694-941500798300000</v>
      </c>
      <c r="B456" s="136" t="s">
        <v>10485</v>
      </c>
      <c r="C456" s="136" t="s">
        <v>10486</v>
      </c>
      <c r="D456" s="132" t="s">
        <v>3420</v>
      </c>
      <c r="E456" s="136" t="s">
        <v>2608</v>
      </c>
      <c r="F456" s="136" t="s">
        <v>2608</v>
      </c>
      <c r="G456" s="137">
        <v>1394394802001</v>
      </c>
      <c r="H456" s="138" t="s">
        <v>6298</v>
      </c>
      <c r="I456" s="136">
        <v>941500798</v>
      </c>
      <c r="J456" s="131" t="s">
        <v>2639</v>
      </c>
      <c r="K456" s="139">
        <v>300000</v>
      </c>
    </row>
    <row r="457" spans="1:11">
      <c r="A457" s="1" t="str">
        <f t="shared" si="7"/>
        <v>50100-753891795-951500057297990</v>
      </c>
      <c r="B457" s="136" t="s">
        <v>3296</v>
      </c>
      <c r="C457" s="136" t="s">
        <v>10487</v>
      </c>
      <c r="D457" s="132" t="s">
        <v>3420</v>
      </c>
      <c r="E457" s="136" t="s">
        <v>3275</v>
      </c>
      <c r="F457" s="136" t="s">
        <v>3275</v>
      </c>
      <c r="G457" s="137">
        <v>1394395845001</v>
      </c>
      <c r="H457" s="138" t="s">
        <v>6453</v>
      </c>
      <c r="I457" s="136">
        <v>951500057</v>
      </c>
      <c r="J457" s="131" t="s">
        <v>2779</v>
      </c>
      <c r="K457" s="139">
        <v>297990</v>
      </c>
    </row>
    <row r="458" spans="1:11">
      <c r="A458" s="1" t="str">
        <f t="shared" si="7"/>
        <v>15100-27775194-9415007182540</v>
      </c>
      <c r="B458" s="136" t="s">
        <v>10488</v>
      </c>
      <c r="C458" s="136" t="s">
        <v>10489</v>
      </c>
      <c r="D458" s="132" t="s">
        <v>3420</v>
      </c>
      <c r="E458" s="136" t="s">
        <v>3051</v>
      </c>
      <c r="F458" s="136" t="s">
        <v>3051</v>
      </c>
      <c r="G458" s="137">
        <v>1394392935001</v>
      </c>
      <c r="H458" s="138" t="s">
        <v>6298</v>
      </c>
      <c r="I458" s="136">
        <v>941500718</v>
      </c>
      <c r="J458" s="131" t="s">
        <v>2871</v>
      </c>
      <c r="K458" s="139">
        <v>2540</v>
      </c>
    </row>
    <row r="459" spans="1:11">
      <c r="A459" s="1" t="str">
        <f t="shared" si="7"/>
        <v>15100-27716594-94150079951340</v>
      </c>
      <c r="B459" s="136" t="s">
        <v>10490</v>
      </c>
      <c r="C459" s="136" t="s">
        <v>10491</v>
      </c>
      <c r="D459" s="132" t="s">
        <v>3420</v>
      </c>
      <c r="E459" s="136" t="s">
        <v>3041</v>
      </c>
      <c r="F459" s="136" t="s">
        <v>3041</v>
      </c>
      <c r="G459" s="137">
        <v>1394394802001</v>
      </c>
      <c r="H459" s="138" t="s">
        <v>6298</v>
      </c>
      <c r="I459" s="136">
        <v>941500799</v>
      </c>
      <c r="J459" s="131" t="s">
        <v>2888</v>
      </c>
      <c r="K459" s="139">
        <v>51340</v>
      </c>
    </row>
    <row r="460" spans="1:11">
      <c r="A460" s="1" t="str">
        <f t="shared" si="7"/>
        <v>50100-728365595-95150002383100</v>
      </c>
      <c r="B460" s="136" t="s">
        <v>2986</v>
      </c>
      <c r="C460" s="136" t="s">
        <v>10482</v>
      </c>
      <c r="D460" s="132" t="s">
        <v>3420</v>
      </c>
      <c r="E460" s="136" t="s">
        <v>2851</v>
      </c>
      <c r="F460" s="136" t="s">
        <v>2851</v>
      </c>
      <c r="G460" s="137">
        <v>1395397985001</v>
      </c>
      <c r="H460" s="138" t="s">
        <v>6298</v>
      </c>
      <c r="I460" s="136">
        <v>951500023</v>
      </c>
      <c r="J460" s="131" t="s">
        <v>2784</v>
      </c>
      <c r="K460" s="139">
        <v>83100</v>
      </c>
    </row>
    <row r="461" spans="1:11">
      <c r="A461" s="1" t="str">
        <f t="shared" si="7"/>
        <v>50100-720070294-94150082613973</v>
      </c>
      <c r="B461" s="136" t="s">
        <v>10492</v>
      </c>
      <c r="C461" s="136" t="s">
        <v>10493</v>
      </c>
      <c r="D461" s="132" t="s">
        <v>3420</v>
      </c>
      <c r="E461" s="136" t="s">
        <v>2756</v>
      </c>
      <c r="F461" s="136" t="s">
        <v>2756</v>
      </c>
      <c r="G461" s="137">
        <v>1394392936001</v>
      </c>
      <c r="H461" s="138" t="s">
        <v>10183</v>
      </c>
      <c r="I461" s="136">
        <v>941500826</v>
      </c>
      <c r="J461" s="131" t="s">
        <v>7082</v>
      </c>
      <c r="K461" s="139">
        <v>13973</v>
      </c>
    </row>
    <row r="462" spans="1:11">
      <c r="A462" s="1" t="str">
        <f t="shared" si="7"/>
        <v>50100-843151795-952500103683375</v>
      </c>
      <c r="B462" s="136" t="s">
        <v>4822</v>
      </c>
      <c r="C462" s="136" t="s">
        <v>10494</v>
      </c>
      <c r="D462" s="132" t="s">
        <v>3420</v>
      </c>
      <c r="E462" s="136" t="s">
        <v>4872</v>
      </c>
      <c r="F462" s="136" t="s">
        <v>4872</v>
      </c>
      <c r="G462" s="137">
        <v>1395451404001</v>
      </c>
      <c r="H462" s="138" t="s">
        <v>6456</v>
      </c>
      <c r="I462" s="136">
        <v>952500103</v>
      </c>
      <c r="J462" s="131" t="s">
        <v>4941</v>
      </c>
      <c r="K462" s="139">
        <v>683375</v>
      </c>
    </row>
    <row r="463" spans="1:11">
      <c r="A463" s="1" t="str">
        <f t="shared" si="7"/>
        <v>50100-853265296-96150002445006</v>
      </c>
      <c r="B463" s="136" t="s">
        <v>4998</v>
      </c>
      <c r="C463" s="136" t="s">
        <v>8960</v>
      </c>
      <c r="D463" s="132" t="s">
        <v>4971</v>
      </c>
      <c r="E463" s="136" t="s">
        <v>5011</v>
      </c>
      <c r="F463" s="136" t="s">
        <v>5011</v>
      </c>
      <c r="G463" s="137">
        <v>1395452681001</v>
      </c>
      <c r="H463" s="138" t="s">
        <v>6300</v>
      </c>
      <c r="I463" s="136">
        <v>961500024</v>
      </c>
      <c r="J463" s="131" t="s">
        <v>5036</v>
      </c>
      <c r="K463" s="139">
        <v>45006</v>
      </c>
    </row>
    <row r="464" spans="1:11">
      <c r="A464" s="1" t="str">
        <f t="shared" si="7"/>
        <v>15100-28067895-95150016243420</v>
      </c>
      <c r="B464" s="136" t="s">
        <v>3202</v>
      </c>
      <c r="C464" s="136" t="s">
        <v>10495</v>
      </c>
      <c r="D464" s="132" t="s">
        <v>3420</v>
      </c>
      <c r="E464" s="136" t="s">
        <v>3209</v>
      </c>
      <c r="F464" s="136" t="s">
        <v>3209</v>
      </c>
      <c r="G464" s="137">
        <v>1395401420001</v>
      </c>
      <c r="H464" s="138" t="s">
        <v>6298</v>
      </c>
      <c r="I464" s="136">
        <v>951500162</v>
      </c>
      <c r="J464" s="131" t="s">
        <v>3052</v>
      </c>
      <c r="K464" s="139">
        <v>43420</v>
      </c>
    </row>
    <row r="465" spans="1:11">
      <c r="A465" s="1" t="str">
        <f t="shared" si="7"/>
        <v>50100-824781795-952500056145924</v>
      </c>
      <c r="B465" s="136" t="s">
        <v>4538</v>
      </c>
      <c r="C465" s="136" t="s">
        <v>10468</v>
      </c>
      <c r="D465" s="132" t="s">
        <v>3420</v>
      </c>
      <c r="E465" s="136" t="s">
        <v>4570</v>
      </c>
      <c r="F465" s="136" t="s">
        <v>4570</v>
      </c>
      <c r="G465" s="137">
        <v>1395441908001</v>
      </c>
      <c r="H465" s="138" t="s">
        <v>6298</v>
      </c>
      <c r="I465" s="136">
        <v>952500056</v>
      </c>
      <c r="J465" s="131" t="s">
        <v>4597</v>
      </c>
      <c r="K465" s="139">
        <v>145924</v>
      </c>
    </row>
    <row r="466" spans="1:11">
      <c r="A466" s="1" t="str">
        <f t="shared" si="7"/>
        <v>50100-718615195-95150000321528</v>
      </c>
      <c r="B466" s="136" t="s">
        <v>2734</v>
      </c>
      <c r="C466" s="136" t="s">
        <v>10496</v>
      </c>
      <c r="D466" s="132" t="s">
        <v>3420</v>
      </c>
      <c r="E466" s="136" t="s">
        <v>2752</v>
      </c>
      <c r="F466" s="136" t="s">
        <v>2752</v>
      </c>
      <c r="G466" s="137">
        <v>1394395845001</v>
      </c>
      <c r="H466" s="138" t="s">
        <v>6453</v>
      </c>
      <c r="I466" s="136">
        <v>951500003</v>
      </c>
      <c r="J466" s="131" t="s">
        <v>2661</v>
      </c>
      <c r="K466" s="139">
        <v>21528</v>
      </c>
    </row>
    <row r="467" spans="1:11">
      <c r="A467" s="1" t="str">
        <f t="shared" si="7"/>
        <v>15100-25978095-95150003898660</v>
      </c>
      <c r="B467" s="136" t="s">
        <v>2848</v>
      </c>
      <c r="C467" s="136" t="s">
        <v>10497</v>
      </c>
      <c r="D467" s="132" t="s">
        <v>3420</v>
      </c>
      <c r="E467" s="136" t="s">
        <v>2756</v>
      </c>
      <c r="F467" s="136" t="s">
        <v>2756</v>
      </c>
      <c r="G467" s="137">
        <v>1395397986001</v>
      </c>
      <c r="H467" s="138" t="s">
        <v>6454</v>
      </c>
      <c r="I467" s="136">
        <v>951500038</v>
      </c>
      <c r="J467" s="131" t="s">
        <v>2766</v>
      </c>
      <c r="K467" s="139">
        <v>98660</v>
      </c>
    </row>
    <row r="468" spans="1:11">
      <c r="A468" s="1" t="str">
        <f t="shared" si="7"/>
        <v>15100-34594895-95250003721717</v>
      </c>
      <c r="B468" s="136" t="s">
        <v>4087</v>
      </c>
      <c r="C468" s="136" t="s">
        <v>10498</v>
      </c>
      <c r="D468" s="132" t="s">
        <v>3420</v>
      </c>
      <c r="E468" s="136" t="s">
        <v>4187</v>
      </c>
      <c r="F468" s="136" t="s">
        <v>4187</v>
      </c>
      <c r="G468" s="137">
        <v>1395441451001</v>
      </c>
      <c r="H468" s="138" t="s">
        <v>10282</v>
      </c>
      <c r="I468" s="136">
        <v>952500037</v>
      </c>
      <c r="J468" s="131" t="s">
        <v>3836</v>
      </c>
      <c r="K468" s="139">
        <v>21717</v>
      </c>
    </row>
    <row r="469" spans="1:11">
      <c r="A469" s="1" t="str">
        <f t="shared" si="7"/>
        <v>15100-34173495-95250003746779</v>
      </c>
      <c r="B469" s="136" t="s">
        <v>3795</v>
      </c>
      <c r="C469" s="136" t="s">
        <v>10499</v>
      </c>
      <c r="D469" s="132" t="s">
        <v>3420</v>
      </c>
      <c r="E469" s="136" t="s">
        <v>3822</v>
      </c>
      <c r="F469" s="136" t="s">
        <v>3822</v>
      </c>
      <c r="G469" s="137">
        <v>1395441451001</v>
      </c>
      <c r="H469" s="138" t="s">
        <v>10282</v>
      </c>
      <c r="I469" s="136">
        <v>952500037</v>
      </c>
      <c r="J469" s="131" t="s">
        <v>3836</v>
      </c>
      <c r="K469" s="139">
        <v>46779</v>
      </c>
    </row>
    <row r="470" spans="1:11">
      <c r="A470" s="1" t="str">
        <f t="shared" si="7"/>
        <v>15100-34266595-95250003747530</v>
      </c>
      <c r="B470" s="136" t="s">
        <v>3796</v>
      </c>
      <c r="C470" s="136" t="s">
        <v>10500</v>
      </c>
      <c r="D470" s="132" t="s">
        <v>3420</v>
      </c>
      <c r="E470" s="136" t="s">
        <v>3821</v>
      </c>
      <c r="F470" s="136" t="s">
        <v>3821</v>
      </c>
      <c r="G470" s="137">
        <v>1395441451001</v>
      </c>
      <c r="H470" s="138" t="s">
        <v>10282</v>
      </c>
      <c r="I470" s="136">
        <v>952500037</v>
      </c>
      <c r="J470" s="131" t="s">
        <v>3836</v>
      </c>
      <c r="K470" s="139">
        <v>47530</v>
      </c>
    </row>
    <row r="471" spans="1:11">
      <c r="A471" s="1" t="str">
        <f t="shared" si="7"/>
        <v>50100-824781795-9515004223366</v>
      </c>
      <c r="B471" s="136" t="s">
        <v>4538</v>
      </c>
      <c r="C471" s="136" t="s">
        <v>10468</v>
      </c>
      <c r="D471" s="132" t="s">
        <v>3420</v>
      </c>
      <c r="E471" s="136" t="s">
        <v>4570</v>
      </c>
      <c r="F471" s="136" t="s">
        <v>4570</v>
      </c>
      <c r="G471" s="137">
        <v>1395447375001</v>
      </c>
      <c r="H471" s="138" t="s">
        <v>6454</v>
      </c>
      <c r="I471" s="136">
        <v>951500422</v>
      </c>
      <c r="J471" s="131" t="s">
        <v>4467</v>
      </c>
      <c r="K471" s="139">
        <v>3366</v>
      </c>
    </row>
    <row r="472" spans="1:11">
      <c r="A472" s="1" t="str">
        <f t="shared" si="7"/>
        <v>50100-834158295-95150050383740</v>
      </c>
      <c r="B472" s="136" t="s">
        <v>4622</v>
      </c>
      <c r="C472" s="136" t="s">
        <v>10501</v>
      </c>
      <c r="D472" s="132" t="s">
        <v>3420</v>
      </c>
      <c r="E472" s="136" t="s">
        <v>4658</v>
      </c>
      <c r="F472" s="136" t="s">
        <v>4658</v>
      </c>
      <c r="G472" s="137">
        <v>1395447373001</v>
      </c>
      <c r="H472" s="138" t="s">
        <v>6453</v>
      </c>
      <c r="I472" s="136">
        <v>951500503</v>
      </c>
      <c r="J472" s="131" t="s">
        <v>4673</v>
      </c>
      <c r="K472" s="139">
        <v>83740</v>
      </c>
    </row>
    <row r="473" spans="1:11">
      <c r="A473" s="1" t="str">
        <f t="shared" si="7"/>
        <v>50100-718615195-951500019204400</v>
      </c>
      <c r="B473" s="136" t="s">
        <v>2734</v>
      </c>
      <c r="C473" s="136" t="s">
        <v>10496</v>
      </c>
      <c r="D473" s="132" t="s">
        <v>3420</v>
      </c>
      <c r="E473" s="136" t="s">
        <v>2752</v>
      </c>
      <c r="F473" s="136" t="s">
        <v>2752</v>
      </c>
      <c r="G473" s="137">
        <v>1394395845001</v>
      </c>
      <c r="H473" s="138" t="s">
        <v>6453</v>
      </c>
      <c r="I473" s="136">
        <v>951500019</v>
      </c>
      <c r="J473" s="131" t="s">
        <v>2789</v>
      </c>
      <c r="K473" s="139">
        <v>204400</v>
      </c>
    </row>
    <row r="474" spans="1:11">
      <c r="A474" s="1" t="str">
        <f t="shared" si="7"/>
        <v>50100-824781795-951500407199740</v>
      </c>
      <c r="B474" s="136" t="s">
        <v>4538</v>
      </c>
      <c r="C474" s="136" t="s">
        <v>10468</v>
      </c>
      <c r="D474" s="132" t="s">
        <v>3420</v>
      </c>
      <c r="E474" s="136" t="s">
        <v>4570</v>
      </c>
      <c r="F474" s="136" t="s">
        <v>4570</v>
      </c>
      <c r="G474" s="137">
        <v>1395447375001</v>
      </c>
      <c r="H474" s="138" t="s">
        <v>6454</v>
      </c>
      <c r="I474" s="136">
        <v>951500407</v>
      </c>
      <c r="J474" s="131" t="s">
        <v>4248</v>
      </c>
      <c r="K474" s="139">
        <v>199740</v>
      </c>
    </row>
    <row r="475" spans="1:11">
      <c r="A475" s="1" t="str">
        <f t="shared" si="7"/>
        <v>15100-25098194-941500777124420</v>
      </c>
      <c r="B475" s="136" t="s">
        <v>10502</v>
      </c>
      <c r="C475" s="136" t="s">
        <v>10503</v>
      </c>
      <c r="D475" s="132" t="s">
        <v>3420</v>
      </c>
      <c r="E475" s="136" t="s">
        <v>2615</v>
      </c>
      <c r="F475" s="136" t="s">
        <v>2615</v>
      </c>
      <c r="G475" s="137">
        <v>1394394316001</v>
      </c>
      <c r="H475" s="138" t="s">
        <v>10183</v>
      </c>
      <c r="I475" s="136">
        <v>941500777</v>
      </c>
      <c r="J475" s="131" t="s">
        <v>7042</v>
      </c>
      <c r="K475" s="139">
        <v>124420</v>
      </c>
    </row>
    <row r="476" spans="1:11">
      <c r="A476" s="1" t="str">
        <f t="shared" si="7"/>
        <v>15100-26757294-94150071785000</v>
      </c>
      <c r="B476" s="136" t="s">
        <v>10362</v>
      </c>
      <c r="C476" s="136" t="s">
        <v>10363</v>
      </c>
      <c r="D476" s="132" t="s">
        <v>3420</v>
      </c>
      <c r="E476" s="136" t="s">
        <v>2860</v>
      </c>
      <c r="F476" s="136" t="s">
        <v>2860</v>
      </c>
      <c r="G476" s="137">
        <v>1394392935001</v>
      </c>
      <c r="H476" s="138" t="s">
        <v>6298</v>
      </c>
      <c r="I476" s="136">
        <v>941500717</v>
      </c>
      <c r="J476" s="131" t="s">
        <v>2765</v>
      </c>
      <c r="K476" s="139">
        <v>85000</v>
      </c>
    </row>
    <row r="477" spans="1:11">
      <c r="A477" s="1" t="str">
        <f t="shared" si="7"/>
        <v>50100-717520594-941500829399300</v>
      </c>
      <c r="B477" s="136" t="s">
        <v>10504</v>
      </c>
      <c r="C477" s="136" t="s">
        <v>10505</v>
      </c>
      <c r="D477" s="132" t="s">
        <v>3420</v>
      </c>
      <c r="E477" s="136" t="s">
        <v>2750</v>
      </c>
      <c r="F477" s="136" t="s">
        <v>2750</v>
      </c>
      <c r="G477" s="137">
        <v>1394395844001</v>
      </c>
      <c r="H477" s="138" t="s">
        <v>6298</v>
      </c>
      <c r="I477" s="136">
        <v>941500829</v>
      </c>
      <c r="J477" s="131" t="s">
        <v>2776</v>
      </c>
      <c r="K477" s="139">
        <v>399300</v>
      </c>
    </row>
    <row r="478" spans="1:11">
      <c r="A478" s="1" t="str">
        <f t="shared" si="7"/>
        <v>50100-759536294-9415008043200</v>
      </c>
      <c r="B478" s="136" t="s">
        <v>3317</v>
      </c>
      <c r="C478" s="136" t="s">
        <v>10506</v>
      </c>
      <c r="D478" s="132" t="s">
        <v>3420</v>
      </c>
      <c r="E478" s="136" t="s">
        <v>3328</v>
      </c>
      <c r="F478" s="136" t="s">
        <v>3328</v>
      </c>
      <c r="G478" s="137">
        <v>1394394802001</v>
      </c>
      <c r="H478" s="138" t="s">
        <v>6298</v>
      </c>
      <c r="I478" s="136">
        <v>941500804</v>
      </c>
      <c r="J478" s="131" t="s">
        <v>2652</v>
      </c>
      <c r="K478" s="139">
        <v>3200</v>
      </c>
    </row>
    <row r="479" spans="1:11">
      <c r="A479" s="1" t="str">
        <f t="shared" si="7"/>
        <v>50100-725850095-951500029184080</v>
      </c>
      <c r="B479" s="136" t="s">
        <v>3027</v>
      </c>
      <c r="C479" s="136" t="s">
        <v>10469</v>
      </c>
      <c r="D479" s="132" t="s">
        <v>3420</v>
      </c>
      <c r="E479" s="136" t="s">
        <v>2869</v>
      </c>
      <c r="F479" s="136" t="s">
        <v>2869</v>
      </c>
      <c r="G479" s="137">
        <v>1395397985001</v>
      </c>
      <c r="H479" s="138" t="s">
        <v>6298</v>
      </c>
      <c r="I479" s="136">
        <v>951500029</v>
      </c>
      <c r="J479" s="131" t="s">
        <v>3069</v>
      </c>
      <c r="K479" s="139">
        <v>184080</v>
      </c>
    </row>
    <row r="480" spans="1:11">
      <c r="A480" s="1" t="str">
        <f t="shared" si="7"/>
        <v>50100-727983995-95150001611360</v>
      </c>
      <c r="B480" s="136" t="s">
        <v>3026</v>
      </c>
      <c r="C480" s="136" t="s">
        <v>10470</v>
      </c>
      <c r="D480" s="132" t="s">
        <v>3420</v>
      </c>
      <c r="E480" s="136" t="s">
        <v>2860</v>
      </c>
      <c r="F480" s="136" t="s">
        <v>2860</v>
      </c>
      <c r="G480" s="137">
        <v>1394394801001</v>
      </c>
      <c r="H480" s="138" t="s">
        <v>10183</v>
      </c>
      <c r="I480" s="136">
        <v>951500016</v>
      </c>
      <c r="J480" s="131" t="s">
        <v>3122</v>
      </c>
      <c r="K480" s="139">
        <v>11360</v>
      </c>
    </row>
    <row r="481" spans="1:11">
      <c r="A481" s="1" t="str">
        <f t="shared" si="7"/>
        <v>50100-727983995-951500124475380</v>
      </c>
      <c r="B481" s="136" t="s">
        <v>3026</v>
      </c>
      <c r="C481" s="136" t="s">
        <v>10470</v>
      </c>
      <c r="D481" s="132" t="s">
        <v>3420</v>
      </c>
      <c r="E481" s="136" t="s">
        <v>2860</v>
      </c>
      <c r="F481" s="136" t="s">
        <v>2860</v>
      </c>
      <c r="G481" s="137">
        <v>1395397987001</v>
      </c>
      <c r="H481" s="138" t="s">
        <v>10183</v>
      </c>
      <c r="I481" s="136">
        <v>951500124</v>
      </c>
      <c r="J481" s="131" t="s">
        <v>3135</v>
      </c>
      <c r="K481" s="139">
        <v>475380</v>
      </c>
    </row>
    <row r="482" spans="1:11">
      <c r="A482" s="1" t="str">
        <f t="shared" si="7"/>
        <v>15100-36554995-95250006246622</v>
      </c>
      <c r="B482" s="136" t="s">
        <v>4319</v>
      </c>
      <c r="C482" s="136" t="s">
        <v>10507</v>
      </c>
      <c r="D482" s="132" t="s">
        <v>3420</v>
      </c>
      <c r="E482" s="136" t="s">
        <v>4175</v>
      </c>
      <c r="F482" s="136" t="s">
        <v>4175</v>
      </c>
      <c r="G482" s="137">
        <v>1395447378002</v>
      </c>
      <c r="H482" s="138" t="s">
        <v>10282</v>
      </c>
      <c r="I482" s="136">
        <v>952500062</v>
      </c>
      <c r="J482" s="131" t="s">
        <v>4278</v>
      </c>
      <c r="K482" s="139">
        <v>46622</v>
      </c>
    </row>
    <row r="483" spans="1:11">
      <c r="A483" s="1" t="str">
        <f t="shared" si="7"/>
        <v>50100-723053895-951500009799880</v>
      </c>
      <c r="B483" s="136" t="s">
        <v>3028</v>
      </c>
      <c r="C483" s="136" t="s">
        <v>10508</v>
      </c>
      <c r="D483" s="132" t="s">
        <v>3420</v>
      </c>
      <c r="E483" s="136" t="s">
        <v>2862</v>
      </c>
      <c r="F483" s="136" t="s">
        <v>2862</v>
      </c>
      <c r="G483" s="137">
        <v>1394392647001</v>
      </c>
      <c r="H483" s="138" t="s">
        <v>6454</v>
      </c>
      <c r="I483" s="136">
        <v>951500009</v>
      </c>
      <c r="J483" s="131" t="s">
        <v>2646</v>
      </c>
      <c r="K483" s="139">
        <v>799880</v>
      </c>
    </row>
    <row r="484" spans="1:11">
      <c r="A484" s="1" t="str">
        <f t="shared" si="7"/>
        <v>50100-725850095-951500034278998</v>
      </c>
      <c r="B484" s="136" t="s">
        <v>3027</v>
      </c>
      <c r="C484" s="136" t="s">
        <v>10469</v>
      </c>
      <c r="D484" s="132" t="s">
        <v>3420</v>
      </c>
      <c r="E484" s="136" t="s">
        <v>2869</v>
      </c>
      <c r="F484" s="136" t="s">
        <v>2869</v>
      </c>
      <c r="G484" s="137">
        <v>1394394801001</v>
      </c>
      <c r="H484" s="138" t="s">
        <v>10183</v>
      </c>
      <c r="I484" s="136">
        <v>951500034</v>
      </c>
      <c r="J484" s="131" t="s">
        <v>2808</v>
      </c>
      <c r="K484" s="139">
        <v>278998</v>
      </c>
    </row>
    <row r="485" spans="1:11">
      <c r="A485" s="1" t="str">
        <f t="shared" si="7"/>
        <v>50100-720703795-951500034220342</v>
      </c>
      <c r="B485" s="136" t="s">
        <v>2735</v>
      </c>
      <c r="C485" s="136" t="s">
        <v>10509</v>
      </c>
      <c r="D485" s="132" t="s">
        <v>3420</v>
      </c>
      <c r="E485" s="136" t="s">
        <v>2755</v>
      </c>
      <c r="F485" s="136" t="s">
        <v>2755</v>
      </c>
      <c r="G485" s="137">
        <v>1394394801001</v>
      </c>
      <c r="H485" s="138" t="s">
        <v>10183</v>
      </c>
      <c r="I485" s="136">
        <v>951500034</v>
      </c>
      <c r="J485" s="131" t="s">
        <v>2808</v>
      </c>
      <c r="K485" s="139">
        <v>220342</v>
      </c>
    </row>
    <row r="486" spans="1:11">
      <c r="A486" s="1" t="str">
        <f t="shared" si="7"/>
        <v>50100-853265296-961500008200000</v>
      </c>
      <c r="B486" s="136" t="s">
        <v>4998</v>
      </c>
      <c r="C486" s="136" t="s">
        <v>8960</v>
      </c>
      <c r="D486" s="132" t="s">
        <v>4971</v>
      </c>
      <c r="E486" s="136" t="s">
        <v>5011</v>
      </c>
      <c r="F486" s="136" t="s">
        <v>5011</v>
      </c>
      <c r="G486" s="137">
        <v>1395452681001</v>
      </c>
      <c r="H486" s="138" t="s">
        <v>6300</v>
      </c>
      <c r="I486" s="136">
        <v>961500008</v>
      </c>
      <c r="J486" s="131" t="s">
        <v>5038</v>
      </c>
      <c r="K486" s="139">
        <v>200000</v>
      </c>
    </row>
    <row r="487" spans="1:11">
      <c r="A487" s="1" t="str">
        <f t="shared" si="7"/>
        <v>50100-823116095-951500310198000</v>
      </c>
      <c r="B487" s="136" t="s">
        <v>4411</v>
      </c>
      <c r="C487" s="136" t="s">
        <v>10510</v>
      </c>
      <c r="D487" s="132" t="s">
        <v>3420</v>
      </c>
      <c r="E487" s="136" t="s">
        <v>4442</v>
      </c>
      <c r="F487" s="136" t="s">
        <v>4442</v>
      </c>
      <c r="G487" s="137">
        <v>1395435642001</v>
      </c>
      <c r="H487" s="138" t="s">
        <v>10206</v>
      </c>
      <c r="I487" s="136">
        <v>951500310</v>
      </c>
      <c r="J487" s="131" t="s">
        <v>4475</v>
      </c>
      <c r="K487" s="139">
        <v>198000</v>
      </c>
    </row>
    <row r="488" spans="1:11">
      <c r="A488" s="1" t="str">
        <f t="shared" si="7"/>
        <v>15100-26964795-95150013324140</v>
      </c>
      <c r="B488" s="136" t="s">
        <v>2818</v>
      </c>
      <c r="C488" s="136" t="s">
        <v>10511</v>
      </c>
      <c r="D488" s="132" t="s">
        <v>3420</v>
      </c>
      <c r="E488" s="136" t="s">
        <v>2852</v>
      </c>
      <c r="F488" s="136" t="s">
        <v>2852</v>
      </c>
      <c r="G488" s="137">
        <v>1395397986001</v>
      </c>
      <c r="H488" s="138" t="s">
        <v>6454</v>
      </c>
      <c r="I488" s="136">
        <v>951500133</v>
      </c>
      <c r="J488" s="131" t="s">
        <v>2872</v>
      </c>
      <c r="K488" s="139">
        <v>24140</v>
      </c>
    </row>
    <row r="489" spans="1:11">
      <c r="A489" s="1" t="str">
        <f t="shared" si="7"/>
        <v>15100-27902295-951500163170680</v>
      </c>
      <c r="B489" s="136" t="s">
        <v>2902</v>
      </c>
      <c r="C489" s="136" t="s">
        <v>10295</v>
      </c>
      <c r="D489" s="132" t="s">
        <v>3420</v>
      </c>
      <c r="E489" s="136" t="s">
        <v>3042</v>
      </c>
      <c r="F489" s="136" t="s">
        <v>3042</v>
      </c>
      <c r="G489" s="137">
        <v>1395401420001</v>
      </c>
      <c r="H489" s="138" t="s">
        <v>6298</v>
      </c>
      <c r="I489" s="136">
        <v>951500163</v>
      </c>
      <c r="J489" s="131" t="s">
        <v>2890</v>
      </c>
      <c r="K489" s="139">
        <v>170680</v>
      </c>
    </row>
    <row r="490" spans="1:11">
      <c r="A490" s="1" t="str">
        <f t="shared" si="7"/>
        <v>15100-28372995-95150016349120</v>
      </c>
      <c r="B490" s="136" t="s">
        <v>3197</v>
      </c>
      <c r="C490" s="136" t="s">
        <v>10512</v>
      </c>
      <c r="D490" s="132" t="s">
        <v>3420</v>
      </c>
      <c r="E490" s="136" t="s">
        <v>3167</v>
      </c>
      <c r="F490" s="136" t="s">
        <v>3167</v>
      </c>
      <c r="G490" s="137">
        <v>1395401420001</v>
      </c>
      <c r="H490" s="138" t="s">
        <v>6298</v>
      </c>
      <c r="I490" s="136">
        <v>951500163</v>
      </c>
      <c r="J490" s="131" t="s">
        <v>2890</v>
      </c>
      <c r="K490" s="139">
        <v>49120</v>
      </c>
    </row>
    <row r="491" spans="1:11">
      <c r="A491" s="1" t="str">
        <f t="shared" si="7"/>
        <v>15100-28660495-95150016323140</v>
      </c>
      <c r="B491" s="136" t="s">
        <v>3195</v>
      </c>
      <c r="C491" s="136" t="s">
        <v>10314</v>
      </c>
      <c r="D491" s="132" t="s">
        <v>3420</v>
      </c>
      <c r="E491" s="136" t="s">
        <v>3208</v>
      </c>
      <c r="F491" s="136" t="s">
        <v>3208</v>
      </c>
      <c r="G491" s="137">
        <v>1395401420001</v>
      </c>
      <c r="H491" s="138" t="s">
        <v>6298</v>
      </c>
      <c r="I491" s="136">
        <v>951500163</v>
      </c>
      <c r="J491" s="131" t="s">
        <v>2890</v>
      </c>
      <c r="K491" s="139">
        <v>23140</v>
      </c>
    </row>
    <row r="492" spans="1:11">
      <c r="A492" s="1" t="str">
        <f t="shared" si="7"/>
        <v>50100-723835195-951500087505250</v>
      </c>
      <c r="B492" s="136" t="s">
        <v>2918</v>
      </c>
      <c r="C492" s="136" t="s">
        <v>10420</v>
      </c>
      <c r="D492" s="132" t="s">
        <v>3420</v>
      </c>
      <c r="E492" s="136" t="s">
        <v>2863</v>
      </c>
      <c r="F492" s="136" t="s">
        <v>2863</v>
      </c>
      <c r="G492" s="137">
        <v>1394395847001</v>
      </c>
      <c r="H492" s="138" t="s">
        <v>10183</v>
      </c>
      <c r="I492" s="136">
        <v>951500087</v>
      </c>
      <c r="J492" s="131" t="s">
        <v>2800</v>
      </c>
      <c r="K492" s="139">
        <v>505250</v>
      </c>
    </row>
    <row r="493" spans="1:11">
      <c r="A493" s="1" t="str">
        <f t="shared" si="7"/>
        <v>50100-827315995-951500501922300</v>
      </c>
      <c r="B493" s="136" t="s">
        <v>4534</v>
      </c>
      <c r="C493" s="136" t="s">
        <v>10276</v>
      </c>
      <c r="D493" s="132" t="s">
        <v>3420</v>
      </c>
      <c r="E493" s="136" t="s">
        <v>4500</v>
      </c>
      <c r="F493" s="136" t="s">
        <v>4500</v>
      </c>
      <c r="G493" s="137">
        <v>1395447373001</v>
      </c>
      <c r="H493" s="138" t="s">
        <v>6453</v>
      </c>
      <c r="I493" s="136">
        <v>951500501</v>
      </c>
      <c r="J493" s="131" t="s">
        <v>4592</v>
      </c>
      <c r="K493" s="139">
        <v>922300</v>
      </c>
    </row>
    <row r="494" spans="1:11">
      <c r="A494" s="1" t="str">
        <f t="shared" si="7"/>
        <v>15100-27258295-95150013323960</v>
      </c>
      <c r="B494" s="136" t="s">
        <v>2831</v>
      </c>
      <c r="C494" s="136" t="s">
        <v>10513</v>
      </c>
      <c r="D494" s="132" t="s">
        <v>3420</v>
      </c>
      <c r="E494" s="136" t="s">
        <v>2866</v>
      </c>
      <c r="F494" s="136" t="s">
        <v>2866</v>
      </c>
      <c r="G494" s="137">
        <v>1395397986001</v>
      </c>
      <c r="H494" s="138" t="s">
        <v>6454</v>
      </c>
      <c r="I494" s="136">
        <v>951500133</v>
      </c>
      <c r="J494" s="131" t="s">
        <v>2872</v>
      </c>
      <c r="K494" s="139">
        <v>23960</v>
      </c>
    </row>
    <row r="495" spans="1:11">
      <c r="A495" s="1" t="str">
        <f t="shared" si="7"/>
        <v>15100-27258295-95150016347280</v>
      </c>
      <c r="B495" s="136" t="s">
        <v>2831</v>
      </c>
      <c r="C495" s="136" t="s">
        <v>10513</v>
      </c>
      <c r="D495" s="132" t="s">
        <v>3420</v>
      </c>
      <c r="E495" s="136" t="s">
        <v>2866</v>
      </c>
      <c r="F495" s="136" t="s">
        <v>2866</v>
      </c>
      <c r="G495" s="137">
        <v>1395401420001</v>
      </c>
      <c r="H495" s="138" t="s">
        <v>6298</v>
      </c>
      <c r="I495" s="136">
        <v>951500163</v>
      </c>
      <c r="J495" s="131" t="s">
        <v>2890</v>
      </c>
      <c r="K495" s="139">
        <v>47280</v>
      </c>
    </row>
    <row r="496" spans="1:11">
      <c r="A496" s="1" t="str">
        <f t="shared" si="7"/>
        <v>15100-27494495-95150016349300</v>
      </c>
      <c r="B496" s="136" t="s">
        <v>2908</v>
      </c>
      <c r="C496" s="136" t="s">
        <v>10514</v>
      </c>
      <c r="D496" s="132" t="s">
        <v>3420</v>
      </c>
      <c r="E496" s="136" t="s">
        <v>3048</v>
      </c>
      <c r="F496" s="136" t="s">
        <v>3048</v>
      </c>
      <c r="G496" s="137">
        <v>1395401420001</v>
      </c>
      <c r="H496" s="138" t="s">
        <v>6298</v>
      </c>
      <c r="I496" s="136">
        <v>951500163</v>
      </c>
      <c r="J496" s="131" t="s">
        <v>2890</v>
      </c>
      <c r="K496" s="139">
        <v>49300</v>
      </c>
    </row>
    <row r="497" spans="1:11">
      <c r="A497" s="1" t="str">
        <f t="shared" si="7"/>
        <v>15100-28490795-95150016347000</v>
      </c>
      <c r="B497" s="136" t="s">
        <v>3206</v>
      </c>
      <c r="C497" s="136" t="s">
        <v>10515</v>
      </c>
      <c r="D497" s="132" t="s">
        <v>3420</v>
      </c>
      <c r="E497" s="136" t="s">
        <v>3164</v>
      </c>
      <c r="F497" s="136" t="s">
        <v>3164</v>
      </c>
      <c r="G497" s="137">
        <v>1395401420001</v>
      </c>
      <c r="H497" s="138" t="s">
        <v>6298</v>
      </c>
      <c r="I497" s="136">
        <v>951500163</v>
      </c>
      <c r="J497" s="131" t="s">
        <v>2890</v>
      </c>
      <c r="K497" s="139">
        <v>47000</v>
      </c>
    </row>
    <row r="498" spans="1:11">
      <c r="A498" s="1" t="str">
        <f t="shared" si="7"/>
        <v>50100-718615195-95150002073412</v>
      </c>
      <c r="B498" s="136" t="s">
        <v>2734</v>
      </c>
      <c r="C498" s="136" t="s">
        <v>10496</v>
      </c>
      <c r="D498" s="132" t="s">
        <v>3420</v>
      </c>
      <c r="E498" s="136" t="s">
        <v>2752</v>
      </c>
      <c r="F498" s="136" t="s">
        <v>2752</v>
      </c>
      <c r="G498" s="137">
        <v>1394395845001</v>
      </c>
      <c r="H498" s="138" t="s">
        <v>6453</v>
      </c>
      <c r="I498" s="136">
        <v>951500020</v>
      </c>
      <c r="J498" s="131" t="s">
        <v>2799</v>
      </c>
      <c r="K498" s="139">
        <v>73412</v>
      </c>
    </row>
    <row r="499" spans="1:11">
      <c r="A499" s="1" t="str">
        <f t="shared" si="7"/>
        <v>15100-26316794-94150083574490</v>
      </c>
      <c r="B499" s="136" t="s">
        <v>2821</v>
      </c>
      <c r="C499" s="136" t="s">
        <v>10516</v>
      </c>
      <c r="D499" s="132" t="s">
        <v>3420</v>
      </c>
      <c r="E499" s="136" t="s">
        <v>2854</v>
      </c>
      <c r="F499" s="136" t="s">
        <v>2854</v>
      </c>
      <c r="G499" s="137">
        <v>1394395844001</v>
      </c>
      <c r="H499" s="138" t="s">
        <v>6298</v>
      </c>
      <c r="I499" s="136">
        <v>941500835</v>
      </c>
      <c r="J499" s="131" t="s">
        <v>2876</v>
      </c>
      <c r="K499" s="139">
        <v>74490</v>
      </c>
    </row>
    <row r="500" spans="1:11">
      <c r="A500" s="1" t="str">
        <f t="shared" si="7"/>
        <v>15100-26918494-941500835220280</v>
      </c>
      <c r="B500" s="136" t="s">
        <v>10517</v>
      </c>
      <c r="C500" s="136" t="s">
        <v>10518</v>
      </c>
      <c r="D500" s="132" t="s">
        <v>3420</v>
      </c>
      <c r="E500" s="136" t="s">
        <v>2859</v>
      </c>
      <c r="F500" s="136" t="s">
        <v>2859</v>
      </c>
      <c r="G500" s="137">
        <v>1394395844001</v>
      </c>
      <c r="H500" s="138" t="s">
        <v>6298</v>
      </c>
      <c r="I500" s="136">
        <v>941500835</v>
      </c>
      <c r="J500" s="131" t="s">
        <v>2876</v>
      </c>
      <c r="K500" s="139">
        <v>220280</v>
      </c>
    </row>
    <row r="501" spans="1:11">
      <c r="A501" s="1" t="str">
        <f t="shared" si="7"/>
        <v>15100-26918494-94150078350320</v>
      </c>
      <c r="B501" s="136" t="s">
        <v>10517</v>
      </c>
      <c r="C501" s="136" t="s">
        <v>10518</v>
      </c>
      <c r="D501" s="132" t="s">
        <v>3420</v>
      </c>
      <c r="E501" s="136" t="s">
        <v>2859</v>
      </c>
      <c r="F501" s="136" t="s">
        <v>2859</v>
      </c>
      <c r="G501" s="137">
        <v>1394394178001</v>
      </c>
      <c r="H501" s="138" t="s">
        <v>6298</v>
      </c>
      <c r="I501" s="136">
        <v>941500783</v>
      </c>
      <c r="J501" s="131" t="s">
        <v>2761</v>
      </c>
      <c r="K501" s="139">
        <v>50320</v>
      </c>
    </row>
    <row r="502" spans="1:11">
      <c r="A502" s="1" t="str">
        <f t="shared" si="7"/>
        <v>50100-834158295-951500504913260</v>
      </c>
      <c r="B502" s="136" t="s">
        <v>4622</v>
      </c>
      <c r="C502" s="136" t="s">
        <v>10501</v>
      </c>
      <c r="D502" s="132" t="s">
        <v>3420</v>
      </c>
      <c r="E502" s="136" t="s">
        <v>4658</v>
      </c>
      <c r="F502" s="136" t="s">
        <v>4658</v>
      </c>
      <c r="G502" s="137">
        <v>1395447373001</v>
      </c>
      <c r="H502" s="138" t="s">
        <v>6453</v>
      </c>
      <c r="I502" s="136">
        <v>951500504</v>
      </c>
      <c r="J502" s="131" t="s">
        <v>4680</v>
      </c>
      <c r="K502" s="139">
        <v>913260</v>
      </c>
    </row>
    <row r="503" spans="1:11">
      <c r="A503" s="1" t="str">
        <f t="shared" si="7"/>
        <v>50100-721722295-951500075986640</v>
      </c>
      <c r="B503" s="136" t="s">
        <v>2710</v>
      </c>
      <c r="C503" s="136" t="s">
        <v>10519</v>
      </c>
      <c r="D503" s="132" t="s">
        <v>3420</v>
      </c>
      <c r="E503" s="136" t="s">
        <v>2757</v>
      </c>
      <c r="F503" s="136" t="s">
        <v>2757</v>
      </c>
      <c r="G503" s="137">
        <v>1394395845001</v>
      </c>
      <c r="H503" s="138" t="s">
        <v>6453</v>
      </c>
      <c r="I503" s="136">
        <v>951500075</v>
      </c>
      <c r="J503" s="131" t="s">
        <v>2795</v>
      </c>
      <c r="K503" s="139">
        <v>986640</v>
      </c>
    </row>
    <row r="504" spans="1:11">
      <c r="A504" s="1" t="str">
        <f t="shared" si="7"/>
        <v>50100-720778495-9515000301000000</v>
      </c>
      <c r="B504" s="136" t="s">
        <v>2711</v>
      </c>
      <c r="C504" s="136" t="s">
        <v>10520</v>
      </c>
      <c r="D504" s="132" t="s">
        <v>3420</v>
      </c>
      <c r="E504" s="136" t="s">
        <v>2755</v>
      </c>
      <c r="F504" s="136" t="s">
        <v>2755</v>
      </c>
      <c r="G504" s="137">
        <v>1395397985001</v>
      </c>
      <c r="H504" s="138" t="s">
        <v>6298</v>
      </c>
      <c r="I504" s="136">
        <v>951500030</v>
      </c>
      <c r="J504" s="131" t="s">
        <v>2785</v>
      </c>
      <c r="K504" s="139">
        <v>1000000</v>
      </c>
    </row>
    <row r="505" spans="1:11">
      <c r="A505" s="1" t="str">
        <f t="shared" si="7"/>
        <v>50100-718813395-951500059300000</v>
      </c>
      <c r="B505" s="136" t="s">
        <v>2712</v>
      </c>
      <c r="C505" s="136" t="s">
        <v>10521</v>
      </c>
      <c r="D505" s="132" t="s">
        <v>3420</v>
      </c>
      <c r="E505" s="136" t="s">
        <v>2752</v>
      </c>
      <c r="F505" s="136" t="s">
        <v>2752</v>
      </c>
      <c r="G505" s="137">
        <v>1394395847001</v>
      </c>
      <c r="H505" s="138" t="s">
        <v>10183</v>
      </c>
      <c r="I505" s="136">
        <v>951500059</v>
      </c>
      <c r="J505" s="131" t="s">
        <v>2796</v>
      </c>
      <c r="K505" s="139">
        <v>300000</v>
      </c>
    </row>
    <row r="506" spans="1:11">
      <c r="A506" s="1" t="str">
        <f t="shared" si="7"/>
        <v>50100-822370795-952500071870751</v>
      </c>
      <c r="B506" s="136" t="s">
        <v>4410</v>
      </c>
      <c r="C506" s="136" t="s">
        <v>10522</v>
      </c>
      <c r="D506" s="132" t="s">
        <v>3420</v>
      </c>
      <c r="E506" s="136" t="s">
        <v>4444</v>
      </c>
      <c r="F506" s="136" t="s">
        <v>4444</v>
      </c>
      <c r="G506" s="137">
        <v>1395452682001</v>
      </c>
      <c r="H506" s="138" t="s">
        <v>10183</v>
      </c>
      <c r="I506" s="136">
        <v>952500071</v>
      </c>
      <c r="J506" s="131" t="s">
        <v>4474</v>
      </c>
      <c r="K506" s="139">
        <v>870751</v>
      </c>
    </row>
    <row r="507" spans="1:11">
      <c r="A507" s="1" t="str">
        <f t="shared" si="7"/>
        <v>50100-827076395-951500526498320</v>
      </c>
      <c r="B507" s="136" t="s">
        <v>4537</v>
      </c>
      <c r="C507" s="136" t="s">
        <v>10412</v>
      </c>
      <c r="D507" s="132" t="s">
        <v>3420</v>
      </c>
      <c r="E507" s="136" t="s">
        <v>4576</v>
      </c>
      <c r="F507" s="136" t="s">
        <v>4576</v>
      </c>
      <c r="G507" s="137">
        <v>1395451221001</v>
      </c>
      <c r="H507" s="138" t="s">
        <v>6301</v>
      </c>
      <c r="I507" s="136">
        <v>951500526</v>
      </c>
      <c r="J507" s="131" t="s">
        <v>4503</v>
      </c>
      <c r="K507" s="139">
        <v>498320</v>
      </c>
    </row>
    <row r="508" spans="1:11">
      <c r="A508" s="1" t="str">
        <f t="shared" si="7"/>
        <v>50100-855128696-962500006197200</v>
      </c>
      <c r="B508" s="136" t="s">
        <v>4984</v>
      </c>
      <c r="C508" s="136" t="s">
        <v>8946</v>
      </c>
      <c r="D508" s="132" t="s">
        <v>4971</v>
      </c>
      <c r="E508" s="136" t="s">
        <v>4972</v>
      </c>
      <c r="F508" s="136" t="s">
        <v>4972</v>
      </c>
      <c r="G508" s="137">
        <v>1395467470001</v>
      </c>
      <c r="H508" s="138" t="s">
        <v>6298</v>
      </c>
      <c r="I508" s="136">
        <v>962500006</v>
      </c>
      <c r="J508" s="131" t="s">
        <v>5026</v>
      </c>
      <c r="K508" s="139">
        <v>197200</v>
      </c>
    </row>
    <row r="509" spans="1:11">
      <c r="A509" s="1" t="str">
        <f t="shared" si="7"/>
        <v>50100-713089794-941500738555</v>
      </c>
      <c r="B509" s="136" t="s">
        <v>10523</v>
      </c>
      <c r="C509" s="136" t="s">
        <v>10524</v>
      </c>
      <c r="D509" s="132" t="s">
        <v>3420</v>
      </c>
      <c r="E509" s="136" t="s">
        <v>2614</v>
      </c>
      <c r="F509" s="136" t="s">
        <v>2614</v>
      </c>
      <c r="G509" s="137">
        <v>1394392654001</v>
      </c>
      <c r="H509" s="138" t="s">
        <v>6453</v>
      </c>
      <c r="I509" s="136">
        <v>941500738</v>
      </c>
      <c r="J509" s="131" t="s">
        <v>6867</v>
      </c>
      <c r="K509" s="139">
        <v>555</v>
      </c>
    </row>
    <row r="510" spans="1:11">
      <c r="A510" s="1" t="str">
        <f t="shared" si="7"/>
        <v>50100-713089794-941500822767335</v>
      </c>
      <c r="B510" s="136" t="s">
        <v>10523</v>
      </c>
      <c r="C510" s="136" t="s">
        <v>10524</v>
      </c>
      <c r="D510" s="132" t="s">
        <v>3420</v>
      </c>
      <c r="E510" s="136" t="s">
        <v>2614</v>
      </c>
      <c r="F510" s="136" t="s">
        <v>2614</v>
      </c>
      <c r="G510" s="137">
        <v>1394392654001</v>
      </c>
      <c r="H510" s="138" t="s">
        <v>6453</v>
      </c>
      <c r="I510" s="136">
        <v>941500822</v>
      </c>
      <c r="J510" s="131" t="s">
        <v>6861</v>
      </c>
      <c r="K510" s="139">
        <v>767335</v>
      </c>
    </row>
    <row r="511" spans="1:11">
      <c r="A511" s="1" t="str">
        <f t="shared" si="7"/>
        <v>50100-723876295-9515001011955120</v>
      </c>
      <c r="B511" s="136" t="s">
        <v>3011</v>
      </c>
      <c r="C511" s="136" t="s">
        <v>10525</v>
      </c>
      <c r="D511" s="132" t="s">
        <v>3420</v>
      </c>
      <c r="E511" s="136" t="s">
        <v>2863</v>
      </c>
      <c r="F511" s="136" t="s">
        <v>2863</v>
      </c>
      <c r="G511" s="137">
        <v>1395397987001</v>
      </c>
      <c r="H511" s="138" t="s">
        <v>10183</v>
      </c>
      <c r="I511" s="136">
        <v>951500101</v>
      </c>
      <c r="J511" s="131" t="s">
        <v>3133</v>
      </c>
      <c r="K511" s="139">
        <v>1955120</v>
      </c>
    </row>
    <row r="512" spans="1:11">
      <c r="A512" s="1" t="str">
        <f t="shared" si="7"/>
        <v>50100-725341495-951500036495871</v>
      </c>
      <c r="B512" s="136" t="s">
        <v>3009</v>
      </c>
      <c r="C512" s="136" t="s">
        <v>10526</v>
      </c>
      <c r="D512" s="132" t="s">
        <v>3420</v>
      </c>
      <c r="E512" s="136" t="s">
        <v>2868</v>
      </c>
      <c r="F512" s="136" t="s">
        <v>2868</v>
      </c>
      <c r="G512" s="137">
        <v>1394395847001</v>
      </c>
      <c r="H512" s="138" t="s">
        <v>10183</v>
      </c>
      <c r="I512" s="136">
        <v>951500036</v>
      </c>
      <c r="J512" s="131" t="s">
        <v>2811</v>
      </c>
      <c r="K512" s="139">
        <v>495871</v>
      </c>
    </row>
    <row r="513" spans="1:11">
      <c r="A513" s="1" t="str">
        <f t="shared" si="7"/>
        <v>50100-726714795-95150010144880</v>
      </c>
      <c r="B513" s="136" t="s">
        <v>3010</v>
      </c>
      <c r="C513" s="136" t="s">
        <v>10527</v>
      </c>
      <c r="D513" s="132" t="s">
        <v>3420</v>
      </c>
      <c r="E513" s="136" t="s">
        <v>2864</v>
      </c>
      <c r="F513" s="136" t="s">
        <v>2864</v>
      </c>
      <c r="G513" s="137">
        <v>1395397987001</v>
      </c>
      <c r="H513" s="138" t="s">
        <v>10183</v>
      </c>
      <c r="I513" s="136">
        <v>951500101</v>
      </c>
      <c r="J513" s="131" t="s">
        <v>3133</v>
      </c>
      <c r="K513" s="139">
        <v>44880</v>
      </c>
    </row>
    <row r="514" spans="1:11">
      <c r="A514" s="1" t="str">
        <f t="shared" si="7"/>
        <v>50100-711675694-941500756489078</v>
      </c>
      <c r="B514" s="136" t="s">
        <v>10528</v>
      </c>
      <c r="C514" s="136" t="s">
        <v>10529</v>
      </c>
      <c r="D514" s="132" t="s">
        <v>3420</v>
      </c>
      <c r="E514" s="136" t="s">
        <v>2608</v>
      </c>
      <c r="F514" s="136" t="s">
        <v>2608</v>
      </c>
      <c r="G514" s="137">
        <v>1394392936001</v>
      </c>
      <c r="H514" s="138" t="s">
        <v>10183</v>
      </c>
      <c r="I514" s="136">
        <v>941500756</v>
      </c>
      <c r="J514" s="131" t="s">
        <v>7075</v>
      </c>
      <c r="K514" s="139">
        <v>489078</v>
      </c>
    </row>
    <row r="515" spans="1:11">
      <c r="A515" s="1" t="str">
        <f t="shared" ref="A515:A578" si="8">B515&amp;J515&amp;K515</f>
        <v>15100-27775194-941500811133660</v>
      </c>
      <c r="B515" s="136" t="s">
        <v>10488</v>
      </c>
      <c r="C515" s="136" t="s">
        <v>10489</v>
      </c>
      <c r="D515" s="132" t="s">
        <v>3420</v>
      </c>
      <c r="E515" s="136" t="s">
        <v>3051</v>
      </c>
      <c r="F515" s="136" t="s">
        <v>3051</v>
      </c>
      <c r="G515" s="137">
        <v>1394394802001</v>
      </c>
      <c r="H515" s="138" t="s">
        <v>6298</v>
      </c>
      <c r="I515" s="136">
        <v>941500811</v>
      </c>
      <c r="J515" s="131" t="s">
        <v>3056</v>
      </c>
      <c r="K515" s="139">
        <v>133660</v>
      </c>
    </row>
    <row r="516" spans="1:11">
      <c r="A516" s="1" t="str">
        <f t="shared" si="8"/>
        <v>50100-819034595-954100023963024</v>
      </c>
      <c r="B516" s="136" t="s">
        <v>4408</v>
      </c>
      <c r="C516" s="136" t="s">
        <v>10530</v>
      </c>
      <c r="D516" s="132" t="s">
        <v>3420</v>
      </c>
      <c r="E516" s="136" t="s">
        <v>4441</v>
      </c>
      <c r="F516" s="136" t="s">
        <v>4441</v>
      </c>
      <c r="G516" s="137">
        <v>1395455748001</v>
      </c>
      <c r="H516" s="138" t="s">
        <v>10183</v>
      </c>
      <c r="I516" s="136">
        <v>954100023</v>
      </c>
      <c r="J516" s="131" t="s">
        <v>4472</v>
      </c>
      <c r="K516" s="139">
        <v>963024</v>
      </c>
    </row>
    <row r="517" spans="1:11">
      <c r="A517" s="1" t="str">
        <f t="shared" si="8"/>
        <v>50100-713089794-9415007891180</v>
      </c>
      <c r="B517" s="136" t="s">
        <v>10523</v>
      </c>
      <c r="C517" s="136" t="s">
        <v>10524</v>
      </c>
      <c r="D517" s="132" t="s">
        <v>3420</v>
      </c>
      <c r="E517" s="136" t="s">
        <v>2614</v>
      </c>
      <c r="F517" s="136" t="s">
        <v>2614</v>
      </c>
      <c r="G517" s="137">
        <v>1394392654001</v>
      </c>
      <c r="H517" s="138" t="s">
        <v>6453</v>
      </c>
      <c r="I517" s="136">
        <v>941500789</v>
      </c>
      <c r="J517" s="131" t="s">
        <v>6859</v>
      </c>
      <c r="K517" s="139">
        <v>1180</v>
      </c>
    </row>
    <row r="518" spans="1:11">
      <c r="A518" s="1" t="str">
        <f t="shared" si="8"/>
        <v>50100-713089794-941500769232000</v>
      </c>
      <c r="B518" s="136" t="s">
        <v>10523</v>
      </c>
      <c r="C518" s="136" t="s">
        <v>10524</v>
      </c>
      <c r="D518" s="132" t="s">
        <v>3420</v>
      </c>
      <c r="E518" s="136" t="s">
        <v>2614</v>
      </c>
      <c r="F518" s="136" t="s">
        <v>2614</v>
      </c>
      <c r="G518" s="137">
        <v>1394392654001</v>
      </c>
      <c r="H518" s="138" t="s">
        <v>6453</v>
      </c>
      <c r="I518" s="136">
        <v>941500769</v>
      </c>
      <c r="J518" s="131" t="s">
        <v>6874</v>
      </c>
      <c r="K518" s="139">
        <v>232000</v>
      </c>
    </row>
    <row r="519" spans="1:11">
      <c r="A519" s="1" t="str">
        <f t="shared" si="8"/>
        <v>50100-726728495-952500004489328</v>
      </c>
      <c r="B519" s="136" t="s">
        <v>3016</v>
      </c>
      <c r="C519" s="136" t="s">
        <v>10531</v>
      </c>
      <c r="D519" s="132" t="s">
        <v>3420</v>
      </c>
      <c r="E519" s="136" t="s">
        <v>2864</v>
      </c>
      <c r="F519" s="136" t="s">
        <v>2864</v>
      </c>
      <c r="G519" s="137">
        <v>1394394801001</v>
      </c>
      <c r="H519" s="138" t="s">
        <v>10183</v>
      </c>
      <c r="I519" s="136">
        <v>952500004</v>
      </c>
      <c r="J519" s="131" t="s">
        <v>3117</v>
      </c>
      <c r="K519" s="139">
        <v>489328</v>
      </c>
    </row>
    <row r="520" spans="1:11">
      <c r="A520" s="1" t="str">
        <f t="shared" si="8"/>
        <v>15100-26252495-95150009973250</v>
      </c>
      <c r="B520" s="136" t="s">
        <v>2825</v>
      </c>
      <c r="C520" s="136" t="s">
        <v>10532</v>
      </c>
      <c r="D520" s="132" t="s">
        <v>3420</v>
      </c>
      <c r="E520" s="136" t="s">
        <v>2862</v>
      </c>
      <c r="F520" s="136" t="s">
        <v>2862</v>
      </c>
      <c r="G520" s="137">
        <v>1395397985001</v>
      </c>
      <c r="H520" s="138" t="s">
        <v>6298</v>
      </c>
      <c r="I520" s="136">
        <v>951500099</v>
      </c>
      <c r="J520" s="131" t="s">
        <v>2880</v>
      </c>
      <c r="K520" s="139">
        <v>73250</v>
      </c>
    </row>
    <row r="521" spans="1:11">
      <c r="A521" s="1" t="str">
        <f t="shared" si="8"/>
        <v>50100-721722295-9515000436395</v>
      </c>
      <c r="B521" s="136" t="s">
        <v>2710</v>
      </c>
      <c r="C521" s="136" t="s">
        <v>10519</v>
      </c>
      <c r="D521" s="132" t="s">
        <v>3420</v>
      </c>
      <c r="E521" s="136" t="s">
        <v>2757</v>
      </c>
      <c r="F521" s="136" t="s">
        <v>2757</v>
      </c>
      <c r="G521" s="137">
        <v>1394395845001</v>
      </c>
      <c r="H521" s="138" t="s">
        <v>6453</v>
      </c>
      <c r="I521" s="136">
        <v>951500043</v>
      </c>
      <c r="J521" s="131" t="s">
        <v>2788</v>
      </c>
      <c r="K521" s="139">
        <v>6395</v>
      </c>
    </row>
    <row r="522" spans="1:11">
      <c r="A522" s="1" t="str">
        <f t="shared" si="8"/>
        <v>50100-718773995-951500020496775</v>
      </c>
      <c r="B522" s="136" t="s">
        <v>2716</v>
      </c>
      <c r="C522" s="136" t="s">
        <v>10533</v>
      </c>
      <c r="D522" s="132" t="s">
        <v>3420</v>
      </c>
      <c r="E522" s="136" t="s">
        <v>2752</v>
      </c>
      <c r="F522" s="136" t="s">
        <v>2752</v>
      </c>
      <c r="G522" s="137">
        <v>1394395845001</v>
      </c>
      <c r="H522" s="138" t="s">
        <v>6453</v>
      </c>
      <c r="I522" s="136">
        <v>951500020</v>
      </c>
      <c r="J522" s="131" t="s">
        <v>2799</v>
      </c>
      <c r="K522" s="139">
        <v>496775</v>
      </c>
    </row>
    <row r="523" spans="1:11">
      <c r="A523" s="1" t="str">
        <f t="shared" si="8"/>
        <v>50100-718813395-951500060700000</v>
      </c>
      <c r="B523" s="136" t="s">
        <v>2712</v>
      </c>
      <c r="C523" s="136" t="s">
        <v>10521</v>
      </c>
      <c r="D523" s="132" t="s">
        <v>3420</v>
      </c>
      <c r="E523" s="136" t="s">
        <v>2752</v>
      </c>
      <c r="F523" s="136" t="s">
        <v>2752</v>
      </c>
      <c r="G523" s="137">
        <v>1394395847001</v>
      </c>
      <c r="H523" s="138" t="s">
        <v>10183</v>
      </c>
      <c r="I523" s="136">
        <v>951500060</v>
      </c>
      <c r="J523" s="131" t="s">
        <v>2797</v>
      </c>
      <c r="K523" s="139">
        <v>700000</v>
      </c>
    </row>
    <row r="524" spans="1:11">
      <c r="A524" s="1" t="str">
        <f t="shared" si="8"/>
        <v>50100-786887695-9541000152529117</v>
      </c>
      <c r="B524" s="136" t="s">
        <v>3690</v>
      </c>
      <c r="C524" s="136" t="s">
        <v>10534</v>
      </c>
      <c r="D524" s="132" t="s">
        <v>3420</v>
      </c>
      <c r="E524" s="136" t="s">
        <v>3714</v>
      </c>
      <c r="F524" s="136" t="s">
        <v>3714</v>
      </c>
      <c r="G524" s="137">
        <v>1395399148001</v>
      </c>
      <c r="H524" s="138" t="s">
        <v>10183</v>
      </c>
      <c r="I524" s="136">
        <v>954100015</v>
      </c>
      <c r="J524" s="131" t="s">
        <v>3736</v>
      </c>
      <c r="K524" s="139">
        <v>2529117</v>
      </c>
    </row>
    <row r="525" spans="1:11">
      <c r="A525" s="1" t="str">
        <f t="shared" si="8"/>
        <v>50100-717866695-951500021500000</v>
      </c>
      <c r="B525" s="136" t="s">
        <v>2715</v>
      </c>
      <c r="C525" s="136" t="s">
        <v>10535</v>
      </c>
      <c r="D525" s="132" t="s">
        <v>3420</v>
      </c>
      <c r="E525" s="136" t="s">
        <v>2749</v>
      </c>
      <c r="F525" s="136" t="s">
        <v>2749</v>
      </c>
      <c r="G525" s="137">
        <v>1394394801001</v>
      </c>
      <c r="H525" s="138" t="s">
        <v>10183</v>
      </c>
      <c r="I525" s="136">
        <v>951500021</v>
      </c>
      <c r="J525" s="131" t="s">
        <v>2651</v>
      </c>
      <c r="K525" s="139">
        <v>500000</v>
      </c>
    </row>
    <row r="526" spans="1:11">
      <c r="A526" s="1" t="str">
        <f t="shared" si="8"/>
        <v>50100-713635894-941500840500000</v>
      </c>
      <c r="B526" s="136" t="s">
        <v>10536</v>
      </c>
      <c r="C526" s="136" t="s">
        <v>10537</v>
      </c>
      <c r="D526" s="132" t="s">
        <v>3420</v>
      </c>
      <c r="E526" s="136" t="s">
        <v>2611</v>
      </c>
      <c r="F526" s="136" t="s">
        <v>2611</v>
      </c>
      <c r="G526" s="137">
        <v>1394395844001</v>
      </c>
      <c r="H526" s="138" t="s">
        <v>6298</v>
      </c>
      <c r="I526" s="136">
        <v>941500840</v>
      </c>
      <c r="J526" s="131" t="s">
        <v>2658</v>
      </c>
      <c r="K526" s="139">
        <v>500000</v>
      </c>
    </row>
    <row r="527" spans="1:11">
      <c r="A527" s="1" t="str">
        <f t="shared" si="8"/>
        <v>50100-713317694-941500840500000</v>
      </c>
      <c r="B527" s="136" t="s">
        <v>10538</v>
      </c>
      <c r="C527" s="136" t="s">
        <v>10539</v>
      </c>
      <c r="D527" s="132" t="s">
        <v>3420</v>
      </c>
      <c r="E527" s="136" t="s">
        <v>2614</v>
      </c>
      <c r="F527" s="136" t="s">
        <v>2614</v>
      </c>
      <c r="G527" s="137">
        <v>1394395844001</v>
      </c>
      <c r="H527" s="138" t="s">
        <v>6298</v>
      </c>
      <c r="I527" s="136">
        <v>941500840</v>
      </c>
      <c r="J527" s="131" t="s">
        <v>2658</v>
      </c>
      <c r="K527" s="139">
        <v>500000</v>
      </c>
    </row>
    <row r="528" spans="1:11">
      <c r="A528" s="1" t="str">
        <f t="shared" si="8"/>
        <v>15100-26252495-95150001349560</v>
      </c>
      <c r="B528" s="136" t="s">
        <v>2825</v>
      </c>
      <c r="C528" s="136" t="s">
        <v>10532</v>
      </c>
      <c r="D528" s="132" t="s">
        <v>3420</v>
      </c>
      <c r="E528" s="136" t="s">
        <v>2862</v>
      </c>
      <c r="F528" s="136" t="s">
        <v>2862</v>
      </c>
      <c r="G528" s="137">
        <v>1394394801001</v>
      </c>
      <c r="H528" s="138" t="s">
        <v>10183</v>
      </c>
      <c r="I528" s="136">
        <v>951500013</v>
      </c>
      <c r="J528" s="131" t="s">
        <v>2773</v>
      </c>
      <c r="K528" s="139">
        <v>49560</v>
      </c>
    </row>
    <row r="529" spans="1:11">
      <c r="A529" s="1" t="str">
        <f t="shared" si="8"/>
        <v>15100-27856494-941500716132615</v>
      </c>
      <c r="B529" s="136" t="s">
        <v>10540</v>
      </c>
      <c r="C529" s="136" t="s">
        <v>10541</v>
      </c>
      <c r="D529" s="132" t="s">
        <v>3420</v>
      </c>
      <c r="E529" s="136" t="s">
        <v>3045</v>
      </c>
      <c r="F529" s="136" t="s">
        <v>3045</v>
      </c>
      <c r="G529" s="137">
        <v>1394392935001</v>
      </c>
      <c r="H529" s="138" t="s">
        <v>6298</v>
      </c>
      <c r="I529" s="136">
        <v>941500716</v>
      </c>
      <c r="J529" s="131" t="s">
        <v>2767</v>
      </c>
      <c r="K529" s="139">
        <v>132615</v>
      </c>
    </row>
    <row r="530" spans="1:11">
      <c r="A530" s="1" t="str">
        <f t="shared" si="8"/>
        <v>50100-855128696-9625000021300</v>
      </c>
      <c r="B530" s="136" t="s">
        <v>4984</v>
      </c>
      <c r="C530" s="136" t="s">
        <v>8946</v>
      </c>
      <c r="D530" s="132" t="s">
        <v>4971</v>
      </c>
      <c r="E530" s="136" t="s">
        <v>4972</v>
      </c>
      <c r="F530" s="136" t="s">
        <v>4972</v>
      </c>
      <c r="G530" s="137">
        <v>1395462017001</v>
      </c>
      <c r="H530" s="138" t="s">
        <v>6298</v>
      </c>
      <c r="I530" s="136">
        <v>962500002</v>
      </c>
      <c r="J530" s="131" t="s">
        <v>5025</v>
      </c>
      <c r="K530" s="139">
        <v>1300</v>
      </c>
    </row>
    <row r="531" spans="1:11">
      <c r="A531" s="1" t="str">
        <f t="shared" si="8"/>
        <v>15100-26252494-941500771196950</v>
      </c>
      <c r="B531" s="136" t="s">
        <v>2825</v>
      </c>
      <c r="C531" s="136" t="s">
        <v>10532</v>
      </c>
      <c r="D531" s="132" t="s">
        <v>3420</v>
      </c>
      <c r="E531" s="136" t="s">
        <v>2862</v>
      </c>
      <c r="F531" s="136" t="s">
        <v>2862</v>
      </c>
      <c r="G531" s="137">
        <v>1394394178001</v>
      </c>
      <c r="H531" s="138" t="s">
        <v>6298</v>
      </c>
      <c r="I531" s="136">
        <v>941500771</v>
      </c>
      <c r="J531" s="131" t="s">
        <v>2885</v>
      </c>
      <c r="K531" s="139">
        <v>196950</v>
      </c>
    </row>
    <row r="532" spans="1:11">
      <c r="A532" s="1" t="str">
        <f t="shared" si="8"/>
        <v>1510026255794-94150077170740</v>
      </c>
      <c r="B532" s="136" t="s">
        <v>10542</v>
      </c>
      <c r="C532" s="136" t="s">
        <v>10543</v>
      </c>
      <c r="D532" s="132" t="s">
        <v>3420</v>
      </c>
      <c r="E532" s="136" t="s">
        <v>2862</v>
      </c>
      <c r="F532" s="136" t="s">
        <v>2862</v>
      </c>
      <c r="G532" s="137">
        <v>1394394178001</v>
      </c>
      <c r="H532" s="138" t="s">
        <v>6298</v>
      </c>
      <c r="I532" s="136">
        <v>941500771</v>
      </c>
      <c r="J532" s="131" t="s">
        <v>2885</v>
      </c>
      <c r="K532" s="139">
        <v>70740</v>
      </c>
    </row>
    <row r="533" spans="1:11">
      <c r="A533" s="1" t="str">
        <f t="shared" si="8"/>
        <v>50100-833850395-951500450235880</v>
      </c>
      <c r="B533" s="136" t="s">
        <v>4629</v>
      </c>
      <c r="C533" s="136" t="s">
        <v>10544</v>
      </c>
      <c r="D533" s="132" t="s">
        <v>3420</v>
      </c>
      <c r="E533" s="136" t="s">
        <v>4658</v>
      </c>
      <c r="F533" s="136" t="s">
        <v>4658</v>
      </c>
      <c r="G533" s="137">
        <v>1395447925001</v>
      </c>
      <c r="H533" s="138" t="s">
        <v>6298</v>
      </c>
      <c r="I533" s="136">
        <v>951500450</v>
      </c>
      <c r="J533" s="131" t="s">
        <v>4690</v>
      </c>
      <c r="K533" s="139">
        <v>235880</v>
      </c>
    </row>
    <row r="534" spans="1:11">
      <c r="A534" s="1" t="str">
        <f t="shared" si="8"/>
        <v>15100-36745595-952500076231040</v>
      </c>
      <c r="B534" s="136" t="s">
        <v>4365</v>
      </c>
      <c r="C534" s="136" t="s">
        <v>10545</v>
      </c>
      <c r="D534" s="132" t="s">
        <v>3420</v>
      </c>
      <c r="E534" s="136" t="s">
        <v>4438</v>
      </c>
      <c r="F534" s="136" t="s">
        <v>4438</v>
      </c>
      <c r="G534" s="137">
        <v>1395453120001</v>
      </c>
      <c r="H534" s="138" t="s">
        <v>10282</v>
      </c>
      <c r="I534" s="136">
        <v>952500076</v>
      </c>
      <c r="J534" s="131" t="s">
        <v>4447</v>
      </c>
      <c r="K534" s="139">
        <v>231040</v>
      </c>
    </row>
    <row r="535" spans="1:11">
      <c r="A535" s="1" t="str">
        <f t="shared" si="8"/>
        <v>50100-737349995-951500167601940</v>
      </c>
      <c r="B535" s="136" t="s">
        <v>2985</v>
      </c>
      <c r="C535" s="136" t="s">
        <v>10546</v>
      </c>
      <c r="D535" s="132" t="s">
        <v>3420</v>
      </c>
      <c r="E535" s="136" t="s">
        <v>3041</v>
      </c>
      <c r="F535" s="136" t="s">
        <v>3041</v>
      </c>
      <c r="G535" s="137">
        <v>1395397990001</v>
      </c>
      <c r="H535" s="138" t="s">
        <v>6456</v>
      </c>
      <c r="I535" s="136">
        <v>951500167</v>
      </c>
      <c r="J535" s="131" t="s">
        <v>3121</v>
      </c>
      <c r="K535" s="139">
        <v>601940</v>
      </c>
    </row>
    <row r="536" spans="1:11">
      <c r="A536" s="1" t="str">
        <f t="shared" si="8"/>
        <v>15100-26314095-95150003850100</v>
      </c>
      <c r="B536" s="136" t="s">
        <v>2850</v>
      </c>
      <c r="C536" s="136" t="s">
        <v>10547</v>
      </c>
      <c r="D536" s="132" t="s">
        <v>3420</v>
      </c>
      <c r="E536" s="136" t="s">
        <v>2854</v>
      </c>
      <c r="F536" s="136" t="s">
        <v>2854</v>
      </c>
      <c r="G536" s="137">
        <v>1395397986001</v>
      </c>
      <c r="H536" s="138" t="s">
        <v>6454</v>
      </c>
      <c r="I536" s="136">
        <v>951500038</v>
      </c>
      <c r="J536" s="131" t="s">
        <v>2766</v>
      </c>
      <c r="K536" s="139">
        <v>50100</v>
      </c>
    </row>
    <row r="537" spans="1:11">
      <c r="A537" s="1" t="str">
        <f t="shared" si="8"/>
        <v>50100-726714795-951500122455000</v>
      </c>
      <c r="B537" s="136" t="s">
        <v>3010</v>
      </c>
      <c r="C537" s="136" t="s">
        <v>10527</v>
      </c>
      <c r="D537" s="132" t="s">
        <v>3420</v>
      </c>
      <c r="E537" s="136" t="s">
        <v>2864</v>
      </c>
      <c r="F537" s="136" t="s">
        <v>2864</v>
      </c>
      <c r="G537" s="137">
        <v>1395397987001</v>
      </c>
      <c r="H537" s="138" t="s">
        <v>10183</v>
      </c>
      <c r="I537" s="136">
        <v>951500122</v>
      </c>
      <c r="J537" s="131" t="s">
        <v>3134</v>
      </c>
      <c r="K537" s="139">
        <v>455000</v>
      </c>
    </row>
    <row r="538" spans="1:11">
      <c r="A538" s="1" t="str">
        <f t="shared" si="8"/>
        <v>50100-713317694-941500822322565</v>
      </c>
      <c r="B538" s="136" t="s">
        <v>10538</v>
      </c>
      <c r="C538" s="136" t="s">
        <v>10539</v>
      </c>
      <c r="D538" s="132" t="s">
        <v>3420</v>
      </c>
      <c r="E538" s="136" t="s">
        <v>2614</v>
      </c>
      <c r="F538" s="136" t="s">
        <v>2614</v>
      </c>
      <c r="G538" s="137">
        <v>1394392654001</v>
      </c>
      <c r="H538" s="138" t="s">
        <v>6453</v>
      </c>
      <c r="I538" s="136">
        <v>941500822</v>
      </c>
      <c r="J538" s="131" t="s">
        <v>6861</v>
      </c>
      <c r="K538" s="139">
        <v>322565</v>
      </c>
    </row>
    <row r="539" spans="1:11">
      <c r="A539" s="1" t="str">
        <f t="shared" si="8"/>
        <v>15100-26317694-94150071724990</v>
      </c>
      <c r="B539" s="136" t="s">
        <v>10548</v>
      </c>
      <c r="C539" s="136" t="s">
        <v>10549</v>
      </c>
      <c r="D539" s="132" t="s">
        <v>3420</v>
      </c>
      <c r="E539" s="136" t="s">
        <v>2854</v>
      </c>
      <c r="F539" s="136" t="s">
        <v>2854</v>
      </c>
      <c r="G539" s="137">
        <v>1394392935001</v>
      </c>
      <c r="H539" s="138" t="s">
        <v>6298</v>
      </c>
      <c r="I539" s="136">
        <v>941500717</v>
      </c>
      <c r="J539" s="131" t="s">
        <v>2765</v>
      </c>
      <c r="K539" s="139">
        <v>24990</v>
      </c>
    </row>
    <row r="540" spans="1:11">
      <c r="A540" s="1" t="str">
        <f t="shared" si="8"/>
        <v>15100-27856494-941500728347790</v>
      </c>
      <c r="B540" s="136" t="s">
        <v>10540</v>
      </c>
      <c r="C540" s="136" t="s">
        <v>10541</v>
      </c>
      <c r="D540" s="132" t="s">
        <v>3420</v>
      </c>
      <c r="E540" s="136" t="s">
        <v>3045</v>
      </c>
      <c r="F540" s="136" t="s">
        <v>3045</v>
      </c>
      <c r="G540" s="137">
        <v>1394392935001</v>
      </c>
      <c r="H540" s="138" t="s">
        <v>6298</v>
      </c>
      <c r="I540" s="136">
        <v>941500728</v>
      </c>
      <c r="J540" s="131" t="s">
        <v>3054</v>
      </c>
      <c r="K540" s="139">
        <v>347790</v>
      </c>
    </row>
    <row r="541" spans="1:11">
      <c r="A541" s="1" t="str">
        <f t="shared" si="8"/>
        <v>15100-27856494-94150080612055</v>
      </c>
      <c r="B541" s="136" t="s">
        <v>10540</v>
      </c>
      <c r="C541" s="136" t="s">
        <v>10541</v>
      </c>
      <c r="D541" s="132" t="s">
        <v>3420</v>
      </c>
      <c r="E541" s="136" t="s">
        <v>3045</v>
      </c>
      <c r="F541" s="136" t="s">
        <v>3045</v>
      </c>
      <c r="G541" s="137">
        <v>1394394802001</v>
      </c>
      <c r="H541" s="138" t="s">
        <v>6298</v>
      </c>
      <c r="I541" s="136">
        <v>941500806</v>
      </c>
      <c r="J541" s="131" t="s">
        <v>2887</v>
      </c>
      <c r="K541" s="139">
        <v>12055</v>
      </c>
    </row>
    <row r="542" spans="1:11">
      <c r="A542" s="1" t="str">
        <f t="shared" si="8"/>
        <v>50100-824879195-951500528495545</v>
      </c>
      <c r="B542" s="136" t="s">
        <v>4551</v>
      </c>
      <c r="C542" s="136" t="s">
        <v>10550</v>
      </c>
      <c r="D542" s="132" t="s">
        <v>3420</v>
      </c>
      <c r="E542" s="136" t="s">
        <v>4570</v>
      </c>
      <c r="F542" s="136" t="s">
        <v>4570</v>
      </c>
      <c r="G542" s="137">
        <v>1395447374001</v>
      </c>
      <c r="H542" s="138" t="s">
        <v>6456</v>
      </c>
      <c r="I542" s="136">
        <v>951500528</v>
      </c>
      <c r="J542" s="131" t="s">
        <v>4212</v>
      </c>
      <c r="K542" s="139">
        <v>495545</v>
      </c>
    </row>
    <row r="543" spans="1:11">
      <c r="A543" s="1" t="str">
        <f t="shared" si="8"/>
        <v>45110-7062195-95900000539683</v>
      </c>
      <c r="B543" s="136" t="s">
        <v>4616</v>
      </c>
      <c r="C543" s="136" t="s">
        <v>10551</v>
      </c>
      <c r="D543" s="132" t="s">
        <v>3420</v>
      </c>
      <c r="E543" s="136" t="s">
        <v>4656</v>
      </c>
      <c r="F543" s="136" t="s">
        <v>4656</v>
      </c>
      <c r="G543" s="137" t="s">
        <v>5672</v>
      </c>
      <c r="H543" s="138" t="s">
        <v>10436</v>
      </c>
      <c r="I543" s="136">
        <v>959000005</v>
      </c>
      <c r="J543" s="131" t="s">
        <v>4668</v>
      </c>
      <c r="K543" s="139">
        <v>39683</v>
      </c>
    </row>
    <row r="544" spans="1:11">
      <c r="A544" s="1" t="str">
        <f t="shared" si="8"/>
        <v>50100-725101395-9515001121599560</v>
      </c>
      <c r="B544" s="136" t="s">
        <v>2948</v>
      </c>
      <c r="C544" s="136" t="s">
        <v>10552</v>
      </c>
      <c r="D544" s="132" t="s">
        <v>3420</v>
      </c>
      <c r="E544" s="136" t="s">
        <v>2868</v>
      </c>
      <c r="F544" s="136" t="s">
        <v>2868</v>
      </c>
      <c r="G544" s="137">
        <v>1395397985001</v>
      </c>
      <c r="H544" s="138" t="s">
        <v>6298</v>
      </c>
      <c r="I544" s="136">
        <v>951500112</v>
      </c>
      <c r="J544" s="131" t="s">
        <v>3099</v>
      </c>
      <c r="K544" s="139">
        <v>1599560</v>
      </c>
    </row>
    <row r="545" spans="1:11">
      <c r="A545" s="1" t="str">
        <f t="shared" si="8"/>
        <v>15100-27325095-95150013350580</v>
      </c>
      <c r="B545" s="136" t="s">
        <v>2900</v>
      </c>
      <c r="C545" s="136" t="s">
        <v>10553</v>
      </c>
      <c r="D545" s="132" t="s">
        <v>3420</v>
      </c>
      <c r="E545" s="136" t="s">
        <v>3040</v>
      </c>
      <c r="F545" s="136" t="s">
        <v>3040</v>
      </c>
      <c r="G545" s="137">
        <v>1395397986001</v>
      </c>
      <c r="H545" s="138" t="s">
        <v>6454</v>
      </c>
      <c r="I545" s="136">
        <v>951500133</v>
      </c>
      <c r="J545" s="131" t="s">
        <v>2872</v>
      </c>
      <c r="K545" s="139">
        <v>50580</v>
      </c>
    </row>
    <row r="546" spans="1:11">
      <c r="A546" s="1" t="str">
        <f t="shared" si="8"/>
        <v>15100-26808895-95150010373560</v>
      </c>
      <c r="B546" s="136" t="s">
        <v>2833</v>
      </c>
      <c r="C546" s="136" t="s">
        <v>10554</v>
      </c>
      <c r="D546" s="132" t="s">
        <v>3420</v>
      </c>
      <c r="E546" s="136" t="s">
        <v>2851</v>
      </c>
      <c r="F546" s="136" t="s">
        <v>2851</v>
      </c>
      <c r="G546" s="137">
        <v>1395397986001</v>
      </c>
      <c r="H546" s="138" t="s">
        <v>6454</v>
      </c>
      <c r="I546" s="136">
        <v>951500103</v>
      </c>
      <c r="J546" s="131" t="s">
        <v>2886</v>
      </c>
      <c r="K546" s="139">
        <v>73560</v>
      </c>
    </row>
    <row r="547" spans="1:11">
      <c r="A547" s="1" t="str">
        <f t="shared" si="8"/>
        <v>15100-27713295-95150016322190</v>
      </c>
      <c r="B547" s="136" t="s">
        <v>2899</v>
      </c>
      <c r="C547" s="136" t="s">
        <v>10296</v>
      </c>
      <c r="D547" s="132" t="s">
        <v>3420</v>
      </c>
      <c r="E547" s="136" t="s">
        <v>3041</v>
      </c>
      <c r="F547" s="136" t="s">
        <v>3041</v>
      </c>
      <c r="G547" s="137">
        <v>1395401420001</v>
      </c>
      <c r="H547" s="138" t="s">
        <v>6298</v>
      </c>
      <c r="I547" s="136">
        <v>951500163</v>
      </c>
      <c r="J547" s="131" t="s">
        <v>2890</v>
      </c>
      <c r="K547" s="139">
        <v>22190</v>
      </c>
    </row>
    <row r="548" spans="1:11">
      <c r="A548" s="1" t="str">
        <f t="shared" si="8"/>
        <v>50100-788357195-951500236388250</v>
      </c>
      <c r="B548" s="136" t="s">
        <v>3681</v>
      </c>
      <c r="C548" s="136" t="s">
        <v>10304</v>
      </c>
      <c r="D548" s="132" t="s">
        <v>3420</v>
      </c>
      <c r="E548" s="136" t="s">
        <v>3715</v>
      </c>
      <c r="F548" s="136" t="s">
        <v>3715</v>
      </c>
      <c r="G548" s="137">
        <v>1395421206001</v>
      </c>
      <c r="H548" s="138" t="s">
        <v>6298</v>
      </c>
      <c r="I548" s="136">
        <v>951500236</v>
      </c>
      <c r="J548" s="131" t="s">
        <v>3725</v>
      </c>
      <c r="K548" s="139">
        <v>388250</v>
      </c>
    </row>
    <row r="549" spans="1:11">
      <c r="A549" s="1" t="str">
        <f t="shared" si="8"/>
        <v>50100-720757795-951500087494310</v>
      </c>
      <c r="B549" s="136" t="s">
        <v>2717</v>
      </c>
      <c r="C549" s="136" t="s">
        <v>10555</v>
      </c>
      <c r="D549" s="132" t="s">
        <v>3420</v>
      </c>
      <c r="E549" s="136" t="s">
        <v>2755</v>
      </c>
      <c r="F549" s="136" t="s">
        <v>2755</v>
      </c>
      <c r="G549" s="137">
        <v>1394395847001</v>
      </c>
      <c r="H549" s="138" t="s">
        <v>10183</v>
      </c>
      <c r="I549" s="136">
        <v>951500087</v>
      </c>
      <c r="J549" s="131" t="s">
        <v>2800</v>
      </c>
      <c r="K549" s="139">
        <v>494310</v>
      </c>
    </row>
    <row r="550" spans="1:11">
      <c r="A550" s="1" t="str">
        <f t="shared" si="8"/>
        <v>50100-825486695-951500556996920</v>
      </c>
      <c r="B550" s="136" t="s">
        <v>4560</v>
      </c>
      <c r="C550" s="136" t="s">
        <v>10260</v>
      </c>
      <c r="D550" s="132" t="s">
        <v>3420</v>
      </c>
      <c r="E550" s="136" t="s">
        <v>4575</v>
      </c>
      <c r="F550" s="136" t="s">
        <v>4575</v>
      </c>
      <c r="G550" s="137">
        <v>1395456621001</v>
      </c>
      <c r="H550" s="138" t="s">
        <v>10183</v>
      </c>
      <c r="I550" s="136">
        <v>951500556</v>
      </c>
      <c r="J550" s="131" t="s">
        <v>4607</v>
      </c>
      <c r="K550" s="139">
        <v>996920</v>
      </c>
    </row>
    <row r="551" spans="1:11">
      <c r="A551" s="1" t="str">
        <f t="shared" si="8"/>
        <v>50100-820430895-9515004882030</v>
      </c>
      <c r="B551" s="136" t="s">
        <v>4412</v>
      </c>
      <c r="C551" s="136" t="s">
        <v>10556</v>
      </c>
      <c r="D551" s="132" t="s">
        <v>3420</v>
      </c>
      <c r="E551" s="136" t="s">
        <v>4437</v>
      </c>
      <c r="F551" s="136" t="s">
        <v>4437</v>
      </c>
      <c r="G551" s="137">
        <v>1395447373001</v>
      </c>
      <c r="H551" s="138" t="s">
        <v>6453</v>
      </c>
      <c r="I551" s="136">
        <v>951500488</v>
      </c>
      <c r="J551" s="131" t="s">
        <v>4202</v>
      </c>
      <c r="K551" s="139">
        <v>2030</v>
      </c>
    </row>
    <row r="552" spans="1:11">
      <c r="A552" s="1" t="str">
        <f t="shared" si="8"/>
        <v>50100-845714495-95150056842740</v>
      </c>
      <c r="B552" s="136" t="s">
        <v>4804</v>
      </c>
      <c r="C552" s="136" t="s">
        <v>10557</v>
      </c>
      <c r="D552" s="132" t="s">
        <v>3420</v>
      </c>
      <c r="E552" s="136" t="s">
        <v>4874</v>
      </c>
      <c r="F552" s="136" t="s">
        <v>4874</v>
      </c>
      <c r="G552" s="137">
        <v>1395451400001</v>
      </c>
      <c r="H552" s="138" t="s">
        <v>6454</v>
      </c>
      <c r="I552" s="136">
        <v>951500568</v>
      </c>
      <c r="J552" s="131" t="s">
        <v>4915</v>
      </c>
      <c r="K552" s="139">
        <v>42740</v>
      </c>
    </row>
    <row r="553" spans="1:11">
      <c r="A553" s="1" t="str">
        <f t="shared" si="8"/>
        <v>756700495-951500064132820</v>
      </c>
      <c r="B553" s="136" t="s">
        <v>10558</v>
      </c>
      <c r="C553" s="136" t="s">
        <v>10558</v>
      </c>
      <c r="D553" s="132" t="s">
        <v>3420</v>
      </c>
      <c r="E553" s="136" t="s">
        <v>3323</v>
      </c>
      <c r="F553" s="136" t="s">
        <v>3323</v>
      </c>
      <c r="G553" s="137">
        <v>1395397986001</v>
      </c>
      <c r="H553" s="138" t="s">
        <v>6454</v>
      </c>
      <c r="I553" s="136">
        <v>951500064</v>
      </c>
      <c r="J553" s="131" t="s">
        <v>3343</v>
      </c>
      <c r="K553" s="139">
        <v>132820</v>
      </c>
    </row>
    <row r="554" spans="1:11">
      <c r="A554" s="1" t="str">
        <f t="shared" si="8"/>
        <v>45110-7062195-959000006228763</v>
      </c>
      <c r="B554" s="136" t="s">
        <v>4616</v>
      </c>
      <c r="C554" s="136" t="s">
        <v>10551</v>
      </c>
      <c r="D554" s="132" t="s">
        <v>3420</v>
      </c>
      <c r="E554" s="136" t="s">
        <v>4656</v>
      </c>
      <c r="F554" s="136" t="s">
        <v>4656</v>
      </c>
      <c r="G554" s="137" t="s">
        <v>5672</v>
      </c>
      <c r="H554" s="138" t="s">
        <v>10436</v>
      </c>
      <c r="I554" s="136">
        <v>959000006</v>
      </c>
      <c r="J554" s="131" t="s">
        <v>4667</v>
      </c>
      <c r="K554" s="139">
        <v>228763</v>
      </c>
    </row>
    <row r="555" spans="1:11">
      <c r="A555" s="1" t="str">
        <f t="shared" si="8"/>
        <v>50100-718067695-951500014328910</v>
      </c>
      <c r="B555" s="136" t="s">
        <v>2730</v>
      </c>
      <c r="C555" s="136" t="s">
        <v>10484</v>
      </c>
      <c r="D555" s="132" t="s">
        <v>3420</v>
      </c>
      <c r="E555" s="136" t="s">
        <v>2751</v>
      </c>
      <c r="F555" s="136" t="s">
        <v>2751</v>
      </c>
      <c r="G555" s="137">
        <v>1394394801001</v>
      </c>
      <c r="H555" s="138" t="s">
        <v>10183</v>
      </c>
      <c r="I555" s="136">
        <v>951500014</v>
      </c>
      <c r="J555" s="131" t="s">
        <v>2650</v>
      </c>
      <c r="K555" s="139">
        <v>328910</v>
      </c>
    </row>
    <row r="556" spans="1:11">
      <c r="A556" s="1" t="str">
        <f t="shared" si="8"/>
        <v>15100-26316794-94150083249450</v>
      </c>
      <c r="B556" s="136" t="s">
        <v>2821</v>
      </c>
      <c r="C556" s="136" t="s">
        <v>10516</v>
      </c>
      <c r="D556" s="132" t="s">
        <v>3420</v>
      </c>
      <c r="E556" s="136" t="s">
        <v>2854</v>
      </c>
      <c r="F556" s="136" t="s">
        <v>2854</v>
      </c>
      <c r="G556" s="137">
        <v>1394395844001</v>
      </c>
      <c r="H556" s="138" t="s">
        <v>6298</v>
      </c>
      <c r="I556" s="136">
        <v>941500832</v>
      </c>
      <c r="J556" s="131" t="s">
        <v>2764</v>
      </c>
      <c r="K556" s="139">
        <v>49450</v>
      </c>
    </row>
    <row r="557" spans="1:11">
      <c r="A557" s="1" t="str">
        <f t="shared" si="8"/>
        <v>15100-26316794-94150071715390</v>
      </c>
      <c r="B557" s="136" t="s">
        <v>2821</v>
      </c>
      <c r="C557" s="136" t="s">
        <v>10516</v>
      </c>
      <c r="D557" s="132" t="s">
        <v>3420</v>
      </c>
      <c r="E557" s="136" t="s">
        <v>2854</v>
      </c>
      <c r="F557" s="136" t="s">
        <v>2854</v>
      </c>
      <c r="G557" s="137">
        <v>1394392935001</v>
      </c>
      <c r="H557" s="138" t="s">
        <v>6298</v>
      </c>
      <c r="I557" s="136">
        <v>941500717</v>
      </c>
      <c r="J557" s="131" t="s">
        <v>2765</v>
      </c>
      <c r="K557" s="139">
        <v>15390</v>
      </c>
    </row>
    <row r="558" spans="1:11">
      <c r="A558" s="1" t="str">
        <f t="shared" si="8"/>
        <v>50100-713335994-9415005896000</v>
      </c>
      <c r="B558" s="136" t="s">
        <v>2597</v>
      </c>
      <c r="C558" s="136" t="s">
        <v>10559</v>
      </c>
      <c r="D558" s="132" t="s">
        <v>3420</v>
      </c>
      <c r="E558" s="136" t="s">
        <v>2611</v>
      </c>
      <c r="F558" s="136" t="s">
        <v>2611</v>
      </c>
      <c r="G558" s="137">
        <v>1394382630001</v>
      </c>
      <c r="H558" s="138" t="s">
        <v>10183</v>
      </c>
      <c r="I558" s="136">
        <v>941500589</v>
      </c>
      <c r="J558" s="131" t="s">
        <v>7089</v>
      </c>
      <c r="K558" s="139">
        <v>6000</v>
      </c>
    </row>
    <row r="559" spans="1:11">
      <c r="A559" s="1" t="str">
        <f t="shared" si="8"/>
        <v>15100-26252494-94150078324920</v>
      </c>
      <c r="B559" s="136" t="s">
        <v>2825</v>
      </c>
      <c r="C559" s="136" t="s">
        <v>10532</v>
      </c>
      <c r="D559" s="132" t="s">
        <v>3420</v>
      </c>
      <c r="E559" s="136" t="s">
        <v>2862</v>
      </c>
      <c r="F559" s="136" t="s">
        <v>2862</v>
      </c>
      <c r="G559" s="137">
        <v>1394394178001</v>
      </c>
      <c r="H559" s="138" t="s">
        <v>6298</v>
      </c>
      <c r="I559" s="136">
        <v>941500783</v>
      </c>
      <c r="J559" s="131" t="s">
        <v>2761</v>
      </c>
      <c r="K559" s="139">
        <v>24920</v>
      </c>
    </row>
    <row r="560" spans="1:11">
      <c r="A560" s="1" t="str">
        <f t="shared" si="8"/>
        <v>15100-26252494-94150083549420</v>
      </c>
      <c r="B560" s="136" t="s">
        <v>2825</v>
      </c>
      <c r="C560" s="136" t="s">
        <v>10532</v>
      </c>
      <c r="D560" s="132" t="s">
        <v>3420</v>
      </c>
      <c r="E560" s="136" t="s">
        <v>2862</v>
      </c>
      <c r="F560" s="136" t="s">
        <v>2862</v>
      </c>
      <c r="G560" s="137">
        <v>1394395844001</v>
      </c>
      <c r="H560" s="138" t="s">
        <v>6298</v>
      </c>
      <c r="I560" s="136">
        <v>941500835</v>
      </c>
      <c r="J560" s="131" t="s">
        <v>2876</v>
      </c>
      <c r="K560" s="139">
        <v>49420</v>
      </c>
    </row>
    <row r="561" spans="1:11">
      <c r="A561" s="1" t="str">
        <f t="shared" si="8"/>
        <v>15100-28128795-95150016245080</v>
      </c>
      <c r="B561" s="136" t="s">
        <v>3196</v>
      </c>
      <c r="C561" s="136" t="s">
        <v>10560</v>
      </c>
      <c r="D561" s="132" t="s">
        <v>3420</v>
      </c>
      <c r="E561" s="136" t="s">
        <v>3207</v>
      </c>
      <c r="F561" s="136" t="s">
        <v>3207</v>
      </c>
      <c r="G561" s="137">
        <v>1395401420001</v>
      </c>
      <c r="H561" s="138" t="s">
        <v>6298</v>
      </c>
      <c r="I561" s="136">
        <v>951500162</v>
      </c>
      <c r="J561" s="131" t="s">
        <v>3052</v>
      </c>
      <c r="K561" s="139">
        <v>45080</v>
      </c>
    </row>
    <row r="562" spans="1:11">
      <c r="A562" s="1" t="str">
        <f t="shared" si="8"/>
        <v>15100-32236195-95250003221086</v>
      </c>
      <c r="B562" s="136" t="s">
        <v>3547</v>
      </c>
      <c r="C562" s="136" t="s">
        <v>10561</v>
      </c>
      <c r="D562" s="132" t="s">
        <v>3420</v>
      </c>
      <c r="E562" s="136" t="s">
        <v>3554</v>
      </c>
      <c r="F562" s="136" t="s">
        <v>3554</v>
      </c>
      <c r="G562" s="137">
        <v>1395424250001</v>
      </c>
      <c r="H562" s="138" t="s">
        <v>10282</v>
      </c>
      <c r="I562" s="136">
        <v>952500032</v>
      </c>
      <c r="J562" s="131" t="s">
        <v>3465</v>
      </c>
      <c r="K562" s="139">
        <v>21086</v>
      </c>
    </row>
    <row r="563" spans="1:11">
      <c r="A563" s="1" t="str">
        <f t="shared" si="8"/>
        <v>15100-27850195-95150016224620</v>
      </c>
      <c r="B563" s="136" t="s">
        <v>2905</v>
      </c>
      <c r="C563" s="136" t="s">
        <v>10562</v>
      </c>
      <c r="D563" s="132" t="s">
        <v>3420</v>
      </c>
      <c r="E563" s="136" t="s">
        <v>3045</v>
      </c>
      <c r="F563" s="136" t="s">
        <v>3045</v>
      </c>
      <c r="G563" s="137">
        <v>1395401420001</v>
      </c>
      <c r="H563" s="138" t="s">
        <v>6298</v>
      </c>
      <c r="I563" s="136">
        <v>951500162</v>
      </c>
      <c r="J563" s="131" t="s">
        <v>3052</v>
      </c>
      <c r="K563" s="139">
        <v>24620</v>
      </c>
    </row>
    <row r="564" spans="1:11">
      <c r="A564" s="1" t="str">
        <f t="shared" si="8"/>
        <v>15100-27375795-95150016249420</v>
      </c>
      <c r="B564" s="136" t="s">
        <v>2906</v>
      </c>
      <c r="C564" s="136" t="s">
        <v>10563</v>
      </c>
      <c r="D564" s="132" t="s">
        <v>3420</v>
      </c>
      <c r="E564" s="136" t="s">
        <v>3047</v>
      </c>
      <c r="F564" s="136" t="s">
        <v>3047</v>
      </c>
      <c r="G564" s="137">
        <v>1395401420001</v>
      </c>
      <c r="H564" s="138" t="s">
        <v>6298</v>
      </c>
      <c r="I564" s="136">
        <v>951500162</v>
      </c>
      <c r="J564" s="131" t="s">
        <v>3052</v>
      </c>
      <c r="K564" s="139">
        <v>49420</v>
      </c>
    </row>
    <row r="565" spans="1:11">
      <c r="A565" s="1" t="str">
        <f t="shared" si="8"/>
        <v>50100-843599595-951500479115000</v>
      </c>
      <c r="B565" s="136" t="s">
        <v>4803</v>
      </c>
      <c r="C565" s="136" t="s">
        <v>10564</v>
      </c>
      <c r="D565" s="132" t="s">
        <v>3420</v>
      </c>
      <c r="E565" s="136" t="s">
        <v>4872</v>
      </c>
      <c r="F565" s="136" t="s">
        <v>4872</v>
      </c>
      <c r="G565" s="137">
        <v>1395449892001</v>
      </c>
      <c r="H565" s="138" t="s">
        <v>6454</v>
      </c>
      <c r="I565" s="136">
        <v>951500479</v>
      </c>
      <c r="J565" s="131" t="s">
        <v>4461</v>
      </c>
      <c r="K565" s="139">
        <v>115000</v>
      </c>
    </row>
    <row r="566" spans="1:11">
      <c r="A566" s="1" t="str">
        <f t="shared" si="8"/>
        <v>50100-843599595-95150047833235</v>
      </c>
      <c r="B566" s="136" t="s">
        <v>4803</v>
      </c>
      <c r="C566" s="136" t="s">
        <v>10564</v>
      </c>
      <c r="D566" s="132" t="s">
        <v>3420</v>
      </c>
      <c r="E566" s="136" t="s">
        <v>4872</v>
      </c>
      <c r="F566" s="136" t="s">
        <v>4872</v>
      </c>
      <c r="G566" s="137">
        <v>1395449892001</v>
      </c>
      <c r="H566" s="138" t="s">
        <v>6454</v>
      </c>
      <c r="I566" s="136">
        <v>951500478</v>
      </c>
      <c r="J566" s="131" t="s">
        <v>4691</v>
      </c>
      <c r="K566" s="139">
        <v>33235</v>
      </c>
    </row>
    <row r="567" spans="1:11">
      <c r="A567" s="1" t="str">
        <f t="shared" si="8"/>
        <v>15100-34392195-95250003723960</v>
      </c>
      <c r="B567" s="136" t="s">
        <v>3782</v>
      </c>
      <c r="C567" s="136" t="s">
        <v>10565</v>
      </c>
      <c r="D567" s="132" t="s">
        <v>3420</v>
      </c>
      <c r="E567" s="136" t="s">
        <v>3826</v>
      </c>
      <c r="F567" s="136" t="s">
        <v>3826</v>
      </c>
      <c r="G567" s="137">
        <v>1395441451001</v>
      </c>
      <c r="H567" s="138" t="s">
        <v>10282</v>
      </c>
      <c r="I567" s="136">
        <v>952500037</v>
      </c>
      <c r="J567" s="131" t="s">
        <v>3836</v>
      </c>
      <c r="K567" s="139">
        <v>23960</v>
      </c>
    </row>
    <row r="568" spans="1:11">
      <c r="A568" s="1" t="str">
        <f t="shared" si="8"/>
        <v>15100-28128795-95150003834960</v>
      </c>
      <c r="B568" s="136" t="s">
        <v>3196</v>
      </c>
      <c r="C568" s="136" t="s">
        <v>10560</v>
      </c>
      <c r="D568" s="132" t="s">
        <v>3420</v>
      </c>
      <c r="E568" s="136" t="s">
        <v>3207</v>
      </c>
      <c r="F568" s="136" t="s">
        <v>3207</v>
      </c>
      <c r="G568" s="137">
        <v>1395397986001</v>
      </c>
      <c r="H568" s="138" t="s">
        <v>6454</v>
      </c>
      <c r="I568" s="136">
        <v>951500038</v>
      </c>
      <c r="J568" s="131" t="s">
        <v>2766</v>
      </c>
      <c r="K568" s="139">
        <v>34960</v>
      </c>
    </row>
    <row r="569" spans="1:11">
      <c r="A569" s="1" t="str">
        <f t="shared" si="8"/>
        <v>15100-34205695-95250003790963</v>
      </c>
      <c r="B569" s="136" t="s">
        <v>3777</v>
      </c>
      <c r="C569" s="136" t="s">
        <v>10566</v>
      </c>
      <c r="D569" s="132" t="s">
        <v>3420</v>
      </c>
      <c r="E569" s="136" t="s">
        <v>3824</v>
      </c>
      <c r="F569" s="136" t="s">
        <v>3824</v>
      </c>
      <c r="G569" s="137">
        <v>1395441451001</v>
      </c>
      <c r="H569" s="138" t="s">
        <v>10282</v>
      </c>
      <c r="I569" s="136">
        <v>952500037</v>
      </c>
      <c r="J569" s="131" t="s">
        <v>3836</v>
      </c>
      <c r="K569" s="139">
        <v>90963</v>
      </c>
    </row>
    <row r="570" spans="1:11">
      <c r="A570" s="1" t="str">
        <f t="shared" si="8"/>
        <v>50100-829722395-951500414500500</v>
      </c>
      <c r="B570" s="136" t="s">
        <v>4536</v>
      </c>
      <c r="C570" s="136" t="s">
        <v>10567</v>
      </c>
      <c r="D570" s="132" t="s">
        <v>3420</v>
      </c>
      <c r="E570" s="136" t="s">
        <v>4516</v>
      </c>
      <c r="F570" s="136" t="s">
        <v>4516</v>
      </c>
      <c r="G570" s="137">
        <v>1395447369001</v>
      </c>
      <c r="H570" s="138" t="s">
        <v>6298</v>
      </c>
      <c r="I570" s="136">
        <v>951500414</v>
      </c>
      <c r="J570" s="131" t="s">
        <v>4585</v>
      </c>
      <c r="K570" s="139">
        <v>500500</v>
      </c>
    </row>
    <row r="571" spans="1:11">
      <c r="A571" s="1" t="str">
        <f t="shared" si="8"/>
        <v>50100-843599595-95150053375700</v>
      </c>
      <c r="B571" s="136" t="s">
        <v>4803</v>
      </c>
      <c r="C571" s="136" t="s">
        <v>10564</v>
      </c>
      <c r="D571" s="132" t="s">
        <v>3420</v>
      </c>
      <c r="E571" s="136" t="s">
        <v>4872</v>
      </c>
      <c r="F571" s="136" t="s">
        <v>4872</v>
      </c>
      <c r="G571" s="137">
        <v>1395447373001</v>
      </c>
      <c r="H571" s="138" t="s">
        <v>6453</v>
      </c>
      <c r="I571" s="136">
        <v>951500533</v>
      </c>
      <c r="J571" s="131" t="s">
        <v>4721</v>
      </c>
      <c r="K571" s="139">
        <v>75700</v>
      </c>
    </row>
    <row r="572" spans="1:11">
      <c r="A572" s="1" t="str">
        <f t="shared" si="8"/>
        <v>50100-744116195-95150005393250</v>
      </c>
      <c r="B572" s="136" t="s">
        <v>3151</v>
      </c>
      <c r="C572" s="136" t="s">
        <v>10568</v>
      </c>
      <c r="D572" s="132" t="s">
        <v>3420</v>
      </c>
      <c r="E572" s="136" t="s">
        <v>3169</v>
      </c>
      <c r="F572" s="136" t="s">
        <v>3169</v>
      </c>
      <c r="G572" s="137">
        <v>1395397985001</v>
      </c>
      <c r="H572" s="138" t="s">
        <v>6298</v>
      </c>
      <c r="I572" s="136">
        <v>951500053</v>
      </c>
      <c r="J572" s="131" t="s">
        <v>3182</v>
      </c>
      <c r="K572" s="139">
        <v>93250</v>
      </c>
    </row>
    <row r="573" spans="1:11">
      <c r="A573" s="1" t="str">
        <f t="shared" si="8"/>
        <v>50100-744116195-951500052256750</v>
      </c>
      <c r="B573" s="136" t="s">
        <v>3151</v>
      </c>
      <c r="C573" s="136" t="s">
        <v>10568</v>
      </c>
      <c r="D573" s="132" t="s">
        <v>3420</v>
      </c>
      <c r="E573" s="136" t="s">
        <v>3169</v>
      </c>
      <c r="F573" s="136" t="s">
        <v>3169</v>
      </c>
      <c r="G573" s="137">
        <v>1395397985001</v>
      </c>
      <c r="H573" s="138" t="s">
        <v>6298</v>
      </c>
      <c r="I573" s="136">
        <v>951500052</v>
      </c>
      <c r="J573" s="131" t="s">
        <v>3181</v>
      </c>
      <c r="K573" s="139">
        <v>256750</v>
      </c>
    </row>
    <row r="574" spans="1:11">
      <c r="A574" s="1" t="str">
        <f t="shared" si="8"/>
        <v>15100-25623894-94150081348500</v>
      </c>
      <c r="B574" s="136" t="s">
        <v>10569</v>
      </c>
      <c r="C574" s="136" t="s">
        <v>10570</v>
      </c>
      <c r="D574" s="132" t="s">
        <v>3420</v>
      </c>
      <c r="E574" s="136" t="s">
        <v>2612</v>
      </c>
      <c r="F574" s="136" t="s">
        <v>2612</v>
      </c>
      <c r="G574" s="137">
        <v>1394394802001</v>
      </c>
      <c r="H574" s="138" t="s">
        <v>6298</v>
      </c>
      <c r="I574" s="136">
        <v>941500813</v>
      </c>
      <c r="J574" s="131" t="s">
        <v>2759</v>
      </c>
      <c r="K574" s="139">
        <v>48500</v>
      </c>
    </row>
    <row r="575" spans="1:11">
      <c r="A575" s="1" t="str">
        <f t="shared" si="8"/>
        <v>50100-824781795-95250005569205</v>
      </c>
      <c r="B575" s="136" t="s">
        <v>4538</v>
      </c>
      <c r="C575" s="136" t="s">
        <v>10468</v>
      </c>
      <c r="D575" s="132" t="s">
        <v>3420</v>
      </c>
      <c r="E575" s="136" t="s">
        <v>4570</v>
      </c>
      <c r="F575" s="136" t="s">
        <v>4570</v>
      </c>
      <c r="G575" s="137">
        <v>1395441908001</v>
      </c>
      <c r="H575" s="138" t="s">
        <v>6298</v>
      </c>
      <c r="I575" s="136">
        <v>952500055</v>
      </c>
      <c r="J575" s="131" t="s">
        <v>4466</v>
      </c>
      <c r="K575" s="139">
        <v>69205</v>
      </c>
    </row>
    <row r="576" spans="1:11">
      <c r="A576" s="1" t="str">
        <f t="shared" si="8"/>
        <v>50100-713335994-941500825196236</v>
      </c>
      <c r="B576" s="136" t="s">
        <v>2597</v>
      </c>
      <c r="C576" s="136" t="s">
        <v>10559</v>
      </c>
      <c r="D576" s="132" t="s">
        <v>3420</v>
      </c>
      <c r="E576" s="136" t="s">
        <v>2611</v>
      </c>
      <c r="F576" s="136" t="s">
        <v>2611</v>
      </c>
      <c r="G576" s="137">
        <v>1394394316001</v>
      </c>
      <c r="H576" s="138" t="s">
        <v>10183</v>
      </c>
      <c r="I576" s="136">
        <v>941500825</v>
      </c>
      <c r="J576" s="131" t="s">
        <v>7077</v>
      </c>
      <c r="K576" s="139">
        <v>196236</v>
      </c>
    </row>
    <row r="577" spans="1:11">
      <c r="A577" s="1" t="str">
        <f t="shared" si="8"/>
        <v>50100-713335995-95150000137756</v>
      </c>
      <c r="B577" s="136" t="s">
        <v>2597</v>
      </c>
      <c r="C577" s="136" t="s">
        <v>10559</v>
      </c>
      <c r="D577" s="132" t="s">
        <v>3420</v>
      </c>
      <c r="E577" s="136" t="s">
        <v>2611</v>
      </c>
      <c r="F577" s="136" t="s">
        <v>2611</v>
      </c>
      <c r="G577" s="137">
        <v>1394394801001</v>
      </c>
      <c r="H577" s="138" t="s">
        <v>10183</v>
      </c>
      <c r="I577" s="136">
        <v>951500001</v>
      </c>
      <c r="J577" s="131" t="s">
        <v>2649</v>
      </c>
      <c r="K577" s="139">
        <v>37756</v>
      </c>
    </row>
    <row r="578" spans="1:11">
      <c r="A578" s="1" t="str">
        <f t="shared" si="8"/>
        <v>15100-26918494-941500849168840</v>
      </c>
      <c r="B578" s="136" t="s">
        <v>10517</v>
      </c>
      <c r="C578" s="136" t="s">
        <v>10518</v>
      </c>
      <c r="D578" s="132" t="s">
        <v>3420</v>
      </c>
      <c r="E578" s="136" t="s">
        <v>2859</v>
      </c>
      <c r="F578" s="136" t="s">
        <v>2859</v>
      </c>
      <c r="G578" s="137">
        <v>1394395844001</v>
      </c>
      <c r="H578" s="138" t="s">
        <v>6298</v>
      </c>
      <c r="I578" s="136">
        <v>941500849</v>
      </c>
      <c r="J578" s="131" t="s">
        <v>2875</v>
      </c>
      <c r="K578" s="139">
        <v>168840</v>
      </c>
    </row>
    <row r="579" spans="1:11">
      <c r="A579" s="1" t="str">
        <f t="shared" ref="A579:A642" si="9">B579&amp;J579&amp;K579</f>
        <v>15100-26441794-94150078124540</v>
      </c>
      <c r="B579" s="136" t="s">
        <v>10571</v>
      </c>
      <c r="C579" s="136" t="s">
        <v>10572</v>
      </c>
      <c r="D579" s="132" t="s">
        <v>3420</v>
      </c>
      <c r="E579" s="136" t="s">
        <v>2868</v>
      </c>
      <c r="F579" s="136" t="s">
        <v>3045</v>
      </c>
      <c r="G579" s="137">
        <v>1394394178001</v>
      </c>
      <c r="H579" s="138" t="s">
        <v>6298</v>
      </c>
      <c r="I579" s="136">
        <v>941500781</v>
      </c>
      <c r="J579" s="131" t="s">
        <v>2563</v>
      </c>
      <c r="K579" s="139">
        <v>24540</v>
      </c>
    </row>
    <row r="580" spans="1:11">
      <c r="A580" s="1" t="str">
        <f t="shared" si="9"/>
        <v>15100-26483394-94150083219790</v>
      </c>
      <c r="B580" s="136" t="s">
        <v>2849</v>
      </c>
      <c r="C580" s="136" t="s">
        <v>10573</v>
      </c>
      <c r="D580" s="132" t="s">
        <v>3420</v>
      </c>
      <c r="E580" s="136" t="s">
        <v>2869</v>
      </c>
      <c r="F580" s="136" t="s">
        <v>2869</v>
      </c>
      <c r="G580" s="137">
        <v>1394395844001</v>
      </c>
      <c r="H580" s="138" t="s">
        <v>6298</v>
      </c>
      <c r="I580" s="136">
        <v>941500832</v>
      </c>
      <c r="J580" s="131" t="s">
        <v>2764</v>
      </c>
      <c r="K580" s="139">
        <v>19790</v>
      </c>
    </row>
    <row r="581" spans="1:11">
      <c r="A581" s="1" t="str">
        <f t="shared" si="9"/>
        <v>50100-720746095-951500045198470</v>
      </c>
      <c r="B581" s="136" t="s">
        <v>2736</v>
      </c>
      <c r="C581" s="136" t="s">
        <v>10574</v>
      </c>
      <c r="D581" s="132" t="s">
        <v>3420</v>
      </c>
      <c r="E581" s="136" t="s">
        <v>2755</v>
      </c>
      <c r="F581" s="136" t="s">
        <v>2755</v>
      </c>
      <c r="G581" s="137">
        <v>1394395845001</v>
      </c>
      <c r="H581" s="138" t="s">
        <v>6453</v>
      </c>
      <c r="I581" s="136">
        <v>951500045</v>
      </c>
      <c r="J581" s="131" t="s">
        <v>2791</v>
      </c>
      <c r="K581" s="139">
        <v>198470</v>
      </c>
    </row>
    <row r="582" spans="1:11">
      <c r="A582" s="1" t="str">
        <f t="shared" si="9"/>
        <v>50100-724428095-9515000768150</v>
      </c>
      <c r="B582" s="136" t="s">
        <v>2953</v>
      </c>
      <c r="C582" s="136" t="s">
        <v>10575</v>
      </c>
      <c r="D582" s="132" t="s">
        <v>3420</v>
      </c>
      <c r="E582" s="136" t="s">
        <v>2870</v>
      </c>
      <c r="F582" s="136" t="s">
        <v>2870</v>
      </c>
      <c r="G582" s="137">
        <v>1394395845001</v>
      </c>
      <c r="H582" s="138" t="s">
        <v>6453</v>
      </c>
      <c r="I582" s="136">
        <v>951500076</v>
      </c>
      <c r="J582" s="131" t="s">
        <v>3104</v>
      </c>
      <c r="K582" s="139">
        <v>8150</v>
      </c>
    </row>
    <row r="583" spans="1:11">
      <c r="A583" s="1" t="str">
        <f t="shared" si="9"/>
        <v>50100-722162395-951500045942866</v>
      </c>
      <c r="B583" s="136" t="s">
        <v>3008</v>
      </c>
      <c r="C583" s="136" t="s">
        <v>10576</v>
      </c>
      <c r="D583" s="132" t="s">
        <v>3420</v>
      </c>
      <c r="E583" s="136" t="s">
        <v>2861</v>
      </c>
      <c r="F583" s="136" t="s">
        <v>2861</v>
      </c>
      <c r="G583" s="137">
        <v>1394395845001</v>
      </c>
      <c r="H583" s="138" t="s">
        <v>6453</v>
      </c>
      <c r="I583" s="136">
        <v>951500045</v>
      </c>
      <c r="J583" s="131" t="s">
        <v>2791</v>
      </c>
      <c r="K583" s="139">
        <v>942866</v>
      </c>
    </row>
    <row r="584" spans="1:11">
      <c r="A584" s="1" t="str">
        <f t="shared" si="9"/>
        <v>15100-33250095-95250003445596</v>
      </c>
      <c r="B584" s="136" t="s">
        <v>3617</v>
      </c>
      <c r="C584" s="136" t="s">
        <v>10577</v>
      </c>
      <c r="D584" s="132" t="s">
        <v>3420</v>
      </c>
      <c r="E584" s="136" t="s">
        <v>3966</v>
      </c>
      <c r="F584" s="136" t="s">
        <v>3966</v>
      </c>
      <c r="G584" s="137">
        <v>1395434890001</v>
      </c>
      <c r="H584" s="138" t="s">
        <v>10282</v>
      </c>
      <c r="I584" s="136">
        <v>952500034</v>
      </c>
      <c r="J584" s="131" t="s">
        <v>3643</v>
      </c>
      <c r="K584" s="139">
        <v>45596</v>
      </c>
    </row>
    <row r="585" spans="1:11">
      <c r="A585" s="1" t="str">
        <f t="shared" si="9"/>
        <v>45110-6977495-959000005693134</v>
      </c>
      <c r="B585" s="136" t="s">
        <v>4617</v>
      </c>
      <c r="C585" s="136" t="s">
        <v>10578</v>
      </c>
      <c r="D585" s="132">
        <v>95</v>
      </c>
      <c r="E585" s="136" t="s">
        <v>2544</v>
      </c>
      <c r="F585" s="136" t="s">
        <v>2544</v>
      </c>
      <c r="G585" s="137" t="s">
        <v>5672</v>
      </c>
      <c r="H585" s="138" t="s">
        <v>10436</v>
      </c>
      <c r="I585" s="136">
        <v>959000005</v>
      </c>
      <c r="J585" s="131" t="s">
        <v>4668</v>
      </c>
      <c r="K585" s="139">
        <v>693134</v>
      </c>
    </row>
    <row r="586" spans="1:11">
      <c r="A586" s="1" t="str">
        <f t="shared" si="9"/>
        <v>50100-843599595-951500410500000</v>
      </c>
      <c r="B586" s="136" t="s">
        <v>4803</v>
      </c>
      <c r="C586" s="136" t="s">
        <v>10564</v>
      </c>
      <c r="D586" s="132" t="s">
        <v>3420</v>
      </c>
      <c r="E586" s="136" t="s">
        <v>4872</v>
      </c>
      <c r="F586" s="136" t="s">
        <v>4872</v>
      </c>
      <c r="G586" s="137">
        <v>1395447375001</v>
      </c>
      <c r="H586" s="138" t="s">
        <v>6454</v>
      </c>
      <c r="I586" s="136">
        <v>951500410</v>
      </c>
      <c r="J586" s="131" t="s">
        <v>4935</v>
      </c>
      <c r="K586" s="139">
        <v>500000</v>
      </c>
    </row>
    <row r="587" spans="1:11">
      <c r="A587" s="1" t="str">
        <f t="shared" si="9"/>
        <v>15100-26316794-94150071460040</v>
      </c>
      <c r="B587" s="136" t="s">
        <v>2821</v>
      </c>
      <c r="C587" s="136" t="s">
        <v>10516</v>
      </c>
      <c r="D587" s="132" t="s">
        <v>3420</v>
      </c>
      <c r="E587" s="136" t="s">
        <v>2854</v>
      </c>
      <c r="F587" s="136" t="s">
        <v>2854</v>
      </c>
      <c r="G587" s="137">
        <v>1394392935001</v>
      </c>
      <c r="H587" s="138" t="s">
        <v>6298</v>
      </c>
      <c r="I587" s="136">
        <v>941500714</v>
      </c>
      <c r="J587" s="131" t="s">
        <v>2768</v>
      </c>
      <c r="K587" s="139">
        <v>60040</v>
      </c>
    </row>
    <row r="588" spans="1:11">
      <c r="A588" s="1" t="str">
        <f t="shared" si="9"/>
        <v>15100-27716594-94150080720470</v>
      </c>
      <c r="B588" s="136" t="s">
        <v>10490</v>
      </c>
      <c r="C588" s="136" t="s">
        <v>10491</v>
      </c>
      <c r="D588" s="132" t="s">
        <v>3420</v>
      </c>
      <c r="E588" s="136" t="s">
        <v>3041</v>
      </c>
      <c r="F588" s="136" t="s">
        <v>3041</v>
      </c>
      <c r="G588" s="137">
        <v>1394394802001</v>
      </c>
      <c r="H588" s="138" t="s">
        <v>6298</v>
      </c>
      <c r="I588" s="136">
        <v>941500807</v>
      </c>
      <c r="J588" s="131" t="s">
        <v>2894</v>
      </c>
      <c r="K588" s="139">
        <v>20470</v>
      </c>
    </row>
    <row r="589" spans="1:11">
      <c r="A589" s="1" t="str">
        <f t="shared" si="9"/>
        <v>50100-730216695-951500092979995</v>
      </c>
      <c r="B589" s="136" t="s">
        <v>3014</v>
      </c>
      <c r="C589" s="136" t="s">
        <v>10579</v>
      </c>
      <c r="D589" s="132" t="s">
        <v>3420</v>
      </c>
      <c r="E589" s="136" t="s">
        <v>2853</v>
      </c>
      <c r="F589" s="136" t="s">
        <v>2853</v>
      </c>
      <c r="G589" s="137">
        <v>1394395845001</v>
      </c>
      <c r="H589" s="138" t="s">
        <v>6453</v>
      </c>
      <c r="I589" s="136">
        <v>951500092</v>
      </c>
      <c r="J589" s="131" t="s">
        <v>3125</v>
      </c>
      <c r="K589" s="139">
        <v>979995</v>
      </c>
    </row>
    <row r="590" spans="1:11">
      <c r="A590" s="1" t="str">
        <f t="shared" si="9"/>
        <v>15100-26316795-951500099151360</v>
      </c>
      <c r="B590" s="136" t="s">
        <v>2821</v>
      </c>
      <c r="C590" s="136" t="s">
        <v>10516</v>
      </c>
      <c r="D590" s="132" t="s">
        <v>3420</v>
      </c>
      <c r="E590" s="136" t="s">
        <v>2854</v>
      </c>
      <c r="F590" s="136" t="s">
        <v>2854</v>
      </c>
      <c r="G590" s="137">
        <v>1395397985001</v>
      </c>
      <c r="H590" s="138" t="s">
        <v>6298</v>
      </c>
      <c r="I590" s="136">
        <v>951500099</v>
      </c>
      <c r="J590" s="131" t="s">
        <v>2880</v>
      </c>
      <c r="K590" s="139">
        <v>151360</v>
      </c>
    </row>
    <row r="591" spans="1:11">
      <c r="A591" s="1" t="str">
        <f t="shared" si="9"/>
        <v>15100-26483395-951500099122760</v>
      </c>
      <c r="B591" s="136" t="s">
        <v>2849</v>
      </c>
      <c r="C591" s="136" t="s">
        <v>10573</v>
      </c>
      <c r="D591" s="132" t="s">
        <v>3420</v>
      </c>
      <c r="E591" s="136" t="s">
        <v>2869</v>
      </c>
      <c r="F591" s="136" t="s">
        <v>2869</v>
      </c>
      <c r="G591" s="137">
        <v>1395397985001</v>
      </c>
      <c r="H591" s="138" t="s">
        <v>6298</v>
      </c>
      <c r="I591" s="136">
        <v>951500099</v>
      </c>
      <c r="J591" s="131" t="s">
        <v>2880</v>
      </c>
      <c r="K591" s="139">
        <v>122760</v>
      </c>
    </row>
    <row r="592" spans="1:11">
      <c r="A592" s="1" t="str">
        <f t="shared" si="9"/>
        <v>15100-27716594-94150081827480</v>
      </c>
      <c r="B592" s="136" t="s">
        <v>10490</v>
      </c>
      <c r="C592" s="136" t="s">
        <v>10491</v>
      </c>
      <c r="D592" s="132" t="s">
        <v>3420</v>
      </c>
      <c r="E592" s="136" t="s">
        <v>3041</v>
      </c>
      <c r="F592" s="136" t="s">
        <v>3041</v>
      </c>
      <c r="G592" s="137">
        <v>1394394802001</v>
      </c>
      <c r="H592" s="138" t="s">
        <v>6298</v>
      </c>
      <c r="I592" s="136">
        <v>941500818</v>
      </c>
      <c r="J592" s="131" t="s">
        <v>2884</v>
      </c>
      <c r="K592" s="139">
        <v>27480</v>
      </c>
    </row>
    <row r="593" spans="1:11">
      <c r="A593" s="1" t="str">
        <f t="shared" si="9"/>
        <v>15100-27807894-94150077453600</v>
      </c>
      <c r="B593" s="136" t="s">
        <v>10580</v>
      </c>
      <c r="C593" s="136" t="s">
        <v>10581</v>
      </c>
      <c r="D593" s="132" t="s">
        <v>3420</v>
      </c>
      <c r="E593" s="136" t="s">
        <v>3050</v>
      </c>
      <c r="F593" s="136" t="s">
        <v>3050</v>
      </c>
      <c r="G593" s="137">
        <v>1394394178001</v>
      </c>
      <c r="H593" s="138" t="s">
        <v>6298</v>
      </c>
      <c r="I593" s="136">
        <v>941500774</v>
      </c>
      <c r="J593" s="131" t="s">
        <v>2878</v>
      </c>
      <c r="K593" s="139">
        <v>53600</v>
      </c>
    </row>
    <row r="594" spans="1:11">
      <c r="A594" s="1" t="str">
        <f t="shared" si="9"/>
        <v>15100-26441794-941500835123475</v>
      </c>
      <c r="B594" s="136" t="s">
        <v>10571</v>
      </c>
      <c r="C594" s="136" t="s">
        <v>10572</v>
      </c>
      <c r="D594" s="132" t="s">
        <v>3420</v>
      </c>
      <c r="E594" s="136" t="s">
        <v>2868</v>
      </c>
      <c r="F594" s="136" t="s">
        <v>3045</v>
      </c>
      <c r="G594" s="137">
        <v>1394395844001</v>
      </c>
      <c r="H594" s="138" t="s">
        <v>6298</v>
      </c>
      <c r="I594" s="136">
        <v>941500835</v>
      </c>
      <c r="J594" s="131" t="s">
        <v>2876</v>
      </c>
      <c r="K594" s="139">
        <v>123475</v>
      </c>
    </row>
    <row r="595" spans="1:11">
      <c r="A595" s="1" t="str">
        <f t="shared" si="9"/>
        <v>15100-26483394-94150078379550</v>
      </c>
      <c r="B595" s="136" t="s">
        <v>2849</v>
      </c>
      <c r="C595" s="136" t="s">
        <v>10573</v>
      </c>
      <c r="D595" s="132" t="s">
        <v>3420</v>
      </c>
      <c r="E595" s="136" t="s">
        <v>2869</v>
      </c>
      <c r="F595" s="136" t="s">
        <v>2869</v>
      </c>
      <c r="G595" s="137">
        <v>1394394178001</v>
      </c>
      <c r="H595" s="138" t="s">
        <v>6298</v>
      </c>
      <c r="I595" s="136">
        <v>941500783</v>
      </c>
      <c r="J595" s="131" t="s">
        <v>2761</v>
      </c>
      <c r="K595" s="139">
        <v>79550</v>
      </c>
    </row>
    <row r="596" spans="1:11">
      <c r="A596" s="1" t="str">
        <f t="shared" si="9"/>
        <v>15100-26483394-941500835100450</v>
      </c>
      <c r="B596" s="136" t="s">
        <v>2849</v>
      </c>
      <c r="C596" s="136" t="s">
        <v>10573</v>
      </c>
      <c r="D596" s="132" t="s">
        <v>3420</v>
      </c>
      <c r="E596" s="136" t="s">
        <v>2869</v>
      </c>
      <c r="F596" s="136" t="s">
        <v>2869</v>
      </c>
      <c r="G596" s="137">
        <v>1394395844001</v>
      </c>
      <c r="H596" s="138" t="s">
        <v>6298</v>
      </c>
      <c r="I596" s="136">
        <v>941500835</v>
      </c>
      <c r="J596" s="131" t="s">
        <v>2876</v>
      </c>
      <c r="K596" s="139">
        <v>100450</v>
      </c>
    </row>
    <row r="597" spans="1:11">
      <c r="A597" s="1" t="str">
        <f t="shared" si="9"/>
        <v>50100-731201895-952500003284257</v>
      </c>
      <c r="B597" s="136" t="s">
        <v>3012</v>
      </c>
      <c r="C597" s="136" t="s">
        <v>10582</v>
      </c>
      <c r="D597" s="132" t="s">
        <v>3420</v>
      </c>
      <c r="E597" s="136" t="s">
        <v>2857</v>
      </c>
      <c r="F597" s="136" t="s">
        <v>2857</v>
      </c>
      <c r="G597" s="137">
        <v>1394394801001</v>
      </c>
      <c r="H597" s="138" t="s">
        <v>10183</v>
      </c>
      <c r="I597" s="136">
        <v>952500003</v>
      </c>
      <c r="J597" s="131" t="s">
        <v>3093</v>
      </c>
      <c r="K597" s="139">
        <v>284257</v>
      </c>
    </row>
    <row r="598" spans="1:11">
      <c r="A598" s="1" t="str">
        <f t="shared" si="9"/>
        <v>15100-30029395-95150003267280</v>
      </c>
      <c r="B598" s="136" t="s">
        <v>3358</v>
      </c>
      <c r="C598" s="136" t="s">
        <v>10583</v>
      </c>
      <c r="D598" s="132" t="s">
        <v>3420</v>
      </c>
      <c r="E598" s="136" t="s">
        <v>3373</v>
      </c>
      <c r="F598" s="136" t="s">
        <v>3373</v>
      </c>
      <c r="G598" s="137">
        <v>1395397985001</v>
      </c>
      <c r="H598" s="138" t="s">
        <v>6298</v>
      </c>
      <c r="I598" s="136">
        <v>951500032</v>
      </c>
      <c r="J598" s="131" t="s">
        <v>3210</v>
      </c>
      <c r="K598" s="139">
        <v>67280</v>
      </c>
    </row>
    <row r="599" spans="1:11">
      <c r="A599" s="1" t="str">
        <f t="shared" si="9"/>
        <v>50100-745241595-9515001952999100</v>
      </c>
      <c r="B599" s="136" t="s">
        <v>3147</v>
      </c>
      <c r="C599" s="136" t="s">
        <v>10584</v>
      </c>
      <c r="D599" s="132" t="s">
        <v>3420</v>
      </c>
      <c r="E599" s="136" t="s">
        <v>3166</v>
      </c>
      <c r="F599" s="136" t="s">
        <v>3166</v>
      </c>
      <c r="G599" s="137">
        <v>1395401420001</v>
      </c>
      <c r="H599" s="138" t="s">
        <v>6298</v>
      </c>
      <c r="I599" s="136">
        <v>951500195</v>
      </c>
      <c r="J599" s="131" t="s">
        <v>3179</v>
      </c>
      <c r="K599" s="139">
        <v>2999100</v>
      </c>
    </row>
    <row r="600" spans="1:11">
      <c r="A600" s="1" t="str">
        <f t="shared" si="9"/>
        <v>50100-724428095-95150007513360</v>
      </c>
      <c r="B600" s="136" t="s">
        <v>2953</v>
      </c>
      <c r="C600" s="136" t="s">
        <v>10575</v>
      </c>
      <c r="D600" s="132" t="s">
        <v>3420</v>
      </c>
      <c r="E600" s="136" t="s">
        <v>2870</v>
      </c>
      <c r="F600" s="136" t="s">
        <v>2870</v>
      </c>
      <c r="G600" s="137">
        <v>1394395845001</v>
      </c>
      <c r="H600" s="138" t="s">
        <v>6453</v>
      </c>
      <c r="I600" s="136">
        <v>951500075</v>
      </c>
      <c r="J600" s="131" t="s">
        <v>2795</v>
      </c>
      <c r="K600" s="139">
        <v>13360</v>
      </c>
    </row>
    <row r="601" spans="1:11">
      <c r="A601" s="1" t="str">
        <f t="shared" si="9"/>
        <v>50100-731201895-952500009176587</v>
      </c>
      <c r="B601" s="136" t="s">
        <v>3012</v>
      </c>
      <c r="C601" s="136" t="s">
        <v>10582</v>
      </c>
      <c r="D601" s="132" t="s">
        <v>3420</v>
      </c>
      <c r="E601" s="136" t="s">
        <v>2857</v>
      </c>
      <c r="F601" s="136" t="s">
        <v>2857</v>
      </c>
      <c r="G601" s="137">
        <v>1395397987001</v>
      </c>
      <c r="H601" s="138" t="s">
        <v>10183</v>
      </c>
      <c r="I601" s="136">
        <v>952500009</v>
      </c>
      <c r="J601" s="131" t="s">
        <v>3088</v>
      </c>
      <c r="K601" s="139">
        <v>176587</v>
      </c>
    </row>
    <row r="602" spans="1:11">
      <c r="A602" s="1" t="str">
        <f t="shared" si="9"/>
        <v>50100-714587194-941500846500450</v>
      </c>
      <c r="B602" s="136" t="s">
        <v>10585</v>
      </c>
      <c r="C602" s="136" t="s">
        <v>10586</v>
      </c>
      <c r="D602" s="132" t="s">
        <v>3420</v>
      </c>
      <c r="E602" s="136" t="s">
        <v>10587</v>
      </c>
      <c r="F602" s="136" t="s">
        <v>10587</v>
      </c>
      <c r="G602" s="137">
        <v>1394395844001</v>
      </c>
      <c r="H602" s="138" t="s">
        <v>6298</v>
      </c>
      <c r="I602" s="136">
        <v>941500846</v>
      </c>
      <c r="J602" s="131" t="s">
        <v>2659</v>
      </c>
      <c r="K602" s="139">
        <v>500450</v>
      </c>
    </row>
    <row r="603" spans="1:11">
      <c r="A603" s="1" t="str">
        <f t="shared" si="9"/>
        <v>50100-715106894-94150084699550</v>
      </c>
      <c r="B603" s="136" t="s">
        <v>10588</v>
      </c>
      <c r="C603" s="136" t="s">
        <v>10589</v>
      </c>
      <c r="D603" s="132" t="s">
        <v>3420</v>
      </c>
      <c r="E603" s="136" t="s">
        <v>2619</v>
      </c>
      <c r="F603" s="136" t="s">
        <v>2619</v>
      </c>
      <c r="G603" s="137">
        <v>1394395844001</v>
      </c>
      <c r="H603" s="138" t="s">
        <v>6298</v>
      </c>
      <c r="I603" s="136">
        <v>941500846</v>
      </c>
      <c r="J603" s="131" t="s">
        <v>2659</v>
      </c>
      <c r="K603" s="139">
        <v>99550</v>
      </c>
    </row>
    <row r="604" spans="1:11">
      <c r="A604" s="1" t="str">
        <f t="shared" si="9"/>
        <v>50100-762589195-951500189232006</v>
      </c>
      <c r="B604" s="136" t="s">
        <v>10590</v>
      </c>
      <c r="C604" s="136" t="s">
        <v>10591</v>
      </c>
      <c r="D604" s="132" t="s">
        <v>3420</v>
      </c>
      <c r="E604" s="136" t="s">
        <v>10592</v>
      </c>
      <c r="F604" s="136" t="s">
        <v>10592</v>
      </c>
      <c r="G604" s="137">
        <v>1395400303001</v>
      </c>
      <c r="H604" s="138" t="s">
        <v>6453</v>
      </c>
      <c r="I604" s="136">
        <v>951500189</v>
      </c>
      <c r="J604" s="131" t="s">
        <v>3339</v>
      </c>
      <c r="K604" s="139">
        <v>232006</v>
      </c>
    </row>
    <row r="605" spans="1:11">
      <c r="A605" s="1" t="str">
        <f t="shared" si="9"/>
        <v>50100-718872594-9415008051000000</v>
      </c>
      <c r="B605" s="136" t="s">
        <v>10593</v>
      </c>
      <c r="C605" s="136" t="s">
        <v>10594</v>
      </c>
      <c r="D605" s="132" t="s">
        <v>3420</v>
      </c>
      <c r="E605" s="136" t="s">
        <v>2752</v>
      </c>
      <c r="F605" s="136" t="s">
        <v>2752</v>
      </c>
      <c r="G605" s="137">
        <v>1394394802001</v>
      </c>
      <c r="H605" s="138" t="s">
        <v>6298</v>
      </c>
      <c r="I605" s="136">
        <v>941500805</v>
      </c>
      <c r="J605" s="131" t="s">
        <v>2805</v>
      </c>
      <c r="K605" s="139">
        <v>1000000</v>
      </c>
    </row>
    <row r="606" spans="1:11">
      <c r="A606" s="1" t="str">
        <f t="shared" si="9"/>
        <v>50100-739953595-951500141291352</v>
      </c>
      <c r="B606" s="136" t="s">
        <v>3155</v>
      </c>
      <c r="C606" s="136" t="s">
        <v>10595</v>
      </c>
      <c r="D606" s="132" t="s">
        <v>3420</v>
      </c>
      <c r="E606" s="136" t="s">
        <v>3168</v>
      </c>
      <c r="F606" s="136" t="s">
        <v>3168</v>
      </c>
      <c r="G606" s="137">
        <v>1395397987001</v>
      </c>
      <c r="H606" s="138" t="s">
        <v>10183</v>
      </c>
      <c r="I606" s="136">
        <v>951500141</v>
      </c>
      <c r="J606" s="131" t="s">
        <v>3186</v>
      </c>
      <c r="K606" s="139">
        <v>291352</v>
      </c>
    </row>
    <row r="607" spans="1:11">
      <c r="A607" s="1" t="str">
        <f t="shared" si="9"/>
        <v>50100-713722894-941500846400000</v>
      </c>
      <c r="B607" s="136" t="s">
        <v>10596</v>
      </c>
      <c r="C607" s="136" t="s">
        <v>10597</v>
      </c>
      <c r="D607" s="132" t="s">
        <v>3420</v>
      </c>
      <c r="E607" s="136" t="s">
        <v>2611</v>
      </c>
      <c r="F607" s="136" t="s">
        <v>2611</v>
      </c>
      <c r="G607" s="137">
        <v>1394395844001</v>
      </c>
      <c r="H607" s="138" t="s">
        <v>6298</v>
      </c>
      <c r="I607" s="136">
        <v>941500846</v>
      </c>
      <c r="J607" s="131" t="s">
        <v>2659</v>
      </c>
      <c r="K607" s="139">
        <v>400000</v>
      </c>
    </row>
    <row r="608" spans="1:11">
      <c r="A608" s="1" t="str">
        <f t="shared" si="9"/>
        <v>50100-843141995-951500585498300</v>
      </c>
      <c r="B608" s="136" t="s">
        <v>4823</v>
      </c>
      <c r="C608" s="136" t="s">
        <v>10598</v>
      </c>
      <c r="D608" s="132" t="s">
        <v>3420</v>
      </c>
      <c r="E608" s="136" t="s">
        <v>4872</v>
      </c>
      <c r="F608" s="136" t="s">
        <v>4872</v>
      </c>
      <c r="G608" s="137">
        <v>1395467470001</v>
      </c>
      <c r="H608" s="138" t="s">
        <v>6298</v>
      </c>
      <c r="I608" s="136">
        <v>951500585</v>
      </c>
      <c r="J608" s="131" t="s">
        <v>4946</v>
      </c>
      <c r="K608" s="139">
        <v>498300</v>
      </c>
    </row>
    <row r="609" spans="1:11">
      <c r="A609" s="1" t="str">
        <f t="shared" si="9"/>
        <v>50100-819757295-9515003317300</v>
      </c>
      <c r="B609" s="136" t="s">
        <v>4417</v>
      </c>
      <c r="C609" s="136" t="s">
        <v>10599</v>
      </c>
      <c r="D609" s="132" t="s">
        <v>3420</v>
      </c>
      <c r="E609" s="136" t="s">
        <v>4438</v>
      </c>
      <c r="F609" s="136" t="s">
        <v>4438</v>
      </c>
      <c r="G609" s="137">
        <v>1395438159001</v>
      </c>
      <c r="H609" s="138" t="s">
        <v>6298</v>
      </c>
      <c r="I609" s="136">
        <v>951500331</v>
      </c>
      <c r="J609" s="131" t="s">
        <v>4481</v>
      </c>
      <c r="K609" s="139">
        <v>7300</v>
      </c>
    </row>
    <row r="610" spans="1:11">
      <c r="A610" s="1" t="str">
        <f t="shared" si="9"/>
        <v>15100-26483394-941500744102050</v>
      </c>
      <c r="B610" s="136" t="s">
        <v>2849</v>
      </c>
      <c r="C610" s="136" t="s">
        <v>10573</v>
      </c>
      <c r="D610" s="132" t="s">
        <v>3420</v>
      </c>
      <c r="E610" s="136" t="s">
        <v>2869</v>
      </c>
      <c r="F610" s="136" t="s">
        <v>2869</v>
      </c>
      <c r="G610" s="137">
        <v>1394392654001</v>
      </c>
      <c r="H610" s="138" t="s">
        <v>6453</v>
      </c>
      <c r="I610" s="136">
        <v>941500744</v>
      </c>
      <c r="J610" s="131" t="s">
        <v>6876</v>
      </c>
      <c r="K610" s="139">
        <v>102050</v>
      </c>
    </row>
    <row r="611" spans="1:11">
      <c r="A611" s="1" t="str">
        <f t="shared" si="9"/>
        <v>15100-27807894-94150074462540</v>
      </c>
      <c r="B611" s="136" t="s">
        <v>10580</v>
      </c>
      <c r="C611" s="136" t="s">
        <v>10581</v>
      </c>
      <c r="D611" s="132" t="s">
        <v>3420</v>
      </c>
      <c r="E611" s="136" t="s">
        <v>3050</v>
      </c>
      <c r="F611" s="136" t="s">
        <v>3050</v>
      </c>
      <c r="G611" s="137">
        <v>1394392654001</v>
      </c>
      <c r="H611" s="138" t="s">
        <v>6453</v>
      </c>
      <c r="I611" s="136">
        <v>941500744</v>
      </c>
      <c r="J611" s="131" t="s">
        <v>6876</v>
      </c>
      <c r="K611" s="139">
        <v>62540</v>
      </c>
    </row>
    <row r="612" spans="1:11">
      <c r="A612" s="1" t="str">
        <f t="shared" si="9"/>
        <v>15100-25718994-94150081324500</v>
      </c>
      <c r="B612" s="136" t="s">
        <v>10600</v>
      </c>
      <c r="C612" s="136" t="s">
        <v>10601</v>
      </c>
      <c r="D612" s="132" t="s">
        <v>3420</v>
      </c>
      <c r="E612" s="136" t="s">
        <v>2750</v>
      </c>
      <c r="F612" s="136" t="s">
        <v>2750</v>
      </c>
      <c r="G612" s="137">
        <v>1394394802001</v>
      </c>
      <c r="H612" s="138" t="s">
        <v>6298</v>
      </c>
      <c r="I612" s="136">
        <v>941500813</v>
      </c>
      <c r="J612" s="131" t="s">
        <v>2759</v>
      </c>
      <c r="K612" s="139">
        <v>24500</v>
      </c>
    </row>
    <row r="613" spans="1:11">
      <c r="A613" s="1" t="str">
        <f t="shared" si="9"/>
        <v>15100-36643295-95250006272431</v>
      </c>
      <c r="B613" s="136" t="s">
        <v>4378</v>
      </c>
      <c r="C613" s="136" t="s">
        <v>10602</v>
      </c>
      <c r="D613" s="132" t="s">
        <v>3420</v>
      </c>
      <c r="E613" s="136" t="s">
        <v>4443</v>
      </c>
      <c r="F613" s="136" t="s">
        <v>4443</v>
      </c>
      <c r="G613" s="137">
        <v>1395447378002</v>
      </c>
      <c r="H613" s="138" t="s">
        <v>10282</v>
      </c>
      <c r="I613" s="136">
        <v>952500062</v>
      </c>
      <c r="J613" s="131" t="s">
        <v>4278</v>
      </c>
      <c r="K613" s="139">
        <v>72431</v>
      </c>
    </row>
    <row r="614" spans="1:11">
      <c r="A614" s="1" t="str">
        <f t="shared" si="9"/>
        <v>50100-843599595-951500538272065</v>
      </c>
      <c r="B614" s="136" t="s">
        <v>4803</v>
      </c>
      <c r="C614" s="136" t="s">
        <v>10564</v>
      </c>
      <c r="D614" s="132" t="s">
        <v>3420</v>
      </c>
      <c r="E614" s="136" t="s">
        <v>4872</v>
      </c>
      <c r="F614" s="136" t="s">
        <v>4872</v>
      </c>
      <c r="G614" s="137">
        <v>1395447373001</v>
      </c>
      <c r="H614" s="138" t="s">
        <v>6453</v>
      </c>
      <c r="I614" s="136">
        <v>951500538</v>
      </c>
      <c r="J614" s="131" t="s">
        <v>4728</v>
      </c>
      <c r="K614" s="139">
        <v>272065</v>
      </c>
    </row>
    <row r="615" spans="1:11">
      <c r="A615" s="1" t="str">
        <f t="shared" si="9"/>
        <v>15100-27807894-94150082726675</v>
      </c>
      <c r="B615" s="136" t="s">
        <v>10580</v>
      </c>
      <c r="C615" s="136" t="s">
        <v>10581</v>
      </c>
      <c r="D615" s="132" t="s">
        <v>3420</v>
      </c>
      <c r="E615" s="136" t="s">
        <v>3050</v>
      </c>
      <c r="F615" s="136" t="s">
        <v>3050</v>
      </c>
      <c r="G615" s="137">
        <v>1394395844001</v>
      </c>
      <c r="H615" s="138" t="s">
        <v>6298</v>
      </c>
      <c r="I615" s="136">
        <v>941500827</v>
      </c>
      <c r="J615" s="131" t="s">
        <v>3057</v>
      </c>
      <c r="K615" s="139">
        <v>26675</v>
      </c>
    </row>
    <row r="616" spans="1:11">
      <c r="A616" s="1" t="str">
        <f t="shared" si="9"/>
        <v>15100-27807894-94150078349495</v>
      </c>
      <c r="B616" s="136" t="s">
        <v>10580</v>
      </c>
      <c r="C616" s="136" t="s">
        <v>10581</v>
      </c>
      <c r="D616" s="132" t="s">
        <v>3420</v>
      </c>
      <c r="E616" s="136" t="s">
        <v>3050</v>
      </c>
      <c r="F616" s="136" t="s">
        <v>3050</v>
      </c>
      <c r="G616" s="137">
        <v>1394394178001</v>
      </c>
      <c r="H616" s="138" t="s">
        <v>6298</v>
      </c>
      <c r="I616" s="136">
        <v>941500783</v>
      </c>
      <c r="J616" s="131" t="s">
        <v>2761</v>
      </c>
      <c r="K616" s="139">
        <v>49495</v>
      </c>
    </row>
    <row r="617" spans="1:11">
      <c r="A617" s="1" t="str">
        <f t="shared" si="9"/>
        <v>50100-724428095-95150007840</v>
      </c>
      <c r="B617" s="136" t="s">
        <v>2953</v>
      </c>
      <c r="C617" s="136" t="s">
        <v>10575</v>
      </c>
      <c r="D617" s="132" t="s">
        <v>3420</v>
      </c>
      <c r="E617" s="136" t="s">
        <v>2870</v>
      </c>
      <c r="F617" s="136" t="s">
        <v>2870</v>
      </c>
      <c r="G617" s="137">
        <v>1394395845001</v>
      </c>
      <c r="H617" s="138" t="s">
        <v>6453</v>
      </c>
      <c r="I617" s="136">
        <v>951500078</v>
      </c>
      <c r="J617" s="131" t="s">
        <v>3103</v>
      </c>
      <c r="K617" s="139">
        <v>40</v>
      </c>
    </row>
    <row r="618" spans="1:11">
      <c r="A618" s="1" t="str">
        <f t="shared" si="9"/>
        <v>50100-722238095-951500086884</v>
      </c>
      <c r="B618" s="136" t="s">
        <v>3017</v>
      </c>
      <c r="C618" s="136" t="s">
        <v>10603</v>
      </c>
      <c r="D618" s="132" t="s">
        <v>3420</v>
      </c>
      <c r="E618" s="136" t="s">
        <v>2861</v>
      </c>
      <c r="F618" s="136" t="s">
        <v>2861</v>
      </c>
      <c r="G618" s="137">
        <v>1395397987001</v>
      </c>
      <c r="H618" s="138" t="s">
        <v>10183</v>
      </c>
      <c r="I618" s="136">
        <v>951500086</v>
      </c>
      <c r="J618" s="131" t="s">
        <v>2783</v>
      </c>
      <c r="K618" s="139">
        <v>884</v>
      </c>
    </row>
    <row r="619" spans="1:11">
      <c r="A619" s="1" t="str">
        <f t="shared" si="9"/>
        <v>50100-712879494-941500851448770</v>
      </c>
      <c r="B619" s="136" t="s">
        <v>10604</v>
      </c>
      <c r="C619" s="136" t="s">
        <v>10605</v>
      </c>
      <c r="D619" s="132" t="s">
        <v>3420</v>
      </c>
      <c r="E619" s="136" t="s">
        <v>2614</v>
      </c>
      <c r="F619" s="136" t="s">
        <v>2614</v>
      </c>
      <c r="G619" s="137">
        <v>1394395845001</v>
      </c>
      <c r="H619" s="138" t="s">
        <v>6453</v>
      </c>
      <c r="I619" s="136">
        <v>941500851</v>
      </c>
      <c r="J619" s="131" t="s">
        <v>2657</v>
      </c>
      <c r="K619" s="139">
        <v>448770</v>
      </c>
    </row>
    <row r="620" spans="1:11">
      <c r="A620" s="1" t="str">
        <f t="shared" si="9"/>
        <v>50100-712875594-941500851500355</v>
      </c>
      <c r="B620" s="136" t="s">
        <v>10606</v>
      </c>
      <c r="C620" s="136" t="s">
        <v>10607</v>
      </c>
      <c r="D620" s="132" t="s">
        <v>3420</v>
      </c>
      <c r="E620" s="136" t="s">
        <v>2614</v>
      </c>
      <c r="F620" s="136" t="s">
        <v>2614</v>
      </c>
      <c r="G620" s="137">
        <v>1394395845001</v>
      </c>
      <c r="H620" s="138" t="s">
        <v>6453</v>
      </c>
      <c r="I620" s="136">
        <v>941500851</v>
      </c>
      <c r="J620" s="131" t="s">
        <v>2657</v>
      </c>
      <c r="K620" s="139">
        <v>500355</v>
      </c>
    </row>
    <row r="621" spans="1:11">
      <c r="A621" s="1" t="str">
        <f t="shared" si="9"/>
        <v>50100-716281295-95150000388970</v>
      </c>
      <c r="B621" s="136" t="s">
        <v>2605</v>
      </c>
      <c r="C621" s="136" t="s">
        <v>10608</v>
      </c>
      <c r="D621" s="132" t="s">
        <v>3420</v>
      </c>
      <c r="E621" s="136" t="s">
        <v>2612</v>
      </c>
      <c r="F621" s="136" t="s">
        <v>2612</v>
      </c>
      <c r="G621" s="137">
        <v>1394395845001</v>
      </c>
      <c r="H621" s="138" t="s">
        <v>6453</v>
      </c>
      <c r="I621" s="136">
        <v>951500003</v>
      </c>
      <c r="J621" s="131" t="s">
        <v>2661</v>
      </c>
      <c r="K621" s="139">
        <v>88970</v>
      </c>
    </row>
    <row r="622" spans="1:11">
      <c r="A622" s="1" t="str">
        <f t="shared" si="9"/>
        <v>50100-826336095-952500044118190</v>
      </c>
      <c r="B622" s="136" t="s">
        <v>4566</v>
      </c>
      <c r="C622" s="136" t="s">
        <v>10609</v>
      </c>
      <c r="D622" s="132" t="s">
        <v>3420</v>
      </c>
      <c r="E622" s="136" t="s">
        <v>4573</v>
      </c>
      <c r="F622" s="136" t="s">
        <v>4573</v>
      </c>
      <c r="G622" s="137">
        <v>1395441908001</v>
      </c>
      <c r="H622" s="138" t="s">
        <v>6298</v>
      </c>
      <c r="I622" s="136">
        <v>952500044</v>
      </c>
      <c r="J622" s="131" t="s">
        <v>4612</v>
      </c>
      <c r="K622" s="139">
        <v>118190</v>
      </c>
    </row>
    <row r="623" spans="1:11">
      <c r="A623" s="1" t="str">
        <f t="shared" si="9"/>
        <v>50100-720351495-951500026500000</v>
      </c>
      <c r="B623" s="136" t="s">
        <v>2700</v>
      </c>
      <c r="C623" s="136" t="s">
        <v>10450</v>
      </c>
      <c r="D623" s="132" t="s">
        <v>3420</v>
      </c>
      <c r="E623" s="136" t="s">
        <v>2755</v>
      </c>
      <c r="F623" s="136" t="s">
        <v>2755</v>
      </c>
      <c r="G623" s="137">
        <v>1395397985001</v>
      </c>
      <c r="H623" s="138" t="s">
        <v>6298</v>
      </c>
      <c r="I623" s="136">
        <v>951500026</v>
      </c>
      <c r="J623" s="131" t="s">
        <v>2814</v>
      </c>
      <c r="K623" s="139">
        <v>500000</v>
      </c>
    </row>
    <row r="624" spans="1:11">
      <c r="A624" s="1" t="str">
        <f t="shared" si="9"/>
        <v>50100-749029995-952500017979534</v>
      </c>
      <c r="B624" s="136" t="s">
        <v>3236</v>
      </c>
      <c r="C624" s="136" t="s">
        <v>10610</v>
      </c>
      <c r="D624" s="132" t="s">
        <v>3420</v>
      </c>
      <c r="E624" s="136" t="s">
        <v>3243</v>
      </c>
      <c r="F624" s="136" t="s">
        <v>3243</v>
      </c>
      <c r="G624" s="137">
        <v>1395397987001</v>
      </c>
      <c r="H624" s="138" t="s">
        <v>10183</v>
      </c>
      <c r="I624" s="136">
        <v>952500017</v>
      </c>
      <c r="J624" s="131" t="s">
        <v>3249</v>
      </c>
      <c r="K624" s="139">
        <v>979534</v>
      </c>
    </row>
    <row r="625" spans="1:11">
      <c r="A625" s="1" t="str">
        <f t="shared" si="9"/>
        <v>50100-831644195-951500447390720</v>
      </c>
      <c r="B625" s="136" t="s">
        <v>4624</v>
      </c>
      <c r="C625" s="136" t="s">
        <v>10611</v>
      </c>
      <c r="D625" s="132" t="s">
        <v>3420</v>
      </c>
      <c r="E625" s="136" t="s">
        <v>4657</v>
      </c>
      <c r="F625" s="141" t="s">
        <v>4657</v>
      </c>
      <c r="G625" s="137">
        <v>1395449243001</v>
      </c>
      <c r="H625" s="140" t="s">
        <v>9897</v>
      </c>
      <c r="I625" s="141">
        <v>951500447</v>
      </c>
      <c r="J625" s="131" t="s">
        <v>4231</v>
      </c>
      <c r="K625" s="139">
        <v>390720</v>
      </c>
    </row>
    <row r="626" spans="1:11">
      <c r="A626" s="1" t="str">
        <f t="shared" si="9"/>
        <v>50100-737362795-952500007229544</v>
      </c>
      <c r="B626" s="136" t="s">
        <v>2940</v>
      </c>
      <c r="C626" s="136" t="s">
        <v>10331</v>
      </c>
      <c r="D626" s="132" t="s">
        <v>3420</v>
      </c>
      <c r="E626" s="136" t="s">
        <v>3041</v>
      </c>
      <c r="F626" s="136" t="s">
        <v>3041</v>
      </c>
      <c r="G626" s="137">
        <v>1395397987001</v>
      </c>
      <c r="H626" s="138" t="s">
        <v>10183</v>
      </c>
      <c r="I626" s="136">
        <v>952500007</v>
      </c>
      <c r="J626" s="131" t="s">
        <v>3089</v>
      </c>
      <c r="K626" s="139">
        <v>229544</v>
      </c>
    </row>
    <row r="627" spans="1:11">
      <c r="A627" s="1" t="str">
        <f t="shared" si="9"/>
        <v>50100-731353495-951500055998250</v>
      </c>
      <c r="B627" s="136" t="s">
        <v>2942</v>
      </c>
      <c r="C627" s="136" t="s">
        <v>10612</v>
      </c>
      <c r="D627" s="132" t="s">
        <v>3420</v>
      </c>
      <c r="E627" s="136" t="s">
        <v>2865</v>
      </c>
      <c r="F627" s="136" t="s">
        <v>2865</v>
      </c>
      <c r="G627" s="137">
        <v>1394395845001</v>
      </c>
      <c r="H627" s="138" t="s">
        <v>6453</v>
      </c>
      <c r="I627" s="136">
        <v>951500055</v>
      </c>
      <c r="J627" s="131" t="s">
        <v>3092</v>
      </c>
      <c r="K627" s="139">
        <v>998250</v>
      </c>
    </row>
    <row r="628" spans="1:11">
      <c r="A628" s="1" t="str">
        <f t="shared" si="9"/>
        <v>50100-824384495-95150033411200</v>
      </c>
      <c r="B628" s="136" t="s">
        <v>4530</v>
      </c>
      <c r="C628" s="136" t="s">
        <v>10308</v>
      </c>
      <c r="D628" s="132" t="s">
        <v>3420</v>
      </c>
      <c r="E628" s="136" t="s">
        <v>4574</v>
      </c>
      <c r="F628" s="136" t="s">
        <v>4574</v>
      </c>
      <c r="G628" s="137">
        <v>1395438159001</v>
      </c>
      <c r="H628" s="138" t="s">
        <v>6298</v>
      </c>
      <c r="I628" s="136">
        <v>951500334</v>
      </c>
      <c r="J628" s="131" t="s">
        <v>4493</v>
      </c>
      <c r="K628" s="139">
        <v>11200</v>
      </c>
    </row>
    <row r="629" spans="1:11">
      <c r="A629" s="1" t="str">
        <f t="shared" si="9"/>
        <v>50100-824384495-951500366300000</v>
      </c>
      <c r="B629" s="136" t="s">
        <v>4530</v>
      </c>
      <c r="C629" s="136" t="s">
        <v>10308</v>
      </c>
      <c r="D629" s="132" t="s">
        <v>3420</v>
      </c>
      <c r="E629" s="136" t="s">
        <v>4574</v>
      </c>
      <c r="F629" s="136" t="s">
        <v>4574</v>
      </c>
      <c r="G629" s="137">
        <v>1395438159001</v>
      </c>
      <c r="H629" s="138" t="s">
        <v>6298</v>
      </c>
      <c r="I629" s="136">
        <v>951500366</v>
      </c>
      <c r="J629" s="131" t="s">
        <v>4583</v>
      </c>
      <c r="K629" s="139">
        <v>300000</v>
      </c>
    </row>
    <row r="630" spans="1:11">
      <c r="A630" s="1" t="str">
        <f t="shared" si="9"/>
        <v>50100-726061094-941500842300000</v>
      </c>
      <c r="B630" s="136" t="s">
        <v>3013</v>
      </c>
      <c r="C630" s="136" t="s">
        <v>10613</v>
      </c>
      <c r="D630" s="132" t="s">
        <v>3420</v>
      </c>
      <c r="E630" s="136" t="s">
        <v>2867</v>
      </c>
      <c r="F630" s="136" t="s">
        <v>2867</v>
      </c>
      <c r="G630" s="137">
        <v>1394395844001</v>
      </c>
      <c r="H630" s="138" t="s">
        <v>6298</v>
      </c>
      <c r="I630" s="136">
        <v>941500842</v>
      </c>
      <c r="J630" s="131" t="s">
        <v>3062</v>
      </c>
      <c r="K630" s="139">
        <v>300000</v>
      </c>
    </row>
    <row r="631" spans="1:11">
      <c r="A631" s="1" t="str">
        <f t="shared" si="9"/>
        <v>50100-821013695-95150031710903</v>
      </c>
      <c r="B631" s="136" t="s">
        <v>4418</v>
      </c>
      <c r="C631" s="136" t="s">
        <v>10614</v>
      </c>
      <c r="D631" s="132" t="s">
        <v>3420</v>
      </c>
      <c r="E631" s="136" t="s">
        <v>4440</v>
      </c>
      <c r="F631" s="136" t="s">
        <v>4440</v>
      </c>
      <c r="G631" s="137">
        <v>1395436479001</v>
      </c>
      <c r="H631" s="138" t="s">
        <v>6456</v>
      </c>
      <c r="I631" s="136">
        <v>951500317</v>
      </c>
      <c r="J631" s="131" t="s">
        <v>4482</v>
      </c>
      <c r="K631" s="139">
        <v>10903</v>
      </c>
    </row>
    <row r="632" spans="1:11">
      <c r="A632" s="1" t="str">
        <f t="shared" si="9"/>
        <v>50100-830124195-951500314321900</v>
      </c>
      <c r="B632" s="136" t="s">
        <v>4625</v>
      </c>
      <c r="C632" s="136" t="s">
        <v>10615</v>
      </c>
      <c r="D632" s="132" t="s">
        <v>3420</v>
      </c>
      <c r="E632" s="136" t="s">
        <v>4659</v>
      </c>
      <c r="F632" s="136" t="s">
        <v>4659</v>
      </c>
      <c r="G632" s="137">
        <v>1395438609001</v>
      </c>
      <c r="H632" s="138" t="s">
        <v>10312</v>
      </c>
      <c r="I632" s="136">
        <v>951500314</v>
      </c>
      <c r="J632" s="131" t="s">
        <v>4675</v>
      </c>
      <c r="K632" s="139">
        <v>321900</v>
      </c>
    </row>
    <row r="633" spans="1:11">
      <c r="A633" s="1" t="str">
        <f t="shared" si="9"/>
        <v>50100-824450395-952500043127169</v>
      </c>
      <c r="B633" s="136" t="s">
        <v>4561</v>
      </c>
      <c r="C633" s="136" t="s">
        <v>10616</v>
      </c>
      <c r="D633" s="132" t="s">
        <v>3420</v>
      </c>
      <c r="E633" s="136" t="s">
        <v>4574</v>
      </c>
      <c r="F633" s="136" t="s">
        <v>4574</v>
      </c>
      <c r="G633" s="137">
        <v>1395441908001</v>
      </c>
      <c r="H633" s="138" t="s">
        <v>6298</v>
      </c>
      <c r="I633" s="136">
        <v>952500043</v>
      </c>
      <c r="J633" s="131" t="s">
        <v>4603</v>
      </c>
      <c r="K633" s="139">
        <v>127169</v>
      </c>
    </row>
    <row r="634" spans="1:11">
      <c r="A634" s="1" t="str">
        <f t="shared" si="9"/>
        <v>50100-827839995-952500081588803</v>
      </c>
      <c r="B634" s="136" t="s">
        <v>4567</v>
      </c>
      <c r="C634" s="136" t="s">
        <v>10617</v>
      </c>
      <c r="D634" s="132" t="s">
        <v>3420</v>
      </c>
      <c r="E634" s="136" t="s">
        <v>4571</v>
      </c>
      <c r="F634" s="136" t="s">
        <v>4571</v>
      </c>
      <c r="G634" s="137">
        <v>1395456621001</v>
      </c>
      <c r="H634" s="138" t="s">
        <v>10183</v>
      </c>
      <c r="I634" s="136">
        <v>952500081</v>
      </c>
      <c r="J634" s="131" t="s">
        <v>4613</v>
      </c>
      <c r="K634" s="139">
        <v>588803</v>
      </c>
    </row>
    <row r="635" spans="1:11">
      <c r="A635" s="1" t="str">
        <f t="shared" si="9"/>
        <v>50100-829758895-951500563496670</v>
      </c>
      <c r="B635" s="136" t="s">
        <v>4565</v>
      </c>
      <c r="C635" s="136" t="s">
        <v>10618</v>
      </c>
      <c r="D635" s="132" t="s">
        <v>3420</v>
      </c>
      <c r="E635" s="136" t="s">
        <v>4516</v>
      </c>
      <c r="F635" s="136" t="s">
        <v>4516</v>
      </c>
      <c r="G635" s="137">
        <v>1395449242001</v>
      </c>
      <c r="H635" s="138" t="s">
        <v>6300</v>
      </c>
      <c r="I635" s="136">
        <v>951500563</v>
      </c>
      <c r="J635" s="131" t="s">
        <v>4579</v>
      </c>
      <c r="K635" s="139">
        <v>496670</v>
      </c>
    </row>
    <row r="636" spans="1:11">
      <c r="A636" s="1" t="str">
        <f t="shared" si="9"/>
        <v>50100-713771794-941500801499125</v>
      </c>
      <c r="B636" s="136" t="s">
        <v>10619</v>
      </c>
      <c r="C636" s="136" t="s">
        <v>10620</v>
      </c>
      <c r="D636" s="132" t="s">
        <v>3420</v>
      </c>
      <c r="E636" s="136" t="s">
        <v>2611</v>
      </c>
      <c r="F636" s="136" t="s">
        <v>2611</v>
      </c>
      <c r="G636" s="137">
        <v>1394394316001</v>
      </c>
      <c r="H636" s="138" t="s">
        <v>10183</v>
      </c>
      <c r="I636" s="136">
        <v>941500801</v>
      </c>
      <c r="J636" s="131" t="s">
        <v>7094</v>
      </c>
      <c r="K636" s="139">
        <v>499125</v>
      </c>
    </row>
    <row r="637" spans="1:11">
      <c r="A637" s="1" t="str">
        <f t="shared" si="9"/>
        <v>50100-717490895-951500003395660</v>
      </c>
      <c r="B637" s="136" t="s">
        <v>2705</v>
      </c>
      <c r="C637" s="136" t="s">
        <v>10621</v>
      </c>
      <c r="D637" s="132" t="s">
        <v>3420</v>
      </c>
      <c r="E637" s="136" t="s">
        <v>2750</v>
      </c>
      <c r="F637" s="136" t="s">
        <v>2750</v>
      </c>
      <c r="G637" s="137">
        <v>1394395845001</v>
      </c>
      <c r="H637" s="138" t="s">
        <v>6453</v>
      </c>
      <c r="I637" s="136">
        <v>951500003</v>
      </c>
      <c r="J637" s="131" t="s">
        <v>2661</v>
      </c>
      <c r="K637" s="139">
        <v>395660</v>
      </c>
    </row>
    <row r="638" spans="1:11">
      <c r="A638" s="1" t="str">
        <f t="shared" si="9"/>
        <v>50100-745241595-95150019489840</v>
      </c>
      <c r="B638" s="136" t="s">
        <v>3147</v>
      </c>
      <c r="C638" s="136" t="s">
        <v>10584</v>
      </c>
      <c r="D638" s="132" t="s">
        <v>3420</v>
      </c>
      <c r="E638" s="136" t="s">
        <v>3166</v>
      </c>
      <c r="F638" s="136" t="s">
        <v>3166</v>
      </c>
      <c r="G638" s="137">
        <v>1395401420001</v>
      </c>
      <c r="H638" s="138" t="s">
        <v>6298</v>
      </c>
      <c r="I638" s="136">
        <v>951500194</v>
      </c>
      <c r="J638" s="131" t="s">
        <v>3177</v>
      </c>
      <c r="K638" s="139">
        <v>89840</v>
      </c>
    </row>
    <row r="639" spans="1:11">
      <c r="A639" s="1" t="str">
        <f t="shared" si="9"/>
        <v>50100-728545495-951500105998000</v>
      </c>
      <c r="B639" s="136" t="s">
        <v>3001</v>
      </c>
      <c r="C639" s="136" t="s">
        <v>10622</v>
      </c>
      <c r="D639" s="132" t="s">
        <v>3420</v>
      </c>
      <c r="E639" s="136" t="s">
        <v>2851</v>
      </c>
      <c r="F639" s="136" t="s">
        <v>2851</v>
      </c>
      <c r="G639" s="137">
        <v>1395397990001</v>
      </c>
      <c r="H639" s="138" t="s">
        <v>6456</v>
      </c>
      <c r="I639" s="136">
        <v>951500105</v>
      </c>
      <c r="J639" s="131" t="s">
        <v>3130</v>
      </c>
      <c r="K639" s="139">
        <v>998000</v>
      </c>
    </row>
    <row r="640" spans="1:11">
      <c r="A640" s="1" t="str">
        <f t="shared" si="9"/>
        <v>50100-745241595-951500193399160</v>
      </c>
      <c r="B640" s="136" t="s">
        <v>3147</v>
      </c>
      <c r="C640" s="136" t="s">
        <v>10584</v>
      </c>
      <c r="D640" s="132" t="s">
        <v>3420</v>
      </c>
      <c r="E640" s="136" t="s">
        <v>3166</v>
      </c>
      <c r="F640" s="136" t="s">
        <v>3166</v>
      </c>
      <c r="G640" s="137">
        <v>1395401420001</v>
      </c>
      <c r="H640" s="138" t="s">
        <v>6298</v>
      </c>
      <c r="I640" s="136">
        <v>951500193</v>
      </c>
      <c r="J640" s="131" t="s">
        <v>3185</v>
      </c>
      <c r="K640" s="139">
        <v>399160</v>
      </c>
    </row>
    <row r="641" spans="1:11">
      <c r="A641" s="1" t="str">
        <f t="shared" si="9"/>
        <v>50100-716791295-952500001490434</v>
      </c>
      <c r="B641" s="136" t="s">
        <v>2706</v>
      </c>
      <c r="C641" s="136" t="s">
        <v>10623</v>
      </c>
      <c r="D641" s="132" t="s">
        <v>3420</v>
      </c>
      <c r="E641" s="136" t="s">
        <v>2750</v>
      </c>
      <c r="F641" s="136" t="s">
        <v>2750</v>
      </c>
      <c r="G641" s="137">
        <v>1394394801001</v>
      </c>
      <c r="H641" s="138" t="s">
        <v>10183</v>
      </c>
      <c r="I641" s="136">
        <v>952500001</v>
      </c>
      <c r="J641" s="131" t="s">
        <v>2643</v>
      </c>
      <c r="K641" s="139">
        <v>490434</v>
      </c>
    </row>
    <row r="642" spans="1:11">
      <c r="A642" s="1" t="str">
        <f t="shared" si="9"/>
        <v>50100-727857095-951500128100230</v>
      </c>
      <c r="B642" s="136" t="s">
        <v>3021</v>
      </c>
      <c r="C642" s="136" t="s">
        <v>10624</v>
      </c>
      <c r="D642" s="132" t="s">
        <v>3420</v>
      </c>
      <c r="E642" s="136" t="s">
        <v>2860</v>
      </c>
      <c r="F642" s="136" t="s">
        <v>2860</v>
      </c>
      <c r="G642" s="137">
        <v>1395397987001</v>
      </c>
      <c r="H642" s="138" t="s">
        <v>10183</v>
      </c>
      <c r="I642" s="136">
        <v>951500128</v>
      </c>
      <c r="J642" s="131" t="s">
        <v>3115</v>
      </c>
      <c r="K642" s="139">
        <v>100230</v>
      </c>
    </row>
    <row r="643" spans="1:11">
      <c r="A643" s="1" t="str">
        <f t="shared" ref="A643:A706" si="10">B643&amp;J643&amp;K643</f>
        <v>50100-723311095-95150006898308</v>
      </c>
      <c r="B643" s="136" t="s">
        <v>2929</v>
      </c>
      <c r="C643" s="136" t="s">
        <v>10625</v>
      </c>
      <c r="D643" s="132" t="s">
        <v>3420</v>
      </c>
      <c r="E643" s="136" t="s">
        <v>2854</v>
      </c>
      <c r="F643" s="136" t="s">
        <v>2854</v>
      </c>
      <c r="G643" s="137">
        <v>1394395845001</v>
      </c>
      <c r="H643" s="138" t="s">
        <v>6453</v>
      </c>
      <c r="I643" s="136">
        <v>951500068</v>
      </c>
      <c r="J643" s="131" t="s">
        <v>3076</v>
      </c>
      <c r="K643" s="139">
        <v>98308</v>
      </c>
    </row>
    <row r="644" spans="1:11">
      <c r="A644" s="1" t="str">
        <f t="shared" si="10"/>
        <v>50100-717490895-951500008303900</v>
      </c>
      <c r="B644" s="136" t="s">
        <v>2705</v>
      </c>
      <c r="C644" s="136" t="s">
        <v>10621</v>
      </c>
      <c r="D644" s="132" t="s">
        <v>3420</v>
      </c>
      <c r="E644" s="136" t="s">
        <v>2750</v>
      </c>
      <c r="F644" s="136" t="s">
        <v>2750</v>
      </c>
      <c r="G644" s="137">
        <v>1394395845001</v>
      </c>
      <c r="H644" s="138" t="s">
        <v>6453</v>
      </c>
      <c r="I644" s="136">
        <v>951500008</v>
      </c>
      <c r="J644" s="131" t="s">
        <v>2794</v>
      </c>
      <c r="K644" s="139">
        <v>303900</v>
      </c>
    </row>
    <row r="645" spans="1:11">
      <c r="A645" s="1" t="str">
        <f t="shared" si="10"/>
        <v>50100-724749295-95150008534819</v>
      </c>
      <c r="B645" s="136" t="s">
        <v>3020</v>
      </c>
      <c r="C645" s="136" t="s">
        <v>10626</v>
      </c>
      <c r="D645" s="132" t="s">
        <v>3420</v>
      </c>
      <c r="E645" s="136" t="s">
        <v>2870</v>
      </c>
      <c r="F645" s="136" t="s">
        <v>2870</v>
      </c>
      <c r="G645" s="137">
        <v>1394395847001</v>
      </c>
      <c r="H645" s="138" t="s">
        <v>10183</v>
      </c>
      <c r="I645" s="136">
        <v>951500085</v>
      </c>
      <c r="J645" s="131" t="s">
        <v>2793</v>
      </c>
      <c r="K645" s="139">
        <v>34819</v>
      </c>
    </row>
    <row r="646" spans="1:11">
      <c r="A646" s="1" t="str">
        <f t="shared" si="10"/>
        <v>50100-724749295-951500110463251</v>
      </c>
      <c r="B646" s="136" t="s">
        <v>3020</v>
      </c>
      <c r="C646" s="136" t="s">
        <v>10626</v>
      </c>
      <c r="D646" s="132" t="s">
        <v>3420</v>
      </c>
      <c r="E646" s="136" t="s">
        <v>2870</v>
      </c>
      <c r="F646" s="136" t="s">
        <v>2870</v>
      </c>
      <c r="G646" s="137">
        <v>1394395847001</v>
      </c>
      <c r="H646" s="138" t="s">
        <v>10183</v>
      </c>
      <c r="I646" s="136">
        <v>951500110</v>
      </c>
      <c r="J646" s="131" t="s">
        <v>3109</v>
      </c>
      <c r="K646" s="139">
        <v>463251</v>
      </c>
    </row>
    <row r="647" spans="1:11">
      <c r="A647" s="1" t="str">
        <f t="shared" si="10"/>
        <v>50100-717349394-941500798100000</v>
      </c>
      <c r="B647" s="136" t="s">
        <v>10627</v>
      </c>
      <c r="C647" s="136" t="s">
        <v>10628</v>
      </c>
      <c r="D647" s="132" t="s">
        <v>3420</v>
      </c>
      <c r="E647" s="136" t="s">
        <v>2750</v>
      </c>
      <c r="F647" s="136" t="s">
        <v>2750</v>
      </c>
      <c r="G647" s="137">
        <v>1394394802001</v>
      </c>
      <c r="H647" s="138" t="s">
        <v>6298</v>
      </c>
      <c r="I647" s="136">
        <v>941500798</v>
      </c>
      <c r="J647" s="131" t="s">
        <v>2639</v>
      </c>
      <c r="K647" s="139">
        <v>100000</v>
      </c>
    </row>
    <row r="648" spans="1:11">
      <c r="A648" s="1" t="str">
        <f t="shared" si="10"/>
        <v>50100-724670995-9515000864088</v>
      </c>
      <c r="B648" s="136" t="s">
        <v>3019</v>
      </c>
      <c r="C648" s="136" t="s">
        <v>10629</v>
      </c>
      <c r="D648" s="132" t="s">
        <v>3420</v>
      </c>
      <c r="E648" s="136" t="s">
        <v>2870</v>
      </c>
      <c r="F648" s="136" t="s">
        <v>2870</v>
      </c>
      <c r="G648" s="137">
        <v>1395397987001</v>
      </c>
      <c r="H648" s="138" t="s">
        <v>10183</v>
      </c>
      <c r="I648" s="136">
        <v>951500086</v>
      </c>
      <c r="J648" s="131" t="s">
        <v>2783</v>
      </c>
      <c r="K648" s="139">
        <v>4088</v>
      </c>
    </row>
    <row r="649" spans="1:11">
      <c r="A649" s="1" t="str">
        <f t="shared" si="10"/>
        <v>15100-25777894-94150077325010</v>
      </c>
      <c r="B649" s="136" t="s">
        <v>2683</v>
      </c>
      <c r="C649" s="136" t="s">
        <v>10630</v>
      </c>
      <c r="D649" s="132" t="s">
        <v>3420</v>
      </c>
      <c r="E649" s="136" t="s">
        <v>2749</v>
      </c>
      <c r="F649" s="136" t="s">
        <v>2749</v>
      </c>
      <c r="G649" s="137">
        <v>1394394178001</v>
      </c>
      <c r="H649" s="138" t="s">
        <v>6298</v>
      </c>
      <c r="I649" s="136">
        <v>941500773</v>
      </c>
      <c r="J649" s="131" t="s">
        <v>2760</v>
      </c>
      <c r="K649" s="139">
        <v>25010</v>
      </c>
    </row>
    <row r="650" spans="1:11">
      <c r="A650" s="1" t="str">
        <f t="shared" si="10"/>
        <v>15100-25062794-941500783100510</v>
      </c>
      <c r="B650" s="136" t="s">
        <v>10631</v>
      </c>
      <c r="C650" s="136" t="s">
        <v>10632</v>
      </c>
      <c r="D650" s="132" t="s">
        <v>3420</v>
      </c>
      <c r="E650" s="136" t="s">
        <v>2613</v>
      </c>
      <c r="F650" s="136" t="s">
        <v>2613</v>
      </c>
      <c r="G650" s="137">
        <v>1394394178001</v>
      </c>
      <c r="H650" s="138" t="s">
        <v>6298</v>
      </c>
      <c r="I650" s="136">
        <v>941500783</v>
      </c>
      <c r="J650" s="131" t="s">
        <v>2761</v>
      </c>
      <c r="K650" s="139">
        <v>100510</v>
      </c>
    </row>
    <row r="651" spans="1:11">
      <c r="A651" s="1" t="str">
        <f t="shared" si="10"/>
        <v>15100-25097294-941500736119260</v>
      </c>
      <c r="B651" s="136" t="s">
        <v>10633</v>
      </c>
      <c r="C651" s="136" t="s">
        <v>10634</v>
      </c>
      <c r="D651" s="132" t="s">
        <v>3420</v>
      </c>
      <c r="E651" s="136" t="s">
        <v>2615</v>
      </c>
      <c r="F651" s="136" t="s">
        <v>2615</v>
      </c>
      <c r="G651" s="137">
        <v>1394392654001</v>
      </c>
      <c r="H651" s="138" t="s">
        <v>6453</v>
      </c>
      <c r="I651" s="136">
        <v>941500736</v>
      </c>
      <c r="J651" s="131" t="s">
        <v>6846</v>
      </c>
      <c r="K651" s="139">
        <v>119260</v>
      </c>
    </row>
    <row r="652" spans="1:11">
      <c r="A652" s="1" t="str">
        <f t="shared" si="10"/>
        <v>15100-25406294-94150072524580</v>
      </c>
      <c r="B652" s="136" t="s">
        <v>10635</v>
      </c>
      <c r="C652" s="136" t="s">
        <v>10636</v>
      </c>
      <c r="D652" s="132" t="s">
        <v>3420</v>
      </c>
      <c r="E652" s="136" t="s">
        <v>10587</v>
      </c>
      <c r="F652" s="136" t="s">
        <v>10587</v>
      </c>
      <c r="G652" s="137">
        <v>1394392935001</v>
      </c>
      <c r="H652" s="138" t="s">
        <v>6298</v>
      </c>
      <c r="I652" s="136">
        <v>941500725</v>
      </c>
      <c r="J652" s="131" t="s">
        <v>2762</v>
      </c>
      <c r="K652" s="139">
        <v>24580</v>
      </c>
    </row>
    <row r="653" spans="1:11">
      <c r="A653" s="1" t="str">
        <f t="shared" si="10"/>
        <v>15100-25777894-94150064750790</v>
      </c>
      <c r="B653" s="136" t="s">
        <v>2683</v>
      </c>
      <c r="C653" s="136" t="s">
        <v>10630</v>
      </c>
      <c r="D653" s="132" t="s">
        <v>3420</v>
      </c>
      <c r="E653" s="136" t="s">
        <v>2749</v>
      </c>
      <c r="F653" s="136" t="s">
        <v>2749</v>
      </c>
      <c r="G653" s="137">
        <v>1394390338001</v>
      </c>
      <c r="H653" s="138" t="s">
        <v>6298</v>
      </c>
      <c r="I653" s="136">
        <v>941500647</v>
      </c>
      <c r="J653" s="131" t="s">
        <v>2539</v>
      </c>
      <c r="K653" s="139">
        <v>50790</v>
      </c>
    </row>
    <row r="654" spans="1:11">
      <c r="A654" s="1" t="str">
        <f t="shared" si="10"/>
        <v>15100-26312895-951500038121120</v>
      </c>
      <c r="B654" s="136" t="s">
        <v>2819</v>
      </c>
      <c r="C654" s="136" t="s">
        <v>10637</v>
      </c>
      <c r="D654" s="132" t="s">
        <v>3420</v>
      </c>
      <c r="E654" s="136" t="s">
        <v>2854</v>
      </c>
      <c r="F654" s="136" t="s">
        <v>2854</v>
      </c>
      <c r="G654" s="137">
        <v>1395397986001</v>
      </c>
      <c r="H654" s="138" t="s">
        <v>6454</v>
      </c>
      <c r="I654" s="136">
        <v>951500038</v>
      </c>
      <c r="J654" s="131" t="s">
        <v>2766</v>
      </c>
      <c r="K654" s="139">
        <v>121120</v>
      </c>
    </row>
    <row r="655" spans="1:11">
      <c r="A655" s="1" t="str">
        <f t="shared" si="10"/>
        <v>15100-26874894-941500774127060</v>
      </c>
      <c r="B655" s="136" t="s">
        <v>10638</v>
      </c>
      <c r="C655" s="136" t="s">
        <v>10639</v>
      </c>
      <c r="D655" s="132" t="s">
        <v>3420</v>
      </c>
      <c r="E655" s="136" t="s">
        <v>2855</v>
      </c>
      <c r="F655" s="136" t="s">
        <v>2855</v>
      </c>
      <c r="G655" s="137">
        <v>1394394178001</v>
      </c>
      <c r="H655" s="138" t="s">
        <v>6298</v>
      </c>
      <c r="I655" s="136">
        <v>941500774</v>
      </c>
      <c r="J655" s="131" t="s">
        <v>2878</v>
      </c>
      <c r="K655" s="139">
        <v>127060</v>
      </c>
    </row>
    <row r="656" spans="1:11">
      <c r="A656" s="1" t="str">
        <f t="shared" si="10"/>
        <v>15100-26401094-94150081829030</v>
      </c>
      <c r="B656" s="136" t="s">
        <v>10640</v>
      </c>
      <c r="C656" s="136" t="s">
        <v>10641</v>
      </c>
      <c r="D656" s="132" t="s">
        <v>3420</v>
      </c>
      <c r="E656" s="136" t="s">
        <v>2870</v>
      </c>
      <c r="F656" s="136" t="s">
        <v>2870</v>
      </c>
      <c r="G656" s="137">
        <v>1394394802001</v>
      </c>
      <c r="H656" s="138" t="s">
        <v>6298</v>
      </c>
      <c r="I656" s="136">
        <v>941500818</v>
      </c>
      <c r="J656" s="131" t="s">
        <v>2884</v>
      </c>
      <c r="K656" s="139">
        <v>29030</v>
      </c>
    </row>
    <row r="657" spans="1:11">
      <c r="A657" s="1" t="str">
        <f t="shared" si="10"/>
        <v>50100-713364794-9415007901835</v>
      </c>
      <c r="B657" s="136" t="s">
        <v>10642</v>
      </c>
      <c r="C657" s="136" t="s">
        <v>10643</v>
      </c>
      <c r="D657" s="132" t="s">
        <v>3420</v>
      </c>
      <c r="E657" s="136" t="s">
        <v>2611</v>
      </c>
      <c r="F657" s="136" t="s">
        <v>2611</v>
      </c>
      <c r="G657" s="137">
        <v>1394394802001</v>
      </c>
      <c r="H657" s="138" t="s">
        <v>6298</v>
      </c>
      <c r="I657" s="136">
        <v>941500790</v>
      </c>
      <c r="J657" s="131" t="s">
        <v>2630</v>
      </c>
      <c r="K657" s="139">
        <v>1835</v>
      </c>
    </row>
    <row r="658" spans="1:11">
      <c r="A658" s="1" t="str">
        <f t="shared" si="10"/>
        <v>50100-720711895-951500085973761</v>
      </c>
      <c r="B658" s="136" t="s">
        <v>2709</v>
      </c>
      <c r="C658" s="136" t="s">
        <v>10644</v>
      </c>
      <c r="D658" s="132" t="s">
        <v>3420</v>
      </c>
      <c r="E658" s="136" t="s">
        <v>2755</v>
      </c>
      <c r="F658" s="136" t="s">
        <v>2755</v>
      </c>
      <c r="G658" s="137">
        <v>1394395847001</v>
      </c>
      <c r="H658" s="138" t="s">
        <v>10183</v>
      </c>
      <c r="I658" s="136">
        <v>951500085</v>
      </c>
      <c r="J658" s="131" t="s">
        <v>2793</v>
      </c>
      <c r="K658" s="139">
        <v>973761</v>
      </c>
    </row>
    <row r="659" spans="1:11">
      <c r="A659" s="1" t="str">
        <f t="shared" si="10"/>
        <v>50100-765764494-94150083925547</v>
      </c>
      <c r="B659" s="136" t="s">
        <v>10645</v>
      </c>
      <c r="C659" s="136" t="s">
        <v>10646</v>
      </c>
      <c r="D659" s="132" t="s">
        <v>3420</v>
      </c>
      <c r="E659" s="136" t="s">
        <v>3397</v>
      </c>
      <c r="F659" s="136" t="s">
        <v>3397</v>
      </c>
      <c r="G659" s="137">
        <v>1394395844001</v>
      </c>
      <c r="H659" s="138" t="s">
        <v>6298</v>
      </c>
      <c r="I659" s="136">
        <v>941500839</v>
      </c>
      <c r="J659" s="131" t="s">
        <v>3411</v>
      </c>
      <c r="K659" s="139">
        <v>25547</v>
      </c>
    </row>
    <row r="660" spans="1:11">
      <c r="A660" s="1" t="str">
        <f t="shared" si="10"/>
        <v>50100-755494495-9515000546500</v>
      </c>
      <c r="B660" s="136" t="s">
        <v>3315</v>
      </c>
      <c r="C660" s="136" t="s">
        <v>10647</v>
      </c>
      <c r="D660" s="132" t="s">
        <v>3420</v>
      </c>
      <c r="E660" s="136" t="s">
        <v>3327</v>
      </c>
      <c r="F660" s="136" t="s">
        <v>3327</v>
      </c>
      <c r="G660" s="137">
        <v>1395397985001</v>
      </c>
      <c r="H660" s="138" t="s">
        <v>6298</v>
      </c>
      <c r="I660" s="136">
        <v>951500054</v>
      </c>
      <c r="J660" s="131" t="s">
        <v>3259</v>
      </c>
      <c r="K660" s="139">
        <v>6500</v>
      </c>
    </row>
    <row r="661" spans="1:11">
      <c r="A661" s="1" t="str">
        <f t="shared" si="10"/>
        <v>50100-755494495-95150013975450</v>
      </c>
      <c r="B661" s="136" t="s">
        <v>3315</v>
      </c>
      <c r="C661" s="136" t="s">
        <v>10647</v>
      </c>
      <c r="D661" s="132" t="s">
        <v>3420</v>
      </c>
      <c r="E661" s="136" t="s">
        <v>3327</v>
      </c>
      <c r="F661" s="136" t="s">
        <v>3327</v>
      </c>
      <c r="G661" s="137">
        <v>1395401420001</v>
      </c>
      <c r="H661" s="138" t="s">
        <v>6298</v>
      </c>
      <c r="I661" s="136">
        <v>951500139</v>
      </c>
      <c r="J661" s="131" t="s">
        <v>3174</v>
      </c>
      <c r="K661" s="139">
        <v>75450</v>
      </c>
    </row>
    <row r="662" spans="1:11">
      <c r="A662" s="1" t="str">
        <f t="shared" si="10"/>
        <v>15100-25777894-94150083272920</v>
      </c>
      <c r="B662" s="136" t="s">
        <v>2683</v>
      </c>
      <c r="C662" s="136" t="s">
        <v>10630</v>
      </c>
      <c r="D662" s="132" t="s">
        <v>3420</v>
      </c>
      <c r="E662" s="136" t="s">
        <v>2749</v>
      </c>
      <c r="F662" s="136" t="s">
        <v>2749</v>
      </c>
      <c r="G662" s="137">
        <v>1394395844001</v>
      </c>
      <c r="H662" s="138" t="s">
        <v>6298</v>
      </c>
      <c r="I662" s="136">
        <v>941500832</v>
      </c>
      <c r="J662" s="131" t="s">
        <v>2764</v>
      </c>
      <c r="K662" s="139">
        <v>72920</v>
      </c>
    </row>
    <row r="663" spans="1:11">
      <c r="A663" s="1" t="str">
        <f t="shared" si="10"/>
        <v>15100-25777894-94150078150700</v>
      </c>
      <c r="B663" s="136" t="s">
        <v>2683</v>
      </c>
      <c r="C663" s="136" t="s">
        <v>10630</v>
      </c>
      <c r="D663" s="132" t="s">
        <v>3420</v>
      </c>
      <c r="E663" s="136" t="s">
        <v>2749</v>
      </c>
      <c r="F663" s="136" t="s">
        <v>2749</v>
      </c>
      <c r="G663" s="137">
        <v>1394394178001</v>
      </c>
      <c r="H663" s="138" t="s">
        <v>6298</v>
      </c>
      <c r="I663" s="136">
        <v>941500781</v>
      </c>
      <c r="J663" s="131" t="s">
        <v>2563</v>
      </c>
      <c r="K663" s="139">
        <v>50700</v>
      </c>
    </row>
    <row r="664" spans="1:11">
      <c r="A664" s="1" t="str">
        <f t="shared" si="10"/>
        <v>15100-25406294-941500717273760</v>
      </c>
      <c r="B664" s="136" t="s">
        <v>10635</v>
      </c>
      <c r="C664" s="136" t="s">
        <v>10636</v>
      </c>
      <c r="D664" s="132" t="s">
        <v>3420</v>
      </c>
      <c r="E664" s="136" t="s">
        <v>10587</v>
      </c>
      <c r="F664" s="136" t="s">
        <v>10587</v>
      </c>
      <c r="G664" s="137">
        <v>1394392935001</v>
      </c>
      <c r="H664" s="138" t="s">
        <v>6298</v>
      </c>
      <c r="I664" s="136">
        <v>941500717</v>
      </c>
      <c r="J664" s="131" t="s">
        <v>2765</v>
      </c>
      <c r="K664" s="139">
        <v>273760</v>
      </c>
    </row>
    <row r="665" spans="1:11">
      <c r="A665" s="1" t="str">
        <f t="shared" si="10"/>
        <v>50100-729559595-9515000951000000</v>
      </c>
      <c r="B665" s="136" t="s">
        <v>2989</v>
      </c>
      <c r="C665" s="136" t="s">
        <v>10648</v>
      </c>
      <c r="D665" s="132" t="s">
        <v>3420</v>
      </c>
      <c r="E665" s="136" t="s">
        <v>2859</v>
      </c>
      <c r="F665" s="136" t="s">
        <v>2859</v>
      </c>
      <c r="G665" s="137">
        <v>1394395845001</v>
      </c>
      <c r="H665" s="138" t="s">
        <v>6453</v>
      </c>
      <c r="I665" s="136">
        <v>951500095</v>
      </c>
      <c r="J665" s="131" t="s">
        <v>3139</v>
      </c>
      <c r="K665" s="139">
        <v>1000000</v>
      </c>
    </row>
    <row r="666" spans="1:11">
      <c r="A666" s="1" t="str">
        <f t="shared" si="10"/>
        <v>50100-842632495-951500527200000</v>
      </c>
      <c r="B666" s="136" t="s">
        <v>4815</v>
      </c>
      <c r="C666" s="136" t="s">
        <v>10649</v>
      </c>
      <c r="D666" s="132" t="s">
        <v>3420</v>
      </c>
      <c r="E666" s="136" t="s">
        <v>4731</v>
      </c>
      <c r="F666" s="136" t="s">
        <v>4731</v>
      </c>
      <c r="G666" s="137">
        <v>1395451399001</v>
      </c>
      <c r="H666" s="138" t="s">
        <v>10206</v>
      </c>
      <c r="I666" s="136">
        <v>951500527</v>
      </c>
      <c r="J666" s="131" t="s">
        <v>4906</v>
      </c>
      <c r="K666" s="139">
        <v>200000</v>
      </c>
    </row>
    <row r="667" spans="1:11">
      <c r="A667" s="1" t="str">
        <f t="shared" si="10"/>
        <v>50100-853707496-961500015990000</v>
      </c>
      <c r="B667" s="136" t="s">
        <v>4993</v>
      </c>
      <c r="C667" s="136" t="s">
        <v>8955</v>
      </c>
      <c r="D667" s="132" t="s">
        <v>4971</v>
      </c>
      <c r="E667" s="136" t="s">
        <v>5010</v>
      </c>
      <c r="F667" s="136" t="s">
        <v>5010</v>
      </c>
      <c r="G667" s="137">
        <v>1396471726001</v>
      </c>
      <c r="H667" s="138" t="s">
        <v>10206</v>
      </c>
      <c r="I667" s="136">
        <v>961500015</v>
      </c>
      <c r="J667" s="131" t="s">
        <v>5019</v>
      </c>
      <c r="K667" s="139">
        <v>990000</v>
      </c>
    </row>
    <row r="668" spans="1:11">
      <c r="A668" s="1" t="str">
        <f t="shared" si="10"/>
        <v>50100-855585196-962500015488125</v>
      </c>
      <c r="B668" s="136" t="s">
        <v>4994</v>
      </c>
      <c r="C668" s="136" t="s">
        <v>8956</v>
      </c>
      <c r="D668" s="132" t="s">
        <v>4971</v>
      </c>
      <c r="E668" s="136" t="s">
        <v>4972</v>
      </c>
      <c r="F668" s="136" t="s">
        <v>4972</v>
      </c>
      <c r="G668" s="137">
        <v>1396471989001</v>
      </c>
      <c r="H668" s="140" t="s">
        <v>6456</v>
      </c>
      <c r="I668" s="141">
        <v>962500015</v>
      </c>
      <c r="J668" s="131" t="s">
        <v>5017</v>
      </c>
      <c r="K668" s="142">
        <v>488125</v>
      </c>
    </row>
    <row r="669" spans="1:11">
      <c r="A669" s="1" t="str">
        <f t="shared" si="10"/>
        <v>15100-25979494-941500821282550</v>
      </c>
      <c r="B669" s="136" t="s">
        <v>10650</v>
      </c>
      <c r="C669" s="136" t="s">
        <v>10651</v>
      </c>
      <c r="D669" s="132" t="s">
        <v>3420</v>
      </c>
      <c r="E669" s="136" t="s">
        <v>2756</v>
      </c>
      <c r="F669" s="136" t="s">
        <v>2756</v>
      </c>
      <c r="G669" s="137">
        <v>1394394802001</v>
      </c>
      <c r="H669" s="138" t="s">
        <v>6298</v>
      </c>
      <c r="I669" s="136">
        <v>941500821</v>
      </c>
      <c r="J669" s="131" t="s">
        <v>2663</v>
      </c>
      <c r="K669" s="139">
        <v>282550</v>
      </c>
    </row>
    <row r="670" spans="1:11">
      <c r="A670" s="1" t="str">
        <f t="shared" si="10"/>
        <v>15100-27898494-941500827493205</v>
      </c>
      <c r="B670" s="136" t="s">
        <v>10652</v>
      </c>
      <c r="C670" s="136" t="s">
        <v>10653</v>
      </c>
      <c r="D670" s="132" t="s">
        <v>3420</v>
      </c>
      <c r="E670" s="136" t="s">
        <v>3042</v>
      </c>
      <c r="F670" s="136" t="s">
        <v>3042</v>
      </c>
      <c r="G670" s="137">
        <v>1394395844001</v>
      </c>
      <c r="H670" s="138" t="s">
        <v>6298</v>
      </c>
      <c r="I670" s="136">
        <v>941500827</v>
      </c>
      <c r="J670" s="131" t="s">
        <v>3057</v>
      </c>
      <c r="K670" s="139">
        <v>493205</v>
      </c>
    </row>
    <row r="671" spans="1:11">
      <c r="A671" s="1" t="str">
        <f t="shared" si="10"/>
        <v>50100-829833495-951500311158750</v>
      </c>
      <c r="B671" s="136" t="s">
        <v>4543</v>
      </c>
      <c r="C671" s="136" t="s">
        <v>10654</v>
      </c>
      <c r="D671" s="132" t="s">
        <v>3420</v>
      </c>
      <c r="E671" s="136" t="s">
        <v>4516</v>
      </c>
      <c r="F671" s="136" t="s">
        <v>4516</v>
      </c>
      <c r="G671" s="137">
        <v>1395435642001</v>
      </c>
      <c r="H671" s="138" t="s">
        <v>10206</v>
      </c>
      <c r="I671" s="136">
        <v>951500311</v>
      </c>
      <c r="J671" s="131" t="s">
        <v>4459</v>
      </c>
      <c r="K671" s="139">
        <v>158750</v>
      </c>
    </row>
    <row r="672" spans="1:11">
      <c r="A672" s="1" t="str">
        <f t="shared" si="10"/>
        <v>50100-784271295-95420002897755</v>
      </c>
      <c r="B672" s="136" t="s">
        <v>3685</v>
      </c>
      <c r="C672" s="136" t="s">
        <v>10655</v>
      </c>
      <c r="D672" s="132" t="s">
        <v>3420</v>
      </c>
      <c r="E672" s="136" t="s">
        <v>3665</v>
      </c>
      <c r="F672" s="136" t="s">
        <v>3665</v>
      </c>
      <c r="G672" s="137">
        <v>1395422325001</v>
      </c>
      <c r="H672" s="138" t="s">
        <v>10183</v>
      </c>
      <c r="I672" s="136">
        <v>954200028</v>
      </c>
      <c r="J672" s="131" t="s">
        <v>3732</v>
      </c>
      <c r="K672" s="139">
        <v>97755</v>
      </c>
    </row>
    <row r="673" spans="1:11">
      <c r="A673" s="1" t="str">
        <f t="shared" si="10"/>
        <v>50100-713364794-941500826150000</v>
      </c>
      <c r="B673" s="136" t="s">
        <v>10642</v>
      </c>
      <c r="C673" s="136" t="s">
        <v>10643</v>
      </c>
      <c r="D673" s="132" t="s">
        <v>3420</v>
      </c>
      <c r="E673" s="136" t="s">
        <v>2611</v>
      </c>
      <c r="F673" s="136" t="s">
        <v>2611</v>
      </c>
      <c r="G673" s="137">
        <v>1394392936001</v>
      </c>
      <c r="H673" s="138" t="s">
        <v>10183</v>
      </c>
      <c r="I673" s="136">
        <v>941500826</v>
      </c>
      <c r="J673" s="131" t="s">
        <v>7082</v>
      </c>
      <c r="K673" s="139">
        <v>150000</v>
      </c>
    </row>
    <row r="674" spans="1:11">
      <c r="A674" s="1" t="str">
        <f t="shared" si="10"/>
        <v>50100-743955795-952500014321565</v>
      </c>
      <c r="B674" s="136" t="s">
        <v>3154</v>
      </c>
      <c r="C674" s="136" t="s">
        <v>10656</v>
      </c>
      <c r="D674" s="132" t="s">
        <v>3420</v>
      </c>
      <c r="E674" s="136" t="s">
        <v>3169</v>
      </c>
      <c r="F674" s="136" t="s">
        <v>3169</v>
      </c>
      <c r="G674" s="137">
        <v>1395397987001</v>
      </c>
      <c r="H674" s="138" t="s">
        <v>10183</v>
      </c>
      <c r="I674" s="136">
        <v>952500014</v>
      </c>
      <c r="J674" s="131" t="s">
        <v>3183</v>
      </c>
      <c r="K674" s="139">
        <v>321565</v>
      </c>
    </row>
    <row r="675" spans="1:11">
      <c r="A675" s="1" t="str">
        <f t="shared" si="10"/>
        <v>50100-716098794-941500702300000</v>
      </c>
      <c r="B675" s="136" t="s">
        <v>2594</v>
      </c>
      <c r="C675" s="136" t="s">
        <v>10657</v>
      </c>
      <c r="D675" s="132" t="s">
        <v>3420</v>
      </c>
      <c r="E675" s="136" t="s">
        <v>2618</v>
      </c>
      <c r="F675" s="136" t="s">
        <v>2618</v>
      </c>
      <c r="G675" s="137">
        <v>1394392646001</v>
      </c>
      <c r="H675" s="138" t="s">
        <v>6298</v>
      </c>
      <c r="I675" s="136">
        <v>941500702</v>
      </c>
      <c r="J675" s="131" t="s">
        <v>2645</v>
      </c>
      <c r="K675" s="139">
        <v>300000</v>
      </c>
    </row>
    <row r="676" spans="1:11">
      <c r="A676" s="1" t="str">
        <f t="shared" si="10"/>
        <v>50100-843531795-952500103292875</v>
      </c>
      <c r="B676" s="136" t="s">
        <v>4814</v>
      </c>
      <c r="C676" s="136" t="s">
        <v>10658</v>
      </c>
      <c r="D676" s="132" t="s">
        <v>3420</v>
      </c>
      <c r="E676" s="136" t="s">
        <v>4872</v>
      </c>
      <c r="F676" s="136" t="s">
        <v>4872</v>
      </c>
      <c r="G676" s="137">
        <v>1395451404001</v>
      </c>
      <c r="H676" s="138" t="s">
        <v>6456</v>
      </c>
      <c r="I676" s="136">
        <v>952500103</v>
      </c>
      <c r="J676" s="131" t="s">
        <v>4941</v>
      </c>
      <c r="K676" s="139">
        <v>292875</v>
      </c>
    </row>
    <row r="677" spans="1:11">
      <c r="A677" s="1" t="str">
        <f t="shared" si="10"/>
        <v>50100-827855395-951500563523215</v>
      </c>
      <c r="B677" s="136" t="s">
        <v>4559</v>
      </c>
      <c r="C677" s="136" t="s">
        <v>10659</v>
      </c>
      <c r="D677" s="132" t="s">
        <v>3420</v>
      </c>
      <c r="E677" s="136" t="s">
        <v>4571</v>
      </c>
      <c r="F677" s="136" t="s">
        <v>4571</v>
      </c>
      <c r="G677" s="137">
        <v>1395449242001</v>
      </c>
      <c r="H677" s="138" t="s">
        <v>6300</v>
      </c>
      <c r="I677" s="136">
        <v>951500563</v>
      </c>
      <c r="J677" s="131" t="s">
        <v>4579</v>
      </c>
      <c r="K677" s="139">
        <v>523215</v>
      </c>
    </row>
    <row r="678" spans="1:11">
      <c r="A678" s="1" t="str">
        <f t="shared" si="10"/>
        <v>50100-824002895-951500311198000</v>
      </c>
      <c r="B678" s="136" t="s">
        <v>4552</v>
      </c>
      <c r="C678" s="136" t="s">
        <v>10660</v>
      </c>
      <c r="D678" s="132" t="s">
        <v>3420</v>
      </c>
      <c r="E678" s="136" t="s">
        <v>4569</v>
      </c>
      <c r="F678" s="136" t="s">
        <v>4569</v>
      </c>
      <c r="G678" s="137">
        <v>1395435642001</v>
      </c>
      <c r="H678" s="138" t="s">
        <v>10206</v>
      </c>
      <c r="I678" s="136">
        <v>951500311</v>
      </c>
      <c r="J678" s="131" t="s">
        <v>4459</v>
      </c>
      <c r="K678" s="139">
        <v>198000</v>
      </c>
    </row>
    <row r="679" spans="1:11">
      <c r="A679" s="1" t="str">
        <f t="shared" si="10"/>
        <v>15100-26401094-941500820199880</v>
      </c>
      <c r="B679" s="136" t="s">
        <v>10640</v>
      </c>
      <c r="C679" s="136" t="s">
        <v>10641</v>
      </c>
      <c r="D679" s="132" t="s">
        <v>3420</v>
      </c>
      <c r="E679" s="136" t="s">
        <v>2870</v>
      </c>
      <c r="F679" s="136" t="s">
        <v>2870</v>
      </c>
      <c r="G679" s="137">
        <v>1394394802001</v>
      </c>
      <c r="H679" s="138" t="s">
        <v>6298</v>
      </c>
      <c r="I679" s="136">
        <v>941500820</v>
      </c>
      <c r="J679" s="131" t="s">
        <v>2892</v>
      </c>
      <c r="K679" s="139">
        <v>199880</v>
      </c>
    </row>
    <row r="680" spans="1:11">
      <c r="A680" s="1" t="str">
        <f t="shared" si="10"/>
        <v>50100-763394895-951500096900000</v>
      </c>
      <c r="B680" s="136" t="s">
        <v>10661</v>
      </c>
      <c r="C680" s="136" t="s">
        <v>10662</v>
      </c>
      <c r="D680" s="132" t="s">
        <v>3420</v>
      </c>
      <c r="E680" s="136" t="s">
        <v>10383</v>
      </c>
      <c r="F680" s="136" t="s">
        <v>10383</v>
      </c>
      <c r="G680" s="137">
        <v>1394395845001</v>
      </c>
      <c r="H680" s="138" t="s">
        <v>6453</v>
      </c>
      <c r="I680" s="136">
        <v>951500096</v>
      </c>
      <c r="J680" s="131" t="s">
        <v>3410</v>
      </c>
      <c r="K680" s="139">
        <v>900000</v>
      </c>
    </row>
    <row r="681" spans="1:11">
      <c r="A681" s="1" t="str">
        <f t="shared" si="10"/>
        <v>50100-825349795-952500071494823</v>
      </c>
      <c r="B681" s="136" t="s">
        <v>4541</v>
      </c>
      <c r="C681" s="136" t="s">
        <v>10663</v>
      </c>
      <c r="D681" s="132" t="s">
        <v>3420</v>
      </c>
      <c r="E681" s="136" t="s">
        <v>4575</v>
      </c>
      <c r="F681" s="136" t="s">
        <v>4575</v>
      </c>
      <c r="G681" s="137">
        <v>1395452682001</v>
      </c>
      <c r="H681" s="138" t="s">
        <v>10183</v>
      </c>
      <c r="I681" s="136">
        <v>952500071</v>
      </c>
      <c r="J681" s="131" t="s">
        <v>4474</v>
      </c>
      <c r="K681" s="139">
        <v>494823</v>
      </c>
    </row>
    <row r="682" spans="1:11">
      <c r="A682" s="1" t="str">
        <f t="shared" si="10"/>
        <v>50100-720731395-951500045259809</v>
      </c>
      <c r="B682" s="136" t="s">
        <v>2707</v>
      </c>
      <c r="C682" s="136" t="s">
        <v>10664</v>
      </c>
      <c r="D682" s="132" t="s">
        <v>3420</v>
      </c>
      <c r="E682" s="136" t="s">
        <v>2755</v>
      </c>
      <c r="F682" s="136" t="s">
        <v>2755</v>
      </c>
      <c r="G682" s="137">
        <v>1394395845001</v>
      </c>
      <c r="H682" s="138" t="s">
        <v>6453</v>
      </c>
      <c r="I682" s="136">
        <v>951500045</v>
      </c>
      <c r="J682" s="131" t="s">
        <v>2791</v>
      </c>
      <c r="K682" s="139">
        <v>259809</v>
      </c>
    </row>
    <row r="683" spans="1:11">
      <c r="A683" s="1" t="str">
        <f t="shared" si="10"/>
        <v>50100-765764495-951500190398738</v>
      </c>
      <c r="B683" s="136" t="s">
        <v>10645</v>
      </c>
      <c r="C683" s="136" t="s">
        <v>10646</v>
      </c>
      <c r="D683" s="132" t="s">
        <v>3420</v>
      </c>
      <c r="E683" s="136" t="s">
        <v>3397</v>
      </c>
      <c r="F683" s="136" t="s">
        <v>3397</v>
      </c>
      <c r="G683" s="137">
        <v>1395400303001</v>
      </c>
      <c r="H683" s="138" t="s">
        <v>6453</v>
      </c>
      <c r="I683" s="136">
        <v>951500190</v>
      </c>
      <c r="J683" s="131" t="s">
        <v>3402</v>
      </c>
      <c r="K683" s="139">
        <v>398738</v>
      </c>
    </row>
    <row r="684" spans="1:11">
      <c r="A684" s="1" t="str">
        <f t="shared" si="10"/>
        <v>50100-818709695-9515004831691670</v>
      </c>
      <c r="B684" s="136" t="s">
        <v>4426</v>
      </c>
      <c r="C684" s="136" t="s">
        <v>10665</v>
      </c>
      <c r="D684" s="132" t="s">
        <v>3420</v>
      </c>
      <c r="E684" s="136" t="s">
        <v>4443</v>
      </c>
      <c r="F684" s="136" t="s">
        <v>4443</v>
      </c>
      <c r="G684" s="137">
        <v>1395445413001</v>
      </c>
      <c r="H684" s="138" t="s">
        <v>6300</v>
      </c>
      <c r="I684" s="136">
        <v>951500483</v>
      </c>
      <c r="J684" s="131" t="s">
        <v>4483</v>
      </c>
      <c r="K684" s="139">
        <v>1691670</v>
      </c>
    </row>
    <row r="685" spans="1:11">
      <c r="A685" s="1" t="str">
        <f t="shared" si="10"/>
        <v>15100-27267295-95150005072840</v>
      </c>
      <c r="B685" s="136" t="s">
        <v>2844</v>
      </c>
      <c r="C685" s="136" t="s">
        <v>10666</v>
      </c>
      <c r="D685" s="132" t="s">
        <v>3420</v>
      </c>
      <c r="E685" s="136" t="s">
        <v>2866</v>
      </c>
      <c r="F685" s="136" t="s">
        <v>2866</v>
      </c>
      <c r="G685" s="137">
        <v>1395397985001</v>
      </c>
      <c r="H685" s="138" t="s">
        <v>6298</v>
      </c>
      <c r="I685" s="136">
        <v>951500050</v>
      </c>
      <c r="J685" s="131" t="s">
        <v>2889</v>
      </c>
      <c r="K685" s="139">
        <v>72840</v>
      </c>
    </row>
    <row r="686" spans="1:11">
      <c r="A686" s="1" t="str">
        <f t="shared" si="10"/>
        <v>50100-727857095-951500034660</v>
      </c>
      <c r="B686" s="136" t="s">
        <v>3021</v>
      </c>
      <c r="C686" s="136" t="s">
        <v>10624</v>
      </c>
      <c r="D686" s="132" t="s">
        <v>3420</v>
      </c>
      <c r="E686" s="136" t="s">
        <v>2860</v>
      </c>
      <c r="F686" s="136" t="s">
        <v>2860</v>
      </c>
      <c r="G686" s="137">
        <v>1394394801001</v>
      </c>
      <c r="H686" s="138" t="s">
        <v>10183</v>
      </c>
      <c r="I686" s="136">
        <v>951500034</v>
      </c>
      <c r="J686" s="131" t="s">
        <v>2808</v>
      </c>
      <c r="K686" s="139">
        <v>660</v>
      </c>
    </row>
    <row r="687" spans="1:11">
      <c r="A687" s="1" t="str">
        <f t="shared" si="10"/>
        <v>15100-25779094-94150081345500</v>
      </c>
      <c r="B687" s="136" t="s">
        <v>10667</v>
      </c>
      <c r="C687" s="136" t="s">
        <v>10668</v>
      </c>
      <c r="D687" s="132" t="s">
        <v>3420</v>
      </c>
      <c r="E687" s="136" t="s">
        <v>2749</v>
      </c>
      <c r="F687" s="136" t="s">
        <v>2749</v>
      </c>
      <c r="G687" s="137">
        <v>1394394802001</v>
      </c>
      <c r="H687" s="138" t="s">
        <v>6298</v>
      </c>
      <c r="I687" s="136">
        <v>941500813</v>
      </c>
      <c r="J687" s="131" t="s">
        <v>2759</v>
      </c>
      <c r="K687" s="139">
        <v>45500</v>
      </c>
    </row>
    <row r="688" spans="1:11">
      <c r="A688" s="1" t="str">
        <f t="shared" si="10"/>
        <v>15100-25787794-94150081346140</v>
      </c>
      <c r="B688" s="136" t="s">
        <v>10669</v>
      </c>
      <c r="C688" s="136" t="s">
        <v>10670</v>
      </c>
      <c r="D688" s="132" t="s">
        <v>3420</v>
      </c>
      <c r="E688" s="136" t="s">
        <v>2749</v>
      </c>
      <c r="F688" s="136" t="s">
        <v>2749</v>
      </c>
      <c r="G688" s="137">
        <v>1394394802001</v>
      </c>
      <c r="H688" s="138" t="s">
        <v>6298</v>
      </c>
      <c r="I688" s="136">
        <v>941500813</v>
      </c>
      <c r="J688" s="131" t="s">
        <v>2759</v>
      </c>
      <c r="K688" s="139">
        <v>46140</v>
      </c>
    </row>
    <row r="689" spans="1:11">
      <c r="A689" s="1" t="str">
        <f t="shared" si="10"/>
        <v>50100-712254994-941500802401403</v>
      </c>
      <c r="B689" s="136" t="s">
        <v>10347</v>
      </c>
      <c r="C689" s="136" t="s">
        <v>10348</v>
      </c>
      <c r="D689" s="132" t="s">
        <v>3420</v>
      </c>
      <c r="E689" s="136" t="s">
        <v>2610</v>
      </c>
      <c r="F689" s="136" t="s">
        <v>2610</v>
      </c>
      <c r="G689" s="137">
        <v>1394392654001</v>
      </c>
      <c r="H689" s="138" t="s">
        <v>6453</v>
      </c>
      <c r="I689" s="136">
        <v>941500802</v>
      </c>
      <c r="J689" s="131" t="s">
        <v>6873</v>
      </c>
      <c r="K689" s="139">
        <v>401403</v>
      </c>
    </row>
    <row r="690" spans="1:11">
      <c r="A690" s="1" t="str">
        <f t="shared" si="10"/>
        <v>15100-39574295-95150059923120</v>
      </c>
      <c r="B690" s="136" t="s">
        <v>4831</v>
      </c>
      <c r="C690" s="136" t="s">
        <v>10310</v>
      </c>
      <c r="D690" s="132" t="s">
        <v>3420</v>
      </c>
      <c r="E690" s="136" t="s">
        <v>4876</v>
      </c>
      <c r="F690" s="136" t="s">
        <v>4876</v>
      </c>
      <c r="G690" s="137">
        <v>1395462017001</v>
      </c>
      <c r="H690" s="138" t="s">
        <v>6298</v>
      </c>
      <c r="I690" s="136">
        <v>951500599</v>
      </c>
      <c r="J690" s="131" t="s">
        <v>4954</v>
      </c>
      <c r="K690" s="139">
        <v>23120</v>
      </c>
    </row>
    <row r="691" spans="1:11">
      <c r="A691" s="1" t="str">
        <f t="shared" si="10"/>
        <v>50100-827834595-951500531451555</v>
      </c>
      <c r="B691" s="136" t="s">
        <v>4545</v>
      </c>
      <c r="C691" s="136" t="s">
        <v>10350</v>
      </c>
      <c r="D691" s="132" t="s">
        <v>3420</v>
      </c>
      <c r="E691" s="136" t="s">
        <v>4514</v>
      </c>
      <c r="F691" s="136" t="s">
        <v>4514</v>
      </c>
      <c r="G691" s="137">
        <v>1395447373001</v>
      </c>
      <c r="H691" s="138" t="s">
        <v>6453</v>
      </c>
      <c r="I691" s="136">
        <v>951500531</v>
      </c>
      <c r="J691" s="131" t="s">
        <v>4604</v>
      </c>
      <c r="K691" s="139">
        <v>451555</v>
      </c>
    </row>
    <row r="692" spans="1:11">
      <c r="A692" s="1" t="str">
        <f t="shared" si="10"/>
        <v>50100-757341795-951500174498209</v>
      </c>
      <c r="B692" s="136" t="s">
        <v>3293</v>
      </c>
      <c r="C692" s="136" t="s">
        <v>10360</v>
      </c>
      <c r="D692" s="132" t="s">
        <v>3420</v>
      </c>
      <c r="E692" s="136" t="s">
        <v>3321</v>
      </c>
      <c r="F692" s="136" t="s">
        <v>3321</v>
      </c>
      <c r="G692" s="137">
        <v>1395400303001</v>
      </c>
      <c r="H692" s="138" t="s">
        <v>6453</v>
      </c>
      <c r="I692" s="136">
        <v>951500174</v>
      </c>
      <c r="J692" s="131" t="s">
        <v>3345</v>
      </c>
      <c r="K692" s="139">
        <v>498209</v>
      </c>
    </row>
    <row r="693" spans="1:11">
      <c r="A693" s="1" t="str">
        <f t="shared" si="10"/>
        <v>15100-28541095-95150016347860</v>
      </c>
      <c r="B693" s="136" t="s">
        <v>3193</v>
      </c>
      <c r="C693" s="136" t="s">
        <v>10671</v>
      </c>
      <c r="D693" s="132" t="s">
        <v>3420</v>
      </c>
      <c r="E693" s="136" t="s">
        <v>3172</v>
      </c>
      <c r="F693" s="136" t="s">
        <v>3172</v>
      </c>
      <c r="G693" s="137">
        <v>1395401420001</v>
      </c>
      <c r="H693" s="138" t="s">
        <v>6298</v>
      </c>
      <c r="I693" s="136">
        <v>951500163</v>
      </c>
      <c r="J693" s="131" t="s">
        <v>2890</v>
      </c>
      <c r="K693" s="139">
        <v>47860</v>
      </c>
    </row>
    <row r="694" spans="1:11">
      <c r="A694" s="1" t="str">
        <f t="shared" si="10"/>
        <v>50100-784334195-951500257316520</v>
      </c>
      <c r="B694" s="136" t="s">
        <v>3680</v>
      </c>
      <c r="C694" s="136" t="s">
        <v>10365</v>
      </c>
      <c r="D694" s="132" t="s">
        <v>3420</v>
      </c>
      <c r="E694" s="136" t="s">
        <v>3665</v>
      </c>
      <c r="F694" s="136" t="s">
        <v>3665</v>
      </c>
      <c r="G694" s="137">
        <v>1395426989001</v>
      </c>
      <c r="H694" s="138" t="s">
        <v>6300</v>
      </c>
      <c r="I694" s="136">
        <v>951500257</v>
      </c>
      <c r="J694" s="131" t="s">
        <v>3677</v>
      </c>
      <c r="K694" s="139">
        <v>316520</v>
      </c>
    </row>
    <row r="695" spans="1:11">
      <c r="A695" s="1" t="str">
        <f t="shared" si="10"/>
        <v>50100-722803295-951500070548726</v>
      </c>
      <c r="B695" s="136" t="s">
        <v>2932</v>
      </c>
      <c r="C695" s="136" t="s">
        <v>10417</v>
      </c>
      <c r="D695" s="132" t="s">
        <v>3420</v>
      </c>
      <c r="E695" s="136" t="s">
        <v>2862</v>
      </c>
      <c r="F695" s="136" t="s">
        <v>2862</v>
      </c>
      <c r="G695" s="137">
        <v>1394395845001</v>
      </c>
      <c r="H695" s="138" t="s">
        <v>6453</v>
      </c>
      <c r="I695" s="136">
        <v>951500070</v>
      </c>
      <c r="J695" s="131" t="s">
        <v>2810</v>
      </c>
      <c r="K695" s="139">
        <v>548726</v>
      </c>
    </row>
    <row r="696" spans="1:11">
      <c r="A696" s="1" t="str">
        <f t="shared" si="10"/>
        <v>15100-25259894-94150077849260</v>
      </c>
      <c r="B696" s="136" t="s">
        <v>10672</v>
      </c>
      <c r="C696" s="136" t="s">
        <v>10673</v>
      </c>
      <c r="D696" s="132" t="s">
        <v>3420</v>
      </c>
      <c r="E696" s="136" t="s">
        <v>2614</v>
      </c>
      <c r="F696" s="136" t="s">
        <v>2614</v>
      </c>
      <c r="G696" s="137">
        <v>1394394178001</v>
      </c>
      <c r="H696" s="138" t="s">
        <v>6298</v>
      </c>
      <c r="I696" s="136">
        <v>941500778</v>
      </c>
      <c r="J696" s="131" t="s">
        <v>2549</v>
      </c>
      <c r="K696" s="139">
        <v>49260</v>
      </c>
    </row>
    <row r="697" spans="1:11">
      <c r="A697" s="1" t="str">
        <f t="shared" si="10"/>
        <v>15100-25464494-9415007541430</v>
      </c>
      <c r="B697" s="136" t="s">
        <v>2685</v>
      </c>
      <c r="C697" s="136" t="s">
        <v>10377</v>
      </c>
      <c r="D697" s="132" t="s">
        <v>3420</v>
      </c>
      <c r="E697" s="136" t="s">
        <v>2619</v>
      </c>
      <c r="F697" s="136" t="s">
        <v>2619</v>
      </c>
      <c r="G697" s="137">
        <v>1394394178001</v>
      </c>
      <c r="H697" s="138" t="s">
        <v>6298</v>
      </c>
      <c r="I697" s="136">
        <v>941500754</v>
      </c>
      <c r="J697" s="131" t="s">
        <v>2555</v>
      </c>
      <c r="K697" s="139">
        <v>1430</v>
      </c>
    </row>
    <row r="698" spans="1:11">
      <c r="A698" s="1" t="str">
        <f t="shared" si="10"/>
        <v>15100-27322994-94150084972080</v>
      </c>
      <c r="B698" s="136" t="s">
        <v>10674</v>
      </c>
      <c r="C698" s="136" t="s">
        <v>10675</v>
      </c>
      <c r="D698" s="132" t="s">
        <v>3420</v>
      </c>
      <c r="E698" s="136" t="s">
        <v>3040</v>
      </c>
      <c r="F698" s="136" t="s">
        <v>3040</v>
      </c>
      <c r="G698" s="137">
        <v>1394395844001</v>
      </c>
      <c r="H698" s="138" t="s">
        <v>6298</v>
      </c>
      <c r="I698" s="136">
        <v>941500849</v>
      </c>
      <c r="J698" s="131" t="s">
        <v>2875</v>
      </c>
      <c r="K698" s="139">
        <v>72080</v>
      </c>
    </row>
    <row r="699" spans="1:11">
      <c r="A699" s="1" t="str">
        <f t="shared" si="10"/>
        <v>15100-30354495-95150005824910</v>
      </c>
      <c r="B699" s="136" t="s">
        <v>3359</v>
      </c>
      <c r="C699" s="136" t="s">
        <v>10676</v>
      </c>
      <c r="D699" s="132" t="s">
        <v>3420</v>
      </c>
      <c r="E699" s="136" t="s">
        <v>3374</v>
      </c>
      <c r="F699" s="136" t="s">
        <v>3374</v>
      </c>
      <c r="G699" s="137">
        <v>1394395845001</v>
      </c>
      <c r="H699" s="138" t="s">
        <v>6453</v>
      </c>
      <c r="I699" s="136">
        <v>951500058</v>
      </c>
      <c r="J699" s="131" t="s">
        <v>3382</v>
      </c>
      <c r="K699" s="139">
        <v>24910</v>
      </c>
    </row>
    <row r="700" spans="1:11">
      <c r="A700" s="1" t="str">
        <f t="shared" si="10"/>
        <v>15100-27087995-95150009846840</v>
      </c>
      <c r="B700" s="136" t="s">
        <v>2822</v>
      </c>
      <c r="C700" s="136" t="s">
        <v>10677</v>
      </c>
      <c r="D700" s="132" t="s">
        <v>3420</v>
      </c>
      <c r="E700" s="136" t="s">
        <v>2857</v>
      </c>
      <c r="F700" s="136" t="s">
        <v>2857</v>
      </c>
      <c r="G700" s="137">
        <v>1395397985001</v>
      </c>
      <c r="H700" s="138" t="s">
        <v>6298</v>
      </c>
      <c r="I700" s="136">
        <v>951500098</v>
      </c>
      <c r="J700" s="131" t="s">
        <v>2881</v>
      </c>
      <c r="K700" s="139">
        <v>46840</v>
      </c>
    </row>
    <row r="701" spans="1:11">
      <c r="A701" s="1" t="str">
        <f t="shared" si="10"/>
        <v>15100-27262195-95150009857160</v>
      </c>
      <c r="B701" s="136" t="s">
        <v>2837</v>
      </c>
      <c r="C701" s="136" t="s">
        <v>10678</v>
      </c>
      <c r="D701" s="132" t="s">
        <v>3420</v>
      </c>
      <c r="E701" s="136" t="s">
        <v>2866</v>
      </c>
      <c r="F701" s="136" t="s">
        <v>2866</v>
      </c>
      <c r="G701" s="137">
        <v>1395397985001</v>
      </c>
      <c r="H701" s="138" t="s">
        <v>6298</v>
      </c>
      <c r="I701" s="136">
        <v>951500098</v>
      </c>
      <c r="J701" s="131" t="s">
        <v>2881</v>
      </c>
      <c r="K701" s="139">
        <v>57160</v>
      </c>
    </row>
    <row r="702" spans="1:11">
      <c r="A702" s="1" t="str">
        <f t="shared" si="10"/>
        <v>15100-36532695-95150049215900</v>
      </c>
      <c r="B702" s="136" t="s">
        <v>4332</v>
      </c>
      <c r="C702" s="136" t="s">
        <v>10679</v>
      </c>
      <c r="D702" s="132" t="s">
        <v>3420</v>
      </c>
      <c r="E702" s="136" t="s">
        <v>4175</v>
      </c>
      <c r="F702" s="136" t="s">
        <v>4175</v>
      </c>
      <c r="G702" s="137">
        <v>1395449236001</v>
      </c>
      <c r="H702" s="138" t="s">
        <v>6298</v>
      </c>
      <c r="I702" s="136">
        <v>951500492</v>
      </c>
      <c r="J702" s="131" t="s">
        <v>4302</v>
      </c>
      <c r="K702" s="139">
        <v>15900</v>
      </c>
    </row>
    <row r="703" spans="1:11">
      <c r="A703" s="1" t="str">
        <f t="shared" si="10"/>
        <v>15100-36070495-95150038223320</v>
      </c>
      <c r="B703" s="136" t="s">
        <v>4314</v>
      </c>
      <c r="C703" s="136" t="s">
        <v>10680</v>
      </c>
      <c r="D703" s="132" t="s">
        <v>3420</v>
      </c>
      <c r="E703" s="136" t="s">
        <v>4165</v>
      </c>
      <c r="F703" s="136" t="s">
        <v>4165</v>
      </c>
      <c r="G703" s="137">
        <v>1395445412001</v>
      </c>
      <c r="H703" s="138" t="s">
        <v>6298</v>
      </c>
      <c r="I703" s="136">
        <v>951500382</v>
      </c>
      <c r="J703" s="131" t="s">
        <v>4289</v>
      </c>
      <c r="K703" s="139">
        <v>23320</v>
      </c>
    </row>
    <row r="704" spans="1:11">
      <c r="A704" s="1" t="str">
        <f t="shared" si="10"/>
        <v>15100-34954595-951500402114840</v>
      </c>
      <c r="B704" s="136" t="s">
        <v>4113</v>
      </c>
      <c r="C704" s="136" t="s">
        <v>10681</v>
      </c>
      <c r="D704" s="132" t="s">
        <v>3420</v>
      </c>
      <c r="E704" s="136" t="s">
        <v>3965</v>
      </c>
      <c r="F704" s="136" t="s">
        <v>3965</v>
      </c>
      <c r="G704" s="137">
        <v>1395445412001</v>
      </c>
      <c r="H704" s="138" t="s">
        <v>6298</v>
      </c>
      <c r="I704" s="136">
        <v>951500402</v>
      </c>
      <c r="J704" s="131" t="s">
        <v>4288</v>
      </c>
      <c r="K704" s="139">
        <v>114840</v>
      </c>
    </row>
    <row r="705" spans="1:11">
      <c r="A705" s="1" t="str">
        <f t="shared" si="10"/>
        <v>15100-34954595-95150039647560</v>
      </c>
      <c r="B705" s="136" t="s">
        <v>4113</v>
      </c>
      <c r="C705" s="136" t="s">
        <v>10681</v>
      </c>
      <c r="D705" s="132" t="s">
        <v>3420</v>
      </c>
      <c r="E705" s="136" t="s">
        <v>3965</v>
      </c>
      <c r="F705" s="136" t="s">
        <v>3965</v>
      </c>
      <c r="G705" s="137">
        <v>1395441445001</v>
      </c>
      <c r="H705" s="138" t="s">
        <v>6299</v>
      </c>
      <c r="I705" s="136">
        <v>951500396</v>
      </c>
      <c r="J705" s="131" t="s">
        <v>3977</v>
      </c>
      <c r="K705" s="139">
        <v>47560</v>
      </c>
    </row>
    <row r="706" spans="1:11">
      <c r="A706" s="1" t="str">
        <f t="shared" si="10"/>
        <v>15100-34999495-95150040449850</v>
      </c>
      <c r="B706" s="136" t="s">
        <v>4107</v>
      </c>
      <c r="C706" s="136" t="s">
        <v>10682</v>
      </c>
      <c r="D706" s="132" t="s">
        <v>3420</v>
      </c>
      <c r="E706" s="136" t="s">
        <v>3932</v>
      </c>
      <c r="F706" s="136" t="s">
        <v>3932</v>
      </c>
      <c r="G706" s="137">
        <v>1395445412001</v>
      </c>
      <c r="H706" s="138" t="s">
        <v>6298</v>
      </c>
      <c r="I706" s="136">
        <v>951500404</v>
      </c>
      <c r="J706" s="131" t="s">
        <v>4265</v>
      </c>
      <c r="K706" s="139">
        <v>49850</v>
      </c>
    </row>
    <row r="707" spans="1:11">
      <c r="A707" s="1" t="str">
        <f t="shared" ref="A707:A770" si="11">B707&amp;J707&amp;K707</f>
        <v>15100-35223195-95150038247100</v>
      </c>
      <c r="B707" s="136" t="s">
        <v>4114</v>
      </c>
      <c r="C707" s="136" t="s">
        <v>10683</v>
      </c>
      <c r="D707" s="132" t="s">
        <v>3420</v>
      </c>
      <c r="E707" s="136" t="s">
        <v>4184</v>
      </c>
      <c r="F707" s="136" t="s">
        <v>4184</v>
      </c>
      <c r="G707" s="137">
        <v>1395445412001</v>
      </c>
      <c r="H707" s="138" t="s">
        <v>6298</v>
      </c>
      <c r="I707" s="136">
        <v>951500382</v>
      </c>
      <c r="J707" s="131" t="s">
        <v>4289</v>
      </c>
      <c r="K707" s="139">
        <v>47100</v>
      </c>
    </row>
    <row r="708" spans="1:11">
      <c r="A708" s="1" t="str">
        <f t="shared" si="11"/>
        <v>15100-37690695-95150056964850</v>
      </c>
      <c r="B708" s="136" t="s">
        <v>4645</v>
      </c>
      <c r="C708" s="136" t="s">
        <v>10684</v>
      </c>
      <c r="D708" s="132" t="s">
        <v>3420</v>
      </c>
      <c r="E708" s="136" t="s">
        <v>4661</v>
      </c>
      <c r="F708" s="136" t="s">
        <v>4661</v>
      </c>
      <c r="G708" s="137">
        <v>1395451401001</v>
      </c>
      <c r="H708" s="138" t="s">
        <v>6300</v>
      </c>
      <c r="I708" s="136">
        <v>951500569</v>
      </c>
      <c r="J708" s="131" t="s">
        <v>4703</v>
      </c>
      <c r="K708" s="139">
        <v>64850</v>
      </c>
    </row>
    <row r="709" spans="1:11">
      <c r="A709" s="1" t="str">
        <f t="shared" si="11"/>
        <v>15100-25825094-94150083298900</v>
      </c>
      <c r="B709" s="136" t="s">
        <v>10373</v>
      </c>
      <c r="C709" s="136" t="s">
        <v>10374</v>
      </c>
      <c r="D709" s="132" t="s">
        <v>3420</v>
      </c>
      <c r="E709" s="136" t="s">
        <v>2751</v>
      </c>
      <c r="F709" s="136" t="s">
        <v>2751</v>
      </c>
      <c r="G709" s="137">
        <v>1394395844001</v>
      </c>
      <c r="H709" s="138" t="s">
        <v>6298</v>
      </c>
      <c r="I709" s="136">
        <v>941500832</v>
      </c>
      <c r="J709" s="131" t="s">
        <v>2764</v>
      </c>
      <c r="K709" s="139">
        <v>98900</v>
      </c>
    </row>
    <row r="710" spans="1:11">
      <c r="A710" s="1" t="str">
        <f t="shared" si="11"/>
        <v>15100-25825094-94150078148960</v>
      </c>
      <c r="B710" s="136" t="s">
        <v>10373</v>
      </c>
      <c r="C710" s="136" t="s">
        <v>10374</v>
      </c>
      <c r="D710" s="132" t="s">
        <v>3420</v>
      </c>
      <c r="E710" s="136" t="s">
        <v>2751</v>
      </c>
      <c r="F710" s="136" t="s">
        <v>2751</v>
      </c>
      <c r="G710" s="137">
        <v>1394394178001</v>
      </c>
      <c r="H710" s="138" t="s">
        <v>6298</v>
      </c>
      <c r="I710" s="136">
        <v>941500781</v>
      </c>
      <c r="J710" s="131" t="s">
        <v>2563</v>
      </c>
      <c r="K710" s="139">
        <v>48960</v>
      </c>
    </row>
    <row r="711" spans="1:11">
      <c r="A711" s="1" t="str">
        <f t="shared" si="11"/>
        <v>15100-25464494-94150083273420</v>
      </c>
      <c r="B711" s="136" t="s">
        <v>2685</v>
      </c>
      <c r="C711" s="136" t="s">
        <v>10377</v>
      </c>
      <c r="D711" s="132" t="s">
        <v>3420</v>
      </c>
      <c r="E711" s="136" t="s">
        <v>2619</v>
      </c>
      <c r="F711" s="136" t="s">
        <v>2619</v>
      </c>
      <c r="G711" s="137">
        <v>1394395844001</v>
      </c>
      <c r="H711" s="138" t="s">
        <v>6298</v>
      </c>
      <c r="I711" s="136">
        <v>941500832</v>
      </c>
      <c r="J711" s="131" t="s">
        <v>2764</v>
      </c>
      <c r="K711" s="139">
        <v>73420</v>
      </c>
    </row>
    <row r="712" spans="1:11">
      <c r="A712" s="1" t="str">
        <f t="shared" si="11"/>
        <v>15100-26876094-941500849122390</v>
      </c>
      <c r="B712" s="136" t="s">
        <v>10378</v>
      </c>
      <c r="C712" s="136" t="s">
        <v>10379</v>
      </c>
      <c r="D712" s="132" t="s">
        <v>3420</v>
      </c>
      <c r="E712" s="136" t="s">
        <v>2855</v>
      </c>
      <c r="F712" s="136" t="s">
        <v>2855</v>
      </c>
      <c r="G712" s="137">
        <v>1394395844001</v>
      </c>
      <c r="H712" s="138" t="s">
        <v>6298</v>
      </c>
      <c r="I712" s="136">
        <v>941500849</v>
      </c>
      <c r="J712" s="131" t="s">
        <v>2875</v>
      </c>
      <c r="K712" s="139">
        <v>122390</v>
      </c>
    </row>
    <row r="713" spans="1:11">
      <c r="A713" s="1" t="str">
        <f t="shared" si="11"/>
        <v>15100-25727394-94150081071980</v>
      </c>
      <c r="B713" s="136" t="s">
        <v>10685</v>
      </c>
      <c r="C713" s="136" t="s">
        <v>10686</v>
      </c>
      <c r="D713" s="132" t="s">
        <v>3420</v>
      </c>
      <c r="E713" s="136" t="s">
        <v>2750</v>
      </c>
      <c r="F713" s="136" t="s">
        <v>2750</v>
      </c>
      <c r="G713" s="137">
        <v>1394394802001</v>
      </c>
      <c r="H713" s="138" t="s">
        <v>6298</v>
      </c>
      <c r="I713" s="136">
        <v>941500810</v>
      </c>
      <c r="J713" s="131" t="s">
        <v>2775</v>
      </c>
      <c r="K713" s="139">
        <v>71980</v>
      </c>
    </row>
    <row r="714" spans="1:11">
      <c r="A714" s="1" t="str">
        <f t="shared" si="11"/>
        <v>15100-25124994-94150071376240</v>
      </c>
      <c r="B714" s="136" t="s">
        <v>10413</v>
      </c>
      <c r="C714" s="136" t="s">
        <v>10414</v>
      </c>
      <c r="D714" s="132" t="s">
        <v>3420</v>
      </c>
      <c r="E714" s="136" t="s">
        <v>2608</v>
      </c>
      <c r="F714" s="136" t="s">
        <v>2608</v>
      </c>
      <c r="G714" s="137">
        <v>1394392935001</v>
      </c>
      <c r="H714" s="138" t="s">
        <v>6298</v>
      </c>
      <c r="I714" s="136">
        <v>941500713</v>
      </c>
      <c r="J714" s="131" t="s">
        <v>2763</v>
      </c>
      <c r="K714" s="139">
        <v>76240</v>
      </c>
    </row>
    <row r="715" spans="1:11">
      <c r="A715" s="1" t="str">
        <f t="shared" si="11"/>
        <v>15100-25219494-94150081048260</v>
      </c>
      <c r="B715" s="136" t="s">
        <v>10687</v>
      </c>
      <c r="C715" s="136" t="s">
        <v>10688</v>
      </c>
      <c r="D715" s="132" t="s">
        <v>3420</v>
      </c>
      <c r="E715" s="136" t="s">
        <v>2616</v>
      </c>
      <c r="F715" s="136" t="s">
        <v>2616</v>
      </c>
      <c r="G715" s="137">
        <v>1394394802001</v>
      </c>
      <c r="H715" s="138" t="s">
        <v>6298</v>
      </c>
      <c r="I715" s="136">
        <v>941500810</v>
      </c>
      <c r="J715" s="131" t="s">
        <v>2775</v>
      </c>
      <c r="K715" s="139">
        <v>48260</v>
      </c>
    </row>
    <row r="716" spans="1:11">
      <c r="A716" s="1" t="str">
        <f t="shared" si="11"/>
        <v>15100-26809495-95150010375480</v>
      </c>
      <c r="B716" s="136" t="s">
        <v>2829</v>
      </c>
      <c r="C716" s="136" t="s">
        <v>10689</v>
      </c>
      <c r="D716" s="132" t="s">
        <v>3420</v>
      </c>
      <c r="E716" s="136" t="s">
        <v>2851</v>
      </c>
      <c r="F716" s="136" t="s">
        <v>2851</v>
      </c>
      <c r="G716" s="137">
        <v>1395397986001</v>
      </c>
      <c r="H716" s="138" t="s">
        <v>6454</v>
      </c>
      <c r="I716" s="136">
        <v>951500103</v>
      </c>
      <c r="J716" s="131" t="s">
        <v>2886</v>
      </c>
      <c r="K716" s="139">
        <v>75480</v>
      </c>
    </row>
    <row r="717" spans="1:11">
      <c r="A717" s="1" t="str">
        <f t="shared" si="11"/>
        <v>50100-724670995-952500008289098</v>
      </c>
      <c r="B717" s="136" t="s">
        <v>3019</v>
      </c>
      <c r="C717" s="136" t="s">
        <v>10629</v>
      </c>
      <c r="D717" s="132" t="s">
        <v>3420</v>
      </c>
      <c r="E717" s="136" t="s">
        <v>2870</v>
      </c>
      <c r="F717" s="136" t="s">
        <v>2870</v>
      </c>
      <c r="G717" s="137">
        <v>1395397987001</v>
      </c>
      <c r="H717" s="138" t="s">
        <v>10183</v>
      </c>
      <c r="I717" s="136">
        <v>952500008</v>
      </c>
      <c r="J717" s="131" t="s">
        <v>3140</v>
      </c>
      <c r="K717" s="139">
        <v>289098</v>
      </c>
    </row>
    <row r="718" spans="1:11">
      <c r="A718" s="1" t="str">
        <f t="shared" si="11"/>
        <v>50100-716615595-951500007791620</v>
      </c>
      <c r="B718" s="136" t="s">
        <v>2607</v>
      </c>
      <c r="C718" s="136" t="s">
        <v>10690</v>
      </c>
      <c r="D718" s="132" t="s">
        <v>3420</v>
      </c>
      <c r="E718" s="136" t="s">
        <v>2612</v>
      </c>
      <c r="F718" s="136" t="s">
        <v>2612</v>
      </c>
      <c r="G718" s="137">
        <v>1394395845001</v>
      </c>
      <c r="H718" s="138" t="s">
        <v>6453</v>
      </c>
      <c r="I718" s="136">
        <v>951500007</v>
      </c>
      <c r="J718" s="131" t="s">
        <v>2662</v>
      </c>
      <c r="K718" s="139">
        <v>791620</v>
      </c>
    </row>
    <row r="719" spans="1:11">
      <c r="A719" s="1" t="str">
        <f t="shared" si="11"/>
        <v>50100-723311095-951500069396237</v>
      </c>
      <c r="B719" s="136" t="s">
        <v>2929</v>
      </c>
      <c r="C719" s="136" t="s">
        <v>10625</v>
      </c>
      <c r="D719" s="132" t="s">
        <v>3420</v>
      </c>
      <c r="E719" s="136" t="s">
        <v>2854</v>
      </c>
      <c r="F719" s="136" t="s">
        <v>2854</v>
      </c>
      <c r="G719" s="137">
        <v>1394395845001</v>
      </c>
      <c r="H719" s="138" t="s">
        <v>6453</v>
      </c>
      <c r="I719" s="136">
        <v>951500069</v>
      </c>
      <c r="J719" s="131" t="s">
        <v>3086</v>
      </c>
      <c r="K719" s="139">
        <v>396237</v>
      </c>
    </row>
    <row r="720" spans="1:11">
      <c r="A720" s="1" t="str">
        <f t="shared" si="11"/>
        <v>15100-25777895-95150001275100</v>
      </c>
      <c r="B720" s="136" t="s">
        <v>2683</v>
      </c>
      <c r="C720" s="136" t="s">
        <v>10630</v>
      </c>
      <c r="D720" s="132" t="s">
        <v>3420</v>
      </c>
      <c r="E720" s="136" t="s">
        <v>2749</v>
      </c>
      <c r="F720" s="136" t="s">
        <v>2749</v>
      </c>
      <c r="G720" s="137">
        <v>1394392647001</v>
      </c>
      <c r="H720" s="138" t="s">
        <v>6454</v>
      </c>
      <c r="I720" s="136">
        <v>951500012</v>
      </c>
      <c r="J720" s="131" t="s">
        <v>2769</v>
      </c>
      <c r="K720" s="139">
        <v>75100</v>
      </c>
    </row>
    <row r="721" spans="1:11">
      <c r="A721" s="1" t="str">
        <f t="shared" si="11"/>
        <v>15100-25464495-951500012172730</v>
      </c>
      <c r="B721" s="136" t="s">
        <v>2685</v>
      </c>
      <c r="C721" s="136" t="s">
        <v>10377</v>
      </c>
      <c r="D721" s="132" t="s">
        <v>3420</v>
      </c>
      <c r="E721" s="136" t="s">
        <v>2619</v>
      </c>
      <c r="F721" s="136" t="s">
        <v>2619</v>
      </c>
      <c r="G721" s="137">
        <v>1394392647001</v>
      </c>
      <c r="H721" s="138" t="s">
        <v>6454</v>
      </c>
      <c r="I721" s="136">
        <v>951500012</v>
      </c>
      <c r="J721" s="131" t="s">
        <v>2769</v>
      </c>
      <c r="K721" s="139">
        <v>172730</v>
      </c>
    </row>
    <row r="722" spans="1:11">
      <c r="A722" s="1" t="str">
        <f t="shared" si="11"/>
        <v>15100-27591695-95150005046940</v>
      </c>
      <c r="B722" s="136" t="s">
        <v>2912</v>
      </c>
      <c r="C722" s="136" t="s">
        <v>10691</v>
      </c>
      <c r="D722" s="132" t="s">
        <v>3420</v>
      </c>
      <c r="E722" s="136" t="s">
        <v>3049</v>
      </c>
      <c r="F722" s="136" t="s">
        <v>3049</v>
      </c>
      <c r="G722" s="137">
        <v>1395397985001</v>
      </c>
      <c r="H722" s="138" t="s">
        <v>6298</v>
      </c>
      <c r="I722" s="136">
        <v>951500050</v>
      </c>
      <c r="J722" s="131" t="s">
        <v>2889</v>
      </c>
      <c r="K722" s="139">
        <v>46940</v>
      </c>
    </row>
    <row r="723" spans="1:11">
      <c r="A723" s="1" t="str">
        <f t="shared" si="11"/>
        <v>15100-27550895-95150005071860</v>
      </c>
      <c r="B723" s="136" t="s">
        <v>2913</v>
      </c>
      <c r="C723" s="136" t="s">
        <v>10692</v>
      </c>
      <c r="D723" s="132" t="s">
        <v>3420</v>
      </c>
      <c r="E723" s="136" t="s">
        <v>3044</v>
      </c>
      <c r="F723" s="136" t="s">
        <v>3044</v>
      </c>
      <c r="G723" s="137">
        <v>1395397985001</v>
      </c>
      <c r="H723" s="138" t="s">
        <v>6298</v>
      </c>
      <c r="I723" s="136">
        <v>951500050</v>
      </c>
      <c r="J723" s="131" t="s">
        <v>2889</v>
      </c>
      <c r="K723" s="139">
        <v>71860</v>
      </c>
    </row>
    <row r="724" spans="1:11">
      <c r="A724" s="1" t="str">
        <f t="shared" si="11"/>
        <v>15100-28245794-94150081245950</v>
      </c>
      <c r="B724" s="136" t="s">
        <v>10693</v>
      </c>
      <c r="C724" s="136" t="s">
        <v>10694</v>
      </c>
      <c r="D724" s="132" t="s">
        <v>3420</v>
      </c>
      <c r="E724" s="136" t="s">
        <v>10695</v>
      </c>
      <c r="F724" s="136" t="s">
        <v>10695</v>
      </c>
      <c r="G724" s="137">
        <v>1394394802001</v>
      </c>
      <c r="H724" s="138" t="s">
        <v>6298</v>
      </c>
      <c r="I724" s="136">
        <v>941500812</v>
      </c>
      <c r="J724" s="131" t="s">
        <v>3211</v>
      </c>
      <c r="K724" s="139">
        <v>45950</v>
      </c>
    </row>
    <row r="725" spans="1:11">
      <c r="A725" s="1" t="str">
        <f t="shared" si="11"/>
        <v>15100-33627295-951500284170760</v>
      </c>
      <c r="B725" s="136" t="s">
        <v>3818</v>
      </c>
      <c r="C725" s="136" t="s">
        <v>10696</v>
      </c>
      <c r="D725" s="132" t="s">
        <v>3420</v>
      </c>
      <c r="E725" s="136" t="s">
        <v>3767</v>
      </c>
      <c r="F725" s="136" t="s">
        <v>3767</v>
      </c>
      <c r="G725" s="137">
        <v>1395436005001</v>
      </c>
      <c r="H725" s="138" t="s">
        <v>6298</v>
      </c>
      <c r="I725" s="136">
        <v>951500284</v>
      </c>
      <c r="J725" s="131" t="s">
        <v>3840</v>
      </c>
      <c r="K725" s="139">
        <v>170760</v>
      </c>
    </row>
    <row r="726" spans="1:11">
      <c r="A726" s="1" t="str">
        <f t="shared" si="11"/>
        <v>15100-33631795-95150028452820</v>
      </c>
      <c r="B726" s="136" t="s">
        <v>3816</v>
      </c>
      <c r="C726" s="136" t="s">
        <v>10697</v>
      </c>
      <c r="D726" s="132" t="s">
        <v>3420</v>
      </c>
      <c r="E726" s="136" t="s">
        <v>3767</v>
      </c>
      <c r="F726" s="136" t="s">
        <v>3767</v>
      </c>
      <c r="G726" s="137">
        <v>1395436005001</v>
      </c>
      <c r="H726" s="138" t="s">
        <v>6298</v>
      </c>
      <c r="I726" s="136">
        <v>951500284</v>
      </c>
      <c r="J726" s="131" t="s">
        <v>3840</v>
      </c>
      <c r="K726" s="139">
        <v>52820</v>
      </c>
    </row>
    <row r="727" spans="1:11">
      <c r="A727" s="1" t="str">
        <f t="shared" si="11"/>
        <v>15100-34090895-951500284140370</v>
      </c>
      <c r="B727" s="136" t="s">
        <v>3819</v>
      </c>
      <c r="C727" s="136" t="s">
        <v>10698</v>
      </c>
      <c r="D727" s="132" t="s">
        <v>3420</v>
      </c>
      <c r="E727" s="136" t="s">
        <v>3828</v>
      </c>
      <c r="F727" s="136" t="s">
        <v>3828</v>
      </c>
      <c r="G727" s="137">
        <v>1395436005001</v>
      </c>
      <c r="H727" s="138" t="s">
        <v>6298</v>
      </c>
      <c r="I727" s="136">
        <v>951500284</v>
      </c>
      <c r="J727" s="131" t="s">
        <v>3840</v>
      </c>
      <c r="K727" s="139">
        <v>140370</v>
      </c>
    </row>
    <row r="728" spans="1:11">
      <c r="A728" s="1" t="str">
        <f t="shared" si="11"/>
        <v>15100-27262195-95150005012370</v>
      </c>
      <c r="B728" s="136" t="s">
        <v>2837</v>
      </c>
      <c r="C728" s="136" t="s">
        <v>10678</v>
      </c>
      <c r="D728" s="132" t="s">
        <v>3420</v>
      </c>
      <c r="E728" s="136" t="s">
        <v>2866</v>
      </c>
      <c r="F728" s="136" t="s">
        <v>2866</v>
      </c>
      <c r="G728" s="137">
        <v>1395397985001</v>
      </c>
      <c r="H728" s="138" t="s">
        <v>6298</v>
      </c>
      <c r="I728" s="136">
        <v>951500050</v>
      </c>
      <c r="J728" s="131" t="s">
        <v>2889</v>
      </c>
      <c r="K728" s="139">
        <v>12370</v>
      </c>
    </row>
    <row r="729" spans="1:11">
      <c r="A729" s="1" t="str">
        <f t="shared" si="11"/>
        <v>15100-26447695-95150005050490</v>
      </c>
      <c r="B729" s="136" t="s">
        <v>2847</v>
      </c>
      <c r="C729" s="136" t="s">
        <v>10699</v>
      </c>
      <c r="D729" s="132" t="s">
        <v>3420</v>
      </c>
      <c r="E729" s="136" t="s">
        <v>3045</v>
      </c>
      <c r="F729" s="136" t="s">
        <v>3045</v>
      </c>
      <c r="G729" s="137">
        <v>1395397985001</v>
      </c>
      <c r="H729" s="138" t="s">
        <v>6298</v>
      </c>
      <c r="I729" s="136">
        <v>951500050</v>
      </c>
      <c r="J729" s="131" t="s">
        <v>2889</v>
      </c>
      <c r="K729" s="139">
        <v>50490</v>
      </c>
    </row>
    <row r="730" spans="1:11">
      <c r="A730" s="1" t="str">
        <f t="shared" si="11"/>
        <v>15100-25062794-94150075865290</v>
      </c>
      <c r="B730" s="136" t="s">
        <v>10631</v>
      </c>
      <c r="C730" s="136" t="s">
        <v>10632</v>
      </c>
      <c r="D730" s="132" t="s">
        <v>3420</v>
      </c>
      <c r="E730" s="136" t="s">
        <v>2613</v>
      </c>
      <c r="F730" s="136" t="s">
        <v>2613</v>
      </c>
      <c r="G730" s="137">
        <v>1394394178001</v>
      </c>
      <c r="H730" s="138" t="s">
        <v>6298</v>
      </c>
      <c r="I730" s="136">
        <v>941500758</v>
      </c>
      <c r="J730" s="131" t="s">
        <v>2552</v>
      </c>
      <c r="K730" s="139">
        <v>65290</v>
      </c>
    </row>
    <row r="731" spans="1:11">
      <c r="A731" s="1" t="str">
        <f t="shared" si="11"/>
        <v>50100-850596096-9641000031049749</v>
      </c>
      <c r="B731" s="136" t="s">
        <v>4983</v>
      </c>
      <c r="C731" s="136" t="s">
        <v>8945</v>
      </c>
      <c r="D731" s="132" t="s">
        <v>4971</v>
      </c>
      <c r="E731" s="136" t="s">
        <v>5008</v>
      </c>
      <c r="F731" s="136" t="s">
        <v>5008</v>
      </c>
      <c r="G731" s="137">
        <v>1395464364001</v>
      </c>
      <c r="H731" s="138" t="s">
        <v>10183</v>
      </c>
      <c r="I731" s="136">
        <v>964100003</v>
      </c>
      <c r="J731" s="131" t="s">
        <v>5024</v>
      </c>
      <c r="K731" s="139">
        <v>1049749</v>
      </c>
    </row>
    <row r="732" spans="1:11">
      <c r="A732" s="1" t="str">
        <f t="shared" si="11"/>
        <v>50100-824805895-9541000271086740</v>
      </c>
      <c r="B732" s="136" t="s">
        <v>4542</v>
      </c>
      <c r="C732" s="136" t="s">
        <v>10700</v>
      </c>
      <c r="D732" s="132" t="s">
        <v>3420</v>
      </c>
      <c r="E732" s="136" t="s">
        <v>4570</v>
      </c>
      <c r="F732" s="136" t="s">
        <v>4570</v>
      </c>
      <c r="G732" s="137">
        <v>1395399148001</v>
      </c>
      <c r="H732" s="138" t="s">
        <v>10183</v>
      </c>
      <c r="I732" s="136">
        <v>954100027</v>
      </c>
      <c r="J732" s="131" t="s">
        <v>4596</v>
      </c>
      <c r="K732" s="139">
        <v>1086740</v>
      </c>
    </row>
    <row r="733" spans="1:11">
      <c r="A733" s="1" t="str">
        <f t="shared" si="11"/>
        <v>50100-755494495-95150014618010</v>
      </c>
      <c r="B733" s="136" t="s">
        <v>3315</v>
      </c>
      <c r="C733" s="136" t="s">
        <v>10647</v>
      </c>
      <c r="D733" s="132" t="s">
        <v>3420</v>
      </c>
      <c r="E733" s="136" t="s">
        <v>3327</v>
      </c>
      <c r="F733" s="136" t="s">
        <v>3327</v>
      </c>
      <c r="G733" s="137">
        <v>1395401420001</v>
      </c>
      <c r="H733" s="138" t="s">
        <v>6298</v>
      </c>
      <c r="I733" s="136">
        <v>951500146</v>
      </c>
      <c r="J733" s="131" t="s">
        <v>3353</v>
      </c>
      <c r="K733" s="139">
        <v>18010</v>
      </c>
    </row>
    <row r="734" spans="1:11">
      <c r="A734" s="1" t="str">
        <f t="shared" si="11"/>
        <v>50100-847428095-951500571255068</v>
      </c>
      <c r="B734" s="136" t="s">
        <v>4810</v>
      </c>
      <c r="C734" s="136" t="s">
        <v>10701</v>
      </c>
      <c r="D734" s="132" t="s">
        <v>3420</v>
      </c>
      <c r="E734" s="136" t="s">
        <v>4876</v>
      </c>
      <c r="F734" s="136" t="s">
        <v>4876</v>
      </c>
      <c r="G734" s="137">
        <v>1395451399001</v>
      </c>
      <c r="H734" s="138" t="s">
        <v>10206</v>
      </c>
      <c r="I734" s="136">
        <v>951500571</v>
      </c>
      <c r="J734" s="131" t="s">
        <v>4937</v>
      </c>
      <c r="K734" s="139">
        <v>255068</v>
      </c>
    </row>
    <row r="735" spans="1:11">
      <c r="A735" s="1" t="str">
        <f t="shared" si="11"/>
        <v>50100-821718595-951500266495000</v>
      </c>
      <c r="B735" s="136" t="s">
        <v>4425</v>
      </c>
      <c r="C735" s="136" t="s">
        <v>10702</v>
      </c>
      <c r="D735" s="132" t="s">
        <v>3420</v>
      </c>
      <c r="E735" s="136" t="s">
        <v>4307</v>
      </c>
      <c r="F735" s="136" t="s">
        <v>4307</v>
      </c>
      <c r="G735" s="137">
        <v>1395435642001</v>
      </c>
      <c r="H735" s="138" t="s">
        <v>10206</v>
      </c>
      <c r="I735" s="136">
        <v>951500266</v>
      </c>
      <c r="J735" s="131" t="s">
        <v>4226</v>
      </c>
      <c r="K735" s="139">
        <v>495000</v>
      </c>
    </row>
    <row r="736" spans="1:11">
      <c r="A736" s="1" t="str">
        <f t="shared" si="11"/>
        <v>50100-719914995-951500024142253</v>
      </c>
      <c r="B736" s="136" t="s">
        <v>2698</v>
      </c>
      <c r="C736" s="136" t="s">
        <v>10703</v>
      </c>
      <c r="D736" s="132" t="s">
        <v>3420</v>
      </c>
      <c r="E736" s="136" t="s">
        <v>2756</v>
      </c>
      <c r="F736" s="136" t="s">
        <v>2756</v>
      </c>
      <c r="G736" s="137">
        <v>1394395845001</v>
      </c>
      <c r="H736" s="138" t="s">
        <v>6453</v>
      </c>
      <c r="I736" s="136">
        <v>951500024</v>
      </c>
      <c r="J736" s="131" t="s">
        <v>2790</v>
      </c>
      <c r="K736" s="139">
        <v>142253</v>
      </c>
    </row>
    <row r="737" spans="1:11">
      <c r="A737" s="1" t="str">
        <f t="shared" si="11"/>
        <v>15100-29047994-94150083425690</v>
      </c>
      <c r="B737" s="136" t="s">
        <v>10704</v>
      </c>
      <c r="C737" s="136" t="s">
        <v>10705</v>
      </c>
      <c r="D737" s="132" t="s">
        <v>3420</v>
      </c>
      <c r="E737" s="136" t="s">
        <v>10706</v>
      </c>
      <c r="F737" s="136" t="s">
        <v>10706</v>
      </c>
      <c r="G737" s="137">
        <v>1394395844001</v>
      </c>
      <c r="H737" s="138" t="s">
        <v>6298</v>
      </c>
      <c r="I737" s="136">
        <v>941500834</v>
      </c>
      <c r="J737" s="131" t="s">
        <v>2772</v>
      </c>
      <c r="K737" s="139">
        <v>25690</v>
      </c>
    </row>
    <row r="738" spans="1:11">
      <c r="A738" s="1" t="str">
        <f t="shared" si="11"/>
        <v>15100-27322994-94150077420150</v>
      </c>
      <c r="B738" s="136" t="s">
        <v>10674</v>
      </c>
      <c r="C738" s="136" t="s">
        <v>10675</v>
      </c>
      <c r="D738" s="132" t="s">
        <v>3420</v>
      </c>
      <c r="E738" s="136" t="s">
        <v>3040</v>
      </c>
      <c r="F738" s="136" t="s">
        <v>3040</v>
      </c>
      <c r="G738" s="137">
        <v>1394394178001</v>
      </c>
      <c r="H738" s="138" t="s">
        <v>6298</v>
      </c>
      <c r="I738" s="136">
        <v>941500774</v>
      </c>
      <c r="J738" s="131" t="s">
        <v>2878</v>
      </c>
      <c r="K738" s="139">
        <v>20150</v>
      </c>
    </row>
    <row r="739" spans="1:11">
      <c r="A739" s="1" t="str">
        <f t="shared" si="11"/>
        <v>15100-30354495-951500180110025</v>
      </c>
      <c r="B739" s="136" t="s">
        <v>3359</v>
      </c>
      <c r="C739" s="136" t="s">
        <v>10676</v>
      </c>
      <c r="D739" s="132" t="s">
        <v>3420</v>
      </c>
      <c r="E739" s="136" t="s">
        <v>3374</v>
      </c>
      <c r="F739" s="136" t="s">
        <v>3374</v>
      </c>
      <c r="G739" s="137">
        <v>1395401420001</v>
      </c>
      <c r="H739" s="138" t="s">
        <v>6298</v>
      </c>
      <c r="I739" s="136">
        <v>951500180</v>
      </c>
      <c r="J739" s="131" t="s">
        <v>3384</v>
      </c>
      <c r="K739" s="139">
        <v>110025</v>
      </c>
    </row>
    <row r="740" spans="1:11">
      <c r="A740" s="1" t="str">
        <f t="shared" si="11"/>
        <v>15100-34954595-951500405261060</v>
      </c>
      <c r="B740" s="136" t="s">
        <v>4113</v>
      </c>
      <c r="C740" s="136" t="s">
        <v>10681</v>
      </c>
      <c r="D740" s="132" t="s">
        <v>3420</v>
      </c>
      <c r="E740" s="136" t="s">
        <v>3965</v>
      </c>
      <c r="F740" s="136" t="s">
        <v>3965</v>
      </c>
      <c r="G740" s="137">
        <v>1395447370001</v>
      </c>
      <c r="H740" s="138" t="s">
        <v>6299</v>
      </c>
      <c r="I740" s="136">
        <v>951500405</v>
      </c>
      <c r="J740" s="131" t="s">
        <v>4287</v>
      </c>
      <c r="K740" s="139">
        <v>261060</v>
      </c>
    </row>
    <row r="741" spans="1:11">
      <c r="A741" s="1" t="str">
        <f t="shared" si="11"/>
        <v>15100-35223495-95150038592020</v>
      </c>
      <c r="B741" s="136" t="s">
        <v>4110</v>
      </c>
      <c r="C741" s="136" t="s">
        <v>10707</v>
      </c>
      <c r="D741" s="132" t="s">
        <v>3420</v>
      </c>
      <c r="E741" s="136" t="s">
        <v>4184</v>
      </c>
      <c r="F741" s="136" t="s">
        <v>4184</v>
      </c>
      <c r="G741" s="137">
        <v>1395445412001</v>
      </c>
      <c r="H741" s="138" t="s">
        <v>6298</v>
      </c>
      <c r="I741" s="136">
        <v>951500385</v>
      </c>
      <c r="J741" s="131" t="s">
        <v>4268</v>
      </c>
      <c r="K741" s="139">
        <v>92020</v>
      </c>
    </row>
    <row r="742" spans="1:11">
      <c r="A742" s="1" t="str">
        <f t="shared" si="11"/>
        <v>15100-29216695-95150004411270</v>
      </c>
      <c r="B742" s="136" t="s">
        <v>3264</v>
      </c>
      <c r="C742" s="136" t="s">
        <v>10708</v>
      </c>
      <c r="D742" s="132" t="s">
        <v>3420</v>
      </c>
      <c r="E742" s="136" t="s">
        <v>3277</v>
      </c>
      <c r="F742" s="136" t="s">
        <v>3277</v>
      </c>
      <c r="G742" s="137">
        <v>1394395845001</v>
      </c>
      <c r="H742" s="138" t="s">
        <v>6453</v>
      </c>
      <c r="I742" s="136">
        <v>951500044</v>
      </c>
      <c r="J742" s="131" t="s">
        <v>3053</v>
      </c>
      <c r="K742" s="139">
        <v>11270</v>
      </c>
    </row>
    <row r="743" spans="1:11">
      <c r="A743" s="1" t="str">
        <f t="shared" si="11"/>
        <v>15100-25726194-94150074936000</v>
      </c>
      <c r="B743" s="136" t="s">
        <v>10371</v>
      </c>
      <c r="C743" s="136" t="s">
        <v>10372</v>
      </c>
      <c r="D743" s="132" t="s">
        <v>3420</v>
      </c>
      <c r="E743" s="136" t="s">
        <v>2750</v>
      </c>
      <c r="F743" s="136" t="s">
        <v>2750</v>
      </c>
      <c r="G743" s="137">
        <v>1394392654001</v>
      </c>
      <c r="H743" s="138" t="s">
        <v>6453</v>
      </c>
      <c r="I743" s="136">
        <v>941500749</v>
      </c>
      <c r="J743" s="131" t="s">
        <v>6847</v>
      </c>
      <c r="K743" s="139">
        <v>36000</v>
      </c>
    </row>
    <row r="744" spans="1:11">
      <c r="A744" s="1" t="str">
        <f t="shared" si="11"/>
        <v>15100-25825094-94150064724740</v>
      </c>
      <c r="B744" s="136" t="s">
        <v>10373</v>
      </c>
      <c r="C744" s="136" t="s">
        <v>10374</v>
      </c>
      <c r="D744" s="132" t="s">
        <v>3420</v>
      </c>
      <c r="E744" s="136" t="s">
        <v>2751</v>
      </c>
      <c r="F744" s="136" t="s">
        <v>2751</v>
      </c>
      <c r="G744" s="137">
        <v>1394390338001</v>
      </c>
      <c r="H744" s="138" t="s">
        <v>6298</v>
      </c>
      <c r="I744" s="136">
        <v>941500647</v>
      </c>
      <c r="J744" s="131" t="s">
        <v>2539</v>
      </c>
      <c r="K744" s="139">
        <v>24740</v>
      </c>
    </row>
    <row r="745" spans="1:11">
      <c r="A745" s="1" t="str">
        <f t="shared" si="11"/>
        <v>15100-25983394-94150072737270</v>
      </c>
      <c r="B745" s="136" t="s">
        <v>10709</v>
      </c>
      <c r="C745" s="136" t="s">
        <v>10710</v>
      </c>
      <c r="D745" s="132" t="s">
        <v>3420</v>
      </c>
      <c r="E745" s="136" t="s">
        <v>2756</v>
      </c>
      <c r="F745" s="136" t="s">
        <v>2756</v>
      </c>
      <c r="G745" s="137">
        <v>1394392646001</v>
      </c>
      <c r="H745" s="138" t="s">
        <v>6298</v>
      </c>
      <c r="I745" s="136">
        <v>941500727</v>
      </c>
      <c r="J745" s="131" t="s">
        <v>2562</v>
      </c>
      <c r="K745" s="139">
        <v>37270</v>
      </c>
    </row>
    <row r="746" spans="1:11">
      <c r="A746" s="1" t="str">
        <f t="shared" si="11"/>
        <v>15100-26193494-941500799203400</v>
      </c>
      <c r="B746" s="136" t="s">
        <v>10711</v>
      </c>
      <c r="C746" s="136" t="s">
        <v>10712</v>
      </c>
      <c r="D746" s="132" t="s">
        <v>3420</v>
      </c>
      <c r="E746" s="136" t="s">
        <v>2861</v>
      </c>
      <c r="F746" s="136" t="s">
        <v>2861</v>
      </c>
      <c r="G746" s="137">
        <v>1394394802001</v>
      </c>
      <c r="H746" s="138" t="s">
        <v>6298</v>
      </c>
      <c r="I746" s="136">
        <v>941500799</v>
      </c>
      <c r="J746" s="131" t="s">
        <v>2888</v>
      </c>
      <c r="K746" s="139">
        <v>203400</v>
      </c>
    </row>
    <row r="747" spans="1:11">
      <c r="A747" s="1" t="str">
        <f t="shared" si="11"/>
        <v>15100-26197395-95150001375800</v>
      </c>
      <c r="B747" s="136" t="s">
        <v>2824</v>
      </c>
      <c r="C747" s="136" t="s">
        <v>10713</v>
      </c>
      <c r="D747" s="132" t="s">
        <v>3420</v>
      </c>
      <c r="E747" s="136" t="s">
        <v>2861</v>
      </c>
      <c r="F747" s="136" t="s">
        <v>2861</v>
      </c>
      <c r="G747" s="137">
        <v>1394394801001</v>
      </c>
      <c r="H747" s="138" t="s">
        <v>10183</v>
      </c>
      <c r="I747" s="136">
        <v>951500013</v>
      </c>
      <c r="J747" s="131" t="s">
        <v>2773</v>
      </c>
      <c r="K747" s="139">
        <v>75800</v>
      </c>
    </row>
    <row r="748" spans="1:11">
      <c r="A748" s="1" t="str">
        <f t="shared" si="11"/>
        <v>15100-29285794-941500850219020</v>
      </c>
      <c r="B748" s="136" t="s">
        <v>10714</v>
      </c>
      <c r="C748" s="136" t="s">
        <v>10715</v>
      </c>
      <c r="D748" s="132" t="s">
        <v>3420</v>
      </c>
      <c r="E748" s="136" t="s">
        <v>3276</v>
      </c>
      <c r="F748" s="136" t="s">
        <v>3276</v>
      </c>
      <c r="G748" s="137">
        <v>1394395844001</v>
      </c>
      <c r="H748" s="138" t="s">
        <v>6298</v>
      </c>
      <c r="I748" s="136">
        <v>941500850</v>
      </c>
      <c r="J748" s="131" t="s">
        <v>3284</v>
      </c>
      <c r="K748" s="139">
        <v>219020</v>
      </c>
    </row>
    <row r="749" spans="1:11">
      <c r="A749" s="1" t="str">
        <f t="shared" si="11"/>
        <v>50100-758390995-951500141708648</v>
      </c>
      <c r="B749" s="136" t="s">
        <v>3316</v>
      </c>
      <c r="C749" s="136" t="s">
        <v>10716</v>
      </c>
      <c r="D749" s="132" t="s">
        <v>3420</v>
      </c>
      <c r="E749" s="136" t="s">
        <v>3324</v>
      </c>
      <c r="F749" s="136" t="s">
        <v>3324</v>
      </c>
      <c r="G749" s="137">
        <v>1395397987001</v>
      </c>
      <c r="H749" s="138" t="s">
        <v>10183</v>
      </c>
      <c r="I749" s="136">
        <v>951500141</v>
      </c>
      <c r="J749" s="131" t="s">
        <v>3186</v>
      </c>
      <c r="K749" s="139">
        <v>708648</v>
      </c>
    </row>
    <row r="750" spans="1:11">
      <c r="A750" s="1" t="str">
        <f t="shared" si="11"/>
        <v>50100-758390995-95150015487752</v>
      </c>
      <c r="B750" s="136" t="s">
        <v>3316</v>
      </c>
      <c r="C750" s="136" t="s">
        <v>10716</v>
      </c>
      <c r="D750" s="132" t="s">
        <v>3420</v>
      </c>
      <c r="E750" s="136" t="s">
        <v>3324</v>
      </c>
      <c r="F750" s="136" t="s">
        <v>3324</v>
      </c>
      <c r="G750" s="137">
        <v>1395397987001</v>
      </c>
      <c r="H750" s="138" t="s">
        <v>10183</v>
      </c>
      <c r="I750" s="136">
        <v>951500154</v>
      </c>
      <c r="J750" s="131" t="s">
        <v>3347</v>
      </c>
      <c r="K750" s="139">
        <v>87752</v>
      </c>
    </row>
    <row r="751" spans="1:11">
      <c r="A751" s="1" t="str">
        <f t="shared" si="11"/>
        <v>50100-759536294-94150079876725</v>
      </c>
      <c r="B751" s="136" t="s">
        <v>3317</v>
      </c>
      <c r="C751" s="136" t="s">
        <v>10506</v>
      </c>
      <c r="D751" s="132" t="s">
        <v>3420</v>
      </c>
      <c r="E751" s="136" t="s">
        <v>3328</v>
      </c>
      <c r="F751" s="136" t="s">
        <v>3328</v>
      </c>
      <c r="G751" s="137">
        <v>1394394802001</v>
      </c>
      <c r="H751" s="138" t="s">
        <v>6298</v>
      </c>
      <c r="I751" s="136">
        <v>941500798</v>
      </c>
      <c r="J751" s="131" t="s">
        <v>2639</v>
      </c>
      <c r="K751" s="139">
        <v>76725</v>
      </c>
    </row>
    <row r="752" spans="1:11">
      <c r="A752" s="1" t="str">
        <f t="shared" si="11"/>
        <v>50100-723053895-951500030100120</v>
      </c>
      <c r="B752" s="136" t="s">
        <v>3028</v>
      </c>
      <c r="C752" s="136" t="s">
        <v>10508</v>
      </c>
      <c r="D752" s="132" t="s">
        <v>3420</v>
      </c>
      <c r="E752" s="136" t="s">
        <v>2862</v>
      </c>
      <c r="F752" s="136" t="s">
        <v>2862</v>
      </c>
      <c r="G752" s="137">
        <v>1395397985001</v>
      </c>
      <c r="H752" s="138" t="s">
        <v>6298</v>
      </c>
      <c r="I752" s="136">
        <v>951500030</v>
      </c>
      <c r="J752" s="131" t="s">
        <v>2785</v>
      </c>
      <c r="K752" s="139">
        <v>100120</v>
      </c>
    </row>
    <row r="753" spans="1:11">
      <c r="A753" s="1" t="str">
        <f t="shared" si="11"/>
        <v>50100-725850095-9515000042390</v>
      </c>
      <c r="B753" s="136" t="s">
        <v>3027</v>
      </c>
      <c r="C753" s="136" t="s">
        <v>10469</v>
      </c>
      <c r="D753" s="132" t="s">
        <v>3420</v>
      </c>
      <c r="E753" s="136" t="s">
        <v>2869</v>
      </c>
      <c r="F753" s="136" t="s">
        <v>2869</v>
      </c>
      <c r="G753" s="137">
        <v>1394394801001</v>
      </c>
      <c r="H753" s="138" t="s">
        <v>10183</v>
      </c>
      <c r="I753" s="136">
        <v>951500004</v>
      </c>
      <c r="J753" s="131" t="s">
        <v>2647</v>
      </c>
      <c r="K753" s="139">
        <v>2390</v>
      </c>
    </row>
    <row r="754" spans="1:11">
      <c r="A754" s="1" t="str">
        <f t="shared" si="11"/>
        <v>50100-720703795-951500028138211</v>
      </c>
      <c r="B754" s="136" t="s">
        <v>2735</v>
      </c>
      <c r="C754" s="136" t="s">
        <v>10509</v>
      </c>
      <c r="D754" s="132" t="s">
        <v>3420</v>
      </c>
      <c r="E754" s="136" t="s">
        <v>2755</v>
      </c>
      <c r="F754" s="136" t="s">
        <v>2755</v>
      </c>
      <c r="G754" s="137">
        <v>1394394801001</v>
      </c>
      <c r="H754" s="138" t="s">
        <v>10183</v>
      </c>
      <c r="I754" s="136">
        <v>951500028</v>
      </c>
      <c r="J754" s="131" t="s">
        <v>2792</v>
      </c>
      <c r="K754" s="139">
        <v>138211</v>
      </c>
    </row>
    <row r="755" spans="1:11">
      <c r="A755" s="1" t="str">
        <f t="shared" si="11"/>
        <v>50100-818526995-951500445267780</v>
      </c>
      <c r="B755" s="136" t="s">
        <v>4414</v>
      </c>
      <c r="C755" s="136" t="s">
        <v>10717</v>
      </c>
      <c r="D755" s="132" t="s">
        <v>3420</v>
      </c>
      <c r="E755" s="136" t="s">
        <v>4443</v>
      </c>
      <c r="F755" s="136" t="s">
        <v>4443</v>
      </c>
      <c r="G755" s="137">
        <v>1395447374001</v>
      </c>
      <c r="H755" s="138" t="s">
        <v>6456</v>
      </c>
      <c r="I755" s="136">
        <v>951500445</v>
      </c>
      <c r="J755" s="131" t="s">
        <v>4207</v>
      </c>
      <c r="K755" s="139">
        <v>267780</v>
      </c>
    </row>
    <row r="756" spans="1:11">
      <c r="A756" s="1" t="str">
        <f t="shared" si="11"/>
        <v>50100-853265296-961500004278244</v>
      </c>
      <c r="B756" s="136" t="s">
        <v>4998</v>
      </c>
      <c r="C756" s="136" t="s">
        <v>8960</v>
      </c>
      <c r="D756" s="132" t="s">
        <v>4971</v>
      </c>
      <c r="E756" s="136" t="s">
        <v>5011</v>
      </c>
      <c r="F756" s="136" t="s">
        <v>5011</v>
      </c>
      <c r="G756" s="137">
        <v>1395451401001</v>
      </c>
      <c r="H756" s="138" t="s">
        <v>6300</v>
      </c>
      <c r="I756" s="136">
        <v>961500004</v>
      </c>
      <c r="J756" s="131" t="s">
        <v>4959</v>
      </c>
      <c r="K756" s="139">
        <v>278244</v>
      </c>
    </row>
    <row r="757" spans="1:11">
      <c r="A757" s="1" t="str">
        <f t="shared" si="11"/>
        <v>50100-788115795-951500223200000</v>
      </c>
      <c r="B757" s="136" t="s">
        <v>3694</v>
      </c>
      <c r="C757" s="136" t="s">
        <v>10718</v>
      </c>
      <c r="D757" s="132" t="s">
        <v>3420</v>
      </c>
      <c r="E757" s="136" t="s">
        <v>3715</v>
      </c>
      <c r="F757" s="136" t="s">
        <v>3715</v>
      </c>
      <c r="G757" s="137">
        <v>1395421206001</v>
      </c>
      <c r="H757" s="138" t="s">
        <v>6298</v>
      </c>
      <c r="I757" s="136">
        <v>951500223</v>
      </c>
      <c r="J757" s="131" t="s">
        <v>3739</v>
      </c>
      <c r="K757" s="139">
        <v>200000</v>
      </c>
    </row>
    <row r="758" spans="1:11">
      <c r="A758" s="1" t="str">
        <f t="shared" si="11"/>
        <v>50100-788115795-95150021298560</v>
      </c>
      <c r="B758" s="136" t="s">
        <v>3694</v>
      </c>
      <c r="C758" s="136" t="s">
        <v>10718</v>
      </c>
      <c r="D758" s="132" t="s">
        <v>3420</v>
      </c>
      <c r="E758" s="136" t="s">
        <v>3715</v>
      </c>
      <c r="F758" s="136" t="s">
        <v>3715</v>
      </c>
      <c r="G758" s="137">
        <v>1395421206001</v>
      </c>
      <c r="H758" s="138" t="s">
        <v>6298</v>
      </c>
      <c r="I758" s="136">
        <v>951500212</v>
      </c>
      <c r="J758" s="131" t="s">
        <v>3569</v>
      </c>
      <c r="K758" s="139">
        <v>98560</v>
      </c>
    </row>
    <row r="759" spans="1:11">
      <c r="A759" s="1" t="str">
        <f t="shared" si="11"/>
        <v>50100-718060495-952500001492822</v>
      </c>
      <c r="B759" s="136" t="s">
        <v>2704</v>
      </c>
      <c r="C759" s="136" t="s">
        <v>10719</v>
      </c>
      <c r="D759" s="132" t="s">
        <v>3420</v>
      </c>
      <c r="E759" s="136" t="s">
        <v>2751</v>
      </c>
      <c r="F759" s="136" t="s">
        <v>2751</v>
      </c>
      <c r="G759" s="137">
        <v>1394394801001</v>
      </c>
      <c r="H759" s="138" t="s">
        <v>10183</v>
      </c>
      <c r="I759" s="136">
        <v>952500001</v>
      </c>
      <c r="J759" s="131" t="s">
        <v>2643</v>
      </c>
      <c r="K759" s="139">
        <v>492822</v>
      </c>
    </row>
    <row r="760" spans="1:11">
      <c r="A760" s="1" t="str">
        <f t="shared" si="11"/>
        <v>50100-731104295-95150009219785</v>
      </c>
      <c r="B760" s="136" t="s">
        <v>2991</v>
      </c>
      <c r="C760" s="136" t="s">
        <v>10720</v>
      </c>
      <c r="D760" s="132" t="s">
        <v>3420</v>
      </c>
      <c r="E760" s="136" t="s">
        <v>2857</v>
      </c>
      <c r="F760" s="136" t="s">
        <v>2857</v>
      </c>
      <c r="G760" s="137">
        <v>1394395845001</v>
      </c>
      <c r="H760" s="138" t="s">
        <v>6453</v>
      </c>
      <c r="I760" s="136">
        <v>951500092</v>
      </c>
      <c r="J760" s="131" t="s">
        <v>3125</v>
      </c>
      <c r="K760" s="139">
        <v>19785</v>
      </c>
    </row>
    <row r="761" spans="1:11">
      <c r="A761" s="1" t="str">
        <f t="shared" si="11"/>
        <v>50100-731104295-951500102155697</v>
      </c>
      <c r="B761" s="136" t="s">
        <v>2991</v>
      </c>
      <c r="C761" s="136" t="s">
        <v>10720</v>
      </c>
      <c r="D761" s="132" t="s">
        <v>3420</v>
      </c>
      <c r="E761" s="136" t="s">
        <v>2857</v>
      </c>
      <c r="F761" s="136" t="s">
        <v>2857</v>
      </c>
      <c r="G761" s="137">
        <v>1394395845001</v>
      </c>
      <c r="H761" s="138" t="s">
        <v>6453</v>
      </c>
      <c r="I761" s="136">
        <v>951500102</v>
      </c>
      <c r="J761" s="131" t="s">
        <v>3094</v>
      </c>
      <c r="K761" s="139">
        <v>155697</v>
      </c>
    </row>
    <row r="762" spans="1:11">
      <c r="A762" s="1" t="str">
        <f t="shared" si="11"/>
        <v>50100-719914995-951500025353782</v>
      </c>
      <c r="B762" s="136" t="s">
        <v>2698</v>
      </c>
      <c r="C762" s="136" t="s">
        <v>10703</v>
      </c>
      <c r="D762" s="132" t="s">
        <v>3420</v>
      </c>
      <c r="E762" s="136" t="s">
        <v>2756</v>
      </c>
      <c r="F762" s="136" t="s">
        <v>2756</v>
      </c>
      <c r="G762" s="137">
        <v>1394395845001</v>
      </c>
      <c r="H762" s="138" t="s">
        <v>6453</v>
      </c>
      <c r="I762" s="136">
        <v>951500025</v>
      </c>
      <c r="J762" s="131" t="s">
        <v>2778</v>
      </c>
      <c r="K762" s="139">
        <v>353782</v>
      </c>
    </row>
    <row r="763" spans="1:11">
      <c r="A763" s="1" t="str">
        <f t="shared" si="11"/>
        <v>15100-33631795-951500277136920</v>
      </c>
      <c r="B763" s="136" t="s">
        <v>3816</v>
      </c>
      <c r="C763" s="136" t="s">
        <v>10697</v>
      </c>
      <c r="D763" s="132" t="s">
        <v>3420</v>
      </c>
      <c r="E763" s="136" t="s">
        <v>3767</v>
      </c>
      <c r="F763" s="136" t="s">
        <v>3767</v>
      </c>
      <c r="G763" s="137">
        <v>1395436005001</v>
      </c>
      <c r="H763" s="138" t="s">
        <v>6298</v>
      </c>
      <c r="I763" s="136">
        <v>951500277</v>
      </c>
      <c r="J763" s="131" t="s">
        <v>3646</v>
      </c>
      <c r="K763" s="139">
        <v>136920</v>
      </c>
    </row>
    <row r="764" spans="1:11">
      <c r="A764" s="1" t="str">
        <f t="shared" si="11"/>
        <v>50100-788115795-95250002593596</v>
      </c>
      <c r="B764" s="136" t="s">
        <v>3694</v>
      </c>
      <c r="C764" s="136" t="s">
        <v>10718</v>
      </c>
      <c r="D764" s="132" t="s">
        <v>3420</v>
      </c>
      <c r="E764" s="136" t="s">
        <v>3715</v>
      </c>
      <c r="F764" s="136" t="s">
        <v>3715</v>
      </c>
      <c r="G764" s="137">
        <v>1395421206001</v>
      </c>
      <c r="H764" s="138" t="s">
        <v>6298</v>
      </c>
      <c r="I764" s="136">
        <v>952500025</v>
      </c>
      <c r="J764" s="131" t="s">
        <v>4308</v>
      </c>
      <c r="K764" s="139">
        <v>93596</v>
      </c>
    </row>
    <row r="765" spans="1:11">
      <c r="A765" s="1" t="str">
        <f t="shared" si="11"/>
        <v>50100-854769596-961500005487975</v>
      </c>
      <c r="B765" s="136" t="s">
        <v>4999</v>
      </c>
      <c r="C765" s="136" t="s">
        <v>8961</v>
      </c>
      <c r="D765" s="132" t="s">
        <v>4971</v>
      </c>
      <c r="E765" s="136" t="s">
        <v>5012</v>
      </c>
      <c r="F765" s="136" t="s">
        <v>5012</v>
      </c>
      <c r="G765" s="137">
        <v>1395451404001</v>
      </c>
      <c r="H765" s="138" t="s">
        <v>6456</v>
      </c>
      <c r="I765" s="136">
        <v>961500005</v>
      </c>
      <c r="J765" s="131" t="s">
        <v>5018</v>
      </c>
      <c r="K765" s="139">
        <v>487975</v>
      </c>
    </row>
    <row r="766" spans="1:11">
      <c r="A766" s="1" t="str">
        <f t="shared" si="11"/>
        <v>50100-827807995-951500311139519</v>
      </c>
      <c r="B766" s="136" t="s">
        <v>4549</v>
      </c>
      <c r="C766" s="136" t="s">
        <v>10721</v>
      </c>
      <c r="D766" s="132" t="s">
        <v>3420</v>
      </c>
      <c r="E766" s="136" t="s">
        <v>4571</v>
      </c>
      <c r="F766" s="136" t="s">
        <v>4571</v>
      </c>
      <c r="G766" s="137">
        <v>1395435642001</v>
      </c>
      <c r="H766" s="138" t="s">
        <v>10206</v>
      </c>
      <c r="I766" s="136">
        <v>951500311</v>
      </c>
      <c r="J766" s="131" t="s">
        <v>4459</v>
      </c>
      <c r="K766" s="139">
        <v>139519</v>
      </c>
    </row>
    <row r="767" spans="1:11">
      <c r="A767" s="1" t="str">
        <f t="shared" si="11"/>
        <v>50100-743978695-952500014517576</v>
      </c>
      <c r="B767" s="136" t="s">
        <v>3152</v>
      </c>
      <c r="C767" s="136" t="s">
        <v>10722</v>
      </c>
      <c r="D767" s="132" t="s">
        <v>3420</v>
      </c>
      <c r="E767" s="136" t="s">
        <v>3169</v>
      </c>
      <c r="F767" s="136" t="s">
        <v>3169</v>
      </c>
      <c r="G767" s="137">
        <v>1395397987001</v>
      </c>
      <c r="H767" s="138" t="s">
        <v>10183</v>
      </c>
      <c r="I767" s="136">
        <v>952500014</v>
      </c>
      <c r="J767" s="131" t="s">
        <v>3183</v>
      </c>
      <c r="K767" s="139">
        <v>517576</v>
      </c>
    </row>
    <row r="768" spans="1:11">
      <c r="A768" s="1" t="str">
        <f t="shared" si="11"/>
        <v>15100-27550294-94150082725120</v>
      </c>
      <c r="B768" s="136" t="s">
        <v>2910</v>
      </c>
      <c r="C768" s="136" t="s">
        <v>10477</v>
      </c>
      <c r="D768" s="132" t="s">
        <v>3420</v>
      </c>
      <c r="E768" s="136" t="s">
        <v>3044</v>
      </c>
      <c r="F768" s="136" t="s">
        <v>3044</v>
      </c>
      <c r="G768" s="137">
        <v>1394395844001</v>
      </c>
      <c r="H768" s="138" t="s">
        <v>6298</v>
      </c>
      <c r="I768" s="136">
        <v>941500827</v>
      </c>
      <c r="J768" s="131" t="s">
        <v>3057</v>
      </c>
      <c r="K768" s="139">
        <v>25120</v>
      </c>
    </row>
    <row r="769" spans="1:11">
      <c r="A769" s="1" t="str">
        <f t="shared" si="11"/>
        <v>15100-27374594-941500835126280</v>
      </c>
      <c r="B769" s="136" t="s">
        <v>10478</v>
      </c>
      <c r="C769" s="136" t="s">
        <v>10479</v>
      </c>
      <c r="D769" s="132" t="s">
        <v>3420</v>
      </c>
      <c r="E769" s="136" t="s">
        <v>3047</v>
      </c>
      <c r="F769" s="136" t="s">
        <v>3047</v>
      </c>
      <c r="G769" s="137">
        <v>1394395844001</v>
      </c>
      <c r="H769" s="138" t="s">
        <v>6298</v>
      </c>
      <c r="I769" s="136">
        <v>941500835</v>
      </c>
      <c r="J769" s="131" t="s">
        <v>2876</v>
      </c>
      <c r="K769" s="139">
        <v>126280</v>
      </c>
    </row>
    <row r="770" spans="1:11">
      <c r="A770" s="1" t="str">
        <f t="shared" si="11"/>
        <v>15100-33777695-95150034746980</v>
      </c>
      <c r="B770" s="136" t="s">
        <v>3815</v>
      </c>
      <c r="C770" s="136" t="s">
        <v>10723</v>
      </c>
      <c r="D770" s="132" t="s">
        <v>3420</v>
      </c>
      <c r="E770" s="136" t="s">
        <v>3720</v>
      </c>
      <c r="F770" s="136" t="s">
        <v>3720</v>
      </c>
      <c r="G770" s="137">
        <v>1395437982001</v>
      </c>
      <c r="H770" s="138" t="s">
        <v>6300</v>
      </c>
      <c r="I770" s="136">
        <v>951500347</v>
      </c>
      <c r="J770" s="131" t="s">
        <v>3846</v>
      </c>
      <c r="K770" s="139">
        <v>46980</v>
      </c>
    </row>
    <row r="771" spans="1:11">
      <c r="A771" s="1" t="str">
        <f t="shared" ref="A771:A834" si="12">B771&amp;J771&amp;K771</f>
        <v>15100-33949595-95150035646800</v>
      </c>
      <c r="B771" s="136" t="s">
        <v>3813</v>
      </c>
      <c r="C771" s="136" t="s">
        <v>10480</v>
      </c>
      <c r="D771" s="132" t="s">
        <v>3420</v>
      </c>
      <c r="E771" s="136" t="s">
        <v>3832</v>
      </c>
      <c r="F771" s="136" t="s">
        <v>3832</v>
      </c>
      <c r="G771" s="137">
        <v>1395437985001</v>
      </c>
      <c r="H771" s="138" t="s">
        <v>6298</v>
      </c>
      <c r="I771" s="136">
        <v>951500356</v>
      </c>
      <c r="J771" s="131" t="s">
        <v>3849</v>
      </c>
      <c r="K771" s="139">
        <v>46800</v>
      </c>
    </row>
    <row r="772" spans="1:11">
      <c r="A772" s="1" t="str">
        <f t="shared" si="12"/>
        <v>15100-26692694-94150083573150</v>
      </c>
      <c r="B772" s="136" t="s">
        <v>10724</v>
      </c>
      <c r="C772" s="136" t="s">
        <v>10725</v>
      </c>
      <c r="D772" s="132" t="s">
        <v>3420</v>
      </c>
      <c r="E772" s="136" t="s">
        <v>2856</v>
      </c>
      <c r="F772" s="136" t="s">
        <v>2856</v>
      </c>
      <c r="G772" s="137">
        <v>1394395844001</v>
      </c>
      <c r="H772" s="138" t="s">
        <v>6298</v>
      </c>
      <c r="I772" s="136">
        <v>941500835</v>
      </c>
      <c r="J772" s="131" t="s">
        <v>2876</v>
      </c>
      <c r="K772" s="139">
        <v>73150</v>
      </c>
    </row>
    <row r="773" spans="1:11">
      <c r="A773" s="1" t="str">
        <f t="shared" si="12"/>
        <v>15100-26692694-941500783173210</v>
      </c>
      <c r="B773" s="136" t="s">
        <v>10724</v>
      </c>
      <c r="C773" s="136" t="s">
        <v>10725</v>
      </c>
      <c r="D773" s="132" t="s">
        <v>3420</v>
      </c>
      <c r="E773" s="136" t="s">
        <v>2856</v>
      </c>
      <c r="F773" s="136" t="s">
        <v>2856</v>
      </c>
      <c r="G773" s="137">
        <v>1394394178001</v>
      </c>
      <c r="H773" s="138" t="s">
        <v>6298</v>
      </c>
      <c r="I773" s="136">
        <v>941500783</v>
      </c>
      <c r="J773" s="131" t="s">
        <v>2761</v>
      </c>
      <c r="K773" s="139">
        <v>173210</v>
      </c>
    </row>
    <row r="774" spans="1:11">
      <c r="A774" s="1" t="str">
        <f t="shared" si="12"/>
        <v>15100-26693594-94150078522830</v>
      </c>
      <c r="B774" s="136" t="s">
        <v>10726</v>
      </c>
      <c r="C774" s="136" t="s">
        <v>10727</v>
      </c>
      <c r="D774" s="132" t="s">
        <v>3420</v>
      </c>
      <c r="E774" s="136" t="s">
        <v>2856</v>
      </c>
      <c r="F774" s="136" t="s">
        <v>2856</v>
      </c>
      <c r="G774" s="137">
        <v>1394394802001</v>
      </c>
      <c r="H774" s="138" t="s">
        <v>6298</v>
      </c>
      <c r="I774" s="136">
        <v>941500785</v>
      </c>
      <c r="J774" s="131" t="s">
        <v>2879</v>
      </c>
      <c r="K774" s="139">
        <v>22830</v>
      </c>
    </row>
    <row r="775" spans="1:11">
      <c r="A775" s="1" t="str">
        <f t="shared" si="12"/>
        <v>15100-27091094-941500835223140</v>
      </c>
      <c r="B775" s="136" t="s">
        <v>10728</v>
      </c>
      <c r="C775" s="136" t="s">
        <v>10729</v>
      </c>
      <c r="D775" s="132" t="s">
        <v>3420</v>
      </c>
      <c r="E775" s="136" t="s">
        <v>2857</v>
      </c>
      <c r="F775" s="136" t="s">
        <v>2857</v>
      </c>
      <c r="G775" s="137">
        <v>1394395844001</v>
      </c>
      <c r="H775" s="138" t="s">
        <v>6298</v>
      </c>
      <c r="I775" s="136">
        <v>941500835</v>
      </c>
      <c r="J775" s="131" t="s">
        <v>2876</v>
      </c>
      <c r="K775" s="139">
        <v>223140</v>
      </c>
    </row>
    <row r="776" spans="1:11">
      <c r="A776" s="1" t="str">
        <f t="shared" si="12"/>
        <v>50100-722298495-952500002447730</v>
      </c>
      <c r="B776" s="136" t="s">
        <v>2994</v>
      </c>
      <c r="C776" s="136" t="s">
        <v>10730</v>
      </c>
      <c r="D776" s="132" t="s">
        <v>3420</v>
      </c>
      <c r="E776" s="136" t="s">
        <v>2861</v>
      </c>
      <c r="F776" s="136" t="s">
        <v>2861</v>
      </c>
      <c r="G776" s="137">
        <v>1394394801001</v>
      </c>
      <c r="H776" s="138" t="s">
        <v>10183</v>
      </c>
      <c r="I776" s="136">
        <v>952500002</v>
      </c>
      <c r="J776" s="131" t="s">
        <v>2804</v>
      </c>
      <c r="K776" s="139">
        <v>447730</v>
      </c>
    </row>
    <row r="777" spans="1:11">
      <c r="A777" s="1" t="str">
        <f t="shared" si="12"/>
        <v>50100-723020395-951500011240240</v>
      </c>
      <c r="B777" s="136" t="s">
        <v>2995</v>
      </c>
      <c r="C777" s="136" t="s">
        <v>10731</v>
      </c>
      <c r="D777" s="132" t="s">
        <v>3420</v>
      </c>
      <c r="E777" s="136" t="s">
        <v>2862</v>
      </c>
      <c r="F777" s="136" t="s">
        <v>2862</v>
      </c>
      <c r="G777" s="137">
        <v>1394392647001</v>
      </c>
      <c r="H777" s="138" t="s">
        <v>6454</v>
      </c>
      <c r="I777" s="136">
        <v>951500011</v>
      </c>
      <c r="J777" s="131" t="s">
        <v>3075</v>
      </c>
      <c r="K777" s="139">
        <v>240240</v>
      </c>
    </row>
    <row r="778" spans="1:11">
      <c r="A778" s="1" t="str">
        <f t="shared" si="12"/>
        <v>50100-766070095-951500209190607</v>
      </c>
      <c r="B778" s="136" t="s">
        <v>3392</v>
      </c>
      <c r="C778" s="136" t="s">
        <v>10732</v>
      </c>
      <c r="D778" s="132" t="s">
        <v>3420</v>
      </c>
      <c r="E778" s="136" t="s">
        <v>3400</v>
      </c>
      <c r="F778" s="136" t="s">
        <v>3400</v>
      </c>
      <c r="G778" s="137">
        <v>1395397987001</v>
      </c>
      <c r="H778" s="138" t="s">
        <v>10183</v>
      </c>
      <c r="I778" s="136">
        <v>951500209</v>
      </c>
      <c r="J778" s="131" t="s">
        <v>3417</v>
      </c>
      <c r="K778" s="139">
        <v>190607</v>
      </c>
    </row>
    <row r="779" spans="1:11">
      <c r="A779" s="1" t="str">
        <f t="shared" si="12"/>
        <v>15100-25098494-941500749370240</v>
      </c>
      <c r="B779" s="136" t="s">
        <v>10375</v>
      </c>
      <c r="C779" s="136" t="s">
        <v>10376</v>
      </c>
      <c r="D779" s="132" t="s">
        <v>3420</v>
      </c>
      <c r="E779" s="136" t="s">
        <v>2615</v>
      </c>
      <c r="F779" s="136" t="s">
        <v>2615</v>
      </c>
      <c r="G779" s="137">
        <v>1394392654001</v>
      </c>
      <c r="H779" s="138" t="s">
        <v>6453</v>
      </c>
      <c r="I779" s="136">
        <v>941500749</v>
      </c>
      <c r="J779" s="131" t="s">
        <v>6847</v>
      </c>
      <c r="K779" s="139">
        <v>370240</v>
      </c>
    </row>
    <row r="780" spans="1:11">
      <c r="A780" s="1" t="str">
        <f t="shared" si="12"/>
        <v>50100-711499394-9415007691781</v>
      </c>
      <c r="B780" s="136" t="s">
        <v>10395</v>
      </c>
      <c r="C780" s="136" t="s">
        <v>10396</v>
      </c>
      <c r="D780" s="132" t="s">
        <v>3420</v>
      </c>
      <c r="E780" s="136" t="s">
        <v>10397</v>
      </c>
      <c r="F780" s="136" t="s">
        <v>10397</v>
      </c>
      <c r="G780" s="137">
        <v>1394392654001</v>
      </c>
      <c r="H780" s="138" t="s">
        <v>6453</v>
      </c>
      <c r="I780" s="136">
        <v>941500769</v>
      </c>
      <c r="J780" s="131" t="s">
        <v>6874</v>
      </c>
      <c r="K780" s="139">
        <v>1781</v>
      </c>
    </row>
    <row r="781" spans="1:11">
      <c r="A781" s="1" t="str">
        <f t="shared" si="12"/>
        <v>50100-826280495-951500317180000</v>
      </c>
      <c r="B781" s="136" t="s">
        <v>4553</v>
      </c>
      <c r="C781" s="136" t="s">
        <v>10733</v>
      </c>
      <c r="D781" s="132" t="s">
        <v>3420</v>
      </c>
      <c r="E781" s="136" t="s">
        <v>4573</v>
      </c>
      <c r="F781" s="136" t="s">
        <v>4573</v>
      </c>
      <c r="G781" s="137">
        <v>1395436479001</v>
      </c>
      <c r="H781" s="138" t="s">
        <v>6456</v>
      </c>
      <c r="I781" s="136">
        <v>951500317</v>
      </c>
      <c r="J781" s="131" t="s">
        <v>4482</v>
      </c>
      <c r="K781" s="139">
        <v>180000</v>
      </c>
    </row>
    <row r="782" spans="1:11">
      <c r="A782" s="1" t="str">
        <f t="shared" si="12"/>
        <v>50100-826280495-95150038020000</v>
      </c>
      <c r="B782" s="136" t="s">
        <v>4553</v>
      </c>
      <c r="C782" s="136" t="s">
        <v>10733</v>
      </c>
      <c r="D782" s="132" t="s">
        <v>3420</v>
      </c>
      <c r="E782" s="136" t="s">
        <v>4573</v>
      </c>
      <c r="F782" s="136" t="s">
        <v>4573</v>
      </c>
      <c r="G782" s="137">
        <v>1395445412001</v>
      </c>
      <c r="H782" s="138" t="s">
        <v>6298</v>
      </c>
      <c r="I782" s="136">
        <v>951500380</v>
      </c>
      <c r="J782" s="131" t="s">
        <v>4580</v>
      </c>
      <c r="K782" s="139">
        <v>20000</v>
      </c>
    </row>
    <row r="783" spans="1:11">
      <c r="A783" s="1" t="str">
        <f t="shared" si="12"/>
        <v>50100-845511195-952500104682140</v>
      </c>
      <c r="B783" s="136" t="s">
        <v>4807</v>
      </c>
      <c r="C783" s="136" t="s">
        <v>10734</v>
      </c>
      <c r="D783" s="132" t="s">
        <v>3420</v>
      </c>
      <c r="E783" s="136" t="s">
        <v>4875</v>
      </c>
      <c r="F783" s="136" t="s">
        <v>4875</v>
      </c>
      <c r="G783" s="137">
        <v>1395447928001</v>
      </c>
      <c r="H783" s="138" t="s">
        <v>10183</v>
      </c>
      <c r="I783" s="136">
        <v>952500104</v>
      </c>
      <c r="J783" s="131" t="s">
        <v>4936</v>
      </c>
      <c r="K783" s="139">
        <v>682140</v>
      </c>
    </row>
    <row r="784" spans="1:11">
      <c r="A784" s="1" t="str">
        <f t="shared" si="12"/>
        <v>50100-823106695-951500558379260</v>
      </c>
      <c r="B784" s="136" t="s">
        <v>4423</v>
      </c>
      <c r="C784" s="136" t="s">
        <v>10735</v>
      </c>
      <c r="D784" s="132" t="s">
        <v>3420</v>
      </c>
      <c r="E784" s="136" t="s">
        <v>4442</v>
      </c>
      <c r="F784" s="136" t="s">
        <v>4442</v>
      </c>
      <c r="G784" s="137">
        <v>1395456621001</v>
      </c>
      <c r="H784" s="138" t="s">
        <v>10183</v>
      </c>
      <c r="I784" s="136">
        <v>951500558</v>
      </c>
      <c r="J784" s="131" t="s">
        <v>4490</v>
      </c>
      <c r="K784" s="139">
        <v>379260</v>
      </c>
    </row>
    <row r="785" spans="1:11">
      <c r="A785" s="1" t="str">
        <f t="shared" si="12"/>
        <v>50100-731001495-951500088300670</v>
      </c>
      <c r="B785" s="136" t="s">
        <v>2998</v>
      </c>
      <c r="C785" s="136" t="s">
        <v>10736</v>
      </c>
      <c r="D785" s="132" t="s">
        <v>3420</v>
      </c>
      <c r="E785" s="136" t="s">
        <v>2857</v>
      </c>
      <c r="F785" s="136" t="s">
        <v>2857</v>
      </c>
      <c r="G785" s="137">
        <v>1394395845001</v>
      </c>
      <c r="H785" s="138" t="s">
        <v>6453</v>
      </c>
      <c r="I785" s="136">
        <v>951500088</v>
      </c>
      <c r="J785" s="131" t="s">
        <v>3090</v>
      </c>
      <c r="K785" s="139">
        <v>300670</v>
      </c>
    </row>
    <row r="786" spans="1:11">
      <c r="A786" s="1" t="str">
        <f t="shared" si="12"/>
        <v>50100-829707495-9515005151249020</v>
      </c>
      <c r="B786" s="136" t="s">
        <v>4546</v>
      </c>
      <c r="C786" s="136" t="s">
        <v>10737</v>
      </c>
      <c r="D786" s="132" t="s">
        <v>3420</v>
      </c>
      <c r="E786" s="136" t="s">
        <v>4516</v>
      </c>
      <c r="F786" s="136" t="s">
        <v>4516</v>
      </c>
      <c r="G786" s="137">
        <v>1395449895001</v>
      </c>
      <c r="H786" s="138" t="s">
        <v>10186</v>
      </c>
      <c r="I786" s="136">
        <v>951500515</v>
      </c>
      <c r="J786" s="131" t="s">
        <v>4600</v>
      </c>
      <c r="K786" s="139">
        <v>1249020</v>
      </c>
    </row>
    <row r="787" spans="1:11">
      <c r="A787" s="1" t="str">
        <f t="shared" si="12"/>
        <v>50100-829707495-951500560283920</v>
      </c>
      <c r="B787" s="136" t="s">
        <v>4546</v>
      </c>
      <c r="C787" s="136" t="s">
        <v>10737</v>
      </c>
      <c r="D787" s="132" t="s">
        <v>3420</v>
      </c>
      <c r="E787" s="136" t="s">
        <v>4516</v>
      </c>
      <c r="F787" s="136" t="s">
        <v>4516</v>
      </c>
      <c r="G787" s="137">
        <v>1395449896001</v>
      </c>
      <c r="H787" s="138" t="s">
        <v>10186</v>
      </c>
      <c r="I787" s="136">
        <v>951500560</v>
      </c>
      <c r="J787" s="131" t="s">
        <v>4601</v>
      </c>
      <c r="K787" s="139">
        <v>283920</v>
      </c>
    </row>
    <row r="788" spans="1:11">
      <c r="A788" s="1" t="str">
        <f t="shared" si="12"/>
        <v>50100-824859395-9525000711006805</v>
      </c>
      <c r="B788" s="136" t="s">
        <v>4547</v>
      </c>
      <c r="C788" s="136" t="s">
        <v>10738</v>
      </c>
      <c r="D788" s="132" t="s">
        <v>3420</v>
      </c>
      <c r="E788" s="136" t="s">
        <v>4570</v>
      </c>
      <c r="F788" s="136" t="s">
        <v>4570</v>
      </c>
      <c r="G788" s="137">
        <v>1395452682001</v>
      </c>
      <c r="H788" s="138" t="s">
        <v>10183</v>
      </c>
      <c r="I788" s="136">
        <v>952500071</v>
      </c>
      <c r="J788" s="131" t="s">
        <v>4474</v>
      </c>
      <c r="K788" s="139">
        <v>1006805</v>
      </c>
    </row>
    <row r="789" spans="1:11">
      <c r="A789" s="1" t="str">
        <f t="shared" si="12"/>
        <v>50100-824922095-952500071694270</v>
      </c>
      <c r="B789" s="136" t="s">
        <v>4548</v>
      </c>
      <c r="C789" s="136" t="s">
        <v>10739</v>
      </c>
      <c r="D789" s="132" t="s">
        <v>3420</v>
      </c>
      <c r="E789" s="136" t="s">
        <v>4570</v>
      </c>
      <c r="F789" s="136" t="s">
        <v>4570</v>
      </c>
      <c r="G789" s="137">
        <v>1395452682001</v>
      </c>
      <c r="H789" s="138" t="s">
        <v>10183</v>
      </c>
      <c r="I789" s="136">
        <v>952500071</v>
      </c>
      <c r="J789" s="131" t="s">
        <v>4474</v>
      </c>
      <c r="K789" s="139">
        <v>694270</v>
      </c>
    </row>
    <row r="790" spans="1:11">
      <c r="A790" s="1" t="str">
        <f t="shared" si="12"/>
        <v>50100-786925795-954200034682360</v>
      </c>
      <c r="B790" s="136" t="s">
        <v>3686</v>
      </c>
      <c r="C790" s="136" t="s">
        <v>10740</v>
      </c>
      <c r="D790" s="132" t="s">
        <v>3420</v>
      </c>
      <c r="E790" s="136" t="s">
        <v>3714</v>
      </c>
      <c r="F790" s="136" t="s">
        <v>3714</v>
      </c>
      <c r="G790" s="137">
        <v>1395431925001</v>
      </c>
      <c r="H790" s="138" t="s">
        <v>10183</v>
      </c>
      <c r="I790" s="136">
        <v>954200034</v>
      </c>
      <c r="J790" s="131" t="s">
        <v>3733</v>
      </c>
      <c r="K790" s="139">
        <v>682360</v>
      </c>
    </row>
    <row r="791" spans="1:11">
      <c r="A791" s="1" t="str">
        <f t="shared" si="12"/>
        <v>50100-717888394-941500838215000</v>
      </c>
      <c r="B791" s="136" t="s">
        <v>10741</v>
      </c>
      <c r="C791" s="136" t="s">
        <v>10742</v>
      </c>
      <c r="D791" s="132" t="s">
        <v>3420</v>
      </c>
      <c r="E791" s="136" t="s">
        <v>2749</v>
      </c>
      <c r="F791" s="136" t="s">
        <v>2749</v>
      </c>
      <c r="G791" s="137">
        <v>1394395844001</v>
      </c>
      <c r="H791" s="138" t="s">
        <v>6298</v>
      </c>
      <c r="I791" s="136">
        <v>941500838</v>
      </c>
      <c r="J791" s="131" t="s">
        <v>2777</v>
      </c>
      <c r="K791" s="139">
        <v>215000</v>
      </c>
    </row>
    <row r="792" spans="1:11">
      <c r="A792" s="1" t="str">
        <f t="shared" si="12"/>
        <v>50100-723031595-951500085495860</v>
      </c>
      <c r="B792" s="136" t="s">
        <v>2976</v>
      </c>
      <c r="C792" s="136" t="s">
        <v>10743</v>
      </c>
      <c r="D792" s="132" t="s">
        <v>3420</v>
      </c>
      <c r="E792" s="136" t="s">
        <v>2862</v>
      </c>
      <c r="F792" s="136" t="s">
        <v>2862</v>
      </c>
      <c r="G792" s="137">
        <v>1394395847001</v>
      </c>
      <c r="H792" s="138" t="s">
        <v>10183</v>
      </c>
      <c r="I792" s="136">
        <v>951500085</v>
      </c>
      <c r="J792" s="131" t="s">
        <v>2793</v>
      </c>
      <c r="K792" s="139">
        <v>495860</v>
      </c>
    </row>
    <row r="793" spans="1:11">
      <c r="A793" s="1" t="str">
        <f t="shared" si="12"/>
        <v>50100-829707495-951500559449260</v>
      </c>
      <c r="B793" s="136" t="s">
        <v>4546</v>
      </c>
      <c r="C793" s="136" t="s">
        <v>10737</v>
      </c>
      <c r="D793" s="132" t="s">
        <v>3420</v>
      </c>
      <c r="E793" s="136" t="s">
        <v>4516</v>
      </c>
      <c r="F793" s="136" t="s">
        <v>4516</v>
      </c>
      <c r="G793" s="137">
        <v>1395449895001</v>
      </c>
      <c r="H793" s="138" t="s">
        <v>10186</v>
      </c>
      <c r="I793" s="136">
        <v>951500559</v>
      </c>
      <c r="J793" s="131" t="s">
        <v>4599</v>
      </c>
      <c r="K793" s="139">
        <v>449260</v>
      </c>
    </row>
    <row r="794" spans="1:11">
      <c r="A794" s="1" t="str">
        <f t="shared" si="12"/>
        <v>50100-723899995-952500004192888</v>
      </c>
      <c r="B794" s="136" t="s">
        <v>2974</v>
      </c>
      <c r="C794" s="136" t="s">
        <v>10744</v>
      </c>
      <c r="D794" s="132" t="s">
        <v>3420</v>
      </c>
      <c r="E794" s="136" t="s">
        <v>2863</v>
      </c>
      <c r="F794" s="136" t="s">
        <v>2863</v>
      </c>
      <c r="G794" s="137">
        <v>1394394801001</v>
      </c>
      <c r="H794" s="138" t="s">
        <v>10183</v>
      </c>
      <c r="I794" s="136">
        <v>952500004</v>
      </c>
      <c r="J794" s="131" t="s">
        <v>3117</v>
      </c>
      <c r="K794" s="139">
        <v>192888</v>
      </c>
    </row>
    <row r="795" spans="1:11">
      <c r="A795" s="1" t="str">
        <f t="shared" si="12"/>
        <v>15100-26758794-94150074925900</v>
      </c>
      <c r="B795" s="136" t="s">
        <v>10745</v>
      </c>
      <c r="C795" s="136" t="s">
        <v>10746</v>
      </c>
      <c r="D795" s="132" t="s">
        <v>3420</v>
      </c>
      <c r="E795" s="136" t="s">
        <v>2860</v>
      </c>
      <c r="F795" s="136" t="s">
        <v>2860</v>
      </c>
      <c r="G795" s="137">
        <v>1394392654001</v>
      </c>
      <c r="H795" s="138" t="s">
        <v>6453</v>
      </c>
      <c r="I795" s="136">
        <v>941500749</v>
      </c>
      <c r="J795" s="131" t="s">
        <v>6847</v>
      </c>
      <c r="K795" s="139">
        <v>25900</v>
      </c>
    </row>
    <row r="796" spans="1:11">
      <c r="A796" s="1" t="str">
        <f t="shared" si="12"/>
        <v>50100-716684495-9515000212000000</v>
      </c>
      <c r="B796" s="136" t="s">
        <v>2599</v>
      </c>
      <c r="C796" s="136" t="s">
        <v>10747</v>
      </c>
      <c r="D796" s="132" t="s">
        <v>3420</v>
      </c>
      <c r="E796" s="136" t="s">
        <v>2612</v>
      </c>
      <c r="F796" s="136" t="s">
        <v>2612</v>
      </c>
      <c r="G796" s="137">
        <v>1394394801001</v>
      </c>
      <c r="H796" s="138" t="s">
        <v>10183</v>
      </c>
      <c r="I796" s="136">
        <v>951500021</v>
      </c>
      <c r="J796" s="131" t="s">
        <v>2651</v>
      </c>
      <c r="K796" s="139">
        <v>2000000</v>
      </c>
    </row>
    <row r="797" spans="1:11">
      <c r="A797" s="1" t="str">
        <f t="shared" si="12"/>
        <v>15100-25720494-941500813147380</v>
      </c>
      <c r="B797" s="136" t="s">
        <v>10748</v>
      </c>
      <c r="C797" s="136" t="s">
        <v>10749</v>
      </c>
      <c r="D797" s="132" t="s">
        <v>3420</v>
      </c>
      <c r="E797" s="136" t="s">
        <v>2750</v>
      </c>
      <c r="F797" s="136" t="s">
        <v>2750</v>
      </c>
      <c r="G797" s="137">
        <v>1394394802001</v>
      </c>
      <c r="H797" s="138" t="s">
        <v>6298</v>
      </c>
      <c r="I797" s="136">
        <v>941500813</v>
      </c>
      <c r="J797" s="131" t="s">
        <v>2759</v>
      </c>
      <c r="K797" s="139">
        <v>147380</v>
      </c>
    </row>
    <row r="798" spans="1:11">
      <c r="A798" s="1" t="str">
        <f t="shared" si="12"/>
        <v>15100-26758794-94150074450070</v>
      </c>
      <c r="B798" s="136" t="s">
        <v>10745</v>
      </c>
      <c r="C798" s="136" t="s">
        <v>10746</v>
      </c>
      <c r="D798" s="132" t="s">
        <v>3420</v>
      </c>
      <c r="E798" s="136" t="s">
        <v>2860</v>
      </c>
      <c r="F798" s="136" t="s">
        <v>2860</v>
      </c>
      <c r="G798" s="137">
        <v>1394392654001</v>
      </c>
      <c r="H798" s="138" t="s">
        <v>6453</v>
      </c>
      <c r="I798" s="136">
        <v>941500744</v>
      </c>
      <c r="J798" s="131" t="s">
        <v>6876</v>
      </c>
      <c r="K798" s="139">
        <v>50070</v>
      </c>
    </row>
    <row r="799" spans="1:11">
      <c r="A799" s="1" t="str">
        <f t="shared" si="12"/>
        <v>50100-731104295-951500084300000</v>
      </c>
      <c r="B799" s="136" t="s">
        <v>2991</v>
      </c>
      <c r="C799" s="136" t="s">
        <v>10720</v>
      </c>
      <c r="D799" s="132" t="s">
        <v>3420</v>
      </c>
      <c r="E799" s="136" t="s">
        <v>2857</v>
      </c>
      <c r="F799" s="136" t="s">
        <v>2857</v>
      </c>
      <c r="G799" s="137">
        <v>1394395845001</v>
      </c>
      <c r="H799" s="138" t="s">
        <v>6453</v>
      </c>
      <c r="I799" s="136">
        <v>951500084</v>
      </c>
      <c r="J799" s="131" t="s">
        <v>3143</v>
      </c>
      <c r="K799" s="139">
        <v>300000</v>
      </c>
    </row>
    <row r="800" spans="1:11">
      <c r="A800" s="1" t="str">
        <f t="shared" si="12"/>
        <v>15100-25149794-94150071497570</v>
      </c>
      <c r="B800" s="136" t="s">
        <v>10750</v>
      </c>
      <c r="C800" s="136" t="s">
        <v>10751</v>
      </c>
      <c r="D800" s="132" t="s">
        <v>3420</v>
      </c>
      <c r="E800" s="136" t="s">
        <v>10397</v>
      </c>
      <c r="F800" s="136" t="s">
        <v>10397</v>
      </c>
      <c r="G800" s="137">
        <v>1394392935001</v>
      </c>
      <c r="H800" s="138" t="s">
        <v>6298</v>
      </c>
      <c r="I800" s="136">
        <v>941500714</v>
      </c>
      <c r="J800" s="131" t="s">
        <v>2768</v>
      </c>
      <c r="K800" s="139">
        <v>97570</v>
      </c>
    </row>
    <row r="801" spans="1:11">
      <c r="A801" s="1" t="str">
        <f t="shared" si="12"/>
        <v>15100-25212494-94150072975400</v>
      </c>
      <c r="B801" s="136" t="s">
        <v>10752</v>
      </c>
      <c r="C801" s="136" t="s">
        <v>10753</v>
      </c>
      <c r="D801" s="132" t="s">
        <v>3420</v>
      </c>
      <c r="E801" s="136" t="s">
        <v>2616</v>
      </c>
      <c r="F801" s="136" t="s">
        <v>2616</v>
      </c>
      <c r="G801" s="137">
        <v>1394392935001</v>
      </c>
      <c r="H801" s="138" t="s">
        <v>6298</v>
      </c>
      <c r="I801" s="136">
        <v>941500729</v>
      </c>
      <c r="J801" s="131" t="s">
        <v>2770</v>
      </c>
      <c r="K801" s="139">
        <v>75400</v>
      </c>
    </row>
    <row r="802" spans="1:11">
      <c r="A802" s="1" t="str">
        <f t="shared" si="12"/>
        <v>15100-26483794-94150080747590</v>
      </c>
      <c r="B802" s="136" t="s">
        <v>10754</v>
      </c>
      <c r="C802" s="136" t="s">
        <v>10755</v>
      </c>
      <c r="D802" s="132" t="s">
        <v>3420</v>
      </c>
      <c r="E802" s="136" t="s">
        <v>2869</v>
      </c>
      <c r="F802" s="136" t="s">
        <v>2869</v>
      </c>
      <c r="G802" s="137">
        <v>1394394802001</v>
      </c>
      <c r="H802" s="138" t="s">
        <v>6298</v>
      </c>
      <c r="I802" s="136">
        <v>941500807</v>
      </c>
      <c r="J802" s="131" t="s">
        <v>2894</v>
      </c>
      <c r="K802" s="139">
        <v>47590</v>
      </c>
    </row>
    <row r="803" spans="1:11">
      <c r="A803" s="1" t="str">
        <f t="shared" si="12"/>
        <v>15100-26486794-94150080747700</v>
      </c>
      <c r="B803" s="136" t="s">
        <v>10756</v>
      </c>
      <c r="C803" s="136" t="s">
        <v>10757</v>
      </c>
      <c r="D803" s="132" t="s">
        <v>3420</v>
      </c>
      <c r="E803" s="136" t="s">
        <v>2869</v>
      </c>
      <c r="F803" s="136" t="s">
        <v>2869</v>
      </c>
      <c r="G803" s="137">
        <v>1394394802001</v>
      </c>
      <c r="H803" s="138" t="s">
        <v>6298</v>
      </c>
      <c r="I803" s="136">
        <v>941500807</v>
      </c>
      <c r="J803" s="131" t="s">
        <v>2894</v>
      </c>
      <c r="K803" s="139">
        <v>47700</v>
      </c>
    </row>
    <row r="804" spans="1:11">
      <c r="A804" s="1" t="str">
        <f t="shared" si="12"/>
        <v>15100-27851094-941500807118420</v>
      </c>
      <c r="B804" s="136" t="s">
        <v>10758</v>
      </c>
      <c r="C804" s="136" t="s">
        <v>10759</v>
      </c>
      <c r="D804" s="132" t="s">
        <v>3420</v>
      </c>
      <c r="E804" s="136" t="s">
        <v>3045</v>
      </c>
      <c r="F804" s="136" t="s">
        <v>3045</v>
      </c>
      <c r="G804" s="137">
        <v>1394394802001</v>
      </c>
      <c r="H804" s="138" t="s">
        <v>6298</v>
      </c>
      <c r="I804" s="136">
        <v>941500807</v>
      </c>
      <c r="J804" s="131" t="s">
        <v>2894</v>
      </c>
      <c r="K804" s="139">
        <v>118420</v>
      </c>
    </row>
    <row r="805" spans="1:11">
      <c r="A805" s="1" t="str">
        <f t="shared" si="12"/>
        <v>50100-854769596-961500011423718</v>
      </c>
      <c r="B805" s="136" t="s">
        <v>4999</v>
      </c>
      <c r="C805" s="136" t="s">
        <v>8961</v>
      </c>
      <c r="D805" s="132" t="s">
        <v>4971</v>
      </c>
      <c r="E805" s="136" t="s">
        <v>5012</v>
      </c>
      <c r="F805" s="136" t="s">
        <v>5012</v>
      </c>
      <c r="G805" s="137">
        <v>1395451404001</v>
      </c>
      <c r="H805" s="138" t="s">
        <v>6456</v>
      </c>
      <c r="I805" s="136">
        <v>961500011</v>
      </c>
      <c r="J805" s="131" t="s">
        <v>5039</v>
      </c>
      <c r="K805" s="139">
        <v>423718</v>
      </c>
    </row>
    <row r="806" spans="1:11">
      <c r="A806" s="1" t="str">
        <f t="shared" si="12"/>
        <v>50100-738269494-9415004641861</v>
      </c>
      <c r="B806" s="136" t="s">
        <v>10472</v>
      </c>
      <c r="C806" s="136" t="s">
        <v>10473</v>
      </c>
      <c r="D806" s="132" t="s">
        <v>3420</v>
      </c>
      <c r="E806" s="136" t="s">
        <v>3050</v>
      </c>
      <c r="F806" s="136" t="s">
        <v>3050</v>
      </c>
      <c r="G806" s="137">
        <v>1394373284001</v>
      </c>
      <c r="H806" s="138" t="s">
        <v>6453</v>
      </c>
      <c r="I806" s="136">
        <v>941500464</v>
      </c>
      <c r="J806" s="131" t="s">
        <v>6801</v>
      </c>
      <c r="K806" s="139">
        <v>1861</v>
      </c>
    </row>
    <row r="807" spans="1:11">
      <c r="A807" s="1" t="str">
        <f t="shared" si="12"/>
        <v>50100-738269494-941500742402250</v>
      </c>
      <c r="B807" s="136" t="s">
        <v>10472</v>
      </c>
      <c r="C807" s="136" t="s">
        <v>10473</v>
      </c>
      <c r="D807" s="132" t="s">
        <v>3420</v>
      </c>
      <c r="E807" s="136" t="s">
        <v>3050</v>
      </c>
      <c r="F807" s="136" t="s">
        <v>3050</v>
      </c>
      <c r="G807" s="137">
        <v>1394392654001</v>
      </c>
      <c r="H807" s="138" t="s">
        <v>6453</v>
      </c>
      <c r="I807" s="136">
        <v>941500742</v>
      </c>
      <c r="J807" s="131" t="s">
        <v>6877</v>
      </c>
      <c r="K807" s="139">
        <v>402250</v>
      </c>
    </row>
    <row r="808" spans="1:11">
      <c r="A808" s="1" t="str">
        <f t="shared" si="12"/>
        <v>15100-26693594-94150080975450</v>
      </c>
      <c r="B808" s="136" t="s">
        <v>10726</v>
      </c>
      <c r="C808" s="136" t="s">
        <v>10727</v>
      </c>
      <c r="D808" s="132" t="s">
        <v>3420</v>
      </c>
      <c r="E808" s="136" t="s">
        <v>2856</v>
      </c>
      <c r="F808" s="136" t="s">
        <v>2856</v>
      </c>
      <c r="G808" s="137">
        <v>1394394802001</v>
      </c>
      <c r="H808" s="138" t="s">
        <v>6298</v>
      </c>
      <c r="I808" s="136">
        <v>941500809</v>
      </c>
      <c r="J808" s="131" t="s">
        <v>2893</v>
      </c>
      <c r="K808" s="139">
        <v>75450</v>
      </c>
    </row>
    <row r="809" spans="1:11">
      <c r="A809" s="1" t="str">
        <f t="shared" si="12"/>
        <v>50100-725683295-9515000791000000</v>
      </c>
      <c r="B809" s="136" t="s">
        <v>2957</v>
      </c>
      <c r="C809" s="136" t="s">
        <v>10760</v>
      </c>
      <c r="D809" s="132" t="s">
        <v>3420</v>
      </c>
      <c r="E809" s="136" t="s">
        <v>2869</v>
      </c>
      <c r="F809" s="136" t="s">
        <v>2869</v>
      </c>
      <c r="G809" s="137">
        <v>1394395845001</v>
      </c>
      <c r="H809" s="138" t="s">
        <v>6453</v>
      </c>
      <c r="I809" s="136">
        <v>951500079</v>
      </c>
      <c r="J809" s="131" t="s">
        <v>3116</v>
      </c>
      <c r="K809" s="139">
        <v>1000000</v>
      </c>
    </row>
    <row r="810" spans="1:11">
      <c r="A810" s="1" t="str">
        <f t="shared" si="12"/>
        <v>50100-822584795-952500074983323</v>
      </c>
      <c r="B810" s="136" t="s">
        <v>4427</v>
      </c>
      <c r="C810" s="136" t="s">
        <v>10761</v>
      </c>
      <c r="D810" s="132" t="s">
        <v>3420</v>
      </c>
      <c r="E810" s="136" t="s">
        <v>4444</v>
      </c>
      <c r="F810" s="136" t="s">
        <v>4444</v>
      </c>
      <c r="G810" s="137">
        <v>1395455033001</v>
      </c>
      <c r="H810" s="138" t="s">
        <v>10762</v>
      </c>
      <c r="I810" s="136">
        <v>952500074</v>
      </c>
      <c r="J810" s="131" t="s">
        <v>4492</v>
      </c>
      <c r="K810" s="139">
        <v>983323</v>
      </c>
    </row>
    <row r="811" spans="1:11">
      <c r="A811" s="1" t="str">
        <f t="shared" si="12"/>
        <v>15100-30757195-95150018066420</v>
      </c>
      <c r="B811" s="136" t="s">
        <v>10763</v>
      </c>
      <c r="C811" s="136" t="s">
        <v>10764</v>
      </c>
      <c r="D811" s="132" t="s">
        <v>3420</v>
      </c>
      <c r="E811" s="136" t="s">
        <v>10765</v>
      </c>
      <c r="F811" s="136" t="s">
        <v>10765</v>
      </c>
      <c r="G811" s="137">
        <v>1395401420001</v>
      </c>
      <c r="H811" s="138" t="s">
        <v>6298</v>
      </c>
      <c r="I811" s="136">
        <v>951500180</v>
      </c>
      <c r="J811" s="131" t="s">
        <v>3384</v>
      </c>
      <c r="K811" s="139">
        <v>66420</v>
      </c>
    </row>
    <row r="812" spans="1:11">
      <c r="A812" s="1" t="str">
        <f t="shared" si="12"/>
        <v>15100-29964995-95150020448620</v>
      </c>
      <c r="B812" s="136" t="s">
        <v>3361</v>
      </c>
      <c r="C812" s="136" t="s">
        <v>10766</v>
      </c>
      <c r="D812" s="132" t="s">
        <v>3420</v>
      </c>
      <c r="E812" s="136" t="s">
        <v>3326</v>
      </c>
      <c r="F812" s="136" t="s">
        <v>3326</v>
      </c>
      <c r="G812" s="137">
        <v>1395397987001</v>
      </c>
      <c r="H812" s="138" t="s">
        <v>10183</v>
      </c>
      <c r="I812" s="136">
        <v>951500204</v>
      </c>
      <c r="J812" s="131" t="s">
        <v>3385</v>
      </c>
      <c r="K812" s="139">
        <v>48620</v>
      </c>
    </row>
    <row r="813" spans="1:11">
      <c r="A813" s="1" t="str">
        <f t="shared" si="12"/>
        <v>15100-30130395-95150020446710</v>
      </c>
      <c r="B813" s="136" t="s">
        <v>3360</v>
      </c>
      <c r="C813" s="136" t="s">
        <v>10767</v>
      </c>
      <c r="D813" s="132" t="s">
        <v>3420</v>
      </c>
      <c r="E813" s="136" t="s">
        <v>3375</v>
      </c>
      <c r="F813" s="136" t="s">
        <v>3375</v>
      </c>
      <c r="G813" s="137">
        <v>1395397987001</v>
      </c>
      <c r="H813" s="138" t="s">
        <v>10183</v>
      </c>
      <c r="I813" s="136">
        <v>951500204</v>
      </c>
      <c r="J813" s="131" t="s">
        <v>3385</v>
      </c>
      <c r="K813" s="139">
        <v>46710</v>
      </c>
    </row>
    <row r="814" spans="1:11">
      <c r="A814" s="1" t="str">
        <f t="shared" si="12"/>
        <v>15100-27210394-94150064723890</v>
      </c>
      <c r="B814" s="136" t="s">
        <v>10768</v>
      </c>
      <c r="C814" s="136" t="s">
        <v>10769</v>
      </c>
      <c r="D814" s="132" t="s">
        <v>3420</v>
      </c>
      <c r="E814" s="136" t="s">
        <v>2858</v>
      </c>
      <c r="F814" s="136" t="s">
        <v>2858</v>
      </c>
      <c r="G814" s="137">
        <v>1394390338001</v>
      </c>
      <c r="H814" s="138" t="s">
        <v>6298</v>
      </c>
      <c r="I814" s="136">
        <v>941500647</v>
      </c>
      <c r="J814" s="131" t="s">
        <v>2539</v>
      </c>
      <c r="K814" s="139">
        <v>23890</v>
      </c>
    </row>
    <row r="815" spans="1:11">
      <c r="A815" s="1" t="str">
        <f t="shared" si="12"/>
        <v>15100-36345695-95150050972380</v>
      </c>
      <c r="B815" s="136" t="s">
        <v>4324</v>
      </c>
      <c r="C815" s="136" t="s">
        <v>10770</v>
      </c>
      <c r="D815" s="132" t="s">
        <v>3420</v>
      </c>
      <c r="E815" s="136" t="s">
        <v>4174</v>
      </c>
      <c r="F815" s="136" t="s">
        <v>4174</v>
      </c>
      <c r="G815" s="137">
        <v>1395449235001</v>
      </c>
      <c r="H815" s="138" t="s">
        <v>6299</v>
      </c>
      <c r="I815" s="136">
        <v>951500509</v>
      </c>
      <c r="J815" s="131" t="s">
        <v>4351</v>
      </c>
      <c r="K815" s="139">
        <v>72380</v>
      </c>
    </row>
    <row r="816" spans="1:11">
      <c r="A816" s="1" t="str">
        <f t="shared" si="12"/>
        <v>15100-36297695-95150051921280</v>
      </c>
      <c r="B816" s="136" t="s">
        <v>4325</v>
      </c>
      <c r="C816" s="136" t="s">
        <v>10771</v>
      </c>
      <c r="D816" s="132" t="s">
        <v>3420</v>
      </c>
      <c r="E816" s="136" t="s">
        <v>4167</v>
      </c>
      <c r="F816" s="141" t="s">
        <v>4167</v>
      </c>
      <c r="G816" s="137">
        <v>1395451403001</v>
      </c>
      <c r="H816" s="140" t="s">
        <v>8845</v>
      </c>
      <c r="I816" s="141">
        <v>951500519</v>
      </c>
      <c r="J816" s="131" t="s">
        <v>4355</v>
      </c>
      <c r="K816" s="142">
        <v>21280</v>
      </c>
    </row>
    <row r="817" spans="1:11">
      <c r="A817" s="1" t="str">
        <f t="shared" si="12"/>
        <v>15100-36297695-951500509121280</v>
      </c>
      <c r="B817" s="136" t="s">
        <v>4325</v>
      </c>
      <c r="C817" s="136" t="s">
        <v>10771</v>
      </c>
      <c r="D817" s="132" t="s">
        <v>3420</v>
      </c>
      <c r="E817" s="136" t="s">
        <v>4167</v>
      </c>
      <c r="F817" s="136" t="s">
        <v>4167</v>
      </c>
      <c r="G817" s="137">
        <v>1395449235001</v>
      </c>
      <c r="H817" s="138" t="s">
        <v>6299</v>
      </c>
      <c r="I817" s="136">
        <v>951500509</v>
      </c>
      <c r="J817" s="131" t="s">
        <v>4351</v>
      </c>
      <c r="K817" s="139">
        <v>121280</v>
      </c>
    </row>
    <row r="818" spans="1:11">
      <c r="A818" s="1" t="str">
        <f t="shared" si="12"/>
        <v>15100-27210394-94150083572530</v>
      </c>
      <c r="B818" s="136" t="s">
        <v>10768</v>
      </c>
      <c r="C818" s="136" t="s">
        <v>10769</v>
      </c>
      <c r="D818" s="132" t="s">
        <v>3420</v>
      </c>
      <c r="E818" s="136" t="s">
        <v>2858</v>
      </c>
      <c r="F818" s="136" t="s">
        <v>2858</v>
      </c>
      <c r="G818" s="137">
        <v>1394395844001</v>
      </c>
      <c r="H818" s="138" t="s">
        <v>6298</v>
      </c>
      <c r="I818" s="136">
        <v>941500835</v>
      </c>
      <c r="J818" s="131" t="s">
        <v>2876</v>
      </c>
      <c r="K818" s="139">
        <v>72530</v>
      </c>
    </row>
    <row r="819" spans="1:11">
      <c r="A819" s="1" t="str">
        <f t="shared" si="12"/>
        <v>15100-26610194-941500785100000</v>
      </c>
      <c r="B819" s="136" t="s">
        <v>10772</v>
      </c>
      <c r="C819" s="136" t="s">
        <v>10773</v>
      </c>
      <c r="D819" s="132" t="s">
        <v>3420</v>
      </c>
      <c r="E819" s="136" t="s">
        <v>2864</v>
      </c>
      <c r="F819" s="136" t="s">
        <v>2862</v>
      </c>
      <c r="G819" s="137">
        <v>1394394802001</v>
      </c>
      <c r="H819" s="138" t="s">
        <v>6298</v>
      </c>
      <c r="I819" s="136">
        <v>941500785</v>
      </c>
      <c r="J819" s="131" t="s">
        <v>2879</v>
      </c>
      <c r="K819" s="139">
        <v>100000</v>
      </c>
    </row>
    <row r="820" spans="1:11">
      <c r="A820" s="1" t="str">
        <f t="shared" si="12"/>
        <v>15100-35300495-95150039147400</v>
      </c>
      <c r="B820" s="136" t="s">
        <v>4143</v>
      </c>
      <c r="C820" s="136" t="s">
        <v>10774</v>
      </c>
      <c r="D820" s="132" t="s">
        <v>3420</v>
      </c>
      <c r="E820" s="136" t="s">
        <v>4181</v>
      </c>
      <c r="F820" s="141" t="s">
        <v>4181</v>
      </c>
      <c r="G820" s="137">
        <v>1395445414001</v>
      </c>
      <c r="H820" s="140" t="s">
        <v>8845</v>
      </c>
      <c r="I820" s="141">
        <v>951500391</v>
      </c>
      <c r="J820" s="131" t="s">
        <v>4274</v>
      </c>
      <c r="K820" s="142">
        <v>47400</v>
      </c>
    </row>
    <row r="821" spans="1:11">
      <c r="A821" s="1" t="str">
        <f t="shared" si="12"/>
        <v>15100-35300495-951500432222700</v>
      </c>
      <c r="B821" s="136" t="s">
        <v>4143</v>
      </c>
      <c r="C821" s="136" t="s">
        <v>10774</v>
      </c>
      <c r="D821" s="132" t="s">
        <v>3420</v>
      </c>
      <c r="E821" s="136" t="s">
        <v>4181</v>
      </c>
      <c r="F821" s="136" t="s">
        <v>4181</v>
      </c>
      <c r="G821" s="137">
        <v>1395441448001</v>
      </c>
      <c r="H821" s="138" t="s">
        <v>6299</v>
      </c>
      <c r="I821" s="136">
        <v>951500432</v>
      </c>
      <c r="J821" s="131" t="s">
        <v>3979</v>
      </c>
      <c r="K821" s="139">
        <v>222700</v>
      </c>
    </row>
    <row r="822" spans="1:11">
      <c r="A822" s="1" t="str">
        <f t="shared" si="12"/>
        <v>15100-37794895-95150054942140</v>
      </c>
      <c r="B822" s="136" t="s">
        <v>4651</v>
      </c>
      <c r="C822" s="136" t="s">
        <v>10775</v>
      </c>
      <c r="D822" s="132" t="s">
        <v>3420</v>
      </c>
      <c r="E822" s="136" t="s">
        <v>4660</v>
      </c>
      <c r="F822" s="136" t="s">
        <v>4660</v>
      </c>
      <c r="G822" s="137">
        <v>1395456616001</v>
      </c>
      <c r="H822" s="138" t="s">
        <v>6299</v>
      </c>
      <c r="I822" s="136">
        <v>951500549</v>
      </c>
      <c r="J822" s="131" t="s">
        <v>4452</v>
      </c>
      <c r="K822" s="139">
        <v>42140</v>
      </c>
    </row>
    <row r="823" spans="1:11">
      <c r="A823" s="1" t="str">
        <f t="shared" si="12"/>
        <v>15100-32889995-95250003211000</v>
      </c>
      <c r="B823" s="136" t="s">
        <v>3609</v>
      </c>
      <c r="C823" s="136" t="s">
        <v>10776</v>
      </c>
      <c r="D823" s="132" t="s">
        <v>3420</v>
      </c>
      <c r="E823" s="136" t="s">
        <v>3665</v>
      </c>
      <c r="F823" s="136" t="s">
        <v>3665</v>
      </c>
      <c r="G823" s="137">
        <v>1395424250001</v>
      </c>
      <c r="H823" s="138" t="s">
        <v>10282</v>
      </c>
      <c r="I823" s="136">
        <v>952500032</v>
      </c>
      <c r="J823" s="131" t="s">
        <v>3465</v>
      </c>
      <c r="K823" s="139">
        <v>11000</v>
      </c>
    </row>
    <row r="824" spans="1:11">
      <c r="A824" s="1" t="str">
        <f t="shared" si="12"/>
        <v>15100-25715694-94150078318260</v>
      </c>
      <c r="B824" s="136" t="s">
        <v>2689</v>
      </c>
      <c r="C824" s="136" t="s">
        <v>10777</v>
      </c>
      <c r="D824" s="132" t="s">
        <v>3420</v>
      </c>
      <c r="E824" s="136" t="s">
        <v>2750</v>
      </c>
      <c r="F824" s="136" t="s">
        <v>2750</v>
      </c>
      <c r="G824" s="137">
        <v>1394394178001</v>
      </c>
      <c r="H824" s="138" t="s">
        <v>6298</v>
      </c>
      <c r="I824" s="136">
        <v>941500783</v>
      </c>
      <c r="J824" s="131" t="s">
        <v>2761</v>
      </c>
      <c r="K824" s="139">
        <v>18260</v>
      </c>
    </row>
    <row r="825" spans="1:11">
      <c r="A825" s="1" t="str">
        <f t="shared" si="12"/>
        <v>15100-25715694-9415006555670</v>
      </c>
      <c r="B825" s="136" t="s">
        <v>2689</v>
      </c>
      <c r="C825" s="136" t="s">
        <v>10777</v>
      </c>
      <c r="D825" s="132" t="s">
        <v>3420</v>
      </c>
      <c r="E825" s="136" t="s">
        <v>2750</v>
      </c>
      <c r="F825" s="136" t="s">
        <v>2750</v>
      </c>
      <c r="G825" s="137">
        <v>1394391329001</v>
      </c>
      <c r="H825" s="138" t="s">
        <v>6298</v>
      </c>
      <c r="I825" s="136">
        <v>941500655</v>
      </c>
      <c r="J825" s="131" t="s">
        <v>2534</v>
      </c>
      <c r="K825" s="139">
        <v>5670</v>
      </c>
    </row>
    <row r="826" spans="1:11">
      <c r="A826" s="1" t="str">
        <f t="shared" si="12"/>
        <v>15100-25715694-94150077348290</v>
      </c>
      <c r="B826" s="136" t="s">
        <v>2689</v>
      </c>
      <c r="C826" s="136" t="s">
        <v>10777</v>
      </c>
      <c r="D826" s="132" t="s">
        <v>3420</v>
      </c>
      <c r="E826" s="136" t="s">
        <v>2750</v>
      </c>
      <c r="F826" s="136" t="s">
        <v>2750</v>
      </c>
      <c r="G826" s="137">
        <v>1394394178001</v>
      </c>
      <c r="H826" s="138" t="s">
        <v>6298</v>
      </c>
      <c r="I826" s="136">
        <v>941500773</v>
      </c>
      <c r="J826" s="131" t="s">
        <v>2760</v>
      </c>
      <c r="K826" s="139">
        <v>48290</v>
      </c>
    </row>
    <row r="827" spans="1:11">
      <c r="A827" s="1" t="str">
        <f t="shared" si="12"/>
        <v>15100-28486594-94150083590900</v>
      </c>
      <c r="B827" s="136" t="s">
        <v>10778</v>
      </c>
      <c r="C827" s="136" t="s">
        <v>10779</v>
      </c>
      <c r="D827" s="132" t="s">
        <v>3420</v>
      </c>
      <c r="E827" s="136" t="s">
        <v>3164</v>
      </c>
      <c r="F827" s="136" t="s">
        <v>3164</v>
      </c>
      <c r="G827" s="137">
        <v>1394395844001</v>
      </c>
      <c r="H827" s="138" t="s">
        <v>6298</v>
      </c>
      <c r="I827" s="136">
        <v>941500835</v>
      </c>
      <c r="J827" s="131" t="s">
        <v>2876</v>
      </c>
      <c r="K827" s="139">
        <v>90900</v>
      </c>
    </row>
    <row r="828" spans="1:11">
      <c r="A828" s="1" t="str">
        <f t="shared" si="12"/>
        <v>50100-855118196-962500002498700</v>
      </c>
      <c r="B828" s="136" t="s">
        <v>4985</v>
      </c>
      <c r="C828" s="136" t="s">
        <v>8947</v>
      </c>
      <c r="D828" s="132" t="s">
        <v>4971</v>
      </c>
      <c r="E828" s="136" t="s">
        <v>4972</v>
      </c>
      <c r="F828" s="136" t="s">
        <v>4972</v>
      </c>
      <c r="G828" s="137">
        <v>1395462017001</v>
      </c>
      <c r="H828" s="138" t="s">
        <v>6298</v>
      </c>
      <c r="I828" s="136">
        <v>962500002</v>
      </c>
      <c r="J828" s="131" t="s">
        <v>5025</v>
      </c>
      <c r="K828" s="139">
        <v>498700</v>
      </c>
    </row>
    <row r="829" spans="1:11">
      <c r="A829" s="1" t="str">
        <f t="shared" si="12"/>
        <v>50100-747171495-95150003099000</v>
      </c>
      <c r="B829" s="136" t="s">
        <v>3235</v>
      </c>
      <c r="C829" s="136" t="s">
        <v>10780</v>
      </c>
      <c r="D829" s="132" t="s">
        <v>3420</v>
      </c>
      <c r="E829" s="136" t="s">
        <v>3246</v>
      </c>
      <c r="F829" s="136" t="s">
        <v>3246</v>
      </c>
      <c r="G829" s="137">
        <v>1395397985001</v>
      </c>
      <c r="H829" s="138" t="s">
        <v>6298</v>
      </c>
      <c r="I829" s="136">
        <v>951500030</v>
      </c>
      <c r="J829" s="131" t="s">
        <v>2785</v>
      </c>
      <c r="K829" s="139">
        <v>99000</v>
      </c>
    </row>
    <row r="830" spans="1:11">
      <c r="A830" s="1" t="str">
        <f t="shared" si="12"/>
        <v>15100-29001294-941500831139230</v>
      </c>
      <c r="B830" s="136" t="s">
        <v>10781</v>
      </c>
      <c r="C830" s="136" t="s">
        <v>10782</v>
      </c>
      <c r="D830" s="132" t="s">
        <v>3420</v>
      </c>
      <c r="E830" s="136" t="s">
        <v>3247</v>
      </c>
      <c r="F830" s="136" t="s">
        <v>3247</v>
      </c>
      <c r="G830" s="137">
        <v>1394395844001</v>
      </c>
      <c r="H830" s="138" t="s">
        <v>6298</v>
      </c>
      <c r="I830" s="136">
        <v>941500831</v>
      </c>
      <c r="J830" s="131" t="s">
        <v>3285</v>
      </c>
      <c r="K830" s="139">
        <v>139230</v>
      </c>
    </row>
    <row r="831" spans="1:11">
      <c r="A831" s="1" t="str">
        <f t="shared" si="12"/>
        <v>15100-27374594-941500782147020</v>
      </c>
      <c r="B831" s="136" t="s">
        <v>10478</v>
      </c>
      <c r="C831" s="136" t="s">
        <v>10479</v>
      </c>
      <c r="D831" s="132" t="s">
        <v>3420</v>
      </c>
      <c r="E831" s="136" t="s">
        <v>3047</v>
      </c>
      <c r="F831" s="136" t="s">
        <v>3047</v>
      </c>
      <c r="G831" s="137">
        <v>1394394178001</v>
      </c>
      <c r="H831" s="138" t="s">
        <v>6298</v>
      </c>
      <c r="I831" s="136">
        <v>941500782</v>
      </c>
      <c r="J831" s="131" t="s">
        <v>3059</v>
      </c>
      <c r="K831" s="139">
        <v>147020</v>
      </c>
    </row>
    <row r="832" spans="1:11">
      <c r="A832" s="1" t="str">
        <f t="shared" si="12"/>
        <v>15100-30130394-94150084152295</v>
      </c>
      <c r="B832" s="136" t="s">
        <v>3360</v>
      </c>
      <c r="C832" s="136" t="s">
        <v>10767</v>
      </c>
      <c r="D832" s="132" t="s">
        <v>3420</v>
      </c>
      <c r="E832" s="136" t="s">
        <v>3375</v>
      </c>
      <c r="F832" s="136" t="s">
        <v>3375</v>
      </c>
      <c r="G832" s="137">
        <v>1394395844001</v>
      </c>
      <c r="H832" s="138" t="s">
        <v>6298</v>
      </c>
      <c r="I832" s="136">
        <v>941500841</v>
      </c>
      <c r="J832" s="131" t="s">
        <v>3383</v>
      </c>
      <c r="K832" s="139">
        <v>52295</v>
      </c>
    </row>
    <row r="833" spans="1:11">
      <c r="A833" s="1" t="str">
        <f t="shared" si="12"/>
        <v>15100-34955795-951500388207070</v>
      </c>
      <c r="B833" s="136" t="s">
        <v>4150</v>
      </c>
      <c r="C833" s="136" t="s">
        <v>10783</v>
      </c>
      <c r="D833" s="132" t="s">
        <v>3420</v>
      </c>
      <c r="E833" s="136" t="s">
        <v>3965</v>
      </c>
      <c r="F833" s="136" t="s">
        <v>3965</v>
      </c>
      <c r="G833" s="137">
        <v>1395437982001</v>
      </c>
      <c r="H833" s="138" t="s">
        <v>6300</v>
      </c>
      <c r="I833" s="136">
        <v>951500388</v>
      </c>
      <c r="J833" s="131" t="s">
        <v>4267</v>
      </c>
      <c r="K833" s="139">
        <v>207070</v>
      </c>
    </row>
    <row r="834" spans="1:11">
      <c r="A834" s="1" t="str">
        <f t="shared" si="12"/>
        <v>15100-34487695-951500288166912</v>
      </c>
      <c r="B834" s="136" t="s">
        <v>3791</v>
      </c>
      <c r="C834" s="136" t="s">
        <v>10784</v>
      </c>
      <c r="D834" s="132" t="s">
        <v>3420</v>
      </c>
      <c r="E834" s="136" t="s">
        <v>3825</v>
      </c>
      <c r="F834" s="136" t="s">
        <v>3825</v>
      </c>
      <c r="G834" s="137">
        <v>1395437985001</v>
      </c>
      <c r="H834" s="138" t="s">
        <v>6298</v>
      </c>
      <c r="I834" s="136">
        <v>951500288</v>
      </c>
      <c r="J834" s="131" t="s">
        <v>3844</v>
      </c>
      <c r="K834" s="139">
        <v>166912</v>
      </c>
    </row>
    <row r="835" spans="1:11">
      <c r="A835" s="1" t="str">
        <f t="shared" ref="A835:A898" si="13">B835&amp;J835&amp;K835</f>
        <v>15100-35473695-95150043848240</v>
      </c>
      <c r="B835" s="136" t="s">
        <v>4147</v>
      </c>
      <c r="C835" s="136" t="s">
        <v>10785</v>
      </c>
      <c r="D835" s="132" t="s">
        <v>3420</v>
      </c>
      <c r="E835" s="136" t="s">
        <v>4176</v>
      </c>
      <c r="F835" s="136" t="s">
        <v>4176</v>
      </c>
      <c r="G835" s="137">
        <v>1395447925001</v>
      </c>
      <c r="H835" s="138" t="s">
        <v>6298</v>
      </c>
      <c r="I835" s="136">
        <v>951500438</v>
      </c>
      <c r="J835" s="131" t="s">
        <v>4297</v>
      </c>
      <c r="K835" s="139">
        <v>48240</v>
      </c>
    </row>
    <row r="836" spans="1:11">
      <c r="A836" s="1" t="str">
        <f t="shared" si="13"/>
        <v>15100-26758794-941500849244990</v>
      </c>
      <c r="B836" s="136" t="s">
        <v>10745</v>
      </c>
      <c r="C836" s="136" t="s">
        <v>10746</v>
      </c>
      <c r="D836" s="132" t="s">
        <v>3420</v>
      </c>
      <c r="E836" s="136" t="s">
        <v>2860</v>
      </c>
      <c r="F836" s="136" t="s">
        <v>2860</v>
      </c>
      <c r="G836" s="137">
        <v>1394395844001</v>
      </c>
      <c r="H836" s="138" t="s">
        <v>6298</v>
      </c>
      <c r="I836" s="136">
        <v>941500849</v>
      </c>
      <c r="J836" s="131" t="s">
        <v>2875</v>
      </c>
      <c r="K836" s="139">
        <v>244990</v>
      </c>
    </row>
    <row r="837" spans="1:11">
      <c r="A837" s="1" t="str">
        <f t="shared" si="13"/>
        <v>15100-26920395-951500098140320</v>
      </c>
      <c r="B837" s="136" t="s">
        <v>2840</v>
      </c>
      <c r="C837" s="136" t="s">
        <v>10786</v>
      </c>
      <c r="D837" s="132" t="s">
        <v>3420</v>
      </c>
      <c r="E837" s="136" t="s">
        <v>2859</v>
      </c>
      <c r="F837" s="136" t="s">
        <v>2859</v>
      </c>
      <c r="G837" s="137">
        <v>1395397985001</v>
      </c>
      <c r="H837" s="138" t="s">
        <v>6298</v>
      </c>
      <c r="I837" s="136">
        <v>951500098</v>
      </c>
      <c r="J837" s="131" t="s">
        <v>2881</v>
      </c>
      <c r="K837" s="139">
        <v>140320</v>
      </c>
    </row>
    <row r="838" spans="1:11">
      <c r="A838" s="1" t="str">
        <f t="shared" si="13"/>
        <v>15100-26970794-94150084950850</v>
      </c>
      <c r="B838" s="136" t="s">
        <v>10787</v>
      </c>
      <c r="C838" s="136" t="s">
        <v>10788</v>
      </c>
      <c r="D838" s="132" t="s">
        <v>3420</v>
      </c>
      <c r="E838" s="136" t="s">
        <v>2852</v>
      </c>
      <c r="F838" s="136" t="s">
        <v>2852</v>
      </c>
      <c r="G838" s="137">
        <v>1394395844001</v>
      </c>
      <c r="H838" s="138" t="s">
        <v>6298</v>
      </c>
      <c r="I838" s="136">
        <v>941500849</v>
      </c>
      <c r="J838" s="131" t="s">
        <v>2875</v>
      </c>
      <c r="K838" s="139">
        <v>50850</v>
      </c>
    </row>
    <row r="839" spans="1:11">
      <c r="A839" s="1" t="str">
        <f t="shared" si="13"/>
        <v>50100-738269494-94150072657380</v>
      </c>
      <c r="B839" s="136" t="s">
        <v>10472</v>
      </c>
      <c r="C839" s="136" t="s">
        <v>10473</v>
      </c>
      <c r="D839" s="132" t="s">
        <v>3420</v>
      </c>
      <c r="E839" s="136" t="s">
        <v>3050</v>
      </c>
      <c r="F839" s="136" t="s">
        <v>3050</v>
      </c>
      <c r="G839" s="137">
        <v>1394392654001</v>
      </c>
      <c r="H839" s="138" t="s">
        <v>6453</v>
      </c>
      <c r="I839" s="136">
        <v>941500726</v>
      </c>
      <c r="J839" s="131" t="s">
        <v>6850</v>
      </c>
      <c r="K839" s="139">
        <v>57380</v>
      </c>
    </row>
    <row r="840" spans="1:11">
      <c r="A840" s="1" t="str">
        <f t="shared" si="13"/>
        <v>15100-33690595-95150032344380</v>
      </c>
      <c r="B840" s="136" t="s">
        <v>3812</v>
      </c>
      <c r="C840" s="136" t="s">
        <v>10789</v>
      </c>
      <c r="D840" s="132" t="s">
        <v>3420</v>
      </c>
      <c r="E840" s="136" t="s">
        <v>3671</v>
      </c>
      <c r="F840" s="136" t="s">
        <v>3671</v>
      </c>
      <c r="G840" s="137">
        <v>1395438159001</v>
      </c>
      <c r="H840" s="138" t="s">
        <v>6298</v>
      </c>
      <c r="I840" s="136">
        <v>951500323</v>
      </c>
      <c r="J840" s="131" t="s">
        <v>3843</v>
      </c>
      <c r="K840" s="139">
        <v>44380</v>
      </c>
    </row>
    <row r="841" spans="1:11">
      <c r="A841" s="1" t="str">
        <f t="shared" si="13"/>
        <v>15100-26693594-941500717323920</v>
      </c>
      <c r="B841" s="136" t="s">
        <v>10726</v>
      </c>
      <c r="C841" s="136" t="s">
        <v>10727</v>
      </c>
      <c r="D841" s="132" t="s">
        <v>3420</v>
      </c>
      <c r="E841" s="136" t="s">
        <v>2856</v>
      </c>
      <c r="F841" s="136" t="s">
        <v>2856</v>
      </c>
      <c r="G841" s="137">
        <v>1394392935001</v>
      </c>
      <c r="H841" s="138" t="s">
        <v>6298</v>
      </c>
      <c r="I841" s="136">
        <v>941500717</v>
      </c>
      <c r="J841" s="131" t="s">
        <v>2765</v>
      </c>
      <c r="K841" s="139">
        <v>323920</v>
      </c>
    </row>
    <row r="842" spans="1:11">
      <c r="A842" s="1" t="str">
        <f t="shared" si="13"/>
        <v>15100-25212494-941500725128570</v>
      </c>
      <c r="B842" s="136" t="s">
        <v>10752</v>
      </c>
      <c r="C842" s="136" t="s">
        <v>10753</v>
      </c>
      <c r="D842" s="132" t="s">
        <v>3420</v>
      </c>
      <c r="E842" s="136" t="s">
        <v>2616</v>
      </c>
      <c r="F842" s="136" t="s">
        <v>2616</v>
      </c>
      <c r="G842" s="137">
        <v>1394392935001</v>
      </c>
      <c r="H842" s="138" t="s">
        <v>6298</v>
      </c>
      <c r="I842" s="136">
        <v>941500725</v>
      </c>
      <c r="J842" s="131" t="s">
        <v>2762</v>
      </c>
      <c r="K842" s="139">
        <v>128570</v>
      </c>
    </row>
    <row r="843" spans="1:11">
      <c r="A843" s="1" t="str">
        <f t="shared" si="13"/>
        <v>15100-26758794-94150078323840</v>
      </c>
      <c r="B843" s="136" t="s">
        <v>10745</v>
      </c>
      <c r="C843" s="136" t="s">
        <v>10746</v>
      </c>
      <c r="D843" s="132" t="s">
        <v>3420</v>
      </c>
      <c r="E843" s="136" t="s">
        <v>2860</v>
      </c>
      <c r="F843" s="136" t="s">
        <v>2860</v>
      </c>
      <c r="G843" s="137">
        <v>1394394178001</v>
      </c>
      <c r="H843" s="138" t="s">
        <v>6298</v>
      </c>
      <c r="I843" s="136">
        <v>941500783</v>
      </c>
      <c r="J843" s="131" t="s">
        <v>2761</v>
      </c>
      <c r="K843" s="139">
        <v>23840</v>
      </c>
    </row>
    <row r="844" spans="1:11">
      <c r="A844" s="1" t="str">
        <f t="shared" si="13"/>
        <v>15100-26758794-941500835223090</v>
      </c>
      <c r="B844" s="136" t="s">
        <v>10745</v>
      </c>
      <c r="C844" s="136" t="s">
        <v>10746</v>
      </c>
      <c r="D844" s="132" t="s">
        <v>3420</v>
      </c>
      <c r="E844" s="136" t="s">
        <v>2860</v>
      </c>
      <c r="F844" s="136" t="s">
        <v>2860</v>
      </c>
      <c r="G844" s="137">
        <v>1394395844001</v>
      </c>
      <c r="H844" s="138" t="s">
        <v>6298</v>
      </c>
      <c r="I844" s="136">
        <v>941500835</v>
      </c>
      <c r="J844" s="131" t="s">
        <v>2876</v>
      </c>
      <c r="K844" s="139">
        <v>223090</v>
      </c>
    </row>
    <row r="845" spans="1:11">
      <c r="A845" s="1" t="str">
        <f t="shared" si="13"/>
        <v>15100-26970794-941500835343540</v>
      </c>
      <c r="B845" s="136" t="s">
        <v>10787</v>
      </c>
      <c r="C845" s="136" t="s">
        <v>10788</v>
      </c>
      <c r="D845" s="132" t="s">
        <v>3420</v>
      </c>
      <c r="E845" s="136" t="s">
        <v>2852</v>
      </c>
      <c r="F845" s="136" t="s">
        <v>2852</v>
      </c>
      <c r="G845" s="137">
        <v>1394395844001</v>
      </c>
      <c r="H845" s="138" t="s">
        <v>6298</v>
      </c>
      <c r="I845" s="136">
        <v>941500835</v>
      </c>
      <c r="J845" s="131" t="s">
        <v>2876</v>
      </c>
      <c r="K845" s="139">
        <v>343540</v>
      </c>
    </row>
    <row r="846" spans="1:11">
      <c r="A846" s="1" t="str">
        <f t="shared" si="13"/>
        <v>15100-26970794-941500783100660</v>
      </c>
      <c r="B846" s="136" t="s">
        <v>10787</v>
      </c>
      <c r="C846" s="136" t="s">
        <v>10788</v>
      </c>
      <c r="D846" s="132" t="s">
        <v>3420</v>
      </c>
      <c r="E846" s="136" t="s">
        <v>2852</v>
      </c>
      <c r="F846" s="136" t="s">
        <v>2852</v>
      </c>
      <c r="G846" s="137">
        <v>1394394178001</v>
      </c>
      <c r="H846" s="138" t="s">
        <v>6298</v>
      </c>
      <c r="I846" s="136">
        <v>941500783</v>
      </c>
      <c r="J846" s="131" t="s">
        <v>2761</v>
      </c>
      <c r="K846" s="139">
        <v>100660</v>
      </c>
    </row>
    <row r="847" spans="1:11">
      <c r="A847" s="1" t="str">
        <f t="shared" si="13"/>
        <v>50100-723803695-951500086490350</v>
      </c>
      <c r="B847" s="136" t="s">
        <v>2972</v>
      </c>
      <c r="C847" s="136" t="s">
        <v>10790</v>
      </c>
      <c r="D847" s="132" t="s">
        <v>3420</v>
      </c>
      <c r="E847" s="136" t="s">
        <v>2863</v>
      </c>
      <c r="F847" s="136" t="s">
        <v>2863</v>
      </c>
      <c r="G847" s="137">
        <v>1395397987001</v>
      </c>
      <c r="H847" s="138" t="s">
        <v>10183</v>
      </c>
      <c r="I847" s="136">
        <v>951500086</v>
      </c>
      <c r="J847" s="131" t="s">
        <v>2783</v>
      </c>
      <c r="K847" s="139">
        <v>490350</v>
      </c>
    </row>
    <row r="848" spans="1:11">
      <c r="A848" s="1" t="str">
        <f t="shared" si="13"/>
        <v>50100-727997794-94250011044165</v>
      </c>
      <c r="B848" s="136" t="s">
        <v>2978</v>
      </c>
      <c r="C848" s="136" t="s">
        <v>10791</v>
      </c>
      <c r="D848" s="132" t="s">
        <v>3420</v>
      </c>
      <c r="E848" s="136" t="s">
        <v>2860</v>
      </c>
      <c r="F848" s="136" t="s">
        <v>2860</v>
      </c>
      <c r="G848" s="137">
        <v>1394392936001</v>
      </c>
      <c r="H848" s="138" t="s">
        <v>10183</v>
      </c>
      <c r="I848" s="136">
        <v>942500110</v>
      </c>
      <c r="J848" s="131" t="s">
        <v>7090</v>
      </c>
      <c r="K848" s="139">
        <v>44165</v>
      </c>
    </row>
    <row r="849" spans="1:11">
      <c r="A849" s="1" t="str">
        <f t="shared" si="13"/>
        <v>50100-843565395-951500588436500</v>
      </c>
      <c r="B849" s="136" t="s">
        <v>4811</v>
      </c>
      <c r="C849" s="136" t="s">
        <v>10792</v>
      </c>
      <c r="D849" s="132" t="s">
        <v>3420</v>
      </c>
      <c r="E849" s="136" t="s">
        <v>4872</v>
      </c>
      <c r="F849" s="136" t="s">
        <v>4872</v>
      </c>
      <c r="G849" s="137">
        <v>1395451401001</v>
      </c>
      <c r="H849" s="138" t="s">
        <v>6300</v>
      </c>
      <c r="I849" s="136">
        <v>951500588</v>
      </c>
      <c r="J849" s="131" t="s">
        <v>4909</v>
      </c>
      <c r="K849" s="139">
        <v>436500</v>
      </c>
    </row>
    <row r="850" spans="1:11">
      <c r="A850" s="1" t="str">
        <f t="shared" si="13"/>
        <v>50100-854755096-96150003025434</v>
      </c>
      <c r="B850" s="136" t="s">
        <v>4990</v>
      </c>
      <c r="C850" s="136" t="s">
        <v>8952</v>
      </c>
      <c r="D850" s="132" t="s">
        <v>4971</v>
      </c>
      <c r="E850" s="136" t="s">
        <v>5012</v>
      </c>
      <c r="F850" s="136" t="s">
        <v>5012</v>
      </c>
      <c r="G850" s="137">
        <v>1395455039001</v>
      </c>
      <c r="H850" s="138" t="s">
        <v>6300</v>
      </c>
      <c r="I850" s="136">
        <v>961500030</v>
      </c>
      <c r="J850" s="131" t="s">
        <v>5032</v>
      </c>
      <c r="K850" s="139">
        <v>25434</v>
      </c>
    </row>
    <row r="851" spans="1:11">
      <c r="A851" s="1" t="str">
        <f t="shared" si="13"/>
        <v>15100-33451295-95150027687498</v>
      </c>
      <c r="B851" s="136" t="s">
        <v>3806</v>
      </c>
      <c r="C851" s="136" t="s">
        <v>10793</v>
      </c>
      <c r="D851" s="132" t="s">
        <v>3420</v>
      </c>
      <c r="E851" s="136" t="s">
        <v>3833</v>
      </c>
      <c r="F851" s="136" t="s">
        <v>3833</v>
      </c>
      <c r="G851" s="137">
        <v>1395436005001</v>
      </c>
      <c r="H851" s="138" t="s">
        <v>6298</v>
      </c>
      <c r="I851" s="136">
        <v>951500276</v>
      </c>
      <c r="J851" s="131" t="s">
        <v>3853</v>
      </c>
      <c r="K851" s="139">
        <v>87498</v>
      </c>
    </row>
    <row r="852" spans="1:11">
      <c r="A852" s="1" t="str">
        <f t="shared" si="13"/>
        <v>15100-34576195-951500341200000</v>
      </c>
      <c r="B852" s="136" t="s">
        <v>4088</v>
      </c>
      <c r="C852" s="136" t="s">
        <v>10794</v>
      </c>
      <c r="D852" s="132" t="s">
        <v>3420</v>
      </c>
      <c r="E852" s="136" t="s">
        <v>3964</v>
      </c>
      <c r="F852" s="136" t="s">
        <v>3964</v>
      </c>
      <c r="G852" s="137">
        <v>1395438159001</v>
      </c>
      <c r="H852" s="138" t="s">
        <v>6298</v>
      </c>
      <c r="I852" s="136">
        <v>951500341</v>
      </c>
      <c r="J852" s="131" t="s">
        <v>4300</v>
      </c>
      <c r="K852" s="139">
        <v>200000</v>
      </c>
    </row>
    <row r="853" spans="1:11">
      <c r="A853" s="1" t="str">
        <f t="shared" si="13"/>
        <v>15100-34576195-95150030710892</v>
      </c>
      <c r="B853" s="136" t="s">
        <v>4088</v>
      </c>
      <c r="C853" s="136" t="s">
        <v>10794</v>
      </c>
      <c r="D853" s="132" t="s">
        <v>3420</v>
      </c>
      <c r="E853" s="136" t="s">
        <v>3964</v>
      </c>
      <c r="F853" s="136" t="s">
        <v>3964</v>
      </c>
      <c r="G853" s="137">
        <v>1395438159001</v>
      </c>
      <c r="H853" s="138" t="s">
        <v>6298</v>
      </c>
      <c r="I853" s="136">
        <v>951500307</v>
      </c>
      <c r="J853" s="131" t="s">
        <v>4301</v>
      </c>
      <c r="K853" s="139">
        <v>10892</v>
      </c>
    </row>
    <row r="854" spans="1:11">
      <c r="A854" s="1" t="str">
        <f t="shared" si="13"/>
        <v>50100-715021095-951500004997610</v>
      </c>
      <c r="B854" s="136" t="s">
        <v>2595</v>
      </c>
      <c r="C854" s="136" t="s">
        <v>10795</v>
      </c>
      <c r="D854" s="132" t="s">
        <v>3420</v>
      </c>
      <c r="E854" s="136" t="s">
        <v>2609</v>
      </c>
      <c r="F854" s="136" t="s">
        <v>2609</v>
      </c>
      <c r="G854" s="137">
        <v>1394394801001</v>
      </c>
      <c r="H854" s="138" t="s">
        <v>10183</v>
      </c>
      <c r="I854" s="136">
        <v>951500004</v>
      </c>
      <c r="J854" s="131" t="s">
        <v>2647</v>
      </c>
      <c r="K854" s="139">
        <v>997610</v>
      </c>
    </row>
    <row r="855" spans="1:11">
      <c r="A855" s="1" t="str">
        <f t="shared" si="13"/>
        <v>50100-824954895-951500516500000</v>
      </c>
      <c r="B855" s="136" t="s">
        <v>4539</v>
      </c>
      <c r="C855" s="136" t="s">
        <v>10796</v>
      </c>
      <c r="D855" s="132" t="s">
        <v>3420</v>
      </c>
      <c r="E855" s="136" t="s">
        <v>4570</v>
      </c>
      <c r="F855" s="136" t="s">
        <v>4570</v>
      </c>
      <c r="G855" s="137">
        <v>1395451221001</v>
      </c>
      <c r="H855" s="138" t="s">
        <v>6301</v>
      </c>
      <c r="I855" s="136">
        <v>951500516</v>
      </c>
      <c r="J855" s="131" t="s">
        <v>4507</v>
      </c>
      <c r="K855" s="139">
        <v>500000</v>
      </c>
    </row>
    <row r="856" spans="1:11">
      <c r="A856" s="1" t="str">
        <f t="shared" si="13"/>
        <v>50100-758394895-951500154497750</v>
      </c>
      <c r="B856" s="136" t="s">
        <v>3308</v>
      </c>
      <c r="C856" s="136" t="s">
        <v>10797</v>
      </c>
      <c r="D856" s="132" t="s">
        <v>3420</v>
      </c>
      <c r="E856" s="136" t="s">
        <v>3324</v>
      </c>
      <c r="F856" s="136" t="s">
        <v>3324</v>
      </c>
      <c r="G856" s="137">
        <v>1395397987001</v>
      </c>
      <c r="H856" s="138" t="s">
        <v>10183</v>
      </c>
      <c r="I856" s="136">
        <v>951500154</v>
      </c>
      <c r="J856" s="131" t="s">
        <v>3347</v>
      </c>
      <c r="K856" s="139">
        <v>497750</v>
      </c>
    </row>
    <row r="857" spans="1:11">
      <c r="A857" s="1" t="str">
        <f t="shared" si="13"/>
        <v>50100-738269494-94150026719976</v>
      </c>
      <c r="B857" s="136" t="s">
        <v>10472</v>
      </c>
      <c r="C857" s="136" t="s">
        <v>10473</v>
      </c>
      <c r="D857" s="132" t="s">
        <v>3420</v>
      </c>
      <c r="E857" s="136" t="s">
        <v>3050</v>
      </c>
      <c r="F857" s="136" t="s">
        <v>3050</v>
      </c>
      <c r="G857" s="137">
        <v>1394343980001</v>
      </c>
      <c r="H857" s="138" t="s">
        <v>6453</v>
      </c>
      <c r="I857" s="136">
        <v>941500267</v>
      </c>
      <c r="J857" s="131" t="s">
        <v>6689</v>
      </c>
      <c r="K857" s="139">
        <v>19976</v>
      </c>
    </row>
    <row r="858" spans="1:11">
      <c r="A858" s="1" t="str">
        <f t="shared" si="13"/>
        <v>15100-28718294-94150081221880</v>
      </c>
      <c r="B858" s="136" t="s">
        <v>10798</v>
      </c>
      <c r="C858" s="136" t="s">
        <v>10799</v>
      </c>
      <c r="D858" s="132" t="s">
        <v>3420</v>
      </c>
      <c r="E858" s="136" t="s">
        <v>3274</v>
      </c>
      <c r="F858" s="136" t="s">
        <v>3274</v>
      </c>
      <c r="G858" s="137">
        <v>1394394802001</v>
      </c>
      <c r="H858" s="138" t="s">
        <v>6298</v>
      </c>
      <c r="I858" s="136">
        <v>941500812</v>
      </c>
      <c r="J858" s="131" t="s">
        <v>3211</v>
      </c>
      <c r="K858" s="139">
        <v>21880</v>
      </c>
    </row>
    <row r="859" spans="1:11">
      <c r="A859" s="1" t="str">
        <f t="shared" si="13"/>
        <v>15100-27327195-95150005092680</v>
      </c>
      <c r="B859" s="136" t="s">
        <v>2911</v>
      </c>
      <c r="C859" s="136" t="s">
        <v>10800</v>
      </c>
      <c r="D859" s="132" t="s">
        <v>3420</v>
      </c>
      <c r="E859" s="136" t="s">
        <v>3040</v>
      </c>
      <c r="F859" s="136" t="s">
        <v>3040</v>
      </c>
      <c r="G859" s="137">
        <v>1395397985001</v>
      </c>
      <c r="H859" s="138" t="s">
        <v>6298</v>
      </c>
      <c r="I859" s="136">
        <v>951500050</v>
      </c>
      <c r="J859" s="131" t="s">
        <v>2889</v>
      </c>
      <c r="K859" s="139">
        <v>92680</v>
      </c>
    </row>
    <row r="860" spans="1:11">
      <c r="A860" s="1" t="str">
        <f t="shared" si="13"/>
        <v>15100-33690595-951500326209760</v>
      </c>
      <c r="B860" s="136" t="s">
        <v>3812</v>
      </c>
      <c r="C860" s="136" t="s">
        <v>10789</v>
      </c>
      <c r="D860" s="132" t="s">
        <v>3420</v>
      </c>
      <c r="E860" s="136" t="s">
        <v>3671</v>
      </c>
      <c r="F860" s="136" t="s">
        <v>3671</v>
      </c>
      <c r="G860" s="137">
        <v>1395437983001</v>
      </c>
      <c r="H860" s="138" t="s">
        <v>6299</v>
      </c>
      <c r="I860" s="136">
        <v>951500326</v>
      </c>
      <c r="J860" s="131" t="s">
        <v>3852</v>
      </c>
      <c r="K860" s="139">
        <v>209760</v>
      </c>
    </row>
    <row r="861" spans="1:11">
      <c r="A861" s="1" t="str">
        <f t="shared" si="13"/>
        <v>15100-25978095-95150005090980</v>
      </c>
      <c r="B861" s="136" t="s">
        <v>2848</v>
      </c>
      <c r="C861" s="136" t="s">
        <v>10497</v>
      </c>
      <c r="D861" s="132" t="s">
        <v>3420</v>
      </c>
      <c r="E861" s="136" t="s">
        <v>2756</v>
      </c>
      <c r="F861" s="136" t="s">
        <v>2756</v>
      </c>
      <c r="G861" s="137">
        <v>1395397985001</v>
      </c>
      <c r="H861" s="138" t="s">
        <v>6298</v>
      </c>
      <c r="I861" s="136">
        <v>951500050</v>
      </c>
      <c r="J861" s="131" t="s">
        <v>2889</v>
      </c>
      <c r="K861" s="139">
        <v>90980</v>
      </c>
    </row>
    <row r="862" spans="1:11">
      <c r="A862" s="1" t="str">
        <f t="shared" si="13"/>
        <v>15100-37301395-951500557173430</v>
      </c>
      <c r="B862" s="136" t="s">
        <v>4524</v>
      </c>
      <c r="C862" s="136" t="s">
        <v>10801</v>
      </c>
      <c r="D862" s="132" t="s">
        <v>3420</v>
      </c>
      <c r="E862" s="136" t="s">
        <v>4572</v>
      </c>
      <c r="F862" s="136" t="s">
        <v>4572</v>
      </c>
      <c r="G862" s="137">
        <v>1395453118001</v>
      </c>
      <c r="H862" s="138" t="s">
        <v>10802</v>
      </c>
      <c r="I862" s="136">
        <v>951500557</v>
      </c>
      <c r="J862" s="131" t="s">
        <v>4578</v>
      </c>
      <c r="K862" s="139">
        <v>173430</v>
      </c>
    </row>
    <row r="863" spans="1:11">
      <c r="A863" s="1" t="str">
        <f t="shared" si="13"/>
        <v>15100-34487695-95150035585118</v>
      </c>
      <c r="B863" s="136" t="s">
        <v>3791</v>
      </c>
      <c r="C863" s="136" t="s">
        <v>10784</v>
      </c>
      <c r="D863" s="132" t="s">
        <v>3420</v>
      </c>
      <c r="E863" s="136" t="s">
        <v>3825</v>
      </c>
      <c r="F863" s="136" t="s">
        <v>3825</v>
      </c>
      <c r="G863" s="137">
        <v>1395437985001</v>
      </c>
      <c r="H863" s="138" t="s">
        <v>6298</v>
      </c>
      <c r="I863" s="136">
        <v>951500355</v>
      </c>
      <c r="J863" s="131" t="s">
        <v>3841</v>
      </c>
      <c r="K863" s="139">
        <v>85118</v>
      </c>
    </row>
    <row r="864" spans="1:11">
      <c r="A864" s="1" t="str">
        <f t="shared" si="13"/>
        <v>50100-848961296-9641000011446242</v>
      </c>
      <c r="B864" s="136" t="s">
        <v>4846</v>
      </c>
      <c r="C864" s="136" t="s">
        <v>8920</v>
      </c>
      <c r="D864" s="132" t="s">
        <v>4971</v>
      </c>
      <c r="E864" s="136" t="s">
        <v>4882</v>
      </c>
      <c r="F864" s="136" t="s">
        <v>4882</v>
      </c>
      <c r="G864" s="137">
        <v>1395468402001</v>
      </c>
      <c r="H864" s="138" t="s">
        <v>10183</v>
      </c>
      <c r="I864" s="136">
        <v>964100001</v>
      </c>
      <c r="J864" s="131" t="s">
        <v>4960</v>
      </c>
      <c r="K864" s="139">
        <v>1446242</v>
      </c>
    </row>
    <row r="865" spans="1:11">
      <c r="A865" s="1" t="str">
        <f t="shared" si="13"/>
        <v>50100-810602995-9541000251461197</v>
      </c>
      <c r="B865" s="136" t="s">
        <v>4399</v>
      </c>
      <c r="C865" s="136" t="s">
        <v>10803</v>
      </c>
      <c r="D865" s="132" t="s">
        <v>3420</v>
      </c>
      <c r="E865" s="136" t="s">
        <v>4177</v>
      </c>
      <c r="F865" s="136" t="s">
        <v>4177</v>
      </c>
      <c r="G865" s="137">
        <v>1395455748001</v>
      </c>
      <c r="H865" s="138" t="s">
        <v>10183</v>
      </c>
      <c r="I865" s="136">
        <v>954100025</v>
      </c>
      <c r="J865" s="131" t="s">
        <v>4457</v>
      </c>
      <c r="K865" s="139">
        <v>1461197</v>
      </c>
    </row>
    <row r="866" spans="1:11">
      <c r="A866" s="1" t="str">
        <f t="shared" si="13"/>
        <v>50100-720673595-9515000257336</v>
      </c>
      <c r="B866" s="136" t="s">
        <v>2703</v>
      </c>
      <c r="C866" s="136" t="s">
        <v>10804</v>
      </c>
      <c r="D866" s="132" t="s">
        <v>3420</v>
      </c>
      <c r="E866" s="136" t="s">
        <v>2755</v>
      </c>
      <c r="F866" s="136" t="s">
        <v>2755</v>
      </c>
      <c r="G866" s="137">
        <v>1394395845001</v>
      </c>
      <c r="H866" s="138" t="s">
        <v>6453</v>
      </c>
      <c r="I866" s="136">
        <v>951500025</v>
      </c>
      <c r="J866" s="131" t="s">
        <v>2778</v>
      </c>
      <c r="K866" s="139">
        <v>7336</v>
      </c>
    </row>
    <row r="867" spans="1:11">
      <c r="A867" s="1" t="str">
        <f t="shared" si="13"/>
        <v>15100-25212494-941500716324200</v>
      </c>
      <c r="B867" s="136" t="s">
        <v>10752</v>
      </c>
      <c r="C867" s="136" t="s">
        <v>10753</v>
      </c>
      <c r="D867" s="132" t="s">
        <v>3420</v>
      </c>
      <c r="E867" s="136" t="s">
        <v>2616</v>
      </c>
      <c r="F867" s="136" t="s">
        <v>2616</v>
      </c>
      <c r="G867" s="137">
        <v>1394392935001</v>
      </c>
      <c r="H867" s="138" t="s">
        <v>6298</v>
      </c>
      <c r="I867" s="136">
        <v>941500716</v>
      </c>
      <c r="J867" s="131" t="s">
        <v>2767</v>
      </c>
      <c r="K867" s="139">
        <v>324200</v>
      </c>
    </row>
    <row r="868" spans="1:11">
      <c r="A868" s="1" t="str">
        <f t="shared" si="13"/>
        <v>15100-26876094-94150072720730</v>
      </c>
      <c r="B868" s="136" t="s">
        <v>10378</v>
      </c>
      <c r="C868" s="136" t="s">
        <v>10379</v>
      </c>
      <c r="D868" s="132" t="s">
        <v>3420</v>
      </c>
      <c r="E868" s="136" t="s">
        <v>2855</v>
      </c>
      <c r="F868" s="136" t="s">
        <v>2855</v>
      </c>
      <c r="G868" s="137">
        <v>1394392646001</v>
      </c>
      <c r="H868" s="138" t="s">
        <v>6298</v>
      </c>
      <c r="I868" s="136">
        <v>941500727</v>
      </c>
      <c r="J868" s="131" t="s">
        <v>2562</v>
      </c>
      <c r="K868" s="139">
        <v>20730</v>
      </c>
    </row>
    <row r="869" spans="1:11">
      <c r="A869" s="1" t="str">
        <f t="shared" si="13"/>
        <v>50100-734643095-951500107398000</v>
      </c>
      <c r="B869" s="136" t="s">
        <v>2977</v>
      </c>
      <c r="C869" s="136" t="s">
        <v>10805</v>
      </c>
      <c r="D869" s="132" t="s">
        <v>3420</v>
      </c>
      <c r="E869" s="136" t="s">
        <v>3048</v>
      </c>
      <c r="F869" s="136" t="s">
        <v>3048</v>
      </c>
      <c r="G869" s="137">
        <v>1394395847001</v>
      </c>
      <c r="H869" s="138" t="s">
        <v>10183</v>
      </c>
      <c r="I869" s="136">
        <v>951500107</v>
      </c>
      <c r="J869" s="131" t="s">
        <v>3063</v>
      </c>
      <c r="K869" s="139">
        <v>398000</v>
      </c>
    </row>
    <row r="870" spans="1:11">
      <c r="A870" s="1" t="str">
        <f t="shared" si="13"/>
        <v>50100-786356795-9515002713310</v>
      </c>
      <c r="B870" s="136" t="s">
        <v>3691</v>
      </c>
      <c r="C870" s="136" t="s">
        <v>10464</v>
      </c>
      <c r="D870" s="132" t="s">
        <v>3420</v>
      </c>
      <c r="E870" s="136" t="s">
        <v>3662</v>
      </c>
      <c r="F870" s="136" t="s">
        <v>3662</v>
      </c>
      <c r="G870" s="137">
        <v>1395427837001</v>
      </c>
      <c r="H870" s="138" t="s">
        <v>6300</v>
      </c>
      <c r="I870" s="136">
        <v>951500271</v>
      </c>
      <c r="J870" s="131" t="s">
        <v>3741</v>
      </c>
      <c r="K870" s="139">
        <v>3310</v>
      </c>
    </row>
    <row r="871" spans="1:11">
      <c r="A871" s="1" t="str">
        <f t="shared" si="13"/>
        <v>50100-759536295-95150003558829</v>
      </c>
      <c r="B871" s="136" t="s">
        <v>3317</v>
      </c>
      <c r="C871" s="136" t="s">
        <v>10506</v>
      </c>
      <c r="D871" s="132" t="s">
        <v>3420</v>
      </c>
      <c r="E871" s="136" t="s">
        <v>3328</v>
      </c>
      <c r="F871" s="136" t="s">
        <v>3328</v>
      </c>
      <c r="G871" s="137">
        <v>1394395847001</v>
      </c>
      <c r="H871" s="138" t="s">
        <v>10183</v>
      </c>
      <c r="I871" s="136">
        <v>951500035</v>
      </c>
      <c r="J871" s="131" t="s">
        <v>3080</v>
      </c>
      <c r="K871" s="139">
        <v>58829</v>
      </c>
    </row>
    <row r="872" spans="1:11">
      <c r="A872" s="1" t="str">
        <f t="shared" si="13"/>
        <v>50100-723038994-941500823200000</v>
      </c>
      <c r="B872" s="136" t="s">
        <v>10806</v>
      </c>
      <c r="C872" s="136" t="s">
        <v>10807</v>
      </c>
      <c r="D872" s="132" t="s">
        <v>3420</v>
      </c>
      <c r="E872" s="136" t="s">
        <v>2862</v>
      </c>
      <c r="F872" s="136" t="s">
        <v>2862</v>
      </c>
      <c r="G872" s="137">
        <v>1394394802001</v>
      </c>
      <c r="H872" s="138" t="s">
        <v>6298</v>
      </c>
      <c r="I872" s="136">
        <v>941500823</v>
      </c>
      <c r="J872" s="131" t="s">
        <v>2654</v>
      </c>
      <c r="K872" s="139">
        <v>200000</v>
      </c>
    </row>
    <row r="873" spans="1:11">
      <c r="A873" s="1" t="str">
        <f t="shared" si="13"/>
        <v>15100-28067895-95150016368600</v>
      </c>
      <c r="B873" s="136" t="s">
        <v>3202</v>
      </c>
      <c r="C873" s="136" t="s">
        <v>10495</v>
      </c>
      <c r="D873" s="132" t="s">
        <v>3420</v>
      </c>
      <c r="E873" s="136" t="s">
        <v>3209</v>
      </c>
      <c r="F873" s="136" t="s">
        <v>3209</v>
      </c>
      <c r="G873" s="137">
        <v>1395401420001</v>
      </c>
      <c r="H873" s="138" t="s">
        <v>6298</v>
      </c>
      <c r="I873" s="136">
        <v>951500163</v>
      </c>
      <c r="J873" s="131" t="s">
        <v>2890</v>
      </c>
      <c r="K873" s="139">
        <v>68600</v>
      </c>
    </row>
    <row r="874" spans="1:11">
      <c r="A874" s="1" t="str">
        <f t="shared" si="13"/>
        <v>15100-28192995-95150016398600</v>
      </c>
      <c r="B874" s="136" t="s">
        <v>3205</v>
      </c>
      <c r="C874" s="136" t="s">
        <v>10808</v>
      </c>
      <c r="D874" s="132" t="s">
        <v>3420</v>
      </c>
      <c r="E874" s="136" t="s">
        <v>3165</v>
      </c>
      <c r="F874" s="136" t="s">
        <v>3165</v>
      </c>
      <c r="G874" s="137">
        <v>1395401420001</v>
      </c>
      <c r="H874" s="138" t="s">
        <v>6298</v>
      </c>
      <c r="I874" s="136">
        <v>951500163</v>
      </c>
      <c r="J874" s="131" t="s">
        <v>2890</v>
      </c>
      <c r="K874" s="139">
        <v>98600</v>
      </c>
    </row>
    <row r="875" spans="1:11">
      <c r="A875" s="1" t="str">
        <f t="shared" si="13"/>
        <v>15100-34773095-951500344124180</v>
      </c>
      <c r="B875" s="136" t="s">
        <v>4149</v>
      </c>
      <c r="C875" s="136" t="s">
        <v>10809</v>
      </c>
      <c r="D875" s="132" t="s">
        <v>3420</v>
      </c>
      <c r="E875" s="136" t="s">
        <v>3935</v>
      </c>
      <c r="F875" s="136" t="s">
        <v>3935</v>
      </c>
      <c r="G875" s="137">
        <v>1395435643001</v>
      </c>
      <c r="H875" s="138" t="s">
        <v>6300</v>
      </c>
      <c r="I875" s="136">
        <v>951500344</v>
      </c>
      <c r="J875" s="131" t="s">
        <v>4295</v>
      </c>
      <c r="K875" s="139">
        <v>124180</v>
      </c>
    </row>
    <row r="876" spans="1:11">
      <c r="A876" s="1" t="str">
        <f t="shared" si="13"/>
        <v>15100-26486794-941500716208070</v>
      </c>
      <c r="B876" s="136" t="s">
        <v>10756</v>
      </c>
      <c r="C876" s="136" t="s">
        <v>10757</v>
      </c>
      <c r="D876" s="132" t="s">
        <v>3420</v>
      </c>
      <c r="E876" s="136" t="s">
        <v>2869</v>
      </c>
      <c r="F876" s="136" t="s">
        <v>2869</v>
      </c>
      <c r="G876" s="137">
        <v>1394392935001</v>
      </c>
      <c r="H876" s="138" t="s">
        <v>6298</v>
      </c>
      <c r="I876" s="136">
        <v>941500716</v>
      </c>
      <c r="J876" s="131" t="s">
        <v>2767</v>
      </c>
      <c r="K876" s="139">
        <v>208070</v>
      </c>
    </row>
    <row r="877" spans="1:11">
      <c r="A877" s="1" t="str">
        <f t="shared" si="13"/>
        <v>15100-30130395-95150012019990</v>
      </c>
      <c r="B877" s="136" t="s">
        <v>3360</v>
      </c>
      <c r="C877" s="136" t="s">
        <v>10767</v>
      </c>
      <c r="D877" s="132" t="s">
        <v>3420</v>
      </c>
      <c r="E877" s="136" t="s">
        <v>3375</v>
      </c>
      <c r="F877" s="136" t="s">
        <v>3375</v>
      </c>
      <c r="G877" s="137">
        <v>1395397985001</v>
      </c>
      <c r="H877" s="138" t="s">
        <v>6298</v>
      </c>
      <c r="I877" s="136">
        <v>951500120</v>
      </c>
      <c r="J877" s="131" t="s">
        <v>2895</v>
      </c>
      <c r="K877" s="139">
        <v>19990</v>
      </c>
    </row>
    <row r="878" spans="1:11">
      <c r="A878" s="1" t="str">
        <f t="shared" si="13"/>
        <v>15100-32407695-95150003269380</v>
      </c>
      <c r="B878" s="136" t="s">
        <v>3552</v>
      </c>
      <c r="C878" s="136" t="s">
        <v>10810</v>
      </c>
      <c r="D878" s="132" t="s">
        <v>3420</v>
      </c>
      <c r="E878" s="136" t="s">
        <v>3557</v>
      </c>
      <c r="F878" s="136" t="s">
        <v>3557</v>
      </c>
      <c r="G878" s="137">
        <v>1395397985001</v>
      </c>
      <c r="H878" s="138" t="s">
        <v>6298</v>
      </c>
      <c r="I878" s="136">
        <v>951500032</v>
      </c>
      <c r="J878" s="131" t="s">
        <v>3210</v>
      </c>
      <c r="K878" s="139">
        <v>69380</v>
      </c>
    </row>
    <row r="879" spans="1:11">
      <c r="A879" s="1" t="str">
        <f t="shared" si="13"/>
        <v>15100-36345695-95150054172440</v>
      </c>
      <c r="B879" s="136" t="s">
        <v>4324</v>
      </c>
      <c r="C879" s="136" t="s">
        <v>10770</v>
      </c>
      <c r="D879" s="132" t="s">
        <v>3420</v>
      </c>
      <c r="E879" s="136" t="s">
        <v>4174</v>
      </c>
      <c r="F879" s="141" t="s">
        <v>4174</v>
      </c>
      <c r="G879" s="137">
        <v>1395452683001</v>
      </c>
      <c r="H879" s="140" t="s">
        <v>8845</v>
      </c>
      <c r="I879" s="141">
        <v>951500541</v>
      </c>
      <c r="J879" s="131" t="s">
        <v>4352</v>
      </c>
      <c r="K879" s="142">
        <v>72440</v>
      </c>
    </row>
    <row r="880" spans="1:11">
      <c r="A880" s="1" t="str">
        <f t="shared" si="13"/>
        <v>15100-26610194-94150080749450</v>
      </c>
      <c r="B880" s="136" t="s">
        <v>10772</v>
      </c>
      <c r="C880" s="136" t="s">
        <v>10773</v>
      </c>
      <c r="D880" s="132" t="s">
        <v>3420</v>
      </c>
      <c r="E880" s="136" t="s">
        <v>2864</v>
      </c>
      <c r="F880" s="136" t="s">
        <v>2862</v>
      </c>
      <c r="G880" s="137">
        <v>1394394802001</v>
      </c>
      <c r="H880" s="138" t="s">
        <v>6298</v>
      </c>
      <c r="I880" s="136">
        <v>941500807</v>
      </c>
      <c r="J880" s="131" t="s">
        <v>2894</v>
      </c>
      <c r="K880" s="139">
        <v>49450</v>
      </c>
    </row>
    <row r="881" spans="1:11">
      <c r="A881" s="1" t="str">
        <f t="shared" si="13"/>
        <v>15100-35300495-95150038623120</v>
      </c>
      <c r="B881" s="136" t="s">
        <v>4143</v>
      </c>
      <c r="C881" s="136" t="s">
        <v>10774</v>
      </c>
      <c r="D881" s="132" t="s">
        <v>3420</v>
      </c>
      <c r="E881" s="136" t="s">
        <v>4181</v>
      </c>
      <c r="F881" s="136" t="s">
        <v>4181</v>
      </c>
      <c r="G881" s="137">
        <v>1395445412001</v>
      </c>
      <c r="H881" s="138" t="s">
        <v>6298</v>
      </c>
      <c r="I881" s="136">
        <v>951500386</v>
      </c>
      <c r="J881" s="131" t="s">
        <v>4290</v>
      </c>
      <c r="K881" s="139">
        <v>23120</v>
      </c>
    </row>
    <row r="882" spans="1:11">
      <c r="A882" s="1" t="str">
        <f t="shared" si="13"/>
        <v>15100-35300495-951500421161180</v>
      </c>
      <c r="B882" s="136" t="s">
        <v>4143</v>
      </c>
      <c r="C882" s="136" t="s">
        <v>10774</v>
      </c>
      <c r="D882" s="132" t="s">
        <v>3420</v>
      </c>
      <c r="E882" s="136" t="s">
        <v>4181</v>
      </c>
      <c r="F882" s="136" t="s">
        <v>4181</v>
      </c>
      <c r="G882" s="137">
        <v>1395441447001</v>
      </c>
      <c r="H882" s="138" t="s">
        <v>6299</v>
      </c>
      <c r="I882" s="136">
        <v>951500421</v>
      </c>
      <c r="J882" s="131" t="s">
        <v>4279</v>
      </c>
      <c r="K882" s="139">
        <v>161180</v>
      </c>
    </row>
    <row r="883" spans="1:11">
      <c r="A883" s="1" t="str">
        <f t="shared" si="13"/>
        <v>15100-35355595-95150042594080</v>
      </c>
      <c r="B883" s="136" t="s">
        <v>4144</v>
      </c>
      <c r="C883" s="136" t="s">
        <v>10811</v>
      </c>
      <c r="D883" s="132" t="s">
        <v>3420</v>
      </c>
      <c r="E883" s="136" t="s">
        <v>4186</v>
      </c>
      <c r="F883" s="136" t="s">
        <v>4186</v>
      </c>
      <c r="G883" s="137">
        <v>1395447925001</v>
      </c>
      <c r="H883" s="138" t="s">
        <v>6298</v>
      </c>
      <c r="I883" s="136">
        <v>951500425</v>
      </c>
      <c r="J883" s="131" t="s">
        <v>4270</v>
      </c>
      <c r="K883" s="139">
        <v>94080</v>
      </c>
    </row>
    <row r="884" spans="1:11">
      <c r="A884" s="1" t="str">
        <f t="shared" si="13"/>
        <v>15100-37794895-9515004762000</v>
      </c>
      <c r="B884" s="136" t="s">
        <v>4651</v>
      </c>
      <c r="C884" s="136" t="s">
        <v>10775</v>
      </c>
      <c r="D884" s="132" t="s">
        <v>3420</v>
      </c>
      <c r="E884" s="136" t="s">
        <v>4660</v>
      </c>
      <c r="F884" s="136" t="s">
        <v>4660</v>
      </c>
      <c r="G884" s="137">
        <v>1395449236001</v>
      </c>
      <c r="H884" s="138" t="s">
        <v>6298</v>
      </c>
      <c r="I884" s="136">
        <v>951500476</v>
      </c>
      <c r="J884" s="131" t="s">
        <v>4451</v>
      </c>
      <c r="K884" s="139">
        <v>2000</v>
      </c>
    </row>
    <row r="885" spans="1:11">
      <c r="A885" s="1" t="str">
        <f t="shared" si="13"/>
        <v>15100-32889995-95150012599513</v>
      </c>
      <c r="B885" s="136" t="s">
        <v>3609</v>
      </c>
      <c r="C885" s="136" t="s">
        <v>10776</v>
      </c>
      <c r="D885" s="132" t="s">
        <v>3420</v>
      </c>
      <c r="E885" s="136" t="s">
        <v>3665</v>
      </c>
      <c r="F885" s="136" t="s">
        <v>3665</v>
      </c>
      <c r="G885" s="137">
        <v>1395397985001</v>
      </c>
      <c r="H885" s="138" t="s">
        <v>6298</v>
      </c>
      <c r="I885" s="136">
        <v>951500125</v>
      </c>
      <c r="J885" s="131" t="s">
        <v>3653</v>
      </c>
      <c r="K885" s="139">
        <v>99513</v>
      </c>
    </row>
    <row r="886" spans="1:11">
      <c r="A886" s="1" t="str">
        <f t="shared" si="13"/>
        <v>15100-32963395-95150026061577</v>
      </c>
      <c r="B886" s="136" t="s">
        <v>3610</v>
      </c>
      <c r="C886" s="136" t="s">
        <v>10812</v>
      </c>
      <c r="D886" s="132" t="s">
        <v>3420</v>
      </c>
      <c r="E886" s="136" t="s">
        <v>3668</v>
      </c>
      <c r="F886" s="136" t="s">
        <v>3668</v>
      </c>
      <c r="G886" s="137">
        <v>1395434889001</v>
      </c>
      <c r="H886" s="138" t="s">
        <v>6298</v>
      </c>
      <c r="I886" s="136">
        <v>951500260</v>
      </c>
      <c r="J886" s="131" t="s">
        <v>3652</v>
      </c>
      <c r="K886" s="139">
        <v>61577</v>
      </c>
    </row>
    <row r="887" spans="1:11">
      <c r="A887" s="1" t="str">
        <f t="shared" si="13"/>
        <v>15100-25715695-95150001225290</v>
      </c>
      <c r="B887" s="136" t="s">
        <v>2689</v>
      </c>
      <c r="C887" s="136" t="s">
        <v>10777</v>
      </c>
      <c r="D887" s="132" t="s">
        <v>3420</v>
      </c>
      <c r="E887" s="136" t="s">
        <v>2750</v>
      </c>
      <c r="F887" s="136" t="s">
        <v>2750</v>
      </c>
      <c r="G887" s="137">
        <v>1394392647001</v>
      </c>
      <c r="H887" s="138" t="s">
        <v>6454</v>
      </c>
      <c r="I887" s="136">
        <v>951500012</v>
      </c>
      <c r="J887" s="131" t="s">
        <v>2769</v>
      </c>
      <c r="K887" s="139">
        <v>25290</v>
      </c>
    </row>
    <row r="888" spans="1:11">
      <c r="A888" s="1" t="str">
        <f t="shared" si="13"/>
        <v>15100-28426994-9415008076920</v>
      </c>
      <c r="B888" s="136" t="s">
        <v>10813</v>
      </c>
      <c r="C888" s="136" t="s">
        <v>10814</v>
      </c>
      <c r="D888" s="132" t="s">
        <v>3420</v>
      </c>
      <c r="E888" s="136" t="s">
        <v>3169</v>
      </c>
      <c r="F888" s="136" t="s">
        <v>3169</v>
      </c>
      <c r="G888" s="137">
        <v>1394394802001</v>
      </c>
      <c r="H888" s="138" t="s">
        <v>6298</v>
      </c>
      <c r="I888" s="136">
        <v>941500807</v>
      </c>
      <c r="J888" s="131" t="s">
        <v>2894</v>
      </c>
      <c r="K888" s="139">
        <v>6920</v>
      </c>
    </row>
    <row r="889" spans="1:11">
      <c r="A889" s="1" t="str">
        <f t="shared" si="13"/>
        <v>50100-727223795-951500093237948</v>
      </c>
      <c r="B889" s="136" t="s">
        <v>3003</v>
      </c>
      <c r="C889" s="136" t="s">
        <v>10815</v>
      </c>
      <c r="D889" s="132" t="s">
        <v>3420</v>
      </c>
      <c r="E889" s="136" t="s">
        <v>2856</v>
      </c>
      <c r="F889" s="136" t="s">
        <v>2856</v>
      </c>
      <c r="G889" s="137">
        <v>1394395845001</v>
      </c>
      <c r="H889" s="138" t="s">
        <v>6453</v>
      </c>
      <c r="I889" s="136">
        <v>951500093</v>
      </c>
      <c r="J889" s="131" t="s">
        <v>3113</v>
      </c>
      <c r="K889" s="139">
        <v>237948</v>
      </c>
    </row>
    <row r="890" spans="1:11">
      <c r="A890" s="1" t="str">
        <f t="shared" si="13"/>
        <v>15100-25169994-941500714166510</v>
      </c>
      <c r="B890" s="136" t="s">
        <v>10816</v>
      </c>
      <c r="C890" s="136" t="s">
        <v>10817</v>
      </c>
      <c r="D890" s="132" t="s">
        <v>3420</v>
      </c>
      <c r="E890" s="136" t="s">
        <v>2610</v>
      </c>
      <c r="F890" s="136" t="s">
        <v>2610</v>
      </c>
      <c r="G890" s="137">
        <v>1394392935001</v>
      </c>
      <c r="H890" s="138" t="s">
        <v>6298</v>
      </c>
      <c r="I890" s="136">
        <v>941500714</v>
      </c>
      <c r="J890" s="131" t="s">
        <v>2768</v>
      </c>
      <c r="K890" s="139">
        <v>166510</v>
      </c>
    </row>
    <row r="891" spans="1:11">
      <c r="A891" s="1" t="str">
        <f t="shared" si="13"/>
        <v>15100-25170294-941500714149390</v>
      </c>
      <c r="B891" s="136" t="s">
        <v>10818</v>
      </c>
      <c r="C891" s="136" t="s">
        <v>10819</v>
      </c>
      <c r="D891" s="132" t="s">
        <v>3420</v>
      </c>
      <c r="E891" s="136" t="s">
        <v>2610</v>
      </c>
      <c r="F891" s="136" t="s">
        <v>2610</v>
      </c>
      <c r="G891" s="137">
        <v>1394392935001</v>
      </c>
      <c r="H891" s="138" t="s">
        <v>6298</v>
      </c>
      <c r="I891" s="136">
        <v>941500714</v>
      </c>
      <c r="J891" s="131" t="s">
        <v>2768</v>
      </c>
      <c r="K891" s="139">
        <v>149390</v>
      </c>
    </row>
    <row r="892" spans="1:11">
      <c r="A892" s="1" t="str">
        <f t="shared" si="13"/>
        <v>15100-26692694-94150074425200</v>
      </c>
      <c r="B892" s="136" t="s">
        <v>10724</v>
      </c>
      <c r="C892" s="136" t="s">
        <v>10725</v>
      </c>
      <c r="D892" s="132" t="s">
        <v>3420</v>
      </c>
      <c r="E892" s="136" t="s">
        <v>2856</v>
      </c>
      <c r="F892" s="136" t="s">
        <v>2856</v>
      </c>
      <c r="G892" s="137">
        <v>1394392654001</v>
      </c>
      <c r="H892" s="138" t="s">
        <v>6453</v>
      </c>
      <c r="I892" s="136">
        <v>941500744</v>
      </c>
      <c r="J892" s="131" t="s">
        <v>6876</v>
      </c>
      <c r="K892" s="139">
        <v>25200</v>
      </c>
    </row>
    <row r="893" spans="1:11">
      <c r="A893" s="1" t="str">
        <f t="shared" si="13"/>
        <v>15100-30757195-95150014534850</v>
      </c>
      <c r="B893" s="136" t="s">
        <v>10763</v>
      </c>
      <c r="C893" s="136" t="s">
        <v>10764</v>
      </c>
      <c r="D893" s="132" t="s">
        <v>3420</v>
      </c>
      <c r="E893" s="136" t="s">
        <v>10765</v>
      </c>
      <c r="F893" s="136" t="s">
        <v>10765</v>
      </c>
      <c r="G893" s="137">
        <v>1395401420001</v>
      </c>
      <c r="H893" s="138" t="s">
        <v>6298</v>
      </c>
      <c r="I893" s="136">
        <v>951500145</v>
      </c>
      <c r="J893" s="131" t="s">
        <v>3419</v>
      </c>
      <c r="K893" s="139">
        <v>34850</v>
      </c>
    </row>
    <row r="894" spans="1:11">
      <c r="A894" s="1" t="str">
        <f t="shared" si="13"/>
        <v>15100-35424095-951500412153430</v>
      </c>
      <c r="B894" s="136" t="s">
        <v>4146</v>
      </c>
      <c r="C894" s="136" t="s">
        <v>10820</v>
      </c>
      <c r="D894" s="132" t="s">
        <v>3420</v>
      </c>
      <c r="E894" s="136" t="s">
        <v>4182</v>
      </c>
      <c r="F894" s="136" t="s">
        <v>4182</v>
      </c>
      <c r="G894" s="137">
        <v>1395447369001</v>
      </c>
      <c r="H894" s="138" t="s">
        <v>6298</v>
      </c>
      <c r="I894" s="136">
        <v>951500412</v>
      </c>
      <c r="J894" s="131" t="s">
        <v>4304</v>
      </c>
      <c r="K894" s="139">
        <v>153430</v>
      </c>
    </row>
    <row r="895" spans="1:11">
      <c r="A895" s="1" t="str">
        <f t="shared" si="13"/>
        <v>15100-35424095-95150039865000</v>
      </c>
      <c r="B895" s="136" t="s">
        <v>4146</v>
      </c>
      <c r="C895" s="136" t="s">
        <v>10820</v>
      </c>
      <c r="D895" s="132" t="s">
        <v>3420</v>
      </c>
      <c r="E895" s="136" t="s">
        <v>4182</v>
      </c>
      <c r="F895" s="136" t="s">
        <v>4182</v>
      </c>
      <c r="G895" s="137">
        <v>1395438160001</v>
      </c>
      <c r="H895" s="138" t="s">
        <v>6300</v>
      </c>
      <c r="I895" s="136">
        <v>951500398</v>
      </c>
      <c r="J895" s="131" t="s">
        <v>4305</v>
      </c>
      <c r="K895" s="139">
        <v>65000</v>
      </c>
    </row>
    <row r="896" spans="1:11">
      <c r="A896" s="1" t="str">
        <f t="shared" si="13"/>
        <v>15100-35424095-951500358197000</v>
      </c>
      <c r="B896" s="136" t="s">
        <v>4146</v>
      </c>
      <c r="C896" s="136" t="s">
        <v>10820</v>
      </c>
      <c r="D896" s="132" t="s">
        <v>3420</v>
      </c>
      <c r="E896" s="136" t="s">
        <v>4182</v>
      </c>
      <c r="F896" s="136" t="s">
        <v>4182</v>
      </c>
      <c r="G896" s="137">
        <v>1395441469001</v>
      </c>
      <c r="H896" s="138" t="s">
        <v>6454</v>
      </c>
      <c r="I896" s="136">
        <v>951500358</v>
      </c>
      <c r="J896" s="131" t="s">
        <v>4306</v>
      </c>
      <c r="K896" s="139">
        <v>197000</v>
      </c>
    </row>
    <row r="897" spans="1:11">
      <c r="A897" s="1" t="str">
        <f t="shared" si="13"/>
        <v>15100-36345695-95150054347020</v>
      </c>
      <c r="B897" s="136" t="s">
        <v>4324</v>
      </c>
      <c r="C897" s="136" t="s">
        <v>10770</v>
      </c>
      <c r="D897" s="132" t="s">
        <v>3420</v>
      </c>
      <c r="E897" s="136" t="s">
        <v>4174</v>
      </c>
      <c r="F897" s="136" t="s">
        <v>4174</v>
      </c>
      <c r="G897" s="137">
        <v>1395447372001</v>
      </c>
      <c r="H897" s="138" t="s">
        <v>6300</v>
      </c>
      <c r="I897" s="136">
        <v>951500543</v>
      </c>
      <c r="J897" s="131" t="s">
        <v>4354</v>
      </c>
      <c r="K897" s="139">
        <v>47020</v>
      </c>
    </row>
    <row r="898" spans="1:11">
      <c r="A898" s="1" t="str">
        <f t="shared" si="13"/>
        <v>15100-36630495-95150052347930</v>
      </c>
      <c r="B898" s="136" t="s">
        <v>4390</v>
      </c>
      <c r="C898" s="136" t="s">
        <v>10821</v>
      </c>
      <c r="D898" s="132" t="s">
        <v>3420</v>
      </c>
      <c r="E898" s="136" t="s">
        <v>4443</v>
      </c>
      <c r="F898" s="136" t="s">
        <v>4443</v>
      </c>
      <c r="G898" s="137">
        <v>1395449236001</v>
      </c>
      <c r="H898" s="138" t="s">
        <v>6298</v>
      </c>
      <c r="I898" s="136">
        <v>951500523</v>
      </c>
      <c r="J898" s="131" t="s">
        <v>4347</v>
      </c>
      <c r="K898" s="139">
        <v>47930</v>
      </c>
    </row>
    <row r="899" spans="1:11">
      <c r="A899" s="1" t="str">
        <f t="shared" ref="A899:A962" si="14">B899&amp;J899&amp;K899</f>
        <v>15100-34955795-95150039815100</v>
      </c>
      <c r="B899" s="136" t="s">
        <v>4150</v>
      </c>
      <c r="C899" s="136" t="s">
        <v>10783</v>
      </c>
      <c r="D899" s="132" t="s">
        <v>3420</v>
      </c>
      <c r="E899" s="136" t="s">
        <v>3965</v>
      </c>
      <c r="F899" s="136" t="s">
        <v>3965</v>
      </c>
      <c r="G899" s="137">
        <v>1395438160001</v>
      </c>
      <c r="H899" s="138" t="s">
        <v>6300</v>
      </c>
      <c r="I899" s="136">
        <v>951500398</v>
      </c>
      <c r="J899" s="131" t="s">
        <v>4305</v>
      </c>
      <c r="K899" s="139">
        <v>15100</v>
      </c>
    </row>
    <row r="900" spans="1:11">
      <c r="A900" s="1" t="str">
        <f t="shared" si="14"/>
        <v>15100-36180895-95150052345970</v>
      </c>
      <c r="B900" s="136" t="s">
        <v>4327</v>
      </c>
      <c r="C900" s="136" t="s">
        <v>10822</v>
      </c>
      <c r="D900" s="132" t="s">
        <v>3420</v>
      </c>
      <c r="E900" s="136" t="s">
        <v>4168</v>
      </c>
      <c r="F900" s="136" t="s">
        <v>4438</v>
      </c>
      <c r="G900" s="137">
        <v>1395449236001</v>
      </c>
      <c r="H900" s="138" t="s">
        <v>6298</v>
      </c>
      <c r="I900" s="136">
        <v>951500523</v>
      </c>
      <c r="J900" s="131" t="s">
        <v>4347</v>
      </c>
      <c r="K900" s="139">
        <v>45970</v>
      </c>
    </row>
    <row r="901" spans="1:11">
      <c r="A901" s="1" t="str">
        <f t="shared" si="14"/>
        <v>15100-25715694-94150077225440</v>
      </c>
      <c r="B901" s="136" t="s">
        <v>2689</v>
      </c>
      <c r="C901" s="136" t="s">
        <v>10777</v>
      </c>
      <c r="D901" s="132" t="s">
        <v>3420</v>
      </c>
      <c r="E901" s="136" t="s">
        <v>2750</v>
      </c>
      <c r="F901" s="136" t="s">
        <v>2750</v>
      </c>
      <c r="G901" s="137">
        <v>1394394178001</v>
      </c>
      <c r="H901" s="138" t="s">
        <v>6298</v>
      </c>
      <c r="I901" s="136">
        <v>941500772</v>
      </c>
      <c r="J901" s="131" t="s">
        <v>2570</v>
      </c>
      <c r="K901" s="139">
        <v>25440</v>
      </c>
    </row>
    <row r="902" spans="1:11">
      <c r="A902" s="1" t="str">
        <f t="shared" si="14"/>
        <v>15100-33103895-95150025892420</v>
      </c>
      <c r="B902" s="136" t="s">
        <v>3631</v>
      </c>
      <c r="C902" s="136" t="s">
        <v>10823</v>
      </c>
      <c r="D902" s="132" t="s">
        <v>3420</v>
      </c>
      <c r="E902" s="136" t="s">
        <v>3662</v>
      </c>
      <c r="F902" s="136" t="s">
        <v>3662</v>
      </c>
      <c r="G902" s="137">
        <v>1395435639001</v>
      </c>
      <c r="H902" s="138" t="s">
        <v>6299</v>
      </c>
      <c r="I902" s="136">
        <v>951500258</v>
      </c>
      <c r="J902" s="131" t="s">
        <v>3645</v>
      </c>
      <c r="K902" s="139">
        <v>92420</v>
      </c>
    </row>
    <row r="903" spans="1:11">
      <c r="A903" s="1" t="str">
        <f t="shared" si="14"/>
        <v>15100-38058095-951500269199540</v>
      </c>
      <c r="B903" s="136" t="s">
        <v>4639</v>
      </c>
      <c r="C903" s="136" t="s">
        <v>10824</v>
      </c>
      <c r="D903" s="132" t="s">
        <v>3420</v>
      </c>
      <c r="E903" s="136" t="s">
        <v>4518</v>
      </c>
      <c r="F903" s="136" t="s">
        <v>4518</v>
      </c>
      <c r="G903" s="137">
        <v>1395435642001</v>
      </c>
      <c r="H903" s="138" t="s">
        <v>10206</v>
      </c>
      <c r="I903" s="136">
        <v>951500269</v>
      </c>
      <c r="J903" s="131" t="s">
        <v>3835</v>
      </c>
      <c r="K903" s="139">
        <v>199540</v>
      </c>
    </row>
    <row r="904" spans="1:11">
      <c r="A904" s="1" t="str">
        <f t="shared" si="14"/>
        <v>15100-38474295-95150057866180</v>
      </c>
      <c r="B904" s="136" t="s">
        <v>4751</v>
      </c>
      <c r="C904" s="136" t="s">
        <v>10825</v>
      </c>
      <c r="D904" s="132" t="s">
        <v>3420</v>
      </c>
      <c r="E904" s="136" t="s">
        <v>4865</v>
      </c>
      <c r="F904" s="136" t="s">
        <v>4865</v>
      </c>
      <c r="G904" s="137">
        <v>1395455038001</v>
      </c>
      <c r="H904" s="138" t="s">
        <v>6298</v>
      </c>
      <c r="I904" s="136">
        <v>951500578</v>
      </c>
      <c r="J904" s="131" t="s">
        <v>4891</v>
      </c>
      <c r="K904" s="139">
        <v>66180</v>
      </c>
    </row>
    <row r="905" spans="1:11">
      <c r="A905" s="1" t="str">
        <f t="shared" si="14"/>
        <v>15100-38516995-95150057868920</v>
      </c>
      <c r="B905" s="136" t="s">
        <v>4752</v>
      </c>
      <c r="C905" s="136" t="s">
        <v>10826</v>
      </c>
      <c r="D905" s="132" t="s">
        <v>3420</v>
      </c>
      <c r="E905" s="136" t="s">
        <v>4868</v>
      </c>
      <c r="F905" s="136" t="s">
        <v>4868</v>
      </c>
      <c r="G905" s="137">
        <v>1395455038001</v>
      </c>
      <c r="H905" s="138" t="s">
        <v>6298</v>
      </c>
      <c r="I905" s="136">
        <v>951500578</v>
      </c>
      <c r="J905" s="131" t="s">
        <v>4891</v>
      </c>
      <c r="K905" s="139">
        <v>68920</v>
      </c>
    </row>
    <row r="906" spans="1:11">
      <c r="A906" s="1" t="str">
        <f t="shared" si="14"/>
        <v>15100-36217995-95150047096670</v>
      </c>
      <c r="B906" s="136" t="s">
        <v>4326</v>
      </c>
      <c r="C906" s="136" t="s">
        <v>10827</v>
      </c>
      <c r="D906" s="132" t="s">
        <v>3420</v>
      </c>
      <c r="E906" s="136" t="s">
        <v>4171</v>
      </c>
      <c r="F906" s="136" t="s">
        <v>4171</v>
      </c>
      <c r="G906" s="137">
        <v>1395441450001</v>
      </c>
      <c r="H906" s="138" t="s">
        <v>6300</v>
      </c>
      <c r="I906" s="136">
        <v>951500470</v>
      </c>
      <c r="J906" s="131" t="s">
        <v>4356</v>
      </c>
      <c r="K906" s="139">
        <v>96670</v>
      </c>
    </row>
    <row r="907" spans="1:11">
      <c r="A907" s="1" t="str">
        <f t="shared" si="14"/>
        <v>15100-28372394-94150081292160</v>
      </c>
      <c r="B907" s="136" t="s">
        <v>10828</v>
      </c>
      <c r="C907" s="136" t="s">
        <v>10829</v>
      </c>
      <c r="D907" s="132" t="s">
        <v>3420</v>
      </c>
      <c r="E907" s="136" t="s">
        <v>3167</v>
      </c>
      <c r="F907" s="136" t="s">
        <v>3167</v>
      </c>
      <c r="G907" s="137">
        <v>1394394802001</v>
      </c>
      <c r="H907" s="138" t="s">
        <v>6298</v>
      </c>
      <c r="I907" s="136">
        <v>941500812</v>
      </c>
      <c r="J907" s="131" t="s">
        <v>3211</v>
      </c>
      <c r="K907" s="139">
        <v>92160</v>
      </c>
    </row>
    <row r="908" spans="1:11">
      <c r="A908" s="1" t="str">
        <f t="shared" si="14"/>
        <v>15100-28426994-941500812193550</v>
      </c>
      <c r="B908" s="136" t="s">
        <v>10813</v>
      </c>
      <c r="C908" s="136" t="s">
        <v>10814</v>
      </c>
      <c r="D908" s="132" t="s">
        <v>3420</v>
      </c>
      <c r="E908" s="136" t="s">
        <v>3169</v>
      </c>
      <c r="F908" s="136" t="s">
        <v>3169</v>
      </c>
      <c r="G908" s="137">
        <v>1394394802001</v>
      </c>
      <c r="H908" s="138" t="s">
        <v>6298</v>
      </c>
      <c r="I908" s="136">
        <v>941500812</v>
      </c>
      <c r="J908" s="131" t="s">
        <v>3211</v>
      </c>
      <c r="K908" s="139">
        <v>193550</v>
      </c>
    </row>
    <row r="909" spans="1:11">
      <c r="A909" s="1" t="str">
        <f t="shared" si="14"/>
        <v>50100-725683295-95150006827720</v>
      </c>
      <c r="B909" s="136" t="s">
        <v>2957</v>
      </c>
      <c r="C909" s="136" t="s">
        <v>10760</v>
      </c>
      <c r="D909" s="132" t="s">
        <v>3420</v>
      </c>
      <c r="E909" s="136" t="s">
        <v>2869</v>
      </c>
      <c r="F909" s="136" t="s">
        <v>2869</v>
      </c>
      <c r="G909" s="137">
        <v>1394395845001</v>
      </c>
      <c r="H909" s="138" t="s">
        <v>6453</v>
      </c>
      <c r="I909" s="136">
        <v>951500068</v>
      </c>
      <c r="J909" s="131" t="s">
        <v>3076</v>
      </c>
      <c r="K909" s="139">
        <v>27720</v>
      </c>
    </row>
    <row r="910" spans="1:11">
      <c r="A910" s="1" t="str">
        <f t="shared" si="14"/>
        <v>50100-820464095-9515004581004820</v>
      </c>
      <c r="B910" s="136" t="s">
        <v>4430</v>
      </c>
      <c r="C910" s="136" t="s">
        <v>10830</v>
      </c>
      <c r="D910" s="132" t="s">
        <v>3420</v>
      </c>
      <c r="E910" s="136" t="s">
        <v>4437</v>
      </c>
      <c r="F910" s="136" t="s">
        <v>4437</v>
      </c>
      <c r="G910" s="137">
        <v>1395447375001</v>
      </c>
      <c r="H910" s="138" t="s">
        <v>6454</v>
      </c>
      <c r="I910" s="136">
        <v>951500458</v>
      </c>
      <c r="J910" s="131" t="s">
        <v>4495</v>
      </c>
      <c r="K910" s="139">
        <v>1004820</v>
      </c>
    </row>
    <row r="911" spans="1:11">
      <c r="A911" s="1" t="str">
        <f t="shared" si="14"/>
        <v>50100-786986695-951500255213600</v>
      </c>
      <c r="B911" s="136" t="s">
        <v>3689</v>
      </c>
      <c r="C911" s="136" t="s">
        <v>10831</v>
      </c>
      <c r="D911" s="132" t="s">
        <v>3420</v>
      </c>
      <c r="E911" s="136" t="s">
        <v>3714</v>
      </c>
      <c r="F911" s="136" t="s">
        <v>3714</v>
      </c>
      <c r="G911" s="137">
        <v>1395426988001</v>
      </c>
      <c r="H911" s="138" t="s">
        <v>6300</v>
      </c>
      <c r="I911" s="136">
        <v>951500255</v>
      </c>
      <c r="J911" s="131" t="s">
        <v>3675</v>
      </c>
      <c r="K911" s="139">
        <v>213600</v>
      </c>
    </row>
    <row r="912" spans="1:11">
      <c r="A912" s="1" t="str">
        <f t="shared" si="14"/>
        <v>15100-25910994-94150078049450</v>
      </c>
      <c r="B912" s="136" t="s">
        <v>10832</v>
      </c>
      <c r="C912" s="136" t="s">
        <v>10833</v>
      </c>
      <c r="D912" s="132" t="s">
        <v>3420</v>
      </c>
      <c r="E912" s="136" t="s">
        <v>2753</v>
      </c>
      <c r="F912" s="136" t="s">
        <v>2753</v>
      </c>
      <c r="G912" s="137">
        <v>1394394178001</v>
      </c>
      <c r="H912" s="138" t="s">
        <v>6298</v>
      </c>
      <c r="I912" s="136">
        <v>941500780</v>
      </c>
      <c r="J912" s="131" t="s">
        <v>2573</v>
      </c>
      <c r="K912" s="139">
        <v>49450</v>
      </c>
    </row>
    <row r="913" spans="1:11">
      <c r="A913" s="1" t="str">
        <f t="shared" si="14"/>
        <v>15100-27433794-94150078298400</v>
      </c>
      <c r="B913" s="136" t="s">
        <v>10834</v>
      </c>
      <c r="C913" s="136" t="s">
        <v>10835</v>
      </c>
      <c r="D913" s="132" t="s">
        <v>3420</v>
      </c>
      <c r="E913" s="136" t="s">
        <v>3046</v>
      </c>
      <c r="F913" s="136" t="s">
        <v>3046</v>
      </c>
      <c r="G913" s="137">
        <v>1394394178001</v>
      </c>
      <c r="H913" s="138" t="s">
        <v>6298</v>
      </c>
      <c r="I913" s="136">
        <v>941500782</v>
      </c>
      <c r="J913" s="131" t="s">
        <v>3059</v>
      </c>
      <c r="K913" s="139">
        <v>98400</v>
      </c>
    </row>
    <row r="914" spans="1:11">
      <c r="A914" s="1" t="str">
        <f t="shared" si="14"/>
        <v>15100-26085094-94150082147290</v>
      </c>
      <c r="B914" s="136" t="s">
        <v>10836</v>
      </c>
      <c r="C914" s="136" t="s">
        <v>10837</v>
      </c>
      <c r="D914" s="132" t="s">
        <v>3420</v>
      </c>
      <c r="E914" s="136" t="s">
        <v>2758</v>
      </c>
      <c r="F914" s="136" t="s">
        <v>2758</v>
      </c>
      <c r="G914" s="137">
        <v>1394394802001</v>
      </c>
      <c r="H914" s="138" t="s">
        <v>6298</v>
      </c>
      <c r="I914" s="136">
        <v>941500821</v>
      </c>
      <c r="J914" s="131" t="s">
        <v>2663</v>
      </c>
      <c r="K914" s="139">
        <v>47290</v>
      </c>
    </row>
    <row r="915" spans="1:11">
      <c r="A915" s="1" t="str">
        <f t="shared" si="14"/>
        <v>50100-714581494-941500801499125</v>
      </c>
      <c r="B915" s="136" t="s">
        <v>10838</v>
      </c>
      <c r="C915" s="136" t="s">
        <v>10839</v>
      </c>
      <c r="D915" s="132" t="s">
        <v>3420</v>
      </c>
      <c r="E915" s="136" t="s">
        <v>10587</v>
      </c>
      <c r="F915" s="136" t="s">
        <v>10587</v>
      </c>
      <c r="G915" s="137">
        <v>1394394316001</v>
      </c>
      <c r="H915" s="138" t="s">
        <v>10183</v>
      </c>
      <c r="I915" s="136">
        <v>941500801</v>
      </c>
      <c r="J915" s="131" t="s">
        <v>7094</v>
      </c>
      <c r="K915" s="139">
        <v>499125</v>
      </c>
    </row>
    <row r="916" spans="1:11">
      <c r="A916" s="1" t="str">
        <f t="shared" si="14"/>
        <v>50100-824511795-951500311237600</v>
      </c>
      <c r="B916" s="136" t="s">
        <v>4556</v>
      </c>
      <c r="C916" s="136" t="s">
        <v>10840</v>
      </c>
      <c r="D916" s="132" t="s">
        <v>3420</v>
      </c>
      <c r="E916" s="136" t="s">
        <v>4574</v>
      </c>
      <c r="F916" s="136" t="s">
        <v>4574</v>
      </c>
      <c r="G916" s="137">
        <v>1395435642001</v>
      </c>
      <c r="H916" s="138" t="s">
        <v>10206</v>
      </c>
      <c r="I916" s="136">
        <v>951500311</v>
      </c>
      <c r="J916" s="131" t="s">
        <v>4459</v>
      </c>
      <c r="K916" s="139">
        <v>237600</v>
      </c>
    </row>
    <row r="917" spans="1:11">
      <c r="A917" s="1" t="str">
        <f t="shared" si="14"/>
        <v>50100-829276495-951500563521645</v>
      </c>
      <c r="B917" s="136" t="s">
        <v>4557</v>
      </c>
      <c r="C917" s="136" t="s">
        <v>10841</v>
      </c>
      <c r="D917" s="132" t="s">
        <v>3420</v>
      </c>
      <c r="E917" s="136" t="s">
        <v>4515</v>
      </c>
      <c r="F917" s="136" t="s">
        <v>4515</v>
      </c>
      <c r="G917" s="137">
        <v>1395449242001</v>
      </c>
      <c r="H917" s="138" t="s">
        <v>6300</v>
      </c>
      <c r="I917" s="136">
        <v>951500563</v>
      </c>
      <c r="J917" s="131" t="s">
        <v>4579</v>
      </c>
      <c r="K917" s="139">
        <v>521645</v>
      </c>
    </row>
    <row r="918" spans="1:11">
      <c r="A918" s="1" t="str">
        <f t="shared" si="14"/>
        <v>50100-726257795-95150008674692</v>
      </c>
      <c r="B918" s="136" t="s">
        <v>2975</v>
      </c>
      <c r="C918" s="136" t="s">
        <v>10842</v>
      </c>
      <c r="D918" s="132" t="s">
        <v>3420</v>
      </c>
      <c r="E918" s="136" t="s">
        <v>2867</v>
      </c>
      <c r="F918" s="136" t="s">
        <v>2867</v>
      </c>
      <c r="G918" s="137">
        <v>1395397987001</v>
      </c>
      <c r="H918" s="138" t="s">
        <v>10183</v>
      </c>
      <c r="I918" s="136">
        <v>951500086</v>
      </c>
      <c r="J918" s="131" t="s">
        <v>2783</v>
      </c>
      <c r="K918" s="139">
        <v>74692</v>
      </c>
    </row>
    <row r="919" spans="1:11">
      <c r="A919" s="1" t="str">
        <f t="shared" si="14"/>
        <v>50100-726684295-95150002518244</v>
      </c>
      <c r="B919" s="136" t="s">
        <v>2996</v>
      </c>
      <c r="C919" s="136" t="s">
        <v>10843</v>
      </c>
      <c r="D919" s="132" t="s">
        <v>3420</v>
      </c>
      <c r="E919" s="136" t="s">
        <v>2864</v>
      </c>
      <c r="F919" s="136" t="s">
        <v>2864</v>
      </c>
      <c r="G919" s="137">
        <v>1394395845001</v>
      </c>
      <c r="H919" s="138" t="s">
        <v>6453</v>
      </c>
      <c r="I919" s="136">
        <v>951500025</v>
      </c>
      <c r="J919" s="131" t="s">
        <v>2778</v>
      </c>
      <c r="K919" s="139">
        <v>18244</v>
      </c>
    </row>
    <row r="920" spans="1:11">
      <c r="A920" s="1" t="str">
        <f t="shared" si="14"/>
        <v>50100-716315695-951500003493842</v>
      </c>
      <c r="B920" s="136" t="s">
        <v>2606</v>
      </c>
      <c r="C920" s="136" t="s">
        <v>10844</v>
      </c>
      <c r="D920" s="132" t="s">
        <v>3420</v>
      </c>
      <c r="E920" s="136" t="s">
        <v>2612</v>
      </c>
      <c r="F920" s="136" t="s">
        <v>2612</v>
      </c>
      <c r="G920" s="137">
        <v>1394395845001</v>
      </c>
      <c r="H920" s="138" t="s">
        <v>6453</v>
      </c>
      <c r="I920" s="136">
        <v>951500003</v>
      </c>
      <c r="J920" s="131" t="s">
        <v>2661</v>
      </c>
      <c r="K920" s="139">
        <v>493842</v>
      </c>
    </row>
    <row r="921" spans="1:11">
      <c r="A921" s="1" t="str">
        <f t="shared" si="14"/>
        <v>50100-720973395-951500041995890</v>
      </c>
      <c r="B921" s="136" t="s">
        <v>2725</v>
      </c>
      <c r="C921" s="136" t="s">
        <v>10845</v>
      </c>
      <c r="D921" s="132" t="s">
        <v>3420</v>
      </c>
      <c r="E921" s="136" t="s">
        <v>2758</v>
      </c>
      <c r="F921" s="136" t="s">
        <v>2758</v>
      </c>
      <c r="G921" s="137">
        <v>1394395845001</v>
      </c>
      <c r="H921" s="138" t="s">
        <v>6453</v>
      </c>
      <c r="I921" s="136">
        <v>951500041</v>
      </c>
      <c r="J921" s="131" t="s">
        <v>2803</v>
      </c>
      <c r="K921" s="139">
        <v>995890</v>
      </c>
    </row>
    <row r="922" spans="1:11">
      <c r="A922" s="1" t="str">
        <f t="shared" si="14"/>
        <v>50100-720959895-951500025497443</v>
      </c>
      <c r="B922" s="136" t="s">
        <v>2726</v>
      </c>
      <c r="C922" s="136" t="s">
        <v>10846</v>
      </c>
      <c r="D922" s="132" t="s">
        <v>3420</v>
      </c>
      <c r="E922" s="136" t="s">
        <v>2758</v>
      </c>
      <c r="F922" s="136" t="s">
        <v>2758</v>
      </c>
      <c r="G922" s="137">
        <v>1394395845001</v>
      </c>
      <c r="H922" s="138" t="s">
        <v>6453</v>
      </c>
      <c r="I922" s="136">
        <v>951500025</v>
      </c>
      <c r="J922" s="131" t="s">
        <v>2778</v>
      </c>
      <c r="K922" s="139">
        <v>497443</v>
      </c>
    </row>
    <row r="923" spans="1:11">
      <c r="A923" s="1" t="str">
        <f t="shared" si="14"/>
        <v>50100-718764995-951500020300420</v>
      </c>
      <c r="B923" s="136" t="s">
        <v>2727</v>
      </c>
      <c r="C923" s="136" t="s">
        <v>10847</v>
      </c>
      <c r="D923" s="132" t="s">
        <v>3420</v>
      </c>
      <c r="E923" s="136" t="s">
        <v>2752</v>
      </c>
      <c r="F923" s="136" t="s">
        <v>2752</v>
      </c>
      <c r="G923" s="137">
        <v>1394395845001</v>
      </c>
      <c r="H923" s="138" t="s">
        <v>6453</v>
      </c>
      <c r="I923" s="136">
        <v>951500020</v>
      </c>
      <c r="J923" s="131" t="s">
        <v>2799</v>
      </c>
      <c r="K923" s="139">
        <v>300420</v>
      </c>
    </row>
    <row r="924" spans="1:11">
      <c r="A924" s="1" t="str">
        <f t="shared" si="14"/>
        <v>15100-29594695-95150004473960</v>
      </c>
      <c r="B924" s="136" t="s">
        <v>3267</v>
      </c>
      <c r="C924" s="136" t="s">
        <v>10848</v>
      </c>
      <c r="D924" s="132" t="s">
        <v>3420</v>
      </c>
      <c r="E924" s="136" t="s">
        <v>3280</v>
      </c>
      <c r="F924" s="136" t="s">
        <v>3280</v>
      </c>
      <c r="G924" s="137">
        <v>1394395845001</v>
      </c>
      <c r="H924" s="138" t="s">
        <v>6453</v>
      </c>
      <c r="I924" s="136">
        <v>951500044</v>
      </c>
      <c r="J924" s="131" t="s">
        <v>3053</v>
      </c>
      <c r="K924" s="139">
        <v>73960</v>
      </c>
    </row>
    <row r="925" spans="1:11">
      <c r="A925" s="1" t="str">
        <f t="shared" si="14"/>
        <v>15100-38298295-95150050923500</v>
      </c>
      <c r="B925" s="136" t="s">
        <v>4750</v>
      </c>
      <c r="C925" s="136" t="s">
        <v>10849</v>
      </c>
      <c r="D925" s="132" t="s">
        <v>3420</v>
      </c>
      <c r="E925" s="136" t="s">
        <v>4719</v>
      </c>
      <c r="F925" s="136" t="s">
        <v>4719</v>
      </c>
      <c r="G925" s="137">
        <v>1395449235001</v>
      </c>
      <c r="H925" s="138" t="s">
        <v>6299</v>
      </c>
      <c r="I925" s="136">
        <v>951500509</v>
      </c>
      <c r="J925" s="131" t="s">
        <v>4351</v>
      </c>
      <c r="K925" s="139">
        <v>23500</v>
      </c>
    </row>
    <row r="926" spans="1:11">
      <c r="A926" s="1" t="str">
        <f t="shared" si="14"/>
        <v>15100-38809695-951500582111430</v>
      </c>
      <c r="B926" s="136" t="s">
        <v>4753</v>
      </c>
      <c r="C926" s="136" t="s">
        <v>10850</v>
      </c>
      <c r="D926" s="132" t="s">
        <v>3420</v>
      </c>
      <c r="E926" s="136" t="s">
        <v>4864</v>
      </c>
      <c r="F926" s="136" t="s">
        <v>4864</v>
      </c>
      <c r="G926" s="137">
        <v>1395455038001</v>
      </c>
      <c r="H926" s="138" t="s">
        <v>6298</v>
      </c>
      <c r="I926" s="136">
        <v>951500582</v>
      </c>
      <c r="J926" s="131" t="s">
        <v>4892</v>
      </c>
      <c r="K926" s="139">
        <v>111430</v>
      </c>
    </row>
    <row r="927" spans="1:11">
      <c r="A927" s="1" t="str">
        <f t="shared" si="14"/>
        <v>15100-38809695-95150057951550</v>
      </c>
      <c r="B927" s="136" t="s">
        <v>4753</v>
      </c>
      <c r="C927" s="136" t="s">
        <v>10850</v>
      </c>
      <c r="D927" s="132" t="s">
        <v>3420</v>
      </c>
      <c r="E927" s="136" t="s">
        <v>4864</v>
      </c>
      <c r="F927" s="136" t="s">
        <v>4864</v>
      </c>
      <c r="G927" s="137">
        <v>1395455038001</v>
      </c>
      <c r="H927" s="138" t="s">
        <v>6298</v>
      </c>
      <c r="I927" s="136">
        <v>951500579</v>
      </c>
      <c r="J927" s="131" t="s">
        <v>4893</v>
      </c>
      <c r="K927" s="139">
        <v>51550</v>
      </c>
    </row>
    <row r="928" spans="1:11">
      <c r="A928" s="1" t="str">
        <f t="shared" si="14"/>
        <v>15100-38815195-951500587141580</v>
      </c>
      <c r="B928" s="136" t="s">
        <v>4741</v>
      </c>
      <c r="C928" s="136" t="s">
        <v>10851</v>
      </c>
      <c r="D928" s="132" t="s">
        <v>3420</v>
      </c>
      <c r="E928" s="136" t="s">
        <v>4864</v>
      </c>
      <c r="F928" s="136" t="s">
        <v>4864</v>
      </c>
      <c r="G928" s="137">
        <v>1395449239001</v>
      </c>
      <c r="H928" s="138" t="s">
        <v>6299</v>
      </c>
      <c r="I928" s="136">
        <v>951500587</v>
      </c>
      <c r="J928" s="131" t="s">
        <v>4889</v>
      </c>
      <c r="K928" s="139">
        <v>141580</v>
      </c>
    </row>
    <row r="929" spans="1:11">
      <c r="A929" s="1" t="str">
        <f t="shared" si="14"/>
        <v>15100-25715694-941500647580</v>
      </c>
      <c r="B929" s="136" t="s">
        <v>2689</v>
      </c>
      <c r="C929" s="136" t="s">
        <v>10777</v>
      </c>
      <c r="D929" s="132" t="s">
        <v>3420</v>
      </c>
      <c r="E929" s="136" t="s">
        <v>2750</v>
      </c>
      <c r="F929" s="136" t="s">
        <v>2750</v>
      </c>
      <c r="G929" s="137">
        <v>1394390338001</v>
      </c>
      <c r="H929" s="138" t="s">
        <v>6298</v>
      </c>
      <c r="I929" s="136">
        <v>941500647</v>
      </c>
      <c r="J929" s="131" t="s">
        <v>2539</v>
      </c>
      <c r="K929" s="139">
        <v>580</v>
      </c>
    </row>
    <row r="930" spans="1:11">
      <c r="A930" s="1" t="str">
        <f t="shared" si="14"/>
        <v>15100-36697395-95150050997860</v>
      </c>
      <c r="B930" s="136" t="s">
        <v>4391</v>
      </c>
      <c r="C930" s="136" t="s">
        <v>10852</v>
      </c>
      <c r="D930" s="132" t="s">
        <v>3420</v>
      </c>
      <c r="E930" s="136" t="s">
        <v>4441</v>
      </c>
      <c r="F930" s="136" t="s">
        <v>4441</v>
      </c>
      <c r="G930" s="137">
        <v>1395449235001</v>
      </c>
      <c r="H930" s="138" t="s">
        <v>6299</v>
      </c>
      <c r="I930" s="136">
        <v>951500509</v>
      </c>
      <c r="J930" s="131" t="s">
        <v>4351</v>
      </c>
      <c r="K930" s="139">
        <v>97860</v>
      </c>
    </row>
    <row r="931" spans="1:11">
      <c r="A931" s="1" t="str">
        <f t="shared" si="14"/>
        <v>50100-728903895-952500004486584</v>
      </c>
      <c r="B931" s="136" t="s">
        <v>3015</v>
      </c>
      <c r="C931" s="136" t="s">
        <v>10853</v>
      </c>
      <c r="D931" s="132" t="s">
        <v>3420</v>
      </c>
      <c r="E931" s="136" t="s">
        <v>2855</v>
      </c>
      <c r="F931" s="136" t="s">
        <v>2855</v>
      </c>
      <c r="G931" s="137">
        <v>1394394801001</v>
      </c>
      <c r="H931" s="138" t="s">
        <v>10183</v>
      </c>
      <c r="I931" s="136">
        <v>952500004</v>
      </c>
      <c r="J931" s="131" t="s">
        <v>3117</v>
      </c>
      <c r="K931" s="139">
        <v>486584</v>
      </c>
    </row>
    <row r="932" spans="1:11">
      <c r="A932" s="1" t="str">
        <f t="shared" si="14"/>
        <v>50100-820430895-951500497999150</v>
      </c>
      <c r="B932" s="136" t="s">
        <v>4412</v>
      </c>
      <c r="C932" s="136" t="s">
        <v>10556</v>
      </c>
      <c r="D932" s="132" t="s">
        <v>3420</v>
      </c>
      <c r="E932" s="136" t="s">
        <v>4437</v>
      </c>
      <c r="F932" s="136" t="s">
        <v>4437</v>
      </c>
      <c r="G932" s="137">
        <v>1395447373001</v>
      </c>
      <c r="H932" s="138" t="s">
        <v>6453</v>
      </c>
      <c r="I932" s="136">
        <v>951500497</v>
      </c>
      <c r="J932" s="131" t="s">
        <v>4478</v>
      </c>
      <c r="K932" s="139">
        <v>999150</v>
      </c>
    </row>
    <row r="933" spans="1:11">
      <c r="A933" s="1" t="str">
        <f t="shared" si="14"/>
        <v>50100-845722595-95150056775550</v>
      </c>
      <c r="B933" s="136" t="s">
        <v>4806</v>
      </c>
      <c r="C933" s="136" t="s">
        <v>10854</v>
      </c>
      <c r="D933" s="132" t="s">
        <v>3420</v>
      </c>
      <c r="E933" s="136" t="s">
        <v>4874</v>
      </c>
      <c r="F933" s="136" t="s">
        <v>4874</v>
      </c>
      <c r="G933" s="137">
        <v>1395450759001</v>
      </c>
      <c r="H933" s="138" t="s">
        <v>6454</v>
      </c>
      <c r="I933" s="136">
        <v>951500567</v>
      </c>
      <c r="J933" s="131" t="s">
        <v>4931</v>
      </c>
      <c r="K933" s="139">
        <v>75550</v>
      </c>
    </row>
    <row r="934" spans="1:11">
      <c r="A934" s="1" t="str">
        <f t="shared" si="14"/>
        <v>15100-32615895-95150023570880</v>
      </c>
      <c r="B934" s="136" t="s">
        <v>3608</v>
      </c>
      <c r="C934" s="136" t="s">
        <v>10855</v>
      </c>
      <c r="D934" s="132" t="s">
        <v>3420</v>
      </c>
      <c r="E934" s="136" t="s">
        <v>3670</v>
      </c>
      <c r="F934" s="136" t="s">
        <v>3670</v>
      </c>
      <c r="G934" s="137">
        <v>1395421206001</v>
      </c>
      <c r="H934" s="138" t="s">
        <v>6298</v>
      </c>
      <c r="I934" s="136">
        <v>951500235</v>
      </c>
      <c r="J934" s="131" t="s">
        <v>3655</v>
      </c>
      <c r="K934" s="139">
        <v>70880</v>
      </c>
    </row>
    <row r="935" spans="1:11">
      <c r="A935" s="1" t="str">
        <f t="shared" si="14"/>
        <v>15100-30757195-95150005870920</v>
      </c>
      <c r="B935" s="136" t="s">
        <v>10763</v>
      </c>
      <c r="C935" s="136" t="s">
        <v>10764</v>
      </c>
      <c r="D935" s="132" t="s">
        <v>3420</v>
      </c>
      <c r="E935" s="136" t="s">
        <v>10765</v>
      </c>
      <c r="F935" s="136" t="s">
        <v>10765</v>
      </c>
      <c r="G935" s="137">
        <v>1394395845001</v>
      </c>
      <c r="H935" s="138" t="s">
        <v>6453</v>
      </c>
      <c r="I935" s="136">
        <v>951500058</v>
      </c>
      <c r="J935" s="131" t="s">
        <v>3382</v>
      </c>
      <c r="K935" s="139">
        <v>70920</v>
      </c>
    </row>
    <row r="936" spans="1:11">
      <c r="A936" s="1" t="str">
        <f t="shared" si="14"/>
        <v>15100-31536995-951500058142960</v>
      </c>
      <c r="B936" s="136" t="s">
        <v>3428</v>
      </c>
      <c r="C936" s="136" t="s">
        <v>10856</v>
      </c>
      <c r="D936" s="132" t="s">
        <v>3420</v>
      </c>
      <c r="E936" s="136" t="s">
        <v>3456</v>
      </c>
      <c r="F936" s="136" t="s">
        <v>3456</v>
      </c>
      <c r="G936" s="137">
        <v>1394395845001</v>
      </c>
      <c r="H936" s="138" t="s">
        <v>6453</v>
      </c>
      <c r="I936" s="136">
        <v>951500058</v>
      </c>
      <c r="J936" s="131" t="s">
        <v>3382</v>
      </c>
      <c r="K936" s="139">
        <v>142960</v>
      </c>
    </row>
    <row r="937" spans="1:11">
      <c r="A937" s="1" t="str">
        <f t="shared" si="14"/>
        <v>15100-35424095-951500426183900</v>
      </c>
      <c r="B937" s="136" t="s">
        <v>4146</v>
      </c>
      <c r="C937" s="136" t="s">
        <v>10820</v>
      </c>
      <c r="D937" s="132" t="s">
        <v>3420</v>
      </c>
      <c r="E937" s="136" t="s">
        <v>4182</v>
      </c>
      <c r="F937" s="136" t="s">
        <v>4182</v>
      </c>
      <c r="G937" s="137">
        <v>1395447925001</v>
      </c>
      <c r="H937" s="138" t="s">
        <v>6298</v>
      </c>
      <c r="I937" s="136">
        <v>951500426</v>
      </c>
      <c r="J937" s="131" t="s">
        <v>4280</v>
      </c>
      <c r="K937" s="139">
        <v>183900</v>
      </c>
    </row>
    <row r="938" spans="1:11">
      <c r="A938" s="1" t="str">
        <f t="shared" si="14"/>
        <v>15100-27210394-94150084928330</v>
      </c>
      <c r="B938" s="136" t="s">
        <v>10768</v>
      </c>
      <c r="C938" s="136" t="s">
        <v>10769</v>
      </c>
      <c r="D938" s="132" t="s">
        <v>3420</v>
      </c>
      <c r="E938" s="136" t="s">
        <v>2858</v>
      </c>
      <c r="F938" s="136" t="s">
        <v>2858</v>
      </c>
      <c r="G938" s="137">
        <v>1394395844001</v>
      </c>
      <c r="H938" s="138" t="s">
        <v>6298</v>
      </c>
      <c r="I938" s="136">
        <v>941500849</v>
      </c>
      <c r="J938" s="131" t="s">
        <v>2875</v>
      </c>
      <c r="K938" s="139">
        <v>28330</v>
      </c>
    </row>
    <row r="939" spans="1:11">
      <c r="A939" s="1" t="str">
        <f t="shared" si="14"/>
        <v>15100-32531795-95150005850290</v>
      </c>
      <c r="B939" s="136" t="s">
        <v>3551</v>
      </c>
      <c r="C939" s="136" t="s">
        <v>10857</v>
      </c>
      <c r="D939" s="132" t="s">
        <v>3420</v>
      </c>
      <c r="E939" s="136" t="s">
        <v>3559</v>
      </c>
      <c r="F939" s="136" t="s">
        <v>3559</v>
      </c>
      <c r="G939" s="137">
        <v>1394395845001</v>
      </c>
      <c r="H939" s="138" t="s">
        <v>6453</v>
      </c>
      <c r="I939" s="136">
        <v>951500058</v>
      </c>
      <c r="J939" s="131" t="s">
        <v>3382</v>
      </c>
      <c r="K939" s="139">
        <v>50290</v>
      </c>
    </row>
    <row r="940" spans="1:11">
      <c r="A940" s="1" t="str">
        <f t="shared" si="14"/>
        <v>15100-36345695-95150054294860</v>
      </c>
      <c r="B940" s="136" t="s">
        <v>4324</v>
      </c>
      <c r="C940" s="136" t="s">
        <v>10770</v>
      </c>
      <c r="D940" s="132" t="s">
        <v>3420</v>
      </c>
      <c r="E940" s="136" t="s">
        <v>4174</v>
      </c>
      <c r="F940" s="136" t="s">
        <v>4174</v>
      </c>
      <c r="G940" s="137">
        <v>1395447372001</v>
      </c>
      <c r="H940" s="138" t="s">
        <v>6300</v>
      </c>
      <c r="I940" s="136">
        <v>951500542</v>
      </c>
      <c r="J940" s="131" t="s">
        <v>4353</v>
      </c>
      <c r="K940" s="139">
        <v>94860</v>
      </c>
    </row>
    <row r="941" spans="1:11">
      <c r="A941" s="1" t="str">
        <f t="shared" si="14"/>
        <v>15100-36297695-95150054290500</v>
      </c>
      <c r="B941" s="136" t="s">
        <v>4325</v>
      </c>
      <c r="C941" s="136" t="s">
        <v>10771</v>
      </c>
      <c r="D941" s="132" t="s">
        <v>3420</v>
      </c>
      <c r="E941" s="136" t="s">
        <v>4167</v>
      </c>
      <c r="F941" s="136" t="s">
        <v>4167</v>
      </c>
      <c r="G941" s="137">
        <v>1395447372001</v>
      </c>
      <c r="H941" s="138" t="s">
        <v>6300</v>
      </c>
      <c r="I941" s="136">
        <v>951500542</v>
      </c>
      <c r="J941" s="131" t="s">
        <v>4353</v>
      </c>
      <c r="K941" s="139">
        <v>90500</v>
      </c>
    </row>
    <row r="942" spans="1:11">
      <c r="A942" s="1" t="str">
        <f t="shared" si="14"/>
        <v>15100-34890495-95150039623020</v>
      </c>
      <c r="B942" s="136" t="s">
        <v>4152</v>
      </c>
      <c r="C942" s="136" t="s">
        <v>10858</v>
      </c>
      <c r="D942" s="132" t="s">
        <v>3420</v>
      </c>
      <c r="E942" s="136" t="s">
        <v>3900</v>
      </c>
      <c r="F942" s="136" t="s">
        <v>3900</v>
      </c>
      <c r="G942" s="137">
        <v>1395441445001</v>
      </c>
      <c r="H942" s="138" t="s">
        <v>6299</v>
      </c>
      <c r="I942" s="136">
        <v>951500396</v>
      </c>
      <c r="J942" s="131" t="s">
        <v>3977</v>
      </c>
      <c r="K942" s="139">
        <v>23020</v>
      </c>
    </row>
    <row r="943" spans="1:11">
      <c r="A943" s="1" t="str">
        <f t="shared" si="14"/>
        <v>15100-35300495-95150040025340</v>
      </c>
      <c r="B943" s="136" t="s">
        <v>4143</v>
      </c>
      <c r="C943" s="136" t="s">
        <v>10774</v>
      </c>
      <c r="D943" s="132" t="s">
        <v>3420</v>
      </c>
      <c r="E943" s="136" t="s">
        <v>4181</v>
      </c>
      <c r="F943" s="136" t="s">
        <v>4181</v>
      </c>
      <c r="G943" s="137">
        <v>1395445412001</v>
      </c>
      <c r="H943" s="138" t="s">
        <v>6298</v>
      </c>
      <c r="I943" s="136">
        <v>951500400</v>
      </c>
      <c r="J943" s="131" t="s">
        <v>4281</v>
      </c>
      <c r="K943" s="139">
        <v>25340</v>
      </c>
    </row>
    <row r="944" spans="1:11">
      <c r="A944" s="1" t="str">
        <f t="shared" si="14"/>
        <v>15100-35300495-9515004558120</v>
      </c>
      <c r="B944" s="136" t="s">
        <v>4143</v>
      </c>
      <c r="C944" s="136" t="s">
        <v>10774</v>
      </c>
      <c r="D944" s="132" t="s">
        <v>3420</v>
      </c>
      <c r="E944" s="136" t="s">
        <v>4181</v>
      </c>
      <c r="F944" s="136" t="s">
        <v>4181</v>
      </c>
      <c r="G944" s="137">
        <v>1395447371001</v>
      </c>
      <c r="H944" s="138" t="s">
        <v>6299</v>
      </c>
      <c r="I944" s="136">
        <v>951500455</v>
      </c>
      <c r="J944" s="131" t="s">
        <v>3980</v>
      </c>
      <c r="K944" s="139">
        <v>8120</v>
      </c>
    </row>
    <row r="945" spans="1:11">
      <c r="A945" s="1" t="str">
        <f t="shared" si="14"/>
        <v>15100-37745395-951500572144960</v>
      </c>
      <c r="B945" s="136" t="s">
        <v>4650</v>
      </c>
      <c r="C945" s="136" t="s">
        <v>10859</v>
      </c>
      <c r="D945" s="132" t="s">
        <v>3420</v>
      </c>
      <c r="E945" s="136" t="s">
        <v>4657</v>
      </c>
      <c r="F945" s="136" t="s">
        <v>4657</v>
      </c>
      <c r="G945" s="137">
        <v>1395455038001</v>
      </c>
      <c r="H945" s="138" t="s">
        <v>6298</v>
      </c>
      <c r="I945" s="136">
        <v>951500572</v>
      </c>
      <c r="J945" s="131" t="s">
        <v>4702</v>
      </c>
      <c r="K945" s="139">
        <v>144960</v>
      </c>
    </row>
    <row r="946" spans="1:11">
      <c r="A946" s="1" t="str">
        <f t="shared" si="14"/>
        <v>15100-35473695-95150045538760</v>
      </c>
      <c r="B946" s="136" t="s">
        <v>4147</v>
      </c>
      <c r="C946" s="136" t="s">
        <v>10785</v>
      </c>
      <c r="D946" s="132" t="s">
        <v>3420</v>
      </c>
      <c r="E946" s="136" t="s">
        <v>4176</v>
      </c>
      <c r="F946" s="136" t="s">
        <v>4176</v>
      </c>
      <c r="G946" s="137">
        <v>1395447371001</v>
      </c>
      <c r="H946" s="138" t="s">
        <v>6299</v>
      </c>
      <c r="I946" s="136">
        <v>951500455</v>
      </c>
      <c r="J946" s="131" t="s">
        <v>3980</v>
      </c>
      <c r="K946" s="139">
        <v>38760</v>
      </c>
    </row>
    <row r="947" spans="1:11">
      <c r="A947" s="1" t="str">
        <f t="shared" si="14"/>
        <v>15100-35839095-95150049272200</v>
      </c>
      <c r="B947" s="136" t="s">
        <v>4151</v>
      </c>
      <c r="C947" s="136" t="s">
        <v>10860</v>
      </c>
      <c r="D947" s="132" t="s">
        <v>3420</v>
      </c>
      <c r="E947" s="136" t="s">
        <v>4185</v>
      </c>
      <c r="F947" s="136" t="s">
        <v>4185</v>
      </c>
      <c r="G947" s="137">
        <v>1395449236001</v>
      </c>
      <c r="H947" s="138" t="s">
        <v>6298</v>
      </c>
      <c r="I947" s="136">
        <v>951500492</v>
      </c>
      <c r="J947" s="131" t="s">
        <v>4302</v>
      </c>
      <c r="K947" s="139">
        <v>72200</v>
      </c>
    </row>
    <row r="948" spans="1:11">
      <c r="A948" s="1" t="str">
        <f t="shared" si="14"/>
        <v>50100-726684295-95150002237932</v>
      </c>
      <c r="B948" s="136" t="s">
        <v>2996</v>
      </c>
      <c r="C948" s="136" t="s">
        <v>10843</v>
      </c>
      <c r="D948" s="132" t="s">
        <v>3420</v>
      </c>
      <c r="E948" s="136" t="s">
        <v>2864</v>
      </c>
      <c r="F948" s="136" t="s">
        <v>2864</v>
      </c>
      <c r="G948" s="137">
        <v>1395397985001</v>
      </c>
      <c r="H948" s="138" t="s">
        <v>6298</v>
      </c>
      <c r="I948" s="136">
        <v>951500022</v>
      </c>
      <c r="J948" s="131" t="s">
        <v>2801</v>
      </c>
      <c r="K948" s="139">
        <v>37932</v>
      </c>
    </row>
    <row r="949" spans="1:11">
      <c r="A949" s="1" t="str">
        <f t="shared" si="14"/>
        <v>50100-713585894-942500112494751</v>
      </c>
      <c r="B949" s="136" t="s">
        <v>10861</v>
      </c>
      <c r="C949" s="136" t="s">
        <v>10862</v>
      </c>
      <c r="D949" s="132" t="s">
        <v>3420</v>
      </c>
      <c r="E949" s="136" t="s">
        <v>2611</v>
      </c>
      <c r="F949" s="136" t="s">
        <v>2611</v>
      </c>
      <c r="G949" s="137">
        <v>1394394316001</v>
      </c>
      <c r="H949" s="138" t="s">
        <v>10183</v>
      </c>
      <c r="I949" s="136">
        <v>942500112</v>
      </c>
      <c r="J949" s="131" t="s">
        <v>7095</v>
      </c>
      <c r="K949" s="139">
        <v>494751</v>
      </c>
    </row>
    <row r="950" spans="1:11">
      <c r="A950" s="1" t="str">
        <f t="shared" si="14"/>
        <v>50100-718843395-952500002241687</v>
      </c>
      <c r="B950" s="136" t="s">
        <v>2724</v>
      </c>
      <c r="C950" s="136" t="s">
        <v>10863</v>
      </c>
      <c r="D950" s="132" t="s">
        <v>3420</v>
      </c>
      <c r="E950" s="136" t="s">
        <v>2752</v>
      </c>
      <c r="F950" s="136" t="s">
        <v>2752</v>
      </c>
      <c r="G950" s="137">
        <v>1394394801001</v>
      </c>
      <c r="H950" s="138" t="s">
        <v>10183</v>
      </c>
      <c r="I950" s="136">
        <v>952500002</v>
      </c>
      <c r="J950" s="131" t="s">
        <v>2804</v>
      </c>
      <c r="K950" s="139">
        <v>241687</v>
      </c>
    </row>
    <row r="951" spans="1:11">
      <c r="A951" s="1" t="str">
        <f t="shared" si="14"/>
        <v>50100-764018295-954200003494200</v>
      </c>
      <c r="B951" s="136" t="s">
        <v>3394</v>
      </c>
      <c r="C951" s="136" t="s">
        <v>10864</v>
      </c>
      <c r="D951" s="132" t="s">
        <v>3420</v>
      </c>
      <c r="E951" s="136" t="s">
        <v>3380</v>
      </c>
      <c r="F951" s="136" t="s">
        <v>3380</v>
      </c>
      <c r="G951" s="137">
        <v>1395418113001</v>
      </c>
      <c r="H951" s="138" t="s">
        <v>6298</v>
      </c>
      <c r="I951" s="136">
        <v>954200003</v>
      </c>
      <c r="J951" s="131" t="s">
        <v>3416</v>
      </c>
      <c r="K951" s="139">
        <v>494200</v>
      </c>
    </row>
    <row r="952" spans="1:11">
      <c r="A952" s="1" t="str">
        <f t="shared" si="14"/>
        <v>50100-831590495-9541000321003803</v>
      </c>
      <c r="B952" s="136" t="s">
        <v>4637</v>
      </c>
      <c r="C952" s="136" t="s">
        <v>10865</v>
      </c>
      <c r="D952" s="132" t="s">
        <v>3420</v>
      </c>
      <c r="E952" s="136" t="s">
        <v>4657</v>
      </c>
      <c r="F952" s="136" t="s">
        <v>4657</v>
      </c>
      <c r="G952" s="137">
        <v>1395460645001</v>
      </c>
      <c r="H952" s="138" t="s">
        <v>10183</v>
      </c>
      <c r="I952" s="136">
        <v>954100032</v>
      </c>
      <c r="J952" s="131" t="s">
        <v>4697</v>
      </c>
      <c r="K952" s="139">
        <v>1003803</v>
      </c>
    </row>
    <row r="953" spans="1:11">
      <c r="A953" s="1" t="str">
        <f t="shared" si="14"/>
        <v>50100-822515695-951500521499280</v>
      </c>
      <c r="B953" s="136" t="s">
        <v>4429</v>
      </c>
      <c r="C953" s="136" t="s">
        <v>10866</v>
      </c>
      <c r="D953" s="132" t="s">
        <v>3420</v>
      </c>
      <c r="E953" s="136" t="s">
        <v>4444</v>
      </c>
      <c r="F953" s="136" t="s">
        <v>4444</v>
      </c>
      <c r="G953" s="137">
        <v>1395447372001</v>
      </c>
      <c r="H953" s="138" t="s">
        <v>6300</v>
      </c>
      <c r="I953" s="136">
        <v>951500521</v>
      </c>
      <c r="J953" s="131" t="s">
        <v>4494</v>
      </c>
      <c r="K953" s="139">
        <v>499280</v>
      </c>
    </row>
    <row r="954" spans="1:11">
      <c r="A954" s="1" t="str">
        <f t="shared" si="14"/>
        <v>15100-28189695-951500050152790</v>
      </c>
      <c r="B954" s="136" t="s">
        <v>3201</v>
      </c>
      <c r="C954" s="136" t="s">
        <v>10867</v>
      </c>
      <c r="D954" s="132" t="s">
        <v>3420</v>
      </c>
      <c r="E954" s="136" t="s">
        <v>3165</v>
      </c>
      <c r="F954" s="136" t="s">
        <v>3165</v>
      </c>
      <c r="G954" s="137">
        <v>1395397985001</v>
      </c>
      <c r="H954" s="138" t="s">
        <v>6298</v>
      </c>
      <c r="I954" s="136">
        <v>951500050</v>
      </c>
      <c r="J954" s="131" t="s">
        <v>2889</v>
      </c>
      <c r="K954" s="139">
        <v>152790</v>
      </c>
    </row>
    <row r="955" spans="1:11">
      <c r="A955" s="1" t="str">
        <f t="shared" si="14"/>
        <v>15100-32665495-951500104172840</v>
      </c>
      <c r="B955" s="136" t="s">
        <v>3597</v>
      </c>
      <c r="C955" s="136" t="s">
        <v>10868</v>
      </c>
      <c r="D955" s="132" t="s">
        <v>3420</v>
      </c>
      <c r="E955" s="136" t="s">
        <v>3663</v>
      </c>
      <c r="F955" s="136" t="s">
        <v>3663</v>
      </c>
      <c r="G955" s="137">
        <v>1395397985001</v>
      </c>
      <c r="H955" s="138" t="s">
        <v>6298</v>
      </c>
      <c r="I955" s="136">
        <v>951500104</v>
      </c>
      <c r="J955" s="131" t="s">
        <v>3466</v>
      </c>
      <c r="K955" s="139">
        <v>172840</v>
      </c>
    </row>
    <row r="956" spans="1:11">
      <c r="A956" s="1" t="str">
        <f t="shared" si="14"/>
        <v>15100-26361595-95150005069680</v>
      </c>
      <c r="B956" s="136" t="s">
        <v>2843</v>
      </c>
      <c r="C956" s="136" t="s">
        <v>10869</v>
      </c>
      <c r="D956" s="132" t="s">
        <v>3420</v>
      </c>
      <c r="E956" s="136" t="s">
        <v>2863</v>
      </c>
      <c r="F956" s="136" t="s">
        <v>2863</v>
      </c>
      <c r="G956" s="137">
        <v>1395397985001</v>
      </c>
      <c r="H956" s="138" t="s">
        <v>6298</v>
      </c>
      <c r="I956" s="136">
        <v>951500050</v>
      </c>
      <c r="J956" s="131" t="s">
        <v>2889</v>
      </c>
      <c r="K956" s="139">
        <v>69680</v>
      </c>
    </row>
    <row r="957" spans="1:11">
      <c r="A957" s="1" t="str">
        <f t="shared" si="14"/>
        <v>15100-35948395-95150051347880</v>
      </c>
      <c r="B957" s="136" t="s">
        <v>4317</v>
      </c>
      <c r="C957" s="136" t="s">
        <v>10870</v>
      </c>
      <c r="D957" s="132" t="s">
        <v>3420</v>
      </c>
      <c r="E957" s="136" t="s">
        <v>4342</v>
      </c>
      <c r="F957" s="136" t="s">
        <v>4342</v>
      </c>
      <c r="G957" s="137">
        <v>1395449237001</v>
      </c>
      <c r="H957" s="138" t="s">
        <v>6299</v>
      </c>
      <c r="I957" s="136">
        <v>951500513</v>
      </c>
      <c r="J957" s="131" t="s">
        <v>4298</v>
      </c>
      <c r="K957" s="139">
        <v>47880</v>
      </c>
    </row>
    <row r="958" spans="1:11">
      <c r="A958" s="1" t="str">
        <f t="shared" si="14"/>
        <v>15100-35948395-951500540210360</v>
      </c>
      <c r="B958" s="136" t="s">
        <v>4317</v>
      </c>
      <c r="C958" s="136" t="s">
        <v>10870</v>
      </c>
      <c r="D958" s="132" t="s">
        <v>3420</v>
      </c>
      <c r="E958" s="136" t="s">
        <v>4342</v>
      </c>
      <c r="F958" s="141" t="s">
        <v>4342</v>
      </c>
      <c r="G958" s="137">
        <v>1395452683001</v>
      </c>
      <c r="H958" s="140" t="s">
        <v>8845</v>
      </c>
      <c r="I958" s="141">
        <v>951500540</v>
      </c>
      <c r="J958" s="131" t="s">
        <v>4348</v>
      </c>
      <c r="K958" s="142">
        <v>210360</v>
      </c>
    </row>
    <row r="959" spans="1:11">
      <c r="A959" s="1" t="str">
        <f t="shared" si="14"/>
        <v>15100-34229395-951500308125820</v>
      </c>
      <c r="B959" s="136" t="s">
        <v>3781</v>
      </c>
      <c r="C959" s="136" t="s">
        <v>10871</v>
      </c>
      <c r="D959" s="132" t="s">
        <v>3420</v>
      </c>
      <c r="E959" s="136" t="s">
        <v>3824</v>
      </c>
      <c r="F959" s="136" t="s">
        <v>3824</v>
      </c>
      <c r="G959" s="137">
        <v>1395435643001</v>
      </c>
      <c r="H959" s="138" t="s">
        <v>6300</v>
      </c>
      <c r="I959" s="136">
        <v>951500308</v>
      </c>
      <c r="J959" s="131" t="s">
        <v>3904</v>
      </c>
      <c r="K959" s="139">
        <v>125820</v>
      </c>
    </row>
    <row r="960" spans="1:11">
      <c r="A960" s="1" t="str">
        <f t="shared" si="14"/>
        <v>15100-37848095-951500573161970</v>
      </c>
      <c r="B960" s="136" t="s">
        <v>4652</v>
      </c>
      <c r="C960" s="136" t="s">
        <v>10872</v>
      </c>
      <c r="D960" s="132" t="s">
        <v>3420</v>
      </c>
      <c r="E960" s="136" t="s">
        <v>4666</v>
      </c>
      <c r="F960" s="136" t="s">
        <v>4666</v>
      </c>
      <c r="G960" s="137">
        <v>1395452681001</v>
      </c>
      <c r="H960" s="138" t="s">
        <v>6300</v>
      </c>
      <c r="I960" s="136">
        <v>951500573</v>
      </c>
      <c r="J960" s="131" t="s">
        <v>4700</v>
      </c>
      <c r="K960" s="139">
        <v>161970</v>
      </c>
    </row>
    <row r="961" spans="1:11">
      <c r="A961" s="1" t="str">
        <f t="shared" si="14"/>
        <v>50100-738458495-951500105997000</v>
      </c>
      <c r="B961" s="136" t="s">
        <v>3030</v>
      </c>
      <c r="C961" s="136" t="s">
        <v>10873</v>
      </c>
      <c r="D961" s="132" t="s">
        <v>3420</v>
      </c>
      <c r="E961" s="136" t="s">
        <v>3050</v>
      </c>
      <c r="F961" s="136" t="s">
        <v>3050</v>
      </c>
      <c r="G961" s="137">
        <v>1395397990001</v>
      </c>
      <c r="H961" s="138" t="s">
        <v>6456</v>
      </c>
      <c r="I961" s="136">
        <v>951500105</v>
      </c>
      <c r="J961" s="131" t="s">
        <v>3130</v>
      </c>
      <c r="K961" s="139">
        <v>997000</v>
      </c>
    </row>
    <row r="962" spans="1:11">
      <c r="A962" s="1" t="str">
        <f t="shared" si="14"/>
        <v>50100-764551095-952500023196171</v>
      </c>
      <c r="B962" s="136" t="s">
        <v>10874</v>
      </c>
      <c r="C962" s="136" t="s">
        <v>10875</v>
      </c>
      <c r="D962" s="132" t="s">
        <v>3420</v>
      </c>
      <c r="E962" s="136" t="s">
        <v>3398</v>
      </c>
      <c r="F962" s="136" t="s">
        <v>3398</v>
      </c>
      <c r="G962" s="137">
        <v>1395397987001</v>
      </c>
      <c r="H962" s="138" t="s">
        <v>10183</v>
      </c>
      <c r="I962" s="136">
        <v>952500023</v>
      </c>
      <c r="J962" s="131" t="s">
        <v>3406</v>
      </c>
      <c r="K962" s="139">
        <v>196171</v>
      </c>
    </row>
    <row r="963" spans="1:11">
      <c r="A963" s="1" t="str">
        <f t="shared" ref="A963:A1026" si="15">B963&amp;J963&amp;K963</f>
        <v>15100-33356695-951500276312502</v>
      </c>
      <c r="B963" s="136" t="s">
        <v>3802</v>
      </c>
      <c r="C963" s="136" t="s">
        <v>10876</v>
      </c>
      <c r="D963" s="132" t="s">
        <v>3420</v>
      </c>
      <c r="E963" s="136" t="s">
        <v>3722</v>
      </c>
      <c r="F963" s="136" t="s">
        <v>3722</v>
      </c>
      <c r="G963" s="137">
        <v>1395436005001</v>
      </c>
      <c r="H963" s="138" t="s">
        <v>6298</v>
      </c>
      <c r="I963" s="136">
        <v>951500276</v>
      </c>
      <c r="J963" s="131" t="s">
        <v>3853</v>
      </c>
      <c r="K963" s="139">
        <v>312502</v>
      </c>
    </row>
    <row r="964" spans="1:11">
      <c r="A964" s="1" t="str">
        <f t="shared" si="15"/>
        <v>50100-845722595-951500566146990</v>
      </c>
      <c r="B964" s="136" t="s">
        <v>4806</v>
      </c>
      <c r="C964" s="136" t="s">
        <v>10854</v>
      </c>
      <c r="D964" s="132" t="s">
        <v>3420</v>
      </c>
      <c r="E964" s="136" t="s">
        <v>4874</v>
      </c>
      <c r="F964" s="136" t="s">
        <v>4874</v>
      </c>
      <c r="G964" s="137">
        <v>1395451400001</v>
      </c>
      <c r="H964" s="138" t="s">
        <v>6454</v>
      </c>
      <c r="I964" s="136">
        <v>951500566</v>
      </c>
      <c r="J964" s="131" t="s">
        <v>4934</v>
      </c>
      <c r="K964" s="139">
        <v>146990</v>
      </c>
    </row>
    <row r="965" spans="1:11">
      <c r="A965" s="1" t="str">
        <f t="shared" si="15"/>
        <v>50100-845714495-951500566553010</v>
      </c>
      <c r="B965" s="136" t="s">
        <v>4804</v>
      </c>
      <c r="C965" s="136" t="s">
        <v>10557</v>
      </c>
      <c r="D965" s="132" t="s">
        <v>3420</v>
      </c>
      <c r="E965" s="136" t="s">
        <v>4874</v>
      </c>
      <c r="F965" s="136" t="s">
        <v>4874</v>
      </c>
      <c r="G965" s="137">
        <v>1395451400001</v>
      </c>
      <c r="H965" s="138" t="s">
        <v>6454</v>
      </c>
      <c r="I965" s="136">
        <v>951500566</v>
      </c>
      <c r="J965" s="131" t="s">
        <v>4934</v>
      </c>
      <c r="K965" s="139">
        <v>553010</v>
      </c>
    </row>
    <row r="966" spans="1:11">
      <c r="A966" s="1" t="str">
        <f t="shared" si="15"/>
        <v>15100-28751195-951500044445</v>
      </c>
      <c r="B966" s="136" t="s">
        <v>3266</v>
      </c>
      <c r="C966" s="136" t="s">
        <v>10877</v>
      </c>
      <c r="D966" s="132" t="s">
        <v>3420</v>
      </c>
      <c r="E966" s="136" t="s">
        <v>3260</v>
      </c>
      <c r="F966" s="136" t="s">
        <v>3260</v>
      </c>
      <c r="G966" s="137">
        <v>1394395845001</v>
      </c>
      <c r="H966" s="138" t="s">
        <v>6453</v>
      </c>
      <c r="I966" s="136">
        <v>951500044</v>
      </c>
      <c r="J966" s="131" t="s">
        <v>3053</v>
      </c>
      <c r="K966" s="139">
        <v>445</v>
      </c>
    </row>
    <row r="967" spans="1:11">
      <c r="A967" s="1" t="str">
        <f t="shared" si="15"/>
        <v>15100-32615895-951500237124460</v>
      </c>
      <c r="B967" s="136" t="s">
        <v>3608</v>
      </c>
      <c r="C967" s="136" t="s">
        <v>10855</v>
      </c>
      <c r="D967" s="132" t="s">
        <v>3420</v>
      </c>
      <c r="E967" s="136" t="s">
        <v>3670</v>
      </c>
      <c r="F967" s="136" t="s">
        <v>3670</v>
      </c>
      <c r="G967" s="137">
        <v>1395427844001</v>
      </c>
      <c r="H967" s="138" t="s">
        <v>6298</v>
      </c>
      <c r="I967" s="136">
        <v>951500237</v>
      </c>
      <c r="J967" s="131" t="s">
        <v>3644</v>
      </c>
      <c r="K967" s="139">
        <v>124460</v>
      </c>
    </row>
    <row r="968" spans="1:11">
      <c r="A968" s="1" t="str">
        <f t="shared" si="15"/>
        <v>15100-27432594-94150074923360</v>
      </c>
      <c r="B968" s="136" t="s">
        <v>2904</v>
      </c>
      <c r="C968" s="136" t="s">
        <v>10878</v>
      </c>
      <c r="D968" s="132" t="s">
        <v>3420</v>
      </c>
      <c r="E968" s="136" t="s">
        <v>3046</v>
      </c>
      <c r="F968" s="136" t="s">
        <v>3046</v>
      </c>
      <c r="G968" s="137">
        <v>1394392654001</v>
      </c>
      <c r="H968" s="138" t="s">
        <v>6453</v>
      </c>
      <c r="I968" s="136">
        <v>941500749</v>
      </c>
      <c r="J968" s="131" t="s">
        <v>6847</v>
      </c>
      <c r="K968" s="139">
        <v>23360</v>
      </c>
    </row>
    <row r="969" spans="1:11">
      <c r="A969" s="1" t="str">
        <f t="shared" si="15"/>
        <v>15100-27432595-951500044117920</v>
      </c>
      <c r="B969" s="136" t="s">
        <v>2904</v>
      </c>
      <c r="C969" s="136" t="s">
        <v>10878</v>
      </c>
      <c r="D969" s="132" t="s">
        <v>3420</v>
      </c>
      <c r="E969" s="136" t="s">
        <v>3046</v>
      </c>
      <c r="F969" s="136" t="s">
        <v>3046</v>
      </c>
      <c r="G969" s="137">
        <v>1394395845001</v>
      </c>
      <c r="H969" s="138" t="s">
        <v>6453</v>
      </c>
      <c r="I969" s="136">
        <v>951500044</v>
      </c>
      <c r="J969" s="131" t="s">
        <v>3053</v>
      </c>
      <c r="K969" s="139">
        <v>117920</v>
      </c>
    </row>
    <row r="970" spans="1:11">
      <c r="A970" s="1" t="str">
        <f t="shared" si="15"/>
        <v>15100-27430094-94150077449190</v>
      </c>
      <c r="B970" s="136" t="s">
        <v>10879</v>
      </c>
      <c r="C970" s="136" t="s">
        <v>10880</v>
      </c>
      <c r="D970" s="132" t="s">
        <v>3420</v>
      </c>
      <c r="E970" s="136" t="s">
        <v>3046</v>
      </c>
      <c r="F970" s="136" t="s">
        <v>3046</v>
      </c>
      <c r="G970" s="137">
        <v>1394394178001</v>
      </c>
      <c r="H970" s="138" t="s">
        <v>6298</v>
      </c>
      <c r="I970" s="136">
        <v>941500774</v>
      </c>
      <c r="J970" s="131" t="s">
        <v>2878</v>
      </c>
      <c r="K970" s="139">
        <v>49190</v>
      </c>
    </row>
    <row r="971" spans="1:11">
      <c r="A971" s="1" t="str">
        <f t="shared" si="15"/>
        <v>15100-33862095-951500351114620</v>
      </c>
      <c r="B971" s="136" t="s">
        <v>3793</v>
      </c>
      <c r="C971" s="136" t="s">
        <v>10881</v>
      </c>
      <c r="D971" s="132" t="s">
        <v>3420</v>
      </c>
      <c r="E971" s="136" t="s">
        <v>3830</v>
      </c>
      <c r="F971" s="136" t="s">
        <v>3830</v>
      </c>
      <c r="G971" s="137">
        <v>1395441444001</v>
      </c>
      <c r="H971" s="138" t="s">
        <v>6299</v>
      </c>
      <c r="I971" s="136">
        <v>951500351</v>
      </c>
      <c r="J971" s="131" t="s">
        <v>3851</v>
      </c>
      <c r="K971" s="139">
        <v>114620</v>
      </c>
    </row>
    <row r="972" spans="1:11">
      <c r="A972" s="1" t="str">
        <f t="shared" si="15"/>
        <v>15100-33897895-95150035144480</v>
      </c>
      <c r="B972" s="136" t="s">
        <v>3794</v>
      </c>
      <c r="C972" s="136" t="s">
        <v>10882</v>
      </c>
      <c r="D972" s="132" t="s">
        <v>3420</v>
      </c>
      <c r="E972" s="136" t="s">
        <v>3830</v>
      </c>
      <c r="F972" s="136" t="s">
        <v>3830</v>
      </c>
      <c r="G972" s="137">
        <v>1395441444001</v>
      </c>
      <c r="H972" s="138" t="s">
        <v>6299</v>
      </c>
      <c r="I972" s="136">
        <v>951500351</v>
      </c>
      <c r="J972" s="131" t="s">
        <v>3851</v>
      </c>
      <c r="K972" s="139">
        <v>44480</v>
      </c>
    </row>
    <row r="973" spans="1:11">
      <c r="A973" s="1" t="str">
        <f t="shared" si="15"/>
        <v>15100-26149694-94150071583440</v>
      </c>
      <c r="B973" s="136" t="s">
        <v>10883</v>
      </c>
      <c r="C973" s="136" t="s">
        <v>10884</v>
      </c>
      <c r="D973" s="132" t="s">
        <v>3420</v>
      </c>
      <c r="E973" s="136" t="s">
        <v>2757</v>
      </c>
      <c r="F973" s="136" t="s">
        <v>2757</v>
      </c>
      <c r="G973" s="137">
        <v>1394392935001</v>
      </c>
      <c r="H973" s="138" t="s">
        <v>6298</v>
      </c>
      <c r="I973" s="136">
        <v>941500715</v>
      </c>
      <c r="J973" s="131" t="s">
        <v>2873</v>
      </c>
      <c r="K973" s="139">
        <v>83440</v>
      </c>
    </row>
    <row r="974" spans="1:11">
      <c r="A974" s="1" t="str">
        <f t="shared" si="15"/>
        <v>15100-26149694-9415008084980</v>
      </c>
      <c r="B974" s="136" t="s">
        <v>10883</v>
      </c>
      <c r="C974" s="136" t="s">
        <v>10884</v>
      </c>
      <c r="D974" s="132" t="s">
        <v>3420</v>
      </c>
      <c r="E974" s="136" t="s">
        <v>2757</v>
      </c>
      <c r="F974" s="136" t="s">
        <v>2757</v>
      </c>
      <c r="G974" s="137">
        <v>1394394802001</v>
      </c>
      <c r="H974" s="138" t="s">
        <v>6298</v>
      </c>
      <c r="I974" s="136">
        <v>941500808</v>
      </c>
      <c r="J974" s="131" t="s">
        <v>2874</v>
      </c>
      <c r="K974" s="139">
        <v>4980</v>
      </c>
    </row>
    <row r="975" spans="1:11">
      <c r="A975" s="1" t="str">
        <f t="shared" si="15"/>
        <v>15100-30028395-95150020422085</v>
      </c>
      <c r="B975" s="136" t="s">
        <v>3368</v>
      </c>
      <c r="C975" s="136" t="s">
        <v>10885</v>
      </c>
      <c r="D975" s="132" t="s">
        <v>3420</v>
      </c>
      <c r="E975" s="136" t="s">
        <v>3373</v>
      </c>
      <c r="F975" s="136" t="s">
        <v>3373</v>
      </c>
      <c r="G975" s="137">
        <v>1395397987001</v>
      </c>
      <c r="H975" s="138" t="s">
        <v>10183</v>
      </c>
      <c r="I975" s="136">
        <v>951500204</v>
      </c>
      <c r="J975" s="131" t="s">
        <v>3385</v>
      </c>
      <c r="K975" s="139">
        <v>22085</v>
      </c>
    </row>
    <row r="976" spans="1:11">
      <c r="A976" s="1" t="str">
        <f t="shared" si="15"/>
        <v>15100-26363395-95150003869020</v>
      </c>
      <c r="B976" s="136" t="s">
        <v>2826</v>
      </c>
      <c r="C976" s="136" t="s">
        <v>10886</v>
      </c>
      <c r="D976" s="132" t="s">
        <v>3420</v>
      </c>
      <c r="E976" s="136" t="s">
        <v>2863</v>
      </c>
      <c r="F976" s="136" t="s">
        <v>2863</v>
      </c>
      <c r="G976" s="137">
        <v>1395397986001</v>
      </c>
      <c r="H976" s="138" t="s">
        <v>6454</v>
      </c>
      <c r="I976" s="136">
        <v>951500038</v>
      </c>
      <c r="J976" s="131" t="s">
        <v>2766</v>
      </c>
      <c r="K976" s="139">
        <v>69020</v>
      </c>
    </row>
    <row r="977" spans="1:11">
      <c r="A977" s="1" t="str">
        <f t="shared" si="15"/>
        <v>50100-848627795-951500527497910</v>
      </c>
      <c r="B977" s="136" t="s">
        <v>4850</v>
      </c>
      <c r="C977" s="136" t="s">
        <v>8924</v>
      </c>
      <c r="D977" s="132" t="s">
        <v>4971</v>
      </c>
      <c r="E977" s="136" t="s">
        <v>4883</v>
      </c>
      <c r="F977" s="136" t="s">
        <v>4883</v>
      </c>
      <c r="G977" s="137">
        <v>1395451399001</v>
      </c>
      <c r="H977" s="138" t="s">
        <v>10206</v>
      </c>
      <c r="I977" s="136">
        <v>951500527</v>
      </c>
      <c r="J977" s="131" t="s">
        <v>4906</v>
      </c>
      <c r="K977" s="139">
        <v>497910</v>
      </c>
    </row>
    <row r="978" spans="1:11">
      <c r="A978" s="1" t="str">
        <f t="shared" si="15"/>
        <v>50100-752703895-951500057196850</v>
      </c>
      <c r="B978" s="136" t="s">
        <v>3312</v>
      </c>
      <c r="C978" s="136" t="s">
        <v>10887</v>
      </c>
      <c r="D978" s="132" t="s">
        <v>3420</v>
      </c>
      <c r="E978" s="136" t="s">
        <v>3278</v>
      </c>
      <c r="F978" s="136" t="s">
        <v>3278</v>
      </c>
      <c r="G978" s="137">
        <v>1394395845001</v>
      </c>
      <c r="H978" s="138" t="s">
        <v>6453</v>
      </c>
      <c r="I978" s="136">
        <v>951500057</v>
      </c>
      <c r="J978" s="131" t="s">
        <v>2779</v>
      </c>
      <c r="K978" s="139">
        <v>196850</v>
      </c>
    </row>
    <row r="979" spans="1:11">
      <c r="A979" s="1" t="str">
        <f t="shared" si="15"/>
        <v>756700495-95150003028820</v>
      </c>
      <c r="B979" s="136" t="s">
        <v>10558</v>
      </c>
      <c r="C979" s="136" t="s">
        <v>10558</v>
      </c>
      <c r="D979" s="132" t="s">
        <v>3420</v>
      </c>
      <c r="E979" s="136" t="s">
        <v>3323</v>
      </c>
      <c r="F979" s="136" t="s">
        <v>3323</v>
      </c>
      <c r="G979" s="137">
        <v>1395397985001</v>
      </c>
      <c r="H979" s="138" t="s">
        <v>6298</v>
      </c>
      <c r="I979" s="136">
        <v>951500030</v>
      </c>
      <c r="J979" s="131" t="s">
        <v>2785</v>
      </c>
      <c r="K979" s="139">
        <v>28820</v>
      </c>
    </row>
    <row r="980" spans="1:11">
      <c r="A980" s="1" t="str">
        <f t="shared" si="15"/>
        <v>15100-28751194-941500831176780</v>
      </c>
      <c r="B980" s="136" t="s">
        <v>3266</v>
      </c>
      <c r="C980" s="136" t="s">
        <v>10877</v>
      </c>
      <c r="D980" s="132" t="s">
        <v>3420</v>
      </c>
      <c r="E980" s="136" t="s">
        <v>3260</v>
      </c>
      <c r="F980" s="136" t="s">
        <v>3260</v>
      </c>
      <c r="G980" s="137">
        <v>1394395844001</v>
      </c>
      <c r="H980" s="138" t="s">
        <v>6298</v>
      </c>
      <c r="I980" s="136">
        <v>941500831</v>
      </c>
      <c r="J980" s="131" t="s">
        <v>3285</v>
      </c>
      <c r="K980" s="139">
        <v>176780</v>
      </c>
    </row>
    <row r="981" spans="1:11">
      <c r="A981" s="1" t="str">
        <f t="shared" si="15"/>
        <v>15100-26149694-94150071851090</v>
      </c>
      <c r="B981" s="136" t="s">
        <v>10883</v>
      </c>
      <c r="C981" s="136" t="s">
        <v>10884</v>
      </c>
      <c r="D981" s="132" t="s">
        <v>3420</v>
      </c>
      <c r="E981" s="136" t="s">
        <v>2757</v>
      </c>
      <c r="F981" s="136" t="s">
        <v>2757</v>
      </c>
      <c r="G981" s="137">
        <v>1394392935001</v>
      </c>
      <c r="H981" s="138" t="s">
        <v>6298</v>
      </c>
      <c r="I981" s="136">
        <v>941500718</v>
      </c>
      <c r="J981" s="131" t="s">
        <v>2871</v>
      </c>
      <c r="K981" s="139">
        <v>51090</v>
      </c>
    </row>
    <row r="982" spans="1:11">
      <c r="A982" s="1" t="str">
        <f t="shared" si="15"/>
        <v>15100-26149694-94150081916790</v>
      </c>
      <c r="B982" s="136" t="s">
        <v>10883</v>
      </c>
      <c r="C982" s="136" t="s">
        <v>10884</v>
      </c>
      <c r="D982" s="132" t="s">
        <v>3420</v>
      </c>
      <c r="E982" s="136" t="s">
        <v>2757</v>
      </c>
      <c r="F982" s="136" t="s">
        <v>2757</v>
      </c>
      <c r="G982" s="137">
        <v>1394394802001</v>
      </c>
      <c r="H982" s="138" t="s">
        <v>6298</v>
      </c>
      <c r="I982" s="136">
        <v>941500819</v>
      </c>
      <c r="J982" s="131" t="s">
        <v>2882</v>
      </c>
      <c r="K982" s="139">
        <v>16790</v>
      </c>
    </row>
    <row r="983" spans="1:11">
      <c r="A983" s="1" t="str">
        <f t="shared" si="15"/>
        <v>15100-30030894-941500841118070</v>
      </c>
      <c r="B983" s="136" t="s">
        <v>10888</v>
      </c>
      <c r="C983" s="136" t="s">
        <v>10889</v>
      </c>
      <c r="D983" s="132" t="s">
        <v>3420</v>
      </c>
      <c r="E983" s="136" t="s">
        <v>3373</v>
      </c>
      <c r="F983" s="136" t="s">
        <v>3373</v>
      </c>
      <c r="G983" s="137">
        <v>1394395844001</v>
      </c>
      <c r="H983" s="138" t="s">
        <v>6298</v>
      </c>
      <c r="I983" s="136">
        <v>941500841</v>
      </c>
      <c r="J983" s="131" t="s">
        <v>3383</v>
      </c>
      <c r="K983" s="139">
        <v>118070</v>
      </c>
    </row>
    <row r="984" spans="1:11">
      <c r="A984" s="1" t="str">
        <f t="shared" si="15"/>
        <v>15100-30028394-94150084162455</v>
      </c>
      <c r="B984" s="136" t="s">
        <v>3368</v>
      </c>
      <c r="C984" s="136" t="s">
        <v>10885</v>
      </c>
      <c r="D984" s="132" t="s">
        <v>3420</v>
      </c>
      <c r="E984" s="136" t="s">
        <v>3373</v>
      </c>
      <c r="F984" s="136" t="s">
        <v>3373</v>
      </c>
      <c r="G984" s="137">
        <v>1394395844001</v>
      </c>
      <c r="H984" s="138" t="s">
        <v>6298</v>
      </c>
      <c r="I984" s="136">
        <v>941500841</v>
      </c>
      <c r="J984" s="131" t="s">
        <v>3383</v>
      </c>
      <c r="K984" s="139">
        <v>62455</v>
      </c>
    </row>
    <row r="985" spans="1:11">
      <c r="A985" s="1" t="str">
        <f t="shared" si="15"/>
        <v>15100-35351695-9515004012040</v>
      </c>
      <c r="B985" s="136" t="s">
        <v>4115</v>
      </c>
      <c r="C985" s="136" t="s">
        <v>10890</v>
      </c>
      <c r="D985" s="132" t="s">
        <v>3420</v>
      </c>
      <c r="E985" s="136" t="s">
        <v>4186</v>
      </c>
      <c r="F985" s="136" t="s">
        <v>4186</v>
      </c>
      <c r="G985" s="137">
        <v>1395445412001</v>
      </c>
      <c r="H985" s="138" t="s">
        <v>6298</v>
      </c>
      <c r="I985" s="136">
        <v>951500401</v>
      </c>
      <c r="J985" s="131" t="s">
        <v>4294</v>
      </c>
      <c r="K985" s="139">
        <v>2040</v>
      </c>
    </row>
    <row r="986" spans="1:11">
      <c r="A986" s="1" t="str">
        <f t="shared" si="15"/>
        <v>50100-786986695-951500256287410</v>
      </c>
      <c r="B986" s="136" t="s">
        <v>3689</v>
      </c>
      <c r="C986" s="136" t="s">
        <v>10831</v>
      </c>
      <c r="D986" s="132" t="s">
        <v>3420</v>
      </c>
      <c r="E986" s="136" t="s">
        <v>3714</v>
      </c>
      <c r="F986" s="136" t="s">
        <v>3714</v>
      </c>
      <c r="G986" s="137">
        <v>1395426989001</v>
      </c>
      <c r="H986" s="138" t="s">
        <v>6300</v>
      </c>
      <c r="I986" s="136">
        <v>951500256</v>
      </c>
      <c r="J986" s="131" t="s">
        <v>3676</v>
      </c>
      <c r="K986" s="139">
        <v>287410</v>
      </c>
    </row>
    <row r="987" spans="1:11">
      <c r="A987" s="1" t="str">
        <f t="shared" si="15"/>
        <v>50100-752684495-951500160497750</v>
      </c>
      <c r="B987" s="136" t="s">
        <v>3309</v>
      </c>
      <c r="C987" s="136" t="s">
        <v>10891</v>
      </c>
      <c r="D987" s="132" t="s">
        <v>3420</v>
      </c>
      <c r="E987" s="136" t="s">
        <v>3278</v>
      </c>
      <c r="F987" s="136" t="s">
        <v>3278</v>
      </c>
      <c r="G987" s="137">
        <v>1395401420001</v>
      </c>
      <c r="H987" s="138" t="s">
        <v>6298</v>
      </c>
      <c r="I987" s="136">
        <v>951500160</v>
      </c>
      <c r="J987" s="131" t="s">
        <v>3348</v>
      </c>
      <c r="K987" s="139">
        <v>497750</v>
      </c>
    </row>
    <row r="988" spans="1:11">
      <c r="A988" s="1" t="str">
        <f t="shared" si="15"/>
        <v>15100-25910994-941500773196300</v>
      </c>
      <c r="B988" s="136" t="s">
        <v>10832</v>
      </c>
      <c r="C988" s="136" t="s">
        <v>10833</v>
      </c>
      <c r="D988" s="132" t="s">
        <v>3420</v>
      </c>
      <c r="E988" s="136" t="s">
        <v>2753</v>
      </c>
      <c r="F988" s="136" t="s">
        <v>2753</v>
      </c>
      <c r="G988" s="137">
        <v>1394394178001</v>
      </c>
      <c r="H988" s="138" t="s">
        <v>6298</v>
      </c>
      <c r="I988" s="136">
        <v>941500773</v>
      </c>
      <c r="J988" s="131" t="s">
        <v>2760</v>
      </c>
      <c r="K988" s="139">
        <v>196300</v>
      </c>
    </row>
    <row r="989" spans="1:11">
      <c r="A989" s="1" t="str">
        <f t="shared" si="15"/>
        <v>15100-28130894-94150083599440</v>
      </c>
      <c r="B989" s="136" t="s">
        <v>10892</v>
      </c>
      <c r="C989" s="136" t="s">
        <v>10893</v>
      </c>
      <c r="D989" s="132" t="s">
        <v>3420</v>
      </c>
      <c r="E989" s="136" t="s">
        <v>3207</v>
      </c>
      <c r="F989" s="136" t="s">
        <v>3207</v>
      </c>
      <c r="G989" s="137">
        <v>1394395844001</v>
      </c>
      <c r="H989" s="138" t="s">
        <v>6298</v>
      </c>
      <c r="I989" s="136">
        <v>941500835</v>
      </c>
      <c r="J989" s="131" t="s">
        <v>2876</v>
      </c>
      <c r="K989" s="139">
        <v>99440</v>
      </c>
    </row>
    <row r="990" spans="1:11">
      <c r="A990" s="1" t="str">
        <f t="shared" si="15"/>
        <v>15100-27433794-94150083574650</v>
      </c>
      <c r="B990" s="136" t="s">
        <v>10834</v>
      </c>
      <c r="C990" s="136" t="s">
        <v>10835</v>
      </c>
      <c r="D990" s="132" t="s">
        <v>3420</v>
      </c>
      <c r="E990" s="136" t="s">
        <v>3046</v>
      </c>
      <c r="F990" s="136" t="s">
        <v>3046</v>
      </c>
      <c r="G990" s="137">
        <v>1394395844001</v>
      </c>
      <c r="H990" s="138" t="s">
        <v>6298</v>
      </c>
      <c r="I990" s="136">
        <v>941500835</v>
      </c>
      <c r="J990" s="131" t="s">
        <v>2876</v>
      </c>
      <c r="K990" s="139">
        <v>74650</v>
      </c>
    </row>
    <row r="991" spans="1:11">
      <c r="A991" s="1" t="str">
        <f t="shared" si="15"/>
        <v>15100-33356695-95150027911598</v>
      </c>
      <c r="B991" s="136" t="s">
        <v>3802</v>
      </c>
      <c r="C991" s="136" t="s">
        <v>10876</v>
      </c>
      <c r="D991" s="132" t="s">
        <v>3420</v>
      </c>
      <c r="E991" s="136" t="s">
        <v>3722</v>
      </c>
      <c r="F991" s="136" t="s">
        <v>3722</v>
      </c>
      <c r="G991" s="137">
        <v>1395436005001</v>
      </c>
      <c r="H991" s="138" t="s">
        <v>6298</v>
      </c>
      <c r="I991" s="136">
        <v>951500279</v>
      </c>
      <c r="J991" s="131" t="s">
        <v>3657</v>
      </c>
      <c r="K991" s="139">
        <v>11598</v>
      </c>
    </row>
    <row r="992" spans="1:11">
      <c r="A992" s="1" t="str">
        <f t="shared" si="15"/>
        <v>15100-33832695-95150034746480</v>
      </c>
      <c r="B992" s="136" t="s">
        <v>3803</v>
      </c>
      <c r="C992" s="136" t="s">
        <v>10894</v>
      </c>
      <c r="D992" s="132" t="s">
        <v>3420</v>
      </c>
      <c r="E992" s="136" t="s">
        <v>3721</v>
      </c>
      <c r="F992" s="136" t="s">
        <v>3721</v>
      </c>
      <c r="G992" s="137">
        <v>1395437982001</v>
      </c>
      <c r="H992" s="138" t="s">
        <v>6300</v>
      </c>
      <c r="I992" s="136">
        <v>951500347</v>
      </c>
      <c r="J992" s="131" t="s">
        <v>3846</v>
      </c>
      <c r="K992" s="139">
        <v>46480</v>
      </c>
    </row>
    <row r="993" spans="1:11">
      <c r="A993" s="1" t="str">
        <f t="shared" si="15"/>
        <v>15100-33838195-95150034725080</v>
      </c>
      <c r="B993" s="136" t="s">
        <v>3804</v>
      </c>
      <c r="C993" s="136" t="s">
        <v>10895</v>
      </c>
      <c r="D993" s="132" t="s">
        <v>3420</v>
      </c>
      <c r="E993" s="136" t="s">
        <v>3721</v>
      </c>
      <c r="F993" s="136" t="s">
        <v>3721</v>
      </c>
      <c r="G993" s="137">
        <v>1395437982001</v>
      </c>
      <c r="H993" s="138" t="s">
        <v>6300</v>
      </c>
      <c r="I993" s="136">
        <v>951500347</v>
      </c>
      <c r="J993" s="131" t="s">
        <v>3846</v>
      </c>
      <c r="K993" s="139">
        <v>25080</v>
      </c>
    </row>
    <row r="994" spans="1:11">
      <c r="A994" s="1" t="str">
        <f t="shared" si="15"/>
        <v>15100-26614394-94150078544640</v>
      </c>
      <c r="B994" s="136" t="s">
        <v>10896</v>
      </c>
      <c r="C994" s="136" t="s">
        <v>10897</v>
      </c>
      <c r="D994" s="132" t="s">
        <v>3420</v>
      </c>
      <c r="E994" s="136" t="s">
        <v>2864</v>
      </c>
      <c r="F994" s="136" t="s">
        <v>2864</v>
      </c>
      <c r="G994" s="137">
        <v>1394394802001</v>
      </c>
      <c r="H994" s="138" t="s">
        <v>6298</v>
      </c>
      <c r="I994" s="136">
        <v>941500785</v>
      </c>
      <c r="J994" s="131" t="s">
        <v>2879</v>
      </c>
      <c r="K994" s="139">
        <v>44640</v>
      </c>
    </row>
    <row r="995" spans="1:11">
      <c r="A995" s="1" t="str">
        <f t="shared" si="15"/>
        <v>15100-34229395-951500320100000</v>
      </c>
      <c r="B995" s="136" t="s">
        <v>3781</v>
      </c>
      <c r="C995" s="136" t="s">
        <v>10871</v>
      </c>
      <c r="D995" s="132" t="s">
        <v>3420</v>
      </c>
      <c r="E995" s="136" t="s">
        <v>3824</v>
      </c>
      <c r="F995" s="136" t="s">
        <v>3824</v>
      </c>
      <c r="G995" s="137">
        <v>1395438159001</v>
      </c>
      <c r="H995" s="138" t="s">
        <v>6298</v>
      </c>
      <c r="I995" s="136">
        <v>951500320</v>
      </c>
      <c r="J995" s="131" t="s">
        <v>3848</v>
      </c>
      <c r="K995" s="139">
        <v>100000</v>
      </c>
    </row>
    <row r="996" spans="1:11">
      <c r="A996" s="1" t="str">
        <f t="shared" si="15"/>
        <v>15100-34229395-95150035665520</v>
      </c>
      <c r="B996" s="136" t="s">
        <v>3781</v>
      </c>
      <c r="C996" s="136" t="s">
        <v>10871</v>
      </c>
      <c r="D996" s="132" t="s">
        <v>3420</v>
      </c>
      <c r="E996" s="136" t="s">
        <v>3824</v>
      </c>
      <c r="F996" s="136" t="s">
        <v>3824</v>
      </c>
      <c r="G996" s="137">
        <v>1395437985001</v>
      </c>
      <c r="H996" s="138" t="s">
        <v>6298</v>
      </c>
      <c r="I996" s="136">
        <v>951500356</v>
      </c>
      <c r="J996" s="131" t="s">
        <v>3849</v>
      </c>
      <c r="K996" s="139">
        <v>65520</v>
      </c>
    </row>
    <row r="997" spans="1:11">
      <c r="A997" s="1" t="str">
        <f t="shared" si="15"/>
        <v>15100-28375994-941500835172900</v>
      </c>
      <c r="B997" s="136" t="s">
        <v>10898</v>
      </c>
      <c r="C997" s="136" t="s">
        <v>10899</v>
      </c>
      <c r="D997" s="132" t="s">
        <v>3420</v>
      </c>
      <c r="E997" s="136" t="s">
        <v>3167</v>
      </c>
      <c r="F997" s="136" t="s">
        <v>3167</v>
      </c>
      <c r="G997" s="137">
        <v>1394395844001</v>
      </c>
      <c r="H997" s="138" t="s">
        <v>6298</v>
      </c>
      <c r="I997" s="136">
        <v>941500835</v>
      </c>
      <c r="J997" s="131" t="s">
        <v>2876</v>
      </c>
      <c r="K997" s="139">
        <v>172900</v>
      </c>
    </row>
    <row r="998" spans="1:11">
      <c r="A998" s="1" t="str">
        <f t="shared" si="15"/>
        <v>50100-717798895-951500014159138</v>
      </c>
      <c r="B998" s="136" t="s">
        <v>2690</v>
      </c>
      <c r="C998" s="136" t="s">
        <v>10900</v>
      </c>
      <c r="D998" s="132" t="s">
        <v>3420</v>
      </c>
      <c r="E998" s="136" t="s">
        <v>2749</v>
      </c>
      <c r="F998" s="136" t="s">
        <v>2749</v>
      </c>
      <c r="G998" s="137">
        <v>1394394801001</v>
      </c>
      <c r="H998" s="138" t="s">
        <v>10183</v>
      </c>
      <c r="I998" s="136">
        <v>951500014</v>
      </c>
      <c r="J998" s="131" t="s">
        <v>2650</v>
      </c>
      <c r="K998" s="139">
        <v>159138</v>
      </c>
    </row>
    <row r="999" spans="1:11">
      <c r="A999" s="1" t="str">
        <f t="shared" si="15"/>
        <v>756700495-951500121203880</v>
      </c>
      <c r="B999" s="136" t="s">
        <v>10558</v>
      </c>
      <c r="C999" s="136" t="s">
        <v>10558</v>
      </c>
      <c r="D999" s="132" t="s">
        <v>3420</v>
      </c>
      <c r="E999" s="136" t="s">
        <v>3323</v>
      </c>
      <c r="F999" s="136" t="s">
        <v>3323</v>
      </c>
      <c r="G999" s="137">
        <v>1395397985001</v>
      </c>
      <c r="H999" s="138" t="s">
        <v>6298</v>
      </c>
      <c r="I999" s="136">
        <v>951500121</v>
      </c>
      <c r="J999" s="131" t="s">
        <v>3257</v>
      </c>
      <c r="K999" s="139">
        <v>203880</v>
      </c>
    </row>
    <row r="1000" spans="1:11">
      <c r="A1000" s="1" t="str">
        <f t="shared" si="15"/>
        <v>50100-820821795-951500185828</v>
      </c>
      <c r="B1000" s="136" t="s">
        <v>4413</v>
      </c>
      <c r="C1000" s="136" t="s">
        <v>10901</v>
      </c>
      <c r="D1000" s="132" t="s">
        <v>3420</v>
      </c>
      <c r="E1000" s="136" t="s">
        <v>4440</v>
      </c>
      <c r="F1000" s="136" t="s">
        <v>4440</v>
      </c>
      <c r="G1000" s="137">
        <v>1395397987001</v>
      </c>
      <c r="H1000" s="138" t="s">
        <v>10183</v>
      </c>
      <c r="I1000" s="136">
        <v>951500185</v>
      </c>
      <c r="J1000" s="131" t="s">
        <v>3184</v>
      </c>
      <c r="K1000" s="139">
        <v>828</v>
      </c>
    </row>
    <row r="1001" spans="1:11">
      <c r="A1001" s="1" t="str">
        <f t="shared" si="15"/>
        <v>50100-843594195-9515005081004850</v>
      </c>
      <c r="B1001" s="136" t="s">
        <v>4817</v>
      </c>
      <c r="C1001" s="136" t="s">
        <v>10902</v>
      </c>
      <c r="D1001" s="132" t="s">
        <v>3420</v>
      </c>
      <c r="E1001" s="136" t="s">
        <v>4872</v>
      </c>
      <c r="F1001" s="141" t="s">
        <v>4872</v>
      </c>
      <c r="G1001" s="137">
        <v>1395451402001</v>
      </c>
      <c r="H1001" s="140" t="s">
        <v>9897</v>
      </c>
      <c r="I1001" s="141">
        <v>951500508</v>
      </c>
      <c r="J1001" s="131" t="s">
        <v>4900</v>
      </c>
      <c r="K1001" s="139">
        <v>1004850</v>
      </c>
    </row>
    <row r="1002" spans="1:11">
      <c r="A1002" s="1" t="str">
        <f t="shared" si="15"/>
        <v>15100-25875394-94150083276590</v>
      </c>
      <c r="B1002" s="136" t="s">
        <v>10903</v>
      </c>
      <c r="C1002" s="136" t="s">
        <v>10904</v>
      </c>
      <c r="D1002" s="132" t="s">
        <v>3420</v>
      </c>
      <c r="E1002" s="136" t="s">
        <v>2752</v>
      </c>
      <c r="F1002" s="136" t="s">
        <v>2752</v>
      </c>
      <c r="G1002" s="137">
        <v>1394395844001</v>
      </c>
      <c r="H1002" s="138" t="s">
        <v>6298</v>
      </c>
      <c r="I1002" s="136">
        <v>941500832</v>
      </c>
      <c r="J1002" s="131" t="s">
        <v>2764</v>
      </c>
      <c r="K1002" s="139">
        <v>76590</v>
      </c>
    </row>
    <row r="1003" spans="1:11">
      <c r="A1003" s="1" t="str">
        <f t="shared" si="15"/>
        <v>15100-27321794-94150080647740</v>
      </c>
      <c r="B1003" s="136" t="s">
        <v>10905</v>
      </c>
      <c r="C1003" s="136" t="s">
        <v>10906</v>
      </c>
      <c r="D1003" s="132" t="s">
        <v>3420</v>
      </c>
      <c r="E1003" s="136" t="s">
        <v>3040</v>
      </c>
      <c r="F1003" s="136" t="s">
        <v>3040</v>
      </c>
      <c r="G1003" s="137">
        <v>1394394802001</v>
      </c>
      <c r="H1003" s="138" t="s">
        <v>6298</v>
      </c>
      <c r="I1003" s="136">
        <v>941500806</v>
      </c>
      <c r="J1003" s="131" t="s">
        <v>2887</v>
      </c>
      <c r="K1003" s="139">
        <v>47740</v>
      </c>
    </row>
    <row r="1004" spans="1:11">
      <c r="A1004" s="1" t="str">
        <f t="shared" si="15"/>
        <v>15100-27149194-94150080675710</v>
      </c>
      <c r="B1004" s="136" t="s">
        <v>10907</v>
      </c>
      <c r="C1004" s="136" t="s">
        <v>10908</v>
      </c>
      <c r="D1004" s="132" t="s">
        <v>3420</v>
      </c>
      <c r="E1004" s="136" t="s">
        <v>2865</v>
      </c>
      <c r="F1004" s="136" t="s">
        <v>2865</v>
      </c>
      <c r="G1004" s="137">
        <v>1394394802001</v>
      </c>
      <c r="H1004" s="138" t="s">
        <v>6298</v>
      </c>
      <c r="I1004" s="136">
        <v>941500806</v>
      </c>
      <c r="J1004" s="131" t="s">
        <v>2887</v>
      </c>
      <c r="K1004" s="139">
        <v>75710</v>
      </c>
    </row>
    <row r="1005" spans="1:11">
      <c r="A1005" s="1" t="str">
        <f t="shared" si="15"/>
        <v>15100-32037695-95150005891300</v>
      </c>
      <c r="B1005" s="136" t="s">
        <v>3530</v>
      </c>
      <c r="C1005" s="136" t="s">
        <v>10909</v>
      </c>
      <c r="D1005" s="132" t="s">
        <v>3420</v>
      </c>
      <c r="E1005" s="136" t="s">
        <v>3506</v>
      </c>
      <c r="F1005" s="136" t="s">
        <v>3506</v>
      </c>
      <c r="G1005" s="137">
        <v>1394395845001</v>
      </c>
      <c r="H1005" s="138" t="s">
        <v>6453</v>
      </c>
      <c r="I1005" s="136">
        <v>951500058</v>
      </c>
      <c r="J1005" s="131" t="s">
        <v>3382</v>
      </c>
      <c r="K1005" s="139">
        <v>91300</v>
      </c>
    </row>
    <row r="1006" spans="1:11">
      <c r="A1006" s="1" t="str">
        <f t="shared" si="15"/>
        <v>15100-32420595-95150005876600</v>
      </c>
      <c r="B1006" s="136" t="s">
        <v>3549</v>
      </c>
      <c r="C1006" s="136" t="s">
        <v>10910</v>
      </c>
      <c r="D1006" s="132" t="s">
        <v>3420</v>
      </c>
      <c r="E1006" s="136" t="s">
        <v>3556</v>
      </c>
      <c r="F1006" s="136" t="s">
        <v>3556</v>
      </c>
      <c r="G1006" s="137">
        <v>1394395845001</v>
      </c>
      <c r="H1006" s="138" t="s">
        <v>6453</v>
      </c>
      <c r="I1006" s="136">
        <v>951500058</v>
      </c>
      <c r="J1006" s="131" t="s">
        <v>3382</v>
      </c>
      <c r="K1006" s="139">
        <v>76600</v>
      </c>
    </row>
    <row r="1007" spans="1:11">
      <c r="A1007" s="1" t="str">
        <f t="shared" si="15"/>
        <v>15100-35903095-951500496210460</v>
      </c>
      <c r="B1007" s="136" t="s">
        <v>4315</v>
      </c>
      <c r="C1007" s="136" t="s">
        <v>10911</v>
      </c>
      <c r="D1007" s="132" t="s">
        <v>3420</v>
      </c>
      <c r="E1007" s="136" t="s">
        <v>3967</v>
      </c>
      <c r="F1007" s="136" t="s">
        <v>3967</v>
      </c>
      <c r="G1007" s="137">
        <v>1395449236001</v>
      </c>
      <c r="H1007" s="138" t="s">
        <v>6298</v>
      </c>
      <c r="I1007" s="136">
        <v>951500496</v>
      </c>
      <c r="J1007" s="131" t="s">
        <v>4350</v>
      </c>
      <c r="K1007" s="139">
        <v>210460</v>
      </c>
    </row>
    <row r="1008" spans="1:11">
      <c r="A1008" s="1" t="str">
        <f t="shared" si="15"/>
        <v>15100-35901895-95150042646860</v>
      </c>
      <c r="B1008" s="136" t="s">
        <v>4316</v>
      </c>
      <c r="C1008" s="136" t="s">
        <v>10912</v>
      </c>
      <c r="D1008" s="132" t="s">
        <v>3420</v>
      </c>
      <c r="E1008" s="136" t="s">
        <v>3967</v>
      </c>
      <c r="F1008" s="136" t="s">
        <v>3967</v>
      </c>
      <c r="G1008" s="137">
        <v>1395447925001</v>
      </c>
      <c r="H1008" s="138" t="s">
        <v>6298</v>
      </c>
      <c r="I1008" s="136">
        <v>951500426</v>
      </c>
      <c r="J1008" s="131" t="s">
        <v>4280</v>
      </c>
      <c r="K1008" s="139">
        <v>46860</v>
      </c>
    </row>
    <row r="1009" spans="1:11">
      <c r="A1009" s="1" t="str">
        <f t="shared" si="15"/>
        <v>15100-37851995-951500573160220</v>
      </c>
      <c r="B1009" s="136" t="s">
        <v>4653</v>
      </c>
      <c r="C1009" s="136" t="s">
        <v>10913</v>
      </c>
      <c r="D1009" s="132" t="s">
        <v>3420</v>
      </c>
      <c r="E1009" s="136" t="s">
        <v>4666</v>
      </c>
      <c r="F1009" s="136" t="s">
        <v>4666</v>
      </c>
      <c r="G1009" s="137">
        <v>1395452681001</v>
      </c>
      <c r="H1009" s="138" t="s">
        <v>6300</v>
      </c>
      <c r="I1009" s="136">
        <v>951500573</v>
      </c>
      <c r="J1009" s="131" t="s">
        <v>4700</v>
      </c>
      <c r="K1009" s="139">
        <v>160220</v>
      </c>
    </row>
    <row r="1010" spans="1:11">
      <c r="A1010" s="1" t="str">
        <f t="shared" si="15"/>
        <v>15100-28751194-94150081210855</v>
      </c>
      <c r="B1010" s="136" t="s">
        <v>3266</v>
      </c>
      <c r="C1010" s="136" t="s">
        <v>10877</v>
      </c>
      <c r="D1010" s="132" t="s">
        <v>3420</v>
      </c>
      <c r="E1010" s="136" t="s">
        <v>3260</v>
      </c>
      <c r="F1010" s="136" t="s">
        <v>3260</v>
      </c>
      <c r="G1010" s="137">
        <v>1394394802001</v>
      </c>
      <c r="H1010" s="138" t="s">
        <v>6298</v>
      </c>
      <c r="I1010" s="136">
        <v>941500812</v>
      </c>
      <c r="J1010" s="131" t="s">
        <v>3211</v>
      </c>
      <c r="K1010" s="139">
        <v>10855</v>
      </c>
    </row>
    <row r="1011" spans="1:11">
      <c r="A1011" s="1" t="str">
        <f t="shared" si="15"/>
        <v>15100-32617095-95150010450590</v>
      </c>
      <c r="B1011" s="136" t="s">
        <v>3628</v>
      </c>
      <c r="C1011" s="136" t="s">
        <v>10914</v>
      </c>
      <c r="D1011" s="132" t="s">
        <v>3420</v>
      </c>
      <c r="E1011" s="136" t="s">
        <v>3670</v>
      </c>
      <c r="F1011" s="136" t="s">
        <v>3670</v>
      </c>
      <c r="G1011" s="137">
        <v>1395397985001</v>
      </c>
      <c r="H1011" s="138" t="s">
        <v>6298</v>
      </c>
      <c r="I1011" s="136">
        <v>951500104</v>
      </c>
      <c r="J1011" s="131" t="s">
        <v>3466</v>
      </c>
      <c r="K1011" s="139">
        <v>50590</v>
      </c>
    </row>
    <row r="1012" spans="1:11">
      <c r="A1012" s="1" t="str">
        <f t="shared" si="15"/>
        <v>15100-27432594-9415007710</v>
      </c>
      <c r="B1012" s="136" t="s">
        <v>2904</v>
      </c>
      <c r="C1012" s="136" t="s">
        <v>10878</v>
      </c>
      <c r="D1012" s="132" t="s">
        <v>3420</v>
      </c>
      <c r="E1012" s="136" t="s">
        <v>3046</v>
      </c>
      <c r="F1012" s="136" t="s">
        <v>3046</v>
      </c>
      <c r="G1012" s="137">
        <v>1394394178001</v>
      </c>
      <c r="H1012" s="138" t="s">
        <v>6298</v>
      </c>
      <c r="I1012" s="136">
        <v>941500771</v>
      </c>
      <c r="J1012" s="131" t="s">
        <v>2885</v>
      </c>
      <c r="K1012" s="139">
        <v>0</v>
      </c>
    </row>
    <row r="1013" spans="1:11">
      <c r="A1013" s="1" t="str">
        <f t="shared" si="15"/>
        <v>15100-33862095-95150032622220</v>
      </c>
      <c r="B1013" s="136" t="s">
        <v>3793</v>
      </c>
      <c r="C1013" s="136" t="s">
        <v>10881</v>
      </c>
      <c r="D1013" s="132" t="s">
        <v>3420</v>
      </c>
      <c r="E1013" s="136" t="s">
        <v>3830</v>
      </c>
      <c r="F1013" s="136" t="s">
        <v>3830</v>
      </c>
      <c r="G1013" s="137">
        <v>1395437983001</v>
      </c>
      <c r="H1013" s="138" t="s">
        <v>6299</v>
      </c>
      <c r="I1013" s="136">
        <v>951500326</v>
      </c>
      <c r="J1013" s="131" t="s">
        <v>3852</v>
      </c>
      <c r="K1013" s="139">
        <v>22220</v>
      </c>
    </row>
    <row r="1014" spans="1:11">
      <c r="A1014" s="1" t="str">
        <f t="shared" si="15"/>
        <v>15100-26691494-941500771159020</v>
      </c>
      <c r="B1014" s="136" t="s">
        <v>10915</v>
      </c>
      <c r="C1014" s="136" t="s">
        <v>10916</v>
      </c>
      <c r="D1014" s="132" t="s">
        <v>3420</v>
      </c>
      <c r="E1014" s="136" t="s">
        <v>2856</v>
      </c>
      <c r="F1014" s="136" t="s">
        <v>2856</v>
      </c>
      <c r="G1014" s="137">
        <v>1394394178001</v>
      </c>
      <c r="H1014" s="138" t="s">
        <v>6298</v>
      </c>
      <c r="I1014" s="136">
        <v>941500771</v>
      </c>
      <c r="J1014" s="131" t="s">
        <v>2885</v>
      </c>
      <c r="K1014" s="139">
        <v>159020</v>
      </c>
    </row>
    <row r="1015" spans="1:11">
      <c r="A1015" s="1" t="str">
        <f t="shared" si="15"/>
        <v>15100-35903095-951500513264400</v>
      </c>
      <c r="B1015" s="136" t="s">
        <v>4315</v>
      </c>
      <c r="C1015" s="136" t="s">
        <v>10911</v>
      </c>
      <c r="D1015" s="132" t="s">
        <v>3420</v>
      </c>
      <c r="E1015" s="136" t="s">
        <v>3967</v>
      </c>
      <c r="F1015" s="136" t="s">
        <v>3967</v>
      </c>
      <c r="G1015" s="137">
        <v>1395449237001</v>
      </c>
      <c r="H1015" s="138" t="s">
        <v>6299</v>
      </c>
      <c r="I1015" s="136">
        <v>951500513</v>
      </c>
      <c r="J1015" s="131" t="s">
        <v>4298</v>
      </c>
      <c r="K1015" s="139">
        <v>264400</v>
      </c>
    </row>
    <row r="1016" spans="1:11">
      <c r="A1016" s="1" t="str">
        <f t="shared" si="15"/>
        <v>15100-34264495-951500363186340</v>
      </c>
      <c r="B1016" s="136" t="s">
        <v>3774</v>
      </c>
      <c r="C1016" s="136" t="s">
        <v>10917</v>
      </c>
      <c r="D1016" s="132" t="s">
        <v>3420</v>
      </c>
      <c r="E1016" s="136" t="s">
        <v>3821</v>
      </c>
      <c r="F1016" s="136" t="s">
        <v>3821</v>
      </c>
      <c r="G1016" s="137">
        <v>1395437982001</v>
      </c>
      <c r="H1016" s="138" t="s">
        <v>6300</v>
      </c>
      <c r="I1016" s="136">
        <v>951500363</v>
      </c>
      <c r="J1016" s="131" t="s">
        <v>3837</v>
      </c>
      <c r="K1016" s="139">
        <v>186340</v>
      </c>
    </row>
    <row r="1017" spans="1:11">
      <c r="A1017" s="1" t="str">
        <f t="shared" si="15"/>
        <v>15100-37793095-95150055773750</v>
      </c>
      <c r="B1017" s="136" t="s">
        <v>4643</v>
      </c>
      <c r="C1017" s="136" t="s">
        <v>10918</v>
      </c>
      <c r="D1017" s="132" t="s">
        <v>3420</v>
      </c>
      <c r="E1017" s="136" t="s">
        <v>4660</v>
      </c>
      <c r="F1017" s="136" t="s">
        <v>4660</v>
      </c>
      <c r="G1017" s="137">
        <v>1395453118001</v>
      </c>
      <c r="H1017" s="138" t="s">
        <v>10802</v>
      </c>
      <c r="I1017" s="136">
        <v>951500557</v>
      </c>
      <c r="J1017" s="131" t="s">
        <v>4578</v>
      </c>
      <c r="K1017" s="139">
        <v>73750</v>
      </c>
    </row>
    <row r="1018" spans="1:11">
      <c r="A1018" s="1" t="str">
        <f t="shared" si="15"/>
        <v>15100-33045695-951500258190880</v>
      </c>
      <c r="B1018" s="136" t="s">
        <v>3629</v>
      </c>
      <c r="C1018" s="136" t="s">
        <v>10919</v>
      </c>
      <c r="D1018" s="132" t="s">
        <v>3420</v>
      </c>
      <c r="E1018" s="136" t="s">
        <v>3661</v>
      </c>
      <c r="F1018" s="136" t="s">
        <v>3661</v>
      </c>
      <c r="G1018" s="137">
        <v>1395435639001</v>
      </c>
      <c r="H1018" s="138" t="s">
        <v>6299</v>
      </c>
      <c r="I1018" s="136">
        <v>951500258</v>
      </c>
      <c r="J1018" s="131" t="s">
        <v>3645</v>
      </c>
      <c r="K1018" s="139">
        <v>190880</v>
      </c>
    </row>
    <row r="1019" spans="1:11">
      <c r="A1019" s="1" t="str">
        <f t="shared" si="15"/>
        <v>15100-33249195-95150026474645</v>
      </c>
      <c r="B1019" s="136" t="s">
        <v>3630</v>
      </c>
      <c r="C1019" s="136" t="s">
        <v>10920</v>
      </c>
      <c r="D1019" s="132" t="s">
        <v>3420</v>
      </c>
      <c r="E1019" s="136" t="s">
        <v>3966</v>
      </c>
      <c r="F1019" s="136" t="s">
        <v>3966</v>
      </c>
      <c r="G1019" s="137">
        <v>1395434889001</v>
      </c>
      <c r="H1019" s="138" t="s">
        <v>6298</v>
      </c>
      <c r="I1019" s="136">
        <v>951500264</v>
      </c>
      <c r="J1019" s="131" t="s">
        <v>3651</v>
      </c>
      <c r="K1019" s="139">
        <v>74645</v>
      </c>
    </row>
    <row r="1020" spans="1:11">
      <c r="A1020" s="1" t="str">
        <f t="shared" si="15"/>
        <v>15100-38574595-95150057841020</v>
      </c>
      <c r="B1020" s="136" t="s">
        <v>4746</v>
      </c>
      <c r="C1020" s="136" t="s">
        <v>10921</v>
      </c>
      <c r="D1020" s="132" t="s">
        <v>3420</v>
      </c>
      <c r="E1020" s="136" t="s">
        <v>4867</v>
      </c>
      <c r="F1020" s="136" t="s">
        <v>4867</v>
      </c>
      <c r="G1020" s="137">
        <v>1395455038001</v>
      </c>
      <c r="H1020" s="138" t="s">
        <v>6298</v>
      </c>
      <c r="I1020" s="136">
        <v>951500578</v>
      </c>
      <c r="J1020" s="131" t="s">
        <v>4891</v>
      </c>
      <c r="K1020" s="139">
        <v>41020</v>
      </c>
    </row>
    <row r="1021" spans="1:11">
      <c r="A1021" s="1" t="str">
        <f t="shared" si="15"/>
        <v>15100-36295595-951500470142680</v>
      </c>
      <c r="B1021" s="136" t="s">
        <v>4329</v>
      </c>
      <c r="C1021" s="136" t="s">
        <v>10922</v>
      </c>
      <c r="D1021" s="132" t="s">
        <v>3420</v>
      </c>
      <c r="E1021" s="136" t="s">
        <v>4167</v>
      </c>
      <c r="F1021" s="136" t="s">
        <v>4167</v>
      </c>
      <c r="G1021" s="137">
        <v>1395441450001</v>
      </c>
      <c r="H1021" s="138" t="s">
        <v>6300</v>
      </c>
      <c r="I1021" s="136">
        <v>951500470</v>
      </c>
      <c r="J1021" s="131" t="s">
        <v>4356</v>
      </c>
      <c r="K1021" s="139">
        <v>142680</v>
      </c>
    </row>
    <row r="1022" spans="1:11">
      <c r="A1022" s="1" t="str">
        <f t="shared" si="15"/>
        <v>15100-36633895-951500523222200</v>
      </c>
      <c r="B1022" s="136" t="s">
        <v>4393</v>
      </c>
      <c r="C1022" s="136" t="s">
        <v>10923</v>
      </c>
      <c r="D1022" s="132" t="s">
        <v>3420</v>
      </c>
      <c r="E1022" s="136" t="s">
        <v>4443</v>
      </c>
      <c r="F1022" s="136" t="s">
        <v>4443</v>
      </c>
      <c r="G1022" s="137">
        <v>1395449236001</v>
      </c>
      <c r="H1022" s="138" t="s">
        <v>6298</v>
      </c>
      <c r="I1022" s="136">
        <v>951500523</v>
      </c>
      <c r="J1022" s="131" t="s">
        <v>4347</v>
      </c>
      <c r="K1022" s="139">
        <v>222200</v>
      </c>
    </row>
    <row r="1023" spans="1:11">
      <c r="A1023" s="1" t="str">
        <f t="shared" si="15"/>
        <v>15100-35354695-95150039899505</v>
      </c>
      <c r="B1023" s="136" t="s">
        <v>4124</v>
      </c>
      <c r="C1023" s="136" t="s">
        <v>10924</v>
      </c>
      <c r="D1023" s="132" t="s">
        <v>3420</v>
      </c>
      <c r="E1023" s="136" t="s">
        <v>4186</v>
      </c>
      <c r="F1023" s="136" t="s">
        <v>4186</v>
      </c>
      <c r="G1023" s="137">
        <v>1395438160001</v>
      </c>
      <c r="H1023" s="138" t="s">
        <v>6300</v>
      </c>
      <c r="I1023" s="136">
        <v>951500398</v>
      </c>
      <c r="J1023" s="131" t="s">
        <v>4305</v>
      </c>
      <c r="K1023" s="139">
        <v>99505</v>
      </c>
    </row>
    <row r="1024" spans="1:11">
      <c r="A1024" s="1" t="str">
        <f t="shared" si="15"/>
        <v>756700495-95150010630480</v>
      </c>
      <c r="B1024" s="136" t="s">
        <v>10558</v>
      </c>
      <c r="C1024" s="136" t="s">
        <v>10558</v>
      </c>
      <c r="D1024" s="132" t="s">
        <v>3420</v>
      </c>
      <c r="E1024" s="136" t="s">
        <v>3323</v>
      </c>
      <c r="F1024" s="136" t="s">
        <v>3323</v>
      </c>
      <c r="G1024" s="137">
        <v>1395397990001</v>
      </c>
      <c r="H1024" s="138" t="s">
        <v>6456</v>
      </c>
      <c r="I1024" s="136">
        <v>951500106</v>
      </c>
      <c r="J1024" s="131" t="s">
        <v>3131</v>
      </c>
      <c r="K1024" s="139">
        <v>30480</v>
      </c>
    </row>
    <row r="1025" spans="1:11">
      <c r="A1025" s="1" t="str">
        <f t="shared" si="15"/>
        <v>50100-820821795-95150020717337</v>
      </c>
      <c r="B1025" s="136" t="s">
        <v>4413</v>
      </c>
      <c r="C1025" s="136" t="s">
        <v>10901</v>
      </c>
      <c r="D1025" s="132" t="s">
        <v>3420</v>
      </c>
      <c r="E1025" s="136" t="s">
        <v>4440</v>
      </c>
      <c r="F1025" s="136" t="s">
        <v>4440</v>
      </c>
      <c r="G1025" s="137">
        <v>1395397987001</v>
      </c>
      <c r="H1025" s="138" t="s">
        <v>10183</v>
      </c>
      <c r="I1025" s="136">
        <v>951500207</v>
      </c>
      <c r="J1025" s="131" t="s">
        <v>3407</v>
      </c>
      <c r="K1025" s="139">
        <v>17337</v>
      </c>
    </row>
    <row r="1026" spans="1:11">
      <c r="A1026" s="1" t="str">
        <f t="shared" si="15"/>
        <v>50100-714621594-9415007511000000</v>
      </c>
      <c r="B1026" s="136" t="s">
        <v>10925</v>
      </c>
      <c r="C1026" s="136" t="s">
        <v>10926</v>
      </c>
      <c r="D1026" s="132" t="s">
        <v>3420</v>
      </c>
      <c r="E1026" s="136" t="s">
        <v>10587</v>
      </c>
      <c r="F1026" s="136" t="s">
        <v>10587</v>
      </c>
      <c r="G1026" s="137">
        <v>1394394178001</v>
      </c>
      <c r="H1026" s="138" t="s">
        <v>6298</v>
      </c>
      <c r="I1026" s="136">
        <v>941500751</v>
      </c>
      <c r="J1026" s="131" t="s">
        <v>2632</v>
      </c>
      <c r="K1026" s="139">
        <v>1000000</v>
      </c>
    </row>
    <row r="1027" spans="1:11">
      <c r="A1027" s="1" t="str">
        <f t="shared" ref="A1027:A1090" si="16">B1027&amp;J1027&amp;K1027</f>
        <v>50100-831204595-951500311498620</v>
      </c>
      <c r="B1027" s="136" t="s">
        <v>4633</v>
      </c>
      <c r="C1027" s="136" t="s">
        <v>10927</v>
      </c>
      <c r="D1027" s="132" t="s">
        <v>3420</v>
      </c>
      <c r="E1027" s="136" t="s">
        <v>4661</v>
      </c>
      <c r="F1027" s="136" t="s">
        <v>4661</v>
      </c>
      <c r="G1027" s="137">
        <v>1395435642001</v>
      </c>
      <c r="H1027" s="138" t="s">
        <v>10206</v>
      </c>
      <c r="I1027" s="136">
        <v>951500311</v>
      </c>
      <c r="J1027" s="131" t="s">
        <v>4459</v>
      </c>
      <c r="K1027" s="139">
        <v>498620</v>
      </c>
    </row>
    <row r="1028" spans="1:11">
      <c r="A1028" s="1" t="str">
        <f t="shared" si="16"/>
        <v>50100-720791995-951500025123195</v>
      </c>
      <c r="B1028" s="136" t="s">
        <v>2691</v>
      </c>
      <c r="C1028" s="136" t="s">
        <v>10928</v>
      </c>
      <c r="D1028" s="132" t="s">
        <v>3420</v>
      </c>
      <c r="E1028" s="136" t="s">
        <v>2755</v>
      </c>
      <c r="F1028" s="136" t="s">
        <v>2755</v>
      </c>
      <c r="G1028" s="137">
        <v>1394395845001</v>
      </c>
      <c r="H1028" s="138" t="s">
        <v>6453</v>
      </c>
      <c r="I1028" s="136">
        <v>951500025</v>
      </c>
      <c r="J1028" s="131" t="s">
        <v>2778</v>
      </c>
      <c r="K1028" s="139">
        <v>123195</v>
      </c>
    </row>
    <row r="1029" spans="1:11">
      <c r="A1029" s="1" t="str">
        <f t="shared" si="16"/>
        <v>50100-845722595-95150047863385</v>
      </c>
      <c r="B1029" s="136" t="s">
        <v>4806</v>
      </c>
      <c r="C1029" s="136" t="s">
        <v>10854</v>
      </c>
      <c r="D1029" s="132" t="s">
        <v>3420</v>
      </c>
      <c r="E1029" s="136" t="s">
        <v>4874</v>
      </c>
      <c r="F1029" s="136" t="s">
        <v>4874</v>
      </c>
      <c r="G1029" s="137">
        <v>1395449892001</v>
      </c>
      <c r="H1029" s="138" t="s">
        <v>6454</v>
      </c>
      <c r="I1029" s="136">
        <v>951500478</v>
      </c>
      <c r="J1029" s="131" t="s">
        <v>4691</v>
      </c>
      <c r="K1029" s="139">
        <v>63385</v>
      </c>
    </row>
    <row r="1030" spans="1:11">
      <c r="A1030" s="1" t="str">
        <f t="shared" si="16"/>
        <v>50100-843587595-952500100298371</v>
      </c>
      <c r="B1030" s="136" t="s">
        <v>4816</v>
      </c>
      <c r="C1030" s="136" t="s">
        <v>10929</v>
      </c>
      <c r="D1030" s="132" t="s">
        <v>3420</v>
      </c>
      <c r="E1030" s="136" t="s">
        <v>4872</v>
      </c>
      <c r="F1030" s="136" t="s">
        <v>4872</v>
      </c>
      <c r="G1030" s="137">
        <v>1395447928001</v>
      </c>
      <c r="H1030" s="138" t="s">
        <v>10183</v>
      </c>
      <c r="I1030" s="136">
        <v>952500100</v>
      </c>
      <c r="J1030" s="131" t="s">
        <v>4942</v>
      </c>
      <c r="K1030" s="139">
        <v>298371</v>
      </c>
    </row>
    <row r="1031" spans="1:11">
      <c r="A1031" s="1" t="str">
        <f t="shared" si="16"/>
        <v>50100-752703895-9515001602250</v>
      </c>
      <c r="B1031" s="136" t="s">
        <v>3312</v>
      </c>
      <c r="C1031" s="136" t="s">
        <v>10887</v>
      </c>
      <c r="D1031" s="132" t="s">
        <v>3420</v>
      </c>
      <c r="E1031" s="136" t="s">
        <v>3278</v>
      </c>
      <c r="F1031" s="136" t="s">
        <v>3278</v>
      </c>
      <c r="G1031" s="137">
        <v>1395401420001</v>
      </c>
      <c r="H1031" s="138" t="s">
        <v>6298</v>
      </c>
      <c r="I1031" s="136">
        <v>951500160</v>
      </c>
      <c r="J1031" s="131" t="s">
        <v>3348</v>
      </c>
      <c r="K1031" s="139">
        <v>2250</v>
      </c>
    </row>
    <row r="1032" spans="1:11">
      <c r="A1032" s="1" t="str">
        <f t="shared" si="16"/>
        <v>50100-820821795-9515002599784</v>
      </c>
      <c r="B1032" s="136" t="s">
        <v>4413</v>
      </c>
      <c r="C1032" s="136" t="s">
        <v>10901</v>
      </c>
      <c r="D1032" s="132" t="s">
        <v>3420</v>
      </c>
      <c r="E1032" s="136" t="s">
        <v>4440</v>
      </c>
      <c r="F1032" s="136" t="s">
        <v>4440</v>
      </c>
      <c r="G1032" s="137">
        <v>1395431925001</v>
      </c>
      <c r="H1032" s="138" t="s">
        <v>10183</v>
      </c>
      <c r="I1032" s="136">
        <v>951500259</v>
      </c>
      <c r="J1032" s="131" t="s">
        <v>3730</v>
      </c>
      <c r="K1032" s="139">
        <v>9784</v>
      </c>
    </row>
    <row r="1033" spans="1:11">
      <c r="A1033" s="1" t="str">
        <f t="shared" si="16"/>
        <v>50100-820821795-95250002667094</v>
      </c>
      <c r="B1033" s="136" t="s">
        <v>4413</v>
      </c>
      <c r="C1033" s="136" t="s">
        <v>10901</v>
      </c>
      <c r="D1033" s="132" t="s">
        <v>3420</v>
      </c>
      <c r="E1033" s="136" t="s">
        <v>4440</v>
      </c>
      <c r="F1033" s="136" t="s">
        <v>4440</v>
      </c>
      <c r="G1033" s="137">
        <v>1395397987001</v>
      </c>
      <c r="H1033" s="138" t="s">
        <v>10183</v>
      </c>
      <c r="I1033" s="136">
        <v>952500026</v>
      </c>
      <c r="J1033" s="131" t="s">
        <v>4477</v>
      </c>
      <c r="K1033" s="139">
        <v>67094</v>
      </c>
    </row>
    <row r="1034" spans="1:11">
      <c r="A1034" s="1" t="str">
        <f t="shared" si="16"/>
        <v>50100-720643695-951500060300000</v>
      </c>
      <c r="B1034" s="136" t="s">
        <v>2713</v>
      </c>
      <c r="C1034" s="136" t="s">
        <v>10930</v>
      </c>
      <c r="D1034" s="132" t="s">
        <v>3420</v>
      </c>
      <c r="E1034" s="136" t="s">
        <v>2755</v>
      </c>
      <c r="F1034" s="136" t="s">
        <v>2755</v>
      </c>
      <c r="G1034" s="137">
        <v>1394395847001</v>
      </c>
      <c r="H1034" s="138" t="s">
        <v>10183</v>
      </c>
      <c r="I1034" s="136">
        <v>951500060</v>
      </c>
      <c r="J1034" s="131" t="s">
        <v>2797</v>
      </c>
      <c r="K1034" s="139">
        <v>300000</v>
      </c>
    </row>
    <row r="1035" spans="1:11">
      <c r="A1035" s="1" t="str">
        <f t="shared" si="16"/>
        <v>15100-25875394-941500773125620</v>
      </c>
      <c r="B1035" s="136" t="s">
        <v>10903</v>
      </c>
      <c r="C1035" s="136" t="s">
        <v>10904</v>
      </c>
      <c r="D1035" s="132" t="s">
        <v>3420</v>
      </c>
      <c r="E1035" s="136" t="s">
        <v>2752</v>
      </c>
      <c r="F1035" s="136" t="s">
        <v>2752</v>
      </c>
      <c r="G1035" s="137">
        <v>1394394178001</v>
      </c>
      <c r="H1035" s="138" t="s">
        <v>6298</v>
      </c>
      <c r="I1035" s="136">
        <v>941500773</v>
      </c>
      <c r="J1035" s="131" t="s">
        <v>2760</v>
      </c>
      <c r="K1035" s="139">
        <v>125620</v>
      </c>
    </row>
    <row r="1036" spans="1:11">
      <c r="A1036" s="1" t="str">
        <f t="shared" si="16"/>
        <v>15100-27432594-94150078346850</v>
      </c>
      <c r="B1036" s="136" t="s">
        <v>2904</v>
      </c>
      <c r="C1036" s="136" t="s">
        <v>10878</v>
      </c>
      <c r="D1036" s="132" t="s">
        <v>3420</v>
      </c>
      <c r="E1036" s="136" t="s">
        <v>3046</v>
      </c>
      <c r="F1036" s="136" t="s">
        <v>3046</v>
      </c>
      <c r="G1036" s="137">
        <v>1394394178001</v>
      </c>
      <c r="H1036" s="138" t="s">
        <v>6298</v>
      </c>
      <c r="I1036" s="136">
        <v>941500783</v>
      </c>
      <c r="J1036" s="131" t="s">
        <v>2761</v>
      </c>
      <c r="K1036" s="139">
        <v>46850</v>
      </c>
    </row>
    <row r="1037" spans="1:11">
      <c r="A1037" s="1" t="str">
        <f t="shared" si="16"/>
        <v>15100-33345495-95150027969610</v>
      </c>
      <c r="B1037" s="136" t="s">
        <v>3784</v>
      </c>
      <c r="C1037" s="136" t="s">
        <v>10931</v>
      </c>
      <c r="D1037" s="132" t="s">
        <v>3420</v>
      </c>
      <c r="E1037" s="136" t="s">
        <v>3722</v>
      </c>
      <c r="F1037" s="136" t="s">
        <v>3722</v>
      </c>
      <c r="G1037" s="137">
        <v>1395436005001</v>
      </c>
      <c r="H1037" s="138" t="s">
        <v>6298</v>
      </c>
      <c r="I1037" s="136">
        <v>951500279</v>
      </c>
      <c r="J1037" s="131" t="s">
        <v>3657</v>
      </c>
      <c r="K1037" s="139">
        <v>69610</v>
      </c>
    </row>
    <row r="1038" spans="1:11">
      <c r="A1038" s="1" t="str">
        <f t="shared" si="16"/>
        <v>15100-26151494-941500835268220</v>
      </c>
      <c r="B1038" s="136" t="s">
        <v>10932</v>
      </c>
      <c r="C1038" s="136" t="s">
        <v>10933</v>
      </c>
      <c r="D1038" s="132" t="s">
        <v>3420</v>
      </c>
      <c r="E1038" s="136" t="s">
        <v>2757</v>
      </c>
      <c r="F1038" s="136" t="s">
        <v>2757</v>
      </c>
      <c r="G1038" s="137">
        <v>1394395844001</v>
      </c>
      <c r="H1038" s="138" t="s">
        <v>6298</v>
      </c>
      <c r="I1038" s="136">
        <v>941500835</v>
      </c>
      <c r="J1038" s="131" t="s">
        <v>2876</v>
      </c>
      <c r="K1038" s="139">
        <v>268220</v>
      </c>
    </row>
    <row r="1039" spans="1:11">
      <c r="A1039" s="1" t="str">
        <f t="shared" si="16"/>
        <v>50100-827076395-951500510109465</v>
      </c>
      <c r="B1039" s="136" t="s">
        <v>4537</v>
      </c>
      <c r="C1039" s="136" t="s">
        <v>10412</v>
      </c>
      <c r="D1039" s="132" t="s">
        <v>3420</v>
      </c>
      <c r="E1039" s="136" t="s">
        <v>4576</v>
      </c>
      <c r="F1039" s="136" t="s">
        <v>4576</v>
      </c>
      <c r="G1039" s="137">
        <v>1395451221001</v>
      </c>
      <c r="H1039" s="138" t="s">
        <v>6301</v>
      </c>
      <c r="I1039" s="136">
        <v>951500510</v>
      </c>
      <c r="J1039" s="131" t="s">
        <v>4502</v>
      </c>
      <c r="K1039" s="139">
        <v>109465</v>
      </c>
    </row>
    <row r="1040" spans="1:11">
      <c r="A1040" s="1" t="str">
        <f t="shared" si="16"/>
        <v>50100-721722295-9515000426585</v>
      </c>
      <c r="B1040" s="136" t="s">
        <v>2710</v>
      </c>
      <c r="C1040" s="136" t="s">
        <v>10519</v>
      </c>
      <c r="D1040" s="132" t="s">
        <v>3420</v>
      </c>
      <c r="E1040" s="136" t="s">
        <v>2757</v>
      </c>
      <c r="F1040" s="136" t="s">
        <v>2757</v>
      </c>
      <c r="G1040" s="137">
        <v>1394395845001</v>
      </c>
      <c r="H1040" s="138" t="s">
        <v>6453</v>
      </c>
      <c r="I1040" s="136">
        <v>951500042</v>
      </c>
      <c r="J1040" s="131" t="s">
        <v>2798</v>
      </c>
      <c r="K1040" s="139">
        <v>6585</v>
      </c>
    </row>
    <row r="1041" spans="1:11">
      <c r="A1041" s="1" t="str">
        <f t="shared" si="16"/>
        <v>50100-765024695-9541000132247314</v>
      </c>
      <c r="B1041" s="136" t="s">
        <v>3395</v>
      </c>
      <c r="C1041" s="136" t="s">
        <v>10934</v>
      </c>
      <c r="D1041" s="132" t="s">
        <v>3420</v>
      </c>
      <c r="E1041" s="136" t="s">
        <v>3399</v>
      </c>
      <c r="F1041" s="136" t="s">
        <v>3399</v>
      </c>
      <c r="G1041" s="137">
        <v>1395399148001</v>
      </c>
      <c r="H1041" s="138" t="s">
        <v>10183</v>
      </c>
      <c r="I1041" s="136">
        <v>954100013</v>
      </c>
      <c r="J1041" s="131" t="s">
        <v>3418</v>
      </c>
      <c r="K1041" s="139">
        <v>2247314</v>
      </c>
    </row>
    <row r="1042" spans="1:11">
      <c r="A1042" s="1" t="str">
        <f t="shared" si="16"/>
        <v>15100-35101695-95150038148240</v>
      </c>
      <c r="B1042" s="136" t="s">
        <v>4122</v>
      </c>
      <c r="C1042" s="136" t="s">
        <v>10935</v>
      </c>
      <c r="D1042" s="132" t="s">
        <v>3420</v>
      </c>
      <c r="E1042" s="136" t="s">
        <v>3934</v>
      </c>
      <c r="F1042" s="136" t="s">
        <v>3934</v>
      </c>
      <c r="G1042" s="137">
        <v>1395445412001</v>
      </c>
      <c r="H1042" s="138" t="s">
        <v>6298</v>
      </c>
      <c r="I1042" s="136">
        <v>951500381</v>
      </c>
      <c r="J1042" s="131" t="s">
        <v>4299</v>
      </c>
      <c r="K1042" s="139">
        <v>48240</v>
      </c>
    </row>
    <row r="1043" spans="1:11">
      <c r="A1043" s="1" t="str">
        <f t="shared" si="16"/>
        <v>15100-35101695-95150039623980</v>
      </c>
      <c r="B1043" s="136" t="s">
        <v>4122</v>
      </c>
      <c r="C1043" s="136" t="s">
        <v>10935</v>
      </c>
      <c r="D1043" s="132" t="s">
        <v>3420</v>
      </c>
      <c r="E1043" s="136" t="s">
        <v>3934</v>
      </c>
      <c r="F1043" s="136" t="s">
        <v>3934</v>
      </c>
      <c r="G1043" s="137">
        <v>1395441445001</v>
      </c>
      <c r="H1043" s="138" t="s">
        <v>6299</v>
      </c>
      <c r="I1043" s="136">
        <v>951500396</v>
      </c>
      <c r="J1043" s="131" t="s">
        <v>3977</v>
      </c>
      <c r="K1043" s="139">
        <v>23980</v>
      </c>
    </row>
    <row r="1044" spans="1:11">
      <c r="A1044" s="1" t="str">
        <f t="shared" si="16"/>
        <v>15100-35351695-95150040445680</v>
      </c>
      <c r="B1044" s="136" t="s">
        <v>4115</v>
      </c>
      <c r="C1044" s="136" t="s">
        <v>10890</v>
      </c>
      <c r="D1044" s="132" t="s">
        <v>3420</v>
      </c>
      <c r="E1044" s="136" t="s">
        <v>4186</v>
      </c>
      <c r="F1044" s="136" t="s">
        <v>4186</v>
      </c>
      <c r="G1044" s="137">
        <v>1395445412001</v>
      </c>
      <c r="H1044" s="138" t="s">
        <v>6298</v>
      </c>
      <c r="I1044" s="136">
        <v>951500404</v>
      </c>
      <c r="J1044" s="131" t="s">
        <v>4265</v>
      </c>
      <c r="K1044" s="139">
        <v>45680</v>
      </c>
    </row>
    <row r="1045" spans="1:11">
      <c r="A1045" s="1" t="str">
        <f t="shared" si="16"/>
        <v>15100-35351695-95150037434285</v>
      </c>
      <c r="B1045" s="136" t="s">
        <v>4115</v>
      </c>
      <c r="C1045" s="136" t="s">
        <v>10890</v>
      </c>
      <c r="D1045" s="132" t="s">
        <v>3420</v>
      </c>
      <c r="E1045" s="136" t="s">
        <v>4186</v>
      </c>
      <c r="F1045" s="136" t="s">
        <v>4186</v>
      </c>
      <c r="G1045" s="137">
        <v>1395435643001</v>
      </c>
      <c r="H1045" s="138" t="s">
        <v>6300</v>
      </c>
      <c r="I1045" s="136">
        <v>951500374</v>
      </c>
      <c r="J1045" s="131" t="s">
        <v>4292</v>
      </c>
      <c r="K1045" s="139">
        <v>34285</v>
      </c>
    </row>
    <row r="1046" spans="1:11">
      <c r="A1046" s="1" t="str">
        <f t="shared" si="16"/>
        <v>15100-35422595-95150037429000</v>
      </c>
      <c r="B1046" s="136" t="s">
        <v>4116</v>
      </c>
      <c r="C1046" s="136" t="s">
        <v>10936</v>
      </c>
      <c r="D1046" s="132" t="s">
        <v>3420</v>
      </c>
      <c r="E1046" s="136" t="s">
        <v>4182</v>
      </c>
      <c r="F1046" s="136" t="s">
        <v>4182</v>
      </c>
      <c r="G1046" s="137">
        <v>1395435643001</v>
      </c>
      <c r="H1046" s="138" t="s">
        <v>6300</v>
      </c>
      <c r="I1046" s="136">
        <v>951500374</v>
      </c>
      <c r="J1046" s="131" t="s">
        <v>4292</v>
      </c>
      <c r="K1046" s="139">
        <v>29000</v>
      </c>
    </row>
    <row r="1047" spans="1:11">
      <c r="A1047" s="1" t="str">
        <f t="shared" si="16"/>
        <v>15100-34176795-95150035792420</v>
      </c>
      <c r="B1047" s="136" t="s">
        <v>3775</v>
      </c>
      <c r="C1047" s="136" t="s">
        <v>10937</v>
      </c>
      <c r="D1047" s="132" t="s">
        <v>3420</v>
      </c>
      <c r="E1047" s="136" t="s">
        <v>3822</v>
      </c>
      <c r="F1047" s="136" t="s">
        <v>3822</v>
      </c>
      <c r="G1047" s="137">
        <v>1395441442001</v>
      </c>
      <c r="H1047" s="138" t="s">
        <v>6299</v>
      </c>
      <c r="I1047" s="136">
        <v>951500357</v>
      </c>
      <c r="J1047" s="131" t="s">
        <v>3838</v>
      </c>
      <c r="K1047" s="139">
        <v>92420</v>
      </c>
    </row>
    <row r="1048" spans="1:11">
      <c r="A1048" s="1" t="str">
        <f t="shared" si="16"/>
        <v>15100-34523795-95150035721460</v>
      </c>
      <c r="B1048" s="136" t="s">
        <v>3776</v>
      </c>
      <c r="C1048" s="136" t="s">
        <v>10938</v>
      </c>
      <c r="D1048" s="132" t="s">
        <v>3420</v>
      </c>
      <c r="E1048" s="136" t="s">
        <v>3823</v>
      </c>
      <c r="F1048" s="136" t="s">
        <v>3823</v>
      </c>
      <c r="G1048" s="137">
        <v>1395441442001</v>
      </c>
      <c r="H1048" s="138" t="s">
        <v>6299</v>
      </c>
      <c r="I1048" s="136">
        <v>951500357</v>
      </c>
      <c r="J1048" s="131" t="s">
        <v>3838</v>
      </c>
      <c r="K1048" s="139">
        <v>21460</v>
      </c>
    </row>
    <row r="1049" spans="1:11">
      <c r="A1049" s="1" t="str">
        <f t="shared" si="16"/>
        <v>15100-37793095-95150056236020</v>
      </c>
      <c r="B1049" s="136" t="s">
        <v>4643</v>
      </c>
      <c r="C1049" s="136" t="s">
        <v>10918</v>
      </c>
      <c r="D1049" s="132" t="s">
        <v>3420</v>
      </c>
      <c r="E1049" s="136" t="s">
        <v>4660</v>
      </c>
      <c r="F1049" s="136" t="s">
        <v>4660</v>
      </c>
      <c r="G1049" s="137">
        <v>1395452679001</v>
      </c>
      <c r="H1049" s="138" t="s">
        <v>6298</v>
      </c>
      <c r="I1049" s="136">
        <v>951500562</v>
      </c>
      <c r="J1049" s="131" t="s">
        <v>4448</v>
      </c>
      <c r="K1049" s="139">
        <v>36020</v>
      </c>
    </row>
    <row r="1050" spans="1:11">
      <c r="A1050" s="1" t="str">
        <f t="shared" si="16"/>
        <v>15100-38011195-95150057246620</v>
      </c>
      <c r="B1050" s="136" t="s">
        <v>4644</v>
      </c>
      <c r="C1050" s="136" t="s">
        <v>10939</v>
      </c>
      <c r="D1050" s="132" t="s">
        <v>3420</v>
      </c>
      <c r="E1050" s="136" t="s">
        <v>4658</v>
      </c>
      <c r="F1050" s="136" t="s">
        <v>4658</v>
      </c>
      <c r="G1050" s="137">
        <v>1395455038001</v>
      </c>
      <c r="H1050" s="138" t="s">
        <v>6298</v>
      </c>
      <c r="I1050" s="136">
        <v>951500572</v>
      </c>
      <c r="J1050" s="131" t="s">
        <v>4702</v>
      </c>
      <c r="K1050" s="139">
        <v>46620</v>
      </c>
    </row>
    <row r="1051" spans="1:11">
      <c r="A1051" s="1" t="str">
        <f t="shared" si="16"/>
        <v>15100-33045695-951500274115060</v>
      </c>
      <c r="B1051" s="136" t="s">
        <v>3629</v>
      </c>
      <c r="C1051" s="136" t="s">
        <v>10919</v>
      </c>
      <c r="D1051" s="132" t="s">
        <v>3420</v>
      </c>
      <c r="E1051" s="136" t="s">
        <v>3661</v>
      </c>
      <c r="F1051" s="136" t="s">
        <v>3661</v>
      </c>
      <c r="G1051" s="137">
        <v>1395434889001</v>
      </c>
      <c r="H1051" s="138" t="s">
        <v>6298</v>
      </c>
      <c r="I1051" s="136">
        <v>951500274</v>
      </c>
      <c r="J1051" s="131" t="s">
        <v>3659</v>
      </c>
      <c r="K1051" s="139">
        <v>115060</v>
      </c>
    </row>
    <row r="1052" spans="1:11">
      <c r="A1052" s="1" t="str">
        <f t="shared" si="16"/>
        <v>15100-33045695-95150025493220</v>
      </c>
      <c r="B1052" s="136" t="s">
        <v>3629</v>
      </c>
      <c r="C1052" s="136" t="s">
        <v>10919</v>
      </c>
      <c r="D1052" s="132" t="s">
        <v>3420</v>
      </c>
      <c r="E1052" s="136" t="s">
        <v>3661</v>
      </c>
      <c r="F1052" s="136" t="s">
        <v>3661</v>
      </c>
      <c r="G1052" s="137">
        <v>1395427836001</v>
      </c>
      <c r="H1052" s="138" t="s">
        <v>6298</v>
      </c>
      <c r="I1052" s="136">
        <v>951500254</v>
      </c>
      <c r="J1052" s="131" t="s">
        <v>3647</v>
      </c>
      <c r="K1052" s="139">
        <v>93220</v>
      </c>
    </row>
    <row r="1053" spans="1:11">
      <c r="A1053" s="1" t="str">
        <f t="shared" si="16"/>
        <v>15100-35659195-95150045588640</v>
      </c>
      <c r="B1053" s="136" t="s">
        <v>4118</v>
      </c>
      <c r="C1053" s="136" t="s">
        <v>10940</v>
      </c>
      <c r="D1053" s="132" t="s">
        <v>3420</v>
      </c>
      <c r="E1053" s="136" t="s">
        <v>4179</v>
      </c>
      <c r="F1053" s="136" t="s">
        <v>4179</v>
      </c>
      <c r="G1053" s="137">
        <v>1395447371001</v>
      </c>
      <c r="H1053" s="138" t="s">
        <v>6299</v>
      </c>
      <c r="I1053" s="136">
        <v>951500455</v>
      </c>
      <c r="J1053" s="131" t="s">
        <v>3980</v>
      </c>
      <c r="K1053" s="139">
        <v>88640</v>
      </c>
    </row>
    <row r="1054" spans="1:11">
      <c r="A1054" s="1" t="str">
        <f t="shared" si="16"/>
        <v>15100-35659495-951500426322880</v>
      </c>
      <c r="B1054" s="136" t="s">
        <v>4117</v>
      </c>
      <c r="C1054" s="136" t="s">
        <v>10941</v>
      </c>
      <c r="D1054" s="132" t="s">
        <v>3420</v>
      </c>
      <c r="E1054" s="136" t="s">
        <v>4179</v>
      </c>
      <c r="F1054" s="136" t="s">
        <v>4179</v>
      </c>
      <c r="G1054" s="137">
        <v>1395447925001</v>
      </c>
      <c r="H1054" s="138" t="s">
        <v>6298</v>
      </c>
      <c r="I1054" s="136">
        <v>951500426</v>
      </c>
      <c r="J1054" s="131" t="s">
        <v>4280</v>
      </c>
      <c r="K1054" s="139">
        <v>322880</v>
      </c>
    </row>
    <row r="1055" spans="1:11">
      <c r="A1055" s="1" t="str">
        <f t="shared" si="16"/>
        <v>15100-38574595-9515005726660</v>
      </c>
      <c r="B1055" s="136" t="s">
        <v>4746</v>
      </c>
      <c r="C1055" s="136" t="s">
        <v>10921</v>
      </c>
      <c r="D1055" s="132" t="s">
        <v>3420</v>
      </c>
      <c r="E1055" s="136" t="s">
        <v>4867</v>
      </c>
      <c r="F1055" s="136" t="s">
        <v>4867</v>
      </c>
      <c r="G1055" s="137">
        <v>1395455038001</v>
      </c>
      <c r="H1055" s="138" t="s">
        <v>6298</v>
      </c>
      <c r="I1055" s="136">
        <v>951500572</v>
      </c>
      <c r="J1055" s="131" t="s">
        <v>4702</v>
      </c>
      <c r="K1055" s="139">
        <v>6660</v>
      </c>
    </row>
    <row r="1056" spans="1:11">
      <c r="A1056" s="1" t="str">
        <f t="shared" si="16"/>
        <v>15100-34843695-95150038792820</v>
      </c>
      <c r="B1056" s="136" t="s">
        <v>4119</v>
      </c>
      <c r="C1056" s="136" t="s">
        <v>10942</v>
      </c>
      <c r="D1056" s="132" t="s">
        <v>3420</v>
      </c>
      <c r="E1056" s="136" t="s">
        <v>3854</v>
      </c>
      <c r="F1056" s="136" t="s">
        <v>3854</v>
      </c>
      <c r="G1056" s="137">
        <v>1395437983001</v>
      </c>
      <c r="H1056" s="138" t="s">
        <v>6299</v>
      </c>
      <c r="I1056" s="136">
        <v>951500387</v>
      </c>
      <c r="J1056" s="131" t="s">
        <v>3976</v>
      </c>
      <c r="K1056" s="139">
        <v>92820</v>
      </c>
    </row>
    <row r="1057" spans="1:11">
      <c r="A1057" s="1" t="str">
        <f t="shared" si="16"/>
        <v>15100-34843695-951500396190280</v>
      </c>
      <c r="B1057" s="136" t="s">
        <v>4119</v>
      </c>
      <c r="C1057" s="136" t="s">
        <v>10942</v>
      </c>
      <c r="D1057" s="132" t="s">
        <v>3420</v>
      </c>
      <c r="E1057" s="136" t="s">
        <v>3854</v>
      </c>
      <c r="F1057" s="136" t="s">
        <v>3854</v>
      </c>
      <c r="G1057" s="137">
        <v>1395441445001</v>
      </c>
      <c r="H1057" s="138" t="s">
        <v>6299</v>
      </c>
      <c r="I1057" s="136">
        <v>951500396</v>
      </c>
      <c r="J1057" s="131" t="s">
        <v>3977</v>
      </c>
      <c r="K1057" s="139">
        <v>190280</v>
      </c>
    </row>
    <row r="1058" spans="1:11">
      <c r="A1058" s="1" t="str">
        <f t="shared" si="16"/>
        <v>15100-25565994-94150083214800</v>
      </c>
      <c r="B1058" s="136" t="s">
        <v>10943</v>
      </c>
      <c r="C1058" s="136" t="s">
        <v>10944</v>
      </c>
      <c r="D1058" s="132" t="s">
        <v>3420</v>
      </c>
      <c r="E1058" s="136" t="s">
        <v>2618</v>
      </c>
      <c r="F1058" s="136" t="s">
        <v>2618</v>
      </c>
      <c r="G1058" s="137">
        <v>1394395844001</v>
      </c>
      <c r="H1058" s="138" t="s">
        <v>6298</v>
      </c>
      <c r="I1058" s="136">
        <v>941500832</v>
      </c>
      <c r="J1058" s="131" t="s">
        <v>2764</v>
      </c>
      <c r="K1058" s="139">
        <v>14800</v>
      </c>
    </row>
    <row r="1059" spans="1:11">
      <c r="A1059" s="1" t="str">
        <f t="shared" si="16"/>
        <v>15100-25660494-94150083268750</v>
      </c>
      <c r="B1059" s="136" t="s">
        <v>10945</v>
      </c>
      <c r="C1059" s="136" t="s">
        <v>10946</v>
      </c>
      <c r="D1059" s="132" t="s">
        <v>3420</v>
      </c>
      <c r="E1059" s="136" t="s">
        <v>2754</v>
      </c>
      <c r="F1059" s="136" t="s">
        <v>2754</v>
      </c>
      <c r="G1059" s="137">
        <v>1394395844001</v>
      </c>
      <c r="H1059" s="138" t="s">
        <v>6298</v>
      </c>
      <c r="I1059" s="136">
        <v>941500832</v>
      </c>
      <c r="J1059" s="131" t="s">
        <v>2764</v>
      </c>
      <c r="K1059" s="139">
        <v>68750</v>
      </c>
    </row>
    <row r="1060" spans="1:11">
      <c r="A1060" s="1" t="str">
        <f t="shared" si="16"/>
        <v>15100-37793095-95150056571460</v>
      </c>
      <c r="B1060" s="136" t="s">
        <v>4643</v>
      </c>
      <c r="C1060" s="136" t="s">
        <v>10918</v>
      </c>
      <c r="D1060" s="132" t="s">
        <v>3420</v>
      </c>
      <c r="E1060" s="136" t="s">
        <v>4660</v>
      </c>
      <c r="F1060" s="136" t="s">
        <v>4660</v>
      </c>
      <c r="G1060" s="137">
        <v>1395452679001</v>
      </c>
      <c r="H1060" s="138" t="s">
        <v>6298</v>
      </c>
      <c r="I1060" s="136">
        <v>951500565</v>
      </c>
      <c r="J1060" s="131" t="s">
        <v>4704</v>
      </c>
      <c r="K1060" s="139">
        <v>71460</v>
      </c>
    </row>
    <row r="1061" spans="1:11">
      <c r="A1061" s="1" t="str">
        <f t="shared" si="16"/>
        <v>15100-34833195-95150034468760</v>
      </c>
      <c r="B1061" s="136" t="s">
        <v>4121</v>
      </c>
      <c r="C1061" s="136" t="s">
        <v>10947</v>
      </c>
      <c r="D1061" s="132" t="s">
        <v>3420</v>
      </c>
      <c r="E1061" s="136" t="s">
        <v>3854</v>
      </c>
      <c r="F1061" s="136" t="s">
        <v>3854</v>
      </c>
      <c r="G1061" s="137">
        <v>1395435643001</v>
      </c>
      <c r="H1061" s="138" t="s">
        <v>6300</v>
      </c>
      <c r="I1061" s="136">
        <v>951500344</v>
      </c>
      <c r="J1061" s="131" t="s">
        <v>4295</v>
      </c>
      <c r="K1061" s="139">
        <v>68760</v>
      </c>
    </row>
    <row r="1062" spans="1:11">
      <c r="A1062" s="1" t="str">
        <f t="shared" si="16"/>
        <v>15100-39172395-951500594148900</v>
      </c>
      <c r="B1062" s="136" t="s">
        <v>4838</v>
      </c>
      <c r="C1062" s="136" t="s">
        <v>10948</v>
      </c>
      <c r="D1062" s="132" t="s">
        <v>3420</v>
      </c>
      <c r="E1062" s="136" t="s">
        <v>4877</v>
      </c>
      <c r="F1062" s="136" t="s">
        <v>4877</v>
      </c>
      <c r="G1062" s="137">
        <v>1395451401001</v>
      </c>
      <c r="H1062" s="138" t="s">
        <v>6300</v>
      </c>
      <c r="I1062" s="136">
        <v>951500594</v>
      </c>
      <c r="J1062" s="131" t="s">
        <v>4957</v>
      </c>
      <c r="K1062" s="139">
        <v>148900</v>
      </c>
    </row>
    <row r="1063" spans="1:11">
      <c r="A1063" s="1" t="str">
        <f t="shared" si="16"/>
        <v>15100-39254795-95150059450200</v>
      </c>
      <c r="B1063" s="136" t="s">
        <v>4839</v>
      </c>
      <c r="C1063" s="136" t="s">
        <v>10949</v>
      </c>
      <c r="D1063" s="132" t="s">
        <v>3420</v>
      </c>
      <c r="E1063" s="136" t="s">
        <v>4875</v>
      </c>
      <c r="F1063" s="136" t="s">
        <v>4875</v>
      </c>
      <c r="G1063" s="137">
        <v>1395451401001</v>
      </c>
      <c r="H1063" s="138" t="s">
        <v>6300</v>
      </c>
      <c r="I1063" s="136">
        <v>951500594</v>
      </c>
      <c r="J1063" s="131" t="s">
        <v>4957</v>
      </c>
      <c r="K1063" s="139">
        <v>50200</v>
      </c>
    </row>
    <row r="1064" spans="1:11">
      <c r="A1064" s="1" t="str">
        <f t="shared" si="16"/>
        <v>15100-26360994-941500819125960</v>
      </c>
      <c r="B1064" s="136" t="s">
        <v>10950</v>
      </c>
      <c r="C1064" s="136" t="s">
        <v>10951</v>
      </c>
      <c r="D1064" s="132" t="s">
        <v>3420</v>
      </c>
      <c r="E1064" s="136" t="s">
        <v>2863</v>
      </c>
      <c r="F1064" s="136" t="s">
        <v>2863</v>
      </c>
      <c r="G1064" s="137">
        <v>1394394802001</v>
      </c>
      <c r="H1064" s="138" t="s">
        <v>6298</v>
      </c>
      <c r="I1064" s="136">
        <v>941500819</v>
      </c>
      <c r="J1064" s="131" t="s">
        <v>2882</v>
      </c>
      <c r="K1064" s="139">
        <v>125960</v>
      </c>
    </row>
    <row r="1065" spans="1:11">
      <c r="A1065" s="1" t="str">
        <f t="shared" si="16"/>
        <v>15100-26360994-941500799100330</v>
      </c>
      <c r="B1065" s="136" t="s">
        <v>10950</v>
      </c>
      <c r="C1065" s="136" t="s">
        <v>10951</v>
      </c>
      <c r="D1065" s="132" t="s">
        <v>3420</v>
      </c>
      <c r="E1065" s="136" t="s">
        <v>2863</v>
      </c>
      <c r="F1065" s="136" t="s">
        <v>2863</v>
      </c>
      <c r="G1065" s="137">
        <v>1394394802001</v>
      </c>
      <c r="H1065" s="138" t="s">
        <v>6298</v>
      </c>
      <c r="I1065" s="136">
        <v>941500799</v>
      </c>
      <c r="J1065" s="131" t="s">
        <v>2888</v>
      </c>
      <c r="K1065" s="139">
        <v>100330</v>
      </c>
    </row>
    <row r="1066" spans="1:11">
      <c r="A1066" s="1" t="str">
        <f t="shared" si="16"/>
        <v>15100-34999495-951500403250170</v>
      </c>
      <c r="B1066" s="136" t="s">
        <v>4107</v>
      </c>
      <c r="C1066" s="136" t="s">
        <v>10682</v>
      </c>
      <c r="D1066" s="132" t="s">
        <v>3420</v>
      </c>
      <c r="E1066" s="136" t="s">
        <v>3932</v>
      </c>
      <c r="F1066" s="136" t="s">
        <v>3932</v>
      </c>
      <c r="G1066" s="137">
        <v>1395445412001</v>
      </c>
      <c r="H1066" s="138" t="s">
        <v>6298</v>
      </c>
      <c r="I1066" s="136">
        <v>951500403</v>
      </c>
      <c r="J1066" s="131" t="s">
        <v>4285</v>
      </c>
      <c r="K1066" s="139">
        <v>250170</v>
      </c>
    </row>
    <row r="1067" spans="1:11">
      <c r="A1067" s="1" t="str">
        <f t="shared" si="16"/>
        <v>15100-35047395-951500403148580</v>
      </c>
      <c r="B1067" s="136" t="s">
        <v>4111</v>
      </c>
      <c r="C1067" s="136" t="s">
        <v>10952</v>
      </c>
      <c r="D1067" s="132" t="s">
        <v>3420</v>
      </c>
      <c r="E1067" s="136" t="s">
        <v>3933</v>
      </c>
      <c r="F1067" s="136" t="s">
        <v>3933</v>
      </c>
      <c r="G1067" s="137">
        <v>1395445412001</v>
      </c>
      <c r="H1067" s="138" t="s">
        <v>6298</v>
      </c>
      <c r="I1067" s="136">
        <v>951500403</v>
      </c>
      <c r="J1067" s="131" t="s">
        <v>4285</v>
      </c>
      <c r="K1067" s="139">
        <v>148580</v>
      </c>
    </row>
    <row r="1068" spans="1:11">
      <c r="A1068" s="1" t="str">
        <f t="shared" si="16"/>
        <v>15100-29216694-94150083134440</v>
      </c>
      <c r="B1068" s="136" t="s">
        <v>3264</v>
      </c>
      <c r="C1068" s="136" t="s">
        <v>10708</v>
      </c>
      <c r="D1068" s="132" t="s">
        <v>3420</v>
      </c>
      <c r="E1068" s="136" t="s">
        <v>3277</v>
      </c>
      <c r="F1068" s="136" t="s">
        <v>3277</v>
      </c>
      <c r="G1068" s="137">
        <v>1394395844001</v>
      </c>
      <c r="H1068" s="138" t="s">
        <v>6298</v>
      </c>
      <c r="I1068" s="136">
        <v>941500831</v>
      </c>
      <c r="J1068" s="131" t="s">
        <v>3285</v>
      </c>
      <c r="K1068" s="139">
        <v>34440</v>
      </c>
    </row>
    <row r="1069" spans="1:11">
      <c r="A1069" s="1" t="str">
        <f t="shared" si="16"/>
        <v>15100-29404094-94150085074240</v>
      </c>
      <c r="B1069" s="136" t="s">
        <v>10953</v>
      </c>
      <c r="C1069" s="136" t="s">
        <v>10954</v>
      </c>
      <c r="D1069" s="132" t="s">
        <v>3420</v>
      </c>
      <c r="E1069" s="136" t="s">
        <v>3278</v>
      </c>
      <c r="F1069" s="136" t="s">
        <v>3278</v>
      </c>
      <c r="G1069" s="137">
        <v>1394395844001</v>
      </c>
      <c r="H1069" s="138" t="s">
        <v>6298</v>
      </c>
      <c r="I1069" s="136">
        <v>941500850</v>
      </c>
      <c r="J1069" s="131" t="s">
        <v>3284</v>
      </c>
      <c r="K1069" s="139">
        <v>74240</v>
      </c>
    </row>
    <row r="1070" spans="1:11">
      <c r="A1070" s="1" t="str">
        <f t="shared" si="16"/>
        <v>15100-29490594-94150085045300</v>
      </c>
      <c r="B1070" s="136" t="s">
        <v>3265</v>
      </c>
      <c r="C1070" s="136" t="s">
        <v>10955</v>
      </c>
      <c r="D1070" s="132" t="s">
        <v>3420</v>
      </c>
      <c r="E1070" s="136" t="s">
        <v>3279</v>
      </c>
      <c r="F1070" s="136" t="s">
        <v>3279</v>
      </c>
      <c r="G1070" s="137">
        <v>1394395844001</v>
      </c>
      <c r="H1070" s="138" t="s">
        <v>6298</v>
      </c>
      <c r="I1070" s="136">
        <v>941500850</v>
      </c>
      <c r="J1070" s="131" t="s">
        <v>3284</v>
      </c>
      <c r="K1070" s="139">
        <v>45300</v>
      </c>
    </row>
    <row r="1071" spans="1:11">
      <c r="A1071" s="1" t="str">
        <f t="shared" si="16"/>
        <v>50100-820821795-95250002367927</v>
      </c>
      <c r="B1071" s="136" t="s">
        <v>4413</v>
      </c>
      <c r="C1071" s="136" t="s">
        <v>10901</v>
      </c>
      <c r="D1071" s="132" t="s">
        <v>3420</v>
      </c>
      <c r="E1071" s="136" t="s">
        <v>4440</v>
      </c>
      <c r="F1071" s="136" t="s">
        <v>4440</v>
      </c>
      <c r="G1071" s="137">
        <v>1395397987001</v>
      </c>
      <c r="H1071" s="138" t="s">
        <v>10183</v>
      </c>
      <c r="I1071" s="136">
        <v>952500023</v>
      </c>
      <c r="J1071" s="131" t="s">
        <v>3406</v>
      </c>
      <c r="K1071" s="139">
        <v>67927</v>
      </c>
    </row>
    <row r="1072" spans="1:11">
      <c r="A1072" s="1" t="str">
        <f t="shared" si="16"/>
        <v>50100-820821795-951500474137500</v>
      </c>
      <c r="B1072" s="136" t="s">
        <v>4413</v>
      </c>
      <c r="C1072" s="136" t="s">
        <v>10901</v>
      </c>
      <c r="D1072" s="132" t="s">
        <v>3420</v>
      </c>
      <c r="E1072" s="136" t="s">
        <v>4440</v>
      </c>
      <c r="F1072" s="136" t="s">
        <v>4440</v>
      </c>
      <c r="G1072" s="137">
        <v>1395447928001</v>
      </c>
      <c r="H1072" s="138" t="s">
        <v>10183</v>
      </c>
      <c r="I1072" s="136">
        <v>951500474</v>
      </c>
      <c r="J1072" s="131" t="s">
        <v>4476</v>
      </c>
      <c r="K1072" s="139">
        <v>137500</v>
      </c>
    </row>
    <row r="1073" spans="1:11">
      <c r="A1073" s="1" t="str">
        <f t="shared" si="16"/>
        <v>15100-25875094-94150081371660</v>
      </c>
      <c r="B1073" s="136" t="s">
        <v>10956</v>
      </c>
      <c r="C1073" s="136" t="s">
        <v>10957</v>
      </c>
      <c r="D1073" s="132" t="s">
        <v>3420</v>
      </c>
      <c r="E1073" s="136" t="s">
        <v>2752</v>
      </c>
      <c r="F1073" s="136" t="s">
        <v>2752</v>
      </c>
      <c r="G1073" s="137">
        <v>1394394802001</v>
      </c>
      <c r="H1073" s="138" t="s">
        <v>6298</v>
      </c>
      <c r="I1073" s="136">
        <v>941500813</v>
      </c>
      <c r="J1073" s="131" t="s">
        <v>2759</v>
      </c>
      <c r="K1073" s="139">
        <v>71660</v>
      </c>
    </row>
    <row r="1074" spans="1:11">
      <c r="A1074" s="1" t="str">
        <f t="shared" si="16"/>
        <v>15100-26612894-941500744353390</v>
      </c>
      <c r="B1074" s="136" t="s">
        <v>2827</v>
      </c>
      <c r="C1074" s="136" t="s">
        <v>10958</v>
      </c>
      <c r="D1074" s="132" t="s">
        <v>3420</v>
      </c>
      <c r="E1074" s="136" t="s">
        <v>2864</v>
      </c>
      <c r="F1074" s="136" t="s">
        <v>2864</v>
      </c>
      <c r="G1074" s="137">
        <v>1394392654001</v>
      </c>
      <c r="H1074" s="138" t="s">
        <v>6453</v>
      </c>
      <c r="I1074" s="136">
        <v>941500744</v>
      </c>
      <c r="J1074" s="131" t="s">
        <v>6876</v>
      </c>
      <c r="K1074" s="139">
        <v>353390</v>
      </c>
    </row>
    <row r="1075" spans="1:11">
      <c r="A1075" s="1" t="str">
        <f t="shared" si="16"/>
        <v>15100-36588395-95150052325060</v>
      </c>
      <c r="B1075" s="136" t="s">
        <v>4385</v>
      </c>
      <c r="C1075" s="136" t="s">
        <v>10959</v>
      </c>
      <c r="D1075" s="132" t="s">
        <v>3420</v>
      </c>
      <c r="E1075" s="136" t="s">
        <v>4343</v>
      </c>
      <c r="F1075" s="136" t="s">
        <v>4343</v>
      </c>
      <c r="G1075" s="137">
        <v>1395449236001</v>
      </c>
      <c r="H1075" s="138" t="s">
        <v>6298</v>
      </c>
      <c r="I1075" s="136">
        <v>951500523</v>
      </c>
      <c r="J1075" s="131" t="s">
        <v>4347</v>
      </c>
      <c r="K1075" s="139">
        <v>25060</v>
      </c>
    </row>
    <row r="1076" spans="1:11">
      <c r="A1076" s="1" t="str">
        <f t="shared" si="16"/>
        <v>15100-36625095-95150054324120</v>
      </c>
      <c r="B1076" s="136" t="s">
        <v>4386</v>
      </c>
      <c r="C1076" s="136" t="s">
        <v>10960</v>
      </c>
      <c r="D1076" s="132" t="s">
        <v>3420</v>
      </c>
      <c r="E1076" s="136" t="s">
        <v>4443</v>
      </c>
      <c r="F1076" s="136" t="s">
        <v>4443</v>
      </c>
      <c r="G1076" s="137">
        <v>1395447372001</v>
      </c>
      <c r="H1076" s="138" t="s">
        <v>6300</v>
      </c>
      <c r="I1076" s="136">
        <v>951500543</v>
      </c>
      <c r="J1076" s="131" t="s">
        <v>4354</v>
      </c>
      <c r="K1076" s="139">
        <v>24120</v>
      </c>
    </row>
    <row r="1077" spans="1:11">
      <c r="A1077" s="1" t="str">
        <f t="shared" si="16"/>
        <v>15100-35422595-95150041220810</v>
      </c>
      <c r="B1077" s="136" t="s">
        <v>4116</v>
      </c>
      <c r="C1077" s="136" t="s">
        <v>10936</v>
      </c>
      <c r="D1077" s="132" t="s">
        <v>3420</v>
      </c>
      <c r="E1077" s="136" t="s">
        <v>4182</v>
      </c>
      <c r="F1077" s="136" t="s">
        <v>4182</v>
      </c>
      <c r="G1077" s="137">
        <v>1395447369001</v>
      </c>
      <c r="H1077" s="138" t="s">
        <v>6298</v>
      </c>
      <c r="I1077" s="136">
        <v>951500412</v>
      </c>
      <c r="J1077" s="131" t="s">
        <v>4304</v>
      </c>
      <c r="K1077" s="139">
        <v>20810</v>
      </c>
    </row>
    <row r="1078" spans="1:11">
      <c r="A1078" s="1" t="str">
        <f t="shared" si="16"/>
        <v>50100-763459295-951500207982663</v>
      </c>
      <c r="B1078" s="136" t="s">
        <v>10961</v>
      </c>
      <c r="C1078" s="136" t="s">
        <v>10962</v>
      </c>
      <c r="D1078" s="132" t="s">
        <v>3420</v>
      </c>
      <c r="E1078" s="136" t="s">
        <v>10383</v>
      </c>
      <c r="F1078" s="136" t="s">
        <v>10383</v>
      </c>
      <c r="G1078" s="137">
        <v>1395397987001</v>
      </c>
      <c r="H1078" s="138" t="s">
        <v>10183</v>
      </c>
      <c r="I1078" s="136">
        <v>951500207</v>
      </c>
      <c r="J1078" s="131" t="s">
        <v>3407</v>
      </c>
      <c r="K1078" s="139">
        <v>982663</v>
      </c>
    </row>
    <row r="1079" spans="1:11">
      <c r="A1079" s="1" t="str">
        <f t="shared" si="16"/>
        <v>15100-30028394-94150083520245</v>
      </c>
      <c r="B1079" s="136" t="s">
        <v>3368</v>
      </c>
      <c r="C1079" s="136" t="s">
        <v>10885</v>
      </c>
      <c r="D1079" s="132" t="s">
        <v>3420</v>
      </c>
      <c r="E1079" s="136" t="s">
        <v>3373</v>
      </c>
      <c r="F1079" s="136" t="s">
        <v>3373</v>
      </c>
      <c r="G1079" s="137">
        <v>1394395844001</v>
      </c>
      <c r="H1079" s="138" t="s">
        <v>6298</v>
      </c>
      <c r="I1079" s="136">
        <v>941500835</v>
      </c>
      <c r="J1079" s="131" t="s">
        <v>2876</v>
      </c>
      <c r="K1079" s="139">
        <v>20245</v>
      </c>
    </row>
    <row r="1080" spans="1:11">
      <c r="A1080" s="1" t="str">
        <f t="shared" si="16"/>
        <v>15100-32037694-9415006468000</v>
      </c>
      <c r="B1080" s="136" t="s">
        <v>3530</v>
      </c>
      <c r="C1080" s="136" t="s">
        <v>10909</v>
      </c>
      <c r="D1080" s="132" t="s">
        <v>3420</v>
      </c>
      <c r="E1080" s="136" t="s">
        <v>3506</v>
      </c>
      <c r="F1080" s="136" t="s">
        <v>3506</v>
      </c>
      <c r="G1080" s="137">
        <v>1394390338001</v>
      </c>
      <c r="H1080" s="138" t="s">
        <v>6298</v>
      </c>
      <c r="I1080" s="136">
        <v>941500646</v>
      </c>
      <c r="J1080" s="131" t="s">
        <v>2531</v>
      </c>
      <c r="K1080" s="139">
        <v>8000</v>
      </c>
    </row>
    <row r="1081" spans="1:11">
      <c r="A1081" s="1" t="str">
        <f t="shared" si="16"/>
        <v>15100-34264495-9515003471940</v>
      </c>
      <c r="B1081" s="136" t="s">
        <v>3774</v>
      </c>
      <c r="C1081" s="136" t="s">
        <v>10917</v>
      </c>
      <c r="D1081" s="132" t="s">
        <v>3420</v>
      </c>
      <c r="E1081" s="136" t="s">
        <v>3821</v>
      </c>
      <c r="F1081" s="136" t="s">
        <v>3821</v>
      </c>
      <c r="G1081" s="137">
        <v>1395437982001</v>
      </c>
      <c r="H1081" s="138" t="s">
        <v>6300</v>
      </c>
      <c r="I1081" s="136">
        <v>951500347</v>
      </c>
      <c r="J1081" s="131" t="s">
        <v>3846</v>
      </c>
      <c r="K1081" s="139">
        <v>1940</v>
      </c>
    </row>
    <row r="1082" spans="1:11">
      <c r="A1082" s="1" t="str">
        <f t="shared" si="16"/>
        <v>15100-37793095-951500553120000</v>
      </c>
      <c r="B1082" s="136" t="s">
        <v>4643</v>
      </c>
      <c r="C1082" s="136" t="s">
        <v>10918</v>
      </c>
      <c r="D1082" s="132" t="s">
        <v>3420</v>
      </c>
      <c r="E1082" s="136" t="s">
        <v>4660</v>
      </c>
      <c r="F1082" s="136" t="s">
        <v>4660</v>
      </c>
      <c r="G1082" s="137">
        <v>1395452679001</v>
      </c>
      <c r="H1082" s="138" t="s">
        <v>6298</v>
      </c>
      <c r="I1082" s="136">
        <v>951500553</v>
      </c>
      <c r="J1082" s="131" t="s">
        <v>4705</v>
      </c>
      <c r="K1082" s="139">
        <v>120000</v>
      </c>
    </row>
    <row r="1083" spans="1:11">
      <c r="A1083" s="1" t="str">
        <f t="shared" si="16"/>
        <v>15100-38011195-95150057487400</v>
      </c>
      <c r="B1083" s="136" t="s">
        <v>4644</v>
      </c>
      <c r="C1083" s="136" t="s">
        <v>10939</v>
      </c>
      <c r="D1083" s="132" t="s">
        <v>3420</v>
      </c>
      <c r="E1083" s="136" t="s">
        <v>4658</v>
      </c>
      <c r="F1083" s="136" t="s">
        <v>4658</v>
      </c>
      <c r="G1083" s="137">
        <v>1395462017001</v>
      </c>
      <c r="H1083" s="138" t="s">
        <v>6298</v>
      </c>
      <c r="I1083" s="136">
        <v>951500574</v>
      </c>
      <c r="J1083" s="131" t="s">
        <v>4699</v>
      </c>
      <c r="K1083" s="139">
        <v>87400</v>
      </c>
    </row>
    <row r="1084" spans="1:11">
      <c r="A1084" s="1" t="str">
        <f t="shared" si="16"/>
        <v>15100-38574595-95150057443760</v>
      </c>
      <c r="B1084" s="136" t="s">
        <v>4746</v>
      </c>
      <c r="C1084" s="136" t="s">
        <v>10921</v>
      </c>
      <c r="D1084" s="132" t="s">
        <v>3420</v>
      </c>
      <c r="E1084" s="136" t="s">
        <v>4867</v>
      </c>
      <c r="F1084" s="136" t="s">
        <v>4867</v>
      </c>
      <c r="G1084" s="137">
        <v>1395462017001</v>
      </c>
      <c r="H1084" s="138" t="s">
        <v>6298</v>
      </c>
      <c r="I1084" s="136">
        <v>951500574</v>
      </c>
      <c r="J1084" s="131" t="s">
        <v>4699</v>
      </c>
      <c r="K1084" s="139">
        <v>43760</v>
      </c>
    </row>
    <row r="1085" spans="1:11">
      <c r="A1085" s="1" t="str">
        <f t="shared" si="16"/>
        <v>15100-37067495-95150054996040</v>
      </c>
      <c r="B1085" s="136" t="s">
        <v>4376</v>
      </c>
      <c r="C1085" s="136" t="s">
        <v>10963</v>
      </c>
      <c r="D1085" s="132" t="s">
        <v>3420</v>
      </c>
      <c r="E1085" s="136" t="s">
        <v>4442</v>
      </c>
      <c r="F1085" s="136" t="s">
        <v>4442</v>
      </c>
      <c r="G1085" s="137">
        <v>1395456616001</v>
      </c>
      <c r="H1085" s="138" t="s">
        <v>6299</v>
      </c>
      <c r="I1085" s="136">
        <v>951500549</v>
      </c>
      <c r="J1085" s="131" t="s">
        <v>4452</v>
      </c>
      <c r="K1085" s="139">
        <v>96040</v>
      </c>
    </row>
    <row r="1086" spans="1:11">
      <c r="A1086" s="1" t="str">
        <f t="shared" si="16"/>
        <v>50100-721700695-951500043495980</v>
      </c>
      <c r="B1086" s="136" t="s">
        <v>2714</v>
      </c>
      <c r="C1086" s="136" t="s">
        <v>10964</v>
      </c>
      <c r="D1086" s="132" t="s">
        <v>3420</v>
      </c>
      <c r="E1086" s="136" t="s">
        <v>2757</v>
      </c>
      <c r="F1086" s="136" t="s">
        <v>2757</v>
      </c>
      <c r="G1086" s="137">
        <v>1394395845001</v>
      </c>
      <c r="H1086" s="138" t="s">
        <v>6453</v>
      </c>
      <c r="I1086" s="136">
        <v>951500043</v>
      </c>
      <c r="J1086" s="131" t="s">
        <v>2788</v>
      </c>
      <c r="K1086" s="139">
        <v>495980</v>
      </c>
    </row>
    <row r="1087" spans="1:11">
      <c r="A1087" s="1" t="str">
        <f t="shared" si="16"/>
        <v>15100-34083395-95150035667840</v>
      </c>
      <c r="B1087" s="136" t="s">
        <v>3817</v>
      </c>
      <c r="C1087" s="136" t="s">
        <v>10965</v>
      </c>
      <c r="D1087" s="132" t="s">
        <v>3420</v>
      </c>
      <c r="E1087" s="136" t="s">
        <v>3828</v>
      </c>
      <c r="F1087" s="136" t="s">
        <v>3828</v>
      </c>
      <c r="G1087" s="137">
        <v>1395437985001</v>
      </c>
      <c r="H1087" s="138" t="s">
        <v>6298</v>
      </c>
      <c r="I1087" s="136">
        <v>951500356</v>
      </c>
      <c r="J1087" s="131" t="s">
        <v>3849</v>
      </c>
      <c r="K1087" s="139">
        <v>67840</v>
      </c>
    </row>
    <row r="1088" spans="1:11">
      <c r="A1088" s="1" t="str">
        <f t="shared" si="16"/>
        <v>15100-25983394-941500773160970</v>
      </c>
      <c r="B1088" s="136" t="s">
        <v>10709</v>
      </c>
      <c r="C1088" s="136" t="s">
        <v>10710</v>
      </c>
      <c r="D1088" s="132" t="s">
        <v>3420</v>
      </c>
      <c r="E1088" s="136" t="s">
        <v>2756</v>
      </c>
      <c r="F1088" s="136" t="s">
        <v>2756</v>
      </c>
      <c r="G1088" s="137">
        <v>1394394178001</v>
      </c>
      <c r="H1088" s="138" t="s">
        <v>6298</v>
      </c>
      <c r="I1088" s="136">
        <v>941500773</v>
      </c>
      <c r="J1088" s="131" t="s">
        <v>2760</v>
      </c>
      <c r="K1088" s="139">
        <v>160970</v>
      </c>
    </row>
    <row r="1089" spans="1:11">
      <c r="A1089" s="1" t="str">
        <f t="shared" si="16"/>
        <v>15100-26197394-94150083573550</v>
      </c>
      <c r="B1089" s="136" t="s">
        <v>2824</v>
      </c>
      <c r="C1089" s="136" t="s">
        <v>10713</v>
      </c>
      <c r="D1089" s="132" t="s">
        <v>3420</v>
      </c>
      <c r="E1089" s="136" t="s">
        <v>2861</v>
      </c>
      <c r="F1089" s="136" t="s">
        <v>2861</v>
      </c>
      <c r="G1089" s="137">
        <v>1394395844001</v>
      </c>
      <c r="H1089" s="138" t="s">
        <v>6298</v>
      </c>
      <c r="I1089" s="136">
        <v>941500835</v>
      </c>
      <c r="J1089" s="131" t="s">
        <v>2876</v>
      </c>
      <c r="K1089" s="139">
        <v>73550</v>
      </c>
    </row>
    <row r="1090" spans="1:11">
      <c r="A1090" s="1" t="str">
        <f t="shared" si="16"/>
        <v>15100-26149694-94150080744540</v>
      </c>
      <c r="B1090" s="136" t="s">
        <v>10883</v>
      </c>
      <c r="C1090" s="136" t="s">
        <v>10884</v>
      </c>
      <c r="D1090" s="132" t="s">
        <v>3420</v>
      </c>
      <c r="E1090" s="136" t="s">
        <v>2757</v>
      </c>
      <c r="F1090" s="136" t="s">
        <v>2757</v>
      </c>
      <c r="G1090" s="137">
        <v>1394394802001</v>
      </c>
      <c r="H1090" s="138" t="s">
        <v>6298</v>
      </c>
      <c r="I1090" s="136">
        <v>941500807</v>
      </c>
      <c r="J1090" s="131" t="s">
        <v>2894</v>
      </c>
      <c r="K1090" s="139">
        <v>44540</v>
      </c>
    </row>
    <row r="1091" spans="1:11">
      <c r="A1091" s="1" t="str">
        <f t="shared" ref="A1091:A1154" si="17">B1091&amp;J1091&amp;K1091</f>
        <v>15100-35903095-95150050223540</v>
      </c>
      <c r="B1091" s="136" t="s">
        <v>4315</v>
      </c>
      <c r="C1091" s="136" t="s">
        <v>10911</v>
      </c>
      <c r="D1091" s="132" t="s">
        <v>3420</v>
      </c>
      <c r="E1091" s="136" t="s">
        <v>3967</v>
      </c>
      <c r="F1091" s="141" t="s">
        <v>3967</v>
      </c>
      <c r="G1091" s="137">
        <v>1395449894001</v>
      </c>
      <c r="H1091" s="140" t="s">
        <v>8845</v>
      </c>
      <c r="I1091" s="141">
        <v>951500502</v>
      </c>
      <c r="J1091" s="131" t="s">
        <v>4272</v>
      </c>
      <c r="K1091" s="142">
        <v>23540</v>
      </c>
    </row>
    <row r="1092" spans="1:11">
      <c r="A1092" s="1" t="str">
        <f t="shared" si="17"/>
        <v>15100-35101695-95150042048500</v>
      </c>
      <c r="B1092" s="136" t="s">
        <v>4122</v>
      </c>
      <c r="C1092" s="136" t="s">
        <v>10935</v>
      </c>
      <c r="D1092" s="132" t="s">
        <v>3420</v>
      </c>
      <c r="E1092" s="136" t="s">
        <v>3934</v>
      </c>
      <c r="F1092" s="136" t="s">
        <v>3934</v>
      </c>
      <c r="G1092" s="137">
        <v>1395441446001</v>
      </c>
      <c r="H1092" s="138" t="s">
        <v>6299</v>
      </c>
      <c r="I1092" s="136">
        <v>951500420</v>
      </c>
      <c r="J1092" s="131" t="s">
        <v>3978</v>
      </c>
      <c r="K1092" s="139">
        <v>48500</v>
      </c>
    </row>
    <row r="1093" spans="1:11">
      <c r="A1093" s="1" t="str">
        <f t="shared" si="17"/>
        <v>15100-37793095-95150047650580</v>
      </c>
      <c r="B1093" s="136" t="s">
        <v>4643</v>
      </c>
      <c r="C1093" s="136" t="s">
        <v>10918</v>
      </c>
      <c r="D1093" s="132" t="s">
        <v>3420</v>
      </c>
      <c r="E1093" s="136" t="s">
        <v>4660</v>
      </c>
      <c r="F1093" s="136" t="s">
        <v>4660</v>
      </c>
      <c r="G1093" s="137">
        <v>1395449236001</v>
      </c>
      <c r="H1093" s="138" t="s">
        <v>6298</v>
      </c>
      <c r="I1093" s="136">
        <v>951500476</v>
      </c>
      <c r="J1093" s="131" t="s">
        <v>4451</v>
      </c>
      <c r="K1093" s="139">
        <v>50580</v>
      </c>
    </row>
    <row r="1094" spans="1:11">
      <c r="A1094" s="1" t="str">
        <f t="shared" si="17"/>
        <v>15100-35659195-95150050250740</v>
      </c>
      <c r="B1094" s="136" t="s">
        <v>4118</v>
      </c>
      <c r="C1094" s="136" t="s">
        <v>10940</v>
      </c>
      <c r="D1094" s="132" t="s">
        <v>3420</v>
      </c>
      <c r="E1094" s="136" t="s">
        <v>4179</v>
      </c>
      <c r="F1094" s="141" t="s">
        <v>4179</v>
      </c>
      <c r="G1094" s="137">
        <v>1395449894001</v>
      </c>
      <c r="H1094" s="140" t="s">
        <v>8845</v>
      </c>
      <c r="I1094" s="141">
        <v>951500502</v>
      </c>
      <c r="J1094" s="131" t="s">
        <v>4272</v>
      </c>
      <c r="K1094" s="142">
        <v>50740</v>
      </c>
    </row>
    <row r="1095" spans="1:11">
      <c r="A1095" s="1" t="str">
        <f t="shared" si="17"/>
        <v>15100-25506895-951500012151210</v>
      </c>
      <c r="B1095" s="136" t="s">
        <v>2688</v>
      </c>
      <c r="C1095" s="136" t="s">
        <v>10966</v>
      </c>
      <c r="D1095" s="132" t="s">
        <v>3420</v>
      </c>
      <c r="E1095" s="136" t="s">
        <v>2609</v>
      </c>
      <c r="F1095" s="136" t="s">
        <v>2609</v>
      </c>
      <c r="G1095" s="137">
        <v>1394392647001</v>
      </c>
      <c r="H1095" s="138" t="s">
        <v>6454</v>
      </c>
      <c r="I1095" s="136">
        <v>951500012</v>
      </c>
      <c r="J1095" s="131" t="s">
        <v>2769</v>
      </c>
      <c r="K1095" s="139">
        <v>151210</v>
      </c>
    </row>
    <row r="1096" spans="1:11">
      <c r="A1096" s="1" t="str">
        <f t="shared" si="17"/>
        <v>15100-37061995-95150047677330</v>
      </c>
      <c r="B1096" s="136" t="s">
        <v>4374</v>
      </c>
      <c r="C1096" s="136" t="s">
        <v>10967</v>
      </c>
      <c r="D1096" s="132" t="s">
        <v>3420</v>
      </c>
      <c r="E1096" s="136" t="s">
        <v>4442</v>
      </c>
      <c r="F1096" s="136" t="s">
        <v>4442</v>
      </c>
      <c r="G1096" s="137">
        <v>1395449236001</v>
      </c>
      <c r="H1096" s="138" t="s">
        <v>6298</v>
      </c>
      <c r="I1096" s="136">
        <v>951500476</v>
      </c>
      <c r="J1096" s="131" t="s">
        <v>4451</v>
      </c>
      <c r="K1096" s="139">
        <v>77330</v>
      </c>
    </row>
    <row r="1097" spans="1:11">
      <c r="A1097" s="1" t="str">
        <f t="shared" si="17"/>
        <v>50100-823539895-9541000261430118</v>
      </c>
      <c r="B1097" s="136" t="s">
        <v>4403</v>
      </c>
      <c r="C1097" s="136" t="s">
        <v>10968</v>
      </c>
      <c r="D1097" s="132" t="s">
        <v>3420</v>
      </c>
      <c r="E1097" s="136" t="s">
        <v>4446</v>
      </c>
      <c r="F1097" s="136" t="s">
        <v>4446</v>
      </c>
      <c r="G1097" s="137">
        <v>1395455748001</v>
      </c>
      <c r="H1097" s="138" t="s">
        <v>10183</v>
      </c>
      <c r="I1097" s="136">
        <v>954100026</v>
      </c>
      <c r="J1097" s="131" t="s">
        <v>4462</v>
      </c>
      <c r="K1097" s="139">
        <v>1430118</v>
      </c>
    </row>
    <row r="1098" spans="1:11">
      <c r="A1098" s="1" t="str">
        <f t="shared" si="17"/>
        <v>50100-713364794-94150081788405</v>
      </c>
      <c r="B1098" s="136" t="s">
        <v>10642</v>
      </c>
      <c r="C1098" s="136" t="s">
        <v>10643</v>
      </c>
      <c r="D1098" s="132" t="s">
        <v>3420</v>
      </c>
      <c r="E1098" s="136" t="s">
        <v>2611</v>
      </c>
      <c r="F1098" s="136" t="s">
        <v>2611</v>
      </c>
      <c r="G1098" s="137">
        <v>1394394802001</v>
      </c>
      <c r="H1098" s="138" t="s">
        <v>6298</v>
      </c>
      <c r="I1098" s="136">
        <v>941500817</v>
      </c>
      <c r="J1098" s="131" t="s">
        <v>2641</v>
      </c>
      <c r="K1098" s="139">
        <v>88405</v>
      </c>
    </row>
    <row r="1099" spans="1:11">
      <c r="A1099" s="1" t="str">
        <f t="shared" si="17"/>
        <v>50100-743955795-951500156174115</v>
      </c>
      <c r="B1099" s="136" t="s">
        <v>3154</v>
      </c>
      <c r="C1099" s="136" t="s">
        <v>10656</v>
      </c>
      <c r="D1099" s="132" t="s">
        <v>3420</v>
      </c>
      <c r="E1099" s="136" t="s">
        <v>3169</v>
      </c>
      <c r="F1099" s="136" t="s">
        <v>3169</v>
      </c>
      <c r="G1099" s="137">
        <v>1395397987001</v>
      </c>
      <c r="H1099" s="138" t="s">
        <v>10183</v>
      </c>
      <c r="I1099" s="136">
        <v>951500156</v>
      </c>
      <c r="J1099" s="131" t="s">
        <v>3096</v>
      </c>
      <c r="K1099" s="139">
        <v>174115</v>
      </c>
    </row>
    <row r="1100" spans="1:11">
      <c r="A1100" s="1" t="str">
        <f t="shared" si="17"/>
        <v>50100-765764495-95150011814065</v>
      </c>
      <c r="B1100" s="136" t="s">
        <v>10645</v>
      </c>
      <c r="C1100" s="136" t="s">
        <v>10646</v>
      </c>
      <c r="D1100" s="132" t="s">
        <v>3420</v>
      </c>
      <c r="E1100" s="136" t="s">
        <v>3397</v>
      </c>
      <c r="F1100" s="136" t="s">
        <v>3397</v>
      </c>
      <c r="G1100" s="137">
        <v>1394395845001</v>
      </c>
      <c r="H1100" s="138" t="s">
        <v>6453</v>
      </c>
      <c r="I1100" s="136">
        <v>951500118</v>
      </c>
      <c r="J1100" s="131" t="s">
        <v>3346</v>
      </c>
      <c r="K1100" s="139">
        <v>14065</v>
      </c>
    </row>
    <row r="1101" spans="1:11">
      <c r="A1101" s="1" t="str">
        <f t="shared" si="17"/>
        <v>50100-716062794-941500843495120</v>
      </c>
      <c r="B1101" s="136" t="s">
        <v>10969</v>
      </c>
      <c r="C1101" s="136" t="s">
        <v>10970</v>
      </c>
      <c r="D1101" s="132" t="s">
        <v>3420</v>
      </c>
      <c r="E1101" s="136" t="s">
        <v>2618</v>
      </c>
      <c r="F1101" s="136" t="s">
        <v>2618</v>
      </c>
      <c r="G1101" s="137">
        <v>1394395844001</v>
      </c>
      <c r="H1101" s="138" t="s">
        <v>6298</v>
      </c>
      <c r="I1101" s="136">
        <v>941500843</v>
      </c>
      <c r="J1101" s="131" t="s">
        <v>2644</v>
      </c>
      <c r="K1101" s="139">
        <v>495120</v>
      </c>
    </row>
    <row r="1102" spans="1:11">
      <c r="A1102" s="1" t="str">
        <f t="shared" si="17"/>
        <v>50100-833477295-951500465497285</v>
      </c>
      <c r="B1102" s="136" t="s">
        <v>4568</v>
      </c>
      <c r="C1102" s="136" t="s">
        <v>10971</v>
      </c>
      <c r="D1102" s="132" t="s">
        <v>3420</v>
      </c>
      <c r="E1102" s="136" t="s">
        <v>4517</v>
      </c>
      <c r="F1102" s="136" t="s">
        <v>4517</v>
      </c>
      <c r="G1102" s="137">
        <v>1395447377001</v>
      </c>
      <c r="H1102" s="138" t="s">
        <v>6301</v>
      </c>
      <c r="I1102" s="136">
        <v>951500465</v>
      </c>
      <c r="J1102" s="131" t="s">
        <v>4221</v>
      </c>
      <c r="K1102" s="139">
        <v>497285</v>
      </c>
    </row>
    <row r="1103" spans="1:11">
      <c r="A1103" s="1" t="str">
        <f t="shared" si="17"/>
        <v>50100-844838995-951500581497850</v>
      </c>
      <c r="B1103" s="136" t="s">
        <v>4813</v>
      </c>
      <c r="C1103" s="136" t="s">
        <v>10972</v>
      </c>
      <c r="D1103" s="132" t="s">
        <v>3420</v>
      </c>
      <c r="E1103" s="136" t="s">
        <v>4877</v>
      </c>
      <c r="F1103" s="136" t="s">
        <v>4877</v>
      </c>
      <c r="G1103" s="137">
        <v>1395451404001</v>
      </c>
      <c r="H1103" s="138" t="s">
        <v>6456</v>
      </c>
      <c r="I1103" s="136">
        <v>951500581</v>
      </c>
      <c r="J1103" s="131" t="s">
        <v>4940</v>
      </c>
      <c r="K1103" s="139">
        <v>497850</v>
      </c>
    </row>
    <row r="1104" spans="1:11">
      <c r="A1104" s="1" t="str">
        <f t="shared" si="17"/>
        <v>50100-716098795-951500009700000</v>
      </c>
      <c r="B1104" s="136" t="s">
        <v>2594</v>
      </c>
      <c r="C1104" s="136" t="s">
        <v>10657</v>
      </c>
      <c r="D1104" s="132" t="s">
        <v>3420</v>
      </c>
      <c r="E1104" s="136" t="s">
        <v>2618</v>
      </c>
      <c r="F1104" s="136" t="s">
        <v>2618</v>
      </c>
      <c r="G1104" s="137">
        <v>1394392647001</v>
      </c>
      <c r="H1104" s="138" t="s">
        <v>6454</v>
      </c>
      <c r="I1104" s="136">
        <v>951500009</v>
      </c>
      <c r="J1104" s="131" t="s">
        <v>2646</v>
      </c>
      <c r="K1104" s="139">
        <v>700000</v>
      </c>
    </row>
    <row r="1105" spans="1:11">
      <c r="A1105" s="1" t="str">
        <f t="shared" si="17"/>
        <v>15100-29285794-941500594293640</v>
      </c>
      <c r="B1105" s="136" t="s">
        <v>10714</v>
      </c>
      <c r="C1105" s="136" t="s">
        <v>10715</v>
      </c>
      <c r="D1105" s="132" t="s">
        <v>3420</v>
      </c>
      <c r="E1105" s="136" t="s">
        <v>3276</v>
      </c>
      <c r="F1105" s="136" t="s">
        <v>3276</v>
      </c>
      <c r="G1105" s="137">
        <v>1394376735001</v>
      </c>
      <c r="H1105" s="138" t="s">
        <v>10183</v>
      </c>
      <c r="I1105" s="136">
        <v>941500594</v>
      </c>
      <c r="J1105" s="131" t="s">
        <v>7099</v>
      </c>
      <c r="K1105" s="139">
        <v>293640</v>
      </c>
    </row>
    <row r="1106" spans="1:11">
      <c r="A1106" s="1" t="str">
        <f t="shared" si="17"/>
        <v>15100-36532695-951500523104040</v>
      </c>
      <c r="B1106" s="136" t="s">
        <v>4332</v>
      </c>
      <c r="C1106" s="136" t="s">
        <v>10679</v>
      </c>
      <c r="D1106" s="132" t="s">
        <v>3420</v>
      </c>
      <c r="E1106" s="136" t="s">
        <v>4175</v>
      </c>
      <c r="F1106" s="136" t="s">
        <v>4175</v>
      </c>
      <c r="G1106" s="137">
        <v>1395449236001</v>
      </c>
      <c r="H1106" s="138" t="s">
        <v>6298</v>
      </c>
      <c r="I1106" s="136">
        <v>951500523</v>
      </c>
      <c r="J1106" s="131" t="s">
        <v>4347</v>
      </c>
      <c r="K1106" s="139">
        <v>104040</v>
      </c>
    </row>
    <row r="1107" spans="1:11">
      <c r="A1107" s="1" t="str">
        <f t="shared" si="17"/>
        <v>15100-36123795-95150052348530</v>
      </c>
      <c r="B1107" s="136" t="s">
        <v>4313</v>
      </c>
      <c r="C1107" s="136" t="s">
        <v>10973</v>
      </c>
      <c r="D1107" s="132" t="s">
        <v>3420</v>
      </c>
      <c r="E1107" s="136" t="s">
        <v>4170</v>
      </c>
      <c r="F1107" s="136" t="s">
        <v>4170</v>
      </c>
      <c r="G1107" s="137">
        <v>1395449236001</v>
      </c>
      <c r="H1107" s="138" t="s">
        <v>6298</v>
      </c>
      <c r="I1107" s="136">
        <v>951500523</v>
      </c>
      <c r="J1107" s="131" t="s">
        <v>4347</v>
      </c>
      <c r="K1107" s="139">
        <v>48530</v>
      </c>
    </row>
    <row r="1108" spans="1:11">
      <c r="A1108" s="1" t="str">
        <f t="shared" si="17"/>
        <v>15100-34651795-95150030735988</v>
      </c>
      <c r="B1108" s="136" t="s">
        <v>4108</v>
      </c>
      <c r="C1108" s="136" t="s">
        <v>10974</v>
      </c>
      <c r="D1108" s="132" t="s">
        <v>3420</v>
      </c>
      <c r="E1108" s="136" t="s">
        <v>3936</v>
      </c>
      <c r="F1108" s="136" t="s">
        <v>3936</v>
      </c>
      <c r="G1108" s="137">
        <v>1395438159001</v>
      </c>
      <c r="H1108" s="138" t="s">
        <v>6298</v>
      </c>
      <c r="I1108" s="136">
        <v>951500307</v>
      </c>
      <c r="J1108" s="131" t="s">
        <v>4301</v>
      </c>
      <c r="K1108" s="139">
        <v>35988</v>
      </c>
    </row>
    <row r="1109" spans="1:11">
      <c r="A1109" s="1" t="str">
        <f t="shared" si="17"/>
        <v>15100-35473095-95150041269690</v>
      </c>
      <c r="B1109" s="136" t="s">
        <v>4163</v>
      </c>
      <c r="C1109" s="136" t="s">
        <v>10975</v>
      </c>
      <c r="D1109" s="132" t="s">
        <v>3420</v>
      </c>
      <c r="E1109" s="136" t="s">
        <v>4176</v>
      </c>
      <c r="F1109" s="136" t="s">
        <v>4176</v>
      </c>
      <c r="G1109" s="137">
        <v>1395447369001</v>
      </c>
      <c r="H1109" s="138" t="s">
        <v>6298</v>
      </c>
      <c r="I1109" s="136">
        <v>951500412</v>
      </c>
      <c r="J1109" s="131" t="s">
        <v>4304</v>
      </c>
      <c r="K1109" s="139">
        <v>69690</v>
      </c>
    </row>
    <row r="1110" spans="1:11">
      <c r="A1110" s="1" t="str">
        <f t="shared" si="17"/>
        <v>50100-725728494-941500823100000</v>
      </c>
      <c r="B1110" s="136" t="s">
        <v>10976</v>
      </c>
      <c r="C1110" s="136" t="s">
        <v>10977</v>
      </c>
      <c r="D1110" s="132" t="s">
        <v>3420</v>
      </c>
      <c r="E1110" s="136" t="s">
        <v>2869</v>
      </c>
      <c r="F1110" s="136" t="s">
        <v>2869</v>
      </c>
      <c r="G1110" s="137">
        <v>1394394802001</v>
      </c>
      <c r="H1110" s="138" t="s">
        <v>6298</v>
      </c>
      <c r="I1110" s="136">
        <v>941500823</v>
      </c>
      <c r="J1110" s="131" t="s">
        <v>2654</v>
      </c>
      <c r="K1110" s="139">
        <v>100000</v>
      </c>
    </row>
    <row r="1111" spans="1:11">
      <c r="A1111" s="1" t="str">
        <f t="shared" si="17"/>
        <v>50100-755494495-95150018199540</v>
      </c>
      <c r="B1111" s="136" t="s">
        <v>3315</v>
      </c>
      <c r="C1111" s="136" t="s">
        <v>10647</v>
      </c>
      <c r="D1111" s="132" t="s">
        <v>3420</v>
      </c>
      <c r="E1111" s="136" t="s">
        <v>3327</v>
      </c>
      <c r="F1111" s="136" t="s">
        <v>3327</v>
      </c>
      <c r="G1111" s="137">
        <v>1395401420001</v>
      </c>
      <c r="H1111" s="138" t="s">
        <v>6298</v>
      </c>
      <c r="I1111" s="136">
        <v>951500181</v>
      </c>
      <c r="J1111" s="131" t="s">
        <v>3354</v>
      </c>
      <c r="K1111" s="139">
        <v>99540</v>
      </c>
    </row>
    <row r="1112" spans="1:11">
      <c r="A1112" s="1" t="str">
        <f t="shared" si="17"/>
        <v>50100-726849495-951500071399220</v>
      </c>
      <c r="B1112" s="136" t="s">
        <v>3018</v>
      </c>
      <c r="C1112" s="136" t="s">
        <v>10978</v>
      </c>
      <c r="D1112" s="132" t="s">
        <v>3420</v>
      </c>
      <c r="E1112" s="136" t="s">
        <v>2864</v>
      </c>
      <c r="F1112" s="136" t="s">
        <v>2864</v>
      </c>
      <c r="G1112" s="137">
        <v>1394395845001</v>
      </c>
      <c r="H1112" s="138" t="s">
        <v>6453</v>
      </c>
      <c r="I1112" s="136">
        <v>951500071</v>
      </c>
      <c r="J1112" s="131" t="s">
        <v>3085</v>
      </c>
      <c r="K1112" s="139">
        <v>399220</v>
      </c>
    </row>
    <row r="1113" spans="1:11">
      <c r="A1113" s="1" t="str">
        <f t="shared" si="17"/>
        <v>15100-36436595-95150054124660</v>
      </c>
      <c r="B1113" s="136" t="s">
        <v>4333</v>
      </c>
      <c r="C1113" s="136" t="s">
        <v>10979</v>
      </c>
      <c r="D1113" s="132" t="s">
        <v>3420</v>
      </c>
      <c r="E1113" s="136" t="s">
        <v>4173</v>
      </c>
      <c r="F1113" s="141" t="s">
        <v>4173</v>
      </c>
      <c r="G1113" s="137">
        <v>1395452683001</v>
      </c>
      <c r="H1113" s="140" t="s">
        <v>8845</v>
      </c>
      <c r="I1113" s="141">
        <v>951500541</v>
      </c>
      <c r="J1113" s="131" t="s">
        <v>4352</v>
      </c>
      <c r="K1113" s="142">
        <v>24660</v>
      </c>
    </row>
    <row r="1114" spans="1:11">
      <c r="A1114" s="1" t="str">
        <f t="shared" si="17"/>
        <v>15100-34954595-95150038649160</v>
      </c>
      <c r="B1114" s="136" t="s">
        <v>4113</v>
      </c>
      <c r="C1114" s="136" t="s">
        <v>10681</v>
      </c>
      <c r="D1114" s="132" t="s">
        <v>3420</v>
      </c>
      <c r="E1114" s="136" t="s">
        <v>3965</v>
      </c>
      <c r="F1114" s="136" t="s">
        <v>3965</v>
      </c>
      <c r="G1114" s="137">
        <v>1395445412001</v>
      </c>
      <c r="H1114" s="138" t="s">
        <v>6298</v>
      </c>
      <c r="I1114" s="136">
        <v>951500386</v>
      </c>
      <c r="J1114" s="131" t="s">
        <v>4290</v>
      </c>
      <c r="K1114" s="139">
        <v>49160</v>
      </c>
    </row>
    <row r="1115" spans="1:11">
      <c r="A1115" s="1" t="str">
        <f t="shared" si="17"/>
        <v>15100-37690695-95150047629230</v>
      </c>
      <c r="B1115" s="136" t="s">
        <v>4645</v>
      </c>
      <c r="C1115" s="136" t="s">
        <v>10684</v>
      </c>
      <c r="D1115" s="132" t="s">
        <v>3420</v>
      </c>
      <c r="E1115" s="136" t="s">
        <v>4661</v>
      </c>
      <c r="F1115" s="136" t="s">
        <v>4661</v>
      </c>
      <c r="G1115" s="137">
        <v>1395449236001</v>
      </c>
      <c r="H1115" s="138" t="s">
        <v>6298</v>
      </c>
      <c r="I1115" s="136">
        <v>951500476</v>
      </c>
      <c r="J1115" s="131" t="s">
        <v>4451</v>
      </c>
      <c r="K1115" s="139">
        <v>29230</v>
      </c>
    </row>
    <row r="1116" spans="1:11">
      <c r="A1116" s="1" t="str">
        <f t="shared" si="17"/>
        <v>15100-32841395-95150012591780</v>
      </c>
      <c r="B1116" s="136" t="s">
        <v>3606</v>
      </c>
      <c r="C1116" s="136" t="s">
        <v>10980</v>
      </c>
      <c r="D1116" s="132" t="s">
        <v>3420</v>
      </c>
      <c r="E1116" s="136" t="s">
        <v>3666</v>
      </c>
      <c r="F1116" s="136" t="s">
        <v>3666</v>
      </c>
      <c r="G1116" s="137">
        <v>1395397985001</v>
      </c>
      <c r="H1116" s="138" t="s">
        <v>6298</v>
      </c>
      <c r="I1116" s="136">
        <v>951500125</v>
      </c>
      <c r="J1116" s="131" t="s">
        <v>3653</v>
      </c>
      <c r="K1116" s="139">
        <v>91780</v>
      </c>
    </row>
    <row r="1117" spans="1:11">
      <c r="A1117" s="1" t="str">
        <f t="shared" si="17"/>
        <v>15100-33167295-95150027070640</v>
      </c>
      <c r="B1117" s="136" t="s">
        <v>3607</v>
      </c>
      <c r="C1117" s="136" t="s">
        <v>10981</v>
      </c>
      <c r="D1117" s="132" t="s">
        <v>3420</v>
      </c>
      <c r="E1117" s="136" t="s">
        <v>3714</v>
      </c>
      <c r="F1117" s="136" t="s">
        <v>3714</v>
      </c>
      <c r="G1117" s="137">
        <v>1395435642001</v>
      </c>
      <c r="H1117" s="138" t="s">
        <v>10206</v>
      </c>
      <c r="I1117" s="136">
        <v>951500270</v>
      </c>
      <c r="J1117" s="131" t="s">
        <v>3654</v>
      </c>
      <c r="K1117" s="139">
        <v>70640</v>
      </c>
    </row>
    <row r="1118" spans="1:11">
      <c r="A1118" s="1" t="str">
        <f t="shared" si="17"/>
        <v>15100-38297695-95150027019400</v>
      </c>
      <c r="B1118" s="136" t="s">
        <v>4745</v>
      </c>
      <c r="C1118" s="136" t="s">
        <v>10982</v>
      </c>
      <c r="D1118" s="132" t="s">
        <v>3420</v>
      </c>
      <c r="E1118" s="136" t="s">
        <v>4719</v>
      </c>
      <c r="F1118" s="136" t="s">
        <v>4719</v>
      </c>
      <c r="G1118" s="137">
        <v>1395435642001</v>
      </c>
      <c r="H1118" s="138" t="s">
        <v>10206</v>
      </c>
      <c r="I1118" s="136">
        <v>951500270</v>
      </c>
      <c r="J1118" s="131" t="s">
        <v>3654</v>
      </c>
      <c r="K1118" s="139">
        <v>19400</v>
      </c>
    </row>
    <row r="1119" spans="1:11">
      <c r="A1119" s="1" t="str">
        <f t="shared" si="17"/>
        <v>15100-36929195-951500489372300</v>
      </c>
      <c r="B1119" s="136" t="s">
        <v>4375</v>
      </c>
      <c r="C1119" s="136" t="s">
        <v>10983</v>
      </c>
      <c r="D1119" s="132" t="s">
        <v>3420</v>
      </c>
      <c r="E1119" s="136" t="s">
        <v>4307</v>
      </c>
      <c r="F1119" s="136" t="s">
        <v>4307</v>
      </c>
      <c r="G1119" s="137">
        <v>1395449241001</v>
      </c>
      <c r="H1119" s="138" t="s">
        <v>6299</v>
      </c>
      <c r="I1119" s="136">
        <v>951500489</v>
      </c>
      <c r="J1119" s="131" t="s">
        <v>4271</v>
      </c>
      <c r="K1119" s="139">
        <v>372300</v>
      </c>
    </row>
    <row r="1120" spans="1:11">
      <c r="A1120" s="1" t="str">
        <f t="shared" si="17"/>
        <v>50100-714710894-942500113478458</v>
      </c>
      <c r="B1120" s="136" t="s">
        <v>10984</v>
      </c>
      <c r="C1120" s="136" t="s">
        <v>10985</v>
      </c>
      <c r="D1120" s="132" t="s">
        <v>3420</v>
      </c>
      <c r="E1120" s="136" t="s">
        <v>2619</v>
      </c>
      <c r="F1120" s="136" t="s">
        <v>2619</v>
      </c>
      <c r="G1120" s="137">
        <v>1394394801001</v>
      </c>
      <c r="H1120" s="138" t="s">
        <v>10183</v>
      </c>
      <c r="I1120" s="136">
        <v>942500113</v>
      </c>
      <c r="J1120" s="131" t="s">
        <v>7096</v>
      </c>
      <c r="K1120" s="139">
        <v>478458</v>
      </c>
    </row>
    <row r="1121" spans="1:11">
      <c r="A1121" s="1" t="str">
        <f t="shared" si="17"/>
        <v>50100-715003994-9425001011078</v>
      </c>
      <c r="B1121" s="136" t="s">
        <v>10986</v>
      </c>
      <c r="C1121" s="136" t="s">
        <v>10987</v>
      </c>
      <c r="D1121" s="132" t="s">
        <v>3420</v>
      </c>
      <c r="E1121" s="136" t="s">
        <v>2609</v>
      </c>
      <c r="F1121" s="136" t="s">
        <v>2609</v>
      </c>
      <c r="G1121" s="137">
        <v>1394390727001</v>
      </c>
      <c r="H1121" s="138" t="s">
        <v>10183</v>
      </c>
      <c r="I1121" s="136">
        <v>942500101</v>
      </c>
      <c r="J1121" s="131" t="s">
        <v>7051</v>
      </c>
      <c r="K1121" s="139">
        <v>1078</v>
      </c>
    </row>
    <row r="1122" spans="1:11">
      <c r="A1122" s="1" t="str">
        <f t="shared" si="17"/>
        <v>15100-39570995-95150051787125</v>
      </c>
      <c r="B1122" s="136" t="s">
        <v>4835</v>
      </c>
      <c r="C1122" s="136" t="s">
        <v>10988</v>
      </c>
      <c r="D1122" s="132" t="s">
        <v>3420</v>
      </c>
      <c r="E1122" s="136" t="s">
        <v>4876</v>
      </c>
      <c r="F1122" s="136" t="s">
        <v>4876</v>
      </c>
      <c r="G1122" s="137">
        <v>1395451400001</v>
      </c>
      <c r="H1122" s="138" t="s">
        <v>6454</v>
      </c>
      <c r="I1122" s="136">
        <v>951500517</v>
      </c>
      <c r="J1122" s="131" t="s">
        <v>4955</v>
      </c>
      <c r="K1122" s="139">
        <v>87125</v>
      </c>
    </row>
    <row r="1123" spans="1:11">
      <c r="A1123" s="1" t="str">
        <f t="shared" si="17"/>
        <v>50100-825369195-952500071395148</v>
      </c>
      <c r="B1123" s="136" t="s">
        <v>4554</v>
      </c>
      <c r="C1123" s="136" t="s">
        <v>10989</v>
      </c>
      <c r="D1123" s="132" t="s">
        <v>3420</v>
      </c>
      <c r="E1123" s="136" t="s">
        <v>4575</v>
      </c>
      <c r="F1123" s="136" t="s">
        <v>4575</v>
      </c>
      <c r="G1123" s="137">
        <v>1395452682001</v>
      </c>
      <c r="H1123" s="138" t="s">
        <v>10183</v>
      </c>
      <c r="I1123" s="136">
        <v>952500071</v>
      </c>
      <c r="J1123" s="131" t="s">
        <v>4474</v>
      </c>
      <c r="K1123" s="139">
        <v>395148</v>
      </c>
    </row>
    <row r="1124" spans="1:11">
      <c r="A1124" s="1" t="str">
        <f t="shared" si="17"/>
        <v>50100-820908595-9515004838760</v>
      </c>
      <c r="B1124" s="136" t="s">
        <v>4419</v>
      </c>
      <c r="C1124" s="136" t="s">
        <v>10990</v>
      </c>
      <c r="D1124" s="132" t="s">
        <v>3420</v>
      </c>
      <c r="E1124" s="136" t="s">
        <v>4440</v>
      </c>
      <c r="F1124" s="136" t="s">
        <v>4440</v>
      </c>
      <c r="G1124" s="137">
        <v>1395445413001</v>
      </c>
      <c r="H1124" s="138" t="s">
        <v>6300</v>
      </c>
      <c r="I1124" s="136">
        <v>951500483</v>
      </c>
      <c r="J1124" s="131" t="s">
        <v>4483</v>
      </c>
      <c r="K1124" s="139">
        <v>8760</v>
      </c>
    </row>
    <row r="1125" spans="1:11">
      <c r="A1125" s="1" t="str">
        <f t="shared" si="17"/>
        <v>15100-27649794-94150082028910</v>
      </c>
      <c r="B1125" s="136" t="s">
        <v>10991</v>
      </c>
      <c r="C1125" s="136" t="s">
        <v>10992</v>
      </c>
      <c r="D1125" s="132" t="s">
        <v>3420</v>
      </c>
      <c r="E1125" s="136" t="s">
        <v>3043</v>
      </c>
      <c r="F1125" s="136" t="s">
        <v>3043</v>
      </c>
      <c r="G1125" s="137">
        <v>1394394802001</v>
      </c>
      <c r="H1125" s="138" t="s">
        <v>6298</v>
      </c>
      <c r="I1125" s="136">
        <v>941500820</v>
      </c>
      <c r="J1125" s="131" t="s">
        <v>2892</v>
      </c>
      <c r="K1125" s="139">
        <v>28910</v>
      </c>
    </row>
    <row r="1126" spans="1:11">
      <c r="A1126" s="1" t="str">
        <f t="shared" si="17"/>
        <v>15100-26612895-951500099146670</v>
      </c>
      <c r="B1126" s="136" t="s">
        <v>2827</v>
      </c>
      <c r="C1126" s="136" t="s">
        <v>10958</v>
      </c>
      <c r="D1126" s="132" t="s">
        <v>3420</v>
      </c>
      <c r="E1126" s="136" t="s">
        <v>2864</v>
      </c>
      <c r="F1126" s="136" t="s">
        <v>2864</v>
      </c>
      <c r="G1126" s="137">
        <v>1395397985001</v>
      </c>
      <c r="H1126" s="138" t="s">
        <v>6298</v>
      </c>
      <c r="I1126" s="136">
        <v>951500099</v>
      </c>
      <c r="J1126" s="131" t="s">
        <v>2880</v>
      </c>
      <c r="K1126" s="139">
        <v>146670</v>
      </c>
    </row>
    <row r="1127" spans="1:11">
      <c r="A1127" s="1" t="str">
        <f t="shared" si="17"/>
        <v>15100-36625095-951500545114660</v>
      </c>
      <c r="B1127" s="136" t="s">
        <v>4386</v>
      </c>
      <c r="C1127" s="136" t="s">
        <v>10960</v>
      </c>
      <c r="D1127" s="132" t="s">
        <v>3420</v>
      </c>
      <c r="E1127" s="136" t="s">
        <v>4443</v>
      </c>
      <c r="F1127" s="136" t="s">
        <v>4443</v>
      </c>
      <c r="G1127" s="137">
        <v>1395447372001</v>
      </c>
      <c r="H1127" s="138" t="s">
        <v>6300</v>
      </c>
      <c r="I1127" s="136">
        <v>951500545</v>
      </c>
      <c r="J1127" s="131" t="s">
        <v>4453</v>
      </c>
      <c r="K1127" s="139">
        <v>114660</v>
      </c>
    </row>
    <row r="1128" spans="1:11">
      <c r="A1128" s="1" t="str">
        <f t="shared" si="17"/>
        <v>15100-29242395-95150004470160</v>
      </c>
      <c r="B1128" s="136" t="s">
        <v>3270</v>
      </c>
      <c r="C1128" s="136" t="s">
        <v>10993</v>
      </c>
      <c r="D1128" s="132" t="s">
        <v>3420</v>
      </c>
      <c r="E1128" s="136" t="s">
        <v>3282</v>
      </c>
      <c r="F1128" s="136" t="s">
        <v>3282</v>
      </c>
      <c r="G1128" s="137">
        <v>1394395845001</v>
      </c>
      <c r="H1128" s="138" t="s">
        <v>6453</v>
      </c>
      <c r="I1128" s="136">
        <v>951500044</v>
      </c>
      <c r="J1128" s="131" t="s">
        <v>3053</v>
      </c>
      <c r="K1128" s="139">
        <v>70160</v>
      </c>
    </row>
    <row r="1129" spans="1:11">
      <c r="A1129" s="1" t="str">
        <f t="shared" si="17"/>
        <v>15100-34523795-95150037572620</v>
      </c>
      <c r="B1129" s="136" t="s">
        <v>3776</v>
      </c>
      <c r="C1129" s="136" t="s">
        <v>10938</v>
      </c>
      <c r="D1129" s="132" t="s">
        <v>3420</v>
      </c>
      <c r="E1129" s="136" t="s">
        <v>3823</v>
      </c>
      <c r="F1129" s="136" t="s">
        <v>3823</v>
      </c>
      <c r="G1129" s="137">
        <v>1395441908001</v>
      </c>
      <c r="H1129" s="138" t="s">
        <v>6298</v>
      </c>
      <c r="I1129" s="136">
        <v>951500375</v>
      </c>
      <c r="J1129" s="131" t="s">
        <v>3842</v>
      </c>
      <c r="K1129" s="139">
        <v>72620</v>
      </c>
    </row>
    <row r="1130" spans="1:11">
      <c r="A1130" s="1" t="str">
        <f t="shared" si="17"/>
        <v>15100-37793095-95150055221620</v>
      </c>
      <c r="B1130" s="136" t="s">
        <v>4643</v>
      </c>
      <c r="C1130" s="136" t="s">
        <v>10918</v>
      </c>
      <c r="D1130" s="132" t="s">
        <v>3420</v>
      </c>
      <c r="E1130" s="136" t="s">
        <v>4660</v>
      </c>
      <c r="F1130" s="136" t="s">
        <v>4660</v>
      </c>
      <c r="G1130" s="137">
        <v>1395452679001</v>
      </c>
      <c r="H1130" s="138" t="s">
        <v>6298</v>
      </c>
      <c r="I1130" s="136">
        <v>951500552</v>
      </c>
      <c r="J1130" s="131" t="s">
        <v>4577</v>
      </c>
      <c r="K1130" s="139">
        <v>21620</v>
      </c>
    </row>
    <row r="1131" spans="1:11">
      <c r="A1131" s="1" t="str">
        <f t="shared" si="17"/>
        <v>15100-35659495-95150041968620</v>
      </c>
      <c r="B1131" s="136" t="s">
        <v>4117</v>
      </c>
      <c r="C1131" s="136" t="s">
        <v>10941</v>
      </c>
      <c r="D1131" s="132" t="s">
        <v>3420</v>
      </c>
      <c r="E1131" s="136" t="s">
        <v>4179</v>
      </c>
      <c r="F1131" s="136" t="s">
        <v>4179</v>
      </c>
      <c r="G1131" s="137">
        <v>1395445412001</v>
      </c>
      <c r="H1131" s="138" t="s">
        <v>6298</v>
      </c>
      <c r="I1131" s="136">
        <v>951500419</v>
      </c>
      <c r="J1131" s="131" t="s">
        <v>4296</v>
      </c>
      <c r="K1131" s="139">
        <v>68620</v>
      </c>
    </row>
    <row r="1132" spans="1:11">
      <c r="A1132" s="1" t="str">
        <f t="shared" si="17"/>
        <v>15100-38757995-95150057947480</v>
      </c>
      <c r="B1132" s="136" t="s">
        <v>4747</v>
      </c>
      <c r="C1132" s="136" t="s">
        <v>10994</v>
      </c>
      <c r="D1132" s="132" t="s">
        <v>3420</v>
      </c>
      <c r="E1132" s="136" t="s">
        <v>4866</v>
      </c>
      <c r="F1132" s="136" t="s">
        <v>4866</v>
      </c>
      <c r="G1132" s="137">
        <v>1395455038001</v>
      </c>
      <c r="H1132" s="138" t="s">
        <v>6298</v>
      </c>
      <c r="I1132" s="136">
        <v>951500579</v>
      </c>
      <c r="J1132" s="131" t="s">
        <v>4893</v>
      </c>
      <c r="K1132" s="139">
        <v>47480</v>
      </c>
    </row>
    <row r="1133" spans="1:11">
      <c r="A1133" s="1" t="str">
        <f t="shared" si="17"/>
        <v>15100-38762495-95150058747800</v>
      </c>
      <c r="B1133" s="136" t="s">
        <v>4748</v>
      </c>
      <c r="C1133" s="136" t="s">
        <v>10995</v>
      </c>
      <c r="D1133" s="132" t="s">
        <v>3420</v>
      </c>
      <c r="E1133" s="136" t="s">
        <v>4866</v>
      </c>
      <c r="F1133" s="136" t="s">
        <v>4866</v>
      </c>
      <c r="G1133" s="137">
        <v>1395449239001</v>
      </c>
      <c r="H1133" s="138" t="s">
        <v>6299</v>
      </c>
      <c r="I1133" s="136">
        <v>951500587</v>
      </c>
      <c r="J1133" s="131" t="s">
        <v>4889</v>
      </c>
      <c r="K1133" s="139">
        <v>47800</v>
      </c>
    </row>
    <row r="1134" spans="1:11">
      <c r="A1134" s="1" t="str">
        <f t="shared" si="17"/>
        <v>15100-36234195-95150051926180</v>
      </c>
      <c r="B1134" s="136" t="s">
        <v>4328</v>
      </c>
      <c r="C1134" s="136" t="s">
        <v>10996</v>
      </c>
      <c r="D1134" s="132" t="s">
        <v>3420</v>
      </c>
      <c r="E1134" s="136" t="s">
        <v>4171</v>
      </c>
      <c r="F1134" s="141" t="s">
        <v>4171</v>
      </c>
      <c r="G1134" s="137">
        <v>1395451403001</v>
      </c>
      <c r="H1134" s="140" t="s">
        <v>8845</v>
      </c>
      <c r="I1134" s="141">
        <v>951500519</v>
      </c>
      <c r="J1134" s="131" t="s">
        <v>4355</v>
      </c>
      <c r="K1134" s="142">
        <v>26180</v>
      </c>
    </row>
    <row r="1135" spans="1:11">
      <c r="A1135" s="1" t="str">
        <f t="shared" si="17"/>
        <v>15100-29216694-941500834120660</v>
      </c>
      <c r="B1135" s="136" t="s">
        <v>3264</v>
      </c>
      <c r="C1135" s="136" t="s">
        <v>10708</v>
      </c>
      <c r="D1135" s="132" t="s">
        <v>3420</v>
      </c>
      <c r="E1135" s="136" t="s">
        <v>3277</v>
      </c>
      <c r="F1135" s="136" t="s">
        <v>3277</v>
      </c>
      <c r="G1135" s="137">
        <v>1394395844001</v>
      </c>
      <c r="H1135" s="138" t="s">
        <v>6298</v>
      </c>
      <c r="I1135" s="136">
        <v>941500834</v>
      </c>
      <c r="J1135" s="131" t="s">
        <v>2772</v>
      </c>
      <c r="K1135" s="139">
        <v>120660</v>
      </c>
    </row>
    <row r="1136" spans="1:11">
      <c r="A1136" s="1" t="str">
        <f t="shared" si="17"/>
        <v>15100-29490595-951500044149040</v>
      </c>
      <c r="B1136" s="136" t="s">
        <v>3265</v>
      </c>
      <c r="C1136" s="136" t="s">
        <v>10955</v>
      </c>
      <c r="D1136" s="132" t="s">
        <v>3420</v>
      </c>
      <c r="E1136" s="136" t="s">
        <v>3279</v>
      </c>
      <c r="F1136" s="136" t="s">
        <v>3279</v>
      </c>
      <c r="G1136" s="137">
        <v>1394395845001</v>
      </c>
      <c r="H1136" s="138" t="s">
        <v>6453</v>
      </c>
      <c r="I1136" s="136">
        <v>951500044</v>
      </c>
      <c r="J1136" s="131" t="s">
        <v>3053</v>
      </c>
      <c r="K1136" s="139">
        <v>149040</v>
      </c>
    </row>
    <row r="1137" spans="1:11">
      <c r="A1137" s="1" t="str">
        <f t="shared" si="17"/>
        <v>15100-34396995-95150036023980</v>
      </c>
      <c r="B1137" s="136" t="s">
        <v>3785</v>
      </c>
      <c r="C1137" s="136" t="s">
        <v>10997</v>
      </c>
      <c r="D1137" s="132" t="s">
        <v>3420</v>
      </c>
      <c r="E1137" s="136" t="s">
        <v>3826</v>
      </c>
      <c r="F1137" s="136" t="s">
        <v>3826</v>
      </c>
      <c r="G1137" s="137">
        <v>1395435643001</v>
      </c>
      <c r="H1137" s="138" t="s">
        <v>6300</v>
      </c>
      <c r="I1137" s="136">
        <v>951500360</v>
      </c>
      <c r="J1137" s="131" t="s">
        <v>3847</v>
      </c>
      <c r="K1137" s="139">
        <v>23980</v>
      </c>
    </row>
    <row r="1138" spans="1:11">
      <c r="A1138" s="1" t="str">
        <f t="shared" si="17"/>
        <v>15100-34724895-951500375136660</v>
      </c>
      <c r="B1138" s="136" t="s">
        <v>4112</v>
      </c>
      <c r="C1138" s="136" t="s">
        <v>10998</v>
      </c>
      <c r="D1138" s="132" t="s">
        <v>3420</v>
      </c>
      <c r="E1138" s="136" t="s">
        <v>3902</v>
      </c>
      <c r="F1138" s="136" t="s">
        <v>3902</v>
      </c>
      <c r="G1138" s="137">
        <v>1395441908001</v>
      </c>
      <c r="H1138" s="138" t="s">
        <v>6298</v>
      </c>
      <c r="I1138" s="136">
        <v>951500375</v>
      </c>
      <c r="J1138" s="131" t="s">
        <v>3842</v>
      </c>
      <c r="K1138" s="139">
        <v>136660</v>
      </c>
    </row>
    <row r="1139" spans="1:11">
      <c r="A1139" s="1" t="str">
        <f t="shared" si="17"/>
        <v>15100-32838995-95150023739080</v>
      </c>
      <c r="B1139" s="136" t="s">
        <v>3624</v>
      </c>
      <c r="C1139" s="136" t="s">
        <v>10999</v>
      </c>
      <c r="D1139" s="132" t="s">
        <v>3420</v>
      </c>
      <c r="E1139" s="136" t="s">
        <v>3666</v>
      </c>
      <c r="F1139" s="136" t="s">
        <v>3666</v>
      </c>
      <c r="G1139" s="137">
        <v>1395427844001</v>
      </c>
      <c r="H1139" s="138" t="s">
        <v>6298</v>
      </c>
      <c r="I1139" s="136">
        <v>951500237</v>
      </c>
      <c r="J1139" s="131" t="s">
        <v>3644</v>
      </c>
      <c r="K1139" s="139">
        <v>39080</v>
      </c>
    </row>
    <row r="1140" spans="1:11">
      <c r="A1140" s="1" t="str">
        <f t="shared" si="17"/>
        <v>15100-36736295-95150054526780</v>
      </c>
      <c r="B1140" s="136" t="s">
        <v>4381</v>
      </c>
      <c r="C1140" s="136" t="s">
        <v>11000</v>
      </c>
      <c r="D1140" s="132" t="s">
        <v>3420</v>
      </c>
      <c r="E1140" s="136" t="s">
        <v>4438</v>
      </c>
      <c r="F1140" s="136" t="s">
        <v>4438</v>
      </c>
      <c r="G1140" s="137">
        <v>1395447372001</v>
      </c>
      <c r="H1140" s="138" t="s">
        <v>6300</v>
      </c>
      <c r="I1140" s="136">
        <v>951500545</v>
      </c>
      <c r="J1140" s="131" t="s">
        <v>4453</v>
      </c>
      <c r="K1140" s="139">
        <v>26780</v>
      </c>
    </row>
    <row r="1141" spans="1:11">
      <c r="A1141" s="1" t="str">
        <f t="shared" si="17"/>
        <v>50100-714710894-94150083312742</v>
      </c>
      <c r="B1141" s="136" t="s">
        <v>10984</v>
      </c>
      <c r="C1141" s="136" t="s">
        <v>10985</v>
      </c>
      <c r="D1141" s="132" t="s">
        <v>3420</v>
      </c>
      <c r="E1141" s="136" t="s">
        <v>2619</v>
      </c>
      <c r="F1141" s="136" t="s">
        <v>2619</v>
      </c>
      <c r="G1141" s="137">
        <v>1394394801001</v>
      </c>
      <c r="H1141" s="138" t="s">
        <v>10183</v>
      </c>
      <c r="I1141" s="136">
        <v>941500833</v>
      </c>
      <c r="J1141" s="131" t="s">
        <v>7093</v>
      </c>
      <c r="K1141" s="139">
        <v>12742</v>
      </c>
    </row>
    <row r="1142" spans="1:11">
      <c r="A1142" s="1" t="str">
        <f t="shared" si="17"/>
        <v>50100-720673594-941500769266219</v>
      </c>
      <c r="B1142" s="136" t="s">
        <v>2703</v>
      </c>
      <c r="C1142" s="136" t="s">
        <v>10804</v>
      </c>
      <c r="D1142" s="132" t="s">
        <v>3420</v>
      </c>
      <c r="E1142" s="136" t="s">
        <v>2755</v>
      </c>
      <c r="F1142" s="136" t="s">
        <v>2755</v>
      </c>
      <c r="G1142" s="137">
        <v>1394392654001</v>
      </c>
      <c r="H1142" s="138" t="s">
        <v>6453</v>
      </c>
      <c r="I1142" s="136">
        <v>941500769</v>
      </c>
      <c r="J1142" s="131" t="s">
        <v>6874</v>
      </c>
      <c r="K1142" s="139">
        <v>266219</v>
      </c>
    </row>
    <row r="1143" spans="1:11">
      <c r="A1143" s="1" t="str">
        <f t="shared" si="17"/>
        <v>15100-28422794-94150081246540</v>
      </c>
      <c r="B1143" s="136" t="s">
        <v>11001</v>
      </c>
      <c r="C1143" s="136" t="s">
        <v>11002</v>
      </c>
      <c r="D1143" s="132" t="s">
        <v>3420</v>
      </c>
      <c r="E1143" s="136" t="s">
        <v>3169</v>
      </c>
      <c r="F1143" s="136" t="s">
        <v>3169</v>
      </c>
      <c r="G1143" s="137">
        <v>1394394802001</v>
      </c>
      <c r="H1143" s="138" t="s">
        <v>6298</v>
      </c>
      <c r="I1143" s="136">
        <v>941500812</v>
      </c>
      <c r="J1143" s="131" t="s">
        <v>3211</v>
      </c>
      <c r="K1143" s="139">
        <v>46540</v>
      </c>
    </row>
    <row r="1144" spans="1:11">
      <c r="A1144" s="1" t="str">
        <f t="shared" si="17"/>
        <v>15100-28422794-94150081172030</v>
      </c>
      <c r="B1144" s="136" t="s">
        <v>11001</v>
      </c>
      <c r="C1144" s="136" t="s">
        <v>11002</v>
      </c>
      <c r="D1144" s="132" t="s">
        <v>3420</v>
      </c>
      <c r="E1144" s="136" t="s">
        <v>3169</v>
      </c>
      <c r="F1144" s="136" t="s">
        <v>3169</v>
      </c>
      <c r="G1144" s="137">
        <v>1394394802001</v>
      </c>
      <c r="H1144" s="138" t="s">
        <v>6298</v>
      </c>
      <c r="I1144" s="136">
        <v>941500811</v>
      </c>
      <c r="J1144" s="131" t="s">
        <v>3056</v>
      </c>
      <c r="K1144" s="139">
        <v>72030</v>
      </c>
    </row>
    <row r="1145" spans="1:11">
      <c r="A1145" s="1" t="str">
        <f t="shared" si="17"/>
        <v>15100-28661394-94150081224860</v>
      </c>
      <c r="B1145" s="136" t="s">
        <v>11003</v>
      </c>
      <c r="C1145" s="136" t="s">
        <v>11004</v>
      </c>
      <c r="D1145" s="132" t="s">
        <v>3420</v>
      </c>
      <c r="E1145" s="136" t="s">
        <v>3208</v>
      </c>
      <c r="F1145" s="136" t="s">
        <v>3208</v>
      </c>
      <c r="G1145" s="137">
        <v>1394394802001</v>
      </c>
      <c r="H1145" s="138" t="s">
        <v>6298</v>
      </c>
      <c r="I1145" s="136">
        <v>941500812</v>
      </c>
      <c r="J1145" s="131" t="s">
        <v>3211</v>
      </c>
      <c r="K1145" s="139">
        <v>24860</v>
      </c>
    </row>
    <row r="1146" spans="1:11">
      <c r="A1146" s="1" t="str">
        <f t="shared" si="17"/>
        <v>15100-39172395-95150057338980</v>
      </c>
      <c r="B1146" s="136" t="s">
        <v>4838</v>
      </c>
      <c r="C1146" s="136" t="s">
        <v>10948</v>
      </c>
      <c r="D1146" s="132" t="s">
        <v>3420</v>
      </c>
      <c r="E1146" s="136" t="s">
        <v>4877</v>
      </c>
      <c r="F1146" s="136" t="s">
        <v>4877</v>
      </c>
      <c r="G1146" s="137">
        <v>1395452681001</v>
      </c>
      <c r="H1146" s="138" t="s">
        <v>6300</v>
      </c>
      <c r="I1146" s="136">
        <v>951500573</v>
      </c>
      <c r="J1146" s="131" t="s">
        <v>4700</v>
      </c>
      <c r="K1146" s="139">
        <v>38980</v>
      </c>
    </row>
    <row r="1147" spans="1:11">
      <c r="A1147" s="1" t="str">
        <f t="shared" si="17"/>
        <v>15100-34954595-95150036322980</v>
      </c>
      <c r="B1147" s="136" t="s">
        <v>4113</v>
      </c>
      <c r="C1147" s="136" t="s">
        <v>10681</v>
      </c>
      <c r="D1147" s="132" t="s">
        <v>3420</v>
      </c>
      <c r="E1147" s="136" t="s">
        <v>3965</v>
      </c>
      <c r="F1147" s="136" t="s">
        <v>3965</v>
      </c>
      <c r="G1147" s="137">
        <v>1395437982001</v>
      </c>
      <c r="H1147" s="138" t="s">
        <v>6300</v>
      </c>
      <c r="I1147" s="136">
        <v>951500363</v>
      </c>
      <c r="J1147" s="131" t="s">
        <v>3837</v>
      </c>
      <c r="K1147" s="139">
        <v>22980</v>
      </c>
    </row>
    <row r="1148" spans="1:11">
      <c r="A1148" s="1" t="str">
        <f t="shared" si="17"/>
        <v>15100-34351895-9515002845228</v>
      </c>
      <c r="B1148" s="136" t="s">
        <v>3779</v>
      </c>
      <c r="C1148" s="136" t="s">
        <v>11005</v>
      </c>
      <c r="D1148" s="132" t="s">
        <v>3420</v>
      </c>
      <c r="E1148" s="136" t="s">
        <v>3768</v>
      </c>
      <c r="F1148" s="136" t="s">
        <v>3768</v>
      </c>
      <c r="G1148" s="137">
        <v>1395436005001</v>
      </c>
      <c r="H1148" s="138" t="s">
        <v>6298</v>
      </c>
      <c r="I1148" s="136">
        <v>951500284</v>
      </c>
      <c r="J1148" s="131" t="s">
        <v>3840</v>
      </c>
      <c r="K1148" s="139">
        <v>5228</v>
      </c>
    </row>
    <row r="1149" spans="1:11">
      <c r="A1149" s="1" t="str">
        <f t="shared" si="17"/>
        <v>15100-34351895-95150035589662</v>
      </c>
      <c r="B1149" s="136" t="s">
        <v>3779</v>
      </c>
      <c r="C1149" s="136" t="s">
        <v>11005</v>
      </c>
      <c r="D1149" s="132" t="s">
        <v>3420</v>
      </c>
      <c r="E1149" s="136" t="s">
        <v>3768</v>
      </c>
      <c r="F1149" s="136" t="s">
        <v>3768</v>
      </c>
      <c r="G1149" s="137">
        <v>1395437985001</v>
      </c>
      <c r="H1149" s="138" t="s">
        <v>6298</v>
      </c>
      <c r="I1149" s="136">
        <v>951500355</v>
      </c>
      <c r="J1149" s="131" t="s">
        <v>3841</v>
      </c>
      <c r="K1149" s="139">
        <v>89662</v>
      </c>
    </row>
    <row r="1150" spans="1:11">
      <c r="A1150" s="1" t="str">
        <f t="shared" si="17"/>
        <v>15100-32838995-9515002389360</v>
      </c>
      <c r="B1150" s="136" t="s">
        <v>3624</v>
      </c>
      <c r="C1150" s="136" t="s">
        <v>10999</v>
      </c>
      <c r="D1150" s="132" t="s">
        <v>3420</v>
      </c>
      <c r="E1150" s="136" t="s">
        <v>3666</v>
      </c>
      <c r="F1150" s="136" t="s">
        <v>3666</v>
      </c>
      <c r="G1150" s="137">
        <v>1395427836001</v>
      </c>
      <c r="H1150" s="138" t="s">
        <v>6298</v>
      </c>
      <c r="I1150" s="136">
        <v>951500238</v>
      </c>
      <c r="J1150" s="131" t="s">
        <v>3650</v>
      </c>
      <c r="K1150" s="139">
        <v>9360</v>
      </c>
    </row>
    <row r="1151" spans="1:11">
      <c r="A1151" s="1" t="str">
        <f t="shared" si="17"/>
        <v>15100-33167295-95150025844000</v>
      </c>
      <c r="B1151" s="136" t="s">
        <v>3607</v>
      </c>
      <c r="C1151" s="136" t="s">
        <v>10981</v>
      </c>
      <c r="D1151" s="132" t="s">
        <v>3420</v>
      </c>
      <c r="E1151" s="136" t="s">
        <v>3714</v>
      </c>
      <c r="F1151" s="136" t="s">
        <v>3714</v>
      </c>
      <c r="G1151" s="137">
        <v>1395435639001</v>
      </c>
      <c r="H1151" s="138" t="s">
        <v>6299</v>
      </c>
      <c r="I1151" s="136">
        <v>951500258</v>
      </c>
      <c r="J1151" s="131" t="s">
        <v>3645</v>
      </c>
      <c r="K1151" s="139">
        <v>44000</v>
      </c>
    </row>
    <row r="1152" spans="1:11">
      <c r="A1152" s="1" t="str">
        <f t="shared" si="17"/>
        <v>15100-38297695-95150026930940</v>
      </c>
      <c r="B1152" s="136" t="s">
        <v>4745</v>
      </c>
      <c r="C1152" s="136" t="s">
        <v>10982</v>
      </c>
      <c r="D1152" s="132" t="s">
        <v>3420</v>
      </c>
      <c r="E1152" s="136" t="s">
        <v>4719</v>
      </c>
      <c r="F1152" s="136" t="s">
        <v>4719</v>
      </c>
      <c r="G1152" s="137">
        <v>1395435642001</v>
      </c>
      <c r="H1152" s="138" t="s">
        <v>10206</v>
      </c>
      <c r="I1152" s="136">
        <v>951500269</v>
      </c>
      <c r="J1152" s="131" t="s">
        <v>3835</v>
      </c>
      <c r="K1152" s="139">
        <v>30940</v>
      </c>
    </row>
    <row r="1153" spans="1:11">
      <c r="A1153" s="1" t="str">
        <f t="shared" si="17"/>
        <v>15100-39570995-95150055710675</v>
      </c>
      <c r="B1153" s="136" t="s">
        <v>4835</v>
      </c>
      <c r="C1153" s="136" t="s">
        <v>10988</v>
      </c>
      <c r="D1153" s="132" t="s">
        <v>3420</v>
      </c>
      <c r="E1153" s="136" t="s">
        <v>4876</v>
      </c>
      <c r="F1153" s="136" t="s">
        <v>4876</v>
      </c>
      <c r="G1153" s="137">
        <v>1395453118001</v>
      </c>
      <c r="H1153" s="138" t="s">
        <v>10802</v>
      </c>
      <c r="I1153" s="136">
        <v>951500557</v>
      </c>
      <c r="J1153" s="131" t="s">
        <v>4578</v>
      </c>
      <c r="K1153" s="139">
        <v>10675</v>
      </c>
    </row>
    <row r="1154" spans="1:11">
      <c r="A1154" s="1" t="str">
        <f t="shared" si="17"/>
        <v>15100-36732095-95150054746380</v>
      </c>
      <c r="B1154" s="136" t="s">
        <v>4380</v>
      </c>
      <c r="C1154" s="136" t="s">
        <v>11006</v>
      </c>
      <c r="D1154" s="132" t="s">
        <v>3420</v>
      </c>
      <c r="E1154" s="136" t="s">
        <v>4438</v>
      </c>
      <c r="F1154" s="136" t="s">
        <v>4438</v>
      </c>
      <c r="G1154" s="137">
        <v>1395449238001</v>
      </c>
      <c r="H1154" s="138" t="s">
        <v>6299</v>
      </c>
      <c r="I1154" s="136">
        <v>951500547</v>
      </c>
      <c r="J1154" s="131" t="s">
        <v>4360</v>
      </c>
      <c r="K1154" s="139">
        <v>46380</v>
      </c>
    </row>
    <row r="1155" spans="1:11">
      <c r="A1155" s="1" t="str">
        <f t="shared" ref="A1155:A1218" si="18">B1155&amp;J1155&amp;K1155</f>
        <v>50100-715003994-942500113421542</v>
      </c>
      <c r="B1155" s="136" t="s">
        <v>10986</v>
      </c>
      <c r="C1155" s="136" t="s">
        <v>10987</v>
      </c>
      <c r="D1155" s="132" t="s">
        <v>3420</v>
      </c>
      <c r="E1155" s="136" t="s">
        <v>2609</v>
      </c>
      <c r="F1155" s="136" t="s">
        <v>2609</v>
      </c>
      <c r="G1155" s="137">
        <v>1394394801001</v>
      </c>
      <c r="H1155" s="138" t="s">
        <v>10183</v>
      </c>
      <c r="I1155" s="136">
        <v>942500113</v>
      </c>
      <c r="J1155" s="131" t="s">
        <v>7096</v>
      </c>
      <c r="K1155" s="139">
        <v>421542</v>
      </c>
    </row>
    <row r="1156" spans="1:11">
      <c r="A1156" s="1" t="str">
        <f t="shared" si="18"/>
        <v>50100-720673595-95150005630000</v>
      </c>
      <c r="B1156" s="136" t="s">
        <v>2703</v>
      </c>
      <c r="C1156" s="136" t="s">
        <v>10804</v>
      </c>
      <c r="D1156" s="132" t="s">
        <v>3420</v>
      </c>
      <c r="E1156" s="136" t="s">
        <v>2755</v>
      </c>
      <c r="F1156" s="136" t="s">
        <v>2755</v>
      </c>
      <c r="G1156" s="137">
        <v>1394395845001</v>
      </c>
      <c r="H1156" s="138" t="s">
        <v>6453</v>
      </c>
      <c r="I1156" s="136">
        <v>951500056</v>
      </c>
      <c r="J1156" s="131" t="s">
        <v>2781</v>
      </c>
      <c r="K1156" s="139">
        <v>30000</v>
      </c>
    </row>
    <row r="1157" spans="1:11">
      <c r="A1157" s="1" t="str">
        <f t="shared" si="18"/>
        <v>50100-716309295-952500001475716</v>
      </c>
      <c r="B1157" s="136" t="s">
        <v>2593</v>
      </c>
      <c r="C1157" s="136" t="s">
        <v>11007</v>
      </c>
      <c r="D1157" s="132" t="s">
        <v>3420</v>
      </c>
      <c r="E1157" s="136" t="s">
        <v>2612</v>
      </c>
      <c r="F1157" s="136" t="s">
        <v>2612</v>
      </c>
      <c r="G1157" s="137">
        <v>1394394801001</v>
      </c>
      <c r="H1157" s="138" t="s">
        <v>10183</v>
      </c>
      <c r="I1157" s="136">
        <v>952500001</v>
      </c>
      <c r="J1157" s="131" t="s">
        <v>2643</v>
      </c>
      <c r="K1157" s="139">
        <v>475716</v>
      </c>
    </row>
    <row r="1158" spans="1:11">
      <c r="A1158" s="1" t="str">
        <f t="shared" si="18"/>
        <v>50100-843565395-95150059085885</v>
      </c>
      <c r="B1158" s="136" t="s">
        <v>4811</v>
      </c>
      <c r="C1158" s="136" t="s">
        <v>10792</v>
      </c>
      <c r="D1158" s="132" t="s">
        <v>3420</v>
      </c>
      <c r="E1158" s="136" t="s">
        <v>4872</v>
      </c>
      <c r="F1158" s="136" t="s">
        <v>4872</v>
      </c>
      <c r="G1158" s="137">
        <v>1395451401001</v>
      </c>
      <c r="H1158" s="138" t="s">
        <v>6300</v>
      </c>
      <c r="I1158" s="136">
        <v>951500590</v>
      </c>
      <c r="J1158" s="131" t="s">
        <v>4932</v>
      </c>
      <c r="K1158" s="139">
        <v>85885</v>
      </c>
    </row>
    <row r="1159" spans="1:11">
      <c r="A1159" s="1" t="str">
        <f t="shared" si="18"/>
        <v>50100-820908595-951500473229730</v>
      </c>
      <c r="B1159" s="136" t="s">
        <v>4419</v>
      </c>
      <c r="C1159" s="136" t="s">
        <v>10990</v>
      </c>
      <c r="D1159" s="132" t="s">
        <v>3420</v>
      </c>
      <c r="E1159" s="136" t="s">
        <v>4440</v>
      </c>
      <c r="F1159" s="136" t="s">
        <v>4440</v>
      </c>
      <c r="G1159" s="137">
        <v>1395441450001</v>
      </c>
      <c r="H1159" s="138" t="s">
        <v>6300</v>
      </c>
      <c r="I1159" s="136">
        <v>951500473</v>
      </c>
      <c r="J1159" s="131" t="s">
        <v>4188</v>
      </c>
      <c r="K1159" s="139">
        <v>229730</v>
      </c>
    </row>
    <row r="1160" spans="1:11">
      <c r="A1160" s="1" t="str">
        <f t="shared" si="18"/>
        <v>15100-29823795-95150012029585</v>
      </c>
      <c r="B1160" s="136" t="s">
        <v>3363</v>
      </c>
      <c r="C1160" s="136" t="s">
        <v>11008</v>
      </c>
      <c r="D1160" s="132" t="s">
        <v>3420</v>
      </c>
      <c r="E1160" s="136" t="s">
        <v>3323</v>
      </c>
      <c r="F1160" s="136" t="s">
        <v>3323</v>
      </c>
      <c r="G1160" s="137">
        <v>1395397985001</v>
      </c>
      <c r="H1160" s="138" t="s">
        <v>6298</v>
      </c>
      <c r="I1160" s="136">
        <v>951500120</v>
      </c>
      <c r="J1160" s="131" t="s">
        <v>2895</v>
      </c>
      <c r="K1160" s="139">
        <v>29585</v>
      </c>
    </row>
    <row r="1161" spans="1:11">
      <c r="A1161" s="1" t="str">
        <f t="shared" si="18"/>
        <v>15100-36587195-9515004213820</v>
      </c>
      <c r="B1161" s="136" t="s">
        <v>4341</v>
      </c>
      <c r="C1161" s="136" t="s">
        <v>11009</v>
      </c>
      <c r="D1161" s="132" t="s">
        <v>3420</v>
      </c>
      <c r="E1161" s="136" t="s">
        <v>4343</v>
      </c>
      <c r="F1161" s="136" t="s">
        <v>4343</v>
      </c>
      <c r="G1161" s="137">
        <v>1395441447001</v>
      </c>
      <c r="H1161" s="138" t="s">
        <v>6299</v>
      </c>
      <c r="I1161" s="136">
        <v>951500421</v>
      </c>
      <c r="J1161" s="131" t="s">
        <v>4279</v>
      </c>
      <c r="K1161" s="139">
        <v>3820</v>
      </c>
    </row>
    <row r="1162" spans="1:11">
      <c r="A1162" s="1" t="str">
        <f t="shared" si="18"/>
        <v>15100-26548294-94150080973530</v>
      </c>
      <c r="B1162" s="136" t="s">
        <v>11010</v>
      </c>
      <c r="C1162" s="136" t="s">
        <v>11011</v>
      </c>
      <c r="D1162" s="132" t="s">
        <v>3420</v>
      </c>
      <c r="E1162" s="136" t="s">
        <v>2867</v>
      </c>
      <c r="F1162" s="136" t="s">
        <v>2867</v>
      </c>
      <c r="G1162" s="137">
        <v>1394394802001</v>
      </c>
      <c r="H1162" s="138" t="s">
        <v>6298</v>
      </c>
      <c r="I1162" s="136">
        <v>941500809</v>
      </c>
      <c r="J1162" s="131" t="s">
        <v>2893</v>
      </c>
      <c r="K1162" s="139">
        <v>73530</v>
      </c>
    </row>
    <row r="1163" spans="1:11">
      <c r="A1163" s="1" t="str">
        <f t="shared" si="18"/>
        <v>15100-34947195-95150039994340</v>
      </c>
      <c r="B1163" s="136" t="s">
        <v>4090</v>
      </c>
      <c r="C1163" s="136" t="s">
        <v>11012</v>
      </c>
      <c r="D1163" s="132" t="s">
        <v>3420</v>
      </c>
      <c r="E1163" s="136" t="s">
        <v>3965</v>
      </c>
      <c r="F1163" s="136" t="s">
        <v>3965</v>
      </c>
      <c r="G1163" s="137">
        <v>1395445412001</v>
      </c>
      <c r="H1163" s="138" t="s">
        <v>6298</v>
      </c>
      <c r="I1163" s="136">
        <v>951500399</v>
      </c>
      <c r="J1163" s="131" t="s">
        <v>4269</v>
      </c>
      <c r="K1163" s="139">
        <v>94340</v>
      </c>
    </row>
    <row r="1164" spans="1:11">
      <c r="A1164" s="1" t="str">
        <f t="shared" si="18"/>
        <v>15100-35295095-95150039975740</v>
      </c>
      <c r="B1164" s="136" t="s">
        <v>4089</v>
      </c>
      <c r="C1164" s="136" t="s">
        <v>11013</v>
      </c>
      <c r="D1164" s="132" t="s">
        <v>3420</v>
      </c>
      <c r="E1164" s="136" t="s">
        <v>4181</v>
      </c>
      <c r="F1164" s="136" t="s">
        <v>4181</v>
      </c>
      <c r="G1164" s="137">
        <v>1395445412001</v>
      </c>
      <c r="H1164" s="138" t="s">
        <v>6298</v>
      </c>
      <c r="I1164" s="136">
        <v>951500399</v>
      </c>
      <c r="J1164" s="131" t="s">
        <v>4269</v>
      </c>
      <c r="K1164" s="139">
        <v>75740</v>
      </c>
    </row>
    <row r="1165" spans="1:11">
      <c r="A1165" s="1" t="str">
        <f t="shared" si="18"/>
        <v>15100-37744795-95150047646830</v>
      </c>
      <c r="B1165" s="136" t="s">
        <v>4647</v>
      </c>
      <c r="C1165" s="136" t="s">
        <v>11014</v>
      </c>
      <c r="D1165" s="132" t="s">
        <v>3420</v>
      </c>
      <c r="E1165" s="136" t="s">
        <v>4657</v>
      </c>
      <c r="F1165" s="136" t="s">
        <v>4657</v>
      </c>
      <c r="G1165" s="137">
        <v>1395449236001</v>
      </c>
      <c r="H1165" s="138" t="s">
        <v>6298</v>
      </c>
      <c r="I1165" s="136">
        <v>951500476</v>
      </c>
      <c r="J1165" s="131" t="s">
        <v>4451</v>
      </c>
      <c r="K1165" s="139">
        <v>46830</v>
      </c>
    </row>
    <row r="1166" spans="1:11">
      <c r="A1166" s="1" t="str">
        <f t="shared" si="18"/>
        <v>15100-33080395-951500260115950</v>
      </c>
      <c r="B1166" s="136" t="s">
        <v>3605</v>
      </c>
      <c r="C1166" s="136" t="s">
        <v>11015</v>
      </c>
      <c r="D1166" s="132" t="s">
        <v>3420</v>
      </c>
      <c r="E1166" s="136" t="s">
        <v>3662</v>
      </c>
      <c r="F1166" s="136" t="s">
        <v>3662</v>
      </c>
      <c r="G1166" s="137">
        <v>1395434889001</v>
      </c>
      <c r="H1166" s="138" t="s">
        <v>6298</v>
      </c>
      <c r="I1166" s="136">
        <v>951500260</v>
      </c>
      <c r="J1166" s="131" t="s">
        <v>3652</v>
      </c>
      <c r="K1166" s="139">
        <v>115950</v>
      </c>
    </row>
    <row r="1167" spans="1:11">
      <c r="A1167" s="1" t="str">
        <f t="shared" si="18"/>
        <v>15100-34954595-951500392223940</v>
      </c>
      <c r="B1167" s="136" t="s">
        <v>4113</v>
      </c>
      <c r="C1167" s="136" t="s">
        <v>10681</v>
      </c>
      <c r="D1167" s="132" t="s">
        <v>3420</v>
      </c>
      <c r="E1167" s="136" t="s">
        <v>3965</v>
      </c>
      <c r="F1167" s="136" t="s">
        <v>3965</v>
      </c>
      <c r="G1167" s="137">
        <v>1395445412001</v>
      </c>
      <c r="H1167" s="138" t="s">
        <v>6298</v>
      </c>
      <c r="I1167" s="136">
        <v>951500392</v>
      </c>
      <c r="J1167" s="131" t="s">
        <v>4291</v>
      </c>
      <c r="K1167" s="139">
        <v>223940</v>
      </c>
    </row>
    <row r="1168" spans="1:11">
      <c r="A1168" s="1" t="str">
        <f t="shared" si="18"/>
        <v>15100-34651795-95150036848660</v>
      </c>
      <c r="B1168" s="136" t="s">
        <v>4108</v>
      </c>
      <c r="C1168" s="136" t="s">
        <v>10974</v>
      </c>
      <c r="D1168" s="132" t="s">
        <v>3420</v>
      </c>
      <c r="E1168" s="136" t="s">
        <v>3936</v>
      </c>
      <c r="F1168" s="136" t="s">
        <v>3936</v>
      </c>
      <c r="G1168" s="137">
        <v>1395438159001</v>
      </c>
      <c r="H1168" s="138" t="s">
        <v>6298</v>
      </c>
      <c r="I1168" s="136">
        <v>951500368</v>
      </c>
      <c r="J1168" s="131" t="s">
        <v>4282</v>
      </c>
      <c r="K1168" s="139">
        <v>48660</v>
      </c>
    </row>
    <row r="1169" spans="1:11">
      <c r="A1169" s="1" t="str">
        <f t="shared" si="18"/>
        <v>15100-38343195-95150057451020</v>
      </c>
      <c r="B1169" s="136" t="s">
        <v>4744</v>
      </c>
      <c r="C1169" s="136" t="s">
        <v>11016</v>
      </c>
      <c r="D1169" s="132" t="s">
        <v>3420</v>
      </c>
      <c r="E1169" s="136" t="s">
        <v>4720</v>
      </c>
      <c r="F1169" s="136" t="s">
        <v>4720</v>
      </c>
      <c r="G1169" s="137">
        <v>1395462017001</v>
      </c>
      <c r="H1169" s="138" t="s">
        <v>6298</v>
      </c>
      <c r="I1169" s="136">
        <v>951500574</v>
      </c>
      <c r="J1169" s="131" t="s">
        <v>4699</v>
      </c>
      <c r="K1169" s="139">
        <v>51020</v>
      </c>
    </row>
    <row r="1170" spans="1:11">
      <c r="A1170" s="1" t="str">
        <f t="shared" si="18"/>
        <v>15100-28304994-94150083574040</v>
      </c>
      <c r="B1170" s="136" t="s">
        <v>11017</v>
      </c>
      <c r="C1170" s="136" t="s">
        <v>11018</v>
      </c>
      <c r="D1170" s="132" t="s">
        <v>3420</v>
      </c>
      <c r="E1170" s="136" t="s">
        <v>3171</v>
      </c>
      <c r="F1170" s="136" t="s">
        <v>3171</v>
      </c>
      <c r="G1170" s="137">
        <v>1394395844001</v>
      </c>
      <c r="H1170" s="138" t="s">
        <v>6298</v>
      </c>
      <c r="I1170" s="136">
        <v>941500835</v>
      </c>
      <c r="J1170" s="131" t="s">
        <v>2876</v>
      </c>
      <c r="K1170" s="139">
        <v>74040</v>
      </c>
    </row>
    <row r="1171" spans="1:11">
      <c r="A1171" s="1" t="str">
        <f t="shared" si="18"/>
        <v>50100-737894895-952500010486020</v>
      </c>
      <c r="B1171" s="136" t="s">
        <v>2970</v>
      </c>
      <c r="C1171" s="136" t="s">
        <v>11019</v>
      </c>
      <c r="D1171" s="132" t="s">
        <v>3420</v>
      </c>
      <c r="E1171" s="136" t="s">
        <v>3050</v>
      </c>
      <c r="F1171" s="136" t="s">
        <v>3050</v>
      </c>
      <c r="G1171" s="137">
        <v>1394395847001</v>
      </c>
      <c r="H1171" s="138" t="s">
        <v>10183</v>
      </c>
      <c r="I1171" s="136">
        <v>952500010</v>
      </c>
      <c r="J1171" s="131" t="s">
        <v>3061</v>
      </c>
      <c r="K1171" s="139">
        <v>486020</v>
      </c>
    </row>
    <row r="1172" spans="1:11">
      <c r="A1172" s="1" t="str">
        <f t="shared" si="18"/>
        <v>15100-28245194-941500835121270</v>
      </c>
      <c r="B1172" s="136" t="s">
        <v>11020</v>
      </c>
      <c r="C1172" s="136" t="s">
        <v>11021</v>
      </c>
      <c r="D1172" s="132" t="s">
        <v>3420</v>
      </c>
      <c r="E1172" s="136" t="s">
        <v>10695</v>
      </c>
      <c r="F1172" s="136" t="s">
        <v>10695</v>
      </c>
      <c r="G1172" s="137">
        <v>1394395844001</v>
      </c>
      <c r="H1172" s="138" t="s">
        <v>6298</v>
      </c>
      <c r="I1172" s="136">
        <v>941500835</v>
      </c>
      <c r="J1172" s="131" t="s">
        <v>2876</v>
      </c>
      <c r="K1172" s="139">
        <v>121270</v>
      </c>
    </row>
    <row r="1173" spans="1:11">
      <c r="A1173" s="1" t="str">
        <f t="shared" si="18"/>
        <v>15100-33947495-95150035648060</v>
      </c>
      <c r="B1173" s="136" t="s">
        <v>3805</v>
      </c>
      <c r="C1173" s="136" t="s">
        <v>11022</v>
      </c>
      <c r="D1173" s="132" t="s">
        <v>3420</v>
      </c>
      <c r="E1173" s="136" t="s">
        <v>3832</v>
      </c>
      <c r="F1173" s="136" t="s">
        <v>3832</v>
      </c>
      <c r="G1173" s="137">
        <v>1395437985001</v>
      </c>
      <c r="H1173" s="138" t="s">
        <v>6298</v>
      </c>
      <c r="I1173" s="136">
        <v>951500356</v>
      </c>
      <c r="J1173" s="131" t="s">
        <v>3849</v>
      </c>
      <c r="K1173" s="139">
        <v>48060</v>
      </c>
    </row>
    <row r="1174" spans="1:11">
      <c r="A1174" s="1" t="str">
        <f t="shared" si="18"/>
        <v>15100-26359194-941500835224530</v>
      </c>
      <c r="B1174" s="136" t="s">
        <v>11023</v>
      </c>
      <c r="C1174" s="136" t="s">
        <v>11024</v>
      </c>
      <c r="D1174" s="132" t="s">
        <v>3420</v>
      </c>
      <c r="E1174" s="136" t="s">
        <v>2863</v>
      </c>
      <c r="F1174" s="136" t="s">
        <v>3046</v>
      </c>
      <c r="G1174" s="137">
        <v>1394395844001</v>
      </c>
      <c r="H1174" s="138" t="s">
        <v>6298</v>
      </c>
      <c r="I1174" s="136">
        <v>941500835</v>
      </c>
      <c r="J1174" s="131" t="s">
        <v>2876</v>
      </c>
      <c r="K1174" s="139">
        <v>224530</v>
      </c>
    </row>
    <row r="1175" spans="1:11">
      <c r="A1175" s="1" t="str">
        <f t="shared" si="18"/>
        <v>15100-33309495-95150027772320</v>
      </c>
      <c r="B1175" s="136" t="s">
        <v>3615</v>
      </c>
      <c r="C1175" s="136" t="s">
        <v>11025</v>
      </c>
      <c r="D1175" s="132" t="s">
        <v>3420</v>
      </c>
      <c r="E1175" s="136" t="s">
        <v>3715</v>
      </c>
      <c r="F1175" s="136" t="s">
        <v>3715</v>
      </c>
      <c r="G1175" s="137">
        <v>1395436005001</v>
      </c>
      <c r="H1175" s="138" t="s">
        <v>6298</v>
      </c>
      <c r="I1175" s="136">
        <v>951500277</v>
      </c>
      <c r="J1175" s="131" t="s">
        <v>3646</v>
      </c>
      <c r="K1175" s="139">
        <v>72320</v>
      </c>
    </row>
    <row r="1176" spans="1:11">
      <c r="A1176" s="1" t="str">
        <f t="shared" si="18"/>
        <v>15100-34776995-95150039167620</v>
      </c>
      <c r="B1176" s="136" t="s">
        <v>4095</v>
      </c>
      <c r="C1176" s="136" t="s">
        <v>11026</v>
      </c>
      <c r="D1176" s="132" t="s">
        <v>3420</v>
      </c>
      <c r="E1176" s="136" t="s">
        <v>3935</v>
      </c>
      <c r="F1176" s="141" t="s">
        <v>3935</v>
      </c>
      <c r="G1176" s="137">
        <v>1395445414001</v>
      </c>
      <c r="H1176" s="140" t="s">
        <v>8845</v>
      </c>
      <c r="I1176" s="141">
        <v>951500391</v>
      </c>
      <c r="J1176" s="131" t="s">
        <v>4274</v>
      </c>
      <c r="K1176" s="142">
        <v>67620</v>
      </c>
    </row>
    <row r="1177" spans="1:11">
      <c r="A1177" s="1" t="str">
        <f t="shared" si="18"/>
        <v>15100-25567794-94150077325050</v>
      </c>
      <c r="B1177" s="136" t="s">
        <v>2686</v>
      </c>
      <c r="C1177" s="136" t="s">
        <v>11027</v>
      </c>
      <c r="D1177" s="132" t="s">
        <v>3420</v>
      </c>
      <c r="E1177" s="136" t="s">
        <v>2618</v>
      </c>
      <c r="F1177" s="136" t="s">
        <v>2618</v>
      </c>
      <c r="G1177" s="137">
        <v>1394394178001</v>
      </c>
      <c r="H1177" s="138" t="s">
        <v>6298</v>
      </c>
      <c r="I1177" s="136">
        <v>941500773</v>
      </c>
      <c r="J1177" s="131" t="s">
        <v>2760</v>
      </c>
      <c r="K1177" s="139">
        <v>25050</v>
      </c>
    </row>
    <row r="1178" spans="1:11">
      <c r="A1178" s="1" t="str">
        <f t="shared" si="18"/>
        <v>15100-28433894-941500835253670</v>
      </c>
      <c r="B1178" s="136" t="s">
        <v>11028</v>
      </c>
      <c r="C1178" s="136" t="s">
        <v>11029</v>
      </c>
      <c r="D1178" s="132" t="s">
        <v>3420</v>
      </c>
      <c r="E1178" s="136" t="s">
        <v>3169</v>
      </c>
      <c r="F1178" s="136" t="s">
        <v>3169</v>
      </c>
      <c r="G1178" s="137">
        <v>1394395844001</v>
      </c>
      <c r="H1178" s="138" t="s">
        <v>6298</v>
      </c>
      <c r="I1178" s="136">
        <v>941500835</v>
      </c>
      <c r="J1178" s="131" t="s">
        <v>2876</v>
      </c>
      <c r="K1178" s="139">
        <v>253670</v>
      </c>
    </row>
    <row r="1179" spans="1:11">
      <c r="A1179" s="1" t="str">
        <f t="shared" si="18"/>
        <v>50100-727567595-951500107998000</v>
      </c>
      <c r="B1179" s="136" t="s">
        <v>2979</v>
      </c>
      <c r="C1179" s="136" t="s">
        <v>11030</v>
      </c>
      <c r="D1179" s="132" t="s">
        <v>3420</v>
      </c>
      <c r="E1179" s="136" t="s">
        <v>2860</v>
      </c>
      <c r="F1179" s="136" t="s">
        <v>2860</v>
      </c>
      <c r="G1179" s="137">
        <v>1394395847001</v>
      </c>
      <c r="H1179" s="138" t="s">
        <v>10183</v>
      </c>
      <c r="I1179" s="136">
        <v>951500107</v>
      </c>
      <c r="J1179" s="131" t="s">
        <v>3063</v>
      </c>
      <c r="K1179" s="139">
        <v>998000</v>
      </c>
    </row>
    <row r="1180" spans="1:11">
      <c r="A1180" s="1" t="str">
        <f t="shared" si="18"/>
        <v>50100-720045595-951500028212220</v>
      </c>
      <c r="B1180" s="136" t="s">
        <v>2708</v>
      </c>
      <c r="C1180" s="136" t="s">
        <v>11031</v>
      </c>
      <c r="D1180" s="132" t="s">
        <v>3420</v>
      </c>
      <c r="E1180" s="136" t="s">
        <v>2756</v>
      </c>
      <c r="F1180" s="136" t="s">
        <v>2756</v>
      </c>
      <c r="G1180" s="137">
        <v>1394394801001</v>
      </c>
      <c r="H1180" s="138" t="s">
        <v>10183</v>
      </c>
      <c r="I1180" s="136">
        <v>951500028</v>
      </c>
      <c r="J1180" s="131" t="s">
        <v>2792</v>
      </c>
      <c r="K1180" s="139">
        <v>212220</v>
      </c>
    </row>
    <row r="1181" spans="1:11">
      <c r="A1181" s="1" t="str">
        <f t="shared" si="18"/>
        <v>50100-720673594-941500848100000</v>
      </c>
      <c r="B1181" s="136" t="s">
        <v>2703</v>
      </c>
      <c r="C1181" s="136" t="s">
        <v>10804</v>
      </c>
      <c r="D1181" s="132" t="s">
        <v>3420</v>
      </c>
      <c r="E1181" s="136" t="s">
        <v>2755</v>
      </c>
      <c r="F1181" s="136" t="s">
        <v>2755</v>
      </c>
      <c r="G1181" s="137">
        <v>1394395844001</v>
      </c>
      <c r="H1181" s="138" t="s">
        <v>6298</v>
      </c>
      <c r="I1181" s="136">
        <v>941500848</v>
      </c>
      <c r="J1181" s="131" t="s">
        <v>2780</v>
      </c>
      <c r="K1181" s="139">
        <v>100000</v>
      </c>
    </row>
    <row r="1182" spans="1:11">
      <c r="A1182" s="1" t="str">
        <f t="shared" si="18"/>
        <v>50100-727997795-95150012354440</v>
      </c>
      <c r="B1182" s="136" t="s">
        <v>2978</v>
      </c>
      <c r="C1182" s="136" t="s">
        <v>10791</v>
      </c>
      <c r="D1182" s="132" t="s">
        <v>3420</v>
      </c>
      <c r="E1182" s="136" t="s">
        <v>2860</v>
      </c>
      <c r="F1182" s="136" t="s">
        <v>2860</v>
      </c>
      <c r="G1182" s="137">
        <v>1394395847001</v>
      </c>
      <c r="H1182" s="138" t="s">
        <v>10183</v>
      </c>
      <c r="I1182" s="136">
        <v>951500123</v>
      </c>
      <c r="J1182" s="131" t="s">
        <v>3068</v>
      </c>
      <c r="K1182" s="139">
        <v>54440</v>
      </c>
    </row>
    <row r="1183" spans="1:11">
      <c r="A1183" s="1" t="str">
        <f t="shared" si="18"/>
        <v>50100-819769895-951500353199540</v>
      </c>
      <c r="B1183" s="136" t="s">
        <v>4415</v>
      </c>
      <c r="C1183" s="136" t="s">
        <v>11032</v>
      </c>
      <c r="D1183" s="132" t="s">
        <v>3420</v>
      </c>
      <c r="E1183" s="136" t="s">
        <v>4438</v>
      </c>
      <c r="F1183" s="136" t="s">
        <v>4438</v>
      </c>
      <c r="G1183" s="137">
        <v>1395441443001</v>
      </c>
      <c r="H1183" s="138" t="s">
        <v>6454</v>
      </c>
      <c r="I1183" s="136">
        <v>951500353</v>
      </c>
      <c r="J1183" s="131" t="s">
        <v>4479</v>
      </c>
      <c r="K1183" s="139">
        <v>199540</v>
      </c>
    </row>
    <row r="1184" spans="1:11">
      <c r="A1184" s="1" t="str">
        <f t="shared" si="18"/>
        <v>50100-853141596-961500004522215</v>
      </c>
      <c r="B1184" s="136" t="s">
        <v>4991</v>
      </c>
      <c r="C1184" s="136" t="s">
        <v>8953</v>
      </c>
      <c r="D1184" s="132" t="s">
        <v>4971</v>
      </c>
      <c r="E1184" s="136" t="s">
        <v>5011</v>
      </c>
      <c r="F1184" s="136" t="s">
        <v>5011</v>
      </c>
      <c r="G1184" s="137">
        <v>1395451401001</v>
      </c>
      <c r="H1184" s="138" t="s">
        <v>6300</v>
      </c>
      <c r="I1184" s="136">
        <v>961500004</v>
      </c>
      <c r="J1184" s="131" t="s">
        <v>4959</v>
      </c>
      <c r="K1184" s="139">
        <v>522215</v>
      </c>
    </row>
    <row r="1185" spans="1:11">
      <c r="A1185" s="1" t="str">
        <f t="shared" si="18"/>
        <v>50100-734572795-9541000052845231</v>
      </c>
      <c r="B1185" s="136" t="s">
        <v>2993</v>
      </c>
      <c r="C1185" s="136" t="s">
        <v>11033</v>
      </c>
      <c r="D1185" s="132" t="s">
        <v>3420</v>
      </c>
      <c r="E1185" s="136" t="s">
        <v>3048</v>
      </c>
      <c r="F1185" s="136" t="s">
        <v>3048</v>
      </c>
      <c r="G1185" s="137">
        <v>1395397988001</v>
      </c>
      <c r="H1185" s="138" t="s">
        <v>10183</v>
      </c>
      <c r="I1185" s="136">
        <v>954100005</v>
      </c>
      <c r="J1185" s="131" t="s">
        <v>3126</v>
      </c>
      <c r="K1185" s="139">
        <v>2845231</v>
      </c>
    </row>
    <row r="1186" spans="1:11">
      <c r="A1186" s="1" t="str">
        <f t="shared" si="18"/>
        <v>15100-26152994-94150079929500</v>
      </c>
      <c r="B1186" s="136" t="s">
        <v>11034</v>
      </c>
      <c r="C1186" s="136" t="s">
        <v>11035</v>
      </c>
      <c r="D1186" s="132" t="s">
        <v>3420</v>
      </c>
      <c r="E1186" s="136" t="s">
        <v>2757</v>
      </c>
      <c r="F1186" s="136" t="s">
        <v>2757</v>
      </c>
      <c r="G1186" s="137">
        <v>1394394802001</v>
      </c>
      <c r="H1186" s="138" t="s">
        <v>6298</v>
      </c>
      <c r="I1186" s="136">
        <v>941500799</v>
      </c>
      <c r="J1186" s="131" t="s">
        <v>2888</v>
      </c>
      <c r="K1186" s="139">
        <v>29500</v>
      </c>
    </row>
    <row r="1187" spans="1:11">
      <c r="A1187" s="1" t="str">
        <f t="shared" si="18"/>
        <v>15100-26152994-941500821108860</v>
      </c>
      <c r="B1187" s="136" t="s">
        <v>11034</v>
      </c>
      <c r="C1187" s="136" t="s">
        <v>11035</v>
      </c>
      <c r="D1187" s="132" t="s">
        <v>3420</v>
      </c>
      <c r="E1187" s="136" t="s">
        <v>2757</v>
      </c>
      <c r="F1187" s="136" t="s">
        <v>2757</v>
      </c>
      <c r="G1187" s="137">
        <v>1394394802001</v>
      </c>
      <c r="H1187" s="138" t="s">
        <v>6298</v>
      </c>
      <c r="I1187" s="136">
        <v>941500821</v>
      </c>
      <c r="J1187" s="131" t="s">
        <v>2663</v>
      </c>
      <c r="K1187" s="139">
        <v>108860</v>
      </c>
    </row>
    <row r="1188" spans="1:11">
      <c r="A1188" s="1" t="str">
        <f t="shared" si="18"/>
        <v>15100-34576195-95150033611658</v>
      </c>
      <c r="B1188" s="136" t="s">
        <v>4088</v>
      </c>
      <c r="C1188" s="136" t="s">
        <v>10794</v>
      </c>
      <c r="D1188" s="132" t="s">
        <v>3420</v>
      </c>
      <c r="E1188" s="136" t="s">
        <v>3964</v>
      </c>
      <c r="F1188" s="136" t="s">
        <v>3964</v>
      </c>
      <c r="G1188" s="137">
        <v>1395438159001</v>
      </c>
      <c r="H1188" s="138" t="s">
        <v>6298</v>
      </c>
      <c r="I1188" s="136">
        <v>951500336</v>
      </c>
      <c r="J1188" s="131" t="s">
        <v>3845</v>
      </c>
      <c r="K1188" s="139">
        <v>11658</v>
      </c>
    </row>
    <row r="1189" spans="1:11">
      <c r="A1189" s="1" t="str">
        <f t="shared" si="18"/>
        <v>15100-35993795-95150043850380</v>
      </c>
      <c r="B1189" s="136" t="s">
        <v>4311</v>
      </c>
      <c r="C1189" s="136" t="s">
        <v>11036</v>
      </c>
      <c r="D1189" s="132" t="s">
        <v>3420</v>
      </c>
      <c r="E1189" s="136" t="s">
        <v>4166</v>
      </c>
      <c r="F1189" s="136" t="s">
        <v>4166</v>
      </c>
      <c r="G1189" s="137">
        <v>1395447925001</v>
      </c>
      <c r="H1189" s="138" t="s">
        <v>6298</v>
      </c>
      <c r="I1189" s="136">
        <v>951500438</v>
      </c>
      <c r="J1189" s="131" t="s">
        <v>4297</v>
      </c>
      <c r="K1189" s="139">
        <v>50380</v>
      </c>
    </row>
    <row r="1190" spans="1:11">
      <c r="A1190" s="1" t="str">
        <f t="shared" si="18"/>
        <v>15100-34947195-95150038892930</v>
      </c>
      <c r="B1190" s="136" t="s">
        <v>4090</v>
      </c>
      <c r="C1190" s="136" t="s">
        <v>11012</v>
      </c>
      <c r="D1190" s="132" t="s">
        <v>3420</v>
      </c>
      <c r="E1190" s="136" t="s">
        <v>3965</v>
      </c>
      <c r="F1190" s="136" t="s">
        <v>3965</v>
      </c>
      <c r="G1190" s="137">
        <v>1395437982001</v>
      </c>
      <c r="H1190" s="138" t="s">
        <v>6300</v>
      </c>
      <c r="I1190" s="136">
        <v>951500388</v>
      </c>
      <c r="J1190" s="131" t="s">
        <v>4267</v>
      </c>
      <c r="K1190" s="139">
        <v>92930</v>
      </c>
    </row>
    <row r="1191" spans="1:11">
      <c r="A1191" s="1" t="str">
        <f t="shared" si="18"/>
        <v>15100-36736295-951500543111680</v>
      </c>
      <c r="B1191" s="136" t="s">
        <v>4381</v>
      </c>
      <c r="C1191" s="136" t="s">
        <v>11000</v>
      </c>
      <c r="D1191" s="132" t="s">
        <v>3420</v>
      </c>
      <c r="E1191" s="136" t="s">
        <v>4438</v>
      </c>
      <c r="F1191" s="136" t="s">
        <v>4438</v>
      </c>
      <c r="G1191" s="137">
        <v>1395447372001</v>
      </c>
      <c r="H1191" s="138" t="s">
        <v>6300</v>
      </c>
      <c r="I1191" s="136">
        <v>951500543</v>
      </c>
      <c r="J1191" s="131" t="s">
        <v>4354</v>
      </c>
      <c r="K1191" s="139">
        <v>111680</v>
      </c>
    </row>
    <row r="1192" spans="1:11">
      <c r="A1192" s="1" t="str">
        <f t="shared" si="18"/>
        <v>50100-762409995-952500023490780</v>
      </c>
      <c r="B1192" s="136" t="s">
        <v>11037</v>
      </c>
      <c r="C1192" s="136" t="s">
        <v>11038</v>
      </c>
      <c r="D1192" s="132" t="s">
        <v>3420</v>
      </c>
      <c r="E1192" s="136" t="s">
        <v>10592</v>
      </c>
      <c r="F1192" s="136" t="s">
        <v>10592</v>
      </c>
      <c r="G1192" s="137">
        <v>1395397987001</v>
      </c>
      <c r="H1192" s="138" t="s">
        <v>10183</v>
      </c>
      <c r="I1192" s="136">
        <v>952500023</v>
      </c>
      <c r="J1192" s="131" t="s">
        <v>3406</v>
      </c>
      <c r="K1192" s="139">
        <v>490780</v>
      </c>
    </row>
    <row r="1193" spans="1:11">
      <c r="A1193" s="1" t="str">
        <f t="shared" si="18"/>
        <v>15100-36176395-95150052372060</v>
      </c>
      <c r="B1193" s="136" t="s">
        <v>4339</v>
      </c>
      <c r="C1193" s="136" t="s">
        <v>11039</v>
      </c>
      <c r="D1193" s="132" t="s">
        <v>3420</v>
      </c>
      <c r="E1193" s="136" t="s">
        <v>4168</v>
      </c>
      <c r="F1193" s="136" t="s">
        <v>4168</v>
      </c>
      <c r="G1193" s="137">
        <v>1395449236001</v>
      </c>
      <c r="H1193" s="138" t="s">
        <v>6298</v>
      </c>
      <c r="I1193" s="136">
        <v>951500523</v>
      </c>
      <c r="J1193" s="131" t="s">
        <v>4347</v>
      </c>
      <c r="K1193" s="139">
        <v>72060</v>
      </c>
    </row>
    <row r="1194" spans="1:11">
      <c r="A1194" s="1" t="str">
        <f t="shared" si="18"/>
        <v>50100-736717995-951500167301240</v>
      </c>
      <c r="B1194" s="136" t="s">
        <v>3039</v>
      </c>
      <c r="C1194" s="136" t="s">
        <v>11040</v>
      </c>
      <c r="D1194" s="132" t="s">
        <v>3420</v>
      </c>
      <c r="E1194" s="136" t="s">
        <v>3043</v>
      </c>
      <c r="F1194" s="136" t="s">
        <v>3043</v>
      </c>
      <c r="G1194" s="137">
        <v>1395397990001</v>
      </c>
      <c r="H1194" s="138" t="s">
        <v>6456</v>
      </c>
      <c r="I1194" s="136">
        <v>951500167</v>
      </c>
      <c r="J1194" s="131" t="s">
        <v>3121</v>
      </c>
      <c r="K1194" s="139">
        <v>301240</v>
      </c>
    </row>
    <row r="1195" spans="1:11">
      <c r="A1195" s="1" t="str">
        <f t="shared" si="18"/>
        <v>50100-825298795-951500550241687</v>
      </c>
      <c r="B1195" s="136" t="s">
        <v>4564</v>
      </c>
      <c r="C1195" s="136" t="s">
        <v>11041</v>
      </c>
      <c r="D1195" s="132" t="s">
        <v>3420</v>
      </c>
      <c r="E1195" s="136" t="s">
        <v>4575</v>
      </c>
      <c r="F1195" s="136" t="s">
        <v>4575</v>
      </c>
      <c r="G1195" s="137">
        <v>1395447926001</v>
      </c>
      <c r="H1195" s="138" t="s">
        <v>6300</v>
      </c>
      <c r="I1195" s="136">
        <v>951500550</v>
      </c>
      <c r="J1195" s="131" t="s">
        <v>4511</v>
      </c>
      <c r="K1195" s="139">
        <v>241687</v>
      </c>
    </row>
    <row r="1196" spans="1:11">
      <c r="A1196" s="1" t="str">
        <f t="shared" si="18"/>
        <v>50100-721089095-951500033646540</v>
      </c>
      <c r="B1196" s="136" t="s">
        <v>2737</v>
      </c>
      <c r="C1196" s="136" t="s">
        <v>11042</v>
      </c>
      <c r="D1196" s="132" t="s">
        <v>3420</v>
      </c>
      <c r="E1196" s="136" t="s">
        <v>2758</v>
      </c>
      <c r="F1196" s="136" t="s">
        <v>2758</v>
      </c>
      <c r="G1196" s="137">
        <v>1394394801001</v>
      </c>
      <c r="H1196" s="138" t="s">
        <v>10183</v>
      </c>
      <c r="I1196" s="136">
        <v>951500033</v>
      </c>
      <c r="J1196" s="131" t="s">
        <v>2782</v>
      </c>
      <c r="K1196" s="139">
        <v>646540</v>
      </c>
    </row>
    <row r="1197" spans="1:11">
      <c r="A1197" s="1" t="str">
        <f t="shared" si="18"/>
        <v>50100-846366995-951500598293249</v>
      </c>
      <c r="B1197" s="136" t="s">
        <v>4828</v>
      </c>
      <c r="C1197" s="136" t="s">
        <v>11043</v>
      </c>
      <c r="D1197" s="132" t="s">
        <v>3420</v>
      </c>
      <c r="E1197" s="136" t="s">
        <v>4873</v>
      </c>
      <c r="F1197" s="136" t="s">
        <v>4873</v>
      </c>
      <c r="G1197" s="137">
        <v>1395462017001</v>
      </c>
      <c r="H1197" s="138" t="s">
        <v>6298</v>
      </c>
      <c r="I1197" s="136">
        <v>951500598</v>
      </c>
      <c r="J1197" s="131" t="s">
        <v>4949</v>
      </c>
      <c r="K1197" s="139">
        <v>293249</v>
      </c>
    </row>
    <row r="1198" spans="1:11">
      <c r="A1198" s="1" t="str">
        <f t="shared" si="18"/>
        <v>15100-26755494-94150080694020</v>
      </c>
      <c r="B1198" s="136" t="s">
        <v>11044</v>
      </c>
      <c r="C1198" s="136" t="s">
        <v>11045</v>
      </c>
      <c r="D1198" s="132" t="s">
        <v>3420</v>
      </c>
      <c r="E1198" s="136" t="s">
        <v>2860</v>
      </c>
      <c r="F1198" s="136" t="s">
        <v>2860</v>
      </c>
      <c r="G1198" s="137">
        <v>1394394802001</v>
      </c>
      <c r="H1198" s="138" t="s">
        <v>6298</v>
      </c>
      <c r="I1198" s="136">
        <v>941500806</v>
      </c>
      <c r="J1198" s="131" t="s">
        <v>2887</v>
      </c>
      <c r="K1198" s="139">
        <v>94020</v>
      </c>
    </row>
    <row r="1199" spans="1:11">
      <c r="A1199" s="1" t="str">
        <f t="shared" si="18"/>
        <v>15100-31490095-95150005873280</v>
      </c>
      <c r="B1199" s="136" t="s">
        <v>3426</v>
      </c>
      <c r="C1199" s="136" t="s">
        <v>11046</v>
      </c>
      <c r="D1199" s="132" t="s">
        <v>3420</v>
      </c>
      <c r="E1199" s="136" t="s">
        <v>3454</v>
      </c>
      <c r="F1199" s="136" t="s">
        <v>3454</v>
      </c>
      <c r="G1199" s="137">
        <v>1394395845001</v>
      </c>
      <c r="H1199" s="138" t="s">
        <v>6453</v>
      </c>
      <c r="I1199" s="136">
        <v>951500058</v>
      </c>
      <c r="J1199" s="131" t="s">
        <v>3382</v>
      </c>
      <c r="K1199" s="139">
        <v>73280</v>
      </c>
    </row>
    <row r="1200" spans="1:11">
      <c r="A1200" s="1" t="str">
        <f t="shared" si="18"/>
        <v>15100-32346595-95150005847240</v>
      </c>
      <c r="B1200" s="136" t="s">
        <v>3548</v>
      </c>
      <c r="C1200" s="136" t="s">
        <v>11047</v>
      </c>
      <c r="D1200" s="132" t="s">
        <v>3420</v>
      </c>
      <c r="E1200" s="136" t="s">
        <v>3529</v>
      </c>
      <c r="F1200" s="136" t="s">
        <v>3529</v>
      </c>
      <c r="G1200" s="137">
        <v>1394395845001</v>
      </c>
      <c r="H1200" s="138" t="s">
        <v>6453</v>
      </c>
      <c r="I1200" s="136">
        <v>951500058</v>
      </c>
      <c r="J1200" s="131" t="s">
        <v>3382</v>
      </c>
      <c r="K1200" s="139">
        <v>47240</v>
      </c>
    </row>
    <row r="1201" spans="1:11">
      <c r="A1201" s="1" t="str">
        <f t="shared" si="18"/>
        <v>15100-26548294-941500820274110</v>
      </c>
      <c r="B1201" s="136" t="s">
        <v>11010</v>
      </c>
      <c r="C1201" s="136" t="s">
        <v>11011</v>
      </c>
      <c r="D1201" s="132" t="s">
        <v>3420</v>
      </c>
      <c r="E1201" s="136" t="s">
        <v>2867</v>
      </c>
      <c r="F1201" s="136" t="s">
        <v>2867</v>
      </c>
      <c r="G1201" s="137">
        <v>1394394802001</v>
      </c>
      <c r="H1201" s="138" t="s">
        <v>6298</v>
      </c>
      <c r="I1201" s="136">
        <v>941500820</v>
      </c>
      <c r="J1201" s="131" t="s">
        <v>2892</v>
      </c>
      <c r="K1201" s="139">
        <v>274110</v>
      </c>
    </row>
    <row r="1202" spans="1:11">
      <c r="A1202" s="1" t="str">
        <f t="shared" si="18"/>
        <v>15100-35993795-95150038264120</v>
      </c>
      <c r="B1202" s="136" t="s">
        <v>4311</v>
      </c>
      <c r="C1202" s="136" t="s">
        <v>11036</v>
      </c>
      <c r="D1202" s="132" t="s">
        <v>3420</v>
      </c>
      <c r="E1202" s="136" t="s">
        <v>4166</v>
      </c>
      <c r="F1202" s="136" t="s">
        <v>4166</v>
      </c>
      <c r="G1202" s="137">
        <v>1395445412001</v>
      </c>
      <c r="H1202" s="138" t="s">
        <v>6298</v>
      </c>
      <c r="I1202" s="136">
        <v>951500382</v>
      </c>
      <c r="J1202" s="131" t="s">
        <v>4289</v>
      </c>
      <c r="K1202" s="139">
        <v>64120</v>
      </c>
    </row>
    <row r="1203" spans="1:11">
      <c r="A1203" s="1" t="str">
        <f t="shared" si="18"/>
        <v>15100-35222595-95150038977300</v>
      </c>
      <c r="B1203" s="136" t="s">
        <v>4091</v>
      </c>
      <c r="C1203" s="136" t="s">
        <v>11048</v>
      </c>
      <c r="D1203" s="132" t="s">
        <v>3420</v>
      </c>
      <c r="E1203" s="136" t="s">
        <v>4184</v>
      </c>
      <c r="F1203" s="136" t="s">
        <v>4184</v>
      </c>
      <c r="G1203" s="137">
        <v>1395437982001</v>
      </c>
      <c r="H1203" s="138" t="s">
        <v>6300</v>
      </c>
      <c r="I1203" s="136">
        <v>951500389</v>
      </c>
      <c r="J1203" s="131" t="s">
        <v>4273</v>
      </c>
      <c r="K1203" s="139">
        <v>77300</v>
      </c>
    </row>
    <row r="1204" spans="1:11">
      <c r="A1204" s="1" t="str">
        <f t="shared" si="18"/>
        <v>15100-35295095-951500389172320</v>
      </c>
      <c r="B1204" s="136" t="s">
        <v>4089</v>
      </c>
      <c r="C1204" s="136" t="s">
        <v>11013</v>
      </c>
      <c r="D1204" s="132" t="s">
        <v>3420</v>
      </c>
      <c r="E1204" s="136" t="s">
        <v>4181</v>
      </c>
      <c r="F1204" s="136" t="s">
        <v>4181</v>
      </c>
      <c r="G1204" s="137">
        <v>1395437982001</v>
      </c>
      <c r="H1204" s="138" t="s">
        <v>6300</v>
      </c>
      <c r="I1204" s="136">
        <v>951500389</v>
      </c>
      <c r="J1204" s="131" t="s">
        <v>4273</v>
      </c>
      <c r="K1204" s="139">
        <v>172320</v>
      </c>
    </row>
    <row r="1205" spans="1:11">
      <c r="A1205" s="1" t="str">
        <f t="shared" si="18"/>
        <v>15100-35295095-95150040410520</v>
      </c>
      <c r="B1205" s="136" t="s">
        <v>4089</v>
      </c>
      <c r="C1205" s="136" t="s">
        <v>11013</v>
      </c>
      <c r="D1205" s="132" t="s">
        <v>3420</v>
      </c>
      <c r="E1205" s="136" t="s">
        <v>4181</v>
      </c>
      <c r="F1205" s="136" t="s">
        <v>4181</v>
      </c>
      <c r="G1205" s="137">
        <v>1395445412001</v>
      </c>
      <c r="H1205" s="138" t="s">
        <v>6298</v>
      </c>
      <c r="I1205" s="136">
        <v>951500404</v>
      </c>
      <c r="J1205" s="131" t="s">
        <v>4265</v>
      </c>
      <c r="K1205" s="139">
        <v>10520</v>
      </c>
    </row>
    <row r="1206" spans="1:11">
      <c r="A1206" s="1" t="str">
        <f t="shared" si="18"/>
        <v>15100-34488895-95150035746260</v>
      </c>
      <c r="B1206" s="136" t="s">
        <v>3778</v>
      </c>
      <c r="C1206" s="136" t="s">
        <v>11049</v>
      </c>
      <c r="D1206" s="132" t="s">
        <v>3420</v>
      </c>
      <c r="E1206" s="136" t="s">
        <v>3825</v>
      </c>
      <c r="F1206" s="136" t="s">
        <v>3825</v>
      </c>
      <c r="G1206" s="137">
        <v>1395441442001</v>
      </c>
      <c r="H1206" s="138" t="s">
        <v>6299</v>
      </c>
      <c r="I1206" s="136">
        <v>951500357</v>
      </c>
      <c r="J1206" s="131" t="s">
        <v>3838</v>
      </c>
      <c r="K1206" s="139">
        <v>46260</v>
      </c>
    </row>
    <row r="1207" spans="1:11">
      <c r="A1207" s="1" t="str">
        <f t="shared" si="18"/>
        <v>15100-34488895-951500372161280</v>
      </c>
      <c r="B1207" s="136" t="s">
        <v>3778</v>
      </c>
      <c r="C1207" s="136" t="s">
        <v>11049</v>
      </c>
      <c r="D1207" s="132" t="s">
        <v>3420</v>
      </c>
      <c r="E1207" s="136" t="s">
        <v>3825</v>
      </c>
      <c r="F1207" s="136" t="s">
        <v>3825</v>
      </c>
      <c r="G1207" s="137">
        <v>1395441908001</v>
      </c>
      <c r="H1207" s="138" t="s">
        <v>6298</v>
      </c>
      <c r="I1207" s="136">
        <v>951500372</v>
      </c>
      <c r="J1207" s="131" t="s">
        <v>3839</v>
      </c>
      <c r="K1207" s="139">
        <v>161280</v>
      </c>
    </row>
    <row r="1208" spans="1:11">
      <c r="A1208" s="1" t="str">
        <f t="shared" si="18"/>
        <v>50100-731201895-95150012424480</v>
      </c>
      <c r="B1208" s="136" t="s">
        <v>3012</v>
      </c>
      <c r="C1208" s="136" t="s">
        <v>10582</v>
      </c>
      <c r="D1208" s="132" t="s">
        <v>3420</v>
      </c>
      <c r="E1208" s="136" t="s">
        <v>2857</v>
      </c>
      <c r="F1208" s="136" t="s">
        <v>2857</v>
      </c>
      <c r="G1208" s="137">
        <v>1395397987001</v>
      </c>
      <c r="H1208" s="138" t="s">
        <v>10183</v>
      </c>
      <c r="I1208" s="136">
        <v>951500124</v>
      </c>
      <c r="J1208" s="131" t="s">
        <v>3135</v>
      </c>
      <c r="K1208" s="139">
        <v>24480</v>
      </c>
    </row>
    <row r="1209" spans="1:11">
      <c r="A1209" s="1" t="str">
        <f t="shared" si="18"/>
        <v>50100-726061094-941500847900000</v>
      </c>
      <c r="B1209" s="136" t="s">
        <v>3013</v>
      </c>
      <c r="C1209" s="136" t="s">
        <v>10613</v>
      </c>
      <c r="D1209" s="132" t="s">
        <v>3420</v>
      </c>
      <c r="E1209" s="136" t="s">
        <v>2867</v>
      </c>
      <c r="F1209" s="136" t="s">
        <v>2867</v>
      </c>
      <c r="G1209" s="137">
        <v>1394395844001</v>
      </c>
      <c r="H1209" s="138" t="s">
        <v>6298</v>
      </c>
      <c r="I1209" s="136">
        <v>941500847</v>
      </c>
      <c r="J1209" s="131" t="s">
        <v>3136</v>
      </c>
      <c r="K1209" s="139">
        <v>900000</v>
      </c>
    </row>
    <row r="1210" spans="1:11">
      <c r="A1210" s="1" t="str">
        <f t="shared" si="18"/>
        <v>50100-762589195-95150019025629</v>
      </c>
      <c r="B1210" s="136" t="s">
        <v>10590</v>
      </c>
      <c r="C1210" s="136" t="s">
        <v>10591</v>
      </c>
      <c r="D1210" s="132" t="s">
        <v>3420</v>
      </c>
      <c r="E1210" s="136" t="s">
        <v>10592</v>
      </c>
      <c r="F1210" s="136" t="s">
        <v>10592</v>
      </c>
      <c r="G1210" s="137">
        <v>1395400303001</v>
      </c>
      <c r="H1210" s="138" t="s">
        <v>6453</v>
      </c>
      <c r="I1210" s="136">
        <v>951500190</v>
      </c>
      <c r="J1210" s="131" t="s">
        <v>3402</v>
      </c>
      <c r="K1210" s="139">
        <v>25629</v>
      </c>
    </row>
    <row r="1211" spans="1:11">
      <c r="A1211" s="1" t="str">
        <f t="shared" si="18"/>
        <v>50100-739953595-95150003110368</v>
      </c>
      <c r="B1211" s="136" t="s">
        <v>3155</v>
      </c>
      <c r="C1211" s="136" t="s">
        <v>10595</v>
      </c>
      <c r="D1211" s="132" t="s">
        <v>3420</v>
      </c>
      <c r="E1211" s="136" t="s">
        <v>3168</v>
      </c>
      <c r="F1211" s="136" t="s">
        <v>3168</v>
      </c>
      <c r="G1211" s="137">
        <v>1395397985001</v>
      </c>
      <c r="H1211" s="138" t="s">
        <v>6298</v>
      </c>
      <c r="I1211" s="136">
        <v>951500031</v>
      </c>
      <c r="J1211" s="131" t="s">
        <v>3083</v>
      </c>
      <c r="K1211" s="139">
        <v>10368</v>
      </c>
    </row>
    <row r="1212" spans="1:11">
      <c r="A1212" s="1" t="str">
        <f t="shared" si="18"/>
        <v>50100-716309294-94150083314739</v>
      </c>
      <c r="B1212" s="136" t="s">
        <v>2593</v>
      </c>
      <c r="C1212" s="136" t="s">
        <v>11007</v>
      </c>
      <c r="D1212" s="132" t="s">
        <v>3420</v>
      </c>
      <c r="E1212" s="136" t="s">
        <v>2612</v>
      </c>
      <c r="F1212" s="136" t="s">
        <v>2612</v>
      </c>
      <c r="G1212" s="137">
        <v>1394394801001</v>
      </c>
      <c r="H1212" s="138" t="s">
        <v>10183</v>
      </c>
      <c r="I1212" s="136">
        <v>941500833</v>
      </c>
      <c r="J1212" s="131" t="s">
        <v>7093</v>
      </c>
      <c r="K1212" s="139">
        <v>14739</v>
      </c>
    </row>
    <row r="1213" spans="1:11">
      <c r="A1213" s="1" t="str">
        <f t="shared" si="18"/>
        <v>50100-819769895-951500364300000</v>
      </c>
      <c r="B1213" s="136" t="s">
        <v>4415</v>
      </c>
      <c r="C1213" s="136" t="s">
        <v>11032</v>
      </c>
      <c r="D1213" s="132" t="s">
        <v>3420</v>
      </c>
      <c r="E1213" s="136" t="s">
        <v>4438</v>
      </c>
      <c r="F1213" s="136" t="s">
        <v>4438</v>
      </c>
      <c r="G1213" s="137">
        <v>1395441443001</v>
      </c>
      <c r="H1213" s="138" t="s">
        <v>6454</v>
      </c>
      <c r="I1213" s="136">
        <v>951500364</v>
      </c>
      <c r="J1213" s="131" t="s">
        <v>4484</v>
      </c>
      <c r="K1213" s="139">
        <v>300000</v>
      </c>
    </row>
    <row r="1214" spans="1:11">
      <c r="A1214" s="1" t="str">
        <f t="shared" si="18"/>
        <v>50100-819769895-9515004222604</v>
      </c>
      <c r="B1214" s="136" t="s">
        <v>4415</v>
      </c>
      <c r="C1214" s="136" t="s">
        <v>11032</v>
      </c>
      <c r="D1214" s="132" t="s">
        <v>3420</v>
      </c>
      <c r="E1214" s="136" t="s">
        <v>4438</v>
      </c>
      <c r="F1214" s="136" t="s">
        <v>4438</v>
      </c>
      <c r="G1214" s="137">
        <v>1395447375001</v>
      </c>
      <c r="H1214" s="138" t="s">
        <v>6454</v>
      </c>
      <c r="I1214" s="136">
        <v>951500422</v>
      </c>
      <c r="J1214" s="131" t="s">
        <v>4467</v>
      </c>
      <c r="K1214" s="139">
        <v>2604</v>
      </c>
    </row>
    <row r="1215" spans="1:11">
      <c r="A1215" s="1" t="str">
        <f t="shared" si="18"/>
        <v>50100-718040995-951500019496950</v>
      </c>
      <c r="B1215" s="136" t="s">
        <v>2702</v>
      </c>
      <c r="C1215" s="136" t="s">
        <v>11050</v>
      </c>
      <c r="D1215" s="132" t="s">
        <v>3420</v>
      </c>
      <c r="E1215" s="136" t="s">
        <v>2749</v>
      </c>
      <c r="F1215" s="136" t="s">
        <v>2749</v>
      </c>
      <c r="G1215" s="137">
        <v>1394395845001</v>
      </c>
      <c r="H1215" s="138" t="s">
        <v>6453</v>
      </c>
      <c r="I1215" s="136">
        <v>951500019</v>
      </c>
      <c r="J1215" s="131" t="s">
        <v>2789</v>
      </c>
      <c r="K1215" s="139">
        <v>496950</v>
      </c>
    </row>
    <row r="1216" spans="1:11">
      <c r="A1216" s="1" t="str">
        <f t="shared" si="18"/>
        <v>15100-27649794-94150081894730</v>
      </c>
      <c r="B1216" s="136" t="s">
        <v>10991</v>
      </c>
      <c r="C1216" s="136" t="s">
        <v>10992</v>
      </c>
      <c r="D1216" s="132" t="s">
        <v>3420</v>
      </c>
      <c r="E1216" s="136" t="s">
        <v>3043</v>
      </c>
      <c r="F1216" s="136" t="s">
        <v>3043</v>
      </c>
      <c r="G1216" s="137">
        <v>1394394802001</v>
      </c>
      <c r="H1216" s="138" t="s">
        <v>6298</v>
      </c>
      <c r="I1216" s="136">
        <v>941500818</v>
      </c>
      <c r="J1216" s="131" t="s">
        <v>2884</v>
      </c>
      <c r="K1216" s="139">
        <v>94730</v>
      </c>
    </row>
    <row r="1217" spans="1:11">
      <c r="A1217" s="1" t="str">
        <f t="shared" si="18"/>
        <v>15100-28968994-94150083426030</v>
      </c>
      <c r="B1217" s="136" t="s">
        <v>11051</v>
      </c>
      <c r="C1217" s="136" t="s">
        <v>11052</v>
      </c>
      <c r="D1217" s="132" t="s">
        <v>3420</v>
      </c>
      <c r="E1217" s="136" t="s">
        <v>3242</v>
      </c>
      <c r="F1217" s="136" t="s">
        <v>3242</v>
      </c>
      <c r="G1217" s="137">
        <v>1394395844001</v>
      </c>
      <c r="H1217" s="138" t="s">
        <v>6298</v>
      </c>
      <c r="I1217" s="136">
        <v>941500834</v>
      </c>
      <c r="J1217" s="131" t="s">
        <v>2772</v>
      </c>
      <c r="K1217" s="139">
        <v>26030</v>
      </c>
    </row>
    <row r="1218" spans="1:11">
      <c r="A1218" s="1" t="str">
        <f t="shared" si="18"/>
        <v>15100-27549695-95150004492480</v>
      </c>
      <c r="B1218" s="136" t="s">
        <v>2903</v>
      </c>
      <c r="C1218" s="136" t="s">
        <v>11053</v>
      </c>
      <c r="D1218" s="132" t="s">
        <v>3420</v>
      </c>
      <c r="E1218" s="136" t="s">
        <v>3044</v>
      </c>
      <c r="F1218" s="136" t="s">
        <v>3044</v>
      </c>
      <c r="G1218" s="137">
        <v>1394395845001</v>
      </c>
      <c r="H1218" s="138" t="s">
        <v>6453</v>
      </c>
      <c r="I1218" s="136">
        <v>951500044</v>
      </c>
      <c r="J1218" s="131" t="s">
        <v>3053</v>
      </c>
      <c r="K1218" s="139">
        <v>92480</v>
      </c>
    </row>
    <row r="1219" spans="1:11">
      <c r="A1219" s="1" t="str">
        <f t="shared" ref="A1219:A1282" si="19">B1219&amp;J1219&amp;K1219</f>
        <v>15100-29823795-95150004420575</v>
      </c>
      <c r="B1219" s="136" t="s">
        <v>3363</v>
      </c>
      <c r="C1219" s="136" t="s">
        <v>11008</v>
      </c>
      <c r="D1219" s="132" t="s">
        <v>3420</v>
      </c>
      <c r="E1219" s="136" t="s">
        <v>3323</v>
      </c>
      <c r="F1219" s="136" t="s">
        <v>3323</v>
      </c>
      <c r="G1219" s="137">
        <v>1394395845001</v>
      </c>
      <c r="H1219" s="138" t="s">
        <v>6453</v>
      </c>
      <c r="I1219" s="136">
        <v>951500044</v>
      </c>
      <c r="J1219" s="131" t="s">
        <v>3053</v>
      </c>
      <c r="K1219" s="139">
        <v>20575</v>
      </c>
    </row>
    <row r="1220" spans="1:11">
      <c r="A1220" s="1" t="str">
        <f t="shared" si="19"/>
        <v>15100-30592395-95150018024930</v>
      </c>
      <c r="B1220" s="136" t="s">
        <v>3371</v>
      </c>
      <c r="C1220" s="136" t="s">
        <v>11054</v>
      </c>
      <c r="D1220" s="132" t="s">
        <v>3420</v>
      </c>
      <c r="E1220" s="136" t="s">
        <v>3379</v>
      </c>
      <c r="F1220" s="136" t="s">
        <v>3379</v>
      </c>
      <c r="G1220" s="137">
        <v>1395401420001</v>
      </c>
      <c r="H1220" s="138" t="s">
        <v>6298</v>
      </c>
      <c r="I1220" s="136">
        <v>951500180</v>
      </c>
      <c r="J1220" s="131" t="s">
        <v>3384</v>
      </c>
      <c r="K1220" s="139">
        <v>24930</v>
      </c>
    </row>
    <row r="1221" spans="1:11">
      <c r="A1221" s="1" t="str">
        <f t="shared" si="19"/>
        <v>15100-36587195-9515004057680</v>
      </c>
      <c r="B1221" s="136" t="s">
        <v>4341</v>
      </c>
      <c r="C1221" s="136" t="s">
        <v>11009</v>
      </c>
      <c r="D1221" s="132" t="s">
        <v>3420</v>
      </c>
      <c r="E1221" s="136" t="s">
        <v>4343</v>
      </c>
      <c r="F1221" s="136" t="s">
        <v>4343</v>
      </c>
      <c r="G1221" s="137">
        <v>1395447370001</v>
      </c>
      <c r="H1221" s="138" t="s">
        <v>6299</v>
      </c>
      <c r="I1221" s="136">
        <v>951500405</v>
      </c>
      <c r="J1221" s="131" t="s">
        <v>4287</v>
      </c>
      <c r="K1221" s="139">
        <v>7680</v>
      </c>
    </row>
    <row r="1222" spans="1:11">
      <c r="A1222" s="1" t="str">
        <f t="shared" si="19"/>
        <v>15100-35044095-95150038569370</v>
      </c>
      <c r="B1222" s="136" t="s">
        <v>4093</v>
      </c>
      <c r="C1222" s="136" t="s">
        <v>11055</v>
      </c>
      <c r="D1222" s="132" t="s">
        <v>3420</v>
      </c>
      <c r="E1222" s="136" t="s">
        <v>3933</v>
      </c>
      <c r="F1222" s="136" t="s">
        <v>3933</v>
      </c>
      <c r="G1222" s="137">
        <v>1395445412001</v>
      </c>
      <c r="H1222" s="138" t="s">
        <v>6298</v>
      </c>
      <c r="I1222" s="136">
        <v>951500385</v>
      </c>
      <c r="J1222" s="131" t="s">
        <v>4268</v>
      </c>
      <c r="K1222" s="139">
        <v>69370</v>
      </c>
    </row>
    <row r="1223" spans="1:11">
      <c r="A1223" s="1" t="str">
        <f t="shared" si="19"/>
        <v>15100-35222595-95150038574540</v>
      </c>
      <c r="B1223" s="136" t="s">
        <v>4091</v>
      </c>
      <c r="C1223" s="136" t="s">
        <v>11048</v>
      </c>
      <c r="D1223" s="132" t="s">
        <v>3420</v>
      </c>
      <c r="E1223" s="136" t="s">
        <v>4184</v>
      </c>
      <c r="F1223" s="136" t="s">
        <v>4184</v>
      </c>
      <c r="G1223" s="137">
        <v>1395445412001</v>
      </c>
      <c r="H1223" s="138" t="s">
        <v>6298</v>
      </c>
      <c r="I1223" s="136">
        <v>951500385</v>
      </c>
      <c r="J1223" s="131" t="s">
        <v>4268</v>
      </c>
      <c r="K1223" s="139">
        <v>74540</v>
      </c>
    </row>
    <row r="1224" spans="1:11">
      <c r="A1224" s="1" t="str">
        <f t="shared" si="19"/>
        <v>15100-35717395-95150042549380</v>
      </c>
      <c r="B1224" s="136" t="s">
        <v>4094</v>
      </c>
      <c r="C1224" s="136" t="s">
        <v>11056</v>
      </c>
      <c r="D1224" s="132" t="s">
        <v>3420</v>
      </c>
      <c r="E1224" s="136" t="s">
        <v>4178</v>
      </c>
      <c r="F1224" s="136" t="s">
        <v>4178</v>
      </c>
      <c r="G1224" s="137">
        <v>1395447925001</v>
      </c>
      <c r="H1224" s="138" t="s">
        <v>6298</v>
      </c>
      <c r="I1224" s="136">
        <v>951500425</v>
      </c>
      <c r="J1224" s="131" t="s">
        <v>4270</v>
      </c>
      <c r="K1224" s="139">
        <v>49380</v>
      </c>
    </row>
    <row r="1225" spans="1:11">
      <c r="A1225" s="1" t="str">
        <f t="shared" si="19"/>
        <v>15100-35717395-95150048923200</v>
      </c>
      <c r="B1225" s="136" t="s">
        <v>4094</v>
      </c>
      <c r="C1225" s="136" t="s">
        <v>11056</v>
      </c>
      <c r="D1225" s="132" t="s">
        <v>3420</v>
      </c>
      <c r="E1225" s="136" t="s">
        <v>4178</v>
      </c>
      <c r="F1225" s="136" t="s">
        <v>4178</v>
      </c>
      <c r="G1225" s="137">
        <v>1395449241001</v>
      </c>
      <c r="H1225" s="138" t="s">
        <v>6299</v>
      </c>
      <c r="I1225" s="136">
        <v>951500489</v>
      </c>
      <c r="J1225" s="131" t="s">
        <v>4271</v>
      </c>
      <c r="K1225" s="139">
        <v>23200</v>
      </c>
    </row>
    <row r="1226" spans="1:11">
      <c r="A1226" s="1" t="str">
        <f t="shared" si="19"/>
        <v>15100-35783495-95150048933580</v>
      </c>
      <c r="B1226" s="136" t="s">
        <v>4092</v>
      </c>
      <c r="C1226" s="136" t="s">
        <v>11057</v>
      </c>
      <c r="D1226" s="132" t="s">
        <v>3420</v>
      </c>
      <c r="E1226" s="136" t="s">
        <v>4177</v>
      </c>
      <c r="F1226" s="136" t="s">
        <v>4165</v>
      </c>
      <c r="G1226" s="137">
        <v>1395449241001</v>
      </c>
      <c r="H1226" s="138" t="s">
        <v>6299</v>
      </c>
      <c r="I1226" s="136">
        <v>951500489</v>
      </c>
      <c r="J1226" s="131" t="s">
        <v>4271</v>
      </c>
      <c r="K1226" s="139">
        <v>33580</v>
      </c>
    </row>
    <row r="1227" spans="1:11">
      <c r="A1227" s="1" t="str">
        <f t="shared" si="19"/>
        <v>15100-35783495-95150050244980</v>
      </c>
      <c r="B1227" s="136" t="s">
        <v>4092</v>
      </c>
      <c r="C1227" s="136" t="s">
        <v>11057</v>
      </c>
      <c r="D1227" s="132" t="s">
        <v>3420</v>
      </c>
      <c r="E1227" s="136" t="s">
        <v>4177</v>
      </c>
      <c r="F1227" s="141" t="s">
        <v>4165</v>
      </c>
      <c r="G1227" s="137">
        <v>1395449894001</v>
      </c>
      <c r="H1227" s="140" t="s">
        <v>8845</v>
      </c>
      <c r="I1227" s="141">
        <v>951500502</v>
      </c>
      <c r="J1227" s="131" t="s">
        <v>4272</v>
      </c>
      <c r="K1227" s="142">
        <v>44980</v>
      </c>
    </row>
    <row r="1228" spans="1:11">
      <c r="A1228" s="1" t="str">
        <f t="shared" si="19"/>
        <v>15100-35783495-95150042512940</v>
      </c>
      <c r="B1228" s="136" t="s">
        <v>4092</v>
      </c>
      <c r="C1228" s="136" t="s">
        <v>11057</v>
      </c>
      <c r="D1228" s="132" t="s">
        <v>3420</v>
      </c>
      <c r="E1228" s="136" t="s">
        <v>4177</v>
      </c>
      <c r="F1228" s="136" t="s">
        <v>4165</v>
      </c>
      <c r="G1228" s="137">
        <v>1395447925001</v>
      </c>
      <c r="H1228" s="138" t="s">
        <v>6298</v>
      </c>
      <c r="I1228" s="136">
        <v>951500425</v>
      </c>
      <c r="J1228" s="131" t="s">
        <v>4270</v>
      </c>
      <c r="K1228" s="139">
        <v>12940</v>
      </c>
    </row>
    <row r="1229" spans="1:11">
      <c r="A1229" s="1" t="str">
        <f t="shared" si="19"/>
        <v>15100-25567795-95150001225100</v>
      </c>
      <c r="B1229" s="136" t="s">
        <v>2686</v>
      </c>
      <c r="C1229" s="136" t="s">
        <v>11027</v>
      </c>
      <c r="D1229" s="132" t="s">
        <v>3420</v>
      </c>
      <c r="E1229" s="136" t="s">
        <v>2618</v>
      </c>
      <c r="F1229" s="136" t="s">
        <v>2618</v>
      </c>
      <c r="G1229" s="137">
        <v>1394392647001</v>
      </c>
      <c r="H1229" s="138" t="s">
        <v>6454</v>
      </c>
      <c r="I1229" s="136">
        <v>951500012</v>
      </c>
      <c r="J1229" s="131" t="s">
        <v>2769</v>
      </c>
      <c r="K1229" s="139">
        <v>25100</v>
      </c>
    </row>
    <row r="1230" spans="1:11">
      <c r="A1230" s="1" t="str">
        <f t="shared" si="19"/>
        <v>15100-28659695-95150012042765</v>
      </c>
      <c r="B1230" s="136" t="s">
        <v>3200</v>
      </c>
      <c r="C1230" s="136" t="s">
        <v>11058</v>
      </c>
      <c r="D1230" s="132" t="s">
        <v>3420</v>
      </c>
      <c r="E1230" s="136" t="s">
        <v>3208</v>
      </c>
      <c r="F1230" s="136" t="s">
        <v>3208</v>
      </c>
      <c r="G1230" s="137">
        <v>1395397985001</v>
      </c>
      <c r="H1230" s="138" t="s">
        <v>6298</v>
      </c>
      <c r="I1230" s="136">
        <v>951500120</v>
      </c>
      <c r="J1230" s="131" t="s">
        <v>2895</v>
      </c>
      <c r="K1230" s="139">
        <v>42765</v>
      </c>
    </row>
    <row r="1231" spans="1:11">
      <c r="A1231" s="1" t="str">
        <f t="shared" si="19"/>
        <v>15100-36984095-95150048945080</v>
      </c>
      <c r="B1231" s="136" t="s">
        <v>4387</v>
      </c>
      <c r="C1231" s="136" t="s">
        <v>11059</v>
      </c>
      <c r="D1231" s="132" t="s">
        <v>3420</v>
      </c>
      <c r="E1231" s="136" t="s">
        <v>4436</v>
      </c>
      <c r="F1231" s="136" t="s">
        <v>4436</v>
      </c>
      <c r="G1231" s="137">
        <v>1395449241001</v>
      </c>
      <c r="H1231" s="138" t="s">
        <v>6299</v>
      </c>
      <c r="I1231" s="136">
        <v>951500489</v>
      </c>
      <c r="J1231" s="131" t="s">
        <v>4271</v>
      </c>
      <c r="K1231" s="139">
        <v>45080</v>
      </c>
    </row>
    <row r="1232" spans="1:11">
      <c r="A1232" s="1" t="str">
        <f t="shared" si="19"/>
        <v>50100-833299595-952500084409896</v>
      </c>
      <c r="B1232" s="136" t="s">
        <v>4634</v>
      </c>
      <c r="C1232" s="136" t="s">
        <v>11060</v>
      </c>
      <c r="D1232" s="132" t="s">
        <v>3420</v>
      </c>
      <c r="E1232" s="136" t="s">
        <v>4517</v>
      </c>
      <c r="F1232" s="136" t="s">
        <v>4517</v>
      </c>
      <c r="G1232" s="137">
        <v>1395460646001</v>
      </c>
      <c r="H1232" s="138" t="s">
        <v>11061</v>
      </c>
      <c r="I1232" s="141">
        <v>952500084</v>
      </c>
      <c r="J1232" s="131" t="s">
        <v>4692</v>
      </c>
      <c r="K1232" s="142">
        <v>409896</v>
      </c>
    </row>
    <row r="1233" spans="1:11">
      <c r="A1233" s="1" t="str">
        <f t="shared" si="19"/>
        <v>50100-748326895-951500116158287</v>
      </c>
      <c r="B1233" s="136" t="s">
        <v>3237</v>
      </c>
      <c r="C1233" s="136" t="s">
        <v>11062</v>
      </c>
      <c r="D1233" s="132" t="s">
        <v>3420</v>
      </c>
      <c r="E1233" s="136" t="s">
        <v>3247</v>
      </c>
      <c r="F1233" s="136" t="s">
        <v>3247</v>
      </c>
      <c r="G1233" s="137">
        <v>1394395845001</v>
      </c>
      <c r="H1233" s="138" t="s">
        <v>6453</v>
      </c>
      <c r="I1233" s="136">
        <v>951500116</v>
      </c>
      <c r="J1233" s="131" t="s">
        <v>3258</v>
      </c>
      <c r="K1233" s="139">
        <v>158287</v>
      </c>
    </row>
    <row r="1234" spans="1:11">
      <c r="A1234" s="1" t="str">
        <f t="shared" si="19"/>
        <v>50100-722238095-952500003486235</v>
      </c>
      <c r="B1234" s="136" t="s">
        <v>3017</v>
      </c>
      <c r="C1234" s="136" t="s">
        <v>10603</v>
      </c>
      <c r="D1234" s="132" t="s">
        <v>3420</v>
      </c>
      <c r="E1234" s="136" t="s">
        <v>2861</v>
      </c>
      <c r="F1234" s="136" t="s">
        <v>2861</v>
      </c>
      <c r="G1234" s="137">
        <v>1394394801001</v>
      </c>
      <c r="H1234" s="138" t="s">
        <v>10183</v>
      </c>
      <c r="I1234" s="136">
        <v>952500003</v>
      </c>
      <c r="J1234" s="131" t="s">
        <v>3093</v>
      </c>
      <c r="K1234" s="139">
        <v>486235</v>
      </c>
    </row>
    <row r="1235" spans="1:11">
      <c r="A1235" s="1" t="str">
        <f t="shared" si="19"/>
        <v>50100-716281295-951500007208380</v>
      </c>
      <c r="B1235" s="136" t="s">
        <v>2605</v>
      </c>
      <c r="C1235" s="136" t="s">
        <v>10608</v>
      </c>
      <c r="D1235" s="132" t="s">
        <v>3420</v>
      </c>
      <c r="E1235" s="136" t="s">
        <v>2612</v>
      </c>
      <c r="F1235" s="136" t="s">
        <v>2612</v>
      </c>
      <c r="G1235" s="137">
        <v>1394395845001</v>
      </c>
      <c r="H1235" s="138" t="s">
        <v>6453</v>
      </c>
      <c r="I1235" s="136">
        <v>951500007</v>
      </c>
      <c r="J1235" s="131" t="s">
        <v>2662</v>
      </c>
      <c r="K1235" s="139">
        <v>208380</v>
      </c>
    </row>
    <row r="1236" spans="1:11">
      <c r="A1236" s="1" t="str">
        <f t="shared" si="19"/>
        <v>50100-715106894-941500843397160</v>
      </c>
      <c r="B1236" s="136" t="s">
        <v>10588</v>
      </c>
      <c r="C1236" s="136" t="s">
        <v>10589</v>
      </c>
      <c r="D1236" s="132" t="s">
        <v>3420</v>
      </c>
      <c r="E1236" s="136" t="s">
        <v>2619</v>
      </c>
      <c r="F1236" s="136" t="s">
        <v>2619</v>
      </c>
      <c r="G1236" s="137">
        <v>1394395844001</v>
      </c>
      <c r="H1236" s="138" t="s">
        <v>6298</v>
      </c>
      <c r="I1236" s="136">
        <v>941500843</v>
      </c>
      <c r="J1236" s="131" t="s">
        <v>2644</v>
      </c>
      <c r="K1236" s="139">
        <v>397160</v>
      </c>
    </row>
    <row r="1237" spans="1:11">
      <c r="A1237" s="1" t="str">
        <f t="shared" si="19"/>
        <v>50100-739953595-951500132100000</v>
      </c>
      <c r="B1237" s="136" t="s">
        <v>3155</v>
      </c>
      <c r="C1237" s="136" t="s">
        <v>10595</v>
      </c>
      <c r="D1237" s="132" t="s">
        <v>3420</v>
      </c>
      <c r="E1237" s="136" t="s">
        <v>3168</v>
      </c>
      <c r="F1237" s="136" t="s">
        <v>3168</v>
      </c>
      <c r="G1237" s="137">
        <v>1395397987001</v>
      </c>
      <c r="H1237" s="138" t="s">
        <v>10183</v>
      </c>
      <c r="I1237" s="136">
        <v>951500132</v>
      </c>
      <c r="J1237" s="131" t="s">
        <v>3191</v>
      </c>
      <c r="K1237" s="139">
        <v>100000</v>
      </c>
    </row>
    <row r="1238" spans="1:11">
      <c r="A1238" s="1" t="str">
        <f t="shared" si="19"/>
        <v>50100-825298795-951500561258313</v>
      </c>
      <c r="B1238" s="136" t="s">
        <v>4564</v>
      </c>
      <c r="C1238" s="136" t="s">
        <v>11041</v>
      </c>
      <c r="D1238" s="132" t="s">
        <v>3420</v>
      </c>
      <c r="E1238" s="136" t="s">
        <v>4575</v>
      </c>
      <c r="F1238" s="136" t="s">
        <v>4575</v>
      </c>
      <c r="G1238" s="137">
        <v>1395447926001</v>
      </c>
      <c r="H1238" s="138" t="s">
        <v>6300</v>
      </c>
      <c r="I1238" s="136">
        <v>951500561</v>
      </c>
      <c r="J1238" s="131" t="s">
        <v>4512</v>
      </c>
      <c r="K1238" s="139">
        <v>258313</v>
      </c>
    </row>
    <row r="1239" spans="1:11">
      <c r="A1239" s="1" t="str">
        <f t="shared" si="19"/>
        <v>50100-730216695-95150008324000</v>
      </c>
      <c r="B1239" s="136" t="s">
        <v>3014</v>
      </c>
      <c r="C1239" s="136" t="s">
        <v>10579</v>
      </c>
      <c r="D1239" s="132" t="s">
        <v>3420</v>
      </c>
      <c r="E1239" s="136" t="s">
        <v>2853</v>
      </c>
      <c r="F1239" s="136" t="s">
        <v>2853</v>
      </c>
      <c r="G1239" s="137">
        <v>1394395845001</v>
      </c>
      <c r="H1239" s="138" t="s">
        <v>6453</v>
      </c>
      <c r="I1239" s="136">
        <v>951500083</v>
      </c>
      <c r="J1239" s="131" t="s">
        <v>3078</v>
      </c>
      <c r="K1239" s="139">
        <v>24000</v>
      </c>
    </row>
    <row r="1240" spans="1:11">
      <c r="A1240" s="1" t="str">
        <f t="shared" si="19"/>
        <v>50100-726061095-951500082800000</v>
      </c>
      <c r="B1240" s="136" t="s">
        <v>3013</v>
      </c>
      <c r="C1240" s="136" t="s">
        <v>10613</v>
      </c>
      <c r="D1240" s="132" t="s">
        <v>3420</v>
      </c>
      <c r="E1240" s="136" t="s">
        <v>2867</v>
      </c>
      <c r="F1240" s="136" t="s">
        <v>2867</v>
      </c>
      <c r="G1240" s="137">
        <v>1394395845001</v>
      </c>
      <c r="H1240" s="138" t="s">
        <v>6453</v>
      </c>
      <c r="I1240" s="136">
        <v>951500082</v>
      </c>
      <c r="J1240" s="131" t="s">
        <v>3138</v>
      </c>
      <c r="K1240" s="139">
        <v>800000</v>
      </c>
    </row>
    <row r="1241" spans="1:11">
      <c r="A1241" s="1" t="str">
        <f t="shared" si="19"/>
        <v>50100-739953595-95150012899770</v>
      </c>
      <c r="B1241" s="136" t="s">
        <v>3155</v>
      </c>
      <c r="C1241" s="136" t="s">
        <v>10595</v>
      </c>
      <c r="D1241" s="132" t="s">
        <v>3420</v>
      </c>
      <c r="E1241" s="136" t="s">
        <v>3168</v>
      </c>
      <c r="F1241" s="136" t="s">
        <v>3168</v>
      </c>
      <c r="G1241" s="137">
        <v>1395397987001</v>
      </c>
      <c r="H1241" s="138" t="s">
        <v>10183</v>
      </c>
      <c r="I1241" s="136">
        <v>951500128</v>
      </c>
      <c r="J1241" s="131" t="s">
        <v>3115</v>
      </c>
      <c r="K1241" s="139">
        <v>99770</v>
      </c>
    </row>
    <row r="1242" spans="1:11">
      <c r="A1242" s="1" t="str">
        <f t="shared" si="19"/>
        <v>50100-721089095-952500002332370</v>
      </c>
      <c r="B1242" s="136" t="s">
        <v>2737</v>
      </c>
      <c r="C1242" s="136" t="s">
        <v>11042</v>
      </c>
      <c r="D1242" s="132" t="s">
        <v>3420</v>
      </c>
      <c r="E1242" s="136" t="s">
        <v>2758</v>
      </c>
      <c r="F1242" s="136" t="s">
        <v>2758</v>
      </c>
      <c r="G1242" s="137">
        <v>1394394801001</v>
      </c>
      <c r="H1242" s="138" t="s">
        <v>10183</v>
      </c>
      <c r="I1242" s="136">
        <v>952500002</v>
      </c>
      <c r="J1242" s="131" t="s">
        <v>2804</v>
      </c>
      <c r="K1242" s="139">
        <v>332370</v>
      </c>
    </row>
    <row r="1243" spans="1:11">
      <c r="A1243" s="1" t="str">
        <f t="shared" si="19"/>
        <v>50100-752060795-951500127299900</v>
      </c>
      <c r="B1243" s="136" t="s">
        <v>3311</v>
      </c>
      <c r="C1243" s="136" t="s">
        <v>11063</v>
      </c>
      <c r="D1243" s="132" t="s">
        <v>3420</v>
      </c>
      <c r="E1243" s="136" t="s">
        <v>3273</v>
      </c>
      <c r="F1243" s="136" t="s">
        <v>3273</v>
      </c>
      <c r="G1243" s="137">
        <v>1395397990001</v>
      </c>
      <c r="H1243" s="138" t="s">
        <v>6456</v>
      </c>
      <c r="I1243" s="136">
        <v>951500127</v>
      </c>
      <c r="J1243" s="131" t="s">
        <v>3350</v>
      </c>
      <c r="K1243" s="139">
        <v>299900</v>
      </c>
    </row>
    <row r="1244" spans="1:11">
      <c r="A1244" s="1" t="str">
        <f t="shared" si="19"/>
        <v>50100-819050595-9541000244194324</v>
      </c>
      <c r="B1244" s="136" t="s">
        <v>4416</v>
      </c>
      <c r="C1244" s="136" t="s">
        <v>11064</v>
      </c>
      <c r="D1244" s="132" t="s">
        <v>3420</v>
      </c>
      <c r="E1244" s="136" t="s">
        <v>4441</v>
      </c>
      <c r="F1244" s="136" t="s">
        <v>4441</v>
      </c>
      <c r="G1244" s="137">
        <v>1395455748001</v>
      </c>
      <c r="H1244" s="138" t="s">
        <v>10183</v>
      </c>
      <c r="I1244" s="136">
        <v>954100024</v>
      </c>
      <c r="J1244" s="131" t="s">
        <v>4480</v>
      </c>
      <c r="K1244" s="139">
        <v>4194324</v>
      </c>
    </row>
    <row r="1245" spans="1:11">
      <c r="A1245" s="1" t="str">
        <f t="shared" si="19"/>
        <v>50100-819757295-951500333100000</v>
      </c>
      <c r="B1245" s="136" t="s">
        <v>4417</v>
      </c>
      <c r="C1245" s="136" t="s">
        <v>10599</v>
      </c>
      <c r="D1245" s="132" t="s">
        <v>3420</v>
      </c>
      <c r="E1245" s="136" t="s">
        <v>4438</v>
      </c>
      <c r="F1245" s="136" t="s">
        <v>4438</v>
      </c>
      <c r="G1245" s="137">
        <v>1395438159001</v>
      </c>
      <c r="H1245" s="138" t="s">
        <v>6298</v>
      </c>
      <c r="I1245" s="136">
        <v>951500333</v>
      </c>
      <c r="J1245" s="131" t="s">
        <v>4488</v>
      </c>
      <c r="K1245" s="139">
        <v>100000</v>
      </c>
    </row>
    <row r="1246" spans="1:11">
      <c r="A1246" s="1" t="str">
        <f t="shared" si="19"/>
        <v>15100-27967094-941500811246470</v>
      </c>
      <c r="B1246" s="136" t="s">
        <v>11065</v>
      </c>
      <c r="C1246" s="136" t="s">
        <v>11066</v>
      </c>
      <c r="D1246" s="132" t="s">
        <v>3420</v>
      </c>
      <c r="E1246" s="136" t="s">
        <v>3168</v>
      </c>
      <c r="F1246" s="136" t="s">
        <v>3168</v>
      </c>
      <c r="G1246" s="137">
        <v>1394394802001</v>
      </c>
      <c r="H1246" s="138" t="s">
        <v>6298</v>
      </c>
      <c r="I1246" s="136">
        <v>941500811</v>
      </c>
      <c r="J1246" s="131" t="s">
        <v>3056</v>
      </c>
      <c r="K1246" s="139">
        <v>246470</v>
      </c>
    </row>
    <row r="1247" spans="1:11">
      <c r="A1247" s="1" t="str">
        <f t="shared" si="19"/>
        <v>15100-36984095-951500514148040</v>
      </c>
      <c r="B1247" s="136" t="s">
        <v>4387</v>
      </c>
      <c r="C1247" s="136" t="s">
        <v>11059</v>
      </c>
      <c r="D1247" s="132" t="s">
        <v>3420</v>
      </c>
      <c r="E1247" s="136" t="s">
        <v>4436</v>
      </c>
      <c r="F1247" s="136" t="s">
        <v>4436</v>
      </c>
      <c r="G1247" s="137">
        <v>1395449236001</v>
      </c>
      <c r="H1247" s="138" t="s">
        <v>6298</v>
      </c>
      <c r="I1247" s="136">
        <v>951500514</v>
      </c>
      <c r="J1247" s="131" t="s">
        <v>4454</v>
      </c>
      <c r="K1247" s="139">
        <v>148040</v>
      </c>
    </row>
    <row r="1248" spans="1:11">
      <c r="A1248" s="1" t="str">
        <f t="shared" si="19"/>
        <v>50100-744646695-952500014487772</v>
      </c>
      <c r="B1248" s="136" t="s">
        <v>3159</v>
      </c>
      <c r="C1248" s="136" t="s">
        <v>11067</v>
      </c>
      <c r="D1248" s="132" t="s">
        <v>3420</v>
      </c>
      <c r="E1248" s="136" t="s">
        <v>3172</v>
      </c>
      <c r="F1248" s="136" t="s">
        <v>3172</v>
      </c>
      <c r="G1248" s="137">
        <v>1395397987001</v>
      </c>
      <c r="H1248" s="138" t="s">
        <v>10183</v>
      </c>
      <c r="I1248" s="136">
        <v>952500014</v>
      </c>
      <c r="J1248" s="131" t="s">
        <v>3183</v>
      </c>
      <c r="K1248" s="139">
        <v>487772</v>
      </c>
    </row>
    <row r="1249" spans="1:11">
      <c r="A1249" s="1" t="str">
        <f t="shared" si="19"/>
        <v>50100-721690695-951500043497625</v>
      </c>
      <c r="B1249" s="136" t="s">
        <v>2701</v>
      </c>
      <c r="C1249" s="136" t="s">
        <v>11068</v>
      </c>
      <c r="D1249" s="132" t="s">
        <v>3420</v>
      </c>
      <c r="E1249" s="136" t="s">
        <v>2757</v>
      </c>
      <c r="F1249" s="136" t="s">
        <v>2757</v>
      </c>
      <c r="G1249" s="137">
        <v>1394395845001</v>
      </c>
      <c r="H1249" s="138" t="s">
        <v>6453</v>
      </c>
      <c r="I1249" s="136">
        <v>951500043</v>
      </c>
      <c r="J1249" s="131" t="s">
        <v>2788</v>
      </c>
      <c r="K1249" s="139">
        <v>497625</v>
      </c>
    </row>
    <row r="1250" spans="1:11">
      <c r="A1250" s="1" t="str">
        <f t="shared" si="19"/>
        <v>50100-748326895-951500108263903</v>
      </c>
      <c r="B1250" s="136" t="s">
        <v>3237</v>
      </c>
      <c r="C1250" s="136" t="s">
        <v>11062</v>
      </c>
      <c r="D1250" s="132" t="s">
        <v>3420</v>
      </c>
      <c r="E1250" s="136" t="s">
        <v>3247</v>
      </c>
      <c r="F1250" s="136" t="s">
        <v>3247</v>
      </c>
      <c r="G1250" s="137">
        <v>1394395845001</v>
      </c>
      <c r="H1250" s="138" t="s">
        <v>6453</v>
      </c>
      <c r="I1250" s="136">
        <v>951500108</v>
      </c>
      <c r="J1250" s="131" t="s">
        <v>3105</v>
      </c>
      <c r="K1250" s="139">
        <v>263903</v>
      </c>
    </row>
    <row r="1251" spans="1:11">
      <c r="A1251" s="1" t="str">
        <f t="shared" si="19"/>
        <v>50100-750962095-951500140520000</v>
      </c>
      <c r="B1251" s="136" t="s">
        <v>3314</v>
      </c>
      <c r="C1251" s="136" t="s">
        <v>11069</v>
      </c>
      <c r="D1251" s="132" t="s">
        <v>3420</v>
      </c>
      <c r="E1251" s="136" t="s">
        <v>3282</v>
      </c>
      <c r="F1251" s="136" t="s">
        <v>3282</v>
      </c>
      <c r="G1251" s="137">
        <v>1395401420001</v>
      </c>
      <c r="H1251" s="138" t="s">
        <v>6298</v>
      </c>
      <c r="I1251" s="136">
        <v>951500140</v>
      </c>
      <c r="J1251" s="131" t="s">
        <v>3352</v>
      </c>
      <c r="K1251" s="139">
        <v>520000</v>
      </c>
    </row>
    <row r="1252" spans="1:11">
      <c r="A1252" s="1" t="str">
        <f t="shared" si="19"/>
        <v>50100-824483295-952500077490847</v>
      </c>
      <c r="B1252" s="136" t="s">
        <v>4562</v>
      </c>
      <c r="C1252" s="136" t="s">
        <v>11070</v>
      </c>
      <c r="D1252" s="132" t="s">
        <v>3420</v>
      </c>
      <c r="E1252" s="136" t="s">
        <v>4574</v>
      </c>
      <c r="F1252" s="136" t="s">
        <v>4574</v>
      </c>
      <c r="G1252" s="137">
        <v>1395456621001</v>
      </c>
      <c r="H1252" s="138" t="s">
        <v>10183</v>
      </c>
      <c r="I1252" s="136">
        <v>952500077</v>
      </c>
      <c r="J1252" s="131" t="s">
        <v>4582</v>
      </c>
      <c r="K1252" s="139">
        <v>490847</v>
      </c>
    </row>
    <row r="1253" spans="1:11">
      <c r="A1253" s="1" t="str">
        <f t="shared" si="19"/>
        <v>15100-34601495-951500368101340</v>
      </c>
      <c r="B1253" s="136" t="s">
        <v>4105</v>
      </c>
      <c r="C1253" s="136" t="s">
        <v>11071</v>
      </c>
      <c r="D1253" s="132" t="s">
        <v>3420</v>
      </c>
      <c r="E1253" s="136" t="s">
        <v>4187</v>
      </c>
      <c r="F1253" s="136" t="s">
        <v>4187</v>
      </c>
      <c r="G1253" s="137">
        <v>1395438159001</v>
      </c>
      <c r="H1253" s="138" t="s">
        <v>6298</v>
      </c>
      <c r="I1253" s="136">
        <v>951500368</v>
      </c>
      <c r="J1253" s="131" t="s">
        <v>4282</v>
      </c>
      <c r="K1253" s="139">
        <v>101340</v>
      </c>
    </row>
    <row r="1254" spans="1:11">
      <c r="A1254" s="1" t="str">
        <f t="shared" si="19"/>
        <v>15100-27034894-941500835245560</v>
      </c>
      <c r="B1254" s="136" t="s">
        <v>11072</v>
      </c>
      <c r="C1254" s="136" t="s">
        <v>11073</v>
      </c>
      <c r="D1254" s="132" t="s">
        <v>3420</v>
      </c>
      <c r="E1254" s="136" t="s">
        <v>2853</v>
      </c>
      <c r="F1254" s="136" t="s">
        <v>2853</v>
      </c>
      <c r="G1254" s="137">
        <v>1394395844001</v>
      </c>
      <c r="H1254" s="138" t="s">
        <v>6298</v>
      </c>
      <c r="I1254" s="136">
        <v>941500835</v>
      </c>
      <c r="J1254" s="131" t="s">
        <v>2876</v>
      </c>
      <c r="K1254" s="139">
        <v>245560</v>
      </c>
    </row>
    <row r="1255" spans="1:11">
      <c r="A1255" s="1" t="str">
        <f t="shared" si="19"/>
        <v>15100-33307995-95150027918512</v>
      </c>
      <c r="B1255" s="136" t="s">
        <v>3620</v>
      </c>
      <c r="C1255" s="136" t="s">
        <v>11074</v>
      </c>
      <c r="D1255" s="132" t="s">
        <v>3420</v>
      </c>
      <c r="E1255" s="136" t="s">
        <v>3715</v>
      </c>
      <c r="F1255" s="136" t="s">
        <v>3715</v>
      </c>
      <c r="G1255" s="137">
        <v>1395436005001</v>
      </c>
      <c r="H1255" s="138" t="s">
        <v>6298</v>
      </c>
      <c r="I1255" s="136">
        <v>951500279</v>
      </c>
      <c r="J1255" s="131" t="s">
        <v>3657</v>
      </c>
      <c r="K1255" s="139">
        <v>18512</v>
      </c>
    </row>
    <row r="1256" spans="1:11">
      <c r="A1256" s="1" t="str">
        <f t="shared" si="19"/>
        <v>15100-35159295-95150039148820</v>
      </c>
      <c r="B1256" s="136" t="s">
        <v>4103</v>
      </c>
      <c r="C1256" s="136" t="s">
        <v>11075</v>
      </c>
      <c r="D1256" s="132" t="s">
        <v>3420</v>
      </c>
      <c r="E1256" s="136" t="s">
        <v>3937</v>
      </c>
      <c r="F1256" s="141" t="s">
        <v>3937</v>
      </c>
      <c r="G1256" s="137">
        <v>1395445414001</v>
      </c>
      <c r="H1256" s="140" t="s">
        <v>8845</v>
      </c>
      <c r="I1256" s="141">
        <v>951500391</v>
      </c>
      <c r="J1256" s="131" t="s">
        <v>4274</v>
      </c>
      <c r="K1256" s="142">
        <v>48820</v>
      </c>
    </row>
    <row r="1257" spans="1:11">
      <c r="A1257" s="1" t="str">
        <f t="shared" si="19"/>
        <v>15100-33208595-95150027744240</v>
      </c>
      <c r="B1257" s="136" t="s">
        <v>3596</v>
      </c>
      <c r="C1257" s="136" t="s">
        <v>11076</v>
      </c>
      <c r="D1257" s="132" t="s">
        <v>3420</v>
      </c>
      <c r="E1257" s="136" t="s">
        <v>3716</v>
      </c>
      <c r="F1257" s="136" t="s">
        <v>3716</v>
      </c>
      <c r="G1257" s="137">
        <v>1395436005001</v>
      </c>
      <c r="H1257" s="138" t="s">
        <v>6298</v>
      </c>
      <c r="I1257" s="136">
        <v>951500277</v>
      </c>
      <c r="J1257" s="131" t="s">
        <v>3646</v>
      </c>
      <c r="K1257" s="139">
        <v>44240</v>
      </c>
    </row>
    <row r="1258" spans="1:11">
      <c r="A1258" s="1" t="str">
        <f t="shared" si="19"/>
        <v>15100-35715895-95150048246940</v>
      </c>
      <c r="B1258" s="136" t="s">
        <v>4097</v>
      </c>
      <c r="C1258" s="136" t="s">
        <v>11077</v>
      </c>
      <c r="D1258" s="132" t="s">
        <v>3420</v>
      </c>
      <c r="E1258" s="136" t="s">
        <v>4178</v>
      </c>
      <c r="F1258" s="136" t="s">
        <v>4178</v>
      </c>
      <c r="G1258" s="137">
        <v>1395447372001</v>
      </c>
      <c r="H1258" s="138" t="s">
        <v>6300</v>
      </c>
      <c r="I1258" s="136">
        <v>951500482</v>
      </c>
      <c r="J1258" s="131" t="s">
        <v>4283</v>
      </c>
      <c r="K1258" s="139">
        <v>46940</v>
      </c>
    </row>
    <row r="1259" spans="1:11">
      <c r="A1259" s="1" t="str">
        <f t="shared" si="19"/>
        <v>15100-35717095-951500482195600</v>
      </c>
      <c r="B1259" s="136" t="s">
        <v>4106</v>
      </c>
      <c r="C1259" s="136" t="s">
        <v>11078</v>
      </c>
      <c r="D1259" s="132" t="s">
        <v>3420</v>
      </c>
      <c r="E1259" s="136" t="s">
        <v>4178</v>
      </c>
      <c r="F1259" s="136" t="s">
        <v>4178</v>
      </c>
      <c r="G1259" s="137">
        <v>1395447372001</v>
      </c>
      <c r="H1259" s="138" t="s">
        <v>6300</v>
      </c>
      <c r="I1259" s="136">
        <v>951500482</v>
      </c>
      <c r="J1259" s="131" t="s">
        <v>4283</v>
      </c>
      <c r="K1259" s="139">
        <v>195600</v>
      </c>
    </row>
    <row r="1260" spans="1:11">
      <c r="A1260" s="1" t="str">
        <f t="shared" si="19"/>
        <v>15100-25466294-94150077350000</v>
      </c>
      <c r="B1260" s="136" t="s">
        <v>11079</v>
      </c>
      <c r="C1260" s="136" t="s">
        <v>11080</v>
      </c>
      <c r="D1260" s="132" t="s">
        <v>3420</v>
      </c>
      <c r="E1260" s="136" t="s">
        <v>2619</v>
      </c>
      <c r="F1260" s="136" t="s">
        <v>2619</v>
      </c>
      <c r="G1260" s="137">
        <v>1394394178001</v>
      </c>
      <c r="H1260" s="138" t="s">
        <v>6298</v>
      </c>
      <c r="I1260" s="136">
        <v>941500773</v>
      </c>
      <c r="J1260" s="131" t="s">
        <v>2760</v>
      </c>
      <c r="K1260" s="139">
        <v>50000</v>
      </c>
    </row>
    <row r="1261" spans="1:11">
      <c r="A1261" s="1" t="str">
        <f t="shared" si="19"/>
        <v>15100-25626294-94150077349370</v>
      </c>
      <c r="B1261" s="136" t="s">
        <v>11081</v>
      </c>
      <c r="C1261" s="136" t="s">
        <v>11082</v>
      </c>
      <c r="D1261" s="132" t="s">
        <v>3420</v>
      </c>
      <c r="E1261" s="136" t="s">
        <v>2612</v>
      </c>
      <c r="F1261" s="136" t="s">
        <v>2612</v>
      </c>
      <c r="G1261" s="137">
        <v>1394394178001</v>
      </c>
      <c r="H1261" s="138" t="s">
        <v>6298</v>
      </c>
      <c r="I1261" s="136">
        <v>941500773</v>
      </c>
      <c r="J1261" s="131" t="s">
        <v>2760</v>
      </c>
      <c r="K1261" s="139">
        <v>49370</v>
      </c>
    </row>
    <row r="1262" spans="1:11">
      <c r="A1262" s="1" t="str">
        <f t="shared" si="19"/>
        <v>15100-36783995-95150048235240</v>
      </c>
      <c r="B1262" s="136" t="s">
        <v>4388</v>
      </c>
      <c r="C1262" s="136" t="s">
        <v>11083</v>
      </c>
      <c r="D1262" s="132" t="s">
        <v>3420</v>
      </c>
      <c r="E1262" s="136" t="s">
        <v>4445</v>
      </c>
      <c r="F1262" s="136" t="s">
        <v>4445</v>
      </c>
      <c r="G1262" s="137">
        <v>1395447372001</v>
      </c>
      <c r="H1262" s="138" t="s">
        <v>6300</v>
      </c>
      <c r="I1262" s="136">
        <v>951500482</v>
      </c>
      <c r="J1262" s="131" t="s">
        <v>4283</v>
      </c>
      <c r="K1262" s="139">
        <v>35240</v>
      </c>
    </row>
    <row r="1263" spans="1:11">
      <c r="A1263" s="1" t="str">
        <f t="shared" si="19"/>
        <v>15100-29402895-95150004474680</v>
      </c>
      <c r="B1263" s="136" t="s">
        <v>3269</v>
      </c>
      <c r="C1263" s="136" t="s">
        <v>11084</v>
      </c>
      <c r="D1263" s="132" t="s">
        <v>3420</v>
      </c>
      <c r="E1263" s="136" t="s">
        <v>3278</v>
      </c>
      <c r="F1263" s="136" t="s">
        <v>3278</v>
      </c>
      <c r="G1263" s="137">
        <v>1394395845001</v>
      </c>
      <c r="H1263" s="138" t="s">
        <v>6453</v>
      </c>
      <c r="I1263" s="136">
        <v>951500044</v>
      </c>
      <c r="J1263" s="131" t="s">
        <v>3053</v>
      </c>
      <c r="K1263" s="139">
        <v>74680</v>
      </c>
    </row>
    <row r="1264" spans="1:11">
      <c r="A1264" s="1" t="str">
        <f t="shared" si="19"/>
        <v>15100-35783495-95150037510660</v>
      </c>
      <c r="B1264" s="136" t="s">
        <v>4092</v>
      </c>
      <c r="C1264" s="136" t="s">
        <v>11057</v>
      </c>
      <c r="D1264" s="132" t="s">
        <v>3420</v>
      </c>
      <c r="E1264" s="136" t="s">
        <v>4177</v>
      </c>
      <c r="F1264" s="136" t="s">
        <v>4165</v>
      </c>
      <c r="G1264" s="137">
        <v>1395441908001</v>
      </c>
      <c r="H1264" s="138" t="s">
        <v>6298</v>
      </c>
      <c r="I1264" s="136">
        <v>951500375</v>
      </c>
      <c r="J1264" s="131" t="s">
        <v>3842</v>
      </c>
      <c r="K1264" s="139">
        <v>10660</v>
      </c>
    </row>
    <row r="1265" spans="1:11">
      <c r="A1265" s="1" t="str">
        <f t="shared" si="19"/>
        <v>15100-38764895-951500582117140</v>
      </c>
      <c r="B1265" s="136" t="s">
        <v>4743</v>
      </c>
      <c r="C1265" s="136" t="s">
        <v>11085</v>
      </c>
      <c r="D1265" s="132" t="s">
        <v>3420</v>
      </c>
      <c r="E1265" s="136" t="s">
        <v>4866</v>
      </c>
      <c r="F1265" s="136" t="s">
        <v>4866</v>
      </c>
      <c r="G1265" s="137">
        <v>1395455038001</v>
      </c>
      <c r="H1265" s="138" t="s">
        <v>6298</v>
      </c>
      <c r="I1265" s="136">
        <v>951500582</v>
      </c>
      <c r="J1265" s="131" t="s">
        <v>4892</v>
      </c>
      <c r="K1265" s="139">
        <v>117140</v>
      </c>
    </row>
    <row r="1266" spans="1:11">
      <c r="A1266" s="1" t="str">
        <f t="shared" si="19"/>
        <v>15100-34127495-951500360137860</v>
      </c>
      <c r="B1266" s="136" t="s">
        <v>3801</v>
      </c>
      <c r="C1266" s="136" t="s">
        <v>11086</v>
      </c>
      <c r="D1266" s="132" t="s">
        <v>3420</v>
      </c>
      <c r="E1266" s="136" t="s">
        <v>3831</v>
      </c>
      <c r="F1266" s="136" t="s">
        <v>3831</v>
      </c>
      <c r="G1266" s="137">
        <v>1395435643001</v>
      </c>
      <c r="H1266" s="138" t="s">
        <v>6300</v>
      </c>
      <c r="I1266" s="136">
        <v>951500360</v>
      </c>
      <c r="J1266" s="131" t="s">
        <v>3847</v>
      </c>
      <c r="K1266" s="139">
        <v>137860</v>
      </c>
    </row>
    <row r="1267" spans="1:11">
      <c r="A1267" s="1" t="str">
        <f t="shared" si="19"/>
        <v>15100-36984095-95150050932125</v>
      </c>
      <c r="B1267" s="136" t="s">
        <v>4387</v>
      </c>
      <c r="C1267" s="136" t="s">
        <v>11059</v>
      </c>
      <c r="D1267" s="132" t="s">
        <v>3420</v>
      </c>
      <c r="E1267" s="136" t="s">
        <v>4436</v>
      </c>
      <c r="F1267" s="136" t="s">
        <v>4436</v>
      </c>
      <c r="G1267" s="137">
        <v>1395449235001</v>
      </c>
      <c r="H1267" s="138" t="s">
        <v>6299</v>
      </c>
      <c r="I1267" s="136">
        <v>951500509</v>
      </c>
      <c r="J1267" s="131" t="s">
        <v>4351</v>
      </c>
      <c r="K1267" s="139">
        <v>32125</v>
      </c>
    </row>
    <row r="1268" spans="1:11">
      <c r="A1268" s="1" t="str">
        <f t="shared" si="19"/>
        <v>50100-833299595-95250008688997</v>
      </c>
      <c r="B1268" s="136" t="s">
        <v>4634</v>
      </c>
      <c r="C1268" s="136" t="s">
        <v>11060</v>
      </c>
      <c r="D1268" s="132" t="s">
        <v>3420</v>
      </c>
      <c r="E1268" s="136" t="s">
        <v>4517</v>
      </c>
      <c r="F1268" s="136" t="s">
        <v>4517</v>
      </c>
      <c r="G1268" s="137">
        <v>1395460646001</v>
      </c>
      <c r="H1268" s="138" t="s">
        <v>11061</v>
      </c>
      <c r="I1268" s="141">
        <v>952500086</v>
      </c>
      <c r="J1268" s="131" t="s">
        <v>4693</v>
      </c>
      <c r="K1268" s="142">
        <v>88997</v>
      </c>
    </row>
    <row r="1269" spans="1:11">
      <c r="A1269" s="1" t="str">
        <f t="shared" si="19"/>
        <v>50100-748326895-951500054500000</v>
      </c>
      <c r="B1269" s="136" t="s">
        <v>3237</v>
      </c>
      <c r="C1269" s="136" t="s">
        <v>11062</v>
      </c>
      <c r="D1269" s="132" t="s">
        <v>3420</v>
      </c>
      <c r="E1269" s="136" t="s">
        <v>3247</v>
      </c>
      <c r="F1269" s="136" t="s">
        <v>3247</v>
      </c>
      <c r="G1269" s="137">
        <v>1395397985001</v>
      </c>
      <c r="H1269" s="138" t="s">
        <v>6298</v>
      </c>
      <c r="I1269" s="136">
        <v>951500054</v>
      </c>
      <c r="J1269" s="131" t="s">
        <v>3259</v>
      </c>
      <c r="K1269" s="139">
        <v>500000</v>
      </c>
    </row>
    <row r="1270" spans="1:11">
      <c r="A1270" s="1" t="str">
        <f t="shared" si="19"/>
        <v>50100-750962095-951500146481990</v>
      </c>
      <c r="B1270" s="136" t="s">
        <v>3314</v>
      </c>
      <c r="C1270" s="136" t="s">
        <v>11069</v>
      </c>
      <c r="D1270" s="132" t="s">
        <v>3420</v>
      </c>
      <c r="E1270" s="136" t="s">
        <v>3282</v>
      </c>
      <c r="F1270" s="136" t="s">
        <v>3282</v>
      </c>
      <c r="G1270" s="137">
        <v>1395401420001</v>
      </c>
      <c r="H1270" s="138" t="s">
        <v>6298</v>
      </c>
      <c r="I1270" s="136">
        <v>951500146</v>
      </c>
      <c r="J1270" s="131" t="s">
        <v>3353</v>
      </c>
      <c r="K1270" s="139">
        <v>481990</v>
      </c>
    </row>
    <row r="1271" spans="1:11">
      <c r="A1271" s="1" t="str">
        <f t="shared" si="19"/>
        <v>15100-25874195-951500038102740</v>
      </c>
      <c r="B1271" s="136" t="s">
        <v>2684</v>
      </c>
      <c r="C1271" s="136" t="s">
        <v>11087</v>
      </c>
      <c r="D1271" s="132" t="s">
        <v>3420</v>
      </c>
      <c r="E1271" s="136" t="s">
        <v>2752</v>
      </c>
      <c r="F1271" s="136" t="s">
        <v>2752</v>
      </c>
      <c r="G1271" s="137">
        <v>1395397986001</v>
      </c>
      <c r="H1271" s="138" t="s">
        <v>6454</v>
      </c>
      <c r="I1271" s="136">
        <v>951500038</v>
      </c>
      <c r="J1271" s="131" t="s">
        <v>2766</v>
      </c>
      <c r="K1271" s="139">
        <v>102740</v>
      </c>
    </row>
    <row r="1272" spans="1:11">
      <c r="A1272" s="1" t="str">
        <f t="shared" si="19"/>
        <v>15100-32662495-95150023790480</v>
      </c>
      <c r="B1272" s="136" t="s">
        <v>3593</v>
      </c>
      <c r="C1272" s="136" t="s">
        <v>11088</v>
      </c>
      <c r="D1272" s="132" t="s">
        <v>3420</v>
      </c>
      <c r="E1272" s="136" t="s">
        <v>3663</v>
      </c>
      <c r="F1272" s="136" t="s">
        <v>3663</v>
      </c>
      <c r="G1272" s="137">
        <v>1395427844001</v>
      </c>
      <c r="H1272" s="138" t="s">
        <v>6298</v>
      </c>
      <c r="I1272" s="136">
        <v>951500237</v>
      </c>
      <c r="J1272" s="131" t="s">
        <v>3644</v>
      </c>
      <c r="K1272" s="139">
        <v>90480</v>
      </c>
    </row>
    <row r="1273" spans="1:11">
      <c r="A1273" s="1" t="str">
        <f t="shared" si="19"/>
        <v>15100-26038394-941500808117660</v>
      </c>
      <c r="B1273" s="136" t="s">
        <v>11089</v>
      </c>
      <c r="C1273" s="136" t="s">
        <v>11090</v>
      </c>
      <c r="D1273" s="132" t="s">
        <v>3420</v>
      </c>
      <c r="E1273" s="136" t="s">
        <v>2755</v>
      </c>
      <c r="F1273" s="136" t="s">
        <v>2755</v>
      </c>
      <c r="G1273" s="137">
        <v>1394394802001</v>
      </c>
      <c r="H1273" s="138" t="s">
        <v>6298</v>
      </c>
      <c r="I1273" s="136">
        <v>941500808</v>
      </c>
      <c r="J1273" s="131" t="s">
        <v>2874</v>
      </c>
      <c r="K1273" s="139">
        <v>117660</v>
      </c>
    </row>
    <row r="1274" spans="1:11">
      <c r="A1274" s="1" t="str">
        <f t="shared" si="19"/>
        <v>15100-26040194-94150080897740</v>
      </c>
      <c r="B1274" s="136" t="s">
        <v>11091</v>
      </c>
      <c r="C1274" s="136" t="s">
        <v>11092</v>
      </c>
      <c r="D1274" s="132" t="s">
        <v>3420</v>
      </c>
      <c r="E1274" s="136" t="s">
        <v>2755</v>
      </c>
      <c r="F1274" s="136" t="s">
        <v>2755</v>
      </c>
      <c r="G1274" s="137">
        <v>1394394802001</v>
      </c>
      <c r="H1274" s="138" t="s">
        <v>6298</v>
      </c>
      <c r="I1274" s="136">
        <v>941500808</v>
      </c>
      <c r="J1274" s="131" t="s">
        <v>2874</v>
      </c>
      <c r="K1274" s="139">
        <v>97740</v>
      </c>
    </row>
    <row r="1275" spans="1:11">
      <c r="A1275" s="1" t="str">
        <f t="shared" si="19"/>
        <v>15100-35222595-951500417295520</v>
      </c>
      <c r="B1275" s="136" t="s">
        <v>4091</v>
      </c>
      <c r="C1275" s="136" t="s">
        <v>11048</v>
      </c>
      <c r="D1275" s="132" t="s">
        <v>3420</v>
      </c>
      <c r="E1275" s="136" t="s">
        <v>4184</v>
      </c>
      <c r="F1275" s="136" t="s">
        <v>4184</v>
      </c>
      <c r="G1275" s="137">
        <v>1395445412001</v>
      </c>
      <c r="H1275" s="138" t="s">
        <v>6298</v>
      </c>
      <c r="I1275" s="136">
        <v>951500417</v>
      </c>
      <c r="J1275" s="131" t="s">
        <v>4266</v>
      </c>
      <c r="K1275" s="139">
        <v>295520</v>
      </c>
    </row>
    <row r="1276" spans="1:11">
      <c r="A1276" s="1" t="str">
        <f t="shared" si="19"/>
        <v>15100-35295095-951500417163200</v>
      </c>
      <c r="B1276" s="136" t="s">
        <v>4089</v>
      </c>
      <c r="C1276" s="136" t="s">
        <v>11013</v>
      </c>
      <c r="D1276" s="132" t="s">
        <v>3420</v>
      </c>
      <c r="E1276" s="136" t="s">
        <v>4181</v>
      </c>
      <c r="F1276" s="136" t="s">
        <v>4181</v>
      </c>
      <c r="G1276" s="137">
        <v>1395445412001</v>
      </c>
      <c r="H1276" s="138" t="s">
        <v>6298</v>
      </c>
      <c r="I1276" s="136">
        <v>951500417</v>
      </c>
      <c r="J1276" s="131" t="s">
        <v>4266</v>
      </c>
      <c r="K1276" s="139">
        <v>163200</v>
      </c>
    </row>
    <row r="1277" spans="1:11">
      <c r="A1277" s="1" t="str">
        <f t="shared" si="19"/>
        <v>15100-25567795-95150001348740</v>
      </c>
      <c r="B1277" s="136" t="s">
        <v>2686</v>
      </c>
      <c r="C1277" s="136" t="s">
        <v>11027</v>
      </c>
      <c r="D1277" s="132" t="s">
        <v>3420</v>
      </c>
      <c r="E1277" s="136" t="s">
        <v>2618</v>
      </c>
      <c r="F1277" s="136" t="s">
        <v>2618</v>
      </c>
      <c r="G1277" s="137">
        <v>1394394801001</v>
      </c>
      <c r="H1277" s="138" t="s">
        <v>10183</v>
      </c>
      <c r="I1277" s="136">
        <v>951500013</v>
      </c>
      <c r="J1277" s="131" t="s">
        <v>2773</v>
      </c>
      <c r="K1277" s="139">
        <v>48740</v>
      </c>
    </row>
    <row r="1278" spans="1:11">
      <c r="A1278" s="1" t="str">
        <f t="shared" si="19"/>
        <v>15100-36725295-951500507198330</v>
      </c>
      <c r="B1278" s="136" t="s">
        <v>4396</v>
      </c>
      <c r="C1278" s="136" t="s">
        <v>11093</v>
      </c>
      <c r="D1278" s="132" t="s">
        <v>3420</v>
      </c>
      <c r="E1278" s="136" t="s">
        <v>4438</v>
      </c>
      <c r="F1278" s="136" t="s">
        <v>4438</v>
      </c>
      <c r="G1278" s="137">
        <v>1395449236001</v>
      </c>
      <c r="H1278" s="138" t="s">
        <v>6298</v>
      </c>
      <c r="I1278" s="136">
        <v>951500507</v>
      </c>
      <c r="J1278" s="131" t="s">
        <v>4450</v>
      </c>
      <c r="K1278" s="139">
        <v>198330</v>
      </c>
    </row>
    <row r="1279" spans="1:11">
      <c r="A1279" s="1" t="str">
        <f t="shared" si="19"/>
        <v>15100-26038394-941500821165020</v>
      </c>
      <c r="B1279" s="136" t="s">
        <v>11089</v>
      </c>
      <c r="C1279" s="136" t="s">
        <v>11090</v>
      </c>
      <c r="D1279" s="132" t="s">
        <v>3420</v>
      </c>
      <c r="E1279" s="136" t="s">
        <v>2755</v>
      </c>
      <c r="F1279" s="136" t="s">
        <v>2755</v>
      </c>
      <c r="G1279" s="137">
        <v>1394394802001</v>
      </c>
      <c r="H1279" s="138" t="s">
        <v>6298</v>
      </c>
      <c r="I1279" s="136">
        <v>941500821</v>
      </c>
      <c r="J1279" s="131" t="s">
        <v>2663</v>
      </c>
      <c r="K1279" s="139">
        <v>165020</v>
      </c>
    </row>
    <row r="1280" spans="1:11">
      <c r="A1280" s="1" t="str">
        <f t="shared" si="19"/>
        <v>15100-35994995-95150048429900</v>
      </c>
      <c r="B1280" s="136" t="s">
        <v>4310</v>
      </c>
      <c r="C1280" s="136" t="s">
        <v>11094</v>
      </c>
      <c r="D1280" s="132" t="s">
        <v>3420</v>
      </c>
      <c r="E1280" s="136" t="s">
        <v>4166</v>
      </c>
      <c r="F1280" s="136" t="s">
        <v>4166</v>
      </c>
      <c r="G1280" s="137">
        <v>1395449236001</v>
      </c>
      <c r="H1280" s="138" t="s">
        <v>6298</v>
      </c>
      <c r="I1280" s="136">
        <v>951500484</v>
      </c>
      <c r="J1280" s="131" t="s">
        <v>4344</v>
      </c>
      <c r="K1280" s="139">
        <v>29900</v>
      </c>
    </row>
    <row r="1281" spans="1:11">
      <c r="A1281" s="1" t="str">
        <f t="shared" si="19"/>
        <v>15100-35994995-95150047766030</v>
      </c>
      <c r="B1281" s="136" t="s">
        <v>4310</v>
      </c>
      <c r="C1281" s="136" t="s">
        <v>11094</v>
      </c>
      <c r="D1281" s="132" t="s">
        <v>3420</v>
      </c>
      <c r="E1281" s="136" t="s">
        <v>4166</v>
      </c>
      <c r="F1281" s="136" t="s">
        <v>4166</v>
      </c>
      <c r="G1281" s="137">
        <v>1395449236001</v>
      </c>
      <c r="H1281" s="138" t="s">
        <v>6298</v>
      </c>
      <c r="I1281" s="136">
        <v>951500477</v>
      </c>
      <c r="J1281" s="131" t="s">
        <v>4345</v>
      </c>
      <c r="K1281" s="139">
        <v>66030</v>
      </c>
    </row>
    <row r="1282" spans="1:11">
      <c r="A1282" s="1" t="str">
        <f t="shared" si="19"/>
        <v>15100-35991695-95150043849480</v>
      </c>
      <c r="B1282" s="136" t="s">
        <v>4312</v>
      </c>
      <c r="C1282" s="136" t="s">
        <v>11095</v>
      </c>
      <c r="D1282" s="132" t="s">
        <v>3420</v>
      </c>
      <c r="E1282" s="136" t="s">
        <v>4166</v>
      </c>
      <c r="F1282" s="136" t="s">
        <v>4166</v>
      </c>
      <c r="G1282" s="137">
        <v>1395447925001</v>
      </c>
      <c r="H1282" s="138" t="s">
        <v>6298</v>
      </c>
      <c r="I1282" s="136">
        <v>951500438</v>
      </c>
      <c r="J1282" s="131" t="s">
        <v>4297</v>
      </c>
      <c r="K1282" s="139">
        <v>49480</v>
      </c>
    </row>
    <row r="1283" spans="1:11">
      <c r="A1283" s="1" t="str">
        <f t="shared" ref="A1283:A1346" si="20">B1283&amp;J1283&amp;K1283</f>
        <v>15100-29360694-94150085096570</v>
      </c>
      <c r="B1283" s="136" t="s">
        <v>11096</v>
      </c>
      <c r="C1283" s="136" t="s">
        <v>11097</v>
      </c>
      <c r="D1283" s="132" t="s">
        <v>3420</v>
      </c>
      <c r="E1283" s="136" t="s">
        <v>3273</v>
      </c>
      <c r="F1283" s="136" t="s">
        <v>3273</v>
      </c>
      <c r="G1283" s="137">
        <v>1394395844001</v>
      </c>
      <c r="H1283" s="138" t="s">
        <v>6298</v>
      </c>
      <c r="I1283" s="136">
        <v>941500850</v>
      </c>
      <c r="J1283" s="131" t="s">
        <v>3284</v>
      </c>
      <c r="K1283" s="139">
        <v>96570</v>
      </c>
    </row>
    <row r="1284" spans="1:11">
      <c r="A1284" s="1" t="str">
        <f t="shared" si="20"/>
        <v>15100-35715895-95150046750630</v>
      </c>
      <c r="B1284" s="136" t="s">
        <v>4097</v>
      </c>
      <c r="C1284" s="136" t="s">
        <v>11077</v>
      </c>
      <c r="D1284" s="132" t="s">
        <v>3420</v>
      </c>
      <c r="E1284" s="136" t="s">
        <v>4178</v>
      </c>
      <c r="F1284" s="136" t="s">
        <v>4178</v>
      </c>
      <c r="G1284" s="137">
        <v>1395447925001</v>
      </c>
      <c r="H1284" s="138" t="s">
        <v>6298</v>
      </c>
      <c r="I1284" s="136">
        <v>951500467</v>
      </c>
      <c r="J1284" s="131" t="s">
        <v>4276</v>
      </c>
      <c r="K1284" s="139">
        <v>50630</v>
      </c>
    </row>
    <row r="1285" spans="1:11">
      <c r="A1285" s="1" t="str">
        <f t="shared" si="20"/>
        <v>15100-36889595-95150050749720</v>
      </c>
      <c r="B1285" s="136" t="s">
        <v>4370</v>
      </c>
      <c r="C1285" s="136" t="s">
        <v>11098</v>
      </c>
      <c r="D1285" s="132" t="s">
        <v>3420</v>
      </c>
      <c r="E1285" s="136" t="s">
        <v>4440</v>
      </c>
      <c r="F1285" s="136" t="s">
        <v>4440</v>
      </c>
      <c r="G1285" s="137">
        <v>1395449236001</v>
      </c>
      <c r="H1285" s="138" t="s">
        <v>6298</v>
      </c>
      <c r="I1285" s="136">
        <v>951500507</v>
      </c>
      <c r="J1285" s="131" t="s">
        <v>4450</v>
      </c>
      <c r="K1285" s="139">
        <v>49720</v>
      </c>
    </row>
    <row r="1286" spans="1:11">
      <c r="A1286" s="1" t="str">
        <f t="shared" si="20"/>
        <v>15100-36890795-951500507202180</v>
      </c>
      <c r="B1286" s="136" t="s">
        <v>4368</v>
      </c>
      <c r="C1286" s="136" t="s">
        <v>11099</v>
      </c>
      <c r="D1286" s="132" t="s">
        <v>3420</v>
      </c>
      <c r="E1286" s="136" t="s">
        <v>4440</v>
      </c>
      <c r="F1286" s="136" t="s">
        <v>4440</v>
      </c>
      <c r="G1286" s="137">
        <v>1395449236001</v>
      </c>
      <c r="H1286" s="138" t="s">
        <v>6298</v>
      </c>
      <c r="I1286" s="136">
        <v>951500507</v>
      </c>
      <c r="J1286" s="131" t="s">
        <v>4450</v>
      </c>
      <c r="K1286" s="139">
        <v>202180</v>
      </c>
    </row>
    <row r="1287" spans="1:11">
      <c r="A1287" s="1" t="str">
        <f t="shared" si="20"/>
        <v>15100-36890795-95150043992920</v>
      </c>
      <c r="B1287" s="136" t="s">
        <v>4368</v>
      </c>
      <c r="C1287" s="136" t="s">
        <v>11099</v>
      </c>
      <c r="D1287" s="132" t="s">
        <v>3420</v>
      </c>
      <c r="E1287" s="136" t="s">
        <v>4440</v>
      </c>
      <c r="F1287" s="136" t="s">
        <v>4440</v>
      </c>
      <c r="G1287" s="137">
        <v>1395441450001</v>
      </c>
      <c r="H1287" s="138" t="s">
        <v>6300</v>
      </c>
      <c r="I1287" s="136">
        <v>951500439</v>
      </c>
      <c r="J1287" s="131" t="s">
        <v>4449</v>
      </c>
      <c r="K1287" s="139">
        <v>92920</v>
      </c>
    </row>
    <row r="1288" spans="1:11">
      <c r="A1288" s="1" t="str">
        <f t="shared" si="20"/>
        <v>15100-28195094-941500812140420</v>
      </c>
      <c r="B1288" s="136" t="s">
        <v>11100</v>
      </c>
      <c r="C1288" s="136" t="s">
        <v>11101</v>
      </c>
      <c r="D1288" s="132" t="s">
        <v>3420</v>
      </c>
      <c r="E1288" s="136" t="s">
        <v>3165</v>
      </c>
      <c r="F1288" s="136" t="s">
        <v>3165</v>
      </c>
      <c r="G1288" s="137">
        <v>1394394802001</v>
      </c>
      <c r="H1288" s="138" t="s">
        <v>6298</v>
      </c>
      <c r="I1288" s="136">
        <v>941500812</v>
      </c>
      <c r="J1288" s="131" t="s">
        <v>3211</v>
      </c>
      <c r="K1288" s="139">
        <v>140420</v>
      </c>
    </row>
    <row r="1289" spans="1:11">
      <c r="A1289" s="1" t="str">
        <f t="shared" si="20"/>
        <v>15100-32579195-95150010497810</v>
      </c>
      <c r="B1289" s="136" t="s">
        <v>3594</v>
      </c>
      <c r="C1289" s="136" t="s">
        <v>11102</v>
      </c>
      <c r="D1289" s="132" t="s">
        <v>3420</v>
      </c>
      <c r="E1289" s="136" t="s">
        <v>3577</v>
      </c>
      <c r="F1289" s="136" t="s">
        <v>3577</v>
      </c>
      <c r="G1289" s="137">
        <v>1395397985001</v>
      </c>
      <c r="H1289" s="138" t="s">
        <v>6298</v>
      </c>
      <c r="I1289" s="136">
        <v>951500104</v>
      </c>
      <c r="J1289" s="131" t="s">
        <v>3466</v>
      </c>
      <c r="K1289" s="139">
        <v>97810</v>
      </c>
    </row>
    <row r="1290" spans="1:11">
      <c r="A1290" s="1" t="str">
        <f t="shared" si="20"/>
        <v>15100-33307995-951500264202148</v>
      </c>
      <c r="B1290" s="136" t="s">
        <v>3620</v>
      </c>
      <c r="C1290" s="136" t="s">
        <v>11074</v>
      </c>
      <c r="D1290" s="132" t="s">
        <v>3420</v>
      </c>
      <c r="E1290" s="136" t="s">
        <v>3715</v>
      </c>
      <c r="F1290" s="136" t="s">
        <v>3715</v>
      </c>
      <c r="G1290" s="137">
        <v>1395434889001</v>
      </c>
      <c r="H1290" s="138" t="s">
        <v>6298</v>
      </c>
      <c r="I1290" s="136">
        <v>951500264</v>
      </c>
      <c r="J1290" s="131" t="s">
        <v>3651</v>
      </c>
      <c r="K1290" s="139">
        <v>202148</v>
      </c>
    </row>
    <row r="1291" spans="1:11">
      <c r="A1291" s="1" t="str">
        <f t="shared" si="20"/>
        <v>15100-33307995-951500285100000</v>
      </c>
      <c r="B1291" s="136" t="s">
        <v>3620</v>
      </c>
      <c r="C1291" s="136" t="s">
        <v>11074</v>
      </c>
      <c r="D1291" s="132" t="s">
        <v>3420</v>
      </c>
      <c r="E1291" s="136" t="s">
        <v>3715</v>
      </c>
      <c r="F1291" s="136" t="s">
        <v>3715</v>
      </c>
      <c r="G1291" s="137">
        <v>1395436005001</v>
      </c>
      <c r="H1291" s="138" t="s">
        <v>6298</v>
      </c>
      <c r="I1291" s="136">
        <v>951500285</v>
      </c>
      <c r="J1291" s="131" t="s">
        <v>3656</v>
      </c>
      <c r="K1291" s="139">
        <v>100000</v>
      </c>
    </row>
    <row r="1292" spans="1:11">
      <c r="A1292" s="1" t="str">
        <f t="shared" si="20"/>
        <v>15100-33310995-95150025811340</v>
      </c>
      <c r="B1292" s="136" t="s">
        <v>3621</v>
      </c>
      <c r="C1292" s="136" t="s">
        <v>11103</v>
      </c>
      <c r="D1292" s="132" t="s">
        <v>3420</v>
      </c>
      <c r="E1292" s="136" t="s">
        <v>3715</v>
      </c>
      <c r="F1292" s="136" t="s">
        <v>3833</v>
      </c>
      <c r="G1292" s="137">
        <v>1395435639001</v>
      </c>
      <c r="H1292" s="138" t="s">
        <v>6299</v>
      </c>
      <c r="I1292" s="136">
        <v>951500258</v>
      </c>
      <c r="J1292" s="131" t="s">
        <v>3645</v>
      </c>
      <c r="K1292" s="139">
        <v>11340</v>
      </c>
    </row>
    <row r="1293" spans="1:11">
      <c r="A1293" s="1" t="str">
        <f t="shared" si="20"/>
        <v>15100-35994995-951500520116650</v>
      </c>
      <c r="B1293" s="136" t="s">
        <v>4310</v>
      </c>
      <c r="C1293" s="136" t="s">
        <v>11094</v>
      </c>
      <c r="D1293" s="132" t="s">
        <v>3420</v>
      </c>
      <c r="E1293" s="136" t="s">
        <v>4166</v>
      </c>
      <c r="F1293" s="141" t="s">
        <v>4166</v>
      </c>
      <c r="G1293" s="137">
        <v>1395451403001</v>
      </c>
      <c r="H1293" s="140" t="s">
        <v>8845</v>
      </c>
      <c r="I1293" s="141">
        <v>951500520</v>
      </c>
      <c r="J1293" s="131" t="s">
        <v>4346</v>
      </c>
      <c r="K1293" s="142">
        <v>116650</v>
      </c>
    </row>
    <row r="1294" spans="1:11">
      <c r="A1294" s="1" t="str">
        <f t="shared" si="20"/>
        <v>50100-715003994-94250011268353</v>
      </c>
      <c r="B1294" s="136" t="s">
        <v>10986</v>
      </c>
      <c r="C1294" s="136" t="s">
        <v>10987</v>
      </c>
      <c r="D1294" s="132" t="s">
        <v>3420</v>
      </c>
      <c r="E1294" s="136" t="s">
        <v>2609</v>
      </c>
      <c r="F1294" s="136" t="s">
        <v>2609</v>
      </c>
      <c r="G1294" s="137">
        <v>1394394316001</v>
      </c>
      <c r="H1294" s="138" t="s">
        <v>10183</v>
      </c>
      <c r="I1294" s="136">
        <v>942500112</v>
      </c>
      <c r="J1294" s="131" t="s">
        <v>7095</v>
      </c>
      <c r="K1294" s="139">
        <v>68353</v>
      </c>
    </row>
    <row r="1295" spans="1:11">
      <c r="A1295" s="1" t="str">
        <f t="shared" si="20"/>
        <v>50100-845841695-951500591300000</v>
      </c>
      <c r="B1295" s="136" t="s">
        <v>4812</v>
      </c>
      <c r="C1295" s="136" t="s">
        <v>11104</v>
      </c>
      <c r="D1295" s="132" t="s">
        <v>3420</v>
      </c>
      <c r="E1295" s="136" t="s">
        <v>4874</v>
      </c>
      <c r="F1295" s="136" t="s">
        <v>4874</v>
      </c>
      <c r="G1295" s="137">
        <v>1395462017001</v>
      </c>
      <c r="H1295" s="138" t="s">
        <v>6298</v>
      </c>
      <c r="I1295" s="136">
        <v>951500591</v>
      </c>
      <c r="J1295" s="131" t="s">
        <v>4938</v>
      </c>
      <c r="K1295" s="139">
        <v>300000</v>
      </c>
    </row>
    <row r="1296" spans="1:11">
      <c r="A1296" s="1" t="str">
        <f t="shared" si="20"/>
        <v>15100-28002094-941500811170000</v>
      </c>
      <c r="B1296" s="136" t="s">
        <v>11105</v>
      </c>
      <c r="C1296" s="136" t="s">
        <v>11106</v>
      </c>
      <c r="D1296" s="132" t="s">
        <v>3420</v>
      </c>
      <c r="E1296" s="136" t="s">
        <v>3170</v>
      </c>
      <c r="F1296" s="136" t="s">
        <v>3170</v>
      </c>
      <c r="G1296" s="137">
        <v>1394394802001</v>
      </c>
      <c r="H1296" s="138" t="s">
        <v>6298</v>
      </c>
      <c r="I1296" s="136">
        <v>941500811</v>
      </c>
      <c r="J1296" s="131" t="s">
        <v>3056</v>
      </c>
      <c r="K1296" s="139">
        <v>170000</v>
      </c>
    </row>
    <row r="1297" spans="1:11">
      <c r="A1297" s="1" t="str">
        <f t="shared" si="20"/>
        <v>15100-32788495-951500104477610</v>
      </c>
      <c r="B1297" s="136" t="s">
        <v>3622</v>
      </c>
      <c r="C1297" s="136" t="s">
        <v>11107</v>
      </c>
      <c r="D1297" s="132" t="s">
        <v>3420</v>
      </c>
      <c r="E1297" s="136" t="s">
        <v>3667</v>
      </c>
      <c r="F1297" s="136" t="s">
        <v>3667</v>
      </c>
      <c r="G1297" s="137">
        <v>1395397985001</v>
      </c>
      <c r="H1297" s="138" t="s">
        <v>6298</v>
      </c>
      <c r="I1297" s="136">
        <v>951500104</v>
      </c>
      <c r="J1297" s="131" t="s">
        <v>3466</v>
      </c>
      <c r="K1297" s="139">
        <v>477610</v>
      </c>
    </row>
    <row r="1298" spans="1:11">
      <c r="A1298" s="1" t="str">
        <f t="shared" si="20"/>
        <v>15100-33451295-95150028434802</v>
      </c>
      <c r="B1298" s="136" t="s">
        <v>3806</v>
      </c>
      <c r="C1298" s="136" t="s">
        <v>10793</v>
      </c>
      <c r="D1298" s="132" t="s">
        <v>3420</v>
      </c>
      <c r="E1298" s="136" t="s">
        <v>3833</v>
      </c>
      <c r="F1298" s="136" t="s">
        <v>3833</v>
      </c>
      <c r="G1298" s="137">
        <v>1395436005001</v>
      </c>
      <c r="H1298" s="138" t="s">
        <v>6298</v>
      </c>
      <c r="I1298" s="136">
        <v>951500284</v>
      </c>
      <c r="J1298" s="131" t="s">
        <v>3840</v>
      </c>
      <c r="K1298" s="139">
        <v>34802</v>
      </c>
    </row>
    <row r="1299" spans="1:11">
      <c r="A1299" s="1" t="str">
        <f t="shared" si="20"/>
        <v>15100-33737895-951500326329820</v>
      </c>
      <c r="B1299" s="136" t="s">
        <v>3807</v>
      </c>
      <c r="C1299" s="136" t="s">
        <v>11108</v>
      </c>
      <c r="D1299" s="132" t="s">
        <v>3420</v>
      </c>
      <c r="E1299" s="136" t="s">
        <v>3719</v>
      </c>
      <c r="F1299" s="136" t="s">
        <v>3719</v>
      </c>
      <c r="G1299" s="137">
        <v>1395437983001</v>
      </c>
      <c r="H1299" s="138" t="s">
        <v>6299</v>
      </c>
      <c r="I1299" s="136">
        <v>951500326</v>
      </c>
      <c r="J1299" s="131" t="s">
        <v>3852</v>
      </c>
      <c r="K1299" s="139">
        <v>329820</v>
      </c>
    </row>
    <row r="1300" spans="1:11">
      <c r="A1300" s="1" t="str">
        <f t="shared" si="20"/>
        <v>15100-34038095-95150028475790</v>
      </c>
      <c r="B1300" s="136" t="s">
        <v>3808</v>
      </c>
      <c r="C1300" s="136" t="s">
        <v>11109</v>
      </c>
      <c r="D1300" s="132" t="s">
        <v>3420</v>
      </c>
      <c r="E1300" s="136" t="s">
        <v>3827</v>
      </c>
      <c r="F1300" s="136" t="s">
        <v>3827</v>
      </c>
      <c r="G1300" s="137">
        <v>1395436005001</v>
      </c>
      <c r="H1300" s="138" t="s">
        <v>6298</v>
      </c>
      <c r="I1300" s="136">
        <v>951500284</v>
      </c>
      <c r="J1300" s="131" t="s">
        <v>3840</v>
      </c>
      <c r="K1300" s="139">
        <v>75790</v>
      </c>
    </row>
    <row r="1301" spans="1:11">
      <c r="A1301" s="1" t="str">
        <f t="shared" si="20"/>
        <v>15100-26039295-95150005092440</v>
      </c>
      <c r="B1301" s="136" t="s">
        <v>2832</v>
      </c>
      <c r="C1301" s="136" t="s">
        <v>11110</v>
      </c>
      <c r="D1301" s="132" t="s">
        <v>3420</v>
      </c>
      <c r="E1301" s="136" t="s">
        <v>2755</v>
      </c>
      <c r="F1301" s="136" t="s">
        <v>2755</v>
      </c>
      <c r="G1301" s="137">
        <v>1395397985001</v>
      </c>
      <c r="H1301" s="138" t="s">
        <v>6298</v>
      </c>
      <c r="I1301" s="136">
        <v>951500050</v>
      </c>
      <c r="J1301" s="131" t="s">
        <v>2889</v>
      </c>
      <c r="K1301" s="139">
        <v>92440</v>
      </c>
    </row>
    <row r="1302" spans="1:11">
      <c r="A1302" s="1" t="str">
        <f t="shared" si="20"/>
        <v>50100-715638895-9515000141005590</v>
      </c>
      <c r="B1302" s="136" t="s">
        <v>2598</v>
      </c>
      <c r="C1302" s="136" t="s">
        <v>11111</v>
      </c>
      <c r="D1302" s="132" t="s">
        <v>3420</v>
      </c>
      <c r="E1302" s="136" t="s">
        <v>2618</v>
      </c>
      <c r="F1302" s="136" t="s">
        <v>2618</v>
      </c>
      <c r="G1302" s="137">
        <v>1394394801001</v>
      </c>
      <c r="H1302" s="138" t="s">
        <v>10183</v>
      </c>
      <c r="I1302" s="136">
        <v>951500014</v>
      </c>
      <c r="J1302" s="131" t="s">
        <v>2650</v>
      </c>
      <c r="K1302" s="139">
        <v>1005590</v>
      </c>
    </row>
    <row r="1303" spans="1:11">
      <c r="A1303" s="1" t="str">
        <f t="shared" si="20"/>
        <v>50100-855741796-96250000619165</v>
      </c>
      <c r="B1303" s="136" t="s">
        <v>5000</v>
      </c>
      <c r="C1303" s="136" t="s">
        <v>8962</v>
      </c>
      <c r="D1303" s="132" t="s">
        <v>4971</v>
      </c>
      <c r="E1303" s="136" t="s">
        <v>4972</v>
      </c>
      <c r="F1303" s="136" t="s">
        <v>4972</v>
      </c>
      <c r="G1303" s="137">
        <v>1395467470001</v>
      </c>
      <c r="H1303" s="138" t="s">
        <v>6298</v>
      </c>
      <c r="I1303" s="136">
        <v>962500006</v>
      </c>
      <c r="J1303" s="131" t="s">
        <v>5026</v>
      </c>
      <c r="K1303" s="139">
        <v>19165</v>
      </c>
    </row>
    <row r="1304" spans="1:11">
      <c r="A1304" s="1" t="str">
        <f t="shared" si="20"/>
        <v>50100-836027995-9541000334083203</v>
      </c>
      <c r="B1304" s="136" t="s">
        <v>4636</v>
      </c>
      <c r="C1304" s="136" t="s">
        <v>11112</v>
      </c>
      <c r="D1304" s="132" t="s">
        <v>3420</v>
      </c>
      <c r="E1304" s="136" t="s">
        <v>4663</v>
      </c>
      <c r="F1304" s="136" t="s">
        <v>4663</v>
      </c>
      <c r="G1304" s="137">
        <v>1395457970001</v>
      </c>
      <c r="H1304" s="138" t="s">
        <v>10183</v>
      </c>
      <c r="I1304" s="136">
        <v>954100033</v>
      </c>
      <c r="J1304" s="131" t="s">
        <v>4696</v>
      </c>
      <c r="K1304" s="139">
        <v>4083203</v>
      </c>
    </row>
    <row r="1305" spans="1:11">
      <c r="A1305" s="1" t="str">
        <f t="shared" si="20"/>
        <v>50100-824450395-952500042133450</v>
      </c>
      <c r="B1305" s="136" t="s">
        <v>4561</v>
      </c>
      <c r="C1305" s="136" t="s">
        <v>10616</v>
      </c>
      <c r="D1305" s="132" t="s">
        <v>3420</v>
      </c>
      <c r="E1305" s="136" t="s">
        <v>4574</v>
      </c>
      <c r="F1305" s="136" t="s">
        <v>4574</v>
      </c>
      <c r="G1305" s="137">
        <v>1395441908001</v>
      </c>
      <c r="H1305" s="138" t="s">
        <v>6298</v>
      </c>
      <c r="I1305" s="136">
        <v>952500042</v>
      </c>
      <c r="J1305" s="131" t="s">
        <v>4608</v>
      </c>
      <c r="K1305" s="139">
        <v>133450</v>
      </c>
    </row>
    <row r="1306" spans="1:11">
      <c r="A1306" s="1" t="str">
        <f t="shared" si="20"/>
        <v>50100-747665595-951500121396000</v>
      </c>
      <c r="B1306" s="136" t="s">
        <v>3233</v>
      </c>
      <c r="C1306" s="136" t="s">
        <v>11113</v>
      </c>
      <c r="D1306" s="132" t="s">
        <v>3420</v>
      </c>
      <c r="E1306" s="136" t="s">
        <v>3245</v>
      </c>
      <c r="F1306" s="136" t="s">
        <v>3245</v>
      </c>
      <c r="G1306" s="137">
        <v>1395397985001</v>
      </c>
      <c r="H1306" s="138" t="s">
        <v>6298</v>
      </c>
      <c r="I1306" s="136">
        <v>951500121</v>
      </c>
      <c r="J1306" s="131" t="s">
        <v>3257</v>
      </c>
      <c r="K1306" s="139">
        <v>396000</v>
      </c>
    </row>
    <row r="1307" spans="1:11">
      <c r="A1307" s="1" t="str">
        <f t="shared" si="20"/>
        <v>50100-719151494-941500829105700</v>
      </c>
      <c r="B1307" s="136" t="s">
        <v>11114</v>
      </c>
      <c r="C1307" s="136" t="s">
        <v>11115</v>
      </c>
      <c r="D1307" s="132" t="s">
        <v>3420</v>
      </c>
      <c r="E1307" s="136" t="s">
        <v>2752</v>
      </c>
      <c r="F1307" s="136" t="s">
        <v>2752</v>
      </c>
      <c r="G1307" s="137">
        <v>1394395844001</v>
      </c>
      <c r="H1307" s="138" t="s">
        <v>6298</v>
      </c>
      <c r="I1307" s="136">
        <v>941500829</v>
      </c>
      <c r="J1307" s="131" t="s">
        <v>2776</v>
      </c>
      <c r="K1307" s="139">
        <v>105700</v>
      </c>
    </row>
    <row r="1308" spans="1:11">
      <c r="A1308" s="1" t="str">
        <f t="shared" si="20"/>
        <v>50100-719151494-941500838293600</v>
      </c>
      <c r="B1308" s="136" t="s">
        <v>11114</v>
      </c>
      <c r="C1308" s="136" t="s">
        <v>11115</v>
      </c>
      <c r="D1308" s="132" t="s">
        <v>3420</v>
      </c>
      <c r="E1308" s="136" t="s">
        <v>2752</v>
      </c>
      <c r="F1308" s="136" t="s">
        <v>2752</v>
      </c>
      <c r="G1308" s="137">
        <v>1394395844001</v>
      </c>
      <c r="H1308" s="138" t="s">
        <v>6298</v>
      </c>
      <c r="I1308" s="136">
        <v>941500838</v>
      </c>
      <c r="J1308" s="131" t="s">
        <v>2777</v>
      </c>
      <c r="K1308" s="139">
        <v>293600</v>
      </c>
    </row>
    <row r="1309" spans="1:11">
      <c r="A1309" s="1" t="str">
        <f t="shared" si="20"/>
        <v>50100-845454895-9515005081002650</v>
      </c>
      <c r="B1309" s="136" t="s">
        <v>4809</v>
      </c>
      <c r="C1309" s="136" t="s">
        <v>11116</v>
      </c>
      <c r="D1309" s="132" t="s">
        <v>3420</v>
      </c>
      <c r="E1309" s="136" t="s">
        <v>4875</v>
      </c>
      <c r="F1309" s="141" t="s">
        <v>4875</v>
      </c>
      <c r="G1309" s="137">
        <v>1395451402001</v>
      </c>
      <c r="H1309" s="140" t="s">
        <v>9897</v>
      </c>
      <c r="I1309" s="141">
        <v>951500508</v>
      </c>
      <c r="J1309" s="131" t="s">
        <v>4900</v>
      </c>
      <c r="K1309" s="139">
        <v>1002650</v>
      </c>
    </row>
    <row r="1310" spans="1:11">
      <c r="A1310" s="1" t="str">
        <f t="shared" si="20"/>
        <v>15100-25827194-941500832211040</v>
      </c>
      <c r="B1310" s="136" t="s">
        <v>11117</v>
      </c>
      <c r="C1310" s="136" t="s">
        <v>11118</v>
      </c>
      <c r="D1310" s="132" t="s">
        <v>3420</v>
      </c>
      <c r="E1310" s="136" t="s">
        <v>2751</v>
      </c>
      <c r="F1310" s="136" t="s">
        <v>2751</v>
      </c>
      <c r="G1310" s="137">
        <v>1394395844001</v>
      </c>
      <c r="H1310" s="138" t="s">
        <v>6298</v>
      </c>
      <c r="I1310" s="136">
        <v>941500832</v>
      </c>
      <c r="J1310" s="131" t="s">
        <v>2764</v>
      </c>
      <c r="K1310" s="139">
        <v>211040</v>
      </c>
    </row>
    <row r="1311" spans="1:11">
      <c r="A1311" s="1" t="str">
        <f t="shared" si="20"/>
        <v>15100-32579195-9515000582730</v>
      </c>
      <c r="B1311" s="136" t="s">
        <v>3594</v>
      </c>
      <c r="C1311" s="136" t="s">
        <v>11102</v>
      </c>
      <c r="D1311" s="132" t="s">
        <v>3420</v>
      </c>
      <c r="E1311" s="136" t="s">
        <v>3577</v>
      </c>
      <c r="F1311" s="136" t="s">
        <v>3577</v>
      </c>
      <c r="G1311" s="137">
        <v>1394395845001</v>
      </c>
      <c r="H1311" s="138" t="s">
        <v>6453</v>
      </c>
      <c r="I1311" s="136">
        <v>951500058</v>
      </c>
      <c r="J1311" s="131" t="s">
        <v>3382</v>
      </c>
      <c r="K1311" s="139">
        <v>2730</v>
      </c>
    </row>
    <row r="1312" spans="1:11">
      <c r="A1312" s="1" t="str">
        <f t="shared" si="20"/>
        <v>15100-30461895-95150005824770</v>
      </c>
      <c r="B1312" s="136" t="s">
        <v>3364</v>
      </c>
      <c r="C1312" s="136" t="s">
        <v>11119</v>
      </c>
      <c r="D1312" s="132" t="s">
        <v>3420</v>
      </c>
      <c r="E1312" s="136" t="s">
        <v>3376</v>
      </c>
      <c r="F1312" s="136" t="s">
        <v>3376</v>
      </c>
      <c r="G1312" s="137">
        <v>1394395845001</v>
      </c>
      <c r="H1312" s="138" t="s">
        <v>6453</v>
      </c>
      <c r="I1312" s="136">
        <v>951500058</v>
      </c>
      <c r="J1312" s="131" t="s">
        <v>3382</v>
      </c>
      <c r="K1312" s="139">
        <v>24770</v>
      </c>
    </row>
    <row r="1313" spans="1:11">
      <c r="A1313" s="1" t="str">
        <f t="shared" si="20"/>
        <v>15100-35783495-95150045540120</v>
      </c>
      <c r="B1313" s="136" t="s">
        <v>4092</v>
      </c>
      <c r="C1313" s="136" t="s">
        <v>11057</v>
      </c>
      <c r="D1313" s="132" t="s">
        <v>3420</v>
      </c>
      <c r="E1313" s="136" t="s">
        <v>4177</v>
      </c>
      <c r="F1313" s="136" t="s">
        <v>4165</v>
      </c>
      <c r="G1313" s="137">
        <v>1395447371001</v>
      </c>
      <c r="H1313" s="138" t="s">
        <v>6299</v>
      </c>
      <c r="I1313" s="136">
        <v>951500455</v>
      </c>
      <c r="J1313" s="131" t="s">
        <v>3980</v>
      </c>
      <c r="K1313" s="139">
        <v>40120</v>
      </c>
    </row>
    <row r="1314" spans="1:11">
      <c r="A1314" s="1" t="str">
        <f t="shared" si="20"/>
        <v>15100-34776995-951500387187460</v>
      </c>
      <c r="B1314" s="136" t="s">
        <v>4095</v>
      </c>
      <c r="C1314" s="136" t="s">
        <v>11026</v>
      </c>
      <c r="D1314" s="132" t="s">
        <v>3420</v>
      </c>
      <c r="E1314" s="136" t="s">
        <v>3935</v>
      </c>
      <c r="F1314" s="136" t="s">
        <v>3935</v>
      </c>
      <c r="G1314" s="137">
        <v>1395437983001</v>
      </c>
      <c r="H1314" s="138" t="s">
        <v>6299</v>
      </c>
      <c r="I1314" s="136">
        <v>951500387</v>
      </c>
      <c r="J1314" s="131" t="s">
        <v>3976</v>
      </c>
      <c r="K1314" s="139">
        <v>187460</v>
      </c>
    </row>
    <row r="1315" spans="1:11">
      <c r="A1315" s="1" t="str">
        <f t="shared" si="20"/>
        <v>15100-25567794-94150083224440</v>
      </c>
      <c r="B1315" s="136" t="s">
        <v>2686</v>
      </c>
      <c r="C1315" s="136" t="s">
        <v>11027</v>
      </c>
      <c r="D1315" s="132" t="s">
        <v>3420</v>
      </c>
      <c r="E1315" s="136" t="s">
        <v>2618</v>
      </c>
      <c r="F1315" s="136" t="s">
        <v>2618</v>
      </c>
      <c r="G1315" s="137">
        <v>1394395844001</v>
      </c>
      <c r="H1315" s="138" t="s">
        <v>6298</v>
      </c>
      <c r="I1315" s="136">
        <v>941500832</v>
      </c>
      <c r="J1315" s="131" t="s">
        <v>2764</v>
      </c>
      <c r="K1315" s="139">
        <v>24440</v>
      </c>
    </row>
    <row r="1316" spans="1:11">
      <c r="A1316" s="1" t="str">
        <f t="shared" si="20"/>
        <v>15100-39350295-951500517143605</v>
      </c>
      <c r="B1316" s="136" t="s">
        <v>4834</v>
      </c>
      <c r="C1316" s="136" t="s">
        <v>11120</v>
      </c>
      <c r="D1316" s="132" t="s">
        <v>3420</v>
      </c>
      <c r="E1316" s="136" t="s">
        <v>4874</v>
      </c>
      <c r="F1316" s="136" t="s">
        <v>4874</v>
      </c>
      <c r="G1316" s="137">
        <v>1395451400001</v>
      </c>
      <c r="H1316" s="138" t="s">
        <v>6454</v>
      </c>
      <c r="I1316" s="136">
        <v>951500517</v>
      </c>
      <c r="J1316" s="131" t="s">
        <v>4955</v>
      </c>
      <c r="K1316" s="139">
        <v>143605</v>
      </c>
    </row>
    <row r="1317" spans="1:11">
      <c r="A1317" s="1" t="str">
        <f t="shared" si="20"/>
        <v>50100-827782895-952500080499481</v>
      </c>
      <c r="B1317" s="136" t="s">
        <v>4555</v>
      </c>
      <c r="C1317" s="136" t="s">
        <v>11121</v>
      </c>
      <c r="D1317" s="132" t="s">
        <v>3420</v>
      </c>
      <c r="E1317" s="136" t="s">
        <v>4571</v>
      </c>
      <c r="F1317" s="136" t="s">
        <v>4571</v>
      </c>
      <c r="G1317" s="137">
        <v>1395457971001</v>
      </c>
      <c r="H1317" s="138" t="s">
        <v>11061</v>
      </c>
      <c r="I1317" s="141">
        <v>952500080</v>
      </c>
      <c r="J1317" s="131" t="s">
        <v>4605</v>
      </c>
      <c r="K1317" s="142">
        <v>499481</v>
      </c>
    </row>
    <row r="1318" spans="1:11">
      <c r="A1318" s="1" t="str">
        <f t="shared" si="20"/>
        <v>50100-743093895-95150013499000</v>
      </c>
      <c r="B1318" s="136" t="s">
        <v>3160</v>
      </c>
      <c r="C1318" s="136" t="s">
        <v>11122</v>
      </c>
      <c r="D1318" s="132" t="s">
        <v>3420</v>
      </c>
      <c r="E1318" s="136" t="s">
        <v>3171</v>
      </c>
      <c r="F1318" s="136" t="s">
        <v>3171</v>
      </c>
      <c r="G1318" s="137">
        <v>1395397985001</v>
      </c>
      <c r="H1318" s="138" t="s">
        <v>6298</v>
      </c>
      <c r="I1318" s="136">
        <v>951500134</v>
      </c>
      <c r="J1318" s="131" t="s">
        <v>3176</v>
      </c>
      <c r="K1318" s="139">
        <v>99000</v>
      </c>
    </row>
    <row r="1319" spans="1:11">
      <c r="A1319" s="1" t="str">
        <f t="shared" si="20"/>
        <v>50100-748326895-95150011574730</v>
      </c>
      <c r="B1319" s="136" t="s">
        <v>3237</v>
      </c>
      <c r="C1319" s="136" t="s">
        <v>11062</v>
      </c>
      <c r="D1319" s="132" t="s">
        <v>3420</v>
      </c>
      <c r="E1319" s="136" t="s">
        <v>3247</v>
      </c>
      <c r="F1319" s="136" t="s">
        <v>3247</v>
      </c>
      <c r="G1319" s="137">
        <v>1394395845001</v>
      </c>
      <c r="H1319" s="138" t="s">
        <v>6453</v>
      </c>
      <c r="I1319" s="136">
        <v>951500115</v>
      </c>
      <c r="J1319" s="131" t="s">
        <v>3082</v>
      </c>
      <c r="K1319" s="139">
        <v>74730</v>
      </c>
    </row>
    <row r="1320" spans="1:11">
      <c r="A1320" s="1" t="str">
        <f t="shared" si="20"/>
        <v>15100-27032795-95150009894500</v>
      </c>
      <c r="B1320" s="136" t="s">
        <v>2828</v>
      </c>
      <c r="C1320" s="136" t="s">
        <v>11123</v>
      </c>
      <c r="D1320" s="132" t="s">
        <v>3420</v>
      </c>
      <c r="E1320" s="136" t="s">
        <v>2853</v>
      </c>
      <c r="F1320" s="136" t="s">
        <v>2853</v>
      </c>
      <c r="G1320" s="137">
        <v>1395397985001</v>
      </c>
      <c r="H1320" s="138" t="s">
        <v>6298</v>
      </c>
      <c r="I1320" s="136">
        <v>951500098</v>
      </c>
      <c r="J1320" s="131" t="s">
        <v>2881</v>
      </c>
      <c r="K1320" s="139">
        <v>94500</v>
      </c>
    </row>
    <row r="1321" spans="1:11">
      <c r="A1321" s="1" t="str">
        <f t="shared" si="20"/>
        <v>15100-35994995-95150049233200</v>
      </c>
      <c r="B1321" s="136" t="s">
        <v>4310</v>
      </c>
      <c r="C1321" s="136" t="s">
        <v>11094</v>
      </c>
      <c r="D1321" s="132" t="s">
        <v>3420</v>
      </c>
      <c r="E1321" s="136" t="s">
        <v>4166</v>
      </c>
      <c r="F1321" s="136" t="s">
        <v>4166</v>
      </c>
      <c r="G1321" s="137">
        <v>1395449236001</v>
      </c>
      <c r="H1321" s="138" t="s">
        <v>6298</v>
      </c>
      <c r="I1321" s="136">
        <v>951500492</v>
      </c>
      <c r="J1321" s="131" t="s">
        <v>4302</v>
      </c>
      <c r="K1321" s="139">
        <v>33200</v>
      </c>
    </row>
    <row r="1322" spans="1:11">
      <c r="A1322" s="1" t="str">
        <f t="shared" si="20"/>
        <v>15100-35994995-95150042648070</v>
      </c>
      <c r="B1322" s="136" t="s">
        <v>4310</v>
      </c>
      <c r="C1322" s="136" t="s">
        <v>11094</v>
      </c>
      <c r="D1322" s="132" t="s">
        <v>3420</v>
      </c>
      <c r="E1322" s="136" t="s">
        <v>4166</v>
      </c>
      <c r="F1322" s="136" t="s">
        <v>4166</v>
      </c>
      <c r="G1322" s="137">
        <v>1395447925001</v>
      </c>
      <c r="H1322" s="138" t="s">
        <v>6298</v>
      </c>
      <c r="I1322" s="136">
        <v>951500426</v>
      </c>
      <c r="J1322" s="131" t="s">
        <v>4280</v>
      </c>
      <c r="K1322" s="139">
        <v>48070</v>
      </c>
    </row>
    <row r="1323" spans="1:11">
      <c r="A1323" s="1" t="str">
        <f t="shared" si="20"/>
        <v>15100-35991695-95150040220640</v>
      </c>
      <c r="B1323" s="136" t="s">
        <v>4312</v>
      </c>
      <c r="C1323" s="136" t="s">
        <v>11095</v>
      </c>
      <c r="D1323" s="132" t="s">
        <v>3420</v>
      </c>
      <c r="E1323" s="136" t="s">
        <v>4166</v>
      </c>
      <c r="F1323" s="136" t="s">
        <v>4166</v>
      </c>
      <c r="G1323" s="137">
        <v>1395445412001</v>
      </c>
      <c r="H1323" s="138" t="s">
        <v>6298</v>
      </c>
      <c r="I1323" s="136">
        <v>951500402</v>
      </c>
      <c r="J1323" s="131" t="s">
        <v>4288</v>
      </c>
      <c r="K1323" s="139">
        <v>20640</v>
      </c>
    </row>
    <row r="1324" spans="1:11">
      <c r="A1324" s="1" t="str">
        <f t="shared" si="20"/>
        <v>15100-35991695-95150038123620</v>
      </c>
      <c r="B1324" s="136" t="s">
        <v>4312</v>
      </c>
      <c r="C1324" s="136" t="s">
        <v>11095</v>
      </c>
      <c r="D1324" s="132" t="s">
        <v>3420</v>
      </c>
      <c r="E1324" s="136" t="s">
        <v>4166</v>
      </c>
      <c r="F1324" s="136" t="s">
        <v>4166</v>
      </c>
      <c r="G1324" s="137">
        <v>1395445412001</v>
      </c>
      <c r="H1324" s="138" t="s">
        <v>6298</v>
      </c>
      <c r="I1324" s="136">
        <v>951500381</v>
      </c>
      <c r="J1324" s="131" t="s">
        <v>4299</v>
      </c>
      <c r="K1324" s="139">
        <v>23620</v>
      </c>
    </row>
    <row r="1325" spans="1:11">
      <c r="A1325" s="1" t="str">
        <f t="shared" si="20"/>
        <v>15100-35160495-95150038925625</v>
      </c>
      <c r="B1325" s="136" t="s">
        <v>4102</v>
      </c>
      <c r="C1325" s="136" t="s">
        <v>11124</v>
      </c>
      <c r="D1325" s="132" t="s">
        <v>3420</v>
      </c>
      <c r="E1325" s="136" t="s">
        <v>3937</v>
      </c>
      <c r="F1325" s="136" t="s">
        <v>3937</v>
      </c>
      <c r="G1325" s="137">
        <v>1395437982001</v>
      </c>
      <c r="H1325" s="138" t="s">
        <v>6300</v>
      </c>
      <c r="I1325" s="136">
        <v>951500389</v>
      </c>
      <c r="J1325" s="131" t="s">
        <v>4273</v>
      </c>
      <c r="K1325" s="139">
        <v>25625</v>
      </c>
    </row>
    <row r="1326" spans="1:11">
      <c r="A1326" s="1" t="str">
        <f t="shared" si="20"/>
        <v>15100-35160495-951500404250375</v>
      </c>
      <c r="B1326" s="136" t="s">
        <v>4102</v>
      </c>
      <c r="C1326" s="136" t="s">
        <v>11124</v>
      </c>
      <c r="D1326" s="132" t="s">
        <v>3420</v>
      </c>
      <c r="E1326" s="136" t="s">
        <v>3937</v>
      </c>
      <c r="F1326" s="136" t="s">
        <v>3937</v>
      </c>
      <c r="G1326" s="137">
        <v>1395445412001</v>
      </c>
      <c r="H1326" s="138" t="s">
        <v>6298</v>
      </c>
      <c r="I1326" s="136">
        <v>951500404</v>
      </c>
      <c r="J1326" s="131" t="s">
        <v>4265</v>
      </c>
      <c r="K1326" s="139">
        <v>250375</v>
      </c>
    </row>
    <row r="1327" spans="1:11">
      <c r="A1327" s="1" t="str">
        <f t="shared" si="20"/>
        <v>15100-35159295-95150040023760</v>
      </c>
      <c r="B1327" s="136" t="s">
        <v>4103</v>
      </c>
      <c r="C1327" s="136" t="s">
        <v>11075</v>
      </c>
      <c r="D1327" s="132" t="s">
        <v>3420</v>
      </c>
      <c r="E1327" s="136" t="s">
        <v>3937</v>
      </c>
      <c r="F1327" s="136" t="s">
        <v>3937</v>
      </c>
      <c r="G1327" s="137">
        <v>1395445412001</v>
      </c>
      <c r="H1327" s="138" t="s">
        <v>6298</v>
      </c>
      <c r="I1327" s="136">
        <v>951500400</v>
      </c>
      <c r="J1327" s="131" t="s">
        <v>4281</v>
      </c>
      <c r="K1327" s="139">
        <v>23760</v>
      </c>
    </row>
    <row r="1328" spans="1:11">
      <c r="A1328" s="1" t="str">
        <f t="shared" si="20"/>
        <v>50100-725709195-951500061498300</v>
      </c>
      <c r="B1328" s="136" t="s">
        <v>2990</v>
      </c>
      <c r="C1328" s="136" t="s">
        <v>11125</v>
      </c>
      <c r="D1328" s="132" t="s">
        <v>3420</v>
      </c>
      <c r="E1328" s="136" t="s">
        <v>2869</v>
      </c>
      <c r="F1328" s="136" t="s">
        <v>2869</v>
      </c>
      <c r="G1328" s="137">
        <v>1395397990001</v>
      </c>
      <c r="H1328" s="138" t="s">
        <v>6456</v>
      </c>
      <c r="I1328" s="136">
        <v>951500061</v>
      </c>
      <c r="J1328" s="131" t="s">
        <v>3101</v>
      </c>
      <c r="K1328" s="139">
        <v>498300</v>
      </c>
    </row>
    <row r="1329" spans="1:11">
      <c r="A1329" s="1" t="str">
        <f t="shared" si="20"/>
        <v>15100-28128795-95150013315000</v>
      </c>
      <c r="B1329" s="136" t="s">
        <v>3196</v>
      </c>
      <c r="C1329" s="136" t="s">
        <v>10560</v>
      </c>
      <c r="D1329" s="132" t="s">
        <v>3420</v>
      </c>
      <c r="E1329" s="136" t="s">
        <v>3207</v>
      </c>
      <c r="F1329" s="136" t="s">
        <v>3207</v>
      </c>
      <c r="G1329" s="137">
        <v>1395397986001</v>
      </c>
      <c r="H1329" s="138" t="s">
        <v>6454</v>
      </c>
      <c r="I1329" s="136">
        <v>951500133</v>
      </c>
      <c r="J1329" s="131" t="s">
        <v>2872</v>
      </c>
      <c r="K1329" s="139">
        <v>15000</v>
      </c>
    </row>
    <row r="1330" spans="1:11">
      <c r="A1330" s="1" t="str">
        <f t="shared" si="20"/>
        <v>15100-28128795-95150010317080</v>
      </c>
      <c r="B1330" s="136" t="s">
        <v>3196</v>
      </c>
      <c r="C1330" s="136" t="s">
        <v>10560</v>
      </c>
      <c r="D1330" s="132" t="s">
        <v>3420</v>
      </c>
      <c r="E1330" s="136" t="s">
        <v>3207</v>
      </c>
      <c r="F1330" s="136" t="s">
        <v>3207</v>
      </c>
      <c r="G1330" s="137">
        <v>1395397986001</v>
      </c>
      <c r="H1330" s="138" t="s">
        <v>6454</v>
      </c>
      <c r="I1330" s="136">
        <v>951500103</v>
      </c>
      <c r="J1330" s="131" t="s">
        <v>2886</v>
      </c>
      <c r="K1330" s="139">
        <v>17080</v>
      </c>
    </row>
    <row r="1331" spans="1:11">
      <c r="A1331" s="1" t="str">
        <f t="shared" si="20"/>
        <v>15100-30029395-9515001634740</v>
      </c>
      <c r="B1331" s="136" t="s">
        <v>3358</v>
      </c>
      <c r="C1331" s="136" t="s">
        <v>10583</v>
      </c>
      <c r="D1331" s="132" t="s">
        <v>3420</v>
      </c>
      <c r="E1331" s="136" t="s">
        <v>3373</v>
      </c>
      <c r="F1331" s="136" t="s">
        <v>3373</v>
      </c>
      <c r="G1331" s="137">
        <v>1395401420001</v>
      </c>
      <c r="H1331" s="138" t="s">
        <v>6298</v>
      </c>
      <c r="I1331" s="136">
        <v>951500163</v>
      </c>
      <c r="J1331" s="131" t="s">
        <v>2890</v>
      </c>
      <c r="K1331" s="139">
        <v>4740</v>
      </c>
    </row>
    <row r="1332" spans="1:11">
      <c r="A1332" s="1" t="str">
        <f t="shared" si="20"/>
        <v>15100-26759695-95150010324560</v>
      </c>
      <c r="B1332" s="136" t="s">
        <v>2838</v>
      </c>
      <c r="C1332" s="136" t="s">
        <v>11126</v>
      </c>
      <c r="D1332" s="132" t="s">
        <v>3420</v>
      </c>
      <c r="E1332" s="136" t="s">
        <v>2860</v>
      </c>
      <c r="F1332" s="136" t="s">
        <v>2860</v>
      </c>
      <c r="G1332" s="137">
        <v>1395397986001</v>
      </c>
      <c r="H1332" s="138" t="s">
        <v>6454</v>
      </c>
      <c r="I1332" s="136">
        <v>951500103</v>
      </c>
      <c r="J1332" s="131" t="s">
        <v>2886</v>
      </c>
      <c r="K1332" s="139">
        <v>24560</v>
      </c>
    </row>
    <row r="1333" spans="1:11">
      <c r="A1333" s="1" t="str">
        <f t="shared" si="20"/>
        <v>15100-27436195-95150016347380</v>
      </c>
      <c r="B1333" s="136" t="s">
        <v>2907</v>
      </c>
      <c r="C1333" s="136" t="s">
        <v>11127</v>
      </c>
      <c r="D1333" s="132" t="s">
        <v>3420</v>
      </c>
      <c r="E1333" s="136" t="s">
        <v>3046</v>
      </c>
      <c r="F1333" s="136" t="s">
        <v>3046</v>
      </c>
      <c r="G1333" s="137">
        <v>1395401420001</v>
      </c>
      <c r="H1333" s="138" t="s">
        <v>6298</v>
      </c>
      <c r="I1333" s="136">
        <v>951500163</v>
      </c>
      <c r="J1333" s="131" t="s">
        <v>2890</v>
      </c>
      <c r="K1333" s="139">
        <v>47380</v>
      </c>
    </row>
    <row r="1334" spans="1:11">
      <c r="A1334" s="1" t="str">
        <f t="shared" si="20"/>
        <v>50100-720070294-941500823125459</v>
      </c>
      <c r="B1334" s="136" t="s">
        <v>10492</v>
      </c>
      <c r="C1334" s="136" t="s">
        <v>10493</v>
      </c>
      <c r="D1334" s="132" t="s">
        <v>3420</v>
      </c>
      <c r="E1334" s="136" t="s">
        <v>2756</v>
      </c>
      <c r="F1334" s="136" t="s">
        <v>2756</v>
      </c>
      <c r="G1334" s="137">
        <v>1394394802001</v>
      </c>
      <c r="H1334" s="138" t="s">
        <v>6298</v>
      </c>
      <c r="I1334" s="136">
        <v>941500823</v>
      </c>
      <c r="J1334" s="131" t="s">
        <v>2654</v>
      </c>
      <c r="K1334" s="139">
        <v>125459</v>
      </c>
    </row>
    <row r="1335" spans="1:11">
      <c r="A1335" s="1" t="str">
        <f t="shared" si="20"/>
        <v>50100-750899095-9515000901000760</v>
      </c>
      <c r="B1335" s="136" t="s">
        <v>3319</v>
      </c>
      <c r="C1335" s="136" t="s">
        <v>11128</v>
      </c>
      <c r="D1335" s="132" t="s">
        <v>3420</v>
      </c>
      <c r="E1335" s="136" t="s">
        <v>3282</v>
      </c>
      <c r="F1335" s="136" t="s">
        <v>3282</v>
      </c>
      <c r="G1335" s="137">
        <v>1394395845001</v>
      </c>
      <c r="H1335" s="138" t="s">
        <v>6453</v>
      </c>
      <c r="I1335" s="136">
        <v>951500090</v>
      </c>
      <c r="J1335" s="131" t="s">
        <v>3187</v>
      </c>
      <c r="K1335" s="139">
        <v>1000760</v>
      </c>
    </row>
    <row r="1336" spans="1:11">
      <c r="A1336" s="1" t="str">
        <f t="shared" si="20"/>
        <v>50100-818526995-95150050568820</v>
      </c>
      <c r="B1336" s="136" t="s">
        <v>4414</v>
      </c>
      <c r="C1336" s="136" t="s">
        <v>10717</v>
      </c>
      <c r="D1336" s="132" t="s">
        <v>3420</v>
      </c>
      <c r="E1336" s="136" t="s">
        <v>4443</v>
      </c>
      <c r="F1336" s="136" t="s">
        <v>4443</v>
      </c>
      <c r="G1336" s="137">
        <v>1395447374001</v>
      </c>
      <c r="H1336" s="138" t="s">
        <v>6456</v>
      </c>
      <c r="I1336" s="136">
        <v>951500505</v>
      </c>
      <c r="J1336" s="131" t="s">
        <v>4491</v>
      </c>
      <c r="K1336" s="139">
        <v>68820</v>
      </c>
    </row>
    <row r="1337" spans="1:11">
      <c r="A1337" s="1" t="str">
        <f t="shared" si="20"/>
        <v>50100-788115795-9515002279344</v>
      </c>
      <c r="B1337" s="136" t="s">
        <v>3694</v>
      </c>
      <c r="C1337" s="136" t="s">
        <v>10718</v>
      </c>
      <c r="D1337" s="132" t="s">
        <v>3420</v>
      </c>
      <c r="E1337" s="136" t="s">
        <v>3715</v>
      </c>
      <c r="F1337" s="136" t="s">
        <v>3715</v>
      </c>
      <c r="G1337" s="137">
        <v>1395427844001</v>
      </c>
      <c r="H1337" s="138" t="s">
        <v>6298</v>
      </c>
      <c r="I1337" s="136">
        <v>951500227</v>
      </c>
      <c r="J1337" s="131" t="s">
        <v>3743</v>
      </c>
      <c r="K1337" s="139">
        <v>9344</v>
      </c>
    </row>
    <row r="1338" spans="1:11">
      <c r="A1338" s="1" t="str">
        <f t="shared" si="20"/>
        <v>15100-35528895-951500455142520</v>
      </c>
      <c r="B1338" s="136" t="s">
        <v>4104</v>
      </c>
      <c r="C1338" s="136" t="s">
        <v>11129</v>
      </c>
      <c r="D1338" s="132" t="s">
        <v>3420</v>
      </c>
      <c r="E1338" s="136" t="s">
        <v>4180</v>
      </c>
      <c r="F1338" s="136" t="s">
        <v>4180</v>
      </c>
      <c r="G1338" s="137">
        <v>1395447371001</v>
      </c>
      <c r="H1338" s="138" t="s">
        <v>6299</v>
      </c>
      <c r="I1338" s="136">
        <v>951500455</v>
      </c>
      <c r="J1338" s="131" t="s">
        <v>3980</v>
      </c>
      <c r="K1338" s="139">
        <v>142520</v>
      </c>
    </row>
    <row r="1339" spans="1:11">
      <c r="A1339" s="1" t="str">
        <f t="shared" si="20"/>
        <v>15100-35662395-95150042624370</v>
      </c>
      <c r="B1339" s="136" t="s">
        <v>4098</v>
      </c>
      <c r="C1339" s="136" t="s">
        <v>11130</v>
      </c>
      <c r="D1339" s="132" t="s">
        <v>3420</v>
      </c>
      <c r="E1339" s="136" t="s">
        <v>4179</v>
      </c>
      <c r="F1339" s="136" t="s">
        <v>4179</v>
      </c>
      <c r="G1339" s="137">
        <v>1395447925001</v>
      </c>
      <c r="H1339" s="138" t="s">
        <v>6298</v>
      </c>
      <c r="I1339" s="136">
        <v>951500426</v>
      </c>
      <c r="J1339" s="131" t="s">
        <v>4280</v>
      </c>
      <c r="K1339" s="139">
        <v>24370</v>
      </c>
    </row>
    <row r="1340" spans="1:11">
      <c r="A1340" s="1" t="str">
        <f t="shared" si="20"/>
        <v>15100-25466294-941500832236780</v>
      </c>
      <c r="B1340" s="136" t="s">
        <v>11079</v>
      </c>
      <c r="C1340" s="136" t="s">
        <v>11080</v>
      </c>
      <c r="D1340" s="132" t="s">
        <v>3420</v>
      </c>
      <c r="E1340" s="136" t="s">
        <v>2619</v>
      </c>
      <c r="F1340" s="136" t="s">
        <v>2619</v>
      </c>
      <c r="G1340" s="137">
        <v>1394395844001</v>
      </c>
      <c r="H1340" s="138" t="s">
        <v>6298</v>
      </c>
      <c r="I1340" s="136">
        <v>941500832</v>
      </c>
      <c r="J1340" s="131" t="s">
        <v>2764</v>
      </c>
      <c r="K1340" s="139">
        <v>236780</v>
      </c>
    </row>
    <row r="1341" spans="1:11">
      <c r="A1341" s="1" t="str">
        <f t="shared" si="20"/>
        <v>15100-25626294-941500832126760</v>
      </c>
      <c r="B1341" s="136" t="s">
        <v>11081</v>
      </c>
      <c r="C1341" s="136" t="s">
        <v>11082</v>
      </c>
      <c r="D1341" s="132" t="s">
        <v>3420</v>
      </c>
      <c r="E1341" s="136" t="s">
        <v>2612</v>
      </c>
      <c r="F1341" s="136" t="s">
        <v>2612</v>
      </c>
      <c r="G1341" s="137">
        <v>1394395844001</v>
      </c>
      <c r="H1341" s="138" t="s">
        <v>6298</v>
      </c>
      <c r="I1341" s="136">
        <v>941500832</v>
      </c>
      <c r="J1341" s="131" t="s">
        <v>2764</v>
      </c>
      <c r="K1341" s="139">
        <v>126760</v>
      </c>
    </row>
    <row r="1342" spans="1:11">
      <c r="A1342" s="1" t="str">
        <f t="shared" si="20"/>
        <v>15100-39347295-95150051751770</v>
      </c>
      <c r="B1342" s="136" t="s">
        <v>4842</v>
      </c>
      <c r="C1342" s="136" t="s">
        <v>11131</v>
      </c>
      <c r="D1342" s="132" t="s">
        <v>3420</v>
      </c>
      <c r="E1342" s="136" t="s">
        <v>4874</v>
      </c>
      <c r="F1342" s="136" t="s">
        <v>4874</v>
      </c>
      <c r="G1342" s="137">
        <v>1395451400001</v>
      </c>
      <c r="H1342" s="138" t="s">
        <v>6454</v>
      </c>
      <c r="I1342" s="136">
        <v>951500517</v>
      </c>
      <c r="J1342" s="131" t="s">
        <v>4955</v>
      </c>
      <c r="K1342" s="139">
        <v>51770</v>
      </c>
    </row>
    <row r="1343" spans="1:11">
      <c r="A1343" s="1" t="str">
        <f t="shared" si="20"/>
        <v>15100-39422995-951500517122700</v>
      </c>
      <c r="B1343" s="136" t="s">
        <v>4843</v>
      </c>
      <c r="C1343" s="136" t="s">
        <v>11132</v>
      </c>
      <c r="D1343" s="132" t="s">
        <v>3420</v>
      </c>
      <c r="E1343" s="136" t="s">
        <v>4873</v>
      </c>
      <c r="F1343" s="136" t="s">
        <v>4873</v>
      </c>
      <c r="G1343" s="137">
        <v>1395451400001</v>
      </c>
      <c r="H1343" s="138" t="s">
        <v>6454</v>
      </c>
      <c r="I1343" s="136">
        <v>951500517</v>
      </c>
      <c r="J1343" s="131" t="s">
        <v>4955</v>
      </c>
      <c r="K1343" s="139">
        <v>122700</v>
      </c>
    </row>
    <row r="1344" spans="1:11">
      <c r="A1344" s="1" t="str">
        <f t="shared" si="20"/>
        <v>15100-36782795-95150054213540</v>
      </c>
      <c r="B1344" s="136" t="s">
        <v>4389</v>
      </c>
      <c r="C1344" s="136" t="s">
        <v>11133</v>
      </c>
      <c r="D1344" s="132" t="s">
        <v>3420</v>
      </c>
      <c r="E1344" s="136" t="s">
        <v>4439</v>
      </c>
      <c r="F1344" s="136" t="s">
        <v>4439</v>
      </c>
      <c r="G1344" s="137">
        <v>1395447372001</v>
      </c>
      <c r="H1344" s="138" t="s">
        <v>6300</v>
      </c>
      <c r="I1344" s="136">
        <v>951500542</v>
      </c>
      <c r="J1344" s="131" t="s">
        <v>4353</v>
      </c>
      <c r="K1344" s="139">
        <v>13540</v>
      </c>
    </row>
    <row r="1345" spans="1:11">
      <c r="A1345" s="1" t="str">
        <f t="shared" si="20"/>
        <v>15100-36782795-95150042639380</v>
      </c>
      <c r="B1345" s="136" t="s">
        <v>4389</v>
      </c>
      <c r="C1345" s="136" t="s">
        <v>11133</v>
      </c>
      <c r="D1345" s="132" t="s">
        <v>3420</v>
      </c>
      <c r="E1345" s="136" t="s">
        <v>4439</v>
      </c>
      <c r="F1345" s="136" t="s">
        <v>4439</v>
      </c>
      <c r="G1345" s="137">
        <v>1395447925001</v>
      </c>
      <c r="H1345" s="138" t="s">
        <v>6298</v>
      </c>
      <c r="I1345" s="136">
        <v>951500426</v>
      </c>
      <c r="J1345" s="131" t="s">
        <v>4280</v>
      </c>
      <c r="K1345" s="139">
        <v>39380</v>
      </c>
    </row>
    <row r="1346" spans="1:11">
      <c r="A1346" s="1" t="str">
        <f t="shared" si="20"/>
        <v>50100-852164596-9641000072837151</v>
      </c>
      <c r="B1346" s="136" t="s">
        <v>4988</v>
      </c>
      <c r="C1346" s="136" t="s">
        <v>8950</v>
      </c>
      <c r="D1346" s="132" t="s">
        <v>4971</v>
      </c>
      <c r="E1346" s="136" t="s">
        <v>5009</v>
      </c>
      <c r="F1346" s="136" t="s">
        <v>5009</v>
      </c>
      <c r="G1346" s="137">
        <v>1396471677001</v>
      </c>
      <c r="H1346" s="138" t="s">
        <v>6452</v>
      </c>
      <c r="I1346" s="136">
        <v>964100007</v>
      </c>
      <c r="J1346" s="131" t="s">
        <v>5030</v>
      </c>
      <c r="K1346" s="139">
        <v>2837151</v>
      </c>
    </row>
    <row r="1347" spans="1:11">
      <c r="A1347" s="1" t="str">
        <f t="shared" ref="A1347:A1410" si="21">B1347&amp;J1347&amp;K1347</f>
        <v>45110-7062195-959000004330000</v>
      </c>
      <c r="B1347" s="136" t="s">
        <v>4616</v>
      </c>
      <c r="C1347" s="136" t="s">
        <v>10551</v>
      </c>
      <c r="D1347" s="132" t="s">
        <v>3420</v>
      </c>
      <c r="E1347" s="136" t="s">
        <v>4656</v>
      </c>
      <c r="F1347" s="136" t="s">
        <v>4656</v>
      </c>
      <c r="G1347" s="137" t="s">
        <v>5672</v>
      </c>
      <c r="H1347" s="138" t="s">
        <v>10436</v>
      </c>
      <c r="I1347" s="136">
        <v>959000004</v>
      </c>
      <c r="J1347" s="131" t="s">
        <v>4669</v>
      </c>
      <c r="K1347" s="139">
        <v>330000</v>
      </c>
    </row>
    <row r="1348" spans="1:11">
      <c r="A1348" s="1" t="str">
        <f t="shared" si="21"/>
        <v>50100-821013695-95250006047672</v>
      </c>
      <c r="B1348" s="136" t="s">
        <v>4418</v>
      </c>
      <c r="C1348" s="136" t="s">
        <v>10614</v>
      </c>
      <c r="D1348" s="132" t="s">
        <v>3420</v>
      </c>
      <c r="E1348" s="136" t="s">
        <v>4440</v>
      </c>
      <c r="F1348" s="136" t="s">
        <v>4440</v>
      </c>
      <c r="G1348" s="137">
        <v>1395436479001</v>
      </c>
      <c r="H1348" s="138" t="s">
        <v>6456</v>
      </c>
      <c r="I1348" s="136">
        <v>952500060</v>
      </c>
      <c r="J1348" s="131" t="s">
        <v>4244</v>
      </c>
      <c r="K1348" s="139">
        <v>47672</v>
      </c>
    </row>
    <row r="1349" spans="1:11">
      <c r="A1349" s="1" t="str">
        <f t="shared" si="21"/>
        <v>50100-749210695-954100010971451</v>
      </c>
      <c r="B1349" s="136" t="s">
        <v>3228</v>
      </c>
      <c r="C1349" s="136" t="s">
        <v>11134</v>
      </c>
      <c r="D1349" s="132" t="s">
        <v>3420</v>
      </c>
      <c r="E1349" s="136" t="s">
        <v>3243</v>
      </c>
      <c r="F1349" s="136" t="s">
        <v>3243</v>
      </c>
      <c r="G1349" s="137">
        <v>1395400302002</v>
      </c>
      <c r="H1349" s="138" t="s">
        <v>10183</v>
      </c>
      <c r="I1349" s="136">
        <v>954100010</v>
      </c>
      <c r="J1349" s="131" t="s">
        <v>3251</v>
      </c>
      <c r="K1349" s="139">
        <v>971451</v>
      </c>
    </row>
    <row r="1350" spans="1:11">
      <c r="A1350" s="1" t="str">
        <f t="shared" si="21"/>
        <v>50100-830124195-9515003801638580</v>
      </c>
      <c r="B1350" s="136" t="s">
        <v>4625</v>
      </c>
      <c r="C1350" s="136" t="s">
        <v>10615</v>
      </c>
      <c r="D1350" s="132" t="s">
        <v>3420</v>
      </c>
      <c r="E1350" s="136" t="s">
        <v>4659</v>
      </c>
      <c r="F1350" s="136" t="s">
        <v>4659</v>
      </c>
      <c r="G1350" s="137">
        <v>1395445412001</v>
      </c>
      <c r="H1350" s="138" t="s">
        <v>6298</v>
      </c>
      <c r="I1350" s="136">
        <v>951500380</v>
      </c>
      <c r="J1350" s="131" t="s">
        <v>4580</v>
      </c>
      <c r="K1350" s="139">
        <v>1638580</v>
      </c>
    </row>
    <row r="1351" spans="1:11">
      <c r="A1351" s="1" t="str">
        <f t="shared" si="21"/>
        <v>50100-830124195-951500379539520</v>
      </c>
      <c r="B1351" s="136" t="s">
        <v>4625</v>
      </c>
      <c r="C1351" s="136" t="s">
        <v>10615</v>
      </c>
      <c r="D1351" s="132" t="s">
        <v>3420</v>
      </c>
      <c r="E1351" s="136" t="s">
        <v>4659</v>
      </c>
      <c r="F1351" s="136" t="s">
        <v>4659</v>
      </c>
      <c r="G1351" s="137">
        <v>1395441469001</v>
      </c>
      <c r="H1351" s="138" t="s">
        <v>6454</v>
      </c>
      <c r="I1351" s="136">
        <v>951500379</v>
      </c>
      <c r="J1351" s="131" t="s">
        <v>4679</v>
      </c>
      <c r="K1351" s="139">
        <v>539520</v>
      </c>
    </row>
    <row r="1352" spans="1:11">
      <c r="A1352" s="1" t="str">
        <f t="shared" si="21"/>
        <v>15100-35991695-95150042548180</v>
      </c>
      <c r="B1352" s="136" t="s">
        <v>4312</v>
      </c>
      <c r="C1352" s="136" t="s">
        <v>11095</v>
      </c>
      <c r="D1352" s="132" t="s">
        <v>3420</v>
      </c>
      <c r="E1352" s="136" t="s">
        <v>4166</v>
      </c>
      <c r="F1352" s="136" t="s">
        <v>4166</v>
      </c>
      <c r="G1352" s="137">
        <v>1395447925001</v>
      </c>
      <c r="H1352" s="138" t="s">
        <v>6298</v>
      </c>
      <c r="I1352" s="136">
        <v>951500425</v>
      </c>
      <c r="J1352" s="131" t="s">
        <v>4270</v>
      </c>
      <c r="K1352" s="139">
        <v>48180</v>
      </c>
    </row>
    <row r="1353" spans="1:11">
      <c r="A1353" s="1" t="str">
        <f t="shared" si="21"/>
        <v>15100--35049795-951500420292860</v>
      </c>
      <c r="B1353" s="136" t="s">
        <v>11135</v>
      </c>
      <c r="C1353" s="136" t="s">
        <v>11136</v>
      </c>
      <c r="D1353" s="132" t="s">
        <v>3420</v>
      </c>
      <c r="E1353" s="136" t="s">
        <v>3933</v>
      </c>
      <c r="F1353" s="136" t="s">
        <v>3933</v>
      </c>
      <c r="G1353" s="137">
        <v>1395441446001</v>
      </c>
      <c r="H1353" s="138" t="s">
        <v>6299</v>
      </c>
      <c r="I1353" s="136">
        <v>951500420</v>
      </c>
      <c r="J1353" s="131" t="s">
        <v>3978</v>
      </c>
      <c r="K1353" s="139">
        <v>292860</v>
      </c>
    </row>
    <row r="1354" spans="1:11">
      <c r="A1354" s="1" t="str">
        <f t="shared" si="21"/>
        <v>15100-35061995-95150042023540</v>
      </c>
      <c r="B1354" s="136" t="s">
        <v>4100</v>
      </c>
      <c r="C1354" s="136" t="s">
        <v>11137</v>
      </c>
      <c r="D1354" s="132" t="s">
        <v>3420</v>
      </c>
      <c r="E1354" s="136" t="s">
        <v>3933</v>
      </c>
      <c r="F1354" s="136" t="s">
        <v>3933</v>
      </c>
      <c r="G1354" s="137">
        <v>1395441446001</v>
      </c>
      <c r="H1354" s="138" t="s">
        <v>6299</v>
      </c>
      <c r="I1354" s="136">
        <v>951500420</v>
      </c>
      <c r="J1354" s="131" t="s">
        <v>3978</v>
      </c>
      <c r="K1354" s="139">
        <v>23540</v>
      </c>
    </row>
    <row r="1355" spans="1:11">
      <c r="A1355" s="1" t="str">
        <f t="shared" si="21"/>
        <v>15100-35160495-951500409248540</v>
      </c>
      <c r="B1355" s="136" t="s">
        <v>4102</v>
      </c>
      <c r="C1355" s="136" t="s">
        <v>11124</v>
      </c>
      <c r="D1355" s="132" t="s">
        <v>3420</v>
      </c>
      <c r="E1355" s="136" t="s">
        <v>3937</v>
      </c>
      <c r="F1355" s="136" t="s">
        <v>3937</v>
      </c>
      <c r="G1355" s="137">
        <v>1395445412001</v>
      </c>
      <c r="H1355" s="138" t="s">
        <v>6298</v>
      </c>
      <c r="I1355" s="136">
        <v>951500409</v>
      </c>
      <c r="J1355" s="131" t="s">
        <v>4277</v>
      </c>
      <c r="K1355" s="139">
        <v>248540</v>
      </c>
    </row>
    <row r="1356" spans="1:11">
      <c r="A1356" s="1" t="str">
        <f t="shared" si="21"/>
        <v>15100-35159295-951500421335000</v>
      </c>
      <c r="B1356" s="136" t="s">
        <v>4103</v>
      </c>
      <c r="C1356" s="136" t="s">
        <v>11075</v>
      </c>
      <c r="D1356" s="132" t="s">
        <v>3420</v>
      </c>
      <c r="E1356" s="136" t="s">
        <v>3937</v>
      </c>
      <c r="F1356" s="136" t="s">
        <v>3937</v>
      </c>
      <c r="G1356" s="137">
        <v>1395441447001</v>
      </c>
      <c r="H1356" s="138" t="s">
        <v>6299</v>
      </c>
      <c r="I1356" s="136">
        <v>951500421</v>
      </c>
      <c r="J1356" s="131" t="s">
        <v>4279</v>
      </c>
      <c r="K1356" s="139">
        <v>335000</v>
      </c>
    </row>
    <row r="1357" spans="1:11">
      <c r="A1357" s="1" t="str">
        <f t="shared" si="21"/>
        <v>15100-35662395-951500409149070</v>
      </c>
      <c r="B1357" s="136" t="s">
        <v>4098</v>
      </c>
      <c r="C1357" s="136" t="s">
        <v>11130</v>
      </c>
      <c r="D1357" s="132" t="s">
        <v>3420</v>
      </c>
      <c r="E1357" s="136" t="s">
        <v>4179</v>
      </c>
      <c r="F1357" s="136" t="s">
        <v>4179</v>
      </c>
      <c r="G1357" s="137">
        <v>1395445412001</v>
      </c>
      <c r="H1357" s="138" t="s">
        <v>6298</v>
      </c>
      <c r="I1357" s="136">
        <v>951500409</v>
      </c>
      <c r="J1357" s="131" t="s">
        <v>4277</v>
      </c>
      <c r="K1357" s="139">
        <v>149070</v>
      </c>
    </row>
    <row r="1358" spans="1:11">
      <c r="A1358" s="1" t="str">
        <f t="shared" si="21"/>
        <v>15100-35715895-95150040960250</v>
      </c>
      <c r="B1358" s="136" t="s">
        <v>4097</v>
      </c>
      <c r="C1358" s="136" t="s">
        <v>11077</v>
      </c>
      <c r="D1358" s="132" t="s">
        <v>3420</v>
      </c>
      <c r="E1358" s="136" t="s">
        <v>4178</v>
      </c>
      <c r="F1358" s="136" t="s">
        <v>4178</v>
      </c>
      <c r="G1358" s="137">
        <v>1395445412001</v>
      </c>
      <c r="H1358" s="138" t="s">
        <v>6298</v>
      </c>
      <c r="I1358" s="136">
        <v>951500409</v>
      </c>
      <c r="J1358" s="131" t="s">
        <v>4277</v>
      </c>
      <c r="K1358" s="139">
        <v>60250</v>
      </c>
    </row>
    <row r="1359" spans="1:11">
      <c r="A1359" s="1" t="str">
        <f t="shared" si="21"/>
        <v>15100-25626294-94150084573660</v>
      </c>
      <c r="B1359" s="136" t="s">
        <v>11081</v>
      </c>
      <c r="C1359" s="136" t="s">
        <v>11082</v>
      </c>
      <c r="D1359" s="132" t="s">
        <v>3420</v>
      </c>
      <c r="E1359" s="136" t="s">
        <v>2612</v>
      </c>
      <c r="F1359" s="136" t="s">
        <v>2612</v>
      </c>
      <c r="G1359" s="137">
        <v>1394395844001</v>
      </c>
      <c r="H1359" s="138" t="s">
        <v>6298</v>
      </c>
      <c r="I1359" s="136">
        <v>941500845</v>
      </c>
      <c r="J1359" s="131" t="s">
        <v>2774</v>
      </c>
      <c r="K1359" s="139">
        <v>73660</v>
      </c>
    </row>
    <row r="1360" spans="1:11">
      <c r="A1360" s="1" t="str">
        <f t="shared" si="21"/>
        <v>50100-725683295-95150006951455</v>
      </c>
      <c r="B1360" s="136" t="s">
        <v>2957</v>
      </c>
      <c r="C1360" s="136" t="s">
        <v>10760</v>
      </c>
      <c r="D1360" s="132" t="s">
        <v>3420</v>
      </c>
      <c r="E1360" s="136" t="s">
        <v>2869</v>
      </c>
      <c r="F1360" s="136" t="s">
        <v>2869</v>
      </c>
      <c r="G1360" s="137">
        <v>1394395845001</v>
      </c>
      <c r="H1360" s="138" t="s">
        <v>6453</v>
      </c>
      <c r="I1360" s="136">
        <v>951500069</v>
      </c>
      <c r="J1360" s="131" t="s">
        <v>3086</v>
      </c>
      <c r="K1360" s="139">
        <v>51455</v>
      </c>
    </row>
    <row r="1361" spans="1:11">
      <c r="A1361" s="1" t="str">
        <f t="shared" si="21"/>
        <v>15100-36783995-951500439283860</v>
      </c>
      <c r="B1361" s="136" t="s">
        <v>4388</v>
      </c>
      <c r="C1361" s="136" t="s">
        <v>11083</v>
      </c>
      <c r="D1361" s="132" t="s">
        <v>3420</v>
      </c>
      <c r="E1361" s="136" t="s">
        <v>4445</v>
      </c>
      <c r="F1361" s="136" t="s">
        <v>4445</v>
      </c>
      <c r="G1361" s="137">
        <v>1395441450001</v>
      </c>
      <c r="H1361" s="138" t="s">
        <v>6300</v>
      </c>
      <c r="I1361" s="136">
        <v>951500439</v>
      </c>
      <c r="J1361" s="131" t="s">
        <v>4449</v>
      </c>
      <c r="K1361" s="139">
        <v>283860</v>
      </c>
    </row>
    <row r="1362" spans="1:11">
      <c r="A1362" s="1" t="str">
        <f t="shared" si="21"/>
        <v>15100-36782795-95150050726330</v>
      </c>
      <c r="B1362" s="136" t="s">
        <v>4389</v>
      </c>
      <c r="C1362" s="136" t="s">
        <v>11133</v>
      </c>
      <c r="D1362" s="132" t="s">
        <v>3420</v>
      </c>
      <c r="E1362" s="136" t="s">
        <v>4439</v>
      </c>
      <c r="F1362" s="136" t="s">
        <v>4439</v>
      </c>
      <c r="G1362" s="137">
        <v>1395449236001</v>
      </c>
      <c r="H1362" s="138" t="s">
        <v>6298</v>
      </c>
      <c r="I1362" s="136">
        <v>951500507</v>
      </c>
      <c r="J1362" s="131" t="s">
        <v>4450</v>
      </c>
      <c r="K1362" s="139">
        <v>26330</v>
      </c>
    </row>
    <row r="1363" spans="1:11">
      <c r="A1363" s="1" t="str">
        <f t="shared" si="21"/>
        <v>15100-36836295-95150043999780</v>
      </c>
      <c r="B1363" s="136" t="s">
        <v>4367</v>
      </c>
      <c r="C1363" s="136" t="s">
        <v>11138</v>
      </c>
      <c r="D1363" s="132" t="s">
        <v>3420</v>
      </c>
      <c r="E1363" s="136" t="s">
        <v>4439</v>
      </c>
      <c r="F1363" s="136" t="s">
        <v>4439</v>
      </c>
      <c r="G1363" s="137">
        <v>1395441450001</v>
      </c>
      <c r="H1363" s="138" t="s">
        <v>6300</v>
      </c>
      <c r="I1363" s="136">
        <v>951500439</v>
      </c>
      <c r="J1363" s="131" t="s">
        <v>4449</v>
      </c>
      <c r="K1363" s="139">
        <v>99780</v>
      </c>
    </row>
    <row r="1364" spans="1:11">
      <c r="A1364" s="1" t="str">
        <f t="shared" si="21"/>
        <v>15100-30074494-94150084177180</v>
      </c>
      <c r="B1364" s="136" t="s">
        <v>11139</v>
      </c>
      <c r="C1364" s="136" t="s">
        <v>11140</v>
      </c>
      <c r="D1364" s="132" t="s">
        <v>3420</v>
      </c>
      <c r="E1364" s="136" t="s">
        <v>3324</v>
      </c>
      <c r="F1364" s="136" t="s">
        <v>3324</v>
      </c>
      <c r="G1364" s="137">
        <v>1394395844001</v>
      </c>
      <c r="H1364" s="138" t="s">
        <v>6298</v>
      </c>
      <c r="I1364" s="136">
        <v>941500841</v>
      </c>
      <c r="J1364" s="131" t="s">
        <v>3383</v>
      </c>
      <c r="K1364" s="139">
        <v>77180</v>
      </c>
    </row>
    <row r="1365" spans="1:11">
      <c r="A1365" s="1" t="str">
        <f t="shared" si="21"/>
        <v>15100-26614394-94150071671600</v>
      </c>
      <c r="B1365" s="136" t="s">
        <v>10896</v>
      </c>
      <c r="C1365" s="136" t="s">
        <v>10897</v>
      </c>
      <c r="D1365" s="132" t="s">
        <v>3420</v>
      </c>
      <c r="E1365" s="136" t="s">
        <v>2864</v>
      </c>
      <c r="F1365" s="136" t="s">
        <v>2864</v>
      </c>
      <c r="G1365" s="137">
        <v>1394392935001</v>
      </c>
      <c r="H1365" s="138" t="s">
        <v>6298</v>
      </c>
      <c r="I1365" s="136">
        <v>941500716</v>
      </c>
      <c r="J1365" s="131" t="s">
        <v>2767</v>
      </c>
      <c r="K1365" s="139">
        <v>71600</v>
      </c>
    </row>
    <row r="1366" spans="1:11">
      <c r="A1366" s="1" t="str">
        <f t="shared" si="21"/>
        <v>15100-35945695-95150048448290</v>
      </c>
      <c r="B1366" s="136" t="s">
        <v>4323</v>
      </c>
      <c r="C1366" s="136" t="s">
        <v>11141</v>
      </c>
      <c r="D1366" s="132" t="s">
        <v>3420</v>
      </c>
      <c r="E1366" s="136" t="s">
        <v>4342</v>
      </c>
      <c r="F1366" s="136" t="s">
        <v>4342</v>
      </c>
      <c r="G1366" s="137">
        <v>1395449236001</v>
      </c>
      <c r="H1366" s="138" t="s">
        <v>6298</v>
      </c>
      <c r="I1366" s="136">
        <v>951500484</v>
      </c>
      <c r="J1366" s="131" t="s">
        <v>4344</v>
      </c>
      <c r="K1366" s="139">
        <v>48290</v>
      </c>
    </row>
    <row r="1367" spans="1:11">
      <c r="A1367" s="1" t="str">
        <f t="shared" si="21"/>
        <v>15100-35354395-95150043847660</v>
      </c>
      <c r="B1367" s="136" t="s">
        <v>4123</v>
      </c>
      <c r="C1367" s="136" t="s">
        <v>11142</v>
      </c>
      <c r="D1367" s="132" t="s">
        <v>3420</v>
      </c>
      <c r="E1367" s="136" t="s">
        <v>4186</v>
      </c>
      <c r="F1367" s="136" t="s">
        <v>4186</v>
      </c>
      <c r="G1367" s="137">
        <v>1395447925001</v>
      </c>
      <c r="H1367" s="138" t="s">
        <v>6298</v>
      </c>
      <c r="I1367" s="136">
        <v>951500438</v>
      </c>
      <c r="J1367" s="131" t="s">
        <v>4297</v>
      </c>
      <c r="K1367" s="139">
        <v>47660</v>
      </c>
    </row>
    <row r="1368" spans="1:11">
      <c r="A1368" s="1" t="str">
        <f t="shared" si="21"/>
        <v>15100-35354695-95150040120950</v>
      </c>
      <c r="B1368" s="136" t="s">
        <v>4124</v>
      </c>
      <c r="C1368" s="136" t="s">
        <v>10924</v>
      </c>
      <c r="D1368" s="132" t="s">
        <v>3420</v>
      </c>
      <c r="E1368" s="136" t="s">
        <v>4186</v>
      </c>
      <c r="F1368" s="136" t="s">
        <v>4186</v>
      </c>
      <c r="G1368" s="137">
        <v>1395445412001</v>
      </c>
      <c r="H1368" s="138" t="s">
        <v>6298</v>
      </c>
      <c r="I1368" s="136">
        <v>951500401</v>
      </c>
      <c r="J1368" s="131" t="s">
        <v>4294</v>
      </c>
      <c r="K1368" s="139">
        <v>20950</v>
      </c>
    </row>
    <row r="1369" spans="1:11">
      <c r="A1369" s="1" t="str">
        <f t="shared" si="21"/>
        <v>15100-29324394-941500850164870</v>
      </c>
      <c r="B1369" s="136" t="s">
        <v>11143</v>
      </c>
      <c r="C1369" s="136" t="s">
        <v>11144</v>
      </c>
      <c r="D1369" s="132" t="s">
        <v>3420</v>
      </c>
      <c r="E1369" s="136" t="s">
        <v>11145</v>
      </c>
      <c r="F1369" s="136" t="s">
        <v>11145</v>
      </c>
      <c r="G1369" s="137">
        <v>1394395844001</v>
      </c>
      <c r="H1369" s="138" t="s">
        <v>6298</v>
      </c>
      <c r="I1369" s="136">
        <v>941500850</v>
      </c>
      <c r="J1369" s="131" t="s">
        <v>3284</v>
      </c>
      <c r="K1369" s="139">
        <v>164870</v>
      </c>
    </row>
    <row r="1370" spans="1:11">
      <c r="A1370" s="1" t="str">
        <f t="shared" si="21"/>
        <v>15100-34524395-9515002883088</v>
      </c>
      <c r="B1370" s="136" t="s">
        <v>3783</v>
      </c>
      <c r="C1370" s="136" t="s">
        <v>11146</v>
      </c>
      <c r="D1370" s="132" t="s">
        <v>3420</v>
      </c>
      <c r="E1370" s="136" t="s">
        <v>3823</v>
      </c>
      <c r="F1370" s="136" t="s">
        <v>3823</v>
      </c>
      <c r="G1370" s="137">
        <v>1395437985001</v>
      </c>
      <c r="H1370" s="138" t="s">
        <v>6298</v>
      </c>
      <c r="I1370" s="136">
        <v>951500288</v>
      </c>
      <c r="J1370" s="131" t="s">
        <v>3844</v>
      </c>
      <c r="K1370" s="139">
        <v>3088</v>
      </c>
    </row>
    <row r="1371" spans="1:11">
      <c r="A1371" s="1" t="str">
        <f t="shared" si="21"/>
        <v>15100-34524395-951500336148342</v>
      </c>
      <c r="B1371" s="136" t="s">
        <v>3783</v>
      </c>
      <c r="C1371" s="136" t="s">
        <v>11146</v>
      </c>
      <c r="D1371" s="132" t="s">
        <v>3420</v>
      </c>
      <c r="E1371" s="136" t="s">
        <v>3823</v>
      </c>
      <c r="F1371" s="136" t="s">
        <v>3823</v>
      </c>
      <c r="G1371" s="137">
        <v>1395438159001</v>
      </c>
      <c r="H1371" s="138" t="s">
        <v>6298</v>
      </c>
      <c r="I1371" s="136">
        <v>951500336</v>
      </c>
      <c r="J1371" s="131" t="s">
        <v>3845</v>
      </c>
      <c r="K1371" s="139">
        <v>148342</v>
      </c>
    </row>
    <row r="1372" spans="1:11">
      <c r="A1372" s="1" t="str">
        <f t="shared" si="21"/>
        <v>15100-34828395-951500344149420</v>
      </c>
      <c r="B1372" s="136" t="s">
        <v>4125</v>
      </c>
      <c r="C1372" s="136" t="s">
        <v>11147</v>
      </c>
      <c r="D1372" s="132" t="s">
        <v>3420</v>
      </c>
      <c r="E1372" s="136" t="s">
        <v>3854</v>
      </c>
      <c r="F1372" s="136" t="s">
        <v>3854</v>
      </c>
      <c r="G1372" s="137">
        <v>1395435643001</v>
      </c>
      <c r="H1372" s="138" t="s">
        <v>6300</v>
      </c>
      <c r="I1372" s="136">
        <v>951500344</v>
      </c>
      <c r="J1372" s="131" t="s">
        <v>4295</v>
      </c>
      <c r="K1372" s="139">
        <v>149420</v>
      </c>
    </row>
    <row r="1373" spans="1:11">
      <c r="A1373" s="1" t="str">
        <f t="shared" si="21"/>
        <v>15100-34901595-951500401175950</v>
      </c>
      <c r="B1373" s="136" t="s">
        <v>4131</v>
      </c>
      <c r="C1373" s="136" t="s">
        <v>11148</v>
      </c>
      <c r="D1373" s="132" t="s">
        <v>3420</v>
      </c>
      <c r="E1373" s="136" t="s">
        <v>3900</v>
      </c>
      <c r="F1373" s="136" t="s">
        <v>3900</v>
      </c>
      <c r="G1373" s="137">
        <v>1395445412001</v>
      </c>
      <c r="H1373" s="138" t="s">
        <v>6298</v>
      </c>
      <c r="I1373" s="136">
        <v>951500401</v>
      </c>
      <c r="J1373" s="131" t="s">
        <v>4294</v>
      </c>
      <c r="K1373" s="139">
        <v>175950</v>
      </c>
    </row>
    <row r="1374" spans="1:11">
      <c r="A1374" s="1" t="str">
        <f t="shared" si="21"/>
        <v>15100-37018295-95150050731930</v>
      </c>
      <c r="B1374" s="136" t="s">
        <v>4382</v>
      </c>
      <c r="C1374" s="136" t="s">
        <v>11149</v>
      </c>
      <c r="D1374" s="132" t="s">
        <v>3420</v>
      </c>
      <c r="E1374" s="136" t="s">
        <v>4444</v>
      </c>
      <c r="F1374" s="136" t="s">
        <v>4444</v>
      </c>
      <c r="G1374" s="137">
        <v>1395449236001</v>
      </c>
      <c r="H1374" s="138" t="s">
        <v>6298</v>
      </c>
      <c r="I1374" s="136">
        <v>951500507</v>
      </c>
      <c r="J1374" s="131" t="s">
        <v>4450</v>
      </c>
      <c r="K1374" s="139">
        <v>31930</v>
      </c>
    </row>
    <row r="1375" spans="1:11">
      <c r="A1375" s="1" t="str">
        <f t="shared" si="21"/>
        <v>50100-734657495-9515000301360</v>
      </c>
      <c r="B1375" s="136" t="s">
        <v>2925</v>
      </c>
      <c r="C1375" s="136" t="s">
        <v>11150</v>
      </c>
      <c r="D1375" s="132" t="s">
        <v>3420</v>
      </c>
      <c r="E1375" s="136" t="s">
        <v>3048</v>
      </c>
      <c r="F1375" s="136" t="s">
        <v>3048</v>
      </c>
      <c r="G1375" s="137">
        <v>1395397985001</v>
      </c>
      <c r="H1375" s="138" t="s">
        <v>6298</v>
      </c>
      <c r="I1375" s="136">
        <v>951500030</v>
      </c>
      <c r="J1375" s="131" t="s">
        <v>2785</v>
      </c>
      <c r="K1375" s="139">
        <v>1360</v>
      </c>
    </row>
    <row r="1376" spans="1:11">
      <c r="A1376" s="1" t="str">
        <f t="shared" si="21"/>
        <v>50100-824450395-952500040241256</v>
      </c>
      <c r="B1376" s="136" t="s">
        <v>4561</v>
      </c>
      <c r="C1376" s="136" t="s">
        <v>10616</v>
      </c>
      <c r="D1376" s="132" t="s">
        <v>3420</v>
      </c>
      <c r="E1376" s="136" t="s">
        <v>4574</v>
      </c>
      <c r="F1376" s="136" t="s">
        <v>4574</v>
      </c>
      <c r="G1376" s="137">
        <v>1395441908001</v>
      </c>
      <c r="H1376" s="138" t="s">
        <v>6298</v>
      </c>
      <c r="I1376" s="136">
        <v>952500040</v>
      </c>
      <c r="J1376" s="131" t="s">
        <v>4489</v>
      </c>
      <c r="K1376" s="139">
        <v>241256</v>
      </c>
    </row>
    <row r="1377" spans="1:11">
      <c r="A1377" s="1" t="str">
        <f t="shared" si="21"/>
        <v>15100-27034894-941500705230320</v>
      </c>
      <c r="B1377" s="136" t="s">
        <v>11072</v>
      </c>
      <c r="C1377" s="136" t="s">
        <v>11073</v>
      </c>
      <c r="D1377" s="132" t="s">
        <v>3420</v>
      </c>
      <c r="E1377" s="136" t="s">
        <v>2853</v>
      </c>
      <c r="F1377" s="136" t="s">
        <v>2853</v>
      </c>
      <c r="G1377" s="137">
        <v>1394392646001</v>
      </c>
      <c r="H1377" s="138" t="s">
        <v>6298</v>
      </c>
      <c r="I1377" s="136">
        <v>941500705</v>
      </c>
      <c r="J1377" s="131" t="s">
        <v>2877</v>
      </c>
      <c r="K1377" s="139">
        <v>230320</v>
      </c>
    </row>
    <row r="1378" spans="1:11">
      <c r="A1378" s="1" t="str">
        <f t="shared" si="21"/>
        <v>15100-29361595-951500010175100</v>
      </c>
      <c r="B1378" s="136" t="s">
        <v>3261</v>
      </c>
      <c r="C1378" s="136" t="s">
        <v>11151</v>
      </c>
      <c r="D1378" s="132" t="s">
        <v>3420</v>
      </c>
      <c r="E1378" s="136" t="s">
        <v>3273</v>
      </c>
      <c r="F1378" s="136" t="s">
        <v>3273</v>
      </c>
      <c r="G1378" s="137">
        <v>1394392647001</v>
      </c>
      <c r="H1378" s="138" t="s">
        <v>6454</v>
      </c>
      <c r="I1378" s="136">
        <v>951500010</v>
      </c>
      <c r="J1378" s="131" t="s">
        <v>3283</v>
      </c>
      <c r="K1378" s="139">
        <v>175100</v>
      </c>
    </row>
    <row r="1379" spans="1:11">
      <c r="A1379" s="1" t="str">
        <f t="shared" si="21"/>
        <v>15100-36782795-95150052321620</v>
      </c>
      <c r="B1379" s="136" t="s">
        <v>4389</v>
      </c>
      <c r="C1379" s="136" t="s">
        <v>11133</v>
      </c>
      <c r="D1379" s="132" t="s">
        <v>3420</v>
      </c>
      <c r="E1379" s="136" t="s">
        <v>4439</v>
      </c>
      <c r="F1379" s="136" t="s">
        <v>4439</v>
      </c>
      <c r="G1379" s="137">
        <v>1395449236001</v>
      </c>
      <c r="H1379" s="138" t="s">
        <v>6298</v>
      </c>
      <c r="I1379" s="136">
        <v>951500523</v>
      </c>
      <c r="J1379" s="131" t="s">
        <v>4347</v>
      </c>
      <c r="K1379" s="139">
        <v>21620</v>
      </c>
    </row>
    <row r="1380" spans="1:11">
      <c r="A1380" s="1" t="str">
        <f t="shared" si="21"/>
        <v>15100-34901595-951500398319260</v>
      </c>
      <c r="B1380" s="136" t="s">
        <v>4131</v>
      </c>
      <c r="C1380" s="136" t="s">
        <v>11148</v>
      </c>
      <c r="D1380" s="132" t="s">
        <v>3420</v>
      </c>
      <c r="E1380" s="136" t="s">
        <v>3900</v>
      </c>
      <c r="F1380" s="136" t="s">
        <v>3900</v>
      </c>
      <c r="G1380" s="137">
        <v>1395438160001</v>
      </c>
      <c r="H1380" s="138" t="s">
        <v>6300</v>
      </c>
      <c r="I1380" s="136">
        <v>951500398</v>
      </c>
      <c r="J1380" s="131" t="s">
        <v>4305</v>
      </c>
      <c r="K1380" s="139">
        <v>319260</v>
      </c>
    </row>
    <row r="1381" spans="1:11">
      <c r="A1381" s="1" t="str">
        <f t="shared" si="21"/>
        <v>15100-36839295-95150054496100</v>
      </c>
      <c r="B1381" s="136" t="s">
        <v>4394</v>
      </c>
      <c r="C1381" s="136" t="s">
        <v>11152</v>
      </c>
      <c r="D1381" s="132" t="s">
        <v>3420</v>
      </c>
      <c r="E1381" s="136" t="s">
        <v>4439</v>
      </c>
      <c r="F1381" s="136" t="s">
        <v>4439</v>
      </c>
      <c r="G1381" s="137">
        <v>1395452679001</v>
      </c>
      <c r="H1381" s="138" t="s">
        <v>6298</v>
      </c>
      <c r="I1381" s="136">
        <v>951500544</v>
      </c>
      <c r="J1381" s="131" t="s">
        <v>4455</v>
      </c>
      <c r="K1381" s="139">
        <v>96100</v>
      </c>
    </row>
    <row r="1382" spans="1:11">
      <c r="A1382" s="1" t="str">
        <f t="shared" si="21"/>
        <v>50100-725751195-951500105476040</v>
      </c>
      <c r="B1382" s="136" t="s">
        <v>2949</v>
      </c>
      <c r="C1382" s="136" t="s">
        <v>11153</v>
      </c>
      <c r="D1382" s="132" t="s">
        <v>3420</v>
      </c>
      <c r="E1382" s="136" t="s">
        <v>2869</v>
      </c>
      <c r="F1382" s="136" t="s">
        <v>2869</v>
      </c>
      <c r="G1382" s="137">
        <v>1395397990001</v>
      </c>
      <c r="H1382" s="138" t="s">
        <v>6456</v>
      </c>
      <c r="I1382" s="136">
        <v>951500105</v>
      </c>
      <c r="J1382" s="131" t="s">
        <v>3130</v>
      </c>
      <c r="K1382" s="139">
        <v>476040</v>
      </c>
    </row>
    <row r="1383" spans="1:11">
      <c r="A1383" s="1" t="str">
        <f t="shared" si="21"/>
        <v>15100-26153695-95150003823400</v>
      </c>
      <c r="B1383" s="136" t="s">
        <v>2820</v>
      </c>
      <c r="C1383" s="136" t="s">
        <v>11154</v>
      </c>
      <c r="D1383" s="132" t="s">
        <v>3420</v>
      </c>
      <c r="E1383" s="136" t="s">
        <v>2757</v>
      </c>
      <c r="F1383" s="136" t="s">
        <v>3326</v>
      </c>
      <c r="G1383" s="137">
        <v>1395397986001</v>
      </c>
      <c r="H1383" s="138" t="s">
        <v>6454</v>
      </c>
      <c r="I1383" s="136">
        <v>951500038</v>
      </c>
      <c r="J1383" s="131" t="s">
        <v>2766</v>
      </c>
      <c r="K1383" s="139">
        <v>23400</v>
      </c>
    </row>
    <row r="1384" spans="1:11">
      <c r="A1384" s="1" t="str">
        <f t="shared" si="21"/>
        <v>15100-30688195-95150018025640</v>
      </c>
      <c r="B1384" s="136" t="s">
        <v>3372</v>
      </c>
      <c r="C1384" s="136" t="s">
        <v>11155</v>
      </c>
      <c r="D1384" s="132" t="s">
        <v>3420</v>
      </c>
      <c r="E1384" s="136" t="s">
        <v>3380</v>
      </c>
      <c r="F1384" s="136" t="s">
        <v>3380</v>
      </c>
      <c r="G1384" s="137">
        <v>1395401420001</v>
      </c>
      <c r="H1384" s="138" t="s">
        <v>6298</v>
      </c>
      <c r="I1384" s="136">
        <v>951500180</v>
      </c>
      <c r="J1384" s="131" t="s">
        <v>3384</v>
      </c>
      <c r="K1384" s="139">
        <v>25640</v>
      </c>
    </row>
    <row r="1385" spans="1:11">
      <c r="A1385" s="1" t="str">
        <f t="shared" si="21"/>
        <v>15100-35994995-95150041913580</v>
      </c>
      <c r="B1385" s="136" t="s">
        <v>4310</v>
      </c>
      <c r="C1385" s="136" t="s">
        <v>11094</v>
      </c>
      <c r="D1385" s="132" t="s">
        <v>3420</v>
      </c>
      <c r="E1385" s="136" t="s">
        <v>4166</v>
      </c>
      <c r="F1385" s="136" t="s">
        <v>4166</v>
      </c>
      <c r="G1385" s="137">
        <v>1395445412001</v>
      </c>
      <c r="H1385" s="138" t="s">
        <v>6298</v>
      </c>
      <c r="I1385" s="136">
        <v>951500419</v>
      </c>
      <c r="J1385" s="131" t="s">
        <v>4296</v>
      </c>
      <c r="K1385" s="139">
        <v>13580</v>
      </c>
    </row>
    <row r="1386" spans="1:11">
      <c r="A1386" s="1" t="str">
        <f t="shared" si="21"/>
        <v>50100-734657495-951500158998640</v>
      </c>
      <c r="B1386" s="136" t="s">
        <v>2925</v>
      </c>
      <c r="C1386" s="136" t="s">
        <v>11150</v>
      </c>
      <c r="D1386" s="132" t="s">
        <v>3420</v>
      </c>
      <c r="E1386" s="136" t="s">
        <v>3048</v>
      </c>
      <c r="F1386" s="136" t="s">
        <v>3048</v>
      </c>
      <c r="G1386" s="137">
        <v>1395397990001</v>
      </c>
      <c r="H1386" s="138" t="s">
        <v>6456</v>
      </c>
      <c r="I1386" s="136">
        <v>951500158</v>
      </c>
      <c r="J1386" s="131" t="s">
        <v>3079</v>
      </c>
      <c r="K1386" s="139">
        <v>998640</v>
      </c>
    </row>
    <row r="1387" spans="1:11">
      <c r="A1387" s="1" t="str">
        <f t="shared" si="21"/>
        <v>50100-833850395-951500480700128</v>
      </c>
      <c r="B1387" s="136" t="s">
        <v>4629</v>
      </c>
      <c r="C1387" s="136" t="s">
        <v>10544</v>
      </c>
      <c r="D1387" s="132" t="s">
        <v>3420</v>
      </c>
      <c r="E1387" s="136" t="s">
        <v>4658</v>
      </c>
      <c r="F1387" s="136" t="s">
        <v>4658</v>
      </c>
      <c r="G1387" s="137">
        <v>1395449236001</v>
      </c>
      <c r="H1387" s="138" t="s">
        <v>6298</v>
      </c>
      <c r="I1387" s="136">
        <v>951500480</v>
      </c>
      <c r="J1387" s="131" t="s">
        <v>4688</v>
      </c>
      <c r="K1387" s="139">
        <v>700128</v>
      </c>
    </row>
    <row r="1388" spans="1:11">
      <c r="A1388" s="1" t="str">
        <f t="shared" si="21"/>
        <v>50100-760365795-951500054493500</v>
      </c>
      <c r="B1388" s="136" t="s">
        <v>3294</v>
      </c>
      <c r="C1388" s="136" t="s">
        <v>11156</v>
      </c>
      <c r="D1388" s="132" t="s">
        <v>3420</v>
      </c>
      <c r="E1388" s="136" t="s">
        <v>3322</v>
      </c>
      <c r="F1388" s="136" t="s">
        <v>3322</v>
      </c>
      <c r="G1388" s="137">
        <v>1395397985001</v>
      </c>
      <c r="H1388" s="138" t="s">
        <v>6298</v>
      </c>
      <c r="I1388" s="136">
        <v>951500054</v>
      </c>
      <c r="J1388" s="131" t="s">
        <v>3259</v>
      </c>
      <c r="K1388" s="139">
        <v>493500</v>
      </c>
    </row>
    <row r="1389" spans="1:11">
      <c r="A1389" s="1" t="str">
        <f t="shared" si="21"/>
        <v>50100-760365795-9515001773596</v>
      </c>
      <c r="B1389" s="136" t="s">
        <v>3294</v>
      </c>
      <c r="C1389" s="136" t="s">
        <v>11156</v>
      </c>
      <c r="D1389" s="132" t="s">
        <v>3420</v>
      </c>
      <c r="E1389" s="136" t="s">
        <v>3322</v>
      </c>
      <c r="F1389" s="136" t="s">
        <v>3322</v>
      </c>
      <c r="G1389" s="137">
        <v>1395401420001</v>
      </c>
      <c r="H1389" s="138" t="s">
        <v>6298</v>
      </c>
      <c r="I1389" s="136">
        <v>951500177</v>
      </c>
      <c r="J1389" s="131" t="s">
        <v>3329</v>
      </c>
      <c r="K1389" s="139">
        <v>3596</v>
      </c>
    </row>
    <row r="1390" spans="1:11">
      <c r="A1390" s="1" t="str">
        <f t="shared" si="21"/>
        <v>15100-36587195-951500547129040</v>
      </c>
      <c r="B1390" s="136" t="s">
        <v>4341</v>
      </c>
      <c r="C1390" s="136" t="s">
        <v>11009</v>
      </c>
      <c r="D1390" s="132" t="s">
        <v>3420</v>
      </c>
      <c r="E1390" s="136" t="s">
        <v>4343</v>
      </c>
      <c r="F1390" s="136" t="s">
        <v>4343</v>
      </c>
      <c r="G1390" s="137">
        <v>1395449238001</v>
      </c>
      <c r="H1390" s="138" t="s">
        <v>6299</v>
      </c>
      <c r="I1390" s="136">
        <v>951500547</v>
      </c>
      <c r="J1390" s="131" t="s">
        <v>4360</v>
      </c>
      <c r="K1390" s="139">
        <v>129040</v>
      </c>
    </row>
    <row r="1391" spans="1:11">
      <c r="A1391" s="1" t="str">
        <f t="shared" si="21"/>
        <v>15100-35993795-95150054022640</v>
      </c>
      <c r="B1391" s="136" t="s">
        <v>4311</v>
      </c>
      <c r="C1391" s="136" t="s">
        <v>11036</v>
      </c>
      <c r="D1391" s="132" t="s">
        <v>3420</v>
      </c>
      <c r="E1391" s="136" t="s">
        <v>4166</v>
      </c>
      <c r="F1391" s="141" t="s">
        <v>4166</v>
      </c>
      <c r="G1391" s="137">
        <v>1395452683001</v>
      </c>
      <c r="H1391" s="140" t="s">
        <v>8845</v>
      </c>
      <c r="I1391" s="141">
        <v>951500540</v>
      </c>
      <c r="J1391" s="131" t="s">
        <v>4348</v>
      </c>
      <c r="K1391" s="142">
        <v>22640</v>
      </c>
    </row>
    <row r="1392" spans="1:11">
      <c r="A1392" s="1" t="str">
        <f t="shared" si="21"/>
        <v>15100-29542995-95150020145160</v>
      </c>
      <c r="B1392" s="136" t="s">
        <v>3263</v>
      </c>
      <c r="C1392" s="136" t="s">
        <v>11157</v>
      </c>
      <c r="D1392" s="132" t="s">
        <v>3420</v>
      </c>
      <c r="E1392" s="136" t="s">
        <v>3275</v>
      </c>
      <c r="F1392" s="136" t="s">
        <v>3275</v>
      </c>
      <c r="G1392" s="137">
        <v>1395397987001</v>
      </c>
      <c r="H1392" s="138" t="s">
        <v>10183</v>
      </c>
      <c r="I1392" s="136">
        <v>951500201</v>
      </c>
      <c r="J1392" s="131" t="s">
        <v>3286</v>
      </c>
      <c r="K1392" s="139">
        <v>45160</v>
      </c>
    </row>
    <row r="1393" spans="1:11">
      <c r="A1393" s="1" t="str">
        <f t="shared" si="21"/>
        <v>15100-38142995-95150057344080</v>
      </c>
      <c r="B1393" s="136" t="s">
        <v>4641</v>
      </c>
      <c r="C1393" s="136" t="s">
        <v>11158</v>
      </c>
      <c r="D1393" s="132" t="s">
        <v>3420</v>
      </c>
      <c r="E1393" s="136" t="s">
        <v>4664</v>
      </c>
      <c r="F1393" s="136" t="s">
        <v>4664</v>
      </c>
      <c r="G1393" s="137">
        <v>1395452681001</v>
      </c>
      <c r="H1393" s="138" t="s">
        <v>6300</v>
      </c>
      <c r="I1393" s="136">
        <v>951500573</v>
      </c>
      <c r="J1393" s="131" t="s">
        <v>4700</v>
      </c>
      <c r="K1393" s="139">
        <v>44080</v>
      </c>
    </row>
    <row r="1394" spans="1:11">
      <c r="A1394" s="1" t="str">
        <f t="shared" si="21"/>
        <v>15100-38479695-95150057842760</v>
      </c>
      <c r="B1394" s="136" t="s">
        <v>4742</v>
      </c>
      <c r="C1394" s="136" t="s">
        <v>11159</v>
      </c>
      <c r="D1394" s="132" t="s">
        <v>3420</v>
      </c>
      <c r="E1394" s="136" t="s">
        <v>4865</v>
      </c>
      <c r="F1394" s="136" t="s">
        <v>4865</v>
      </c>
      <c r="G1394" s="137">
        <v>1395455038001</v>
      </c>
      <c r="H1394" s="138" t="s">
        <v>6298</v>
      </c>
      <c r="I1394" s="136">
        <v>951500578</v>
      </c>
      <c r="J1394" s="131" t="s">
        <v>4891</v>
      </c>
      <c r="K1394" s="139">
        <v>42760</v>
      </c>
    </row>
    <row r="1395" spans="1:11">
      <c r="A1395" s="1" t="str">
        <f t="shared" si="21"/>
        <v>15100-38479695-95150057774020</v>
      </c>
      <c r="B1395" s="136" t="s">
        <v>4742</v>
      </c>
      <c r="C1395" s="136" t="s">
        <v>11159</v>
      </c>
      <c r="D1395" s="132" t="s">
        <v>3420</v>
      </c>
      <c r="E1395" s="136" t="s">
        <v>4865</v>
      </c>
      <c r="F1395" s="136" t="s">
        <v>4865</v>
      </c>
      <c r="G1395" s="137">
        <v>1395455038001</v>
      </c>
      <c r="H1395" s="138" t="s">
        <v>6298</v>
      </c>
      <c r="I1395" s="136">
        <v>951500577</v>
      </c>
      <c r="J1395" s="131" t="s">
        <v>4890</v>
      </c>
      <c r="K1395" s="139">
        <v>74020</v>
      </c>
    </row>
    <row r="1396" spans="1:11">
      <c r="A1396" s="1" t="str">
        <f t="shared" si="21"/>
        <v>15100-33209495-951500258115480</v>
      </c>
      <c r="B1396" s="136" t="s">
        <v>3595</v>
      </c>
      <c r="C1396" s="136" t="s">
        <v>11160</v>
      </c>
      <c r="D1396" s="132" t="s">
        <v>3420</v>
      </c>
      <c r="E1396" s="136" t="s">
        <v>3716</v>
      </c>
      <c r="F1396" s="136" t="s">
        <v>3716</v>
      </c>
      <c r="G1396" s="137">
        <v>1395435639001</v>
      </c>
      <c r="H1396" s="138" t="s">
        <v>6299</v>
      </c>
      <c r="I1396" s="136">
        <v>951500258</v>
      </c>
      <c r="J1396" s="131" t="s">
        <v>3645</v>
      </c>
      <c r="K1396" s="139">
        <v>115480</v>
      </c>
    </row>
    <row r="1397" spans="1:11">
      <c r="A1397" s="1" t="str">
        <f t="shared" si="21"/>
        <v>15100-28543494-941500812195570</v>
      </c>
      <c r="B1397" s="136" t="s">
        <v>11161</v>
      </c>
      <c r="C1397" s="136" t="s">
        <v>11162</v>
      </c>
      <c r="D1397" s="132" t="s">
        <v>3420</v>
      </c>
      <c r="E1397" s="136" t="s">
        <v>3172</v>
      </c>
      <c r="F1397" s="136" t="s">
        <v>3172</v>
      </c>
      <c r="G1397" s="137">
        <v>1394394802001</v>
      </c>
      <c r="H1397" s="138" t="s">
        <v>6298</v>
      </c>
      <c r="I1397" s="136">
        <v>941500812</v>
      </c>
      <c r="J1397" s="131" t="s">
        <v>3211</v>
      </c>
      <c r="K1397" s="139">
        <v>195570</v>
      </c>
    </row>
    <row r="1398" spans="1:11">
      <c r="A1398" s="1" t="str">
        <f t="shared" si="21"/>
        <v>15100-28605294-941500812199210</v>
      </c>
      <c r="B1398" s="136" t="s">
        <v>11163</v>
      </c>
      <c r="C1398" s="136" t="s">
        <v>11164</v>
      </c>
      <c r="D1398" s="132" t="s">
        <v>3420</v>
      </c>
      <c r="E1398" s="136" t="s">
        <v>3166</v>
      </c>
      <c r="F1398" s="136" t="s">
        <v>3166</v>
      </c>
      <c r="G1398" s="137">
        <v>1394394802001</v>
      </c>
      <c r="H1398" s="138" t="s">
        <v>6298</v>
      </c>
      <c r="I1398" s="136">
        <v>941500812</v>
      </c>
      <c r="J1398" s="131" t="s">
        <v>3211</v>
      </c>
      <c r="K1398" s="139">
        <v>199210</v>
      </c>
    </row>
    <row r="1399" spans="1:11">
      <c r="A1399" s="1" t="str">
        <f t="shared" si="21"/>
        <v>15100-39034395-951500557151305</v>
      </c>
      <c r="B1399" s="136" t="s">
        <v>4841</v>
      </c>
      <c r="C1399" s="136" t="s">
        <v>11165</v>
      </c>
      <c r="D1399" s="132" t="s">
        <v>3420</v>
      </c>
      <c r="E1399" s="136" t="s">
        <v>4880</v>
      </c>
      <c r="F1399" s="136" t="s">
        <v>4880</v>
      </c>
      <c r="G1399" s="137">
        <v>1395453118001</v>
      </c>
      <c r="H1399" s="138" t="s">
        <v>10802</v>
      </c>
      <c r="I1399" s="136">
        <v>951500557</v>
      </c>
      <c r="J1399" s="131" t="s">
        <v>4578</v>
      </c>
      <c r="K1399" s="139">
        <v>151305</v>
      </c>
    </row>
    <row r="1400" spans="1:11">
      <c r="A1400" s="1" t="str">
        <f t="shared" si="21"/>
        <v>15100-39347295-95150055776340</v>
      </c>
      <c r="B1400" s="136" t="s">
        <v>4842</v>
      </c>
      <c r="C1400" s="136" t="s">
        <v>11131</v>
      </c>
      <c r="D1400" s="132" t="s">
        <v>3420</v>
      </c>
      <c r="E1400" s="136" t="s">
        <v>4874</v>
      </c>
      <c r="F1400" s="136" t="s">
        <v>4874</v>
      </c>
      <c r="G1400" s="137">
        <v>1395453118001</v>
      </c>
      <c r="H1400" s="138" t="s">
        <v>10802</v>
      </c>
      <c r="I1400" s="136">
        <v>951500557</v>
      </c>
      <c r="J1400" s="131" t="s">
        <v>4578</v>
      </c>
      <c r="K1400" s="139">
        <v>76340</v>
      </c>
    </row>
    <row r="1401" spans="1:11">
      <c r="A1401" s="1" t="str">
        <f t="shared" si="21"/>
        <v>15100-34113995-951500284225980</v>
      </c>
      <c r="B1401" s="136" t="s">
        <v>3799</v>
      </c>
      <c r="C1401" s="136" t="s">
        <v>11166</v>
      </c>
      <c r="D1401" s="132" t="s">
        <v>3420</v>
      </c>
      <c r="E1401" s="136" t="s">
        <v>3831</v>
      </c>
      <c r="F1401" s="136" t="s">
        <v>3831</v>
      </c>
      <c r="G1401" s="137">
        <v>1395436005001</v>
      </c>
      <c r="H1401" s="138" t="s">
        <v>6298</v>
      </c>
      <c r="I1401" s="136">
        <v>951500284</v>
      </c>
      <c r="J1401" s="131" t="s">
        <v>3840</v>
      </c>
      <c r="K1401" s="139">
        <v>225980</v>
      </c>
    </row>
    <row r="1402" spans="1:11">
      <c r="A1402" s="1" t="str">
        <f t="shared" si="21"/>
        <v>15100-33006595-95150025845880</v>
      </c>
      <c r="B1402" s="136" t="s">
        <v>3598</v>
      </c>
      <c r="C1402" s="136" t="s">
        <v>11167</v>
      </c>
      <c r="D1402" s="132" t="s">
        <v>3420</v>
      </c>
      <c r="E1402" s="136" t="s">
        <v>10454</v>
      </c>
      <c r="F1402" s="136" t="s">
        <v>10454</v>
      </c>
      <c r="G1402" s="137">
        <v>1395435639001</v>
      </c>
      <c r="H1402" s="138" t="s">
        <v>6299</v>
      </c>
      <c r="I1402" s="136">
        <v>951500258</v>
      </c>
      <c r="J1402" s="131" t="s">
        <v>3645</v>
      </c>
      <c r="K1402" s="139">
        <v>45880</v>
      </c>
    </row>
    <row r="1403" spans="1:11">
      <c r="A1403" s="1" t="str">
        <f t="shared" si="21"/>
        <v>15100-25095994-941500783165580</v>
      </c>
      <c r="B1403" s="136" t="s">
        <v>11168</v>
      </c>
      <c r="C1403" s="136" t="s">
        <v>11169</v>
      </c>
      <c r="D1403" s="132" t="s">
        <v>3420</v>
      </c>
      <c r="E1403" s="136" t="s">
        <v>2615</v>
      </c>
      <c r="F1403" s="136" t="s">
        <v>2615</v>
      </c>
      <c r="G1403" s="137">
        <v>1394394178001</v>
      </c>
      <c r="H1403" s="138" t="s">
        <v>6298</v>
      </c>
      <c r="I1403" s="136">
        <v>941500783</v>
      </c>
      <c r="J1403" s="131" t="s">
        <v>2761</v>
      </c>
      <c r="K1403" s="139">
        <v>165580</v>
      </c>
    </row>
    <row r="1404" spans="1:11">
      <c r="A1404" s="1" t="str">
        <f t="shared" si="21"/>
        <v>15100-25095994-94150073674660</v>
      </c>
      <c r="B1404" s="136" t="s">
        <v>11168</v>
      </c>
      <c r="C1404" s="136" t="s">
        <v>11169</v>
      </c>
      <c r="D1404" s="132" t="s">
        <v>3420</v>
      </c>
      <c r="E1404" s="136" t="s">
        <v>2615</v>
      </c>
      <c r="F1404" s="136" t="s">
        <v>2615</v>
      </c>
      <c r="G1404" s="137">
        <v>1394392654001</v>
      </c>
      <c r="H1404" s="138" t="s">
        <v>6453</v>
      </c>
      <c r="I1404" s="136">
        <v>941500736</v>
      </c>
      <c r="J1404" s="131" t="s">
        <v>6846</v>
      </c>
      <c r="K1404" s="139">
        <v>74660</v>
      </c>
    </row>
    <row r="1405" spans="1:11">
      <c r="A1405" s="1" t="str">
        <f t="shared" si="21"/>
        <v>15100-25307894-94150077324190</v>
      </c>
      <c r="B1405" s="136" t="s">
        <v>11170</v>
      </c>
      <c r="C1405" s="136" t="s">
        <v>11171</v>
      </c>
      <c r="D1405" s="132" t="s">
        <v>3420</v>
      </c>
      <c r="E1405" s="136" t="s">
        <v>2611</v>
      </c>
      <c r="F1405" s="136" t="s">
        <v>2611</v>
      </c>
      <c r="G1405" s="137">
        <v>1394394178001</v>
      </c>
      <c r="H1405" s="138" t="s">
        <v>6298</v>
      </c>
      <c r="I1405" s="136">
        <v>941500773</v>
      </c>
      <c r="J1405" s="131" t="s">
        <v>2760</v>
      </c>
      <c r="K1405" s="139">
        <v>24190</v>
      </c>
    </row>
    <row r="1406" spans="1:11">
      <c r="A1406" s="1" t="str">
        <f t="shared" si="21"/>
        <v>15100-26814294-94150078361780</v>
      </c>
      <c r="B1406" s="136" t="s">
        <v>2817</v>
      </c>
      <c r="C1406" s="136" t="s">
        <v>11172</v>
      </c>
      <c r="D1406" s="132" t="s">
        <v>3420</v>
      </c>
      <c r="E1406" s="136" t="s">
        <v>2851</v>
      </c>
      <c r="F1406" s="136" t="s">
        <v>2851</v>
      </c>
      <c r="G1406" s="137">
        <v>1394394178001</v>
      </c>
      <c r="H1406" s="138" t="s">
        <v>6298</v>
      </c>
      <c r="I1406" s="136">
        <v>941500783</v>
      </c>
      <c r="J1406" s="131" t="s">
        <v>2761</v>
      </c>
      <c r="K1406" s="139">
        <v>61780</v>
      </c>
    </row>
    <row r="1407" spans="1:11">
      <c r="A1407" s="1" t="str">
        <f t="shared" si="21"/>
        <v>15100-26814294-941500835125750</v>
      </c>
      <c r="B1407" s="136" t="s">
        <v>2817</v>
      </c>
      <c r="C1407" s="136" t="s">
        <v>11172</v>
      </c>
      <c r="D1407" s="132" t="s">
        <v>3420</v>
      </c>
      <c r="E1407" s="136" t="s">
        <v>2851</v>
      </c>
      <c r="F1407" s="136" t="s">
        <v>2851</v>
      </c>
      <c r="G1407" s="137">
        <v>1394395844001</v>
      </c>
      <c r="H1407" s="138" t="s">
        <v>6298</v>
      </c>
      <c r="I1407" s="136">
        <v>941500835</v>
      </c>
      <c r="J1407" s="131" t="s">
        <v>2876</v>
      </c>
      <c r="K1407" s="139">
        <v>125750</v>
      </c>
    </row>
    <row r="1408" spans="1:11">
      <c r="A1408" s="1" t="str">
        <f t="shared" si="21"/>
        <v>15100-37018295-951500549190825</v>
      </c>
      <c r="B1408" s="136" t="s">
        <v>4382</v>
      </c>
      <c r="C1408" s="136" t="s">
        <v>11149</v>
      </c>
      <c r="D1408" s="132" t="s">
        <v>3420</v>
      </c>
      <c r="E1408" s="136" t="s">
        <v>4444</v>
      </c>
      <c r="F1408" s="136" t="s">
        <v>4444</v>
      </c>
      <c r="G1408" s="137">
        <v>1395456616001</v>
      </c>
      <c r="H1408" s="138" t="s">
        <v>6299</v>
      </c>
      <c r="I1408" s="136">
        <v>951500549</v>
      </c>
      <c r="J1408" s="131" t="s">
        <v>4452</v>
      </c>
      <c r="K1408" s="139">
        <v>190825</v>
      </c>
    </row>
    <row r="1409" spans="1:11">
      <c r="A1409" s="1" t="str">
        <f t="shared" si="21"/>
        <v>15100-37055995-95150054949335</v>
      </c>
      <c r="B1409" s="136" t="s">
        <v>4397</v>
      </c>
      <c r="C1409" s="136" t="s">
        <v>11173</v>
      </c>
      <c r="D1409" s="132" t="s">
        <v>3420</v>
      </c>
      <c r="E1409" s="136" t="s">
        <v>4442</v>
      </c>
      <c r="F1409" s="136" t="s">
        <v>4442</v>
      </c>
      <c r="G1409" s="137">
        <v>1395456616001</v>
      </c>
      <c r="H1409" s="138" t="s">
        <v>6299</v>
      </c>
      <c r="I1409" s="136">
        <v>951500549</v>
      </c>
      <c r="J1409" s="131" t="s">
        <v>4452</v>
      </c>
      <c r="K1409" s="139">
        <v>49335</v>
      </c>
    </row>
    <row r="1410" spans="1:11">
      <c r="A1410" s="1" t="str">
        <f t="shared" si="21"/>
        <v>50100-722833795-9515000414110</v>
      </c>
      <c r="B1410" s="136" t="s">
        <v>2959</v>
      </c>
      <c r="C1410" s="136" t="s">
        <v>11174</v>
      </c>
      <c r="D1410" s="132" t="s">
        <v>3420</v>
      </c>
      <c r="E1410" s="136" t="s">
        <v>2862</v>
      </c>
      <c r="F1410" s="136" t="s">
        <v>2862</v>
      </c>
      <c r="G1410" s="137">
        <v>1394395845001</v>
      </c>
      <c r="H1410" s="138" t="s">
        <v>6453</v>
      </c>
      <c r="I1410" s="136">
        <v>951500041</v>
      </c>
      <c r="J1410" s="131" t="s">
        <v>2803</v>
      </c>
      <c r="K1410" s="139">
        <v>4110</v>
      </c>
    </row>
    <row r="1411" spans="1:11">
      <c r="A1411" s="1" t="str">
        <f t="shared" ref="A1411:A1474" si="22">B1411&amp;J1411&amp;K1411</f>
        <v>50100-712872594-941500851498915</v>
      </c>
      <c r="B1411" s="136" t="s">
        <v>11175</v>
      </c>
      <c r="C1411" s="136" t="s">
        <v>11176</v>
      </c>
      <c r="D1411" s="132" t="s">
        <v>3420</v>
      </c>
      <c r="E1411" s="136" t="s">
        <v>2614</v>
      </c>
      <c r="F1411" s="136" t="s">
        <v>2614</v>
      </c>
      <c r="G1411" s="137">
        <v>1394395845001</v>
      </c>
      <c r="H1411" s="138" t="s">
        <v>6453</v>
      </c>
      <c r="I1411" s="136">
        <v>941500851</v>
      </c>
      <c r="J1411" s="131" t="s">
        <v>2657</v>
      </c>
      <c r="K1411" s="139">
        <v>498915</v>
      </c>
    </row>
    <row r="1412" spans="1:11">
      <c r="A1412" s="1" t="str">
        <f t="shared" si="22"/>
        <v>50100-726257795-952500006120062</v>
      </c>
      <c r="B1412" s="136" t="s">
        <v>2975</v>
      </c>
      <c r="C1412" s="136" t="s">
        <v>10842</v>
      </c>
      <c r="D1412" s="132" t="s">
        <v>3420</v>
      </c>
      <c r="E1412" s="136" t="s">
        <v>2867</v>
      </c>
      <c r="F1412" s="136" t="s">
        <v>2867</v>
      </c>
      <c r="G1412" s="137">
        <v>1395397987001</v>
      </c>
      <c r="H1412" s="138" t="s">
        <v>10183</v>
      </c>
      <c r="I1412" s="136">
        <v>952500006</v>
      </c>
      <c r="J1412" s="131" t="s">
        <v>3129</v>
      </c>
      <c r="K1412" s="139">
        <v>120062</v>
      </c>
    </row>
    <row r="1413" spans="1:11">
      <c r="A1413" s="1" t="str">
        <f t="shared" si="22"/>
        <v>50100-727320995-951500093496590</v>
      </c>
      <c r="B1413" s="136" t="s">
        <v>2999</v>
      </c>
      <c r="C1413" s="136" t="s">
        <v>11177</v>
      </c>
      <c r="D1413" s="132" t="s">
        <v>3420</v>
      </c>
      <c r="E1413" s="136" t="s">
        <v>2856</v>
      </c>
      <c r="F1413" s="136" t="s">
        <v>2856</v>
      </c>
      <c r="G1413" s="137">
        <v>1394395845001</v>
      </c>
      <c r="H1413" s="138" t="s">
        <v>6453</v>
      </c>
      <c r="I1413" s="136">
        <v>951500093</v>
      </c>
      <c r="J1413" s="131" t="s">
        <v>3113</v>
      </c>
      <c r="K1413" s="139">
        <v>496590</v>
      </c>
    </row>
    <row r="1414" spans="1:11">
      <c r="A1414" s="1" t="str">
        <f t="shared" si="22"/>
        <v>50100-718843395-95250000151932</v>
      </c>
      <c r="B1414" s="136" t="s">
        <v>2724</v>
      </c>
      <c r="C1414" s="136" t="s">
        <v>10863</v>
      </c>
      <c r="D1414" s="132" t="s">
        <v>3420</v>
      </c>
      <c r="E1414" s="136" t="s">
        <v>2752</v>
      </c>
      <c r="F1414" s="136" t="s">
        <v>2752</v>
      </c>
      <c r="G1414" s="137">
        <v>1394394801001</v>
      </c>
      <c r="H1414" s="138" t="s">
        <v>10183</v>
      </c>
      <c r="I1414" s="136">
        <v>952500001</v>
      </c>
      <c r="J1414" s="131" t="s">
        <v>2643</v>
      </c>
      <c r="K1414" s="139">
        <v>51932</v>
      </c>
    </row>
    <row r="1415" spans="1:11">
      <c r="A1415" s="1" t="str">
        <f t="shared" si="22"/>
        <v>50100-830995295-9541000291746663</v>
      </c>
      <c r="B1415" s="136" t="s">
        <v>4630</v>
      </c>
      <c r="C1415" s="136" t="s">
        <v>11178</v>
      </c>
      <c r="D1415" s="132" t="s">
        <v>3420</v>
      </c>
      <c r="E1415" s="136" t="s">
        <v>4661</v>
      </c>
      <c r="F1415" s="136" t="s">
        <v>4661</v>
      </c>
      <c r="G1415" s="137">
        <v>1395460645001</v>
      </c>
      <c r="H1415" s="138" t="s">
        <v>10183</v>
      </c>
      <c r="I1415" s="136">
        <v>954100029</v>
      </c>
      <c r="J1415" s="131" t="s">
        <v>4689</v>
      </c>
      <c r="K1415" s="139">
        <v>1746663</v>
      </c>
    </row>
    <row r="1416" spans="1:11">
      <c r="A1416" s="1" t="str">
        <f t="shared" si="22"/>
        <v>50100-843306895-951500567376945</v>
      </c>
      <c r="B1416" s="136" t="s">
        <v>4819</v>
      </c>
      <c r="C1416" s="136" t="s">
        <v>11179</v>
      </c>
      <c r="D1416" s="132" t="s">
        <v>3420</v>
      </c>
      <c r="E1416" s="136" t="s">
        <v>4872</v>
      </c>
      <c r="F1416" s="136" t="s">
        <v>4872</v>
      </c>
      <c r="G1416" s="137">
        <v>1395450759001</v>
      </c>
      <c r="H1416" s="138" t="s">
        <v>6454</v>
      </c>
      <c r="I1416" s="136">
        <v>951500567</v>
      </c>
      <c r="J1416" s="131" t="s">
        <v>4931</v>
      </c>
      <c r="K1416" s="139">
        <v>376945</v>
      </c>
    </row>
    <row r="1417" spans="1:11">
      <c r="A1417" s="1" t="str">
        <f t="shared" si="22"/>
        <v>50100-820683895-951500473500000</v>
      </c>
      <c r="B1417" s="136" t="s">
        <v>4424</v>
      </c>
      <c r="C1417" s="136" t="s">
        <v>11180</v>
      </c>
      <c r="D1417" s="132" t="s">
        <v>3420</v>
      </c>
      <c r="E1417" s="136" t="s">
        <v>4437</v>
      </c>
      <c r="F1417" s="136" t="s">
        <v>4437</v>
      </c>
      <c r="G1417" s="137">
        <v>1395441450001</v>
      </c>
      <c r="H1417" s="138" t="s">
        <v>6300</v>
      </c>
      <c r="I1417" s="136">
        <v>951500473</v>
      </c>
      <c r="J1417" s="131" t="s">
        <v>4188</v>
      </c>
      <c r="K1417" s="139">
        <v>500000</v>
      </c>
    </row>
    <row r="1418" spans="1:11">
      <c r="A1418" s="1" t="str">
        <f t="shared" si="22"/>
        <v>15100-32586395-95150003224900</v>
      </c>
      <c r="B1418" s="136" t="s">
        <v>3611</v>
      </c>
      <c r="C1418" s="136" t="s">
        <v>11181</v>
      </c>
      <c r="D1418" s="132" t="s">
        <v>3420</v>
      </c>
      <c r="E1418" s="136" t="s">
        <v>3577</v>
      </c>
      <c r="F1418" s="136" t="s">
        <v>3577</v>
      </c>
      <c r="G1418" s="137">
        <v>1395397985001</v>
      </c>
      <c r="H1418" s="138" t="s">
        <v>6298</v>
      </c>
      <c r="I1418" s="136">
        <v>951500032</v>
      </c>
      <c r="J1418" s="131" t="s">
        <v>3210</v>
      </c>
      <c r="K1418" s="139">
        <v>24900</v>
      </c>
    </row>
    <row r="1419" spans="1:11">
      <c r="A1419" s="1" t="str">
        <f t="shared" si="22"/>
        <v>15100-32586395-951500235179120</v>
      </c>
      <c r="B1419" s="136" t="s">
        <v>3611</v>
      </c>
      <c r="C1419" s="136" t="s">
        <v>11181</v>
      </c>
      <c r="D1419" s="132" t="s">
        <v>3420</v>
      </c>
      <c r="E1419" s="136" t="s">
        <v>3577</v>
      </c>
      <c r="F1419" s="136" t="s">
        <v>3577</v>
      </c>
      <c r="G1419" s="137">
        <v>1395421206001</v>
      </c>
      <c r="H1419" s="138" t="s">
        <v>6298</v>
      </c>
      <c r="I1419" s="136">
        <v>951500235</v>
      </c>
      <c r="J1419" s="131" t="s">
        <v>3655</v>
      </c>
      <c r="K1419" s="139">
        <v>179120</v>
      </c>
    </row>
    <row r="1420" spans="1:11">
      <c r="A1420" s="1" t="str">
        <f t="shared" si="22"/>
        <v>15100-26614394-941500809326560</v>
      </c>
      <c r="B1420" s="136" t="s">
        <v>10896</v>
      </c>
      <c r="C1420" s="136" t="s">
        <v>10897</v>
      </c>
      <c r="D1420" s="132" t="s">
        <v>3420</v>
      </c>
      <c r="E1420" s="136" t="s">
        <v>2864</v>
      </c>
      <c r="F1420" s="136" t="s">
        <v>2864</v>
      </c>
      <c r="G1420" s="137">
        <v>1394394802001</v>
      </c>
      <c r="H1420" s="138" t="s">
        <v>6298</v>
      </c>
      <c r="I1420" s="136">
        <v>941500809</v>
      </c>
      <c r="J1420" s="131" t="s">
        <v>2893</v>
      </c>
      <c r="K1420" s="139">
        <v>326560</v>
      </c>
    </row>
    <row r="1421" spans="1:11">
      <c r="A1421" s="1" t="str">
        <f t="shared" si="22"/>
        <v>15100-35948395-95150050248380</v>
      </c>
      <c r="B1421" s="136" t="s">
        <v>4317</v>
      </c>
      <c r="C1421" s="136" t="s">
        <v>10870</v>
      </c>
      <c r="D1421" s="132" t="s">
        <v>3420</v>
      </c>
      <c r="E1421" s="136" t="s">
        <v>4342</v>
      </c>
      <c r="F1421" s="141" t="s">
        <v>4342</v>
      </c>
      <c r="G1421" s="137">
        <v>1395449894001</v>
      </c>
      <c r="H1421" s="140" t="s">
        <v>8845</v>
      </c>
      <c r="I1421" s="141">
        <v>951500502</v>
      </c>
      <c r="J1421" s="131" t="s">
        <v>4272</v>
      </c>
      <c r="K1421" s="142">
        <v>48380</v>
      </c>
    </row>
    <row r="1422" spans="1:11">
      <c r="A1422" s="1" t="str">
        <f t="shared" si="22"/>
        <v>15100-35102595-951500420122040</v>
      </c>
      <c r="B1422" s="136" t="s">
        <v>4130</v>
      </c>
      <c r="C1422" s="136" t="s">
        <v>11182</v>
      </c>
      <c r="D1422" s="132" t="s">
        <v>3420</v>
      </c>
      <c r="E1422" s="136" t="s">
        <v>3934</v>
      </c>
      <c r="F1422" s="136" t="s">
        <v>3934</v>
      </c>
      <c r="G1422" s="137">
        <v>1395441446001</v>
      </c>
      <c r="H1422" s="138" t="s">
        <v>6299</v>
      </c>
      <c r="I1422" s="136">
        <v>951500420</v>
      </c>
      <c r="J1422" s="131" t="s">
        <v>3978</v>
      </c>
      <c r="K1422" s="139">
        <v>122040</v>
      </c>
    </row>
    <row r="1423" spans="1:11">
      <c r="A1423" s="1" t="str">
        <f t="shared" si="22"/>
        <v>15100-35841195-95150050266820</v>
      </c>
      <c r="B1423" s="136" t="s">
        <v>4129</v>
      </c>
      <c r="C1423" s="136" t="s">
        <v>11183</v>
      </c>
      <c r="D1423" s="132" t="s">
        <v>3420</v>
      </c>
      <c r="E1423" s="136" t="s">
        <v>4185</v>
      </c>
      <c r="F1423" s="141" t="s">
        <v>4185</v>
      </c>
      <c r="G1423" s="137">
        <v>1395449894001</v>
      </c>
      <c r="H1423" s="140" t="s">
        <v>8845</v>
      </c>
      <c r="I1423" s="141">
        <v>951500502</v>
      </c>
      <c r="J1423" s="131" t="s">
        <v>4272</v>
      </c>
      <c r="K1423" s="142">
        <v>66820</v>
      </c>
    </row>
    <row r="1424" spans="1:11">
      <c r="A1424" s="1" t="str">
        <f t="shared" si="22"/>
        <v>15100-35841195-95150042548560</v>
      </c>
      <c r="B1424" s="136" t="s">
        <v>4129</v>
      </c>
      <c r="C1424" s="136" t="s">
        <v>11183</v>
      </c>
      <c r="D1424" s="132" t="s">
        <v>3420</v>
      </c>
      <c r="E1424" s="136" t="s">
        <v>4185</v>
      </c>
      <c r="F1424" s="136" t="s">
        <v>4185</v>
      </c>
      <c r="G1424" s="137">
        <v>1395447925001</v>
      </c>
      <c r="H1424" s="138" t="s">
        <v>6298</v>
      </c>
      <c r="I1424" s="136">
        <v>951500425</v>
      </c>
      <c r="J1424" s="131" t="s">
        <v>4270</v>
      </c>
      <c r="K1424" s="139">
        <v>48560</v>
      </c>
    </row>
    <row r="1425" spans="1:11">
      <c r="A1425" s="1" t="str">
        <f t="shared" si="22"/>
        <v>50100-833850395-951500472199320</v>
      </c>
      <c r="B1425" s="136" t="s">
        <v>4629</v>
      </c>
      <c r="C1425" s="136" t="s">
        <v>10544</v>
      </c>
      <c r="D1425" s="132" t="s">
        <v>3420</v>
      </c>
      <c r="E1425" s="136" t="s">
        <v>4658</v>
      </c>
      <c r="F1425" s="136" t="s">
        <v>4658</v>
      </c>
      <c r="G1425" s="137">
        <v>1395449236001</v>
      </c>
      <c r="H1425" s="138" t="s">
        <v>6298</v>
      </c>
      <c r="I1425" s="136">
        <v>951500472</v>
      </c>
      <c r="J1425" s="131" t="s">
        <v>4687</v>
      </c>
      <c r="K1425" s="139">
        <v>199320</v>
      </c>
    </row>
    <row r="1426" spans="1:11">
      <c r="A1426" s="1" t="str">
        <f t="shared" si="22"/>
        <v>15100-25261994-94150071623800</v>
      </c>
      <c r="B1426" s="136" t="s">
        <v>11184</v>
      </c>
      <c r="C1426" s="136" t="s">
        <v>11185</v>
      </c>
      <c r="D1426" s="132" t="s">
        <v>3420</v>
      </c>
      <c r="E1426" s="136" t="s">
        <v>2614</v>
      </c>
      <c r="F1426" s="136" t="s">
        <v>2614</v>
      </c>
      <c r="G1426" s="137">
        <v>1394392935001</v>
      </c>
      <c r="H1426" s="138" t="s">
        <v>6298</v>
      </c>
      <c r="I1426" s="136">
        <v>941500716</v>
      </c>
      <c r="J1426" s="131" t="s">
        <v>2767</v>
      </c>
      <c r="K1426" s="139">
        <v>23800</v>
      </c>
    </row>
    <row r="1427" spans="1:11">
      <c r="A1427" s="1" t="str">
        <f t="shared" si="22"/>
        <v>15100-26814295-95150001348340</v>
      </c>
      <c r="B1427" s="136" t="s">
        <v>2817</v>
      </c>
      <c r="C1427" s="136" t="s">
        <v>11172</v>
      </c>
      <c r="D1427" s="132" t="s">
        <v>3420</v>
      </c>
      <c r="E1427" s="136" t="s">
        <v>2851</v>
      </c>
      <c r="F1427" s="136" t="s">
        <v>2851</v>
      </c>
      <c r="G1427" s="137">
        <v>1394394801001</v>
      </c>
      <c r="H1427" s="138" t="s">
        <v>10183</v>
      </c>
      <c r="I1427" s="136">
        <v>951500013</v>
      </c>
      <c r="J1427" s="131" t="s">
        <v>2773</v>
      </c>
      <c r="K1427" s="139">
        <v>48340</v>
      </c>
    </row>
    <row r="1428" spans="1:11">
      <c r="A1428" s="1" t="str">
        <f t="shared" si="22"/>
        <v>50100-784325095-951500248207260</v>
      </c>
      <c r="B1428" s="136" t="s">
        <v>3687</v>
      </c>
      <c r="C1428" s="136" t="s">
        <v>11186</v>
      </c>
      <c r="D1428" s="132" t="s">
        <v>3420</v>
      </c>
      <c r="E1428" s="136" t="s">
        <v>3665</v>
      </c>
      <c r="F1428" s="136" t="s">
        <v>3665</v>
      </c>
      <c r="G1428" s="137">
        <v>1395426988001</v>
      </c>
      <c r="H1428" s="138" t="s">
        <v>6300</v>
      </c>
      <c r="I1428" s="136">
        <v>951500248</v>
      </c>
      <c r="J1428" s="131" t="s">
        <v>3674</v>
      </c>
      <c r="K1428" s="139">
        <v>207260</v>
      </c>
    </row>
    <row r="1429" spans="1:11">
      <c r="A1429" s="1" t="str">
        <f t="shared" si="22"/>
        <v>50100-717345495-951500030900000</v>
      </c>
      <c r="B1429" s="136" t="s">
        <v>2728</v>
      </c>
      <c r="C1429" s="136" t="s">
        <v>11187</v>
      </c>
      <c r="D1429" s="132" t="s">
        <v>3420</v>
      </c>
      <c r="E1429" s="136" t="s">
        <v>2750</v>
      </c>
      <c r="F1429" s="136" t="s">
        <v>2750</v>
      </c>
      <c r="G1429" s="137">
        <v>1395397985001</v>
      </c>
      <c r="H1429" s="138" t="s">
        <v>6298</v>
      </c>
      <c r="I1429" s="136">
        <v>951500030</v>
      </c>
      <c r="J1429" s="131" t="s">
        <v>2785</v>
      </c>
      <c r="K1429" s="139">
        <v>900000</v>
      </c>
    </row>
    <row r="1430" spans="1:11">
      <c r="A1430" s="1" t="str">
        <f t="shared" si="22"/>
        <v>15100-26814294-94150074950000</v>
      </c>
      <c r="B1430" s="136" t="s">
        <v>2817</v>
      </c>
      <c r="C1430" s="136" t="s">
        <v>11172</v>
      </c>
      <c r="D1430" s="132" t="s">
        <v>3420</v>
      </c>
      <c r="E1430" s="136" t="s">
        <v>2851</v>
      </c>
      <c r="F1430" s="136" t="s">
        <v>2851</v>
      </c>
      <c r="G1430" s="137">
        <v>1394392654001</v>
      </c>
      <c r="H1430" s="138" t="s">
        <v>6453</v>
      </c>
      <c r="I1430" s="136">
        <v>941500749</v>
      </c>
      <c r="J1430" s="131" t="s">
        <v>6847</v>
      </c>
      <c r="K1430" s="139">
        <v>50000</v>
      </c>
    </row>
    <row r="1431" spans="1:11">
      <c r="A1431" s="1" t="str">
        <f t="shared" si="22"/>
        <v>50100-784325095-951500240500000</v>
      </c>
      <c r="B1431" s="136" t="s">
        <v>3687</v>
      </c>
      <c r="C1431" s="136" t="s">
        <v>11186</v>
      </c>
      <c r="D1431" s="132" t="s">
        <v>3420</v>
      </c>
      <c r="E1431" s="136" t="s">
        <v>3665</v>
      </c>
      <c r="F1431" s="136" t="s">
        <v>3665</v>
      </c>
      <c r="G1431" s="137">
        <v>1395426988001</v>
      </c>
      <c r="H1431" s="138" t="s">
        <v>6300</v>
      </c>
      <c r="I1431" s="136">
        <v>951500240</v>
      </c>
      <c r="J1431" s="131" t="s">
        <v>3673</v>
      </c>
      <c r="K1431" s="139">
        <v>500000</v>
      </c>
    </row>
    <row r="1432" spans="1:11">
      <c r="A1432" s="1" t="str">
        <f t="shared" si="22"/>
        <v>50100-717477495-951500008696100</v>
      </c>
      <c r="B1432" s="136" t="s">
        <v>2729</v>
      </c>
      <c r="C1432" s="136" t="s">
        <v>11188</v>
      </c>
      <c r="D1432" s="132" t="s">
        <v>3420</v>
      </c>
      <c r="E1432" s="136" t="s">
        <v>2750</v>
      </c>
      <c r="F1432" s="136" t="s">
        <v>2750</v>
      </c>
      <c r="G1432" s="137">
        <v>1394395845001</v>
      </c>
      <c r="H1432" s="138" t="s">
        <v>6453</v>
      </c>
      <c r="I1432" s="136">
        <v>951500008</v>
      </c>
      <c r="J1432" s="131" t="s">
        <v>2794</v>
      </c>
      <c r="K1432" s="139">
        <v>696100</v>
      </c>
    </row>
    <row r="1433" spans="1:11">
      <c r="A1433" s="1" t="str">
        <f t="shared" si="22"/>
        <v>50100-719947595-9541000032794634</v>
      </c>
      <c r="B1433" s="136" t="s">
        <v>2748</v>
      </c>
      <c r="C1433" s="136" t="s">
        <v>11189</v>
      </c>
      <c r="D1433" s="132" t="s">
        <v>3420</v>
      </c>
      <c r="E1433" s="136" t="s">
        <v>2755</v>
      </c>
      <c r="F1433" s="136" t="s">
        <v>2755</v>
      </c>
      <c r="G1433" s="137">
        <v>1395397988001</v>
      </c>
      <c r="H1433" s="138" t="s">
        <v>10183</v>
      </c>
      <c r="I1433" s="136">
        <v>954100003</v>
      </c>
      <c r="J1433" s="131" t="s">
        <v>2815</v>
      </c>
      <c r="K1433" s="139">
        <v>2794634</v>
      </c>
    </row>
    <row r="1434" spans="1:11">
      <c r="A1434" s="1" t="str">
        <f t="shared" si="22"/>
        <v>50100-722337695-952500004417854</v>
      </c>
      <c r="B1434" s="136" t="s">
        <v>2964</v>
      </c>
      <c r="C1434" s="136" t="s">
        <v>11190</v>
      </c>
      <c r="D1434" s="132" t="s">
        <v>3420</v>
      </c>
      <c r="E1434" s="136" t="s">
        <v>2861</v>
      </c>
      <c r="F1434" s="136" t="s">
        <v>2861</v>
      </c>
      <c r="G1434" s="137">
        <v>1394394801001</v>
      </c>
      <c r="H1434" s="138" t="s">
        <v>10183</v>
      </c>
      <c r="I1434" s="136">
        <v>952500004</v>
      </c>
      <c r="J1434" s="131" t="s">
        <v>3117</v>
      </c>
      <c r="K1434" s="139">
        <v>417854</v>
      </c>
    </row>
    <row r="1435" spans="1:11">
      <c r="A1435" s="1" t="str">
        <f t="shared" si="22"/>
        <v>50100-723443395-952500004486676</v>
      </c>
      <c r="B1435" s="136" t="s">
        <v>2981</v>
      </c>
      <c r="C1435" s="136" t="s">
        <v>11191</v>
      </c>
      <c r="D1435" s="132" t="s">
        <v>3420</v>
      </c>
      <c r="E1435" s="136" t="s">
        <v>2854</v>
      </c>
      <c r="F1435" s="136" t="s">
        <v>2854</v>
      </c>
      <c r="G1435" s="137">
        <v>1394394801001</v>
      </c>
      <c r="H1435" s="138" t="s">
        <v>10183</v>
      </c>
      <c r="I1435" s="136">
        <v>952500004</v>
      </c>
      <c r="J1435" s="131" t="s">
        <v>3117</v>
      </c>
      <c r="K1435" s="139">
        <v>486676</v>
      </c>
    </row>
    <row r="1436" spans="1:11">
      <c r="A1436" s="1" t="str">
        <f t="shared" si="22"/>
        <v>50100-712900795-9515000021497000</v>
      </c>
      <c r="B1436" s="136" t="s">
        <v>2596</v>
      </c>
      <c r="C1436" s="136" t="s">
        <v>11192</v>
      </c>
      <c r="D1436" s="132" t="s">
        <v>3420</v>
      </c>
      <c r="E1436" s="136" t="s">
        <v>2614</v>
      </c>
      <c r="F1436" s="136" t="s">
        <v>2614</v>
      </c>
      <c r="G1436" s="137">
        <v>1394394801001</v>
      </c>
      <c r="H1436" s="138" t="s">
        <v>10183</v>
      </c>
      <c r="I1436" s="136">
        <v>951500002</v>
      </c>
      <c r="J1436" s="131" t="s">
        <v>2648</v>
      </c>
      <c r="K1436" s="139">
        <v>1497000</v>
      </c>
    </row>
    <row r="1437" spans="1:11">
      <c r="A1437" s="1" t="str">
        <f t="shared" si="22"/>
        <v>15100-25874794-941500832184050</v>
      </c>
      <c r="B1437" s="136" t="s">
        <v>11193</v>
      </c>
      <c r="C1437" s="136" t="s">
        <v>11194</v>
      </c>
      <c r="D1437" s="132" t="s">
        <v>3420</v>
      </c>
      <c r="E1437" s="136" t="s">
        <v>2752</v>
      </c>
      <c r="F1437" s="136" t="s">
        <v>2752</v>
      </c>
      <c r="G1437" s="137">
        <v>1394395844001</v>
      </c>
      <c r="H1437" s="138" t="s">
        <v>6298</v>
      </c>
      <c r="I1437" s="136">
        <v>941500832</v>
      </c>
      <c r="J1437" s="131" t="s">
        <v>2764</v>
      </c>
      <c r="K1437" s="139">
        <v>184050</v>
      </c>
    </row>
    <row r="1438" spans="1:11">
      <c r="A1438" s="1" t="str">
        <f t="shared" si="22"/>
        <v>15100-31767795-95150005871160</v>
      </c>
      <c r="B1438" s="136" t="s">
        <v>3427</v>
      </c>
      <c r="C1438" s="136" t="s">
        <v>11195</v>
      </c>
      <c r="D1438" s="132" t="s">
        <v>3420</v>
      </c>
      <c r="E1438" s="136" t="s">
        <v>3455</v>
      </c>
      <c r="F1438" s="136" t="s">
        <v>3455</v>
      </c>
      <c r="G1438" s="137">
        <v>1394395845001</v>
      </c>
      <c r="H1438" s="138" t="s">
        <v>6453</v>
      </c>
      <c r="I1438" s="136">
        <v>951500058</v>
      </c>
      <c r="J1438" s="131" t="s">
        <v>3382</v>
      </c>
      <c r="K1438" s="139">
        <v>71160</v>
      </c>
    </row>
    <row r="1439" spans="1:11">
      <c r="A1439" s="1" t="str">
        <f t="shared" si="22"/>
        <v>15100-26976495-95150009891050</v>
      </c>
      <c r="B1439" s="136" t="s">
        <v>2841</v>
      </c>
      <c r="C1439" s="136" t="s">
        <v>11196</v>
      </c>
      <c r="D1439" s="132" t="s">
        <v>3420</v>
      </c>
      <c r="E1439" s="136" t="s">
        <v>2852</v>
      </c>
      <c r="F1439" s="136" t="s">
        <v>2852</v>
      </c>
      <c r="G1439" s="137">
        <v>1395397985001</v>
      </c>
      <c r="H1439" s="138" t="s">
        <v>6298</v>
      </c>
      <c r="I1439" s="136">
        <v>951500098</v>
      </c>
      <c r="J1439" s="131" t="s">
        <v>2881</v>
      </c>
      <c r="K1439" s="139">
        <v>91050</v>
      </c>
    </row>
    <row r="1440" spans="1:11">
      <c r="A1440" s="1" t="str">
        <f t="shared" si="22"/>
        <v>15100-27141995-95150009870130</v>
      </c>
      <c r="B1440" s="136" t="s">
        <v>2842</v>
      </c>
      <c r="C1440" s="136" t="s">
        <v>11197</v>
      </c>
      <c r="D1440" s="132" t="s">
        <v>3420</v>
      </c>
      <c r="E1440" s="136" t="s">
        <v>2865</v>
      </c>
      <c r="F1440" s="136" t="s">
        <v>2865</v>
      </c>
      <c r="G1440" s="137">
        <v>1395397985001</v>
      </c>
      <c r="H1440" s="138" t="s">
        <v>6298</v>
      </c>
      <c r="I1440" s="136">
        <v>951500098</v>
      </c>
      <c r="J1440" s="131" t="s">
        <v>2881</v>
      </c>
      <c r="K1440" s="139">
        <v>70130</v>
      </c>
    </row>
    <row r="1441" spans="1:11">
      <c r="A1441" s="1" t="str">
        <f t="shared" si="22"/>
        <v>15100-32491195-95150005875390</v>
      </c>
      <c r="B1441" s="136" t="s">
        <v>3550</v>
      </c>
      <c r="C1441" s="136" t="s">
        <v>11198</v>
      </c>
      <c r="D1441" s="132" t="s">
        <v>3420</v>
      </c>
      <c r="E1441" s="136" t="s">
        <v>3555</v>
      </c>
      <c r="F1441" s="136" t="s">
        <v>3555</v>
      </c>
      <c r="G1441" s="137">
        <v>1394395845001</v>
      </c>
      <c r="H1441" s="138" t="s">
        <v>6453</v>
      </c>
      <c r="I1441" s="136">
        <v>951500058</v>
      </c>
      <c r="J1441" s="131" t="s">
        <v>3382</v>
      </c>
      <c r="K1441" s="139">
        <v>75390</v>
      </c>
    </row>
    <row r="1442" spans="1:11">
      <c r="A1442" s="1" t="str">
        <f t="shared" si="22"/>
        <v>15100-26614394-941500820372820</v>
      </c>
      <c r="B1442" s="136" t="s">
        <v>10896</v>
      </c>
      <c r="C1442" s="136" t="s">
        <v>10897</v>
      </c>
      <c r="D1442" s="132" t="s">
        <v>3420</v>
      </c>
      <c r="E1442" s="136" t="s">
        <v>2864</v>
      </c>
      <c r="F1442" s="136" t="s">
        <v>2864</v>
      </c>
      <c r="G1442" s="137">
        <v>1394394802001</v>
      </c>
      <c r="H1442" s="138" t="s">
        <v>6298</v>
      </c>
      <c r="I1442" s="136">
        <v>941500820</v>
      </c>
      <c r="J1442" s="131" t="s">
        <v>2892</v>
      </c>
      <c r="K1442" s="139">
        <v>372820</v>
      </c>
    </row>
    <row r="1443" spans="1:11">
      <c r="A1443" s="1" t="str">
        <f t="shared" si="22"/>
        <v>15100-35102595-951500400144200</v>
      </c>
      <c r="B1443" s="136" t="s">
        <v>4130</v>
      </c>
      <c r="C1443" s="136" t="s">
        <v>11182</v>
      </c>
      <c r="D1443" s="132" t="s">
        <v>3420</v>
      </c>
      <c r="E1443" s="136" t="s">
        <v>3934</v>
      </c>
      <c r="F1443" s="136" t="s">
        <v>3934</v>
      </c>
      <c r="G1443" s="137">
        <v>1395445412001</v>
      </c>
      <c r="H1443" s="138" t="s">
        <v>6298</v>
      </c>
      <c r="I1443" s="136">
        <v>951500400</v>
      </c>
      <c r="J1443" s="131" t="s">
        <v>4281</v>
      </c>
      <c r="K1443" s="139">
        <v>144200</v>
      </c>
    </row>
    <row r="1444" spans="1:11">
      <c r="A1444" s="1" t="str">
        <f t="shared" si="22"/>
        <v>15100-35100795-951500404173545</v>
      </c>
      <c r="B1444" s="136" t="s">
        <v>4132</v>
      </c>
      <c r="C1444" s="136" t="s">
        <v>11199</v>
      </c>
      <c r="D1444" s="132" t="s">
        <v>3420</v>
      </c>
      <c r="E1444" s="136" t="s">
        <v>3934</v>
      </c>
      <c r="F1444" s="136" t="s">
        <v>3934</v>
      </c>
      <c r="G1444" s="137">
        <v>1395445412001</v>
      </c>
      <c r="H1444" s="138" t="s">
        <v>6298</v>
      </c>
      <c r="I1444" s="136">
        <v>951500404</v>
      </c>
      <c r="J1444" s="131" t="s">
        <v>4265</v>
      </c>
      <c r="K1444" s="139">
        <v>173545</v>
      </c>
    </row>
    <row r="1445" spans="1:11">
      <c r="A1445" s="1" t="str">
        <f t="shared" si="22"/>
        <v>15100-35354695-9515003745830</v>
      </c>
      <c r="B1445" s="136" t="s">
        <v>4124</v>
      </c>
      <c r="C1445" s="136" t="s">
        <v>10924</v>
      </c>
      <c r="D1445" s="132" t="s">
        <v>3420</v>
      </c>
      <c r="E1445" s="136" t="s">
        <v>4186</v>
      </c>
      <c r="F1445" s="136" t="s">
        <v>4186</v>
      </c>
      <c r="G1445" s="137">
        <v>1395435643001</v>
      </c>
      <c r="H1445" s="138" t="s">
        <v>6300</v>
      </c>
      <c r="I1445" s="136">
        <v>951500374</v>
      </c>
      <c r="J1445" s="131" t="s">
        <v>4292</v>
      </c>
      <c r="K1445" s="139">
        <v>5830</v>
      </c>
    </row>
    <row r="1446" spans="1:11">
      <c r="A1446" s="1" t="str">
        <f t="shared" si="22"/>
        <v>15100-35354695-951500426346910</v>
      </c>
      <c r="B1446" s="136" t="s">
        <v>4124</v>
      </c>
      <c r="C1446" s="136" t="s">
        <v>10924</v>
      </c>
      <c r="D1446" s="132" t="s">
        <v>3420</v>
      </c>
      <c r="E1446" s="136" t="s">
        <v>4186</v>
      </c>
      <c r="F1446" s="136" t="s">
        <v>4186</v>
      </c>
      <c r="G1446" s="137">
        <v>1395447925001</v>
      </c>
      <c r="H1446" s="138" t="s">
        <v>6298</v>
      </c>
      <c r="I1446" s="136">
        <v>951500426</v>
      </c>
      <c r="J1446" s="131" t="s">
        <v>4280</v>
      </c>
      <c r="K1446" s="139">
        <v>346910</v>
      </c>
    </row>
    <row r="1447" spans="1:11">
      <c r="A1447" s="1" t="str">
        <f t="shared" si="22"/>
        <v>15100-35354695-95150038924755</v>
      </c>
      <c r="B1447" s="136" t="s">
        <v>4124</v>
      </c>
      <c r="C1447" s="136" t="s">
        <v>10924</v>
      </c>
      <c r="D1447" s="132" t="s">
        <v>3420</v>
      </c>
      <c r="E1447" s="136" t="s">
        <v>4186</v>
      </c>
      <c r="F1447" s="136" t="s">
        <v>4186</v>
      </c>
      <c r="G1447" s="137">
        <v>1395437982001</v>
      </c>
      <c r="H1447" s="138" t="s">
        <v>6300</v>
      </c>
      <c r="I1447" s="136">
        <v>951500389</v>
      </c>
      <c r="J1447" s="131" t="s">
        <v>4273</v>
      </c>
      <c r="K1447" s="139">
        <v>24755</v>
      </c>
    </row>
    <row r="1448" spans="1:11">
      <c r="A1448" s="1" t="str">
        <f t="shared" si="22"/>
        <v>15100-34229395-951500323114300</v>
      </c>
      <c r="B1448" s="136" t="s">
        <v>3781</v>
      </c>
      <c r="C1448" s="136" t="s">
        <v>10871</v>
      </c>
      <c r="D1448" s="132" t="s">
        <v>3420</v>
      </c>
      <c r="E1448" s="136" t="s">
        <v>3824</v>
      </c>
      <c r="F1448" s="136" t="s">
        <v>3824</v>
      </c>
      <c r="G1448" s="137">
        <v>1395438159001</v>
      </c>
      <c r="H1448" s="138" t="s">
        <v>6298</v>
      </c>
      <c r="I1448" s="136">
        <v>951500323</v>
      </c>
      <c r="J1448" s="131" t="s">
        <v>3843</v>
      </c>
      <c r="K1448" s="139">
        <v>114300</v>
      </c>
    </row>
    <row r="1449" spans="1:11">
      <c r="A1449" s="1" t="str">
        <f t="shared" si="22"/>
        <v>15100-37851995-95150057223180</v>
      </c>
      <c r="B1449" s="136" t="s">
        <v>4653</v>
      </c>
      <c r="C1449" s="136" t="s">
        <v>10913</v>
      </c>
      <c r="D1449" s="132" t="s">
        <v>3420</v>
      </c>
      <c r="E1449" s="136" t="s">
        <v>4666</v>
      </c>
      <c r="F1449" s="136" t="s">
        <v>4666</v>
      </c>
      <c r="G1449" s="137">
        <v>1395455038001</v>
      </c>
      <c r="H1449" s="138" t="s">
        <v>6298</v>
      </c>
      <c r="I1449" s="136">
        <v>951500572</v>
      </c>
      <c r="J1449" s="131" t="s">
        <v>4702</v>
      </c>
      <c r="K1449" s="139">
        <v>23180</v>
      </c>
    </row>
    <row r="1450" spans="1:11">
      <c r="A1450" s="1" t="str">
        <f t="shared" si="22"/>
        <v>15100-33006595-951500254191040</v>
      </c>
      <c r="B1450" s="136" t="s">
        <v>3598</v>
      </c>
      <c r="C1450" s="136" t="s">
        <v>11167</v>
      </c>
      <c r="D1450" s="132" t="s">
        <v>3420</v>
      </c>
      <c r="E1450" s="136" t="s">
        <v>10454</v>
      </c>
      <c r="F1450" s="136" t="s">
        <v>10454</v>
      </c>
      <c r="G1450" s="137">
        <v>1395427836001</v>
      </c>
      <c r="H1450" s="138" t="s">
        <v>6298</v>
      </c>
      <c r="I1450" s="136">
        <v>951500254</v>
      </c>
      <c r="J1450" s="131" t="s">
        <v>3647</v>
      </c>
      <c r="K1450" s="139">
        <v>191040</v>
      </c>
    </row>
    <row r="1451" spans="1:11">
      <c r="A1451" s="1" t="str">
        <f t="shared" si="22"/>
        <v>15100-25509894-941500832237800</v>
      </c>
      <c r="B1451" s="136" t="s">
        <v>11200</v>
      </c>
      <c r="C1451" s="136" t="s">
        <v>11201</v>
      </c>
      <c r="D1451" s="132" t="s">
        <v>3420</v>
      </c>
      <c r="E1451" s="136" t="s">
        <v>2609</v>
      </c>
      <c r="F1451" s="136" t="s">
        <v>2609</v>
      </c>
      <c r="G1451" s="137">
        <v>1394395844001</v>
      </c>
      <c r="H1451" s="138" t="s">
        <v>6298</v>
      </c>
      <c r="I1451" s="136">
        <v>941500832</v>
      </c>
      <c r="J1451" s="131" t="s">
        <v>2764</v>
      </c>
      <c r="K1451" s="139">
        <v>237800</v>
      </c>
    </row>
    <row r="1452" spans="1:11">
      <c r="A1452" s="1" t="str">
        <f t="shared" si="22"/>
        <v>15100-39168695-95150051794600</v>
      </c>
      <c r="B1452" s="136" t="s">
        <v>4836</v>
      </c>
      <c r="C1452" s="136" t="s">
        <v>11202</v>
      </c>
      <c r="D1452" s="132" t="s">
        <v>3420</v>
      </c>
      <c r="E1452" s="136" t="s">
        <v>4877</v>
      </c>
      <c r="F1452" s="136" t="s">
        <v>4877</v>
      </c>
      <c r="G1452" s="137">
        <v>1395451400001</v>
      </c>
      <c r="H1452" s="138" t="s">
        <v>6454</v>
      </c>
      <c r="I1452" s="136">
        <v>951500517</v>
      </c>
      <c r="J1452" s="131" t="s">
        <v>4955</v>
      </c>
      <c r="K1452" s="139">
        <v>94600</v>
      </c>
    </row>
    <row r="1453" spans="1:11">
      <c r="A1453" s="1" t="str">
        <f t="shared" si="22"/>
        <v>15100-37055995-9515003742825</v>
      </c>
      <c r="B1453" s="136" t="s">
        <v>4397</v>
      </c>
      <c r="C1453" s="136" t="s">
        <v>11173</v>
      </c>
      <c r="D1453" s="132" t="s">
        <v>3420</v>
      </c>
      <c r="E1453" s="136" t="s">
        <v>4442</v>
      </c>
      <c r="F1453" s="136" t="s">
        <v>4442</v>
      </c>
      <c r="G1453" s="137">
        <v>1395435643001</v>
      </c>
      <c r="H1453" s="138" t="s">
        <v>6300</v>
      </c>
      <c r="I1453" s="136">
        <v>951500374</v>
      </c>
      <c r="J1453" s="131" t="s">
        <v>4292</v>
      </c>
      <c r="K1453" s="139">
        <v>2825</v>
      </c>
    </row>
    <row r="1454" spans="1:11">
      <c r="A1454" s="1" t="str">
        <f t="shared" si="22"/>
        <v>15100-26814294-941500759102380</v>
      </c>
      <c r="B1454" s="136" t="s">
        <v>2817</v>
      </c>
      <c r="C1454" s="136" t="s">
        <v>11172</v>
      </c>
      <c r="D1454" s="132" t="s">
        <v>3420</v>
      </c>
      <c r="E1454" s="136" t="s">
        <v>2851</v>
      </c>
      <c r="F1454" s="136" t="s">
        <v>2851</v>
      </c>
      <c r="G1454" s="137">
        <v>1394394178001</v>
      </c>
      <c r="H1454" s="138" t="s">
        <v>6298</v>
      </c>
      <c r="I1454" s="136">
        <v>941500759</v>
      </c>
      <c r="J1454" s="131" t="s">
        <v>2571</v>
      </c>
      <c r="K1454" s="139">
        <v>102380</v>
      </c>
    </row>
    <row r="1455" spans="1:11">
      <c r="A1455" s="1" t="str">
        <f t="shared" si="22"/>
        <v>15100-26814294-94150074424440</v>
      </c>
      <c r="B1455" s="136" t="s">
        <v>2817</v>
      </c>
      <c r="C1455" s="136" t="s">
        <v>11172</v>
      </c>
      <c r="D1455" s="132" t="s">
        <v>3420</v>
      </c>
      <c r="E1455" s="136" t="s">
        <v>2851</v>
      </c>
      <c r="F1455" s="136" t="s">
        <v>2851</v>
      </c>
      <c r="G1455" s="137">
        <v>1394392654001</v>
      </c>
      <c r="H1455" s="138" t="s">
        <v>6453</v>
      </c>
      <c r="I1455" s="136">
        <v>941500744</v>
      </c>
      <c r="J1455" s="131" t="s">
        <v>6876</v>
      </c>
      <c r="K1455" s="139">
        <v>24440</v>
      </c>
    </row>
    <row r="1456" spans="1:11">
      <c r="A1456" s="1" t="str">
        <f t="shared" si="22"/>
        <v>50100-722833795-951500067294367</v>
      </c>
      <c r="B1456" s="136" t="s">
        <v>2959</v>
      </c>
      <c r="C1456" s="136" t="s">
        <v>11174</v>
      </c>
      <c r="D1456" s="132" t="s">
        <v>3420</v>
      </c>
      <c r="E1456" s="136" t="s">
        <v>2862</v>
      </c>
      <c r="F1456" s="136" t="s">
        <v>2862</v>
      </c>
      <c r="G1456" s="137">
        <v>1394395845001</v>
      </c>
      <c r="H1456" s="138" t="s">
        <v>6453</v>
      </c>
      <c r="I1456" s="136">
        <v>951500067</v>
      </c>
      <c r="J1456" s="131" t="s">
        <v>2807</v>
      </c>
      <c r="K1456" s="139">
        <v>294367</v>
      </c>
    </row>
    <row r="1457" spans="1:11">
      <c r="A1457" s="1" t="str">
        <f t="shared" si="22"/>
        <v>15100-35841195-951500513162880</v>
      </c>
      <c r="B1457" s="136" t="s">
        <v>4129</v>
      </c>
      <c r="C1457" s="136" t="s">
        <v>11183</v>
      </c>
      <c r="D1457" s="132" t="s">
        <v>3420</v>
      </c>
      <c r="E1457" s="136" t="s">
        <v>4185</v>
      </c>
      <c r="F1457" s="136" t="s">
        <v>4185</v>
      </c>
      <c r="G1457" s="137">
        <v>1395449237001</v>
      </c>
      <c r="H1457" s="138" t="s">
        <v>6299</v>
      </c>
      <c r="I1457" s="136">
        <v>951500513</v>
      </c>
      <c r="J1457" s="131" t="s">
        <v>4298</v>
      </c>
      <c r="K1457" s="139">
        <v>162880</v>
      </c>
    </row>
    <row r="1458" spans="1:11">
      <c r="A1458" s="1" t="str">
        <f t="shared" si="22"/>
        <v>15100-36296495-95150047050390</v>
      </c>
      <c r="B1458" s="136" t="s">
        <v>4330</v>
      </c>
      <c r="C1458" s="136" t="s">
        <v>11203</v>
      </c>
      <c r="D1458" s="132" t="s">
        <v>3420</v>
      </c>
      <c r="E1458" s="136" t="s">
        <v>4167</v>
      </c>
      <c r="F1458" s="136" t="s">
        <v>4167</v>
      </c>
      <c r="G1458" s="137">
        <v>1395441450001</v>
      </c>
      <c r="H1458" s="138" t="s">
        <v>6300</v>
      </c>
      <c r="I1458" s="136">
        <v>951500470</v>
      </c>
      <c r="J1458" s="131" t="s">
        <v>4356</v>
      </c>
      <c r="K1458" s="139">
        <v>50390</v>
      </c>
    </row>
    <row r="1459" spans="1:11">
      <c r="A1459" s="1" t="str">
        <f t="shared" si="22"/>
        <v>15100-36233895-95150047046980</v>
      </c>
      <c r="B1459" s="136" t="s">
        <v>4331</v>
      </c>
      <c r="C1459" s="136" t="s">
        <v>11204</v>
      </c>
      <c r="D1459" s="132" t="s">
        <v>3420</v>
      </c>
      <c r="E1459" s="136" t="s">
        <v>4171</v>
      </c>
      <c r="F1459" s="136" t="s">
        <v>4171</v>
      </c>
      <c r="G1459" s="137">
        <v>1395441450001</v>
      </c>
      <c r="H1459" s="138" t="s">
        <v>6300</v>
      </c>
      <c r="I1459" s="136">
        <v>951500470</v>
      </c>
      <c r="J1459" s="131" t="s">
        <v>4356</v>
      </c>
      <c r="K1459" s="139">
        <v>46980</v>
      </c>
    </row>
    <row r="1460" spans="1:11">
      <c r="A1460" s="1" t="str">
        <f t="shared" si="22"/>
        <v>15100-28373894-941500812175400</v>
      </c>
      <c r="B1460" s="136" t="s">
        <v>11205</v>
      </c>
      <c r="C1460" s="136" t="s">
        <v>11206</v>
      </c>
      <c r="D1460" s="132" t="s">
        <v>3420</v>
      </c>
      <c r="E1460" s="136" t="s">
        <v>3167</v>
      </c>
      <c r="F1460" s="136" t="s">
        <v>3167</v>
      </c>
      <c r="G1460" s="137">
        <v>1394394802001</v>
      </c>
      <c r="H1460" s="138" t="s">
        <v>6298</v>
      </c>
      <c r="I1460" s="136">
        <v>941500812</v>
      </c>
      <c r="J1460" s="131" t="s">
        <v>3211</v>
      </c>
      <c r="K1460" s="139">
        <v>175400</v>
      </c>
    </row>
    <row r="1461" spans="1:11">
      <c r="A1461" s="1" t="str">
        <f t="shared" si="22"/>
        <v>15100-39102295-951500596137920</v>
      </c>
      <c r="B1461" s="136" t="s">
        <v>4837</v>
      </c>
      <c r="C1461" s="136" t="s">
        <v>11207</v>
      </c>
      <c r="D1461" s="132" t="s">
        <v>3420</v>
      </c>
      <c r="E1461" s="136" t="s">
        <v>4879</v>
      </c>
      <c r="F1461" s="136" t="s">
        <v>4879</v>
      </c>
      <c r="G1461" s="137">
        <v>1395449239001</v>
      </c>
      <c r="H1461" s="138" t="s">
        <v>6299</v>
      </c>
      <c r="I1461" s="136">
        <v>951500596</v>
      </c>
      <c r="J1461" s="131" t="s">
        <v>4956</v>
      </c>
      <c r="K1461" s="139">
        <v>137920</v>
      </c>
    </row>
    <row r="1462" spans="1:11">
      <c r="A1462" s="1" t="str">
        <f t="shared" si="22"/>
        <v>15100-37018295-95150054769200</v>
      </c>
      <c r="B1462" s="136" t="s">
        <v>4382</v>
      </c>
      <c r="C1462" s="136" t="s">
        <v>11149</v>
      </c>
      <c r="D1462" s="132" t="s">
        <v>3420</v>
      </c>
      <c r="E1462" s="136" t="s">
        <v>4444</v>
      </c>
      <c r="F1462" s="136" t="s">
        <v>4444</v>
      </c>
      <c r="G1462" s="137">
        <v>1395449238001</v>
      </c>
      <c r="H1462" s="138" t="s">
        <v>6299</v>
      </c>
      <c r="I1462" s="136">
        <v>951500547</v>
      </c>
      <c r="J1462" s="131" t="s">
        <v>4360</v>
      </c>
      <c r="K1462" s="139">
        <v>69200</v>
      </c>
    </row>
    <row r="1463" spans="1:11">
      <c r="A1463" s="1" t="str">
        <f t="shared" si="22"/>
        <v>15100-28751494-94150083471750</v>
      </c>
      <c r="B1463" s="136" t="s">
        <v>11208</v>
      </c>
      <c r="C1463" s="136" t="s">
        <v>11209</v>
      </c>
      <c r="D1463" s="132" t="s">
        <v>3420</v>
      </c>
      <c r="E1463" s="136" t="s">
        <v>3260</v>
      </c>
      <c r="F1463" s="136" t="s">
        <v>3260</v>
      </c>
      <c r="G1463" s="137">
        <v>1394395844001</v>
      </c>
      <c r="H1463" s="138" t="s">
        <v>6298</v>
      </c>
      <c r="I1463" s="136">
        <v>941500834</v>
      </c>
      <c r="J1463" s="131" t="s">
        <v>2772</v>
      </c>
      <c r="K1463" s="139">
        <v>71750</v>
      </c>
    </row>
    <row r="1464" spans="1:11">
      <c r="A1464" s="1" t="str">
        <f t="shared" si="22"/>
        <v>15100-26085094-94150080846500</v>
      </c>
      <c r="B1464" s="136" t="s">
        <v>10836</v>
      </c>
      <c r="C1464" s="136" t="s">
        <v>10837</v>
      </c>
      <c r="D1464" s="132" t="s">
        <v>3420</v>
      </c>
      <c r="E1464" s="136" t="s">
        <v>2758</v>
      </c>
      <c r="F1464" s="136" t="s">
        <v>2758</v>
      </c>
      <c r="G1464" s="137">
        <v>1394394802001</v>
      </c>
      <c r="H1464" s="138" t="s">
        <v>6298</v>
      </c>
      <c r="I1464" s="136">
        <v>941500808</v>
      </c>
      <c r="J1464" s="131" t="s">
        <v>2874</v>
      </c>
      <c r="K1464" s="139">
        <v>46500</v>
      </c>
    </row>
    <row r="1465" spans="1:11">
      <c r="A1465" s="1" t="str">
        <f t="shared" si="22"/>
        <v>15100-26614394-94150081850960</v>
      </c>
      <c r="B1465" s="136" t="s">
        <v>10896</v>
      </c>
      <c r="C1465" s="136" t="s">
        <v>10897</v>
      </c>
      <c r="D1465" s="132" t="s">
        <v>3420</v>
      </c>
      <c r="E1465" s="136" t="s">
        <v>2864</v>
      </c>
      <c r="F1465" s="136" t="s">
        <v>2864</v>
      </c>
      <c r="G1465" s="137">
        <v>1394394802001</v>
      </c>
      <c r="H1465" s="138" t="s">
        <v>6298</v>
      </c>
      <c r="I1465" s="136">
        <v>941500818</v>
      </c>
      <c r="J1465" s="131" t="s">
        <v>2884</v>
      </c>
      <c r="K1465" s="139">
        <v>50960</v>
      </c>
    </row>
    <row r="1466" spans="1:11">
      <c r="A1466" s="1" t="str">
        <f t="shared" si="22"/>
        <v>15100-35948395-95150050925780</v>
      </c>
      <c r="B1466" s="136" t="s">
        <v>4317</v>
      </c>
      <c r="C1466" s="136" t="s">
        <v>10870</v>
      </c>
      <c r="D1466" s="132" t="s">
        <v>3420</v>
      </c>
      <c r="E1466" s="136" t="s">
        <v>4342</v>
      </c>
      <c r="F1466" s="136" t="s">
        <v>4342</v>
      </c>
      <c r="G1466" s="137">
        <v>1395449235001</v>
      </c>
      <c r="H1466" s="138" t="s">
        <v>6299</v>
      </c>
      <c r="I1466" s="136">
        <v>951500509</v>
      </c>
      <c r="J1466" s="131" t="s">
        <v>4351</v>
      </c>
      <c r="K1466" s="139">
        <v>25780</v>
      </c>
    </row>
    <row r="1467" spans="1:11">
      <c r="A1467" s="1" t="str">
        <f t="shared" si="22"/>
        <v>15100-35354695-95150037518760</v>
      </c>
      <c r="B1467" s="136" t="s">
        <v>4124</v>
      </c>
      <c r="C1467" s="136" t="s">
        <v>10924</v>
      </c>
      <c r="D1467" s="132" t="s">
        <v>3420</v>
      </c>
      <c r="E1467" s="136" t="s">
        <v>4186</v>
      </c>
      <c r="F1467" s="136" t="s">
        <v>4186</v>
      </c>
      <c r="G1467" s="137">
        <v>1395441908001</v>
      </c>
      <c r="H1467" s="138" t="s">
        <v>6298</v>
      </c>
      <c r="I1467" s="136">
        <v>951500375</v>
      </c>
      <c r="J1467" s="131" t="s">
        <v>3842</v>
      </c>
      <c r="K1467" s="139">
        <v>18760</v>
      </c>
    </row>
    <row r="1468" spans="1:11">
      <c r="A1468" s="1" t="str">
        <f t="shared" si="22"/>
        <v>15100-35354695-95150036094980</v>
      </c>
      <c r="B1468" s="136" t="s">
        <v>4124</v>
      </c>
      <c r="C1468" s="136" t="s">
        <v>10924</v>
      </c>
      <c r="D1468" s="132" t="s">
        <v>3420</v>
      </c>
      <c r="E1468" s="136" t="s">
        <v>4186</v>
      </c>
      <c r="F1468" s="136" t="s">
        <v>4186</v>
      </c>
      <c r="G1468" s="137">
        <v>1395435643001</v>
      </c>
      <c r="H1468" s="138" t="s">
        <v>6300</v>
      </c>
      <c r="I1468" s="136">
        <v>951500360</v>
      </c>
      <c r="J1468" s="131" t="s">
        <v>3847</v>
      </c>
      <c r="K1468" s="139">
        <v>94980</v>
      </c>
    </row>
    <row r="1469" spans="1:11">
      <c r="A1469" s="1" t="str">
        <f t="shared" si="22"/>
        <v>15100-34229395-95150036043180</v>
      </c>
      <c r="B1469" s="136" t="s">
        <v>3781</v>
      </c>
      <c r="C1469" s="136" t="s">
        <v>10871</v>
      </c>
      <c r="D1469" s="132" t="s">
        <v>3420</v>
      </c>
      <c r="E1469" s="136" t="s">
        <v>3824</v>
      </c>
      <c r="F1469" s="136" t="s">
        <v>3824</v>
      </c>
      <c r="G1469" s="137">
        <v>1395435643001</v>
      </c>
      <c r="H1469" s="138" t="s">
        <v>6300</v>
      </c>
      <c r="I1469" s="136">
        <v>951500360</v>
      </c>
      <c r="J1469" s="131" t="s">
        <v>3847</v>
      </c>
      <c r="K1469" s="139">
        <v>43180</v>
      </c>
    </row>
    <row r="1470" spans="1:11">
      <c r="A1470" s="1" t="str">
        <f t="shared" si="22"/>
        <v>15100-38627695-95150058298770</v>
      </c>
      <c r="B1470" s="136" t="s">
        <v>4755</v>
      </c>
      <c r="C1470" s="136" t="s">
        <v>11210</v>
      </c>
      <c r="D1470" s="132" t="s">
        <v>3420</v>
      </c>
      <c r="E1470" s="136" t="s">
        <v>4869</v>
      </c>
      <c r="F1470" s="136" t="s">
        <v>4869</v>
      </c>
      <c r="G1470" s="137">
        <v>1395455038001</v>
      </c>
      <c r="H1470" s="138" t="s">
        <v>6298</v>
      </c>
      <c r="I1470" s="136">
        <v>951500582</v>
      </c>
      <c r="J1470" s="131" t="s">
        <v>4892</v>
      </c>
      <c r="K1470" s="139">
        <v>98770</v>
      </c>
    </row>
    <row r="1471" spans="1:11">
      <c r="A1471" s="1" t="str">
        <f t="shared" si="22"/>
        <v>15100-38677895-951500579150600</v>
      </c>
      <c r="B1471" s="136" t="s">
        <v>4756</v>
      </c>
      <c r="C1471" s="136" t="s">
        <v>11211</v>
      </c>
      <c r="D1471" s="132" t="s">
        <v>3420</v>
      </c>
      <c r="E1471" s="136" t="s">
        <v>4870</v>
      </c>
      <c r="F1471" s="136" t="s">
        <v>4870</v>
      </c>
      <c r="G1471" s="137">
        <v>1395455038001</v>
      </c>
      <c r="H1471" s="138" t="s">
        <v>6298</v>
      </c>
      <c r="I1471" s="136">
        <v>951500579</v>
      </c>
      <c r="J1471" s="131" t="s">
        <v>4893</v>
      </c>
      <c r="K1471" s="139">
        <v>150600</v>
      </c>
    </row>
    <row r="1472" spans="1:11">
      <c r="A1472" s="1" t="str">
        <f t="shared" si="22"/>
        <v>15100-25509894-941500834110020</v>
      </c>
      <c r="B1472" s="136" t="s">
        <v>11200</v>
      </c>
      <c r="C1472" s="136" t="s">
        <v>11201</v>
      </c>
      <c r="D1472" s="132" t="s">
        <v>3420</v>
      </c>
      <c r="E1472" s="136" t="s">
        <v>2609</v>
      </c>
      <c r="F1472" s="136" t="s">
        <v>2609</v>
      </c>
      <c r="G1472" s="137">
        <v>1394395844001</v>
      </c>
      <c r="H1472" s="138" t="s">
        <v>6298</v>
      </c>
      <c r="I1472" s="136">
        <v>941500834</v>
      </c>
      <c r="J1472" s="131" t="s">
        <v>2772</v>
      </c>
      <c r="K1472" s="139">
        <v>110020</v>
      </c>
    </row>
    <row r="1473" spans="1:11">
      <c r="A1473" s="1" t="str">
        <f t="shared" si="22"/>
        <v>15100-37018295-9515005095675</v>
      </c>
      <c r="B1473" s="136" t="s">
        <v>4382</v>
      </c>
      <c r="C1473" s="136" t="s">
        <v>11149</v>
      </c>
      <c r="D1473" s="132" t="s">
        <v>3420</v>
      </c>
      <c r="E1473" s="136" t="s">
        <v>4444</v>
      </c>
      <c r="F1473" s="136" t="s">
        <v>4444</v>
      </c>
      <c r="G1473" s="137">
        <v>1395449235001</v>
      </c>
      <c r="H1473" s="138" t="s">
        <v>6299</v>
      </c>
      <c r="I1473" s="136">
        <v>951500509</v>
      </c>
      <c r="J1473" s="131" t="s">
        <v>4351</v>
      </c>
      <c r="K1473" s="139">
        <v>5675</v>
      </c>
    </row>
    <row r="1474" spans="1:11">
      <c r="A1474" s="1" t="str">
        <f t="shared" si="22"/>
        <v>50100-821734495-951500530165800</v>
      </c>
      <c r="B1474" s="136" t="s">
        <v>4420</v>
      </c>
      <c r="C1474" s="136" t="s">
        <v>11212</v>
      </c>
      <c r="D1474" s="132" t="s">
        <v>3420</v>
      </c>
      <c r="E1474" s="136" t="s">
        <v>4307</v>
      </c>
      <c r="F1474" s="136" t="s">
        <v>4307</v>
      </c>
      <c r="G1474" s="137">
        <v>1395447373001</v>
      </c>
      <c r="H1474" s="138" t="s">
        <v>6453</v>
      </c>
      <c r="I1474" s="136">
        <v>951500530</v>
      </c>
      <c r="J1474" s="131" t="s">
        <v>4485</v>
      </c>
      <c r="K1474" s="139">
        <v>165800</v>
      </c>
    </row>
    <row r="1475" spans="1:11">
      <c r="A1475" s="1" t="str">
        <f t="shared" ref="A1475:A1538" si="23">B1475&amp;J1475&amp;K1475</f>
        <v>50100-727549993-93410001824000</v>
      </c>
      <c r="B1475" s="136" t="s">
        <v>2963</v>
      </c>
      <c r="C1475" s="136" t="s">
        <v>11213</v>
      </c>
      <c r="D1475" s="132" t="s">
        <v>3420</v>
      </c>
      <c r="E1475" s="136" t="s">
        <v>2860</v>
      </c>
      <c r="F1475" s="136" t="s">
        <v>2860</v>
      </c>
      <c r="G1475" s="137">
        <v>1393333155001</v>
      </c>
      <c r="H1475" s="138" t="s">
        <v>11214</v>
      </c>
      <c r="I1475" s="136">
        <v>934100018</v>
      </c>
      <c r="J1475" s="131" t="s">
        <v>2678</v>
      </c>
      <c r="K1475" s="139">
        <v>24000</v>
      </c>
    </row>
    <row r="1476" spans="1:11">
      <c r="A1476" s="1" t="str">
        <f t="shared" si="23"/>
        <v>50100-711451595-9541000012839343</v>
      </c>
      <c r="B1476" s="136" t="s">
        <v>2601</v>
      </c>
      <c r="C1476" s="136" t="s">
        <v>11215</v>
      </c>
      <c r="D1476" s="132" t="s">
        <v>3420</v>
      </c>
      <c r="E1476" s="136" t="s">
        <v>2615</v>
      </c>
      <c r="F1476" s="136" t="s">
        <v>2615</v>
      </c>
      <c r="G1476" s="137">
        <v>1394390726001</v>
      </c>
      <c r="H1476" s="138" t="s">
        <v>10183</v>
      </c>
      <c r="I1476" s="136">
        <v>954100001</v>
      </c>
      <c r="J1476" s="131" t="s">
        <v>2656</v>
      </c>
      <c r="K1476" s="139">
        <v>2839343</v>
      </c>
    </row>
    <row r="1477" spans="1:11">
      <c r="A1477" s="1" t="str">
        <f t="shared" si="23"/>
        <v>50100-853807996-961500039500000</v>
      </c>
      <c r="B1477" s="136" t="s">
        <v>4996</v>
      </c>
      <c r="C1477" s="136" t="s">
        <v>8958</v>
      </c>
      <c r="D1477" s="132" t="s">
        <v>4971</v>
      </c>
      <c r="E1477" s="136" t="s">
        <v>5013</v>
      </c>
      <c r="F1477" s="136" t="s">
        <v>5013</v>
      </c>
      <c r="G1477" s="137">
        <v>1396471726001</v>
      </c>
      <c r="H1477" s="138" t="s">
        <v>10206</v>
      </c>
      <c r="I1477" s="136">
        <v>961500039</v>
      </c>
      <c r="J1477" s="131" t="s">
        <v>5035</v>
      </c>
      <c r="K1477" s="139">
        <v>500000</v>
      </c>
    </row>
    <row r="1478" spans="1:11">
      <c r="A1478" s="1" t="str">
        <f t="shared" si="23"/>
        <v>50100-853807996-961500024180000</v>
      </c>
      <c r="B1478" s="136" t="s">
        <v>4996</v>
      </c>
      <c r="C1478" s="136" t="s">
        <v>8958</v>
      </c>
      <c r="D1478" s="132" t="s">
        <v>4971</v>
      </c>
      <c r="E1478" s="136" t="s">
        <v>5013</v>
      </c>
      <c r="F1478" s="136" t="s">
        <v>5013</v>
      </c>
      <c r="G1478" s="137">
        <v>1395452681001</v>
      </c>
      <c r="H1478" s="138" t="s">
        <v>6300</v>
      </c>
      <c r="I1478" s="136">
        <v>961500024</v>
      </c>
      <c r="J1478" s="131" t="s">
        <v>5036</v>
      </c>
      <c r="K1478" s="139">
        <v>180000</v>
      </c>
    </row>
    <row r="1479" spans="1:11">
      <c r="A1479" s="1" t="str">
        <f t="shared" si="23"/>
        <v>15100-27266994-941500835149340</v>
      </c>
      <c r="B1479" s="136" t="s">
        <v>11216</v>
      </c>
      <c r="C1479" s="136" t="s">
        <v>11217</v>
      </c>
      <c r="D1479" s="132" t="s">
        <v>3420</v>
      </c>
      <c r="E1479" s="136" t="s">
        <v>2866</v>
      </c>
      <c r="F1479" s="136" t="s">
        <v>2866</v>
      </c>
      <c r="G1479" s="137">
        <v>1394395844001</v>
      </c>
      <c r="H1479" s="138" t="s">
        <v>6298</v>
      </c>
      <c r="I1479" s="136">
        <v>941500835</v>
      </c>
      <c r="J1479" s="131" t="s">
        <v>2876</v>
      </c>
      <c r="K1479" s="139">
        <v>149340</v>
      </c>
    </row>
    <row r="1480" spans="1:11">
      <c r="A1480" s="1" t="str">
        <f t="shared" si="23"/>
        <v>15100-27269394-94150078526740</v>
      </c>
      <c r="B1480" s="136" t="s">
        <v>11218</v>
      </c>
      <c r="C1480" s="136" t="s">
        <v>11219</v>
      </c>
      <c r="D1480" s="132" t="s">
        <v>3420</v>
      </c>
      <c r="E1480" s="136" t="s">
        <v>2866</v>
      </c>
      <c r="F1480" s="136" t="s">
        <v>2866</v>
      </c>
      <c r="G1480" s="137">
        <v>1394394802001</v>
      </c>
      <c r="H1480" s="138" t="s">
        <v>6298</v>
      </c>
      <c r="I1480" s="136">
        <v>941500785</v>
      </c>
      <c r="J1480" s="131" t="s">
        <v>2879</v>
      </c>
      <c r="K1480" s="139">
        <v>26740</v>
      </c>
    </row>
    <row r="1481" spans="1:11">
      <c r="A1481" s="1" t="str">
        <f t="shared" si="23"/>
        <v>50100-740588595-951500185496735</v>
      </c>
      <c r="B1481" s="136" t="s">
        <v>3153</v>
      </c>
      <c r="C1481" s="136" t="s">
        <v>11220</v>
      </c>
      <c r="D1481" s="132" t="s">
        <v>3420</v>
      </c>
      <c r="E1481" s="136" t="s">
        <v>3170</v>
      </c>
      <c r="F1481" s="136" t="s">
        <v>3170</v>
      </c>
      <c r="G1481" s="137">
        <v>1395397987001</v>
      </c>
      <c r="H1481" s="138" t="s">
        <v>10183</v>
      </c>
      <c r="I1481" s="136">
        <v>951500185</v>
      </c>
      <c r="J1481" s="131" t="s">
        <v>3184</v>
      </c>
      <c r="K1481" s="139">
        <v>496735</v>
      </c>
    </row>
    <row r="1482" spans="1:11">
      <c r="A1482" s="1" t="str">
        <f t="shared" si="23"/>
        <v>50100-744116195-951500196500000</v>
      </c>
      <c r="B1482" s="136" t="s">
        <v>3151</v>
      </c>
      <c r="C1482" s="136" t="s">
        <v>10568</v>
      </c>
      <c r="D1482" s="132" t="s">
        <v>3420</v>
      </c>
      <c r="E1482" s="136" t="s">
        <v>3169</v>
      </c>
      <c r="F1482" s="136" t="s">
        <v>3169</v>
      </c>
      <c r="G1482" s="137">
        <v>1395401420001</v>
      </c>
      <c r="H1482" s="138" t="s">
        <v>6298</v>
      </c>
      <c r="I1482" s="136">
        <v>951500196</v>
      </c>
      <c r="J1482" s="131" t="s">
        <v>3188</v>
      </c>
      <c r="K1482" s="139">
        <v>500000</v>
      </c>
    </row>
    <row r="1483" spans="1:11">
      <c r="A1483" s="1" t="str">
        <f t="shared" si="23"/>
        <v>50100-744116195-951500194822000</v>
      </c>
      <c r="B1483" s="136" t="s">
        <v>3151</v>
      </c>
      <c r="C1483" s="136" t="s">
        <v>10568</v>
      </c>
      <c r="D1483" s="132" t="s">
        <v>3420</v>
      </c>
      <c r="E1483" s="136" t="s">
        <v>3169</v>
      </c>
      <c r="F1483" s="136" t="s">
        <v>3169</v>
      </c>
      <c r="G1483" s="137">
        <v>1395401420001</v>
      </c>
      <c r="H1483" s="138" t="s">
        <v>6298</v>
      </c>
      <c r="I1483" s="136">
        <v>951500194</v>
      </c>
      <c r="J1483" s="131" t="s">
        <v>3177</v>
      </c>
      <c r="K1483" s="139">
        <v>822000</v>
      </c>
    </row>
    <row r="1484" spans="1:11">
      <c r="A1484" s="1" t="str">
        <f t="shared" si="23"/>
        <v>15100-25778194-941500832456120</v>
      </c>
      <c r="B1484" s="136" t="s">
        <v>11221</v>
      </c>
      <c r="C1484" s="136" t="s">
        <v>11222</v>
      </c>
      <c r="D1484" s="132" t="s">
        <v>3420</v>
      </c>
      <c r="E1484" s="136" t="s">
        <v>2749</v>
      </c>
      <c r="F1484" s="136" t="s">
        <v>2749</v>
      </c>
      <c r="G1484" s="137">
        <v>1394395844001</v>
      </c>
      <c r="H1484" s="138" t="s">
        <v>6298</v>
      </c>
      <c r="I1484" s="136">
        <v>941500832</v>
      </c>
      <c r="J1484" s="131" t="s">
        <v>2764</v>
      </c>
      <c r="K1484" s="139">
        <v>456120</v>
      </c>
    </row>
    <row r="1485" spans="1:11">
      <c r="A1485" s="1" t="str">
        <f t="shared" si="23"/>
        <v>15100-25781794-94150077746060</v>
      </c>
      <c r="B1485" s="136" t="s">
        <v>11223</v>
      </c>
      <c r="C1485" s="136" t="s">
        <v>11224</v>
      </c>
      <c r="D1485" s="132" t="s">
        <v>3420</v>
      </c>
      <c r="E1485" s="136" t="s">
        <v>2749</v>
      </c>
      <c r="F1485" s="136" t="s">
        <v>2749</v>
      </c>
      <c r="G1485" s="137">
        <v>1394394316001</v>
      </c>
      <c r="H1485" s="138" t="s">
        <v>10183</v>
      </c>
      <c r="I1485" s="136">
        <v>941500777</v>
      </c>
      <c r="J1485" s="131" t="s">
        <v>7042</v>
      </c>
      <c r="K1485" s="139">
        <v>46060</v>
      </c>
    </row>
    <row r="1486" spans="1:11">
      <c r="A1486" s="1" t="str">
        <f t="shared" si="23"/>
        <v>15100-25062494-94150077747360</v>
      </c>
      <c r="B1486" s="136" t="s">
        <v>11225</v>
      </c>
      <c r="C1486" s="136" t="s">
        <v>11226</v>
      </c>
      <c r="D1486" s="132" t="s">
        <v>3420</v>
      </c>
      <c r="E1486" s="136" t="s">
        <v>2613</v>
      </c>
      <c r="F1486" s="136" t="s">
        <v>2613</v>
      </c>
      <c r="G1486" s="137">
        <v>1394394316001</v>
      </c>
      <c r="H1486" s="138" t="s">
        <v>10183</v>
      </c>
      <c r="I1486" s="136">
        <v>941500777</v>
      </c>
      <c r="J1486" s="131" t="s">
        <v>7042</v>
      </c>
      <c r="K1486" s="139">
        <v>47360</v>
      </c>
    </row>
    <row r="1487" spans="1:11">
      <c r="A1487" s="1" t="str">
        <f t="shared" si="23"/>
        <v>15100-26814294-94150078133170</v>
      </c>
      <c r="B1487" s="136" t="s">
        <v>2817</v>
      </c>
      <c r="C1487" s="136" t="s">
        <v>11172</v>
      </c>
      <c r="D1487" s="132" t="s">
        <v>3420</v>
      </c>
      <c r="E1487" s="136" t="s">
        <v>2851</v>
      </c>
      <c r="F1487" s="136" t="s">
        <v>2851</v>
      </c>
      <c r="G1487" s="137">
        <v>1394394178001</v>
      </c>
      <c r="H1487" s="138" t="s">
        <v>6298</v>
      </c>
      <c r="I1487" s="136">
        <v>941500781</v>
      </c>
      <c r="J1487" s="131" t="s">
        <v>2563</v>
      </c>
      <c r="K1487" s="139">
        <v>33170</v>
      </c>
    </row>
    <row r="1488" spans="1:11">
      <c r="A1488" s="1" t="str">
        <f t="shared" si="23"/>
        <v>15100-26814294-941500849312520</v>
      </c>
      <c r="B1488" s="136" t="s">
        <v>2817</v>
      </c>
      <c r="C1488" s="136" t="s">
        <v>11172</v>
      </c>
      <c r="D1488" s="132" t="s">
        <v>3420</v>
      </c>
      <c r="E1488" s="136" t="s">
        <v>2851</v>
      </c>
      <c r="F1488" s="136" t="s">
        <v>2851</v>
      </c>
      <c r="G1488" s="137">
        <v>1394395844001</v>
      </c>
      <c r="H1488" s="138" t="s">
        <v>6298</v>
      </c>
      <c r="I1488" s="136">
        <v>941500849</v>
      </c>
      <c r="J1488" s="131" t="s">
        <v>2875</v>
      </c>
      <c r="K1488" s="139">
        <v>312520</v>
      </c>
    </row>
    <row r="1489" spans="1:11">
      <c r="A1489" s="1" t="str">
        <f t="shared" si="23"/>
        <v>50100-738269494-94150080215133</v>
      </c>
      <c r="B1489" s="136" t="s">
        <v>10472</v>
      </c>
      <c r="C1489" s="136" t="s">
        <v>10473</v>
      </c>
      <c r="D1489" s="132" t="s">
        <v>3420</v>
      </c>
      <c r="E1489" s="136" t="s">
        <v>3050</v>
      </c>
      <c r="F1489" s="136" t="s">
        <v>3050</v>
      </c>
      <c r="G1489" s="137">
        <v>1394392654001</v>
      </c>
      <c r="H1489" s="138" t="s">
        <v>6453</v>
      </c>
      <c r="I1489" s="136">
        <v>941500802</v>
      </c>
      <c r="J1489" s="131" t="s">
        <v>6873</v>
      </c>
      <c r="K1489" s="139">
        <v>15133</v>
      </c>
    </row>
    <row r="1490" spans="1:11">
      <c r="A1490" s="1" t="str">
        <f t="shared" si="23"/>
        <v>15100-27550294-94150082897480</v>
      </c>
      <c r="B1490" s="136" t="s">
        <v>2910</v>
      </c>
      <c r="C1490" s="136" t="s">
        <v>10477</v>
      </c>
      <c r="D1490" s="132" t="s">
        <v>3420</v>
      </c>
      <c r="E1490" s="136" t="s">
        <v>3044</v>
      </c>
      <c r="F1490" s="136" t="s">
        <v>3044</v>
      </c>
      <c r="G1490" s="137">
        <v>1394395844001</v>
      </c>
      <c r="H1490" s="138" t="s">
        <v>6298</v>
      </c>
      <c r="I1490" s="136">
        <v>941500828</v>
      </c>
      <c r="J1490" s="131" t="s">
        <v>3055</v>
      </c>
      <c r="K1490" s="139">
        <v>97480</v>
      </c>
    </row>
    <row r="1491" spans="1:11">
      <c r="A1491" s="1" t="str">
        <f t="shared" si="23"/>
        <v>15100-26692694-94150084475030</v>
      </c>
      <c r="B1491" s="136" t="s">
        <v>10724</v>
      </c>
      <c r="C1491" s="136" t="s">
        <v>10725</v>
      </c>
      <c r="D1491" s="132" t="s">
        <v>3420</v>
      </c>
      <c r="E1491" s="136" t="s">
        <v>2856</v>
      </c>
      <c r="F1491" s="136" t="s">
        <v>2856</v>
      </c>
      <c r="G1491" s="137">
        <v>1394395844001</v>
      </c>
      <c r="H1491" s="138" t="s">
        <v>6298</v>
      </c>
      <c r="I1491" s="136">
        <v>941500844</v>
      </c>
      <c r="J1491" s="131" t="s">
        <v>2883</v>
      </c>
      <c r="K1491" s="139">
        <v>75030</v>
      </c>
    </row>
    <row r="1492" spans="1:11">
      <c r="A1492" s="1" t="str">
        <f t="shared" si="23"/>
        <v>15100-29869694-941500775321040</v>
      </c>
      <c r="B1492" s="136" t="s">
        <v>11227</v>
      </c>
      <c r="C1492" s="136" t="s">
        <v>11228</v>
      </c>
      <c r="D1492" s="132" t="s">
        <v>3420</v>
      </c>
      <c r="E1492" s="136" t="s">
        <v>3321</v>
      </c>
      <c r="F1492" s="136" t="s">
        <v>3321</v>
      </c>
      <c r="G1492" s="137">
        <v>1394394178001</v>
      </c>
      <c r="H1492" s="138" t="s">
        <v>6298</v>
      </c>
      <c r="I1492" s="136">
        <v>941500775</v>
      </c>
      <c r="J1492" s="131" t="s">
        <v>3058</v>
      </c>
      <c r="K1492" s="139">
        <v>321040</v>
      </c>
    </row>
    <row r="1493" spans="1:11">
      <c r="A1493" s="1" t="str">
        <f t="shared" si="23"/>
        <v>15100-29964994-941500775321740</v>
      </c>
      <c r="B1493" s="136" t="s">
        <v>3361</v>
      </c>
      <c r="C1493" s="136" t="s">
        <v>10766</v>
      </c>
      <c r="D1493" s="132" t="s">
        <v>3420</v>
      </c>
      <c r="E1493" s="136" t="s">
        <v>3326</v>
      </c>
      <c r="F1493" s="136" t="s">
        <v>3326</v>
      </c>
      <c r="G1493" s="137">
        <v>1394394178001</v>
      </c>
      <c r="H1493" s="138" t="s">
        <v>6298</v>
      </c>
      <c r="I1493" s="136">
        <v>941500775</v>
      </c>
      <c r="J1493" s="131" t="s">
        <v>3058</v>
      </c>
      <c r="K1493" s="139">
        <v>321740</v>
      </c>
    </row>
    <row r="1494" spans="1:11">
      <c r="A1494" s="1" t="str">
        <f t="shared" si="23"/>
        <v>15100-30130395-95150012651695</v>
      </c>
      <c r="B1494" s="136" t="s">
        <v>3360</v>
      </c>
      <c r="C1494" s="136" t="s">
        <v>10767</v>
      </c>
      <c r="D1494" s="132" t="s">
        <v>3420</v>
      </c>
      <c r="E1494" s="136" t="s">
        <v>3375</v>
      </c>
      <c r="F1494" s="136" t="s">
        <v>3375</v>
      </c>
      <c r="G1494" s="137">
        <v>1395397985001</v>
      </c>
      <c r="H1494" s="138" t="s">
        <v>6298</v>
      </c>
      <c r="I1494" s="136">
        <v>951500126</v>
      </c>
      <c r="J1494" s="131" t="s">
        <v>3381</v>
      </c>
      <c r="K1494" s="139">
        <v>51695</v>
      </c>
    </row>
    <row r="1495" spans="1:11">
      <c r="A1495" s="1" t="str">
        <f t="shared" si="23"/>
        <v>15100-30174995-95150012649320</v>
      </c>
      <c r="B1495" s="136" t="s">
        <v>3362</v>
      </c>
      <c r="C1495" s="136" t="s">
        <v>11229</v>
      </c>
      <c r="D1495" s="132" t="s">
        <v>3420</v>
      </c>
      <c r="E1495" s="136" t="s">
        <v>3328</v>
      </c>
      <c r="F1495" s="136" t="s">
        <v>3328</v>
      </c>
      <c r="G1495" s="137">
        <v>1395397985001</v>
      </c>
      <c r="H1495" s="138" t="s">
        <v>6298</v>
      </c>
      <c r="I1495" s="136">
        <v>951500126</v>
      </c>
      <c r="J1495" s="131" t="s">
        <v>3381</v>
      </c>
      <c r="K1495" s="139">
        <v>49320</v>
      </c>
    </row>
    <row r="1496" spans="1:11">
      <c r="A1496" s="1" t="str">
        <f t="shared" si="23"/>
        <v>15100-35424095-95150040625530</v>
      </c>
      <c r="B1496" s="136" t="s">
        <v>4146</v>
      </c>
      <c r="C1496" s="136" t="s">
        <v>10820</v>
      </c>
      <c r="D1496" s="132" t="s">
        <v>3420</v>
      </c>
      <c r="E1496" s="136" t="s">
        <v>4182</v>
      </c>
      <c r="F1496" s="136" t="s">
        <v>4182</v>
      </c>
      <c r="G1496" s="137">
        <v>1395445412001</v>
      </c>
      <c r="H1496" s="138" t="s">
        <v>6298</v>
      </c>
      <c r="I1496" s="136">
        <v>951500406</v>
      </c>
      <c r="J1496" s="131" t="s">
        <v>4284</v>
      </c>
      <c r="K1496" s="139">
        <v>25530</v>
      </c>
    </row>
    <row r="1497" spans="1:11">
      <c r="A1497" s="1" t="str">
        <f t="shared" si="23"/>
        <v>15100-35300495-951500440162820</v>
      </c>
      <c r="B1497" s="136" t="s">
        <v>4143</v>
      </c>
      <c r="C1497" s="136" t="s">
        <v>10774</v>
      </c>
      <c r="D1497" s="132" t="s">
        <v>3420</v>
      </c>
      <c r="E1497" s="136" t="s">
        <v>4181</v>
      </c>
      <c r="F1497" s="136" t="s">
        <v>4181</v>
      </c>
      <c r="G1497" s="137">
        <v>1395441450001</v>
      </c>
      <c r="H1497" s="138" t="s">
        <v>6300</v>
      </c>
      <c r="I1497" s="136">
        <v>951500440</v>
      </c>
      <c r="J1497" s="131" t="s">
        <v>4303</v>
      </c>
      <c r="K1497" s="139">
        <v>162820</v>
      </c>
    </row>
    <row r="1498" spans="1:11">
      <c r="A1498" s="1" t="str">
        <f t="shared" si="23"/>
        <v>15100-35355595-951500440134280</v>
      </c>
      <c r="B1498" s="136" t="s">
        <v>4144</v>
      </c>
      <c r="C1498" s="136" t="s">
        <v>10811</v>
      </c>
      <c r="D1498" s="132" t="s">
        <v>3420</v>
      </c>
      <c r="E1498" s="136" t="s">
        <v>4186</v>
      </c>
      <c r="F1498" s="136" t="s">
        <v>4186</v>
      </c>
      <c r="G1498" s="137">
        <v>1395441450001</v>
      </c>
      <c r="H1498" s="138" t="s">
        <v>6300</v>
      </c>
      <c r="I1498" s="136">
        <v>951500440</v>
      </c>
      <c r="J1498" s="131" t="s">
        <v>4303</v>
      </c>
      <c r="K1498" s="139">
        <v>134280</v>
      </c>
    </row>
    <row r="1499" spans="1:11">
      <c r="A1499" s="1" t="str">
        <f t="shared" si="23"/>
        <v>15100-35355595-951500453258680</v>
      </c>
      <c r="B1499" s="136" t="s">
        <v>4144</v>
      </c>
      <c r="C1499" s="136" t="s">
        <v>10811</v>
      </c>
      <c r="D1499" s="132" t="s">
        <v>3420</v>
      </c>
      <c r="E1499" s="136" t="s">
        <v>4186</v>
      </c>
      <c r="F1499" s="136" t="s">
        <v>4186</v>
      </c>
      <c r="G1499" s="137">
        <v>1395449234001</v>
      </c>
      <c r="H1499" s="138" t="s">
        <v>6299</v>
      </c>
      <c r="I1499" s="136">
        <v>951500453</v>
      </c>
      <c r="J1499" s="131" t="s">
        <v>3981</v>
      </c>
      <c r="K1499" s="139">
        <v>258680</v>
      </c>
    </row>
    <row r="1500" spans="1:11">
      <c r="A1500" s="1" t="str">
        <f t="shared" si="23"/>
        <v>15100-27596995-95150016395420</v>
      </c>
      <c r="B1500" s="136" t="s">
        <v>2914</v>
      </c>
      <c r="C1500" s="136" t="s">
        <v>11230</v>
      </c>
      <c r="D1500" s="132" t="s">
        <v>3420</v>
      </c>
      <c r="E1500" s="136" t="s">
        <v>3049</v>
      </c>
      <c r="F1500" s="136" t="s">
        <v>3049</v>
      </c>
      <c r="G1500" s="137">
        <v>1395401420001</v>
      </c>
      <c r="H1500" s="138" t="s">
        <v>6298</v>
      </c>
      <c r="I1500" s="136">
        <v>951500163</v>
      </c>
      <c r="J1500" s="131" t="s">
        <v>2890</v>
      </c>
      <c r="K1500" s="139">
        <v>95420</v>
      </c>
    </row>
    <row r="1501" spans="1:11">
      <c r="A1501" s="1" t="str">
        <f t="shared" si="23"/>
        <v>15100-26156395-95150010324580</v>
      </c>
      <c r="B1501" s="136" t="s">
        <v>2836</v>
      </c>
      <c r="C1501" s="136" t="s">
        <v>11231</v>
      </c>
      <c r="D1501" s="132" t="s">
        <v>3420</v>
      </c>
      <c r="E1501" s="136" t="s">
        <v>2757</v>
      </c>
      <c r="F1501" s="136" t="s">
        <v>2757</v>
      </c>
      <c r="G1501" s="137">
        <v>1395397986001</v>
      </c>
      <c r="H1501" s="138" t="s">
        <v>6454</v>
      </c>
      <c r="I1501" s="136">
        <v>951500103</v>
      </c>
      <c r="J1501" s="131" t="s">
        <v>2886</v>
      </c>
      <c r="K1501" s="139">
        <v>24580</v>
      </c>
    </row>
    <row r="1502" spans="1:11">
      <c r="A1502" s="1" t="str">
        <f t="shared" si="23"/>
        <v>50100-733841595-9515001421000000</v>
      </c>
      <c r="B1502" s="136" t="s">
        <v>2934</v>
      </c>
      <c r="C1502" s="136" t="s">
        <v>11232</v>
      </c>
      <c r="D1502" s="132" t="s">
        <v>3420</v>
      </c>
      <c r="E1502" s="136" t="s">
        <v>3047</v>
      </c>
      <c r="F1502" s="136" t="s">
        <v>3047</v>
      </c>
      <c r="G1502" s="137">
        <v>1395397986001</v>
      </c>
      <c r="H1502" s="138" t="s">
        <v>6454</v>
      </c>
      <c r="I1502" s="136">
        <v>951500142</v>
      </c>
      <c r="J1502" s="131" t="s">
        <v>3081</v>
      </c>
      <c r="K1502" s="139">
        <v>1000000</v>
      </c>
    </row>
    <row r="1503" spans="1:11">
      <c r="A1503" s="1" t="str">
        <f t="shared" si="23"/>
        <v>50100-711519694-941500741300000</v>
      </c>
      <c r="B1503" s="136" t="s">
        <v>10485</v>
      </c>
      <c r="C1503" s="136" t="s">
        <v>10486</v>
      </c>
      <c r="D1503" s="132" t="s">
        <v>3420</v>
      </c>
      <c r="E1503" s="136" t="s">
        <v>2608</v>
      </c>
      <c r="F1503" s="136" t="s">
        <v>2608</v>
      </c>
      <c r="G1503" s="137">
        <v>1394392935001</v>
      </c>
      <c r="H1503" s="138" t="s">
        <v>6298</v>
      </c>
      <c r="I1503" s="136">
        <v>941500741</v>
      </c>
      <c r="J1503" s="131" t="s">
        <v>2655</v>
      </c>
      <c r="K1503" s="139">
        <v>300000</v>
      </c>
    </row>
    <row r="1504" spans="1:11">
      <c r="A1504" s="1" t="str">
        <f t="shared" si="23"/>
        <v>15100-25458194-941500810196040</v>
      </c>
      <c r="B1504" s="136" t="s">
        <v>11233</v>
      </c>
      <c r="C1504" s="136" t="s">
        <v>11234</v>
      </c>
      <c r="D1504" s="132" t="s">
        <v>3420</v>
      </c>
      <c r="E1504" s="136" t="s">
        <v>2619</v>
      </c>
      <c r="F1504" s="136" t="s">
        <v>2619</v>
      </c>
      <c r="G1504" s="137">
        <v>1394394802001</v>
      </c>
      <c r="H1504" s="138" t="s">
        <v>6298</v>
      </c>
      <c r="I1504" s="136">
        <v>941500810</v>
      </c>
      <c r="J1504" s="131" t="s">
        <v>2775</v>
      </c>
      <c r="K1504" s="139">
        <v>196040</v>
      </c>
    </row>
    <row r="1505" spans="1:11">
      <c r="A1505" s="1" t="str">
        <f t="shared" si="23"/>
        <v>15100-26918494-94150084448000</v>
      </c>
      <c r="B1505" s="136" t="s">
        <v>10517</v>
      </c>
      <c r="C1505" s="136" t="s">
        <v>10518</v>
      </c>
      <c r="D1505" s="132" t="s">
        <v>3420</v>
      </c>
      <c r="E1505" s="136" t="s">
        <v>2859</v>
      </c>
      <c r="F1505" s="136" t="s">
        <v>2859</v>
      </c>
      <c r="G1505" s="137">
        <v>1394395844001</v>
      </c>
      <c r="H1505" s="138" t="s">
        <v>6298</v>
      </c>
      <c r="I1505" s="136">
        <v>941500844</v>
      </c>
      <c r="J1505" s="131" t="s">
        <v>2883</v>
      </c>
      <c r="K1505" s="139">
        <v>48000</v>
      </c>
    </row>
    <row r="1506" spans="1:11">
      <c r="A1506" s="1" t="str">
        <f t="shared" si="23"/>
        <v>50100-842806995-951500527430000</v>
      </c>
      <c r="B1506" s="136" t="s">
        <v>4808</v>
      </c>
      <c r="C1506" s="136" t="s">
        <v>11235</v>
      </c>
      <c r="D1506" s="132" t="s">
        <v>3420</v>
      </c>
      <c r="E1506" s="136" t="s">
        <v>4731</v>
      </c>
      <c r="F1506" s="136" t="s">
        <v>4731</v>
      </c>
      <c r="G1506" s="137">
        <v>1395451399001</v>
      </c>
      <c r="H1506" s="138" t="s">
        <v>10206</v>
      </c>
      <c r="I1506" s="136">
        <v>951500527</v>
      </c>
      <c r="J1506" s="131" t="s">
        <v>4906</v>
      </c>
      <c r="K1506" s="139">
        <v>430000</v>
      </c>
    </row>
    <row r="1507" spans="1:11">
      <c r="A1507" s="1" t="str">
        <f t="shared" si="23"/>
        <v>50100-821734495-951500529527050</v>
      </c>
      <c r="B1507" s="136" t="s">
        <v>4420</v>
      </c>
      <c r="C1507" s="136" t="s">
        <v>11212</v>
      </c>
      <c r="D1507" s="132" t="s">
        <v>3420</v>
      </c>
      <c r="E1507" s="136" t="s">
        <v>4307</v>
      </c>
      <c r="F1507" s="136" t="s">
        <v>4307</v>
      </c>
      <c r="G1507" s="137">
        <v>1395447373001</v>
      </c>
      <c r="H1507" s="138" t="s">
        <v>6453</v>
      </c>
      <c r="I1507" s="136">
        <v>951500529</v>
      </c>
      <c r="J1507" s="131" t="s">
        <v>4214</v>
      </c>
      <c r="K1507" s="139">
        <v>527050</v>
      </c>
    </row>
    <row r="1508" spans="1:11">
      <c r="A1508" s="1" t="str">
        <f t="shared" si="23"/>
        <v>50100-765465994-941500356139480</v>
      </c>
      <c r="B1508" s="136" t="s">
        <v>3390</v>
      </c>
      <c r="C1508" s="136" t="s">
        <v>11236</v>
      </c>
      <c r="D1508" s="132" t="s">
        <v>3420</v>
      </c>
      <c r="E1508" s="136" t="s">
        <v>3397</v>
      </c>
      <c r="F1508" s="136" t="s">
        <v>3397</v>
      </c>
      <c r="G1508" s="137">
        <v>1394347415001</v>
      </c>
      <c r="H1508" s="138" t="s">
        <v>6456</v>
      </c>
      <c r="I1508" s="136">
        <v>941500356</v>
      </c>
      <c r="J1508" s="131" t="s">
        <v>2287</v>
      </c>
      <c r="K1508" s="139">
        <v>139480</v>
      </c>
    </row>
    <row r="1509" spans="1:11">
      <c r="A1509" s="1" t="str">
        <f t="shared" si="23"/>
        <v>50100-765465995-951500154360260</v>
      </c>
      <c r="B1509" s="136" t="s">
        <v>3390</v>
      </c>
      <c r="C1509" s="136" t="s">
        <v>11236</v>
      </c>
      <c r="D1509" s="132" t="s">
        <v>3420</v>
      </c>
      <c r="E1509" s="136" t="s">
        <v>3397</v>
      </c>
      <c r="F1509" s="136" t="s">
        <v>3397</v>
      </c>
      <c r="G1509" s="137">
        <v>1395397987001</v>
      </c>
      <c r="H1509" s="138" t="s">
        <v>10183</v>
      </c>
      <c r="I1509" s="136">
        <v>951500154</v>
      </c>
      <c r="J1509" s="131" t="s">
        <v>3347</v>
      </c>
      <c r="K1509" s="139">
        <v>360260</v>
      </c>
    </row>
    <row r="1510" spans="1:11">
      <c r="A1510" s="1" t="str">
        <f t="shared" si="23"/>
        <v>50100-719981595-951500028239035</v>
      </c>
      <c r="B1510" s="136" t="s">
        <v>2722</v>
      </c>
      <c r="C1510" s="136" t="s">
        <v>11237</v>
      </c>
      <c r="D1510" s="132" t="s">
        <v>3420</v>
      </c>
      <c r="E1510" s="136" t="s">
        <v>2756</v>
      </c>
      <c r="F1510" s="136" t="s">
        <v>2756</v>
      </c>
      <c r="G1510" s="137">
        <v>1394394801001</v>
      </c>
      <c r="H1510" s="138" t="s">
        <v>10183</v>
      </c>
      <c r="I1510" s="136">
        <v>951500028</v>
      </c>
      <c r="J1510" s="131" t="s">
        <v>2792</v>
      </c>
      <c r="K1510" s="139">
        <v>239035</v>
      </c>
    </row>
    <row r="1511" spans="1:11">
      <c r="A1511" s="1" t="str">
        <f t="shared" si="23"/>
        <v>50100-849946996-96150000494731</v>
      </c>
      <c r="B1511" s="136" t="s">
        <v>4845</v>
      </c>
      <c r="C1511" s="136" t="s">
        <v>8919</v>
      </c>
      <c r="D1511" s="132" t="s">
        <v>4971</v>
      </c>
      <c r="E1511" s="136" t="s">
        <v>4881</v>
      </c>
      <c r="F1511" s="136" t="s">
        <v>4881</v>
      </c>
      <c r="G1511" s="137">
        <v>1395451401001</v>
      </c>
      <c r="H1511" s="138" t="s">
        <v>6300</v>
      </c>
      <c r="I1511" s="136">
        <v>961500004</v>
      </c>
      <c r="J1511" s="131" t="s">
        <v>4959</v>
      </c>
      <c r="K1511" s="139">
        <v>94731</v>
      </c>
    </row>
    <row r="1512" spans="1:11">
      <c r="A1512" s="1" t="str">
        <f t="shared" si="23"/>
        <v>50100-853807996-961500015310000</v>
      </c>
      <c r="B1512" s="136" t="s">
        <v>4996</v>
      </c>
      <c r="C1512" s="136" t="s">
        <v>8958</v>
      </c>
      <c r="D1512" s="132" t="s">
        <v>4971</v>
      </c>
      <c r="E1512" s="136" t="s">
        <v>5013</v>
      </c>
      <c r="F1512" s="136" t="s">
        <v>5013</v>
      </c>
      <c r="G1512" s="137">
        <v>1396471726001</v>
      </c>
      <c r="H1512" s="138" t="s">
        <v>10206</v>
      </c>
      <c r="I1512" s="136">
        <v>961500015</v>
      </c>
      <c r="J1512" s="131" t="s">
        <v>5019</v>
      </c>
      <c r="K1512" s="139">
        <v>310000</v>
      </c>
    </row>
    <row r="1513" spans="1:11">
      <c r="A1513" s="1" t="str">
        <f t="shared" si="23"/>
        <v>50100-855611796-962500016195250</v>
      </c>
      <c r="B1513" s="136" t="s">
        <v>4997</v>
      </c>
      <c r="C1513" s="136" t="s">
        <v>8959</v>
      </c>
      <c r="D1513" s="132" t="s">
        <v>4971</v>
      </c>
      <c r="E1513" s="136" t="s">
        <v>4972</v>
      </c>
      <c r="F1513" s="136" t="s">
        <v>4972</v>
      </c>
      <c r="G1513" s="137">
        <v>1396471989001</v>
      </c>
      <c r="H1513" s="140" t="s">
        <v>6456</v>
      </c>
      <c r="I1513" s="141">
        <v>962500016</v>
      </c>
      <c r="J1513" s="131" t="s">
        <v>5037</v>
      </c>
      <c r="K1513" s="142">
        <v>195250</v>
      </c>
    </row>
    <row r="1514" spans="1:11">
      <c r="A1514" s="1" t="str">
        <f t="shared" si="23"/>
        <v>15100-37055995-95150050926020</v>
      </c>
      <c r="B1514" s="136" t="s">
        <v>4397</v>
      </c>
      <c r="C1514" s="136" t="s">
        <v>11173</v>
      </c>
      <c r="D1514" s="132" t="s">
        <v>3420</v>
      </c>
      <c r="E1514" s="136" t="s">
        <v>4442</v>
      </c>
      <c r="F1514" s="136" t="s">
        <v>4442</v>
      </c>
      <c r="G1514" s="137">
        <v>1395449235001</v>
      </c>
      <c r="H1514" s="138" t="s">
        <v>6299</v>
      </c>
      <c r="I1514" s="136">
        <v>951500509</v>
      </c>
      <c r="J1514" s="131" t="s">
        <v>4351</v>
      </c>
      <c r="K1514" s="139">
        <v>26020</v>
      </c>
    </row>
    <row r="1515" spans="1:11">
      <c r="A1515" s="1" t="str">
        <f t="shared" si="23"/>
        <v>50100-727836795-951500110100700</v>
      </c>
      <c r="B1515" s="136" t="s">
        <v>2980</v>
      </c>
      <c r="C1515" s="136" t="s">
        <v>11238</v>
      </c>
      <c r="D1515" s="132" t="s">
        <v>3420</v>
      </c>
      <c r="E1515" s="136" t="s">
        <v>2860</v>
      </c>
      <c r="F1515" s="136" t="s">
        <v>2860</v>
      </c>
      <c r="G1515" s="137">
        <v>1394395847001</v>
      </c>
      <c r="H1515" s="138" t="s">
        <v>10183</v>
      </c>
      <c r="I1515" s="136">
        <v>951500110</v>
      </c>
      <c r="J1515" s="131" t="s">
        <v>3109</v>
      </c>
      <c r="K1515" s="139">
        <v>100700</v>
      </c>
    </row>
    <row r="1516" spans="1:11">
      <c r="A1516" s="1" t="str">
        <f t="shared" si="23"/>
        <v>50100-830348195-951500503915300</v>
      </c>
      <c r="B1516" s="136" t="s">
        <v>4626</v>
      </c>
      <c r="C1516" s="136" t="s">
        <v>11239</v>
      </c>
      <c r="D1516" s="132" t="s">
        <v>3420</v>
      </c>
      <c r="E1516" s="136" t="s">
        <v>4659</v>
      </c>
      <c r="F1516" s="136" t="s">
        <v>4659</v>
      </c>
      <c r="G1516" s="137">
        <v>1395447373001</v>
      </c>
      <c r="H1516" s="138" t="s">
        <v>6453</v>
      </c>
      <c r="I1516" s="136">
        <v>951500503</v>
      </c>
      <c r="J1516" s="131" t="s">
        <v>4673</v>
      </c>
      <c r="K1516" s="139">
        <v>915300</v>
      </c>
    </row>
    <row r="1517" spans="1:11">
      <c r="A1517" s="1" t="str">
        <f t="shared" si="23"/>
        <v>50100-844883295-951500571488400</v>
      </c>
      <c r="B1517" s="136" t="s">
        <v>4820</v>
      </c>
      <c r="C1517" s="136" t="s">
        <v>11240</v>
      </c>
      <c r="D1517" s="132" t="s">
        <v>3420</v>
      </c>
      <c r="E1517" s="136" t="s">
        <v>4877</v>
      </c>
      <c r="F1517" s="136" t="s">
        <v>4877</v>
      </c>
      <c r="G1517" s="137">
        <v>1395451399001</v>
      </c>
      <c r="H1517" s="138" t="s">
        <v>10206</v>
      </c>
      <c r="I1517" s="136">
        <v>951500571</v>
      </c>
      <c r="J1517" s="131" t="s">
        <v>4937</v>
      </c>
      <c r="K1517" s="139">
        <v>488400</v>
      </c>
    </row>
    <row r="1518" spans="1:11">
      <c r="A1518" s="1" t="str">
        <f t="shared" si="23"/>
        <v>50100-849946996-961500001300000</v>
      </c>
      <c r="B1518" s="136" t="s">
        <v>4845</v>
      </c>
      <c r="C1518" s="136" t="s">
        <v>8919</v>
      </c>
      <c r="D1518" s="132" t="s">
        <v>4971</v>
      </c>
      <c r="E1518" s="136" t="s">
        <v>4881</v>
      </c>
      <c r="F1518" s="136" t="s">
        <v>4881</v>
      </c>
      <c r="G1518" s="137">
        <v>1395451401001</v>
      </c>
      <c r="H1518" s="138" t="s">
        <v>6300</v>
      </c>
      <c r="I1518" s="136">
        <v>961500001</v>
      </c>
      <c r="J1518" s="131" t="s">
        <v>4958</v>
      </c>
      <c r="K1518" s="139">
        <v>300000</v>
      </c>
    </row>
    <row r="1519" spans="1:11">
      <c r="A1519" s="1" t="str">
        <f t="shared" si="23"/>
        <v>50100-821711495-952500039199050</v>
      </c>
      <c r="B1519" s="136" t="s">
        <v>4421</v>
      </c>
      <c r="C1519" s="136" t="s">
        <v>11241</v>
      </c>
      <c r="D1519" s="132" t="s">
        <v>3420</v>
      </c>
      <c r="E1519" s="136" t="s">
        <v>4307</v>
      </c>
      <c r="F1519" s="136" t="s">
        <v>4307</v>
      </c>
      <c r="G1519" s="137">
        <v>1395441908001</v>
      </c>
      <c r="H1519" s="138" t="s">
        <v>6298</v>
      </c>
      <c r="I1519" s="136">
        <v>952500039</v>
      </c>
      <c r="J1519" s="131" t="s">
        <v>4486</v>
      </c>
      <c r="K1519" s="139">
        <v>199050</v>
      </c>
    </row>
    <row r="1520" spans="1:11">
      <c r="A1520" s="1" t="str">
        <f t="shared" si="23"/>
        <v>15100-37055995-95150047620210</v>
      </c>
      <c r="B1520" s="136" t="s">
        <v>4397</v>
      </c>
      <c r="C1520" s="136" t="s">
        <v>11173</v>
      </c>
      <c r="D1520" s="132" t="s">
        <v>3420</v>
      </c>
      <c r="E1520" s="136" t="s">
        <v>4442</v>
      </c>
      <c r="F1520" s="136" t="s">
        <v>4442</v>
      </c>
      <c r="G1520" s="137">
        <v>1395449236001</v>
      </c>
      <c r="H1520" s="138" t="s">
        <v>6298</v>
      </c>
      <c r="I1520" s="136">
        <v>951500476</v>
      </c>
      <c r="J1520" s="131" t="s">
        <v>4451</v>
      </c>
      <c r="K1520" s="139">
        <v>20210</v>
      </c>
    </row>
    <row r="1521" spans="1:11">
      <c r="A1521" s="1" t="str">
        <f t="shared" si="23"/>
        <v>15100-26814295-951500120197660</v>
      </c>
      <c r="B1521" s="136" t="s">
        <v>2817</v>
      </c>
      <c r="C1521" s="136" t="s">
        <v>11172</v>
      </c>
      <c r="D1521" s="132" t="s">
        <v>3420</v>
      </c>
      <c r="E1521" s="136" t="s">
        <v>2851</v>
      </c>
      <c r="F1521" s="136" t="s">
        <v>2851</v>
      </c>
      <c r="G1521" s="137">
        <v>1395397985001</v>
      </c>
      <c r="H1521" s="138" t="s">
        <v>6298</v>
      </c>
      <c r="I1521" s="136">
        <v>951500120</v>
      </c>
      <c r="J1521" s="131" t="s">
        <v>2895</v>
      </c>
      <c r="K1521" s="139">
        <v>197660</v>
      </c>
    </row>
    <row r="1522" spans="1:11">
      <c r="A1522" s="1" t="str">
        <f t="shared" si="23"/>
        <v>50100-713755194-94150058917186</v>
      </c>
      <c r="B1522" s="136" t="s">
        <v>11242</v>
      </c>
      <c r="C1522" s="136" t="s">
        <v>11243</v>
      </c>
      <c r="D1522" s="132" t="s">
        <v>3420</v>
      </c>
      <c r="E1522" s="136" t="s">
        <v>2617</v>
      </c>
      <c r="F1522" s="136" t="s">
        <v>2617</v>
      </c>
      <c r="G1522" s="137">
        <v>1394382630001</v>
      </c>
      <c r="H1522" s="138" t="s">
        <v>10183</v>
      </c>
      <c r="I1522" s="136">
        <v>941500589</v>
      </c>
      <c r="J1522" s="131" t="s">
        <v>7089</v>
      </c>
      <c r="K1522" s="139">
        <v>17186</v>
      </c>
    </row>
    <row r="1523" spans="1:11">
      <c r="A1523" s="1" t="str">
        <f t="shared" si="23"/>
        <v>50100-842806995-95150051870000</v>
      </c>
      <c r="B1523" s="136" t="s">
        <v>4808</v>
      </c>
      <c r="C1523" s="136" t="s">
        <v>11235</v>
      </c>
      <c r="D1523" s="132" t="s">
        <v>3420</v>
      </c>
      <c r="E1523" s="136" t="s">
        <v>4731</v>
      </c>
      <c r="F1523" s="136" t="s">
        <v>4731</v>
      </c>
      <c r="G1523" s="137">
        <v>1395451399001</v>
      </c>
      <c r="H1523" s="138" t="s">
        <v>10206</v>
      </c>
      <c r="I1523" s="136">
        <v>951500518</v>
      </c>
      <c r="J1523" s="131" t="s">
        <v>4896</v>
      </c>
      <c r="K1523" s="139">
        <v>70000</v>
      </c>
    </row>
    <row r="1524" spans="1:11">
      <c r="A1524" s="1" t="str">
        <f t="shared" si="23"/>
        <v>50100-821734495-951500497850</v>
      </c>
      <c r="B1524" s="136" t="s">
        <v>4420</v>
      </c>
      <c r="C1524" s="136" t="s">
        <v>11212</v>
      </c>
      <c r="D1524" s="132" t="s">
        <v>3420</v>
      </c>
      <c r="E1524" s="136" t="s">
        <v>4307</v>
      </c>
      <c r="F1524" s="136" t="s">
        <v>4307</v>
      </c>
      <c r="G1524" s="137">
        <v>1395447373001</v>
      </c>
      <c r="H1524" s="138" t="s">
        <v>6453</v>
      </c>
      <c r="I1524" s="136">
        <v>951500497</v>
      </c>
      <c r="J1524" s="131" t="s">
        <v>4478</v>
      </c>
      <c r="K1524" s="139">
        <v>850</v>
      </c>
    </row>
    <row r="1525" spans="1:11">
      <c r="A1525" s="1" t="str">
        <f t="shared" si="23"/>
        <v>50100-713755194-941500746129000</v>
      </c>
      <c r="B1525" s="136" t="s">
        <v>11242</v>
      </c>
      <c r="C1525" s="136" t="s">
        <v>11243</v>
      </c>
      <c r="D1525" s="132" t="s">
        <v>3420</v>
      </c>
      <c r="E1525" s="136" t="s">
        <v>2617</v>
      </c>
      <c r="F1525" s="136" t="s">
        <v>2617</v>
      </c>
      <c r="G1525" s="137">
        <v>1394394178001</v>
      </c>
      <c r="H1525" s="138" t="s">
        <v>6298</v>
      </c>
      <c r="I1525" s="136">
        <v>941500746</v>
      </c>
      <c r="J1525" s="131" t="s">
        <v>2628</v>
      </c>
      <c r="K1525" s="139">
        <v>129000</v>
      </c>
    </row>
    <row r="1526" spans="1:11">
      <c r="A1526" s="1" t="str">
        <f t="shared" si="23"/>
        <v>50100-784325095-95150023197560</v>
      </c>
      <c r="B1526" s="136" t="s">
        <v>3687</v>
      </c>
      <c r="C1526" s="136" t="s">
        <v>11186</v>
      </c>
      <c r="D1526" s="132" t="s">
        <v>3420</v>
      </c>
      <c r="E1526" s="136" t="s">
        <v>3665</v>
      </c>
      <c r="F1526" s="136" t="s">
        <v>3665</v>
      </c>
      <c r="G1526" s="137">
        <v>1395426988001</v>
      </c>
      <c r="H1526" s="138" t="s">
        <v>6300</v>
      </c>
      <c r="I1526" s="136">
        <v>951500231</v>
      </c>
      <c r="J1526" s="131" t="s">
        <v>3568</v>
      </c>
      <c r="K1526" s="139">
        <v>97560</v>
      </c>
    </row>
    <row r="1527" spans="1:11">
      <c r="A1527" s="1" t="str">
        <f t="shared" si="23"/>
        <v>50100-720743095-951500045399490</v>
      </c>
      <c r="B1527" s="136" t="s">
        <v>2718</v>
      </c>
      <c r="C1527" s="136" t="s">
        <v>11244</v>
      </c>
      <c r="D1527" s="132" t="s">
        <v>3420</v>
      </c>
      <c r="E1527" s="136" t="s">
        <v>2755</v>
      </c>
      <c r="F1527" s="136" t="s">
        <v>2755</v>
      </c>
      <c r="G1527" s="137">
        <v>1394395845001</v>
      </c>
      <c r="H1527" s="138" t="s">
        <v>6453</v>
      </c>
      <c r="I1527" s="136">
        <v>951500045</v>
      </c>
      <c r="J1527" s="131" t="s">
        <v>2791</v>
      </c>
      <c r="K1527" s="139">
        <v>399490</v>
      </c>
    </row>
    <row r="1528" spans="1:11">
      <c r="A1528" s="1" t="str">
        <f t="shared" si="23"/>
        <v>50100-720719995-951500045199365</v>
      </c>
      <c r="B1528" s="136" t="s">
        <v>2732</v>
      </c>
      <c r="C1528" s="136" t="s">
        <v>11245</v>
      </c>
      <c r="D1528" s="132" t="s">
        <v>3420</v>
      </c>
      <c r="E1528" s="136" t="s">
        <v>2755</v>
      </c>
      <c r="F1528" s="136" t="s">
        <v>2755</v>
      </c>
      <c r="G1528" s="137">
        <v>1394395845001</v>
      </c>
      <c r="H1528" s="138" t="s">
        <v>6453</v>
      </c>
      <c r="I1528" s="136">
        <v>951500045</v>
      </c>
      <c r="J1528" s="131" t="s">
        <v>2791</v>
      </c>
      <c r="K1528" s="139">
        <v>199365</v>
      </c>
    </row>
    <row r="1529" spans="1:11">
      <c r="A1529" s="1" t="str">
        <f t="shared" si="23"/>
        <v>50100-818715895-951500483298870</v>
      </c>
      <c r="B1529" s="136" t="s">
        <v>4422</v>
      </c>
      <c r="C1529" s="136" t="s">
        <v>11246</v>
      </c>
      <c r="D1529" s="132" t="s">
        <v>3420</v>
      </c>
      <c r="E1529" s="136" t="s">
        <v>4443</v>
      </c>
      <c r="F1529" s="136" t="s">
        <v>4443</v>
      </c>
      <c r="G1529" s="137">
        <v>1395445413001</v>
      </c>
      <c r="H1529" s="138" t="s">
        <v>6300</v>
      </c>
      <c r="I1529" s="136">
        <v>951500483</v>
      </c>
      <c r="J1529" s="131" t="s">
        <v>4483</v>
      </c>
      <c r="K1529" s="139">
        <v>298870</v>
      </c>
    </row>
    <row r="1530" spans="1:11">
      <c r="A1530" s="1" t="str">
        <f t="shared" si="23"/>
        <v>50100-821711495-952500038198723</v>
      </c>
      <c r="B1530" s="136" t="s">
        <v>4421</v>
      </c>
      <c r="C1530" s="136" t="s">
        <v>11241</v>
      </c>
      <c r="D1530" s="132" t="s">
        <v>3420</v>
      </c>
      <c r="E1530" s="136" t="s">
        <v>4307</v>
      </c>
      <c r="F1530" s="136" t="s">
        <v>4307</v>
      </c>
      <c r="G1530" s="137">
        <v>1395441908001</v>
      </c>
      <c r="H1530" s="138" t="s">
        <v>6298</v>
      </c>
      <c r="I1530" s="136">
        <v>952500038</v>
      </c>
      <c r="J1530" s="131" t="s">
        <v>4487</v>
      </c>
      <c r="K1530" s="139">
        <v>198723</v>
      </c>
    </row>
    <row r="1531" spans="1:11">
      <c r="A1531" s="1" t="str">
        <f t="shared" si="23"/>
        <v>50100-721603595-951500066500000</v>
      </c>
      <c r="B1531" s="136" t="s">
        <v>2731</v>
      </c>
      <c r="C1531" s="136" t="s">
        <v>11247</v>
      </c>
      <c r="D1531" s="132" t="s">
        <v>3420</v>
      </c>
      <c r="E1531" s="136" t="s">
        <v>2757</v>
      </c>
      <c r="F1531" s="136" t="s">
        <v>2757</v>
      </c>
      <c r="G1531" s="137">
        <v>1394395845001</v>
      </c>
      <c r="H1531" s="138" t="s">
        <v>6453</v>
      </c>
      <c r="I1531" s="136">
        <v>951500066</v>
      </c>
      <c r="J1531" s="131" t="s">
        <v>2806</v>
      </c>
      <c r="K1531" s="139">
        <v>500000</v>
      </c>
    </row>
    <row r="1532" spans="1:11">
      <c r="A1532" s="1" t="str">
        <f t="shared" si="23"/>
        <v>50100-721603595-95150006798975</v>
      </c>
      <c r="B1532" s="136" t="s">
        <v>2731</v>
      </c>
      <c r="C1532" s="136" t="s">
        <v>11247</v>
      </c>
      <c r="D1532" s="132" t="s">
        <v>3420</v>
      </c>
      <c r="E1532" s="136" t="s">
        <v>2757</v>
      </c>
      <c r="F1532" s="136" t="s">
        <v>2757</v>
      </c>
      <c r="G1532" s="137">
        <v>1394395845001</v>
      </c>
      <c r="H1532" s="138" t="s">
        <v>6453</v>
      </c>
      <c r="I1532" s="136">
        <v>951500067</v>
      </c>
      <c r="J1532" s="131" t="s">
        <v>2807</v>
      </c>
      <c r="K1532" s="139">
        <v>98975</v>
      </c>
    </row>
    <row r="1533" spans="1:11">
      <c r="A1533" s="1" t="str">
        <f t="shared" si="23"/>
        <v>50100-853004596-964100010421469</v>
      </c>
      <c r="B1533" s="136" t="s">
        <v>4995</v>
      </c>
      <c r="C1533" s="136" t="s">
        <v>8957</v>
      </c>
      <c r="D1533" s="132" t="s">
        <v>4971</v>
      </c>
      <c r="E1533" s="136" t="s">
        <v>5011</v>
      </c>
      <c r="F1533" s="136" t="s">
        <v>5011</v>
      </c>
      <c r="G1533" s="137">
        <v>1396471704001</v>
      </c>
      <c r="H1533" s="138" t="s">
        <v>6452</v>
      </c>
      <c r="I1533" s="136">
        <v>964100010</v>
      </c>
      <c r="J1533" s="131" t="s">
        <v>5051</v>
      </c>
      <c r="K1533" s="139">
        <v>421469</v>
      </c>
    </row>
    <row r="1534" spans="1:11">
      <c r="A1534" s="1" t="str">
        <f t="shared" si="23"/>
        <v>50100-821711495-9525000403327</v>
      </c>
      <c r="B1534" s="136" t="s">
        <v>4421</v>
      </c>
      <c r="C1534" s="136" t="s">
        <v>11241</v>
      </c>
      <c r="D1534" s="132" t="s">
        <v>3420</v>
      </c>
      <c r="E1534" s="136" t="s">
        <v>4307</v>
      </c>
      <c r="F1534" s="136" t="s">
        <v>4307</v>
      </c>
      <c r="G1534" s="137">
        <v>1395441908001</v>
      </c>
      <c r="H1534" s="138" t="s">
        <v>6298</v>
      </c>
      <c r="I1534" s="136">
        <v>952500040</v>
      </c>
      <c r="J1534" s="131" t="s">
        <v>4489</v>
      </c>
      <c r="K1534" s="139">
        <v>3327</v>
      </c>
    </row>
    <row r="1535" spans="1:11">
      <c r="A1535" s="1" t="str">
        <f t="shared" si="23"/>
        <v>50100-718382795-951500030300000</v>
      </c>
      <c r="B1535" s="136" t="s">
        <v>2723</v>
      </c>
      <c r="C1535" s="136" t="s">
        <v>11248</v>
      </c>
      <c r="D1535" s="132" t="s">
        <v>3420</v>
      </c>
      <c r="E1535" s="136" t="s">
        <v>2751</v>
      </c>
      <c r="F1535" s="136" t="s">
        <v>2751</v>
      </c>
      <c r="G1535" s="137">
        <v>1395397985001</v>
      </c>
      <c r="H1535" s="138" t="s">
        <v>6298</v>
      </c>
      <c r="I1535" s="136">
        <v>951500030</v>
      </c>
      <c r="J1535" s="131" t="s">
        <v>2785</v>
      </c>
      <c r="K1535" s="139">
        <v>300000</v>
      </c>
    </row>
    <row r="1536" spans="1:11">
      <c r="A1536" s="1" t="str">
        <f t="shared" si="23"/>
        <v>15100-27269394-94150071622420</v>
      </c>
      <c r="B1536" s="136" t="s">
        <v>11218</v>
      </c>
      <c r="C1536" s="136" t="s">
        <v>11219</v>
      </c>
      <c r="D1536" s="132" t="s">
        <v>3420</v>
      </c>
      <c r="E1536" s="136" t="s">
        <v>2866</v>
      </c>
      <c r="F1536" s="136" t="s">
        <v>2866</v>
      </c>
      <c r="G1536" s="137">
        <v>1394392935001</v>
      </c>
      <c r="H1536" s="138" t="s">
        <v>6298</v>
      </c>
      <c r="I1536" s="136">
        <v>941500716</v>
      </c>
      <c r="J1536" s="131" t="s">
        <v>2767</v>
      </c>
      <c r="K1536" s="139">
        <v>22420</v>
      </c>
    </row>
    <row r="1537" spans="1:11">
      <c r="A1537" s="1" t="str">
        <f t="shared" si="23"/>
        <v>15100-27591394-94150078230890</v>
      </c>
      <c r="B1537" s="136" t="s">
        <v>11249</v>
      </c>
      <c r="C1537" s="136" t="s">
        <v>11250</v>
      </c>
      <c r="D1537" s="132" t="s">
        <v>3420</v>
      </c>
      <c r="E1537" s="136" t="s">
        <v>3049</v>
      </c>
      <c r="F1537" s="136" t="s">
        <v>3049</v>
      </c>
      <c r="G1537" s="137">
        <v>1394394178001</v>
      </c>
      <c r="H1537" s="138" t="s">
        <v>6298</v>
      </c>
      <c r="I1537" s="136">
        <v>941500782</v>
      </c>
      <c r="J1537" s="131" t="s">
        <v>3059</v>
      </c>
      <c r="K1537" s="139">
        <v>30890</v>
      </c>
    </row>
    <row r="1538" spans="1:11">
      <c r="A1538" s="1" t="str">
        <f t="shared" si="23"/>
        <v>15100-29053394-941500831122320</v>
      </c>
      <c r="B1538" s="136" t="s">
        <v>11251</v>
      </c>
      <c r="C1538" s="136" t="s">
        <v>11252</v>
      </c>
      <c r="D1538" s="132" t="s">
        <v>3420</v>
      </c>
      <c r="E1538" s="136" t="s">
        <v>10706</v>
      </c>
      <c r="F1538" s="136" t="s">
        <v>10706</v>
      </c>
      <c r="G1538" s="137">
        <v>1394395844001</v>
      </c>
      <c r="H1538" s="138" t="s">
        <v>6298</v>
      </c>
      <c r="I1538" s="136">
        <v>941500831</v>
      </c>
      <c r="J1538" s="131" t="s">
        <v>3285</v>
      </c>
      <c r="K1538" s="139">
        <v>122320</v>
      </c>
    </row>
    <row r="1539" spans="1:11">
      <c r="A1539" s="1" t="str">
        <f t="shared" ref="A1539:A1602" si="24">B1539&amp;J1539&amp;K1539</f>
        <v>15100-25982794-94150082124680</v>
      </c>
      <c r="B1539" s="136" t="s">
        <v>11253</v>
      </c>
      <c r="C1539" s="136" t="s">
        <v>11254</v>
      </c>
      <c r="D1539" s="132" t="s">
        <v>3420</v>
      </c>
      <c r="E1539" s="136" t="s">
        <v>2756</v>
      </c>
      <c r="F1539" s="136" t="s">
        <v>2756</v>
      </c>
      <c r="G1539" s="137">
        <v>1394394802001</v>
      </c>
      <c r="H1539" s="138" t="s">
        <v>6298</v>
      </c>
      <c r="I1539" s="136">
        <v>941500821</v>
      </c>
      <c r="J1539" s="131" t="s">
        <v>2663</v>
      </c>
      <c r="K1539" s="139">
        <v>24680</v>
      </c>
    </row>
    <row r="1540" spans="1:11">
      <c r="A1540" s="1" t="str">
        <f t="shared" si="24"/>
        <v>15100-26037794-941500821249510</v>
      </c>
      <c r="B1540" s="136" t="s">
        <v>11255</v>
      </c>
      <c r="C1540" s="136" t="s">
        <v>11256</v>
      </c>
      <c r="D1540" s="132" t="s">
        <v>3420</v>
      </c>
      <c r="E1540" s="136" t="s">
        <v>2755</v>
      </c>
      <c r="F1540" s="136" t="s">
        <v>2755</v>
      </c>
      <c r="G1540" s="137">
        <v>1394394802001</v>
      </c>
      <c r="H1540" s="138" t="s">
        <v>6298</v>
      </c>
      <c r="I1540" s="136">
        <v>941500821</v>
      </c>
      <c r="J1540" s="131" t="s">
        <v>2663</v>
      </c>
      <c r="K1540" s="139">
        <v>249510</v>
      </c>
    </row>
    <row r="1541" spans="1:11">
      <c r="A1541" s="1" t="str">
        <f t="shared" si="24"/>
        <v>15100-26037794-941500718277830</v>
      </c>
      <c r="B1541" s="136" t="s">
        <v>11255</v>
      </c>
      <c r="C1541" s="136" t="s">
        <v>11256</v>
      </c>
      <c r="D1541" s="132" t="s">
        <v>3420</v>
      </c>
      <c r="E1541" s="136" t="s">
        <v>2755</v>
      </c>
      <c r="F1541" s="136" t="s">
        <v>2755</v>
      </c>
      <c r="G1541" s="137">
        <v>1394392935001</v>
      </c>
      <c r="H1541" s="138" t="s">
        <v>6298</v>
      </c>
      <c r="I1541" s="136">
        <v>941500718</v>
      </c>
      <c r="J1541" s="131" t="s">
        <v>2871</v>
      </c>
      <c r="K1541" s="139">
        <v>277830</v>
      </c>
    </row>
    <row r="1542" spans="1:11">
      <c r="A1542" s="1" t="str">
        <f t="shared" si="24"/>
        <v>15100-26199194-94150079995270</v>
      </c>
      <c r="B1542" s="136" t="s">
        <v>11257</v>
      </c>
      <c r="C1542" s="136" t="s">
        <v>11258</v>
      </c>
      <c r="D1542" s="132" t="s">
        <v>3420</v>
      </c>
      <c r="E1542" s="136" t="s">
        <v>2861</v>
      </c>
      <c r="F1542" s="136" t="s">
        <v>2861</v>
      </c>
      <c r="G1542" s="137">
        <v>1394394802001</v>
      </c>
      <c r="H1542" s="138" t="s">
        <v>6298</v>
      </c>
      <c r="I1542" s="136">
        <v>941500799</v>
      </c>
      <c r="J1542" s="131" t="s">
        <v>2888</v>
      </c>
      <c r="K1542" s="139">
        <v>95270</v>
      </c>
    </row>
    <row r="1543" spans="1:11">
      <c r="A1543" s="1" t="str">
        <f t="shared" si="24"/>
        <v>15100-26550994-94150071649510</v>
      </c>
      <c r="B1543" s="136" t="s">
        <v>11259</v>
      </c>
      <c r="C1543" s="136" t="s">
        <v>11260</v>
      </c>
      <c r="D1543" s="132" t="s">
        <v>3420</v>
      </c>
      <c r="E1543" s="136" t="s">
        <v>2867</v>
      </c>
      <c r="F1543" s="136" t="s">
        <v>2867</v>
      </c>
      <c r="G1543" s="137">
        <v>1394392935001</v>
      </c>
      <c r="H1543" s="138" t="s">
        <v>6298</v>
      </c>
      <c r="I1543" s="136">
        <v>941500716</v>
      </c>
      <c r="J1543" s="131" t="s">
        <v>2767</v>
      </c>
      <c r="K1543" s="139">
        <v>49510</v>
      </c>
    </row>
    <row r="1544" spans="1:11">
      <c r="A1544" s="1" t="str">
        <f t="shared" si="24"/>
        <v>15100-26553395-951500013100200</v>
      </c>
      <c r="B1544" s="136" t="s">
        <v>2845</v>
      </c>
      <c r="C1544" s="136" t="s">
        <v>11261</v>
      </c>
      <c r="D1544" s="132" t="s">
        <v>3420</v>
      </c>
      <c r="E1544" s="136" t="s">
        <v>2867</v>
      </c>
      <c r="F1544" s="136" t="s">
        <v>2867</v>
      </c>
      <c r="G1544" s="137">
        <v>1394394801001</v>
      </c>
      <c r="H1544" s="138" t="s">
        <v>10183</v>
      </c>
      <c r="I1544" s="136">
        <v>951500013</v>
      </c>
      <c r="J1544" s="131" t="s">
        <v>2773</v>
      </c>
      <c r="K1544" s="139">
        <v>100200</v>
      </c>
    </row>
    <row r="1545" spans="1:11">
      <c r="A1545" s="1" t="str">
        <f t="shared" si="24"/>
        <v>15100-36116595-95150046750930</v>
      </c>
      <c r="B1545" s="136" t="s">
        <v>4318</v>
      </c>
      <c r="C1545" s="136" t="s">
        <v>11262</v>
      </c>
      <c r="D1545" s="132" t="s">
        <v>3420</v>
      </c>
      <c r="E1545" s="136" t="s">
        <v>4170</v>
      </c>
      <c r="F1545" s="136" t="s">
        <v>4170</v>
      </c>
      <c r="G1545" s="137">
        <v>1395447925001</v>
      </c>
      <c r="H1545" s="138" t="s">
        <v>6298</v>
      </c>
      <c r="I1545" s="136">
        <v>951500467</v>
      </c>
      <c r="J1545" s="131" t="s">
        <v>4276</v>
      </c>
      <c r="K1545" s="139">
        <v>50930</v>
      </c>
    </row>
    <row r="1546" spans="1:11">
      <c r="A1546" s="1" t="str">
        <f t="shared" si="24"/>
        <v>50100-713755194-94150079512654</v>
      </c>
      <c r="B1546" s="136" t="s">
        <v>11242</v>
      </c>
      <c r="C1546" s="136" t="s">
        <v>11243</v>
      </c>
      <c r="D1546" s="132" t="s">
        <v>3420</v>
      </c>
      <c r="E1546" s="136" t="s">
        <v>2617</v>
      </c>
      <c r="F1546" s="136" t="s">
        <v>2617</v>
      </c>
      <c r="G1546" s="137">
        <v>1394391770001</v>
      </c>
      <c r="H1546" s="138" t="s">
        <v>10186</v>
      </c>
      <c r="I1546" s="136">
        <v>941500795</v>
      </c>
      <c r="J1546" s="131" t="s">
        <v>2629</v>
      </c>
      <c r="K1546" s="139">
        <v>12654</v>
      </c>
    </row>
    <row r="1547" spans="1:11">
      <c r="A1547" s="1" t="str">
        <f t="shared" si="24"/>
        <v>50100-722337695-95250000231953</v>
      </c>
      <c r="B1547" s="136" t="s">
        <v>2964</v>
      </c>
      <c r="C1547" s="136" t="s">
        <v>11190</v>
      </c>
      <c r="D1547" s="132" t="s">
        <v>3420</v>
      </c>
      <c r="E1547" s="136" t="s">
        <v>2861</v>
      </c>
      <c r="F1547" s="136" t="s">
        <v>2861</v>
      </c>
      <c r="G1547" s="137">
        <v>1394394801001</v>
      </c>
      <c r="H1547" s="138" t="s">
        <v>10183</v>
      </c>
      <c r="I1547" s="136">
        <v>952500002</v>
      </c>
      <c r="J1547" s="131" t="s">
        <v>2804</v>
      </c>
      <c r="K1547" s="139">
        <v>31953</v>
      </c>
    </row>
    <row r="1548" spans="1:11">
      <c r="A1548" s="1" t="str">
        <f t="shared" si="24"/>
        <v>50100-722833795-951500039580000</v>
      </c>
      <c r="B1548" s="136" t="s">
        <v>2959</v>
      </c>
      <c r="C1548" s="136" t="s">
        <v>11174</v>
      </c>
      <c r="D1548" s="132" t="s">
        <v>3420</v>
      </c>
      <c r="E1548" s="136" t="s">
        <v>2862</v>
      </c>
      <c r="F1548" s="136" t="s">
        <v>2862</v>
      </c>
      <c r="G1548" s="137">
        <v>1394395845001</v>
      </c>
      <c r="H1548" s="138" t="s">
        <v>6453</v>
      </c>
      <c r="I1548" s="136">
        <v>951500039</v>
      </c>
      <c r="J1548" s="131" t="s">
        <v>3112</v>
      </c>
      <c r="K1548" s="139">
        <v>580000</v>
      </c>
    </row>
    <row r="1549" spans="1:11">
      <c r="A1549" s="1" t="str">
        <f t="shared" si="24"/>
        <v>50100-727549995-951500083310928</v>
      </c>
      <c r="B1549" s="136" t="s">
        <v>2963</v>
      </c>
      <c r="C1549" s="136" t="s">
        <v>11213</v>
      </c>
      <c r="D1549" s="132" t="s">
        <v>3420</v>
      </c>
      <c r="E1549" s="136" t="s">
        <v>2860</v>
      </c>
      <c r="F1549" s="136" t="s">
        <v>2860</v>
      </c>
      <c r="G1549" s="137">
        <v>1394395845001</v>
      </c>
      <c r="H1549" s="138" t="s">
        <v>6453</v>
      </c>
      <c r="I1549" s="136">
        <v>951500083</v>
      </c>
      <c r="J1549" s="131" t="s">
        <v>3078</v>
      </c>
      <c r="K1549" s="139">
        <v>310928</v>
      </c>
    </row>
    <row r="1550" spans="1:11">
      <c r="A1550" s="1" t="str">
        <f t="shared" si="24"/>
        <v>50100-765748095-951500143998730</v>
      </c>
      <c r="B1550" s="136" t="s">
        <v>11263</v>
      </c>
      <c r="C1550" s="136" t="s">
        <v>11264</v>
      </c>
      <c r="D1550" s="132" t="s">
        <v>3420</v>
      </c>
      <c r="E1550" s="136" t="s">
        <v>3397</v>
      </c>
      <c r="F1550" s="136" t="s">
        <v>3397</v>
      </c>
      <c r="G1550" s="137">
        <v>1395397986001</v>
      </c>
      <c r="H1550" s="138" t="s">
        <v>6454</v>
      </c>
      <c r="I1550" s="136">
        <v>951500143</v>
      </c>
      <c r="J1550" s="131" t="s">
        <v>3413</v>
      </c>
      <c r="K1550" s="139">
        <v>998730</v>
      </c>
    </row>
    <row r="1551" spans="1:11">
      <c r="A1551" s="1" t="str">
        <f t="shared" si="24"/>
        <v>50100-716232395-9541000021013855</v>
      </c>
      <c r="B1551" s="136" t="s">
        <v>11265</v>
      </c>
      <c r="C1551" s="136" t="s">
        <v>11266</v>
      </c>
      <c r="D1551" s="132" t="s">
        <v>3420</v>
      </c>
      <c r="E1551" s="136" t="s">
        <v>2612</v>
      </c>
      <c r="F1551" s="136" t="s">
        <v>2612</v>
      </c>
      <c r="G1551" s="137">
        <v>1395397988001</v>
      </c>
      <c r="H1551" s="138" t="s">
        <v>10183</v>
      </c>
      <c r="I1551" s="136">
        <v>954100002</v>
      </c>
      <c r="J1551" s="131" t="s">
        <v>3388</v>
      </c>
      <c r="K1551" s="139">
        <v>1013855</v>
      </c>
    </row>
    <row r="1552" spans="1:11">
      <c r="A1552" s="1" t="str">
        <f t="shared" si="24"/>
        <v>50100-753067995-9541000121335000</v>
      </c>
      <c r="B1552" s="136" t="s">
        <v>3313</v>
      </c>
      <c r="C1552" s="136" t="s">
        <v>11267</v>
      </c>
      <c r="D1552" s="132" t="s">
        <v>3420</v>
      </c>
      <c r="E1552" s="136" t="s">
        <v>3281</v>
      </c>
      <c r="F1552" s="136" t="s">
        <v>3281</v>
      </c>
      <c r="G1552" s="137">
        <v>1395400302002</v>
      </c>
      <c r="H1552" s="138" t="s">
        <v>10183</v>
      </c>
      <c r="I1552" s="136">
        <v>954100012</v>
      </c>
      <c r="J1552" s="131" t="s">
        <v>3351</v>
      </c>
      <c r="K1552" s="139">
        <v>1335000</v>
      </c>
    </row>
    <row r="1553" spans="1:11">
      <c r="A1553" s="1" t="str">
        <f t="shared" si="24"/>
        <v>50100-852984496-964100008905385</v>
      </c>
      <c r="B1553" s="136" t="s">
        <v>4982</v>
      </c>
      <c r="C1553" s="136" t="s">
        <v>8944</v>
      </c>
      <c r="D1553" s="132" t="s">
        <v>4971</v>
      </c>
      <c r="E1553" s="136" t="s">
        <v>5011</v>
      </c>
      <c r="F1553" s="136" t="s">
        <v>5011</v>
      </c>
      <c r="G1553" s="137">
        <v>1396471704001</v>
      </c>
      <c r="H1553" s="138" t="s">
        <v>6452</v>
      </c>
      <c r="I1553" s="136">
        <v>964100008</v>
      </c>
      <c r="J1553" s="131" t="s">
        <v>5023</v>
      </c>
      <c r="K1553" s="139">
        <v>905385</v>
      </c>
    </row>
    <row r="1554" spans="1:11">
      <c r="A1554" s="1" t="str">
        <f t="shared" si="24"/>
        <v>50100-727549995-951500093164602</v>
      </c>
      <c r="B1554" s="136" t="s">
        <v>2963</v>
      </c>
      <c r="C1554" s="136" t="s">
        <v>11213</v>
      </c>
      <c r="D1554" s="132" t="s">
        <v>3420</v>
      </c>
      <c r="E1554" s="136" t="s">
        <v>2860</v>
      </c>
      <c r="F1554" s="136" t="s">
        <v>2860</v>
      </c>
      <c r="G1554" s="137">
        <v>1394395845001</v>
      </c>
      <c r="H1554" s="138" t="s">
        <v>6453</v>
      </c>
      <c r="I1554" s="136">
        <v>951500093</v>
      </c>
      <c r="J1554" s="131" t="s">
        <v>3113</v>
      </c>
      <c r="K1554" s="139">
        <v>164602</v>
      </c>
    </row>
    <row r="1555" spans="1:11">
      <c r="A1555" s="1" t="str">
        <f t="shared" si="24"/>
        <v>15100-26199194-94150080749430</v>
      </c>
      <c r="B1555" s="136" t="s">
        <v>11257</v>
      </c>
      <c r="C1555" s="136" t="s">
        <v>11258</v>
      </c>
      <c r="D1555" s="132" t="s">
        <v>3420</v>
      </c>
      <c r="E1555" s="136" t="s">
        <v>2861</v>
      </c>
      <c r="F1555" s="136" t="s">
        <v>2861</v>
      </c>
      <c r="G1555" s="137">
        <v>1394394802001</v>
      </c>
      <c r="H1555" s="138" t="s">
        <v>6298</v>
      </c>
      <c r="I1555" s="136">
        <v>941500807</v>
      </c>
      <c r="J1555" s="131" t="s">
        <v>2894</v>
      </c>
      <c r="K1555" s="139">
        <v>49430</v>
      </c>
    </row>
    <row r="1556" spans="1:11">
      <c r="A1556" s="1" t="str">
        <f t="shared" si="24"/>
        <v>15100-36481295-95150054124800</v>
      </c>
      <c r="B1556" s="136" t="s">
        <v>4337</v>
      </c>
      <c r="C1556" s="136" t="s">
        <v>11268</v>
      </c>
      <c r="D1556" s="132" t="s">
        <v>3420</v>
      </c>
      <c r="E1556" s="136" t="s">
        <v>4172</v>
      </c>
      <c r="F1556" s="141" t="s">
        <v>4172</v>
      </c>
      <c r="G1556" s="137">
        <v>1395452683001</v>
      </c>
      <c r="H1556" s="140" t="s">
        <v>8845</v>
      </c>
      <c r="I1556" s="141">
        <v>951500541</v>
      </c>
      <c r="J1556" s="131" t="s">
        <v>4352</v>
      </c>
      <c r="K1556" s="142">
        <v>24800</v>
      </c>
    </row>
    <row r="1557" spans="1:11">
      <c r="A1557" s="1" t="str">
        <f t="shared" si="24"/>
        <v>15100-26550994-941500807115480</v>
      </c>
      <c r="B1557" s="136" t="s">
        <v>11259</v>
      </c>
      <c r="C1557" s="136" t="s">
        <v>11260</v>
      </c>
      <c r="D1557" s="132" t="s">
        <v>3420</v>
      </c>
      <c r="E1557" s="136" t="s">
        <v>2867</v>
      </c>
      <c r="F1557" s="136" t="s">
        <v>2867</v>
      </c>
      <c r="G1557" s="137">
        <v>1394394802001</v>
      </c>
      <c r="H1557" s="138" t="s">
        <v>6298</v>
      </c>
      <c r="I1557" s="136">
        <v>941500807</v>
      </c>
      <c r="J1557" s="131" t="s">
        <v>2894</v>
      </c>
      <c r="K1557" s="139">
        <v>115480</v>
      </c>
    </row>
    <row r="1558" spans="1:11">
      <c r="A1558" s="1" t="str">
        <f t="shared" si="24"/>
        <v>15100-35298695-95150039928900</v>
      </c>
      <c r="B1558" s="136" t="s">
        <v>4139</v>
      </c>
      <c r="C1558" s="136" t="s">
        <v>11269</v>
      </c>
      <c r="D1558" s="132" t="s">
        <v>3420</v>
      </c>
      <c r="E1558" s="136" t="s">
        <v>4181</v>
      </c>
      <c r="F1558" s="136" t="s">
        <v>4181</v>
      </c>
      <c r="G1558" s="137">
        <v>1395445412001</v>
      </c>
      <c r="H1558" s="138" t="s">
        <v>6298</v>
      </c>
      <c r="I1558" s="136">
        <v>951500399</v>
      </c>
      <c r="J1558" s="131" t="s">
        <v>4269</v>
      </c>
      <c r="K1558" s="139">
        <v>28900</v>
      </c>
    </row>
    <row r="1559" spans="1:11">
      <c r="A1559" s="1" t="str">
        <f t="shared" si="24"/>
        <v>15100-32841995-951500125308707</v>
      </c>
      <c r="B1559" s="136" t="s">
        <v>3601</v>
      </c>
      <c r="C1559" s="136" t="s">
        <v>11270</v>
      </c>
      <c r="D1559" s="132" t="s">
        <v>3420</v>
      </c>
      <c r="E1559" s="136" t="s">
        <v>3666</v>
      </c>
      <c r="F1559" s="136" t="s">
        <v>3666</v>
      </c>
      <c r="G1559" s="137">
        <v>1395397985001</v>
      </c>
      <c r="H1559" s="138" t="s">
        <v>6298</v>
      </c>
      <c r="I1559" s="136">
        <v>951500125</v>
      </c>
      <c r="J1559" s="131" t="s">
        <v>3653</v>
      </c>
      <c r="K1559" s="139">
        <v>308707</v>
      </c>
    </row>
    <row r="1560" spans="1:11">
      <c r="A1560" s="1" t="str">
        <f t="shared" si="24"/>
        <v>15100-33163395-951500260123633</v>
      </c>
      <c r="B1560" s="136" t="s">
        <v>3602</v>
      </c>
      <c r="C1560" s="136" t="s">
        <v>11271</v>
      </c>
      <c r="D1560" s="132" t="s">
        <v>3420</v>
      </c>
      <c r="E1560" s="136" t="s">
        <v>3714</v>
      </c>
      <c r="F1560" s="136" t="s">
        <v>3714</v>
      </c>
      <c r="G1560" s="137">
        <v>1395434889001</v>
      </c>
      <c r="H1560" s="138" t="s">
        <v>6298</v>
      </c>
      <c r="I1560" s="136">
        <v>951500260</v>
      </c>
      <c r="J1560" s="131" t="s">
        <v>3652</v>
      </c>
      <c r="K1560" s="139">
        <v>123633</v>
      </c>
    </row>
    <row r="1561" spans="1:11">
      <c r="A1561" s="1" t="str">
        <f t="shared" si="24"/>
        <v>15100-33166395-95150027023280</v>
      </c>
      <c r="B1561" s="136" t="s">
        <v>3612</v>
      </c>
      <c r="C1561" s="136" t="s">
        <v>11272</v>
      </c>
      <c r="D1561" s="132" t="s">
        <v>3420</v>
      </c>
      <c r="E1561" s="136" t="s">
        <v>3714</v>
      </c>
      <c r="F1561" s="136" t="s">
        <v>3714</v>
      </c>
      <c r="G1561" s="137">
        <v>1395435642001</v>
      </c>
      <c r="H1561" s="138" t="s">
        <v>10206</v>
      </c>
      <c r="I1561" s="136">
        <v>951500270</v>
      </c>
      <c r="J1561" s="131" t="s">
        <v>3654</v>
      </c>
      <c r="K1561" s="139">
        <v>23280</v>
      </c>
    </row>
    <row r="1562" spans="1:11">
      <c r="A1562" s="1" t="str">
        <f t="shared" si="24"/>
        <v>15100-35786495-95150048923640</v>
      </c>
      <c r="B1562" s="136" t="s">
        <v>4142</v>
      </c>
      <c r="C1562" s="136" t="s">
        <v>11273</v>
      </c>
      <c r="D1562" s="132" t="s">
        <v>3420</v>
      </c>
      <c r="E1562" s="136" t="s">
        <v>4177</v>
      </c>
      <c r="F1562" s="136" t="s">
        <v>4177</v>
      </c>
      <c r="G1562" s="137">
        <v>1395449241001</v>
      </c>
      <c r="H1562" s="138" t="s">
        <v>6299</v>
      </c>
      <c r="I1562" s="136">
        <v>951500489</v>
      </c>
      <c r="J1562" s="131" t="s">
        <v>4271</v>
      </c>
      <c r="K1562" s="139">
        <v>23640</v>
      </c>
    </row>
    <row r="1563" spans="1:11">
      <c r="A1563" s="1" t="str">
        <f t="shared" si="24"/>
        <v>15100-27898194-941500806106165</v>
      </c>
      <c r="B1563" s="136" t="s">
        <v>11274</v>
      </c>
      <c r="C1563" s="136" t="s">
        <v>11275</v>
      </c>
      <c r="D1563" s="132" t="s">
        <v>3420</v>
      </c>
      <c r="E1563" s="136" t="s">
        <v>3042</v>
      </c>
      <c r="F1563" s="136" t="s">
        <v>3042</v>
      </c>
      <c r="G1563" s="137">
        <v>1394394802001</v>
      </c>
      <c r="H1563" s="138" t="s">
        <v>6298</v>
      </c>
      <c r="I1563" s="136">
        <v>941500806</v>
      </c>
      <c r="J1563" s="131" t="s">
        <v>2887</v>
      </c>
      <c r="K1563" s="139">
        <v>106165</v>
      </c>
    </row>
    <row r="1564" spans="1:11">
      <c r="A1564" s="1" t="str">
        <f t="shared" si="24"/>
        <v>15100-34051395-95150032345060</v>
      </c>
      <c r="B1564" s="136" t="s">
        <v>3787</v>
      </c>
      <c r="C1564" s="136" t="s">
        <v>11276</v>
      </c>
      <c r="D1564" s="132" t="s">
        <v>3420</v>
      </c>
      <c r="E1564" s="136" t="s">
        <v>3827</v>
      </c>
      <c r="F1564" s="136" t="s">
        <v>3827</v>
      </c>
      <c r="G1564" s="137">
        <v>1395438159001</v>
      </c>
      <c r="H1564" s="138" t="s">
        <v>6298</v>
      </c>
      <c r="I1564" s="136">
        <v>951500323</v>
      </c>
      <c r="J1564" s="131" t="s">
        <v>3843</v>
      </c>
      <c r="K1564" s="139">
        <v>45060</v>
      </c>
    </row>
    <row r="1565" spans="1:11">
      <c r="A1565" s="1" t="str">
        <f t="shared" si="24"/>
        <v>15100-34051395-951500357117260</v>
      </c>
      <c r="B1565" s="136" t="s">
        <v>3787</v>
      </c>
      <c r="C1565" s="136" t="s">
        <v>11276</v>
      </c>
      <c r="D1565" s="132" t="s">
        <v>3420</v>
      </c>
      <c r="E1565" s="136" t="s">
        <v>3827</v>
      </c>
      <c r="F1565" s="136" t="s">
        <v>3827</v>
      </c>
      <c r="G1565" s="137">
        <v>1395441442001</v>
      </c>
      <c r="H1565" s="138" t="s">
        <v>6299</v>
      </c>
      <c r="I1565" s="136">
        <v>951500357</v>
      </c>
      <c r="J1565" s="131" t="s">
        <v>3838</v>
      </c>
      <c r="K1565" s="139">
        <v>117260</v>
      </c>
    </row>
    <row r="1566" spans="1:11">
      <c r="A1566" s="1" t="str">
        <f t="shared" si="24"/>
        <v>15100-25982794-94150071776490</v>
      </c>
      <c r="B1566" s="136" t="s">
        <v>11253</v>
      </c>
      <c r="C1566" s="136" t="s">
        <v>11254</v>
      </c>
      <c r="D1566" s="132" t="s">
        <v>3420</v>
      </c>
      <c r="E1566" s="136" t="s">
        <v>2756</v>
      </c>
      <c r="F1566" s="136" t="s">
        <v>2756</v>
      </c>
      <c r="G1566" s="137">
        <v>1394392935001</v>
      </c>
      <c r="H1566" s="138" t="s">
        <v>6298</v>
      </c>
      <c r="I1566" s="136">
        <v>941500717</v>
      </c>
      <c r="J1566" s="131" t="s">
        <v>2765</v>
      </c>
      <c r="K1566" s="139">
        <v>76490</v>
      </c>
    </row>
    <row r="1567" spans="1:11">
      <c r="A1567" s="1" t="str">
        <f t="shared" si="24"/>
        <v>15100-30239595-95150005849750</v>
      </c>
      <c r="B1567" s="136" t="s">
        <v>3369</v>
      </c>
      <c r="C1567" s="136" t="s">
        <v>11277</v>
      </c>
      <c r="D1567" s="132" t="s">
        <v>3420</v>
      </c>
      <c r="E1567" s="136" t="s">
        <v>3322</v>
      </c>
      <c r="F1567" s="136" t="s">
        <v>3322</v>
      </c>
      <c r="G1567" s="137">
        <v>1394395845001</v>
      </c>
      <c r="H1567" s="138" t="s">
        <v>6453</v>
      </c>
      <c r="I1567" s="136">
        <v>951500058</v>
      </c>
      <c r="J1567" s="131" t="s">
        <v>3382</v>
      </c>
      <c r="K1567" s="139">
        <v>49750</v>
      </c>
    </row>
    <row r="1568" spans="1:11">
      <c r="A1568" s="1" t="str">
        <f t="shared" si="24"/>
        <v>15100-30282495-95150005899210</v>
      </c>
      <c r="B1568" s="136" t="s">
        <v>3370</v>
      </c>
      <c r="C1568" s="136" t="s">
        <v>11278</v>
      </c>
      <c r="D1568" s="132" t="s">
        <v>3420</v>
      </c>
      <c r="E1568" s="136" t="s">
        <v>3325</v>
      </c>
      <c r="F1568" s="136" t="s">
        <v>3325</v>
      </c>
      <c r="G1568" s="137">
        <v>1394395845001</v>
      </c>
      <c r="H1568" s="138" t="s">
        <v>6453</v>
      </c>
      <c r="I1568" s="136">
        <v>951500058</v>
      </c>
      <c r="J1568" s="131" t="s">
        <v>3382</v>
      </c>
      <c r="K1568" s="139">
        <v>99210</v>
      </c>
    </row>
    <row r="1569" spans="1:11">
      <c r="A1569" s="1" t="str">
        <f t="shared" si="24"/>
        <v>15100-36116595-95150042624280</v>
      </c>
      <c r="B1569" s="136" t="s">
        <v>4318</v>
      </c>
      <c r="C1569" s="136" t="s">
        <v>11262</v>
      </c>
      <c r="D1569" s="132" t="s">
        <v>3420</v>
      </c>
      <c r="E1569" s="136" t="s">
        <v>4170</v>
      </c>
      <c r="F1569" s="136" t="s">
        <v>4170</v>
      </c>
      <c r="G1569" s="137">
        <v>1395447925001</v>
      </c>
      <c r="H1569" s="138" t="s">
        <v>6298</v>
      </c>
      <c r="I1569" s="136">
        <v>951500426</v>
      </c>
      <c r="J1569" s="131" t="s">
        <v>4280</v>
      </c>
      <c r="K1569" s="139">
        <v>24280</v>
      </c>
    </row>
    <row r="1570" spans="1:11">
      <c r="A1570" s="1" t="str">
        <f t="shared" si="24"/>
        <v>15100-36116595-95150049223140</v>
      </c>
      <c r="B1570" s="136" t="s">
        <v>4318</v>
      </c>
      <c r="C1570" s="136" t="s">
        <v>11262</v>
      </c>
      <c r="D1570" s="132" t="s">
        <v>3420</v>
      </c>
      <c r="E1570" s="136" t="s">
        <v>4170</v>
      </c>
      <c r="F1570" s="136" t="s">
        <v>4170</v>
      </c>
      <c r="G1570" s="137">
        <v>1395449236001</v>
      </c>
      <c r="H1570" s="138" t="s">
        <v>6298</v>
      </c>
      <c r="I1570" s="136">
        <v>951500492</v>
      </c>
      <c r="J1570" s="131" t="s">
        <v>4302</v>
      </c>
      <c r="K1570" s="139">
        <v>23140</v>
      </c>
    </row>
    <row r="1571" spans="1:11">
      <c r="A1571" s="1" t="str">
        <f t="shared" si="24"/>
        <v>15100-35001895-95150040264520</v>
      </c>
      <c r="B1571" s="136" t="s">
        <v>4137</v>
      </c>
      <c r="C1571" s="136" t="s">
        <v>11279</v>
      </c>
      <c r="D1571" s="132" t="s">
        <v>3420</v>
      </c>
      <c r="E1571" s="136" t="s">
        <v>3932</v>
      </c>
      <c r="F1571" s="136" t="s">
        <v>3932</v>
      </c>
      <c r="G1571" s="137">
        <v>1395445412001</v>
      </c>
      <c r="H1571" s="138" t="s">
        <v>6298</v>
      </c>
      <c r="I1571" s="136">
        <v>951500402</v>
      </c>
      <c r="J1571" s="131" t="s">
        <v>4288</v>
      </c>
      <c r="K1571" s="139">
        <v>64520</v>
      </c>
    </row>
    <row r="1572" spans="1:11">
      <c r="A1572" s="1" t="str">
        <f t="shared" si="24"/>
        <v>15100-34352495-95150037270520</v>
      </c>
      <c r="B1572" s="136" t="s">
        <v>3780</v>
      </c>
      <c r="C1572" s="136" t="s">
        <v>11280</v>
      </c>
      <c r="D1572" s="132" t="s">
        <v>3420</v>
      </c>
      <c r="E1572" s="136" t="s">
        <v>3768</v>
      </c>
      <c r="F1572" s="136" t="s">
        <v>3768</v>
      </c>
      <c r="G1572" s="137">
        <v>1395441908001</v>
      </c>
      <c r="H1572" s="138" t="s">
        <v>6298</v>
      </c>
      <c r="I1572" s="136">
        <v>951500372</v>
      </c>
      <c r="J1572" s="131" t="s">
        <v>3839</v>
      </c>
      <c r="K1572" s="139">
        <v>70520</v>
      </c>
    </row>
    <row r="1573" spans="1:11">
      <c r="A1573" s="1" t="str">
        <f t="shared" si="24"/>
        <v>15100-37656895-951500569134330</v>
      </c>
      <c r="B1573" s="136" t="s">
        <v>4649</v>
      </c>
      <c r="C1573" s="136" t="s">
        <v>11281</v>
      </c>
      <c r="D1573" s="132" t="s">
        <v>3420</v>
      </c>
      <c r="E1573" s="136" t="s">
        <v>4665</v>
      </c>
      <c r="F1573" s="136" t="s">
        <v>4665</v>
      </c>
      <c r="G1573" s="137">
        <v>1395451401001</v>
      </c>
      <c r="H1573" s="138" t="s">
        <v>6300</v>
      </c>
      <c r="I1573" s="136">
        <v>951500569</v>
      </c>
      <c r="J1573" s="131" t="s">
        <v>4703</v>
      </c>
      <c r="K1573" s="139">
        <v>134330</v>
      </c>
    </row>
    <row r="1574" spans="1:11">
      <c r="A1574" s="1" t="str">
        <f t="shared" si="24"/>
        <v>15100-35467695-95150042672530</v>
      </c>
      <c r="B1574" s="136" t="s">
        <v>4134</v>
      </c>
      <c r="C1574" s="136" t="s">
        <v>11282</v>
      </c>
      <c r="D1574" s="132" t="s">
        <v>3420</v>
      </c>
      <c r="E1574" s="136" t="s">
        <v>4176</v>
      </c>
      <c r="F1574" s="136" t="s">
        <v>4176</v>
      </c>
      <c r="G1574" s="137">
        <v>1395447925001</v>
      </c>
      <c r="H1574" s="138" t="s">
        <v>6298</v>
      </c>
      <c r="I1574" s="136">
        <v>951500426</v>
      </c>
      <c r="J1574" s="131" t="s">
        <v>4280</v>
      </c>
      <c r="K1574" s="139">
        <v>72530</v>
      </c>
    </row>
    <row r="1575" spans="1:11">
      <c r="A1575" s="1" t="str">
        <f t="shared" si="24"/>
        <v>15100-35527695-951500426324290</v>
      </c>
      <c r="B1575" s="136" t="s">
        <v>4136</v>
      </c>
      <c r="C1575" s="136" t="s">
        <v>11283</v>
      </c>
      <c r="D1575" s="132" t="s">
        <v>3420</v>
      </c>
      <c r="E1575" s="136" t="s">
        <v>4180</v>
      </c>
      <c r="F1575" s="136" t="s">
        <v>4180</v>
      </c>
      <c r="G1575" s="137">
        <v>1395447925001</v>
      </c>
      <c r="H1575" s="138" t="s">
        <v>6298</v>
      </c>
      <c r="I1575" s="136">
        <v>951500426</v>
      </c>
      <c r="J1575" s="131" t="s">
        <v>4280</v>
      </c>
      <c r="K1575" s="139">
        <v>324290</v>
      </c>
    </row>
    <row r="1576" spans="1:11">
      <c r="A1576" s="1" t="str">
        <f t="shared" si="24"/>
        <v>15100-35784695-951500492215240</v>
      </c>
      <c r="B1576" s="136" t="s">
        <v>4133</v>
      </c>
      <c r="C1576" s="136" t="s">
        <v>11284</v>
      </c>
      <c r="D1576" s="132" t="s">
        <v>3420</v>
      </c>
      <c r="E1576" s="136" t="s">
        <v>4177</v>
      </c>
      <c r="F1576" s="136" t="s">
        <v>4177</v>
      </c>
      <c r="G1576" s="137">
        <v>1395449236001</v>
      </c>
      <c r="H1576" s="138" t="s">
        <v>6298</v>
      </c>
      <c r="I1576" s="136">
        <v>951500492</v>
      </c>
      <c r="J1576" s="131" t="s">
        <v>4302</v>
      </c>
      <c r="K1576" s="139">
        <v>215240</v>
      </c>
    </row>
    <row r="1577" spans="1:11">
      <c r="A1577" s="1" t="str">
        <f t="shared" si="24"/>
        <v>15100-25657794-94150083248390</v>
      </c>
      <c r="B1577" s="136" t="s">
        <v>2687</v>
      </c>
      <c r="C1577" s="136" t="s">
        <v>11285</v>
      </c>
      <c r="D1577" s="132" t="s">
        <v>3420</v>
      </c>
      <c r="E1577" s="136" t="s">
        <v>2754</v>
      </c>
      <c r="F1577" s="136" t="s">
        <v>2754</v>
      </c>
      <c r="G1577" s="137">
        <v>1394395844001</v>
      </c>
      <c r="H1577" s="138" t="s">
        <v>6298</v>
      </c>
      <c r="I1577" s="136">
        <v>941500832</v>
      </c>
      <c r="J1577" s="131" t="s">
        <v>2764</v>
      </c>
      <c r="K1577" s="139">
        <v>48390</v>
      </c>
    </row>
    <row r="1578" spans="1:11">
      <c r="A1578" s="1" t="str">
        <f t="shared" si="24"/>
        <v>15100-27898194-941500811220235</v>
      </c>
      <c r="B1578" s="136" t="s">
        <v>11274</v>
      </c>
      <c r="C1578" s="136" t="s">
        <v>11275</v>
      </c>
      <c r="D1578" s="132" t="s">
        <v>3420</v>
      </c>
      <c r="E1578" s="136" t="s">
        <v>3042</v>
      </c>
      <c r="F1578" s="136" t="s">
        <v>3042</v>
      </c>
      <c r="G1578" s="137">
        <v>1394394802001</v>
      </c>
      <c r="H1578" s="138" t="s">
        <v>6298</v>
      </c>
      <c r="I1578" s="136">
        <v>941500811</v>
      </c>
      <c r="J1578" s="131" t="s">
        <v>3056</v>
      </c>
      <c r="K1578" s="139">
        <v>220235</v>
      </c>
    </row>
    <row r="1579" spans="1:11">
      <c r="A1579" s="1" t="str">
        <f t="shared" si="24"/>
        <v>15100-27592795-95150005050520</v>
      </c>
      <c r="B1579" s="136" t="s">
        <v>2909</v>
      </c>
      <c r="C1579" s="136" t="s">
        <v>11286</v>
      </c>
      <c r="D1579" s="132" t="s">
        <v>3420</v>
      </c>
      <c r="E1579" s="136" t="s">
        <v>3049</v>
      </c>
      <c r="F1579" s="136" t="s">
        <v>3049</v>
      </c>
      <c r="G1579" s="137">
        <v>1395397985001</v>
      </c>
      <c r="H1579" s="138" t="s">
        <v>6298</v>
      </c>
      <c r="I1579" s="136">
        <v>951500050</v>
      </c>
      <c r="J1579" s="131" t="s">
        <v>2889</v>
      </c>
      <c r="K1579" s="139">
        <v>50520</v>
      </c>
    </row>
    <row r="1580" spans="1:11">
      <c r="A1580" s="1" t="str">
        <f t="shared" si="24"/>
        <v>15100-27316395-95150005022460</v>
      </c>
      <c r="B1580" s="136" t="s">
        <v>2901</v>
      </c>
      <c r="C1580" s="136" t="s">
        <v>11287</v>
      </c>
      <c r="D1580" s="132" t="s">
        <v>3420</v>
      </c>
      <c r="E1580" s="136" t="s">
        <v>3040</v>
      </c>
      <c r="F1580" s="136" t="s">
        <v>3040</v>
      </c>
      <c r="G1580" s="137">
        <v>1395397985001</v>
      </c>
      <c r="H1580" s="138" t="s">
        <v>6298</v>
      </c>
      <c r="I1580" s="136">
        <v>951500050</v>
      </c>
      <c r="J1580" s="131" t="s">
        <v>2889</v>
      </c>
      <c r="K1580" s="139">
        <v>22460</v>
      </c>
    </row>
    <row r="1581" spans="1:11">
      <c r="A1581" s="1" t="str">
        <f t="shared" si="24"/>
        <v>15100-27965594-94150081146740</v>
      </c>
      <c r="B1581" s="136" t="s">
        <v>11288</v>
      </c>
      <c r="C1581" s="136" t="s">
        <v>11289</v>
      </c>
      <c r="D1581" s="132" t="s">
        <v>3420</v>
      </c>
      <c r="E1581" s="136" t="s">
        <v>3168</v>
      </c>
      <c r="F1581" s="136" t="s">
        <v>3168</v>
      </c>
      <c r="G1581" s="137">
        <v>1394394802001</v>
      </c>
      <c r="H1581" s="138" t="s">
        <v>6298</v>
      </c>
      <c r="I1581" s="136">
        <v>941500811</v>
      </c>
      <c r="J1581" s="131" t="s">
        <v>3056</v>
      </c>
      <c r="K1581" s="139">
        <v>46740</v>
      </c>
    </row>
    <row r="1582" spans="1:11">
      <c r="A1582" s="1" t="str">
        <f t="shared" si="24"/>
        <v>15100-28302495-951500050116770</v>
      </c>
      <c r="B1582" s="136" t="s">
        <v>3198</v>
      </c>
      <c r="C1582" s="136" t="s">
        <v>11290</v>
      </c>
      <c r="D1582" s="132" t="s">
        <v>3420</v>
      </c>
      <c r="E1582" s="136" t="s">
        <v>3171</v>
      </c>
      <c r="F1582" s="136" t="s">
        <v>3171</v>
      </c>
      <c r="G1582" s="137">
        <v>1395397985001</v>
      </c>
      <c r="H1582" s="138" t="s">
        <v>6298</v>
      </c>
      <c r="I1582" s="136">
        <v>951500050</v>
      </c>
      <c r="J1582" s="131" t="s">
        <v>2889</v>
      </c>
      <c r="K1582" s="139">
        <v>116770</v>
      </c>
    </row>
    <row r="1583" spans="1:11">
      <c r="A1583" s="1" t="str">
        <f t="shared" si="24"/>
        <v>15100-32847695-95150023890640</v>
      </c>
      <c r="B1583" s="136" t="s">
        <v>3600</v>
      </c>
      <c r="C1583" s="136" t="s">
        <v>11291</v>
      </c>
      <c r="D1583" s="132" t="s">
        <v>3420</v>
      </c>
      <c r="E1583" s="136" t="s">
        <v>3666</v>
      </c>
      <c r="F1583" s="136" t="s">
        <v>3666</v>
      </c>
      <c r="G1583" s="137">
        <v>1395427836001</v>
      </c>
      <c r="H1583" s="138" t="s">
        <v>6298</v>
      </c>
      <c r="I1583" s="136">
        <v>951500238</v>
      </c>
      <c r="J1583" s="131" t="s">
        <v>3650</v>
      </c>
      <c r="K1583" s="139">
        <v>90640</v>
      </c>
    </row>
    <row r="1584" spans="1:11">
      <c r="A1584" s="1" t="str">
        <f t="shared" si="24"/>
        <v>15100-33561695-95150028450280</v>
      </c>
      <c r="B1584" s="136" t="s">
        <v>3788</v>
      </c>
      <c r="C1584" s="136" t="s">
        <v>11292</v>
      </c>
      <c r="D1584" s="132" t="s">
        <v>3420</v>
      </c>
      <c r="E1584" s="136" t="s">
        <v>3723</v>
      </c>
      <c r="F1584" s="136" t="s">
        <v>3723</v>
      </c>
      <c r="G1584" s="137">
        <v>1395436005001</v>
      </c>
      <c r="H1584" s="138" t="s">
        <v>6298</v>
      </c>
      <c r="I1584" s="136">
        <v>951500284</v>
      </c>
      <c r="J1584" s="131" t="s">
        <v>3840</v>
      </c>
      <c r="K1584" s="139">
        <v>50280</v>
      </c>
    </row>
    <row r="1585" spans="1:11">
      <c r="A1585" s="1" t="str">
        <f t="shared" si="24"/>
        <v>15100-34084295-95150028473970</v>
      </c>
      <c r="B1585" s="136" t="s">
        <v>3789</v>
      </c>
      <c r="C1585" s="136" t="s">
        <v>11293</v>
      </c>
      <c r="D1585" s="132" t="s">
        <v>3420</v>
      </c>
      <c r="E1585" s="136" t="s">
        <v>3828</v>
      </c>
      <c r="F1585" s="136" t="s">
        <v>3828</v>
      </c>
      <c r="G1585" s="137">
        <v>1395436005001</v>
      </c>
      <c r="H1585" s="138" t="s">
        <v>6298</v>
      </c>
      <c r="I1585" s="136">
        <v>951500284</v>
      </c>
      <c r="J1585" s="131" t="s">
        <v>3840</v>
      </c>
      <c r="K1585" s="139">
        <v>73970</v>
      </c>
    </row>
    <row r="1586" spans="1:11">
      <c r="A1586" s="1" t="str">
        <f t="shared" si="24"/>
        <v>15100-36116595-95150052021830</v>
      </c>
      <c r="B1586" s="136" t="s">
        <v>4318</v>
      </c>
      <c r="C1586" s="136" t="s">
        <v>11262</v>
      </c>
      <c r="D1586" s="132" t="s">
        <v>3420</v>
      </c>
      <c r="E1586" s="136" t="s">
        <v>4170</v>
      </c>
      <c r="F1586" s="141" t="s">
        <v>4170</v>
      </c>
      <c r="G1586" s="137">
        <v>1395451403001</v>
      </c>
      <c r="H1586" s="140" t="s">
        <v>8845</v>
      </c>
      <c r="I1586" s="141">
        <v>951500520</v>
      </c>
      <c r="J1586" s="131" t="s">
        <v>4346</v>
      </c>
      <c r="K1586" s="142">
        <v>21830</v>
      </c>
    </row>
    <row r="1587" spans="1:11">
      <c r="A1587" s="1" t="str">
        <f t="shared" si="24"/>
        <v>15100-36069595-951500520153760</v>
      </c>
      <c r="B1587" s="136" t="s">
        <v>4320</v>
      </c>
      <c r="C1587" s="136" t="s">
        <v>11294</v>
      </c>
      <c r="D1587" s="132" t="s">
        <v>3420</v>
      </c>
      <c r="E1587" s="136" t="s">
        <v>4165</v>
      </c>
      <c r="F1587" s="141" t="s">
        <v>4165</v>
      </c>
      <c r="G1587" s="137">
        <v>1395451403001</v>
      </c>
      <c r="H1587" s="140" t="s">
        <v>8845</v>
      </c>
      <c r="I1587" s="141">
        <v>951500520</v>
      </c>
      <c r="J1587" s="131" t="s">
        <v>4346</v>
      </c>
      <c r="K1587" s="142">
        <v>153760</v>
      </c>
    </row>
    <row r="1588" spans="1:11">
      <c r="A1588" s="1" t="str">
        <f t="shared" si="24"/>
        <v>15100-34352495-95150036345440</v>
      </c>
      <c r="B1588" s="136" t="s">
        <v>3780</v>
      </c>
      <c r="C1588" s="136" t="s">
        <v>11280</v>
      </c>
      <c r="D1588" s="132" t="s">
        <v>3420</v>
      </c>
      <c r="E1588" s="136" t="s">
        <v>3768</v>
      </c>
      <c r="F1588" s="136" t="s">
        <v>3768</v>
      </c>
      <c r="G1588" s="137">
        <v>1395437982001</v>
      </c>
      <c r="H1588" s="138" t="s">
        <v>6300</v>
      </c>
      <c r="I1588" s="136">
        <v>951500363</v>
      </c>
      <c r="J1588" s="131" t="s">
        <v>3837</v>
      </c>
      <c r="K1588" s="139">
        <v>45440</v>
      </c>
    </row>
    <row r="1589" spans="1:11">
      <c r="A1589" s="1" t="str">
        <f t="shared" si="24"/>
        <v>15100-34674395-95150026947880</v>
      </c>
      <c r="B1589" s="136" t="s">
        <v>4141</v>
      </c>
      <c r="C1589" s="136" t="s">
        <v>11295</v>
      </c>
      <c r="D1589" s="132" t="s">
        <v>3420</v>
      </c>
      <c r="E1589" s="136" t="s">
        <v>3936</v>
      </c>
      <c r="F1589" s="136" t="s">
        <v>3936</v>
      </c>
      <c r="G1589" s="137">
        <v>1395435642001</v>
      </c>
      <c r="H1589" s="138" t="s">
        <v>10206</v>
      </c>
      <c r="I1589" s="136">
        <v>951500269</v>
      </c>
      <c r="J1589" s="131" t="s">
        <v>3835</v>
      </c>
      <c r="K1589" s="139">
        <v>47880</v>
      </c>
    </row>
    <row r="1590" spans="1:11">
      <c r="A1590" s="1" t="str">
        <f t="shared" si="24"/>
        <v>15100-32841995-95150010439923</v>
      </c>
      <c r="B1590" s="136" t="s">
        <v>3601</v>
      </c>
      <c r="C1590" s="136" t="s">
        <v>11270</v>
      </c>
      <c r="D1590" s="132" t="s">
        <v>3420</v>
      </c>
      <c r="E1590" s="136" t="s">
        <v>3666</v>
      </c>
      <c r="F1590" s="136" t="s">
        <v>3666</v>
      </c>
      <c r="G1590" s="137">
        <v>1395397985001</v>
      </c>
      <c r="H1590" s="138" t="s">
        <v>6298</v>
      </c>
      <c r="I1590" s="136">
        <v>951500104</v>
      </c>
      <c r="J1590" s="131" t="s">
        <v>3466</v>
      </c>
      <c r="K1590" s="139">
        <v>39923</v>
      </c>
    </row>
    <row r="1591" spans="1:11">
      <c r="A1591" s="1" t="str">
        <f t="shared" si="24"/>
        <v>15100-33163395-951500264121897</v>
      </c>
      <c r="B1591" s="136" t="s">
        <v>3602</v>
      </c>
      <c r="C1591" s="136" t="s">
        <v>11271</v>
      </c>
      <c r="D1591" s="132" t="s">
        <v>3420</v>
      </c>
      <c r="E1591" s="136" t="s">
        <v>3714</v>
      </c>
      <c r="F1591" s="136" t="s">
        <v>3714</v>
      </c>
      <c r="G1591" s="137">
        <v>1395434889001</v>
      </c>
      <c r="H1591" s="138" t="s">
        <v>6298</v>
      </c>
      <c r="I1591" s="136">
        <v>951500264</v>
      </c>
      <c r="J1591" s="131" t="s">
        <v>3651</v>
      </c>
      <c r="K1591" s="139">
        <v>121897</v>
      </c>
    </row>
    <row r="1592" spans="1:11">
      <c r="A1592" s="1" t="str">
        <f t="shared" si="24"/>
        <v>15100-27807894-94150077524260</v>
      </c>
      <c r="B1592" s="136" t="s">
        <v>10580</v>
      </c>
      <c r="C1592" s="136" t="s">
        <v>10581</v>
      </c>
      <c r="D1592" s="132" t="s">
        <v>3420</v>
      </c>
      <c r="E1592" s="136" t="s">
        <v>3050</v>
      </c>
      <c r="F1592" s="136" t="s">
        <v>3050</v>
      </c>
      <c r="G1592" s="137">
        <v>1394394178001</v>
      </c>
      <c r="H1592" s="138" t="s">
        <v>6298</v>
      </c>
      <c r="I1592" s="136">
        <v>941500775</v>
      </c>
      <c r="J1592" s="131" t="s">
        <v>3058</v>
      </c>
      <c r="K1592" s="139">
        <v>24260</v>
      </c>
    </row>
    <row r="1593" spans="1:11">
      <c r="A1593" s="1" t="str">
        <f t="shared" si="24"/>
        <v>50100-713317694-941500737142876</v>
      </c>
      <c r="B1593" s="136" t="s">
        <v>10538</v>
      </c>
      <c r="C1593" s="136" t="s">
        <v>10539</v>
      </c>
      <c r="D1593" s="132" t="s">
        <v>3420</v>
      </c>
      <c r="E1593" s="136" t="s">
        <v>2614</v>
      </c>
      <c r="F1593" s="136" t="s">
        <v>2614</v>
      </c>
      <c r="G1593" s="137">
        <v>1394392654001</v>
      </c>
      <c r="H1593" s="138" t="s">
        <v>6453</v>
      </c>
      <c r="I1593" s="136">
        <v>941500737</v>
      </c>
      <c r="J1593" s="131" t="s">
        <v>6863</v>
      </c>
      <c r="K1593" s="139">
        <v>142876</v>
      </c>
    </row>
    <row r="1594" spans="1:11">
      <c r="A1594" s="1" t="str">
        <f t="shared" si="24"/>
        <v>50100-713317694-94150080233319</v>
      </c>
      <c r="B1594" s="136" t="s">
        <v>10538</v>
      </c>
      <c r="C1594" s="136" t="s">
        <v>10539</v>
      </c>
      <c r="D1594" s="132" t="s">
        <v>3420</v>
      </c>
      <c r="E1594" s="136" t="s">
        <v>2614</v>
      </c>
      <c r="F1594" s="136" t="s">
        <v>2614</v>
      </c>
      <c r="G1594" s="137">
        <v>1394392654001</v>
      </c>
      <c r="H1594" s="138" t="s">
        <v>6453</v>
      </c>
      <c r="I1594" s="136">
        <v>941500802</v>
      </c>
      <c r="J1594" s="131" t="s">
        <v>6873</v>
      </c>
      <c r="K1594" s="139">
        <v>33319</v>
      </c>
    </row>
    <row r="1595" spans="1:11">
      <c r="A1595" s="1" t="str">
        <f t="shared" si="24"/>
        <v>50100-727223795-951500094164692</v>
      </c>
      <c r="B1595" s="136" t="s">
        <v>3003</v>
      </c>
      <c r="C1595" s="136" t="s">
        <v>10815</v>
      </c>
      <c r="D1595" s="132" t="s">
        <v>3420</v>
      </c>
      <c r="E1595" s="136" t="s">
        <v>2856</v>
      </c>
      <c r="F1595" s="136" t="s">
        <v>2856</v>
      </c>
      <c r="G1595" s="137">
        <v>1394395845001</v>
      </c>
      <c r="H1595" s="138" t="s">
        <v>6453</v>
      </c>
      <c r="I1595" s="136">
        <v>951500094</v>
      </c>
      <c r="J1595" s="131" t="s">
        <v>3124</v>
      </c>
      <c r="K1595" s="139">
        <v>164692</v>
      </c>
    </row>
    <row r="1596" spans="1:11">
      <c r="A1596" s="1" t="str">
        <f t="shared" si="24"/>
        <v>15100-25169994-941500713473210</v>
      </c>
      <c r="B1596" s="136" t="s">
        <v>10816</v>
      </c>
      <c r="C1596" s="136" t="s">
        <v>10817</v>
      </c>
      <c r="D1596" s="132" t="s">
        <v>3420</v>
      </c>
      <c r="E1596" s="136" t="s">
        <v>2610</v>
      </c>
      <c r="F1596" s="136" t="s">
        <v>2610</v>
      </c>
      <c r="G1596" s="137">
        <v>1394392935001</v>
      </c>
      <c r="H1596" s="138" t="s">
        <v>6298</v>
      </c>
      <c r="I1596" s="136">
        <v>941500713</v>
      </c>
      <c r="J1596" s="131" t="s">
        <v>2763</v>
      </c>
      <c r="K1596" s="139">
        <v>473210</v>
      </c>
    </row>
    <row r="1597" spans="1:11">
      <c r="A1597" s="1" t="str">
        <f t="shared" si="24"/>
        <v>50100-765194195-954100013567724</v>
      </c>
      <c r="B1597" s="136" t="s">
        <v>3396</v>
      </c>
      <c r="C1597" s="136" t="s">
        <v>11296</v>
      </c>
      <c r="D1597" s="132" t="s">
        <v>3420</v>
      </c>
      <c r="E1597" s="136" t="s">
        <v>3399</v>
      </c>
      <c r="F1597" s="136" t="s">
        <v>3399</v>
      </c>
      <c r="G1597" s="137">
        <v>1395399148001</v>
      </c>
      <c r="H1597" s="138" t="s">
        <v>10183</v>
      </c>
      <c r="I1597" s="136">
        <v>954100013</v>
      </c>
      <c r="J1597" s="131" t="s">
        <v>3418</v>
      </c>
      <c r="K1597" s="139">
        <v>567724</v>
      </c>
    </row>
    <row r="1598" spans="1:11">
      <c r="A1598" s="1" t="str">
        <f t="shared" si="24"/>
        <v>50100-854591796-9641000111413901</v>
      </c>
      <c r="B1598" s="136" t="s">
        <v>4992</v>
      </c>
      <c r="C1598" s="136" t="s">
        <v>8954</v>
      </c>
      <c r="D1598" s="132" t="s">
        <v>4971</v>
      </c>
      <c r="E1598" s="136" t="s">
        <v>5012</v>
      </c>
      <c r="F1598" s="136" t="s">
        <v>5012</v>
      </c>
      <c r="G1598" s="137">
        <v>1396471704001</v>
      </c>
      <c r="H1598" s="138" t="s">
        <v>6452</v>
      </c>
      <c r="I1598" s="136">
        <v>964100011</v>
      </c>
      <c r="J1598" s="131" t="s">
        <v>5034</v>
      </c>
      <c r="K1598" s="139">
        <v>1413901</v>
      </c>
    </row>
    <row r="1599" spans="1:11">
      <c r="A1599" s="1" t="str">
        <f t="shared" si="24"/>
        <v>50100-720791995-951500042475605</v>
      </c>
      <c r="B1599" s="136" t="s">
        <v>2691</v>
      </c>
      <c r="C1599" s="136" t="s">
        <v>10928</v>
      </c>
      <c r="D1599" s="132" t="s">
        <v>3420</v>
      </c>
      <c r="E1599" s="136" t="s">
        <v>2755</v>
      </c>
      <c r="F1599" s="136" t="s">
        <v>2755</v>
      </c>
      <c r="G1599" s="137">
        <v>1394395845001</v>
      </c>
      <c r="H1599" s="138" t="s">
        <v>6453</v>
      </c>
      <c r="I1599" s="136">
        <v>951500042</v>
      </c>
      <c r="J1599" s="131" t="s">
        <v>2798</v>
      </c>
      <c r="K1599" s="139">
        <v>475605</v>
      </c>
    </row>
    <row r="1600" spans="1:11">
      <c r="A1600" s="1" t="str">
        <f t="shared" si="24"/>
        <v>50100-845722595-9515004519450</v>
      </c>
      <c r="B1600" s="136" t="s">
        <v>4806</v>
      </c>
      <c r="C1600" s="136" t="s">
        <v>10854</v>
      </c>
      <c r="D1600" s="132" t="s">
        <v>3420</v>
      </c>
      <c r="E1600" s="136" t="s">
        <v>4874</v>
      </c>
      <c r="F1600" s="136" t="s">
        <v>4874</v>
      </c>
      <c r="G1600" s="137">
        <v>1395447925001</v>
      </c>
      <c r="H1600" s="138" t="s">
        <v>6298</v>
      </c>
      <c r="I1600" s="136">
        <v>951500451</v>
      </c>
      <c r="J1600" s="131" t="s">
        <v>4944</v>
      </c>
      <c r="K1600" s="139">
        <v>9450</v>
      </c>
    </row>
    <row r="1601" spans="1:11">
      <c r="A1601" s="1" t="str">
        <f t="shared" si="24"/>
        <v>45110-7062195-95900000378377</v>
      </c>
      <c r="B1601" s="136" t="s">
        <v>4616</v>
      </c>
      <c r="C1601" s="136" t="s">
        <v>10551</v>
      </c>
      <c r="D1601" s="132" t="s">
        <v>3420</v>
      </c>
      <c r="E1601" s="136" t="s">
        <v>4656</v>
      </c>
      <c r="F1601" s="136" t="s">
        <v>4656</v>
      </c>
      <c r="G1601" s="137" t="s">
        <v>5672</v>
      </c>
      <c r="H1601" s="138" t="s">
        <v>10436</v>
      </c>
      <c r="I1601" s="136">
        <v>959000003</v>
      </c>
      <c r="J1601" s="131" t="s">
        <v>4670</v>
      </c>
      <c r="K1601" s="139">
        <v>78377</v>
      </c>
    </row>
    <row r="1602" spans="1:11">
      <c r="A1602" s="1" t="str">
        <f t="shared" si="24"/>
        <v>15100-27075095-95150010324840</v>
      </c>
      <c r="B1602" s="136" t="s">
        <v>2835</v>
      </c>
      <c r="C1602" s="136" t="s">
        <v>11297</v>
      </c>
      <c r="D1602" s="132" t="s">
        <v>3420</v>
      </c>
      <c r="E1602" s="136" t="s">
        <v>2857</v>
      </c>
      <c r="F1602" s="136" t="s">
        <v>2857</v>
      </c>
      <c r="G1602" s="137">
        <v>1395397986001</v>
      </c>
      <c r="H1602" s="138" t="s">
        <v>6454</v>
      </c>
      <c r="I1602" s="136">
        <v>951500103</v>
      </c>
      <c r="J1602" s="131" t="s">
        <v>2886</v>
      </c>
      <c r="K1602" s="139">
        <v>24840</v>
      </c>
    </row>
    <row r="1603" spans="1:11">
      <c r="A1603" s="1" t="str">
        <f t="shared" ref="A1603:A1666" si="25">B1603&amp;J1603&amp;K1603</f>
        <v>15100-27075095-95150013368340</v>
      </c>
      <c r="B1603" s="136" t="s">
        <v>2835</v>
      </c>
      <c r="C1603" s="136" t="s">
        <v>11297</v>
      </c>
      <c r="D1603" s="132" t="s">
        <v>3420</v>
      </c>
      <c r="E1603" s="136" t="s">
        <v>2857</v>
      </c>
      <c r="F1603" s="136" t="s">
        <v>2857</v>
      </c>
      <c r="G1603" s="137">
        <v>1395397986001</v>
      </c>
      <c r="H1603" s="138" t="s">
        <v>6454</v>
      </c>
      <c r="I1603" s="136">
        <v>951500133</v>
      </c>
      <c r="J1603" s="131" t="s">
        <v>2872</v>
      </c>
      <c r="K1603" s="139">
        <v>68340</v>
      </c>
    </row>
    <row r="1604" spans="1:11">
      <c r="A1604" s="1" t="str">
        <f t="shared" si="25"/>
        <v>50100-731294595-9515000811000000</v>
      </c>
      <c r="B1604" s="136" t="s">
        <v>2927</v>
      </c>
      <c r="C1604" s="136" t="s">
        <v>11298</v>
      </c>
      <c r="D1604" s="132" t="s">
        <v>3420</v>
      </c>
      <c r="E1604" s="136" t="s">
        <v>2857</v>
      </c>
      <c r="F1604" s="136" t="s">
        <v>2857</v>
      </c>
      <c r="G1604" s="137">
        <v>1394395845001</v>
      </c>
      <c r="H1604" s="138" t="s">
        <v>6453</v>
      </c>
      <c r="I1604" s="136">
        <v>951500081</v>
      </c>
      <c r="J1604" s="131" t="s">
        <v>3072</v>
      </c>
      <c r="K1604" s="139">
        <v>1000000</v>
      </c>
    </row>
    <row r="1605" spans="1:11">
      <c r="A1605" s="1" t="str">
        <f t="shared" si="25"/>
        <v>50100-833850395-951500468146037</v>
      </c>
      <c r="B1605" s="136" t="s">
        <v>4629</v>
      </c>
      <c r="C1605" s="136" t="s">
        <v>10544</v>
      </c>
      <c r="D1605" s="132" t="s">
        <v>3420</v>
      </c>
      <c r="E1605" s="136" t="s">
        <v>4658</v>
      </c>
      <c r="F1605" s="136" t="s">
        <v>4658</v>
      </c>
      <c r="G1605" s="137">
        <v>1395447925001</v>
      </c>
      <c r="H1605" s="138" t="s">
        <v>6298</v>
      </c>
      <c r="I1605" s="136">
        <v>951500468</v>
      </c>
      <c r="J1605" s="131" t="s">
        <v>4686</v>
      </c>
      <c r="K1605" s="139">
        <v>146037</v>
      </c>
    </row>
    <row r="1606" spans="1:11">
      <c r="A1606" s="1" t="str">
        <f t="shared" si="25"/>
        <v>50100-725751195-95150006112960</v>
      </c>
      <c r="B1606" s="136" t="s">
        <v>2949</v>
      </c>
      <c r="C1606" s="136" t="s">
        <v>11153</v>
      </c>
      <c r="D1606" s="132" t="s">
        <v>3420</v>
      </c>
      <c r="E1606" s="136" t="s">
        <v>2869</v>
      </c>
      <c r="F1606" s="136" t="s">
        <v>2869</v>
      </c>
      <c r="G1606" s="137">
        <v>1395397990001</v>
      </c>
      <c r="H1606" s="138" t="s">
        <v>6456</v>
      </c>
      <c r="I1606" s="136">
        <v>951500061</v>
      </c>
      <c r="J1606" s="131" t="s">
        <v>3101</v>
      </c>
      <c r="K1606" s="139">
        <v>12960</v>
      </c>
    </row>
    <row r="1607" spans="1:11">
      <c r="A1607" s="1" t="str">
        <f t="shared" si="25"/>
        <v>15100-25657795-95150001250290</v>
      </c>
      <c r="B1607" s="136" t="s">
        <v>2687</v>
      </c>
      <c r="C1607" s="136" t="s">
        <v>11285</v>
      </c>
      <c r="D1607" s="132" t="s">
        <v>3420</v>
      </c>
      <c r="E1607" s="136" t="s">
        <v>2754</v>
      </c>
      <c r="F1607" s="136" t="s">
        <v>2754</v>
      </c>
      <c r="G1607" s="137">
        <v>1394392647001</v>
      </c>
      <c r="H1607" s="138" t="s">
        <v>6454</v>
      </c>
      <c r="I1607" s="136">
        <v>951500012</v>
      </c>
      <c r="J1607" s="131" t="s">
        <v>2769</v>
      </c>
      <c r="K1607" s="139">
        <v>50290</v>
      </c>
    </row>
    <row r="1608" spans="1:11">
      <c r="A1608" s="1" t="str">
        <f t="shared" si="25"/>
        <v>15100-25657794-94150084573720</v>
      </c>
      <c r="B1608" s="136" t="s">
        <v>2687</v>
      </c>
      <c r="C1608" s="136" t="s">
        <v>11285</v>
      </c>
      <c r="D1608" s="132" t="s">
        <v>3420</v>
      </c>
      <c r="E1608" s="136" t="s">
        <v>2754</v>
      </c>
      <c r="F1608" s="136" t="s">
        <v>2754</v>
      </c>
      <c r="G1608" s="137">
        <v>1394395844001</v>
      </c>
      <c r="H1608" s="138" t="s">
        <v>6298</v>
      </c>
      <c r="I1608" s="136">
        <v>941500845</v>
      </c>
      <c r="J1608" s="131" t="s">
        <v>2774</v>
      </c>
      <c r="K1608" s="139">
        <v>73720</v>
      </c>
    </row>
    <row r="1609" spans="1:11">
      <c r="A1609" s="1" t="str">
        <f t="shared" si="25"/>
        <v>15100-38813695-95150058379730</v>
      </c>
      <c r="B1609" s="136" t="s">
        <v>4754</v>
      </c>
      <c r="C1609" s="136" t="s">
        <v>10388</v>
      </c>
      <c r="D1609" s="132" t="s">
        <v>3420</v>
      </c>
      <c r="E1609" s="136" t="s">
        <v>4864</v>
      </c>
      <c r="F1609" s="136" t="s">
        <v>4864</v>
      </c>
      <c r="G1609" s="137">
        <v>1395462017001</v>
      </c>
      <c r="H1609" s="138" t="s">
        <v>6298</v>
      </c>
      <c r="I1609" s="136">
        <v>951500583</v>
      </c>
      <c r="J1609" s="131" t="s">
        <v>4894</v>
      </c>
      <c r="K1609" s="139">
        <v>79730</v>
      </c>
    </row>
    <row r="1610" spans="1:11">
      <c r="A1610" s="1" t="str">
        <f t="shared" si="25"/>
        <v>50100-723921494-941500815695640</v>
      </c>
      <c r="B1610" s="136" t="s">
        <v>10408</v>
      </c>
      <c r="C1610" s="136" t="s">
        <v>10409</v>
      </c>
      <c r="D1610" s="132" t="s">
        <v>3420</v>
      </c>
      <c r="E1610" s="136" t="s">
        <v>2863</v>
      </c>
      <c r="F1610" s="136" t="s">
        <v>2863</v>
      </c>
      <c r="G1610" s="137">
        <v>1394394802001</v>
      </c>
      <c r="H1610" s="138" t="s">
        <v>6298</v>
      </c>
      <c r="I1610" s="136">
        <v>941500815</v>
      </c>
      <c r="J1610" s="131" t="s">
        <v>2640</v>
      </c>
      <c r="K1610" s="139">
        <v>695640</v>
      </c>
    </row>
    <row r="1611" spans="1:11">
      <c r="A1611" s="1" t="str">
        <f t="shared" si="25"/>
        <v>50100-725202995-95150005643560</v>
      </c>
      <c r="B1611" s="136" t="s">
        <v>2967</v>
      </c>
      <c r="C1611" s="136" t="s">
        <v>11299</v>
      </c>
      <c r="D1611" s="132" t="s">
        <v>3420</v>
      </c>
      <c r="E1611" s="136" t="s">
        <v>2868</v>
      </c>
      <c r="F1611" s="136" t="s">
        <v>2868</v>
      </c>
      <c r="G1611" s="137">
        <v>1394395845001</v>
      </c>
      <c r="H1611" s="138" t="s">
        <v>6453</v>
      </c>
      <c r="I1611" s="136">
        <v>951500056</v>
      </c>
      <c r="J1611" s="131" t="s">
        <v>2781</v>
      </c>
      <c r="K1611" s="139">
        <v>43560</v>
      </c>
    </row>
    <row r="1612" spans="1:11">
      <c r="A1612" s="1" t="str">
        <f t="shared" si="25"/>
        <v>15100-27323894-94150070519680</v>
      </c>
      <c r="B1612" s="136" t="s">
        <v>11300</v>
      </c>
      <c r="C1612" s="136" t="s">
        <v>11301</v>
      </c>
      <c r="D1612" s="132" t="s">
        <v>3420</v>
      </c>
      <c r="E1612" s="136" t="s">
        <v>3040</v>
      </c>
      <c r="F1612" s="136" t="s">
        <v>3040</v>
      </c>
      <c r="G1612" s="137">
        <v>1394392646001</v>
      </c>
      <c r="H1612" s="138" t="s">
        <v>6298</v>
      </c>
      <c r="I1612" s="136">
        <v>941500705</v>
      </c>
      <c r="J1612" s="131" t="s">
        <v>2877</v>
      </c>
      <c r="K1612" s="139">
        <v>19680</v>
      </c>
    </row>
    <row r="1613" spans="1:11">
      <c r="A1613" s="1" t="str">
        <f t="shared" si="25"/>
        <v>15100-36435995-95150052349280</v>
      </c>
      <c r="B1613" s="136" t="s">
        <v>4338</v>
      </c>
      <c r="C1613" s="136" t="s">
        <v>11302</v>
      </c>
      <c r="D1613" s="132" t="s">
        <v>3420</v>
      </c>
      <c r="E1613" s="136" t="s">
        <v>4173</v>
      </c>
      <c r="F1613" s="136" t="s">
        <v>4173</v>
      </c>
      <c r="G1613" s="137">
        <v>1395449236001</v>
      </c>
      <c r="H1613" s="138" t="s">
        <v>6298</v>
      </c>
      <c r="I1613" s="136">
        <v>951500523</v>
      </c>
      <c r="J1613" s="131" t="s">
        <v>4347</v>
      </c>
      <c r="K1613" s="139">
        <v>49280</v>
      </c>
    </row>
    <row r="1614" spans="1:11">
      <c r="A1614" s="1" t="str">
        <f t="shared" si="25"/>
        <v>15100-26553394-941500744301720</v>
      </c>
      <c r="B1614" s="136" t="s">
        <v>2845</v>
      </c>
      <c r="C1614" s="136" t="s">
        <v>11261</v>
      </c>
      <c r="D1614" s="132" t="s">
        <v>3420</v>
      </c>
      <c r="E1614" s="136" t="s">
        <v>2867</v>
      </c>
      <c r="F1614" s="136" t="s">
        <v>2867</v>
      </c>
      <c r="G1614" s="137">
        <v>1394392654001</v>
      </c>
      <c r="H1614" s="138" t="s">
        <v>6453</v>
      </c>
      <c r="I1614" s="136">
        <v>941500744</v>
      </c>
      <c r="J1614" s="131" t="s">
        <v>6876</v>
      </c>
      <c r="K1614" s="139">
        <v>301720</v>
      </c>
    </row>
    <row r="1615" spans="1:11">
      <c r="A1615" s="1" t="str">
        <f t="shared" si="25"/>
        <v>15100-36116595-9515005239790</v>
      </c>
      <c r="B1615" s="136" t="s">
        <v>4318</v>
      </c>
      <c r="C1615" s="136" t="s">
        <v>11262</v>
      </c>
      <c r="D1615" s="132" t="s">
        <v>3420</v>
      </c>
      <c r="E1615" s="136" t="s">
        <v>4170</v>
      </c>
      <c r="F1615" s="136" t="s">
        <v>4170</v>
      </c>
      <c r="G1615" s="137">
        <v>1395449236001</v>
      </c>
      <c r="H1615" s="138" t="s">
        <v>6298</v>
      </c>
      <c r="I1615" s="136">
        <v>951500523</v>
      </c>
      <c r="J1615" s="131" t="s">
        <v>4347</v>
      </c>
      <c r="K1615" s="139">
        <v>9790</v>
      </c>
    </row>
    <row r="1616" spans="1:11">
      <c r="A1616" s="1" t="str">
        <f t="shared" si="25"/>
        <v>15100-29541595-95150001024900</v>
      </c>
      <c r="B1616" s="136" t="s">
        <v>3262</v>
      </c>
      <c r="C1616" s="136" t="s">
        <v>11303</v>
      </c>
      <c r="D1616" s="132" t="s">
        <v>3420</v>
      </c>
      <c r="E1616" s="136" t="s">
        <v>3275</v>
      </c>
      <c r="F1616" s="136" t="s">
        <v>3275</v>
      </c>
      <c r="G1616" s="137">
        <v>1394392647001</v>
      </c>
      <c r="H1616" s="138" t="s">
        <v>6454</v>
      </c>
      <c r="I1616" s="136">
        <v>951500010</v>
      </c>
      <c r="J1616" s="131" t="s">
        <v>3283</v>
      </c>
      <c r="K1616" s="139">
        <v>24900</v>
      </c>
    </row>
    <row r="1617" spans="1:11">
      <c r="A1617" s="1" t="str">
        <f t="shared" si="25"/>
        <v>15100-35527695-95150041255070</v>
      </c>
      <c r="B1617" s="136" t="s">
        <v>4136</v>
      </c>
      <c r="C1617" s="136" t="s">
        <v>11283</v>
      </c>
      <c r="D1617" s="132" t="s">
        <v>3420</v>
      </c>
      <c r="E1617" s="136" t="s">
        <v>4180</v>
      </c>
      <c r="F1617" s="136" t="s">
        <v>4180</v>
      </c>
      <c r="G1617" s="137">
        <v>1395447369001</v>
      </c>
      <c r="H1617" s="138" t="s">
        <v>6298</v>
      </c>
      <c r="I1617" s="136">
        <v>951500412</v>
      </c>
      <c r="J1617" s="131" t="s">
        <v>4304</v>
      </c>
      <c r="K1617" s="139">
        <v>55070</v>
      </c>
    </row>
    <row r="1618" spans="1:11">
      <c r="A1618" s="1" t="str">
        <f t="shared" si="25"/>
        <v>15100-28539294-94150081338180</v>
      </c>
      <c r="B1618" s="136" t="s">
        <v>11304</v>
      </c>
      <c r="C1618" s="136" t="s">
        <v>11305</v>
      </c>
      <c r="D1618" s="132" t="s">
        <v>3420</v>
      </c>
      <c r="E1618" s="136" t="s">
        <v>3172</v>
      </c>
      <c r="F1618" s="136" t="s">
        <v>3172</v>
      </c>
      <c r="G1618" s="137">
        <v>1394394802001</v>
      </c>
      <c r="H1618" s="138" t="s">
        <v>6298</v>
      </c>
      <c r="I1618" s="136">
        <v>941500813</v>
      </c>
      <c r="J1618" s="131" t="s">
        <v>2759</v>
      </c>
      <c r="K1618" s="139">
        <v>38180</v>
      </c>
    </row>
    <row r="1619" spans="1:11">
      <c r="A1619" s="1" t="str">
        <f t="shared" si="25"/>
        <v>15100-36124495-95150051322860</v>
      </c>
      <c r="B1619" s="136" t="s">
        <v>4321</v>
      </c>
      <c r="C1619" s="136" t="s">
        <v>11306</v>
      </c>
      <c r="D1619" s="132" t="s">
        <v>3420</v>
      </c>
      <c r="E1619" s="136" t="s">
        <v>4170</v>
      </c>
      <c r="F1619" s="136" t="s">
        <v>4170</v>
      </c>
      <c r="G1619" s="137">
        <v>1395449237001</v>
      </c>
      <c r="H1619" s="138" t="s">
        <v>6299</v>
      </c>
      <c r="I1619" s="136">
        <v>951500513</v>
      </c>
      <c r="J1619" s="131" t="s">
        <v>4298</v>
      </c>
      <c r="K1619" s="139">
        <v>22860</v>
      </c>
    </row>
    <row r="1620" spans="1:11">
      <c r="A1620" s="1" t="str">
        <f t="shared" si="25"/>
        <v>15100-28306794-941500812115480</v>
      </c>
      <c r="B1620" s="136" t="s">
        <v>11307</v>
      </c>
      <c r="C1620" s="136" t="s">
        <v>11308</v>
      </c>
      <c r="D1620" s="132" t="s">
        <v>3420</v>
      </c>
      <c r="E1620" s="136" t="s">
        <v>3171</v>
      </c>
      <c r="F1620" s="136" t="s">
        <v>3171</v>
      </c>
      <c r="G1620" s="137">
        <v>1394394802001</v>
      </c>
      <c r="H1620" s="138" t="s">
        <v>6298</v>
      </c>
      <c r="I1620" s="136">
        <v>941500812</v>
      </c>
      <c r="J1620" s="131" t="s">
        <v>3211</v>
      </c>
      <c r="K1620" s="139">
        <v>115480</v>
      </c>
    </row>
    <row r="1621" spans="1:11">
      <c r="A1621" s="1" t="str">
        <f t="shared" si="25"/>
        <v>15100-28541995-9515000508660</v>
      </c>
      <c r="B1621" s="136" t="s">
        <v>3199</v>
      </c>
      <c r="C1621" s="136" t="s">
        <v>11309</v>
      </c>
      <c r="D1621" s="132" t="s">
        <v>3420</v>
      </c>
      <c r="E1621" s="136" t="s">
        <v>3172</v>
      </c>
      <c r="F1621" s="136" t="s">
        <v>3172</v>
      </c>
      <c r="G1621" s="137">
        <v>1395397985001</v>
      </c>
      <c r="H1621" s="138" t="s">
        <v>6298</v>
      </c>
      <c r="I1621" s="136">
        <v>951500050</v>
      </c>
      <c r="J1621" s="131" t="s">
        <v>2889</v>
      </c>
      <c r="K1621" s="139">
        <v>8660</v>
      </c>
    </row>
    <row r="1622" spans="1:11">
      <c r="A1622" s="1" t="str">
        <f t="shared" si="25"/>
        <v>50100-725202995-951500097399520</v>
      </c>
      <c r="B1622" s="136" t="s">
        <v>2967</v>
      </c>
      <c r="C1622" s="136" t="s">
        <v>11299</v>
      </c>
      <c r="D1622" s="132" t="s">
        <v>3420</v>
      </c>
      <c r="E1622" s="136" t="s">
        <v>2868</v>
      </c>
      <c r="F1622" s="136" t="s">
        <v>2868</v>
      </c>
      <c r="G1622" s="137">
        <v>1395397985001</v>
      </c>
      <c r="H1622" s="138" t="s">
        <v>6298</v>
      </c>
      <c r="I1622" s="136">
        <v>951500097</v>
      </c>
      <c r="J1622" s="131" t="s">
        <v>3114</v>
      </c>
      <c r="K1622" s="139">
        <v>399520</v>
      </c>
    </row>
    <row r="1623" spans="1:11">
      <c r="A1623" s="1" t="str">
        <f t="shared" si="25"/>
        <v>50100-725202995-95150001156045</v>
      </c>
      <c r="B1623" s="136" t="s">
        <v>2967</v>
      </c>
      <c r="C1623" s="136" t="s">
        <v>11299</v>
      </c>
      <c r="D1623" s="132" t="s">
        <v>3420</v>
      </c>
      <c r="E1623" s="136" t="s">
        <v>2868</v>
      </c>
      <c r="F1623" s="136" t="s">
        <v>2868</v>
      </c>
      <c r="G1623" s="137">
        <v>1394392647001</v>
      </c>
      <c r="H1623" s="138" t="s">
        <v>6454</v>
      </c>
      <c r="I1623" s="136">
        <v>951500011</v>
      </c>
      <c r="J1623" s="131" t="s">
        <v>3075</v>
      </c>
      <c r="K1623" s="139">
        <v>56045</v>
      </c>
    </row>
    <row r="1624" spans="1:11">
      <c r="A1624" s="1" t="str">
        <f t="shared" si="25"/>
        <v>50100-727193795-951500128800000</v>
      </c>
      <c r="B1624" s="136" t="s">
        <v>2968</v>
      </c>
      <c r="C1624" s="136" t="s">
        <v>11310</v>
      </c>
      <c r="D1624" s="132" t="s">
        <v>3420</v>
      </c>
      <c r="E1624" s="136" t="s">
        <v>2856</v>
      </c>
      <c r="F1624" s="136" t="s">
        <v>2856</v>
      </c>
      <c r="G1624" s="137">
        <v>1395397987001</v>
      </c>
      <c r="H1624" s="138" t="s">
        <v>10183</v>
      </c>
      <c r="I1624" s="136">
        <v>951500128</v>
      </c>
      <c r="J1624" s="131" t="s">
        <v>3115</v>
      </c>
      <c r="K1624" s="139">
        <v>800000</v>
      </c>
    </row>
    <row r="1625" spans="1:11">
      <c r="A1625" s="1" t="str">
        <f t="shared" si="25"/>
        <v>15100-26037794-941500715317860</v>
      </c>
      <c r="B1625" s="136" t="s">
        <v>11255</v>
      </c>
      <c r="C1625" s="136" t="s">
        <v>11256</v>
      </c>
      <c r="D1625" s="132" t="s">
        <v>3420</v>
      </c>
      <c r="E1625" s="136" t="s">
        <v>2755</v>
      </c>
      <c r="F1625" s="136" t="s">
        <v>2755</v>
      </c>
      <c r="G1625" s="137">
        <v>1394392935001</v>
      </c>
      <c r="H1625" s="138" t="s">
        <v>6298</v>
      </c>
      <c r="I1625" s="136">
        <v>941500715</v>
      </c>
      <c r="J1625" s="131" t="s">
        <v>2873</v>
      </c>
      <c r="K1625" s="139">
        <v>317860</v>
      </c>
    </row>
    <row r="1626" spans="1:11">
      <c r="A1626" s="1" t="str">
        <f t="shared" si="25"/>
        <v>15100-26037794-941500808225140</v>
      </c>
      <c r="B1626" s="136" t="s">
        <v>11255</v>
      </c>
      <c r="C1626" s="136" t="s">
        <v>11256</v>
      </c>
      <c r="D1626" s="132" t="s">
        <v>3420</v>
      </c>
      <c r="E1626" s="136" t="s">
        <v>2755</v>
      </c>
      <c r="F1626" s="136" t="s">
        <v>2755</v>
      </c>
      <c r="G1626" s="137">
        <v>1394394802001</v>
      </c>
      <c r="H1626" s="138" t="s">
        <v>6298</v>
      </c>
      <c r="I1626" s="136">
        <v>941500808</v>
      </c>
      <c r="J1626" s="131" t="s">
        <v>2874</v>
      </c>
      <c r="K1626" s="139">
        <v>225140</v>
      </c>
    </row>
    <row r="1627" spans="1:11">
      <c r="A1627" s="1" t="str">
        <f t="shared" si="25"/>
        <v>15100-34948695-95150040548620</v>
      </c>
      <c r="B1627" s="136" t="s">
        <v>4138</v>
      </c>
      <c r="C1627" s="136" t="s">
        <v>11311</v>
      </c>
      <c r="D1627" s="132" t="s">
        <v>3420</v>
      </c>
      <c r="E1627" s="136" t="s">
        <v>3965</v>
      </c>
      <c r="F1627" s="136" t="s">
        <v>3965</v>
      </c>
      <c r="G1627" s="137">
        <v>1395447370001</v>
      </c>
      <c r="H1627" s="138" t="s">
        <v>6299</v>
      </c>
      <c r="I1627" s="136">
        <v>951500405</v>
      </c>
      <c r="J1627" s="131" t="s">
        <v>4287</v>
      </c>
      <c r="K1627" s="139">
        <v>48620</v>
      </c>
    </row>
    <row r="1628" spans="1:11">
      <c r="A1628" s="1" t="str">
        <f t="shared" si="25"/>
        <v>15100-35001895-951500405182640</v>
      </c>
      <c r="B1628" s="136" t="s">
        <v>4137</v>
      </c>
      <c r="C1628" s="136" t="s">
        <v>11279</v>
      </c>
      <c r="D1628" s="132" t="s">
        <v>3420</v>
      </c>
      <c r="E1628" s="136" t="s">
        <v>3932</v>
      </c>
      <c r="F1628" s="136" t="s">
        <v>3932</v>
      </c>
      <c r="G1628" s="137">
        <v>1395447370001</v>
      </c>
      <c r="H1628" s="138" t="s">
        <v>6299</v>
      </c>
      <c r="I1628" s="136">
        <v>951500405</v>
      </c>
      <c r="J1628" s="131" t="s">
        <v>4287</v>
      </c>
      <c r="K1628" s="139">
        <v>182640</v>
      </c>
    </row>
    <row r="1629" spans="1:11">
      <c r="A1629" s="1" t="str">
        <f t="shared" si="25"/>
        <v>15100-35298695-95150038564070</v>
      </c>
      <c r="B1629" s="136" t="s">
        <v>4139</v>
      </c>
      <c r="C1629" s="136" t="s">
        <v>11269</v>
      </c>
      <c r="D1629" s="132" t="s">
        <v>3420</v>
      </c>
      <c r="E1629" s="136" t="s">
        <v>4181</v>
      </c>
      <c r="F1629" s="136" t="s">
        <v>4181</v>
      </c>
      <c r="G1629" s="137">
        <v>1395445412001</v>
      </c>
      <c r="H1629" s="138" t="s">
        <v>6298</v>
      </c>
      <c r="I1629" s="136">
        <v>951500385</v>
      </c>
      <c r="J1629" s="131" t="s">
        <v>4268</v>
      </c>
      <c r="K1629" s="139">
        <v>64070</v>
      </c>
    </row>
    <row r="1630" spans="1:11">
      <c r="A1630" s="1" t="str">
        <f t="shared" si="25"/>
        <v>15100-29443695-95150004445010</v>
      </c>
      <c r="B1630" s="136" t="s">
        <v>3268</v>
      </c>
      <c r="C1630" s="136" t="s">
        <v>11312</v>
      </c>
      <c r="D1630" s="132" t="s">
        <v>3420</v>
      </c>
      <c r="E1630" s="136" t="s">
        <v>3281</v>
      </c>
      <c r="F1630" s="136" t="s">
        <v>3281</v>
      </c>
      <c r="G1630" s="137">
        <v>1394395845001</v>
      </c>
      <c r="H1630" s="138" t="s">
        <v>6453</v>
      </c>
      <c r="I1630" s="136">
        <v>951500044</v>
      </c>
      <c r="J1630" s="131" t="s">
        <v>3053</v>
      </c>
      <c r="K1630" s="139">
        <v>45010</v>
      </c>
    </row>
    <row r="1631" spans="1:11">
      <c r="A1631" s="1" t="str">
        <f t="shared" si="25"/>
        <v>15100-37656895-9515005455780</v>
      </c>
      <c r="B1631" s="136" t="s">
        <v>4649</v>
      </c>
      <c r="C1631" s="136" t="s">
        <v>11281</v>
      </c>
      <c r="D1631" s="132" t="s">
        <v>3420</v>
      </c>
      <c r="E1631" s="136" t="s">
        <v>4665</v>
      </c>
      <c r="F1631" s="136" t="s">
        <v>4665</v>
      </c>
      <c r="G1631" s="137">
        <v>1395447372001</v>
      </c>
      <c r="H1631" s="138" t="s">
        <v>6300</v>
      </c>
      <c r="I1631" s="136">
        <v>951500545</v>
      </c>
      <c r="J1631" s="131" t="s">
        <v>4453</v>
      </c>
      <c r="K1631" s="139">
        <v>5780</v>
      </c>
    </row>
    <row r="1632" spans="1:11">
      <c r="A1632" s="1" t="str">
        <f t="shared" si="25"/>
        <v>15100-35527695-95150041917800</v>
      </c>
      <c r="B1632" s="136" t="s">
        <v>4136</v>
      </c>
      <c r="C1632" s="136" t="s">
        <v>11283</v>
      </c>
      <c r="D1632" s="132" t="s">
        <v>3420</v>
      </c>
      <c r="E1632" s="136" t="s">
        <v>4180</v>
      </c>
      <c r="F1632" s="136" t="s">
        <v>4180</v>
      </c>
      <c r="G1632" s="137">
        <v>1395445412001</v>
      </c>
      <c r="H1632" s="138" t="s">
        <v>6298</v>
      </c>
      <c r="I1632" s="136">
        <v>951500419</v>
      </c>
      <c r="J1632" s="131" t="s">
        <v>4296</v>
      </c>
      <c r="K1632" s="139">
        <v>17800</v>
      </c>
    </row>
    <row r="1633" spans="1:11">
      <c r="A1633" s="1" t="str">
        <f t="shared" si="25"/>
        <v>15100-36124495-95150050993780</v>
      </c>
      <c r="B1633" s="136" t="s">
        <v>4321</v>
      </c>
      <c r="C1633" s="136" t="s">
        <v>11306</v>
      </c>
      <c r="D1633" s="132" t="s">
        <v>3420</v>
      </c>
      <c r="E1633" s="136" t="s">
        <v>4170</v>
      </c>
      <c r="F1633" s="136" t="s">
        <v>4170</v>
      </c>
      <c r="G1633" s="137">
        <v>1395449235001</v>
      </c>
      <c r="H1633" s="138" t="s">
        <v>6299</v>
      </c>
      <c r="I1633" s="136">
        <v>951500509</v>
      </c>
      <c r="J1633" s="131" t="s">
        <v>4351</v>
      </c>
      <c r="K1633" s="139">
        <v>93780</v>
      </c>
    </row>
    <row r="1634" spans="1:11">
      <c r="A1634" s="1" t="str">
        <f t="shared" si="25"/>
        <v>15100-27323894-94150078328680</v>
      </c>
      <c r="B1634" s="136" t="s">
        <v>11300</v>
      </c>
      <c r="C1634" s="136" t="s">
        <v>11301</v>
      </c>
      <c r="D1634" s="132" t="s">
        <v>3420</v>
      </c>
      <c r="E1634" s="136" t="s">
        <v>3040</v>
      </c>
      <c r="F1634" s="136" t="s">
        <v>3040</v>
      </c>
      <c r="G1634" s="137">
        <v>1394394178001</v>
      </c>
      <c r="H1634" s="138" t="s">
        <v>6298</v>
      </c>
      <c r="I1634" s="136">
        <v>941500783</v>
      </c>
      <c r="J1634" s="131" t="s">
        <v>2761</v>
      </c>
      <c r="K1634" s="139">
        <v>28680</v>
      </c>
    </row>
    <row r="1635" spans="1:11">
      <c r="A1635" s="1" t="str">
        <f t="shared" si="25"/>
        <v>15100-34051395-95150034790380</v>
      </c>
      <c r="B1635" s="136" t="s">
        <v>3787</v>
      </c>
      <c r="C1635" s="136" t="s">
        <v>11276</v>
      </c>
      <c r="D1635" s="132" t="s">
        <v>3420</v>
      </c>
      <c r="E1635" s="136" t="s">
        <v>3827</v>
      </c>
      <c r="F1635" s="136" t="s">
        <v>3827</v>
      </c>
      <c r="G1635" s="137">
        <v>1395437982001</v>
      </c>
      <c r="H1635" s="138" t="s">
        <v>6300</v>
      </c>
      <c r="I1635" s="136">
        <v>951500347</v>
      </c>
      <c r="J1635" s="131" t="s">
        <v>3846</v>
      </c>
      <c r="K1635" s="139">
        <v>90380</v>
      </c>
    </row>
    <row r="1636" spans="1:11">
      <c r="A1636" s="1" t="str">
        <f t="shared" si="25"/>
        <v>15100-35001895-95150039271080</v>
      </c>
      <c r="B1636" s="136" t="s">
        <v>4137</v>
      </c>
      <c r="C1636" s="136" t="s">
        <v>11279</v>
      </c>
      <c r="D1636" s="132" t="s">
        <v>3420</v>
      </c>
      <c r="E1636" s="136" t="s">
        <v>3932</v>
      </c>
      <c r="F1636" s="136" t="s">
        <v>3932</v>
      </c>
      <c r="G1636" s="137">
        <v>1395445412001</v>
      </c>
      <c r="H1636" s="138" t="s">
        <v>6298</v>
      </c>
      <c r="I1636" s="136">
        <v>951500392</v>
      </c>
      <c r="J1636" s="131" t="s">
        <v>4291</v>
      </c>
      <c r="K1636" s="139">
        <v>71080</v>
      </c>
    </row>
    <row r="1637" spans="1:11">
      <c r="A1637" s="1" t="str">
        <f t="shared" si="25"/>
        <v>15100-35225895-95150039145040</v>
      </c>
      <c r="B1637" s="136" t="s">
        <v>4145</v>
      </c>
      <c r="C1637" s="136" t="s">
        <v>11313</v>
      </c>
      <c r="D1637" s="132" t="s">
        <v>3420</v>
      </c>
      <c r="E1637" s="136" t="s">
        <v>4184</v>
      </c>
      <c r="F1637" s="141" t="s">
        <v>4184</v>
      </c>
      <c r="G1637" s="137">
        <v>1395445414001</v>
      </c>
      <c r="H1637" s="140" t="s">
        <v>8845</v>
      </c>
      <c r="I1637" s="141">
        <v>951500391</v>
      </c>
      <c r="J1637" s="131" t="s">
        <v>4274</v>
      </c>
      <c r="K1637" s="142">
        <v>45040</v>
      </c>
    </row>
    <row r="1638" spans="1:11">
      <c r="A1638" s="1" t="str">
        <f t="shared" si="25"/>
        <v>15100-35225895-951500432211900</v>
      </c>
      <c r="B1638" s="136" t="s">
        <v>4145</v>
      </c>
      <c r="C1638" s="136" t="s">
        <v>11313</v>
      </c>
      <c r="D1638" s="132" t="s">
        <v>3420</v>
      </c>
      <c r="E1638" s="136" t="s">
        <v>4184</v>
      </c>
      <c r="F1638" s="136" t="s">
        <v>4184</v>
      </c>
      <c r="G1638" s="137">
        <v>1395441448001</v>
      </c>
      <c r="H1638" s="138" t="s">
        <v>6299</v>
      </c>
      <c r="I1638" s="136">
        <v>951500432</v>
      </c>
      <c r="J1638" s="131" t="s">
        <v>3979</v>
      </c>
      <c r="K1638" s="139">
        <v>211900</v>
      </c>
    </row>
    <row r="1639" spans="1:11">
      <c r="A1639" s="1" t="str">
        <f t="shared" si="25"/>
        <v>15100-37139595-951500549119140</v>
      </c>
      <c r="B1639" s="136" t="s">
        <v>4523</v>
      </c>
      <c r="C1639" s="136" t="s">
        <v>11314</v>
      </c>
      <c r="D1639" s="132" t="s">
        <v>3420</v>
      </c>
      <c r="E1639" s="136" t="s">
        <v>4569</v>
      </c>
      <c r="F1639" s="136" t="s">
        <v>4569</v>
      </c>
      <c r="G1639" s="137">
        <v>1395456616001</v>
      </c>
      <c r="H1639" s="138" t="s">
        <v>6299</v>
      </c>
      <c r="I1639" s="136">
        <v>951500549</v>
      </c>
      <c r="J1639" s="131" t="s">
        <v>4452</v>
      </c>
      <c r="K1639" s="139">
        <v>119140</v>
      </c>
    </row>
    <row r="1640" spans="1:11">
      <c r="A1640" s="1" t="str">
        <f t="shared" si="25"/>
        <v>15100-38181895-95150057449965</v>
      </c>
      <c r="B1640" s="136" t="s">
        <v>4640</v>
      </c>
      <c r="C1640" s="136" t="s">
        <v>11315</v>
      </c>
      <c r="D1640" s="132" t="s">
        <v>3420</v>
      </c>
      <c r="E1640" s="136" t="s">
        <v>4663</v>
      </c>
      <c r="F1640" s="136" t="s">
        <v>4663</v>
      </c>
      <c r="G1640" s="137">
        <v>1395462017001</v>
      </c>
      <c r="H1640" s="138" t="s">
        <v>6298</v>
      </c>
      <c r="I1640" s="136">
        <v>951500574</v>
      </c>
      <c r="J1640" s="131" t="s">
        <v>4699</v>
      </c>
      <c r="K1640" s="139">
        <v>49965</v>
      </c>
    </row>
    <row r="1641" spans="1:11">
      <c r="A1641" s="1" t="str">
        <f t="shared" si="25"/>
        <v>15100-38386495-95150057450480</v>
      </c>
      <c r="B1641" s="136" t="s">
        <v>4749</v>
      </c>
      <c r="C1641" s="136" t="s">
        <v>11316</v>
      </c>
      <c r="D1641" s="132" t="s">
        <v>3420</v>
      </c>
      <c r="E1641" s="136" t="s">
        <v>4707</v>
      </c>
      <c r="F1641" s="136" t="s">
        <v>4707</v>
      </c>
      <c r="G1641" s="137">
        <v>1395462017001</v>
      </c>
      <c r="H1641" s="138" t="s">
        <v>6298</v>
      </c>
      <c r="I1641" s="136">
        <v>951500574</v>
      </c>
      <c r="J1641" s="131" t="s">
        <v>4699</v>
      </c>
      <c r="K1641" s="139">
        <v>50480</v>
      </c>
    </row>
    <row r="1642" spans="1:11">
      <c r="A1642" s="1" t="str">
        <f t="shared" si="25"/>
        <v>15100-35784695-95150048269530</v>
      </c>
      <c r="B1642" s="136" t="s">
        <v>4133</v>
      </c>
      <c r="C1642" s="136" t="s">
        <v>11284</v>
      </c>
      <c r="D1642" s="132" t="s">
        <v>3420</v>
      </c>
      <c r="E1642" s="136" t="s">
        <v>4177</v>
      </c>
      <c r="F1642" s="136" t="s">
        <v>4177</v>
      </c>
      <c r="G1642" s="137">
        <v>1395447372001</v>
      </c>
      <c r="H1642" s="138" t="s">
        <v>6300</v>
      </c>
      <c r="I1642" s="136">
        <v>951500482</v>
      </c>
      <c r="J1642" s="131" t="s">
        <v>4283</v>
      </c>
      <c r="K1642" s="139">
        <v>69530</v>
      </c>
    </row>
    <row r="1643" spans="1:11">
      <c r="A1643" s="1" t="str">
        <f t="shared" si="25"/>
        <v>15100-36725895-95150048233510</v>
      </c>
      <c r="B1643" s="136" t="s">
        <v>4383</v>
      </c>
      <c r="C1643" s="136" t="s">
        <v>11317</v>
      </c>
      <c r="D1643" s="132" t="s">
        <v>3420</v>
      </c>
      <c r="E1643" s="136" t="s">
        <v>4438</v>
      </c>
      <c r="F1643" s="136" t="s">
        <v>4438</v>
      </c>
      <c r="G1643" s="137">
        <v>1395447372001</v>
      </c>
      <c r="H1643" s="138" t="s">
        <v>6300</v>
      </c>
      <c r="I1643" s="136">
        <v>951500482</v>
      </c>
      <c r="J1643" s="131" t="s">
        <v>4283</v>
      </c>
      <c r="K1643" s="139">
        <v>33510</v>
      </c>
    </row>
    <row r="1644" spans="1:11">
      <c r="A1644" s="1" t="str">
        <f t="shared" si="25"/>
        <v>15100-36069595-95150047782710</v>
      </c>
      <c r="B1644" s="136" t="s">
        <v>4320</v>
      </c>
      <c r="C1644" s="136" t="s">
        <v>11294</v>
      </c>
      <c r="D1644" s="132" t="s">
        <v>3420</v>
      </c>
      <c r="E1644" s="136" t="s">
        <v>4165</v>
      </c>
      <c r="F1644" s="136" t="s">
        <v>4165</v>
      </c>
      <c r="G1644" s="137">
        <v>1395449236001</v>
      </c>
      <c r="H1644" s="138" t="s">
        <v>6298</v>
      </c>
      <c r="I1644" s="136">
        <v>951500477</v>
      </c>
      <c r="J1644" s="131" t="s">
        <v>4345</v>
      </c>
      <c r="K1644" s="139">
        <v>82710</v>
      </c>
    </row>
    <row r="1645" spans="1:11">
      <c r="A1645" s="1" t="str">
        <f t="shared" si="25"/>
        <v>15100-34725195-951500344117430</v>
      </c>
      <c r="B1645" s="136" t="s">
        <v>4135</v>
      </c>
      <c r="C1645" s="136" t="s">
        <v>11318</v>
      </c>
      <c r="D1645" s="132" t="s">
        <v>3420</v>
      </c>
      <c r="E1645" s="136" t="s">
        <v>3902</v>
      </c>
      <c r="F1645" s="136" t="s">
        <v>3902</v>
      </c>
      <c r="G1645" s="137">
        <v>1395435643001</v>
      </c>
      <c r="H1645" s="138" t="s">
        <v>6300</v>
      </c>
      <c r="I1645" s="136">
        <v>951500344</v>
      </c>
      <c r="J1645" s="131" t="s">
        <v>4295</v>
      </c>
      <c r="K1645" s="139">
        <v>117430</v>
      </c>
    </row>
    <row r="1646" spans="1:11">
      <c r="A1646" s="1" t="str">
        <f t="shared" si="25"/>
        <v>15100-25657795-95150001325690</v>
      </c>
      <c r="B1646" s="136" t="s">
        <v>2687</v>
      </c>
      <c r="C1646" s="136" t="s">
        <v>11285</v>
      </c>
      <c r="D1646" s="132" t="s">
        <v>3420</v>
      </c>
      <c r="E1646" s="136" t="s">
        <v>2754</v>
      </c>
      <c r="F1646" s="136" t="s">
        <v>2754</v>
      </c>
      <c r="G1646" s="137">
        <v>1394394801001</v>
      </c>
      <c r="H1646" s="138" t="s">
        <v>10183</v>
      </c>
      <c r="I1646" s="136">
        <v>951500013</v>
      </c>
      <c r="J1646" s="131" t="s">
        <v>2773</v>
      </c>
      <c r="K1646" s="139">
        <v>25690</v>
      </c>
    </row>
    <row r="1647" spans="1:11">
      <c r="A1647" s="1" t="str">
        <f t="shared" si="25"/>
        <v>15100-36891995-95150050770610</v>
      </c>
      <c r="B1647" s="136" t="s">
        <v>4369</v>
      </c>
      <c r="C1647" s="136" t="s">
        <v>11319</v>
      </c>
      <c r="D1647" s="132" t="s">
        <v>3420</v>
      </c>
      <c r="E1647" s="136" t="s">
        <v>4440</v>
      </c>
      <c r="F1647" s="136" t="s">
        <v>4440</v>
      </c>
      <c r="G1647" s="137">
        <v>1395449236001</v>
      </c>
      <c r="H1647" s="138" t="s">
        <v>6298</v>
      </c>
      <c r="I1647" s="136">
        <v>951500507</v>
      </c>
      <c r="J1647" s="131" t="s">
        <v>4450</v>
      </c>
      <c r="K1647" s="139">
        <v>70610</v>
      </c>
    </row>
    <row r="1648" spans="1:11">
      <c r="A1648" s="1" t="str">
        <f t="shared" si="25"/>
        <v>15100-36725895-95150034440210</v>
      </c>
      <c r="B1648" s="136" t="s">
        <v>4383</v>
      </c>
      <c r="C1648" s="136" t="s">
        <v>11317</v>
      </c>
      <c r="D1648" s="132" t="s">
        <v>3420</v>
      </c>
      <c r="E1648" s="136" t="s">
        <v>4438</v>
      </c>
      <c r="F1648" s="136" t="s">
        <v>4438</v>
      </c>
      <c r="G1648" s="137">
        <v>1395435643001</v>
      </c>
      <c r="H1648" s="138" t="s">
        <v>6300</v>
      </c>
      <c r="I1648" s="136">
        <v>951500344</v>
      </c>
      <c r="J1648" s="131" t="s">
        <v>4295</v>
      </c>
      <c r="K1648" s="139">
        <v>40210</v>
      </c>
    </row>
    <row r="1649" spans="1:11">
      <c r="A1649" s="1" t="str">
        <f t="shared" si="25"/>
        <v>50100-843387795-954100043944000</v>
      </c>
      <c r="B1649" s="136" t="s">
        <v>4826</v>
      </c>
      <c r="C1649" s="136" t="s">
        <v>11320</v>
      </c>
      <c r="D1649" s="132" t="s">
        <v>3420</v>
      </c>
      <c r="E1649" s="136" t="s">
        <v>4872</v>
      </c>
      <c r="F1649" s="136" t="s">
        <v>4872</v>
      </c>
      <c r="G1649" s="137">
        <v>1395455748001</v>
      </c>
      <c r="H1649" s="138" t="s">
        <v>10183</v>
      </c>
      <c r="I1649" s="136">
        <v>954100043</v>
      </c>
      <c r="J1649" s="131" t="s">
        <v>4947</v>
      </c>
      <c r="K1649" s="139">
        <v>944000</v>
      </c>
    </row>
    <row r="1650" spans="1:11">
      <c r="A1650" s="1" t="str">
        <f t="shared" si="25"/>
        <v>50100-843387795-954100042483718</v>
      </c>
      <c r="B1650" s="136" t="s">
        <v>4826</v>
      </c>
      <c r="C1650" s="136" t="s">
        <v>11320</v>
      </c>
      <c r="D1650" s="132" t="s">
        <v>3420</v>
      </c>
      <c r="E1650" s="136" t="s">
        <v>4872</v>
      </c>
      <c r="F1650" s="136" t="s">
        <v>4872</v>
      </c>
      <c r="G1650" s="137">
        <v>1395468402001</v>
      </c>
      <c r="H1650" s="138" t="s">
        <v>10183</v>
      </c>
      <c r="I1650" s="136">
        <v>954100042</v>
      </c>
      <c r="J1650" s="131" t="s">
        <v>4948</v>
      </c>
      <c r="K1650" s="139">
        <v>483718</v>
      </c>
    </row>
    <row r="1651" spans="1:11">
      <c r="A1651" s="1" t="str">
        <f t="shared" si="25"/>
        <v>15100-28600195-9515000327220</v>
      </c>
      <c r="B1651" s="136" t="s">
        <v>3203</v>
      </c>
      <c r="C1651" s="136" t="s">
        <v>11321</v>
      </c>
      <c r="D1651" s="132" t="s">
        <v>3420</v>
      </c>
      <c r="E1651" s="136" t="s">
        <v>3166</v>
      </c>
      <c r="F1651" s="136" t="s">
        <v>3166</v>
      </c>
      <c r="G1651" s="137">
        <v>1395397985001</v>
      </c>
      <c r="H1651" s="138" t="s">
        <v>6298</v>
      </c>
      <c r="I1651" s="136">
        <v>951500032</v>
      </c>
      <c r="J1651" s="131" t="s">
        <v>3210</v>
      </c>
      <c r="K1651" s="139">
        <v>7220</v>
      </c>
    </row>
    <row r="1652" spans="1:11">
      <c r="A1652" s="1" t="str">
        <f t="shared" si="25"/>
        <v>50100-826429595-951500561541027</v>
      </c>
      <c r="B1652" s="136" t="s">
        <v>4526</v>
      </c>
      <c r="C1652" s="136" t="s">
        <v>11322</v>
      </c>
      <c r="D1652" s="132" t="s">
        <v>3420</v>
      </c>
      <c r="E1652" s="136" t="s">
        <v>4573</v>
      </c>
      <c r="F1652" s="136" t="s">
        <v>4573</v>
      </c>
      <c r="G1652" s="137">
        <v>1395447926001</v>
      </c>
      <c r="H1652" s="138" t="s">
        <v>6300</v>
      </c>
      <c r="I1652" s="136">
        <v>951500561</v>
      </c>
      <c r="J1652" s="131" t="s">
        <v>4512</v>
      </c>
      <c r="K1652" s="139">
        <v>541027</v>
      </c>
    </row>
    <row r="1653" spans="1:11">
      <c r="A1653" s="1" t="str">
        <f t="shared" si="25"/>
        <v>50100-739803195-951500089514405</v>
      </c>
      <c r="B1653" s="136" t="s">
        <v>3158</v>
      </c>
      <c r="C1653" s="136" t="s">
        <v>11323</v>
      </c>
      <c r="D1653" s="132" t="s">
        <v>3420</v>
      </c>
      <c r="E1653" s="136" t="s">
        <v>3168</v>
      </c>
      <c r="F1653" s="136" t="s">
        <v>3168</v>
      </c>
      <c r="G1653" s="137">
        <v>1394395845001</v>
      </c>
      <c r="H1653" s="138" t="s">
        <v>6453</v>
      </c>
      <c r="I1653" s="136">
        <v>951500089</v>
      </c>
      <c r="J1653" s="131" t="s">
        <v>3091</v>
      </c>
      <c r="K1653" s="139">
        <v>514405</v>
      </c>
    </row>
    <row r="1654" spans="1:11">
      <c r="A1654" s="1" t="str">
        <f t="shared" si="25"/>
        <v>15100-36788995-952500076165986</v>
      </c>
      <c r="B1654" s="136" t="s">
        <v>4377</v>
      </c>
      <c r="C1654" s="136" t="s">
        <v>11324</v>
      </c>
      <c r="D1654" s="132" t="s">
        <v>3420</v>
      </c>
      <c r="E1654" s="136" t="s">
        <v>4439</v>
      </c>
      <c r="F1654" s="136" t="s">
        <v>4439</v>
      </c>
      <c r="G1654" s="137">
        <v>1395453120001</v>
      </c>
      <c r="H1654" s="138" t="s">
        <v>10282</v>
      </c>
      <c r="I1654" s="136">
        <v>952500076</v>
      </c>
      <c r="J1654" s="131" t="s">
        <v>4447</v>
      </c>
      <c r="K1654" s="139">
        <v>165986</v>
      </c>
    </row>
    <row r="1655" spans="1:11">
      <c r="A1655" s="1" t="str">
        <f t="shared" si="25"/>
        <v>50100-854093696-961500030474206</v>
      </c>
      <c r="B1655" s="136" t="s">
        <v>5003</v>
      </c>
      <c r="C1655" s="136" t="s">
        <v>8965</v>
      </c>
      <c r="D1655" s="132" t="s">
        <v>4971</v>
      </c>
      <c r="E1655" s="136" t="s">
        <v>5014</v>
      </c>
      <c r="F1655" s="136" t="s">
        <v>5014</v>
      </c>
      <c r="G1655" s="137">
        <v>1395455039001</v>
      </c>
      <c r="H1655" s="138" t="s">
        <v>6300</v>
      </c>
      <c r="I1655" s="136">
        <v>961500030</v>
      </c>
      <c r="J1655" s="131" t="s">
        <v>5032</v>
      </c>
      <c r="K1655" s="139">
        <v>474206</v>
      </c>
    </row>
    <row r="1656" spans="1:11">
      <c r="A1656" s="1" t="str">
        <f t="shared" si="25"/>
        <v>50100-785185495-951500211224004</v>
      </c>
      <c r="B1656" s="136" t="s">
        <v>3693</v>
      </c>
      <c r="C1656" s="136" t="s">
        <v>11325</v>
      </c>
      <c r="D1656" s="132" t="s">
        <v>3420</v>
      </c>
      <c r="E1656" s="136" t="s">
        <v>3668</v>
      </c>
      <c r="F1656" s="136" t="s">
        <v>3668</v>
      </c>
      <c r="G1656" s="137">
        <v>1395421206001</v>
      </c>
      <c r="H1656" s="138" t="s">
        <v>6298</v>
      </c>
      <c r="I1656" s="136">
        <v>951500211</v>
      </c>
      <c r="J1656" s="131" t="s">
        <v>3561</v>
      </c>
      <c r="K1656" s="139">
        <v>224004</v>
      </c>
    </row>
    <row r="1657" spans="1:11">
      <c r="A1657" s="1" t="str">
        <f t="shared" si="25"/>
        <v>50100-822417195-952500079196360</v>
      </c>
      <c r="B1657" s="136" t="s">
        <v>4431</v>
      </c>
      <c r="C1657" s="136" t="s">
        <v>11326</v>
      </c>
      <c r="D1657" s="132" t="s">
        <v>3420</v>
      </c>
      <c r="E1657" s="136" t="s">
        <v>4444</v>
      </c>
      <c r="F1657" s="136" t="s">
        <v>4444</v>
      </c>
      <c r="G1657" s="137">
        <v>1395447926001</v>
      </c>
      <c r="H1657" s="138" t="s">
        <v>6300</v>
      </c>
      <c r="I1657" s="136">
        <v>952500079</v>
      </c>
      <c r="J1657" s="131" t="s">
        <v>4496</v>
      </c>
      <c r="K1657" s="139">
        <v>196360</v>
      </c>
    </row>
    <row r="1658" spans="1:11">
      <c r="A1658" s="1" t="str">
        <f t="shared" si="25"/>
        <v>15100-28600195-95150016237680</v>
      </c>
      <c r="B1658" s="136" t="s">
        <v>3203</v>
      </c>
      <c r="C1658" s="136" t="s">
        <v>11321</v>
      </c>
      <c r="D1658" s="132" t="s">
        <v>3420</v>
      </c>
      <c r="E1658" s="136" t="s">
        <v>3166</v>
      </c>
      <c r="F1658" s="136" t="s">
        <v>3166</v>
      </c>
      <c r="G1658" s="137">
        <v>1395401420001</v>
      </c>
      <c r="H1658" s="138" t="s">
        <v>6298</v>
      </c>
      <c r="I1658" s="136">
        <v>951500162</v>
      </c>
      <c r="J1658" s="131" t="s">
        <v>3052</v>
      </c>
      <c r="K1658" s="139">
        <v>37680</v>
      </c>
    </row>
    <row r="1659" spans="1:11">
      <c r="A1659" s="1" t="str">
        <f t="shared" si="25"/>
        <v>50100-826429595-951500563554023</v>
      </c>
      <c r="B1659" s="136" t="s">
        <v>4526</v>
      </c>
      <c r="C1659" s="136" t="s">
        <v>11322</v>
      </c>
      <c r="D1659" s="132" t="s">
        <v>3420</v>
      </c>
      <c r="E1659" s="136" t="s">
        <v>4573</v>
      </c>
      <c r="F1659" s="136" t="s">
        <v>4573</v>
      </c>
      <c r="G1659" s="137">
        <v>1395449242001</v>
      </c>
      <c r="H1659" s="138" t="s">
        <v>6300</v>
      </c>
      <c r="I1659" s="136">
        <v>951500563</v>
      </c>
      <c r="J1659" s="131" t="s">
        <v>4579</v>
      </c>
      <c r="K1659" s="139">
        <v>554023</v>
      </c>
    </row>
    <row r="1660" spans="1:11">
      <c r="A1660" s="1" t="str">
        <f t="shared" si="25"/>
        <v>50100-854093696-961500024319994</v>
      </c>
      <c r="B1660" s="136" t="s">
        <v>5003</v>
      </c>
      <c r="C1660" s="136" t="s">
        <v>8965</v>
      </c>
      <c r="D1660" s="132" t="s">
        <v>4971</v>
      </c>
      <c r="E1660" s="136" t="s">
        <v>5014</v>
      </c>
      <c r="F1660" s="136" t="s">
        <v>5014</v>
      </c>
      <c r="G1660" s="137">
        <v>1395452681001</v>
      </c>
      <c r="H1660" s="138" t="s">
        <v>6300</v>
      </c>
      <c r="I1660" s="136">
        <v>961500024</v>
      </c>
      <c r="J1660" s="131" t="s">
        <v>5036</v>
      </c>
      <c r="K1660" s="139">
        <v>319994</v>
      </c>
    </row>
    <row r="1661" spans="1:11">
      <c r="A1661" s="1" t="str">
        <f t="shared" si="25"/>
        <v>50100-720753595-951500018984231</v>
      </c>
      <c r="B1661" s="136" t="s">
        <v>2740</v>
      </c>
      <c r="C1661" s="136" t="s">
        <v>11327</v>
      </c>
      <c r="D1661" s="132" t="s">
        <v>3420</v>
      </c>
      <c r="E1661" s="136" t="s">
        <v>2755</v>
      </c>
      <c r="F1661" s="136" t="s">
        <v>2755</v>
      </c>
      <c r="G1661" s="137">
        <v>1394394801001</v>
      </c>
      <c r="H1661" s="138" t="s">
        <v>10183</v>
      </c>
      <c r="I1661" s="136">
        <v>951500018</v>
      </c>
      <c r="J1661" s="131" t="s">
        <v>2809</v>
      </c>
      <c r="K1661" s="139">
        <v>984231</v>
      </c>
    </row>
    <row r="1662" spans="1:11">
      <c r="A1662" s="1" t="str">
        <f t="shared" si="25"/>
        <v>50100-727193795-951500031196270</v>
      </c>
      <c r="B1662" s="136" t="s">
        <v>2968</v>
      </c>
      <c r="C1662" s="136" t="s">
        <v>11310</v>
      </c>
      <c r="D1662" s="132" t="s">
        <v>3420</v>
      </c>
      <c r="E1662" s="136" t="s">
        <v>2856</v>
      </c>
      <c r="F1662" s="136" t="s">
        <v>2856</v>
      </c>
      <c r="G1662" s="137">
        <v>1395397985001</v>
      </c>
      <c r="H1662" s="138" t="s">
        <v>6298</v>
      </c>
      <c r="I1662" s="136">
        <v>951500031</v>
      </c>
      <c r="J1662" s="131" t="s">
        <v>3083</v>
      </c>
      <c r="K1662" s="139">
        <v>196270</v>
      </c>
    </row>
    <row r="1663" spans="1:11">
      <c r="A1663" s="1" t="str">
        <f t="shared" si="25"/>
        <v>15100-32957695-95250003468135</v>
      </c>
      <c r="B1663" s="136" t="s">
        <v>3614</v>
      </c>
      <c r="C1663" s="136" t="s">
        <v>11328</v>
      </c>
      <c r="D1663" s="132" t="s">
        <v>3420</v>
      </c>
      <c r="E1663" s="136" t="s">
        <v>3668</v>
      </c>
      <c r="F1663" s="136" t="s">
        <v>3668</v>
      </c>
      <c r="G1663" s="137">
        <v>1395434890001</v>
      </c>
      <c r="H1663" s="138" t="s">
        <v>10282</v>
      </c>
      <c r="I1663" s="136">
        <v>952500034</v>
      </c>
      <c r="J1663" s="131" t="s">
        <v>3643</v>
      </c>
      <c r="K1663" s="139">
        <v>68135</v>
      </c>
    </row>
    <row r="1664" spans="1:11">
      <c r="A1664" s="1" t="str">
        <f t="shared" si="25"/>
        <v>50100-739803195-951500187482340</v>
      </c>
      <c r="B1664" s="136" t="s">
        <v>3158</v>
      </c>
      <c r="C1664" s="136" t="s">
        <v>11323</v>
      </c>
      <c r="D1664" s="132" t="s">
        <v>3420</v>
      </c>
      <c r="E1664" s="136" t="s">
        <v>3168</v>
      </c>
      <c r="F1664" s="136" t="s">
        <v>3168</v>
      </c>
      <c r="G1664" s="137">
        <v>1395400303001</v>
      </c>
      <c r="H1664" s="138" t="s">
        <v>6453</v>
      </c>
      <c r="I1664" s="136">
        <v>951500187</v>
      </c>
      <c r="J1664" s="131" t="s">
        <v>3189</v>
      </c>
      <c r="K1664" s="139">
        <v>482340</v>
      </c>
    </row>
    <row r="1665" spans="1:11">
      <c r="A1665" s="1" t="str">
        <f t="shared" si="25"/>
        <v>50100-712262294-9425001104373</v>
      </c>
      <c r="B1665" s="136" t="s">
        <v>11329</v>
      </c>
      <c r="C1665" s="136" t="s">
        <v>11330</v>
      </c>
      <c r="D1665" s="132" t="s">
        <v>3420</v>
      </c>
      <c r="E1665" s="136" t="s">
        <v>2610</v>
      </c>
      <c r="F1665" s="136" t="s">
        <v>2610</v>
      </c>
      <c r="G1665" s="137">
        <v>1394392936001</v>
      </c>
      <c r="H1665" s="138" t="s">
        <v>10183</v>
      </c>
      <c r="I1665" s="136">
        <v>942500110</v>
      </c>
      <c r="J1665" s="131" t="s">
        <v>7090</v>
      </c>
      <c r="K1665" s="139">
        <v>4373</v>
      </c>
    </row>
    <row r="1666" spans="1:11">
      <c r="A1666" s="1" t="str">
        <f t="shared" si="25"/>
        <v>50100-734338395-952500012273742</v>
      </c>
      <c r="B1666" s="136" t="s">
        <v>3031</v>
      </c>
      <c r="C1666" s="136" t="s">
        <v>11331</v>
      </c>
      <c r="D1666" s="132" t="s">
        <v>3420</v>
      </c>
      <c r="E1666" s="136" t="s">
        <v>3046</v>
      </c>
      <c r="F1666" s="136" t="s">
        <v>3046</v>
      </c>
      <c r="G1666" s="137">
        <v>1395397987001</v>
      </c>
      <c r="H1666" s="138" t="s">
        <v>10183</v>
      </c>
      <c r="I1666" s="136">
        <v>952500012</v>
      </c>
      <c r="J1666" s="131" t="s">
        <v>3110</v>
      </c>
      <c r="K1666" s="139">
        <v>273742</v>
      </c>
    </row>
    <row r="1667" spans="1:11">
      <c r="A1667" s="1" t="str">
        <f t="shared" ref="A1667:A1730" si="26">B1667&amp;J1667&amp;K1667</f>
        <v>50100-711669694-9415007983200</v>
      </c>
      <c r="B1667" s="136" t="s">
        <v>11332</v>
      </c>
      <c r="C1667" s="136" t="s">
        <v>11333</v>
      </c>
      <c r="D1667" s="132" t="s">
        <v>3420</v>
      </c>
      <c r="E1667" s="136" t="s">
        <v>2608</v>
      </c>
      <c r="F1667" s="136" t="s">
        <v>2608</v>
      </c>
      <c r="G1667" s="137">
        <v>1394394802001</v>
      </c>
      <c r="H1667" s="138" t="s">
        <v>6298</v>
      </c>
      <c r="I1667" s="136">
        <v>941500798</v>
      </c>
      <c r="J1667" s="131" t="s">
        <v>2639</v>
      </c>
      <c r="K1667" s="139">
        <v>3200</v>
      </c>
    </row>
    <row r="1668" spans="1:11">
      <c r="A1668" s="1" t="str">
        <f t="shared" si="26"/>
        <v>50100-753914795-9515000575160</v>
      </c>
      <c r="B1668" s="136" t="s">
        <v>3305</v>
      </c>
      <c r="C1668" s="136" t="s">
        <v>11334</v>
      </c>
      <c r="D1668" s="132" t="s">
        <v>3420</v>
      </c>
      <c r="E1668" s="136" t="s">
        <v>3275</v>
      </c>
      <c r="F1668" s="136" t="s">
        <v>3275</v>
      </c>
      <c r="G1668" s="137">
        <v>1394395845001</v>
      </c>
      <c r="H1668" s="138" t="s">
        <v>6453</v>
      </c>
      <c r="I1668" s="136">
        <v>951500057</v>
      </c>
      <c r="J1668" s="131" t="s">
        <v>2779</v>
      </c>
      <c r="K1668" s="139">
        <v>5160</v>
      </c>
    </row>
    <row r="1669" spans="1:11">
      <c r="A1669" s="1" t="str">
        <f t="shared" si="26"/>
        <v>50100-753914795-95150014999406</v>
      </c>
      <c r="B1669" s="136" t="s">
        <v>3305</v>
      </c>
      <c r="C1669" s="136" t="s">
        <v>11334</v>
      </c>
      <c r="D1669" s="132" t="s">
        <v>3420</v>
      </c>
      <c r="E1669" s="136" t="s">
        <v>3275</v>
      </c>
      <c r="F1669" s="136" t="s">
        <v>3275</v>
      </c>
      <c r="G1669" s="137">
        <v>1395401420001</v>
      </c>
      <c r="H1669" s="138" t="s">
        <v>6298</v>
      </c>
      <c r="I1669" s="136">
        <v>951500149</v>
      </c>
      <c r="J1669" s="131" t="s">
        <v>3255</v>
      </c>
      <c r="K1669" s="139">
        <v>99406</v>
      </c>
    </row>
    <row r="1670" spans="1:11">
      <c r="A1670" s="1" t="str">
        <f t="shared" si="26"/>
        <v>15100-25778194-94150075423670</v>
      </c>
      <c r="B1670" s="136" t="s">
        <v>11221</v>
      </c>
      <c r="C1670" s="136" t="s">
        <v>11222</v>
      </c>
      <c r="D1670" s="132" t="s">
        <v>3420</v>
      </c>
      <c r="E1670" s="136" t="s">
        <v>2749</v>
      </c>
      <c r="F1670" s="136" t="s">
        <v>2749</v>
      </c>
      <c r="G1670" s="137">
        <v>1394394178001</v>
      </c>
      <c r="H1670" s="138" t="s">
        <v>6298</v>
      </c>
      <c r="I1670" s="136">
        <v>941500754</v>
      </c>
      <c r="J1670" s="131" t="s">
        <v>2555</v>
      </c>
      <c r="K1670" s="139">
        <v>23670</v>
      </c>
    </row>
    <row r="1671" spans="1:11">
      <c r="A1671" s="1" t="str">
        <f t="shared" si="26"/>
        <v>50100-824954895-951500490994600</v>
      </c>
      <c r="B1671" s="136" t="s">
        <v>4539</v>
      </c>
      <c r="C1671" s="136" t="s">
        <v>10796</v>
      </c>
      <c r="D1671" s="132" t="s">
        <v>3420</v>
      </c>
      <c r="E1671" s="136" t="s">
        <v>4570</v>
      </c>
      <c r="F1671" s="136" t="s">
        <v>4570</v>
      </c>
      <c r="G1671" s="137">
        <v>1395451221001</v>
      </c>
      <c r="H1671" s="138" t="s">
        <v>6301</v>
      </c>
      <c r="I1671" s="136">
        <v>951500490</v>
      </c>
      <c r="J1671" s="131" t="s">
        <v>4227</v>
      </c>
      <c r="K1671" s="139">
        <v>994600</v>
      </c>
    </row>
    <row r="1672" spans="1:11">
      <c r="A1672" s="1" t="str">
        <f t="shared" si="26"/>
        <v>50100-724428095-951500077374660</v>
      </c>
      <c r="B1672" s="136" t="s">
        <v>2953</v>
      </c>
      <c r="C1672" s="136" t="s">
        <v>10575</v>
      </c>
      <c r="D1672" s="132" t="s">
        <v>3420</v>
      </c>
      <c r="E1672" s="136" t="s">
        <v>2870</v>
      </c>
      <c r="F1672" s="136" t="s">
        <v>2870</v>
      </c>
      <c r="G1672" s="137">
        <v>1394395845001</v>
      </c>
      <c r="H1672" s="138" t="s">
        <v>6453</v>
      </c>
      <c r="I1672" s="136">
        <v>951500077</v>
      </c>
      <c r="J1672" s="131" t="s">
        <v>3128</v>
      </c>
      <c r="K1672" s="139">
        <v>374660</v>
      </c>
    </row>
    <row r="1673" spans="1:11">
      <c r="A1673" s="1" t="str">
        <f t="shared" si="26"/>
        <v>50100-722162395-95150007054494</v>
      </c>
      <c r="B1673" s="136" t="s">
        <v>3008</v>
      </c>
      <c r="C1673" s="136" t="s">
        <v>10576</v>
      </c>
      <c r="D1673" s="132" t="s">
        <v>3420</v>
      </c>
      <c r="E1673" s="136" t="s">
        <v>2861</v>
      </c>
      <c r="F1673" s="136" t="s">
        <v>2861</v>
      </c>
      <c r="G1673" s="137">
        <v>1394395845001</v>
      </c>
      <c r="H1673" s="138" t="s">
        <v>6453</v>
      </c>
      <c r="I1673" s="136">
        <v>951500070</v>
      </c>
      <c r="J1673" s="131" t="s">
        <v>2810</v>
      </c>
      <c r="K1673" s="139">
        <v>54494</v>
      </c>
    </row>
    <row r="1674" spans="1:11">
      <c r="A1674" s="1" t="str">
        <f t="shared" si="26"/>
        <v>50100-724368695-9515000611487000</v>
      </c>
      <c r="B1674" s="136" t="s">
        <v>3007</v>
      </c>
      <c r="C1674" s="136" t="s">
        <v>11335</v>
      </c>
      <c r="D1674" s="132" t="s">
        <v>3420</v>
      </c>
      <c r="E1674" s="136" t="s">
        <v>2870</v>
      </c>
      <c r="F1674" s="136" t="s">
        <v>2870</v>
      </c>
      <c r="G1674" s="137">
        <v>1395397990001</v>
      </c>
      <c r="H1674" s="138" t="s">
        <v>6456</v>
      </c>
      <c r="I1674" s="136">
        <v>951500061</v>
      </c>
      <c r="J1674" s="131" t="s">
        <v>3101</v>
      </c>
      <c r="K1674" s="139">
        <v>1487000</v>
      </c>
    </row>
    <row r="1675" spans="1:11">
      <c r="A1675" s="1" t="str">
        <f t="shared" si="26"/>
        <v>50100-712262294-9425001071426</v>
      </c>
      <c r="B1675" s="136" t="s">
        <v>11329</v>
      </c>
      <c r="C1675" s="136" t="s">
        <v>11330</v>
      </c>
      <c r="D1675" s="132" t="s">
        <v>3420</v>
      </c>
      <c r="E1675" s="136" t="s">
        <v>2610</v>
      </c>
      <c r="F1675" s="136" t="s">
        <v>2610</v>
      </c>
      <c r="G1675" s="137">
        <v>1394392936001</v>
      </c>
      <c r="H1675" s="138" t="s">
        <v>10183</v>
      </c>
      <c r="I1675" s="136">
        <v>942500107</v>
      </c>
      <c r="J1675" s="131" t="s">
        <v>7079</v>
      </c>
      <c r="K1675" s="139">
        <v>1426</v>
      </c>
    </row>
    <row r="1676" spans="1:11">
      <c r="A1676" s="1" t="str">
        <f t="shared" si="26"/>
        <v>50100-712262294-941500756448011</v>
      </c>
      <c r="B1676" s="136" t="s">
        <v>11329</v>
      </c>
      <c r="C1676" s="136" t="s">
        <v>11330</v>
      </c>
      <c r="D1676" s="132" t="s">
        <v>3420</v>
      </c>
      <c r="E1676" s="136" t="s">
        <v>2610</v>
      </c>
      <c r="F1676" s="136" t="s">
        <v>2610</v>
      </c>
      <c r="G1676" s="137">
        <v>1394392936001</v>
      </c>
      <c r="H1676" s="138" t="s">
        <v>10183</v>
      </c>
      <c r="I1676" s="136">
        <v>941500756</v>
      </c>
      <c r="J1676" s="131" t="s">
        <v>7075</v>
      </c>
      <c r="K1676" s="139">
        <v>448011</v>
      </c>
    </row>
    <row r="1677" spans="1:11">
      <c r="A1677" s="1" t="str">
        <f t="shared" si="26"/>
        <v>50100-753914795-951500064488642</v>
      </c>
      <c r="B1677" s="136" t="s">
        <v>3305</v>
      </c>
      <c r="C1677" s="136" t="s">
        <v>11334</v>
      </c>
      <c r="D1677" s="132" t="s">
        <v>3420</v>
      </c>
      <c r="E1677" s="136" t="s">
        <v>3275</v>
      </c>
      <c r="F1677" s="136" t="s">
        <v>3275</v>
      </c>
      <c r="G1677" s="137">
        <v>1395397986001</v>
      </c>
      <c r="H1677" s="138" t="s">
        <v>6454</v>
      </c>
      <c r="I1677" s="136">
        <v>951500064</v>
      </c>
      <c r="J1677" s="131" t="s">
        <v>3343</v>
      </c>
      <c r="K1677" s="139">
        <v>488642</v>
      </c>
    </row>
    <row r="1678" spans="1:11">
      <c r="A1678" s="1" t="str">
        <f t="shared" si="26"/>
        <v>50100-711669694-941500804496800</v>
      </c>
      <c r="B1678" s="136" t="s">
        <v>11332</v>
      </c>
      <c r="C1678" s="136" t="s">
        <v>11333</v>
      </c>
      <c r="D1678" s="132" t="s">
        <v>3420</v>
      </c>
      <c r="E1678" s="136" t="s">
        <v>2608</v>
      </c>
      <c r="F1678" s="136" t="s">
        <v>2608</v>
      </c>
      <c r="G1678" s="137">
        <v>1394394802001</v>
      </c>
      <c r="H1678" s="138" t="s">
        <v>6298</v>
      </c>
      <c r="I1678" s="136">
        <v>941500804</v>
      </c>
      <c r="J1678" s="131" t="s">
        <v>2652</v>
      </c>
      <c r="K1678" s="139">
        <v>496800</v>
      </c>
    </row>
    <row r="1679" spans="1:11">
      <c r="A1679" s="1" t="str">
        <f t="shared" si="26"/>
        <v>50100-717526194-941500829495000</v>
      </c>
      <c r="B1679" s="136" t="s">
        <v>11336</v>
      </c>
      <c r="C1679" s="136" t="s">
        <v>11337</v>
      </c>
      <c r="D1679" s="132" t="s">
        <v>3420</v>
      </c>
      <c r="E1679" s="136" t="s">
        <v>2750</v>
      </c>
      <c r="F1679" s="136" t="s">
        <v>2750</v>
      </c>
      <c r="G1679" s="137">
        <v>1394395844001</v>
      </c>
      <c r="H1679" s="138" t="s">
        <v>6298</v>
      </c>
      <c r="I1679" s="136">
        <v>941500829</v>
      </c>
      <c r="J1679" s="131" t="s">
        <v>2776</v>
      </c>
      <c r="K1679" s="139">
        <v>495000</v>
      </c>
    </row>
    <row r="1680" spans="1:11">
      <c r="A1680" s="1" t="str">
        <f t="shared" si="26"/>
        <v>50100-716477095-951500014500020</v>
      </c>
      <c r="B1680" s="136" t="s">
        <v>2600</v>
      </c>
      <c r="C1680" s="136" t="s">
        <v>11338</v>
      </c>
      <c r="D1680" s="132" t="s">
        <v>3420</v>
      </c>
      <c r="E1680" s="136" t="s">
        <v>2612</v>
      </c>
      <c r="F1680" s="136" t="s">
        <v>2612</v>
      </c>
      <c r="G1680" s="137">
        <v>1394394801001</v>
      </c>
      <c r="H1680" s="138" t="s">
        <v>10183</v>
      </c>
      <c r="I1680" s="136">
        <v>951500014</v>
      </c>
      <c r="J1680" s="131" t="s">
        <v>2650</v>
      </c>
      <c r="K1680" s="139">
        <v>500020</v>
      </c>
    </row>
    <row r="1681" spans="1:11">
      <c r="A1681" s="1" t="str">
        <f t="shared" si="26"/>
        <v>50100-731312295-952500004487950</v>
      </c>
      <c r="B1681" s="136" t="s">
        <v>2983</v>
      </c>
      <c r="C1681" s="136" t="s">
        <v>11339</v>
      </c>
      <c r="D1681" s="132" t="s">
        <v>3420</v>
      </c>
      <c r="E1681" s="136" t="s">
        <v>2857</v>
      </c>
      <c r="F1681" s="136" t="s">
        <v>2857</v>
      </c>
      <c r="G1681" s="137">
        <v>1394394801001</v>
      </c>
      <c r="H1681" s="138" t="s">
        <v>10183</v>
      </c>
      <c r="I1681" s="136">
        <v>952500004</v>
      </c>
      <c r="J1681" s="131" t="s">
        <v>3117</v>
      </c>
      <c r="K1681" s="139">
        <v>487950</v>
      </c>
    </row>
    <row r="1682" spans="1:11">
      <c r="A1682" s="1" t="str">
        <f t="shared" si="26"/>
        <v>15100-26311694-94150074924250</v>
      </c>
      <c r="B1682" s="136" t="s">
        <v>11340</v>
      </c>
      <c r="C1682" s="136" t="s">
        <v>11341</v>
      </c>
      <c r="D1682" s="132" t="s">
        <v>3420</v>
      </c>
      <c r="E1682" s="136" t="s">
        <v>2854</v>
      </c>
      <c r="F1682" s="136" t="s">
        <v>11342</v>
      </c>
      <c r="G1682" s="137">
        <v>1394392654001</v>
      </c>
      <c r="H1682" s="138" t="s">
        <v>6453</v>
      </c>
      <c r="I1682" s="136">
        <v>941500749</v>
      </c>
      <c r="J1682" s="131" t="s">
        <v>6847</v>
      </c>
      <c r="K1682" s="139">
        <v>24250</v>
      </c>
    </row>
    <row r="1683" spans="1:11">
      <c r="A1683" s="1" t="str">
        <f t="shared" si="26"/>
        <v>50100-747811395-9515000538084</v>
      </c>
      <c r="B1683" s="136" t="s">
        <v>3238</v>
      </c>
      <c r="C1683" s="136" t="s">
        <v>11343</v>
      </c>
      <c r="D1683" s="132" t="s">
        <v>3420</v>
      </c>
      <c r="E1683" s="136" t="s">
        <v>3242</v>
      </c>
      <c r="F1683" s="136" t="s">
        <v>3242</v>
      </c>
      <c r="G1683" s="137">
        <v>1395397985001</v>
      </c>
      <c r="H1683" s="138" t="s">
        <v>6298</v>
      </c>
      <c r="I1683" s="136">
        <v>951500053</v>
      </c>
      <c r="J1683" s="131" t="s">
        <v>3182</v>
      </c>
      <c r="K1683" s="139">
        <v>8084</v>
      </c>
    </row>
    <row r="1684" spans="1:11">
      <c r="A1684" s="1" t="str">
        <f t="shared" si="26"/>
        <v>15100-26435794-94150071673795</v>
      </c>
      <c r="B1684" s="136" t="s">
        <v>11344</v>
      </c>
      <c r="C1684" s="136" t="s">
        <v>11345</v>
      </c>
      <c r="D1684" s="132" t="s">
        <v>3420</v>
      </c>
      <c r="E1684" s="136" t="s">
        <v>2868</v>
      </c>
      <c r="F1684" s="136" t="s">
        <v>2868</v>
      </c>
      <c r="G1684" s="137">
        <v>1394392935001</v>
      </c>
      <c r="H1684" s="138" t="s">
        <v>6298</v>
      </c>
      <c r="I1684" s="136">
        <v>941500716</v>
      </c>
      <c r="J1684" s="131" t="s">
        <v>2767</v>
      </c>
      <c r="K1684" s="139">
        <v>73795</v>
      </c>
    </row>
    <row r="1685" spans="1:11">
      <c r="A1685" s="1" t="str">
        <f t="shared" si="26"/>
        <v>50100-832234795-95150042990993</v>
      </c>
      <c r="B1685" s="136" t="s">
        <v>4627</v>
      </c>
      <c r="C1685" s="136" t="s">
        <v>11346</v>
      </c>
      <c r="D1685" s="132" t="s">
        <v>3420</v>
      </c>
      <c r="E1685" s="136" t="s">
        <v>4660</v>
      </c>
      <c r="F1685" s="136" t="s">
        <v>4660</v>
      </c>
      <c r="G1685" s="137">
        <v>1395447925001</v>
      </c>
      <c r="H1685" s="138" t="s">
        <v>6298</v>
      </c>
      <c r="I1685" s="136">
        <v>951500429</v>
      </c>
      <c r="J1685" s="131" t="s">
        <v>4682</v>
      </c>
      <c r="K1685" s="139">
        <v>90993</v>
      </c>
    </row>
    <row r="1686" spans="1:11">
      <c r="A1686" s="1" t="str">
        <f t="shared" si="26"/>
        <v>50100-832234795-951500362146920</v>
      </c>
      <c r="B1686" s="136" t="s">
        <v>4627</v>
      </c>
      <c r="C1686" s="136" t="s">
        <v>11346</v>
      </c>
      <c r="D1686" s="132" t="s">
        <v>3420</v>
      </c>
      <c r="E1686" s="136" t="s">
        <v>4660</v>
      </c>
      <c r="F1686" s="136" t="s">
        <v>4660</v>
      </c>
      <c r="G1686" s="137">
        <v>1395438159001</v>
      </c>
      <c r="H1686" s="138" t="s">
        <v>6298</v>
      </c>
      <c r="I1686" s="136">
        <v>951500362</v>
      </c>
      <c r="J1686" s="131" t="s">
        <v>4683</v>
      </c>
      <c r="K1686" s="139">
        <v>146920</v>
      </c>
    </row>
    <row r="1687" spans="1:11">
      <c r="A1687" s="1" t="str">
        <f t="shared" si="26"/>
        <v>50100-834183795-9515004952540</v>
      </c>
      <c r="B1687" s="136" t="s">
        <v>4628</v>
      </c>
      <c r="C1687" s="136" t="s">
        <v>11347</v>
      </c>
      <c r="D1687" s="132" t="s">
        <v>3420</v>
      </c>
      <c r="E1687" s="136" t="s">
        <v>4658</v>
      </c>
      <c r="F1687" s="136" t="s">
        <v>4658</v>
      </c>
      <c r="G1687" s="137">
        <v>1395449236001</v>
      </c>
      <c r="H1687" s="138" t="s">
        <v>6298</v>
      </c>
      <c r="I1687" s="136">
        <v>951500495</v>
      </c>
      <c r="J1687" s="131" t="s">
        <v>4458</v>
      </c>
      <c r="K1687" s="139">
        <v>2540</v>
      </c>
    </row>
    <row r="1688" spans="1:11">
      <c r="A1688" s="1" t="str">
        <f t="shared" si="26"/>
        <v>50100-744048194-9415007557750</v>
      </c>
      <c r="B1688" s="136" t="s">
        <v>3161</v>
      </c>
      <c r="C1688" s="136" t="s">
        <v>11348</v>
      </c>
      <c r="D1688" s="132" t="s">
        <v>3420</v>
      </c>
      <c r="E1688" s="136" t="s">
        <v>3169</v>
      </c>
      <c r="F1688" s="136" t="s">
        <v>3169</v>
      </c>
      <c r="G1688" s="137">
        <v>1394392936001</v>
      </c>
      <c r="H1688" s="138" t="s">
        <v>10183</v>
      </c>
      <c r="I1688" s="136">
        <v>941500755</v>
      </c>
      <c r="J1688" s="131" t="s">
        <v>7078</v>
      </c>
      <c r="K1688" s="139">
        <v>7750</v>
      </c>
    </row>
    <row r="1689" spans="1:11">
      <c r="A1689" s="1" t="str">
        <f t="shared" si="26"/>
        <v>15100-25409594-94150072510520</v>
      </c>
      <c r="B1689" s="136" t="s">
        <v>11349</v>
      </c>
      <c r="C1689" s="136" t="s">
        <v>11350</v>
      </c>
      <c r="D1689" s="132" t="s">
        <v>3420</v>
      </c>
      <c r="E1689" s="136" t="s">
        <v>10587</v>
      </c>
      <c r="F1689" s="136" t="s">
        <v>10587</v>
      </c>
      <c r="G1689" s="137">
        <v>1394392935001</v>
      </c>
      <c r="H1689" s="138" t="s">
        <v>6298</v>
      </c>
      <c r="I1689" s="136">
        <v>941500725</v>
      </c>
      <c r="J1689" s="131" t="s">
        <v>2762</v>
      </c>
      <c r="K1689" s="139">
        <v>10520</v>
      </c>
    </row>
    <row r="1690" spans="1:11">
      <c r="A1690" s="1" t="str">
        <f t="shared" si="26"/>
        <v>50100-722213195-951500086989835</v>
      </c>
      <c r="B1690" s="136" t="s">
        <v>2966</v>
      </c>
      <c r="C1690" s="136" t="s">
        <v>11351</v>
      </c>
      <c r="D1690" s="132" t="s">
        <v>3420</v>
      </c>
      <c r="E1690" s="136" t="s">
        <v>2861</v>
      </c>
      <c r="F1690" s="136" t="s">
        <v>2861</v>
      </c>
      <c r="G1690" s="137">
        <v>1395397987001</v>
      </c>
      <c r="H1690" s="138" t="s">
        <v>10183</v>
      </c>
      <c r="I1690" s="136">
        <v>951500086</v>
      </c>
      <c r="J1690" s="131" t="s">
        <v>2783</v>
      </c>
      <c r="K1690" s="139">
        <v>989835</v>
      </c>
    </row>
    <row r="1691" spans="1:11">
      <c r="A1691" s="1" t="str">
        <f t="shared" si="26"/>
        <v>50100-821693795-951500530298605</v>
      </c>
      <c r="B1691" s="136" t="s">
        <v>4432</v>
      </c>
      <c r="C1691" s="136" t="s">
        <v>11352</v>
      </c>
      <c r="D1691" s="132" t="s">
        <v>3420</v>
      </c>
      <c r="E1691" s="136" t="s">
        <v>4307</v>
      </c>
      <c r="F1691" s="136" t="s">
        <v>4307</v>
      </c>
      <c r="G1691" s="137">
        <v>1395447373001</v>
      </c>
      <c r="H1691" s="138" t="s">
        <v>6453</v>
      </c>
      <c r="I1691" s="136">
        <v>951500530</v>
      </c>
      <c r="J1691" s="131" t="s">
        <v>4485</v>
      </c>
      <c r="K1691" s="139">
        <v>298605</v>
      </c>
    </row>
    <row r="1692" spans="1:11">
      <c r="A1692" s="1" t="str">
        <f t="shared" si="26"/>
        <v>50100-832234795-952500044127857</v>
      </c>
      <c r="B1692" s="136" t="s">
        <v>4627</v>
      </c>
      <c r="C1692" s="136" t="s">
        <v>11346</v>
      </c>
      <c r="D1692" s="132" t="s">
        <v>3420</v>
      </c>
      <c r="E1692" s="136" t="s">
        <v>4660</v>
      </c>
      <c r="F1692" s="136" t="s">
        <v>4660</v>
      </c>
      <c r="G1692" s="137">
        <v>1395441908001</v>
      </c>
      <c r="H1692" s="138" t="s">
        <v>6298</v>
      </c>
      <c r="I1692" s="136">
        <v>952500044</v>
      </c>
      <c r="J1692" s="131" t="s">
        <v>4612</v>
      </c>
      <c r="K1692" s="139">
        <v>127857</v>
      </c>
    </row>
    <row r="1693" spans="1:11">
      <c r="A1693" s="1" t="str">
        <f t="shared" si="26"/>
        <v>50100-744048195-952500010422864</v>
      </c>
      <c r="B1693" s="136" t="s">
        <v>3161</v>
      </c>
      <c r="C1693" s="136" t="s">
        <v>11348</v>
      </c>
      <c r="D1693" s="132" t="s">
        <v>3420</v>
      </c>
      <c r="E1693" s="136" t="s">
        <v>3169</v>
      </c>
      <c r="F1693" s="136" t="s">
        <v>3169</v>
      </c>
      <c r="G1693" s="137">
        <v>1394395847001</v>
      </c>
      <c r="H1693" s="138" t="s">
        <v>10183</v>
      </c>
      <c r="I1693" s="136">
        <v>952500010</v>
      </c>
      <c r="J1693" s="131" t="s">
        <v>3061</v>
      </c>
      <c r="K1693" s="139">
        <v>422864</v>
      </c>
    </row>
    <row r="1694" spans="1:11">
      <c r="A1694" s="1" t="str">
        <f t="shared" si="26"/>
        <v>50100-734338395-952500003662092</v>
      </c>
      <c r="B1694" s="136" t="s">
        <v>3031</v>
      </c>
      <c r="C1694" s="136" t="s">
        <v>11331</v>
      </c>
      <c r="D1694" s="132" t="s">
        <v>3420</v>
      </c>
      <c r="E1694" s="136" t="s">
        <v>3046</v>
      </c>
      <c r="F1694" s="136" t="s">
        <v>3046</v>
      </c>
      <c r="G1694" s="137">
        <v>1394394801001</v>
      </c>
      <c r="H1694" s="138" t="s">
        <v>10183</v>
      </c>
      <c r="I1694" s="136">
        <v>952500003</v>
      </c>
      <c r="J1694" s="131" t="s">
        <v>3093</v>
      </c>
      <c r="K1694" s="139">
        <v>662092</v>
      </c>
    </row>
    <row r="1695" spans="1:11">
      <c r="A1695" s="1" t="str">
        <f t="shared" si="26"/>
        <v>50100-716786495-952500001489096</v>
      </c>
      <c r="B1695" s="136" t="s">
        <v>2747</v>
      </c>
      <c r="C1695" s="136" t="s">
        <v>11353</v>
      </c>
      <c r="D1695" s="132" t="s">
        <v>3420</v>
      </c>
      <c r="E1695" s="136" t="s">
        <v>2750</v>
      </c>
      <c r="F1695" s="136" t="s">
        <v>2750</v>
      </c>
      <c r="G1695" s="137">
        <v>1394394801001</v>
      </c>
      <c r="H1695" s="138" t="s">
        <v>10183</v>
      </c>
      <c r="I1695" s="136">
        <v>952500001</v>
      </c>
      <c r="J1695" s="131" t="s">
        <v>2643</v>
      </c>
      <c r="K1695" s="139">
        <v>489096</v>
      </c>
    </row>
    <row r="1696" spans="1:11">
      <c r="A1696" s="1" t="str">
        <f t="shared" si="26"/>
        <v>15100-25126194-941500714138180</v>
      </c>
      <c r="B1696" s="136" t="s">
        <v>11354</v>
      </c>
      <c r="C1696" s="136" t="s">
        <v>11355</v>
      </c>
      <c r="D1696" s="132" t="s">
        <v>3420</v>
      </c>
      <c r="E1696" s="136" t="s">
        <v>2608</v>
      </c>
      <c r="F1696" s="136" t="s">
        <v>2608</v>
      </c>
      <c r="G1696" s="137">
        <v>1394392935001</v>
      </c>
      <c r="H1696" s="138" t="s">
        <v>6298</v>
      </c>
      <c r="I1696" s="136">
        <v>941500714</v>
      </c>
      <c r="J1696" s="131" t="s">
        <v>2768</v>
      </c>
      <c r="K1696" s="139">
        <v>138180</v>
      </c>
    </row>
    <row r="1697" spans="1:11">
      <c r="A1697" s="1" t="str">
        <f t="shared" si="26"/>
        <v>15100-25409594-94150071472030</v>
      </c>
      <c r="B1697" s="136" t="s">
        <v>11349</v>
      </c>
      <c r="C1697" s="136" t="s">
        <v>11350</v>
      </c>
      <c r="D1697" s="132" t="s">
        <v>3420</v>
      </c>
      <c r="E1697" s="136" t="s">
        <v>10587</v>
      </c>
      <c r="F1697" s="136" t="s">
        <v>10587</v>
      </c>
      <c r="G1697" s="137">
        <v>1394392935001</v>
      </c>
      <c r="H1697" s="138" t="s">
        <v>6298</v>
      </c>
      <c r="I1697" s="136">
        <v>941500714</v>
      </c>
      <c r="J1697" s="131" t="s">
        <v>2768</v>
      </c>
      <c r="K1697" s="139">
        <v>72030</v>
      </c>
    </row>
    <row r="1698" spans="1:11">
      <c r="A1698" s="1" t="str">
        <f t="shared" si="26"/>
        <v>15100-25409594-94150071283890</v>
      </c>
      <c r="B1698" s="136" t="s">
        <v>11349</v>
      </c>
      <c r="C1698" s="136" t="s">
        <v>11350</v>
      </c>
      <c r="D1698" s="132" t="s">
        <v>3420</v>
      </c>
      <c r="E1698" s="136" t="s">
        <v>10587</v>
      </c>
      <c r="F1698" s="136" t="s">
        <v>10587</v>
      </c>
      <c r="G1698" s="137">
        <v>1394392935001</v>
      </c>
      <c r="H1698" s="138" t="s">
        <v>6298</v>
      </c>
      <c r="I1698" s="136">
        <v>941500712</v>
      </c>
      <c r="J1698" s="131" t="s">
        <v>2771</v>
      </c>
      <c r="K1698" s="139">
        <v>83890</v>
      </c>
    </row>
    <row r="1699" spans="1:11">
      <c r="A1699" s="1" t="str">
        <f t="shared" si="26"/>
        <v>50100-832234795-95250004934000</v>
      </c>
      <c r="B1699" s="136" t="s">
        <v>4627</v>
      </c>
      <c r="C1699" s="136" t="s">
        <v>11346</v>
      </c>
      <c r="D1699" s="132" t="s">
        <v>3420</v>
      </c>
      <c r="E1699" s="136" t="s">
        <v>4660</v>
      </c>
      <c r="F1699" s="136" t="s">
        <v>4660</v>
      </c>
      <c r="G1699" s="137">
        <v>1395441908001</v>
      </c>
      <c r="H1699" s="138" t="s">
        <v>6298</v>
      </c>
      <c r="I1699" s="136">
        <v>952500049</v>
      </c>
      <c r="J1699" s="131" t="s">
        <v>4598</v>
      </c>
      <c r="K1699" s="139">
        <v>34000</v>
      </c>
    </row>
    <row r="1700" spans="1:11">
      <c r="A1700" s="1" t="str">
        <f t="shared" si="26"/>
        <v>50100-721648695-951500085995560</v>
      </c>
      <c r="B1700" s="136" t="s">
        <v>2741</v>
      </c>
      <c r="C1700" s="136" t="s">
        <v>11356</v>
      </c>
      <c r="D1700" s="132" t="s">
        <v>3420</v>
      </c>
      <c r="E1700" s="136" t="s">
        <v>2757</v>
      </c>
      <c r="F1700" s="136" t="s">
        <v>2757</v>
      </c>
      <c r="G1700" s="137">
        <v>1394395847001</v>
      </c>
      <c r="H1700" s="138" t="s">
        <v>10183</v>
      </c>
      <c r="I1700" s="136">
        <v>951500085</v>
      </c>
      <c r="J1700" s="131" t="s">
        <v>2793</v>
      </c>
      <c r="K1700" s="139">
        <v>995560</v>
      </c>
    </row>
    <row r="1701" spans="1:11">
      <c r="A1701" s="1" t="str">
        <f t="shared" si="26"/>
        <v>50100-834183795-951500436134515</v>
      </c>
      <c r="B1701" s="136" t="s">
        <v>4628</v>
      </c>
      <c r="C1701" s="136" t="s">
        <v>11347</v>
      </c>
      <c r="D1701" s="132" t="s">
        <v>3420</v>
      </c>
      <c r="E1701" s="136" t="s">
        <v>4658</v>
      </c>
      <c r="F1701" s="136" t="s">
        <v>4658</v>
      </c>
      <c r="G1701" s="137">
        <v>1395447925001</v>
      </c>
      <c r="H1701" s="138" t="s">
        <v>6298</v>
      </c>
      <c r="I1701" s="136">
        <v>951500436</v>
      </c>
      <c r="J1701" s="131" t="s">
        <v>4685</v>
      </c>
      <c r="K1701" s="139">
        <v>134515</v>
      </c>
    </row>
    <row r="1702" spans="1:11">
      <c r="A1702" s="1" t="str">
        <f t="shared" si="26"/>
        <v>50100-834183795-95150037649120</v>
      </c>
      <c r="B1702" s="136" t="s">
        <v>4628</v>
      </c>
      <c r="C1702" s="136" t="s">
        <v>11347</v>
      </c>
      <c r="D1702" s="132" t="s">
        <v>3420</v>
      </c>
      <c r="E1702" s="136" t="s">
        <v>4658</v>
      </c>
      <c r="F1702" s="136" t="s">
        <v>4658</v>
      </c>
      <c r="G1702" s="137">
        <v>1395441896001</v>
      </c>
      <c r="H1702" s="138" t="s">
        <v>11357</v>
      </c>
      <c r="I1702" s="136">
        <v>951500376</v>
      </c>
      <c r="J1702" s="131" t="s">
        <v>4684</v>
      </c>
      <c r="K1702" s="139">
        <v>49120</v>
      </c>
    </row>
    <row r="1703" spans="1:11">
      <c r="A1703" s="1" t="str">
        <f t="shared" si="26"/>
        <v>50100-744048195-9515001109903</v>
      </c>
      <c r="B1703" s="136" t="s">
        <v>3161</v>
      </c>
      <c r="C1703" s="136" t="s">
        <v>11348</v>
      </c>
      <c r="D1703" s="132" t="s">
        <v>3420</v>
      </c>
      <c r="E1703" s="136" t="s">
        <v>3169</v>
      </c>
      <c r="F1703" s="136" t="s">
        <v>3169</v>
      </c>
      <c r="G1703" s="137">
        <v>1394395847001</v>
      </c>
      <c r="H1703" s="138" t="s">
        <v>10183</v>
      </c>
      <c r="I1703" s="136">
        <v>951500110</v>
      </c>
      <c r="J1703" s="131" t="s">
        <v>3109</v>
      </c>
      <c r="K1703" s="139">
        <v>9903</v>
      </c>
    </row>
    <row r="1704" spans="1:11">
      <c r="A1704" s="1" t="str">
        <f t="shared" si="26"/>
        <v>50100-744048195-95150010919250</v>
      </c>
      <c r="B1704" s="136" t="s">
        <v>3161</v>
      </c>
      <c r="C1704" s="136" t="s">
        <v>11348</v>
      </c>
      <c r="D1704" s="132" t="s">
        <v>3420</v>
      </c>
      <c r="E1704" s="136" t="s">
        <v>3169</v>
      </c>
      <c r="F1704" s="136" t="s">
        <v>3169</v>
      </c>
      <c r="G1704" s="137">
        <v>1394395847001</v>
      </c>
      <c r="H1704" s="138" t="s">
        <v>10183</v>
      </c>
      <c r="I1704" s="136">
        <v>951500109</v>
      </c>
      <c r="J1704" s="131" t="s">
        <v>3127</v>
      </c>
      <c r="K1704" s="139">
        <v>19250</v>
      </c>
    </row>
    <row r="1705" spans="1:11">
      <c r="A1705" s="1" t="str">
        <f t="shared" si="26"/>
        <v>50100-725805095-951500110997222</v>
      </c>
      <c r="B1705" s="136" t="s">
        <v>3035</v>
      </c>
      <c r="C1705" s="136" t="s">
        <v>11358</v>
      </c>
      <c r="D1705" s="132" t="s">
        <v>3420</v>
      </c>
      <c r="E1705" s="136" t="s">
        <v>2869</v>
      </c>
      <c r="F1705" s="136" t="s">
        <v>2869</v>
      </c>
      <c r="G1705" s="137">
        <v>1394395847001</v>
      </c>
      <c r="H1705" s="138" t="s">
        <v>10183</v>
      </c>
      <c r="I1705" s="136">
        <v>951500110</v>
      </c>
      <c r="J1705" s="131" t="s">
        <v>3109</v>
      </c>
      <c r="K1705" s="139">
        <v>997222</v>
      </c>
    </row>
    <row r="1706" spans="1:11">
      <c r="A1706" s="1" t="str">
        <f t="shared" si="26"/>
        <v>50100-726042995-952500004196773</v>
      </c>
      <c r="B1706" s="136" t="s">
        <v>3036</v>
      </c>
      <c r="C1706" s="136" t="s">
        <v>11359</v>
      </c>
      <c r="D1706" s="132" t="s">
        <v>3420</v>
      </c>
      <c r="E1706" s="136" t="s">
        <v>2869</v>
      </c>
      <c r="F1706" s="136" t="s">
        <v>2869</v>
      </c>
      <c r="G1706" s="137">
        <v>1394394801001</v>
      </c>
      <c r="H1706" s="138" t="s">
        <v>10183</v>
      </c>
      <c r="I1706" s="136">
        <v>952500004</v>
      </c>
      <c r="J1706" s="131" t="s">
        <v>3117</v>
      </c>
      <c r="K1706" s="139">
        <v>196773</v>
      </c>
    </row>
    <row r="1707" spans="1:11">
      <c r="A1707" s="1" t="str">
        <f t="shared" si="26"/>
        <v>50100-712913394-941500833487579</v>
      </c>
      <c r="B1707" s="136" t="s">
        <v>2602</v>
      </c>
      <c r="C1707" s="136" t="s">
        <v>11360</v>
      </c>
      <c r="D1707" s="132" t="s">
        <v>3420</v>
      </c>
      <c r="E1707" s="136" t="s">
        <v>2614</v>
      </c>
      <c r="F1707" s="136" t="s">
        <v>2614</v>
      </c>
      <c r="G1707" s="137">
        <v>1394394801001</v>
      </c>
      <c r="H1707" s="138" t="s">
        <v>10183</v>
      </c>
      <c r="I1707" s="136">
        <v>941500833</v>
      </c>
      <c r="J1707" s="131" t="s">
        <v>7093</v>
      </c>
      <c r="K1707" s="139">
        <v>487579</v>
      </c>
    </row>
    <row r="1708" spans="1:11">
      <c r="A1708" s="1" t="str">
        <f t="shared" si="26"/>
        <v>50100-712913395-9515000023000</v>
      </c>
      <c r="B1708" s="136" t="s">
        <v>2602</v>
      </c>
      <c r="C1708" s="136" t="s">
        <v>11360</v>
      </c>
      <c r="D1708" s="132" t="s">
        <v>3420</v>
      </c>
      <c r="E1708" s="136" t="s">
        <v>2614</v>
      </c>
      <c r="F1708" s="136" t="s">
        <v>2614</v>
      </c>
      <c r="G1708" s="137">
        <v>1394394801001</v>
      </c>
      <c r="H1708" s="138" t="s">
        <v>10183</v>
      </c>
      <c r="I1708" s="136">
        <v>951500002</v>
      </c>
      <c r="J1708" s="131" t="s">
        <v>2648</v>
      </c>
      <c r="K1708" s="139">
        <v>3000</v>
      </c>
    </row>
    <row r="1709" spans="1:11">
      <c r="A1709" s="1" t="str">
        <f t="shared" si="26"/>
        <v>50100-729588895-952500004485736</v>
      </c>
      <c r="B1709" s="136" t="s">
        <v>3034</v>
      </c>
      <c r="C1709" s="136" t="s">
        <v>11361</v>
      </c>
      <c r="D1709" s="132" t="s">
        <v>3420</v>
      </c>
      <c r="E1709" s="136" t="s">
        <v>2852</v>
      </c>
      <c r="F1709" s="136" t="s">
        <v>2852</v>
      </c>
      <c r="G1709" s="137">
        <v>1394394801001</v>
      </c>
      <c r="H1709" s="138" t="s">
        <v>10183</v>
      </c>
      <c r="I1709" s="136">
        <v>952500004</v>
      </c>
      <c r="J1709" s="131" t="s">
        <v>3117</v>
      </c>
      <c r="K1709" s="139">
        <v>485736</v>
      </c>
    </row>
    <row r="1710" spans="1:11">
      <c r="A1710" s="1" t="str">
        <f t="shared" si="26"/>
        <v>15100-26917294-94150080668280</v>
      </c>
      <c r="B1710" s="136" t="s">
        <v>11362</v>
      </c>
      <c r="C1710" s="136" t="s">
        <v>11363</v>
      </c>
      <c r="D1710" s="132" t="s">
        <v>3420</v>
      </c>
      <c r="E1710" s="136" t="s">
        <v>2859</v>
      </c>
      <c r="F1710" s="136" t="s">
        <v>2859</v>
      </c>
      <c r="G1710" s="137">
        <v>1394394802001</v>
      </c>
      <c r="H1710" s="138" t="s">
        <v>6298</v>
      </c>
      <c r="I1710" s="136">
        <v>941500806</v>
      </c>
      <c r="J1710" s="131" t="s">
        <v>2887</v>
      </c>
      <c r="K1710" s="139">
        <v>68280</v>
      </c>
    </row>
    <row r="1711" spans="1:11">
      <c r="A1711" s="1" t="str">
        <f t="shared" si="26"/>
        <v>15100-26435794-941500820124280</v>
      </c>
      <c r="B1711" s="136" t="s">
        <v>11344</v>
      </c>
      <c r="C1711" s="136" t="s">
        <v>11345</v>
      </c>
      <c r="D1711" s="132" t="s">
        <v>3420</v>
      </c>
      <c r="E1711" s="136" t="s">
        <v>2868</v>
      </c>
      <c r="F1711" s="136" t="s">
        <v>2868</v>
      </c>
      <c r="G1711" s="137">
        <v>1394394802001</v>
      </c>
      <c r="H1711" s="138" t="s">
        <v>6298</v>
      </c>
      <c r="I1711" s="136">
        <v>941500820</v>
      </c>
      <c r="J1711" s="131" t="s">
        <v>2892</v>
      </c>
      <c r="K1711" s="139">
        <v>124280</v>
      </c>
    </row>
    <row r="1712" spans="1:11">
      <c r="A1712" s="1" t="str">
        <f t="shared" si="26"/>
        <v>50100-824929495-952500071297550</v>
      </c>
      <c r="B1712" s="136" t="s">
        <v>4544</v>
      </c>
      <c r="C1712" s="136" t="s">
        <v>11364</v>
      </c>
      <c r="D1712" s="132" t="s">
        <v>3420</v>
      </c>
      <c r="E1712" s="136" t="s">
        <v>4570</v>
      </c>
      <c r="F1712" s="136" t="s">
        <v>4570</v>
      </c>
      <c r="G1712" s="137">
        <v>1395452682001</v>
      </c>
      <c r="H1712" s="138" t="s">
        <v>10183</v>
      </c>
      <c r="I1712" s="136">
        <v>952500071</v>
      </c>
      <c r="J1712" s="131" t="s">
        <v>4474</v>
      </c>
      <c r="K1712" s="139">
        <v>297550</v>
      </c>
    </row>
    <row r="1713" spans="1:11">
      <c r="A1713" s="1" t="str">
        <f t="shared" si="26"/>
        <v>50100-744048194-94150079313880</v>
      </c>
      <c r="B1713" s="136" t="s">
        <v>3161</v>
      </c>
      <c r="C1713" s="136" t="s">
        <v>11348</v>
      </c>
      <c r="D1713" s="132" t="s">
        <v>3420</v>
      </c>
      <c r="E1713" s="136" t="s">
        <v>3169</v>
      </c>
      <c r="F1713" s="136" t="s">
        <v>3169</v>
      </c>
      <c r="G1713" s="137">
        <v>1394394802001</v>
      </c>
      <c r="H1713" s="138" t="s">
        <v>6298</v>
      </c>
      <c r="I1713" s="136">
        <v>941500793</v>
      </c>
      <c r="J1713" s="131" t="s">
        <v>2624</v>
      </c>
      <c r="K1713" s="139">
        <v>13880</v>
      </c>
    </row>
    <row r="1714" spans="1:11">
      <c r="A1714" s="1" t="str">
        <f t="shared" si="26"/>
        <v>50100-721059295-951500100976440</v>
      </c>
      <c r="B1714" s="136" t="s">
        <v>2745</v>
      </c>
      <c r="C1714" s="136" t="s">
        <v>11365</v>
      </c>
      <c r="D1714" s="132" t="s">
        <v>3420</v>
      </c>
      <c r="E1714" s="136" t="s">
        <v>2758</v>
      </c>
      <c r="F1714" s="136" t="s">
        <v>2758</v>
      </c>
      <c r="G1714" s="137">
        <v>1394395847001</v>
      </c>
      <c r="H1714" s="138" t="s">
        <v>10183</v>
      </c>
      <c r="I1714" s="136">
        <v>951500100</v>
      </c>
      <c r="J1714" s="131" t="s">
        <v>2813</v>
      </c>
      <c r="K1714" s="139">
        <v>976440</v>
      </c>
    </row>
    <row r="1715" spans="1:11">
      <c r="A1715" s="1" t="str">
        <f t="shared" si="26"/>
        <v>50100-849139995-951500593200000</v>
      </c>
      <c r="B1715" s="136" t="s">
        <v>4849</v>
      </c>
      <c r="C1715" s="136" t="s">
        <v>8923</v>
      </c>
      <c r="D1715" s="132" t="s">
        <v>4971</v>
      </c>
      <c r="E1715" s="136" t="s">
        <v>4882</v>
      </c>
      <c r="F1715" s="136" t="s">
        <v>4882</v>
      </c>
      <c r="G1715" s="137">
        <v>1395451401001</v>
      </c>
      <c r="H1715" s="138" t="s">
        <v>6300</v>
      </c>
      <c r="I1715" s="136">
        <v>951500593</v>
      </c>
      <c r="J1715" s="131" t="s">
        <v>4963</v>
      </c>
      <c r="K1715" s="139">
        <v>200000</v>
      </c>
    </row>
    <row r="1716" spans="1:11">
      <c r="A1716" s="1" t="str">
        <f t="shared" si="26"/>
        <v>50100-715130395-951500015493980</v>
      </c>
      <c r="B1716" s="136" t="s">
        <v>2604</v>
      </c>
      <c r="C1716" s="136" t="s">
        <v>11366</v>
      </c>
      <c r="D1716" s="132" t="s">
        <v>3420</v>
      </c>
      <c r="E1716" s="136" t="s">
        <v>2619</v>
      </c>
      <c r="F1716" s="136" t="s">
        <v>2619</v>
      </c>
      <c r="G1716" s="137">
        <v>1394394801001</v>
      </c>
      <c r="H1716" s="138" t="s">
        <v>10183</v>
      </c>
      <c r="I1716" s="136">
        <v>951500015</v>
      </c>
      <c r="J1716" s="131" t="s">
        <v>2660</v>
      </c>
      <c r="K1716" s="139">
        <v>493980</v>
      </c>
    </row>
    <row r="1717" spans="1:11">
      <c r="A1717" s="1" t="str">
        <f t="shared" si="26"/>
        <v>50100-762488795-951500189497455</v>
      </c>
      <c r="B1717" s="136" t="s">
        <v>11367</v>
      </c>
      <c r="C1717" s="136" t="s">
        <v>11368</v>
      </c>
      <c r="D1717" s="132" t="s">
        <v>3420</v>
      </c>
      <c r="E1717" s="136" t="s">
        <v>10592</v>
      </c>
      <c r="F1717" s="136" t="s">
        <v>10592</v>
      </c>
      <c r="G1717" s="137">
        <v>1395400303001</v>
      </c>
      <c r="H1717" s="138" t="s">
        <v>6453</v>
      </c>
      <c r="I1717" s="136">
        <v>951500189</v>
      </c>
      <c r="J1717" s="131" t="s">
        <v>3339</v>
      </c>
      <c r="K1717" s="139">
        <v>497455</v>
      </c>
    </row>
    <row r="1718" spans="1:11">
      <c r="A1718" s="1" t="str">
        <f t="shared" si="26"/>
        <v>50100-720005195-951500028398392</v>
      </c>
      <c r="B1718" s="136" t="s">
        <v>2744</v>
      </c>
      <c r="C1718" s="136" t="s">
        <v>11369</v>
      </c>
      <c r="D1718" s="132" t="s">
        <v>3420</v>
      </c>
      <c r="E1718" s="136" t="s">
        <v>2756</v>
      </c>
      <c r="F1718" s="136" t="s">
        <v>2756</v>
      </c>
      <c r="G1718" s="137">
        <v>1394394801001</v>
      </c>
      <c r="H1718" s="138" t="s">
        <v>10183</v>
      </c>
      <c r="I1718" s="136">
        <v>951500028</v>
      </c>
      <c r="J1718" s="131" t="s">
        <v>2792</v>
      </c>
      <c r="K1718" s="139">
        <v>398392</v>
      </c>
    </row>
    <row r="1719" spans="1:11">
      <c r="A1719" s="1" t="str">
        <f t="shared" si="26"/>
        <v>50100-715053294-941500798500000</v>
      </c>
      <c r="B1719" s="136" t="s">
        <v>11370</v>
      </c>
      <c r="C1719" s="136" t="s">
        <v>11371</v>
      </c>
      <c r="D1719" s="132" t="s">
        <v>3420</v>
      </c>
      <c r="E1719" s="136" t="s">
        <v>2619</v>
      </c>
      <c r="F1719" s="136" t="s">
        <v>2619</v>
      </c>
      <c r="G1719" s="137">
        <v>1394394802001</v>
      </c>
      <c r="H1719" s="138" t="s">
        <v>6298</v>
      </c>
      <c r="I1719" s="136">
        <v>941500798</v>
      </c>
      <c r="J1719" s="131" t="s">
        <v>2639</v>
      </c>
      <c r="K1719" s="139">
        <v>500000</v>
      </c>
    </row>
    <row r="1720" spans="1:11">
      <c r="A1720" s="1" t="str">
        <f t="shared" si="26"/>
        <v>50100-849139996-961500004204810</v>
      </c>
      <c r="B1720" s="136" t="s">
        <v>4849</v>
      </c>
      <c r="C1720" s="136" t="s">
        <v>8923</v>
      </c>
      <c r="D1720" s="132" t="s">
        <v>4971</v>
      </c>
      <c r="E1720" s="136" t="s">
        <v>4882</v>
      </c>
      <c r="F1720" s="136" t="s">
        <v>4882</v>
      </c>
      <c r="G1720" s="137">
        <v>1395451401001</v>
      </c>
      <c r="H1720" s="138" t="s">
        <v>6300</v>
      </c>
      <c r="I1720" s="136">
        <v>961500004</v>
      </c>
      <c r="J1720" s="131" t="s">
        <v>4959</v>
      </c>
      <c r="K1720" s="139">
        <v>204810</v>
      </c>
    </row>
    <row r="1721" spans="1:11">
      <c r="A1721" s="1" t="str">
        <f t="shared" si="26"/>
        <v>50100-819743395-95150033192700</v>
      </c>
      <c r="B1721" s="136" t="s">
        <v>4433</v>
      </c>
      <c r="C1721" s="136" t="s">
        <v>11372</v>
      </c>
      <c r="D1721" s="132" t="s">
        <v>3420</v>
      </c>
      <c r="E1721" s="136" t="s">
        <v>4438</v>
      </c>
      <c r="F1721" s="136" t="s">
        <v>4438</v>
      </c>
      <c r="G1721" s="137">
        <v>1395438159001</v>
      </c>
      <c r="H1721" s="138" t="s">
        <v>6298</v>
      </c>
      <c r="I1721" s="136">
        <v>951500331</v>
      </c>
      <c r="J1721" s="131" t="s">
        <v>4481</v>
      </c>
      <c r="K1721" s="139">
        <v>92700</v>
      </c>
    </row>
    <row r="1722" spans="1:11">
      <c r="A1722" s="1" t="str">
        <f t="shared" si="26"/>
        <v>50100-718606194-941500848200000</v>
      </c>
      <c r="B1722" s="136" t="s">
        <v>11373</v>
      </c>
      <c r="C1722" s="136" t="s">
        <v>11374</v>
      </c>
      <c r="D1722" s="132" t="s">
        <v>3420</v>
      </c>
      <c r="E1722" s="136" t="s">
        <v>2751</v>
      </c>
      <c r="F1722" s="136" t="s">
        <v>2751</v>
      </c>
      <c r="G1722" s="137">
        <v>1394395844001</v>
      </c>
      <c r="H1722" s="138" t="s">
        <v>6298</v>
      </c>
      <c r="I1722" s="136">
        <v>941500848</v>
      </c>
      <c r="J1722" s="131" t="s">
        <v>2780</v>
      </c>
      <c r="K1722" s="139">
        <v>200000</v>
      </c>
    </row>
    <row r="1723" spans="1:11">
      <c r="A1723" s="1" t="str">
        <f t="shared" si="26"/>
        <v>15100-27774594-94150079920160</v>
      </c>
      <c r="B1723" s="136" t="s">
        <v>11375</v>
      </c>
      <c r="C1723" s="136" t="s">
        <v>11376</v>
      </c>
      <c r="D1723" s="132" t="s">
        <v>3420</v>
      </c>
      <c r="E1723" s="136" t="s">
        <v>3051</v>
      </c>
      <c r="F1723" s="136" t="s">
        <v>3051</v>
      </c>
      <c r="G1723" s="137">
        <v>1394394802001</v>
      </c>
      <c r="H1723" s="138" t="s">
        <v>6298</v>
      </c>
      <c r="I1723" s="136">
        <v>941500799</v>
      </c>
      <c r="J1723" s="131" t="s">
        <v>2888</v>
      </c>
      <c r="K1723" s="139">
        <v>20160</v>
      </c>
    </row>
    <row r="1724" spans="1:11">
      <c r="A1724" s="1" t="str">
        <f t="shared" si="26"/>
        <v>15100-28804294-941500831187230</v>
      </c>
      <c r="B1724" s="136" t="s">
        <v>11377</v>
      </c>
      <c r="C1724" s="136" t="s">
        <v>11378</v>
      </c>
      <c r="D1724" s="132" t="s">
        <v>3420</v>
      </c>
      <c r="E1724" s="136" t="s">
        <v>10476</v>
      </c>
      <c r="F1724" s="136" t="s">
        <v>10476</v>
      </c>
      <c r="G1724" s="137">
        <v>1394395844001</v>
      </c>
      <c r="H1724" s="138" t="s">
        <v>6298</v>
      </c>
      <c r="I1724" s="136">
        <v>941500831</v>
      </c>
      <c r="J1724" s="131" t="s">
        <v>3285</v>
      </c>
      <c r="K1724" s="139">
        <v>187230</v>
      </c>
    </row>
    <row r="1725" spans="1:11">
      <c r="A1725" s="1" t="str">
        <f t="shared" si="26"/>
        <v>15100-27493294-941500782123690</v>
      </c>
      <c r="B1725" s="136" t="s">
        <v>2915</v>
      </c>
      <c r="C1725" s="136" t="s">
        <v>11379</v>
      </c>
      <c r="D1725" s="132" t="s">
        <v>3420</v>
      </c>
      <c r="E1725" s="136" t="s">
        <v>3048</v>
      </c>
      <c r="F1725" s="136" t="s">
        <v>3048</v>
      </c>
      <c r="G1725" s="137">
        <v>1394394178001</v>
      </c>
      <c r="H1725" s="138" t="s">
        <v>6298</v>
      </c>
      <c r="I1725" s="136">
        <v>941500782</v>
      </c>
      <c r="J1725" s="131" t="s">
        <v>3059</v>
      </c>
      <c r="K1725" s="139">
        <v>123690</v>
      </c>
    </row>
    <row r="1726" spans="1:11">
      <c r="A1726" s="1" t="str">
        <f t="shared" si="26"/>
        <v>50100-832234795-951500485101897</v>
      </c>
      <c r="B1726" s="136" t="s">
        <v>4627</v>
      </c>
      <c r="C1726" s="136" t="s">
        <v>11346</v>
      </c>
      <c r="D1726" s="132" t="s">
        <v>3420</v>
      </c>
      <c r="E1726" s="136" t="s">
        <v>4660</v>
      </c>
      <c r="F1726" s="136" t="s">
        <v>4660</v>
      </c>
      <c r="G1726" s="137">
        <v>1395449236001</v>
      </c>
      <c r="H1726" s="138" t="s">
        <v>6298</v>
      </c>
      <c r="I1726" s="136">
        <v>951500485</v>
      </c>
      <c r="J1726" s="131" t="s">
        <v>4677</v>
      </c>
      <c r="K1726" s="139">
        <v>101897</v>
      </c>
    </row>
    <row r="1727" spans="1:11">
      <c r="A1727" s="1" t="str">
        <f t="shared" si="26"/>
        <v>50100-850134296-964100002975787</v>
      </c>
      <c r="B1727" s="136" t="s">
        <v>4848</v>
      </c>
      <c r="C1727" s="136" t="s">
        <v>8922</v>
      </c>
      <c r="D1727" s="132" t="s">
        <v>4971</v>
      </c>
      <c r="E1727" s="136" t="s">
        <v>4881</v>
      </c>
      <c r="F1727" s="136" t="s">
        <v>4881</v>
      </c>
      <c r="G1727" s="137">
        <v>1395468402001</v>
      </c>
      <c r="H1727" s="138" t="s">
        <v>10183</v>
      </c>
      <c r="I1727" s="136">
        <v>964100002</v>
      </c>
      <c r="J1727" s="131" t="s">
        <v>4962</v>
      </c>
      <c r="K1727" s="139">
        <v>975787</v>
      </c>
    </row>
    <row r="1728" spans="1:11">
      <c r="A1728" s="1" t="str">
        <f t="shared" si="26"/>
        <v>50100-852022696-9641000061760103</v>
      </c>
      <c r="B1728" s="136" t="s">
        <v>5002</v>
      </c>
      <c r="C1728" s="136" t="s">
        <v>8964</v>
      </c>
      <c r="D1728" s="132" t="s">
        <v>4971</v>
      </c>
      <c r="E1728" s="136" t="s">
        <v>5009</v>
      </c>
      <c r="F1728" s="136" t="s">
        <v>5009</v>
      </c>
      <c r="G1728" s="137">
        <v>1396471677001</v>
      </c>
      <c r="H1728" s="138" t="s">
        <v>6452</v>
      </c>
      <c r="I1728" s="136">
        <v>964100006</v>
      </c>
      <c r="J1728" s="131" t="s">
        <v>5041</v>
      </c>
      <c r="K1728" s="139">
        <v>1760103</v>
      </c>
    </row>
    <row r="1729" spans="1:11">
      <c r="A1729" s="1" t="str">
        <f t="shared" si="26"/>
        <v>50100-834183795-95150028214795</v>
      </c>
      <c r="B1729" s="136" t="s">
        <v>4628</v>
      </c>
      <c r="C1729" s="136" t="s">
        <v>11347</v>
      </c>
      <c r="D1729" s="132" t="s">
        <v>3420</v>
      </c>
      <c r="E1729" s="136" t="s">
        <v>4658</v>
      </c>
      <c r="F1729" s="136" t="s">
        <v>4658</v>
      </c>
      <c r="G1729" s="137">
        <v>1395436005001</v>
      </c>
      <c r="H1729" s="138" t="s">
        <v>6298</v>
      </c>
      <c r="I1729" s="136">
        <v>951500282</v>
      </c>
      <c r="J1729" s="131" t="s">
        <v>3947</v>
      </c>
      <c r="K1729" s="139">
        <v>14795</v>
      </c>
    </row>
    <row r="1730" spans="1:11">
      <c r="A1730" s="1" t="str">
        <f t="shared" si="26"/>
        <v>50100-723045295-951500071495920</v>
      </c>
      <c r="B1730" s="136" t="s">
        <v>3032</v>
      </c>
      <c r="C1730" s="136" t="s">
        <v>11380</v>
      </c>
      <c r="D1730" s="132" t="s">
        <v>3420</v>
      </c>
      <c r="E1730" s="136" t="s">
        <v>2862</v>
      </c>
      <c r="F1730" s="136" t="s">
        <v>2862</v>
      </c>
      <c r="G1730" s="137">
        <v>1394395845001</v>
      </c>
      <c r="H1730" s="138" t="s">
        <v>6453</v>
      </c>
      <c r="I1730" s="136">
        <v>951500071</v>
      </c>
      <c r="J1730" s="131" t="s">
        <v>3085</v>
      </c>
      <c r="K1730" s="139">
        <v>495920</v>
      </c>
    </row>
    <row r="1731" spans="1:11">
      <c r="A1731" s="1" t="str">
        <f t="shared" ref="A1731:A1794" si="27">B1731&amp;J1731&amp;K1731</f>
        <v>50100-715130394-9415007762090</v>
      </c>
      <c r="B1731" s="136" t="s">
        <v>2604</v>
      </c>
      <c r="C1731" s="136" t="s">
        <v>11366</v>
      </c>
      <c r="D1731" s="132" t="s">
        <v>3420</v>
      </c>
      <c r="E1731" s="136" t="s">
        <v>2619</v>
      </c>
      <c r="F1731" s="136" t="s">
        <v>2619</v>
      </c>
      <c r="G1731" s="137">
        <v>1394394316001</v>
      </c>
      <c r="H1731" s="138" t="s">
        <v>10183</v>
      </c>
      <c r="I1731" s="136">
        <v>941500776</v>
      </c>
      <c r="J1731" s="131" t="s">
        <v>7087</v>
      </c>
      <c r="K1731" s="139">
        <v>2090</v>
      </c>
    </row>
    <row r="1732" spans="1:11">
      <c r="A1732" s="1" t="str">
        <f t="shared" si="27"/>
        <v>50100-849139995-951500590114415</v>
      </c>
      <c r="B1732" s="136" t="s">
        <v>4849</v>
      </c>
      <c r="C1732" s="136" t="s">
        <v>8923</v>
      </c>
      <c r="D1732" s="132" t="s">
        <v>4971</v>
      </c>
      <c r="E1732" s="136" t="s">
        <v>4882</v>
      </c>
      <c r="F1732" s="136" t="s">
        <v>4882</v>
      </c>
      <c r="G1732" s="137">
        <v>1395451401001</v>
      </c>
      <c r="H1732" s="138" t="s">
        <v>6300</v>
      </c>
      <c r="I1732" s="136">
        <v>951500590</v>
      </c>
      <c r="J1732" s="131" t="s">
        <v>4932</v>
      </c>
      <c r="K1732" s="139">
        <v>114415</v>
      </c>
    </row>
    <row r="1733" spans="1:11">
      <c r="A1733" s="1" t="str">
        <f t="shared" si="27"/>
        <v>50100-819743395-951500329200000</v>
      </c>
      <c r="B1733" s="136" t="s">
        <v>4433</v>
      </c>
      <c r="C1733" s="136" t="s">
        <v>11372</v>
      </c>
      <c r="D1733" s="132" t="s">
        <v>3420</v>
      </c>
      <c r="E1733" s="136" t="s">
        <v>4438</v>
      </c>
      <c r="F1733" s="136" t="s">
        <v>4438</v>
      </c>
      <c r="G1733" s="137">
        <v>1395438159001</v>
      </c>
      <c r="H1733" s="138" t="s">
        <v>6298</v>
      </c>
      <c r="I1733" s="136">
        <v>951500329</v>
      </c>
      <c r="J1733" s="131" t="s">
        <v>4497</v>
      </c>
      <c r="K1733" s="139">
        <v>200000</v>
      </c>
    </row>
    <row r="1734" spans="1:11">
      <c r="A1734" s="1" t="str">
        <f t="shared" si="27"/>
        <v>50100-823110995-951500548500500</v>
      </c>
      <c r="B1734" s="136" t="s">
        <v>4434</v>
      </c>
      <c r="C1734" s="136" t="s">
        <v>11381</v>
      </c>
      <c r="D1734" s="132" t="s">
        <v>3420</v>
      </c>
      <c r="E1734" s="136" t="s">
        <v>4442</v>
      </c>
      <c r="F1734" s="136" t="s">
        <v>4442</v>
      </c>
      <c r="G1734" s="137">
        <v>1395447372001</v>
      </c>
      <c r="H1734" s="138" t="s">
        <v>6300</v>
      </c>
      <c r="I1734" s="136">
        <v>951500548</v>
      </c>
      <c r="J1734" s="131" t="s">
        <v>4473</v>
      </c>
      <c r="K1734" s="139">
        <v>500500</v>
      </c>
    </row>
    <row r="1735" spans="1:11">
      <c r="A1735" s="1" t="str">
        <f t="shared" si="27"/>
        <v>50100-831878095-9541000312823448</v>
      </c>
      <c r="B1735" s="136" t="s">
        <v>4638</v>
      </c>
      <c r="C1735" s="136" t="s">
        <v>11382</v>
      </c>
      <c r="D1735" s="132" t="s">
        <v>3420</v>
      </c>
      <c r="E1735" s="136" t="s">
        <v>4657</v>
      </c>
      <c r="F1735" s="136" t="s">
        <v>4657</v>
      </c>
      <c r="G1735" s="137">
        <v>1395460645001</v>
      </c>
      <c r="H1735" s="138" t="s">
        <v>10183</v>
      </c>
      <c r="I1735" s="136">
        <v>954100031</v>
      </c>
      <c r="J1735" s="131" t="s">
        <v>4698</v>
      </c>
      <c r="K1735" s="139">
        <v>2823448</v>
      </c>
    </row>
    <row r="1736" spans="1:11">
      <c r="A1736" s="1" t="str">
        <f t="shared" si="27"/>
        <v>50100-744048194-9415004082197</v>
      </c>
      <c r="B1736" s="136" t="s">
        <v>3161</v>
      </c>
      <c r="C1736" s="136" t="s">
        <v>11348</v>
      </c>
      <c r="D1736" s="132" t="s">
        <v>3420</v>
      </c>
      <c r="E1736" s="136" t="s">
        <v>3169</v>
      </c>
      <c r="F1736" s="136" t="s">
        <v>3169</v>
      </c>
      <c r="G1736" s="137">
        <v>1394365032001</v>
      </c>
      <c r="H1736" s="138" t="s">
        <v>6298</v>
      </c>
      <c r="I1736" s="136">
        <v>941500408</v>
      </c>
      <c r="J1736" s="131" t="s">
        <v>2381</v>
      </c>
      <c r="K1736" s="139">
        <v>2197</v>
      </c>
    </row>
    <row r="1737" spans="1:11">
      <c r="A1737" s="1" t="str">
        <f t="shared" si="27"/>
        <v>50100-715130394-941500670421</v>
      </c>
      <c r="B1737" s="136" t="s">
        <v>2604</v>
      </c>
      <c r="C1737" s="136" t="s">
        <v>11366</v>
      </c>
      <c r="D1737" s="132" t="s">
        <v>3420</v>
      </c>
      <c r="E1737" s="136" t="s">
        <v>2619</v>
      </c>
      <c r="F1737" s="136" t="s">
        <v>2619</v>
      </c>
      <c r="G1737" s="137">
        <v>1394389331001</v>
      </c>
      <c r="H1737" s="138" t="s">
        <v>10183</v>
      </c>
      <c r="I1737" s="136">
        <v>941500670</v>
      </c>
      <c r="J1737" s="131" t="s">
        <v>7062</v>
      </c>
      <c r="K1737" s="139">
        <v>421</v>
      </c>
    </row>
    <row r="1738" spans="1:11">
      <c r="A1738" s="1" t="str">
        <f t="shared" si="27"/>
        <v>50100-721059295-95150006023560</v>
      </c>
      <c r="B1738" s="136" t="s">
        <v>2745</v>
      </c>
      <c r="C1738" s="136" t="s">
        <v>11365</v>
      </c>
      <c r="D1738" s="132" t="s">
        <v>3420</v>
      </c>
      <c r="E1738" s="136" t="s">
        <v>2758</v>
      </c>
      <c r="F1738" s="136" t="s">
        <v>2758</v>
      </c>
      <c r="G1738" s="137">
        <v>1394395847001</v>
      </c>
      <c r="H1738" s="138" t="s">
        <v>10183</v>
      </c>
      <c r="I1738" s="136">
        <v>951500060</v>
      </c>
      <c r="J1738" s="131" t="s">
        <v>2797</v>
      </c>
      <c r="K1738" s="139">
        <v>23560</v>
      </c>
    </row>
    <row r="1739" spans="1:11">
      <c r="A1739" s="1" t="str">
        <f t="shared" si="27"/>
        <v>50100-827814395-951500551999980</v>
      </c>
      <c r="B1739" s="136" t="s">
        <v>4558</v>
      </c>
      <c r="C1739" s="136" t="s">
        <v>11383</v>
      </c>
      <c r="D1739" s="132" t="s">
        <v>3420</v>
      </c>
      <c r="E1739" s="136" t="s">
        <v>4571</v>
      </c>
      <c r="F1739" s="136" t="s">
        <v>4571</v>
      </c>
      <c r="G1739" s="137">
        <v>1395455037001</v>
      </c>
      <c r="H1739" s="138" t="s">
        <v>10762</v>
      </c>
      <c r="I1739" s="136">
        <v>951500551</v>
      </c>
      <c r="J1739" s="131" t="s">
        <v>4606</v>
      </c>
      <c r="K1739" s="139">
        <v>999980</v>
      </c>
    </row>
    <row r="1740" spans="1:11">
      <c r="A1740" s="1" t="str">
        <f t="shared" si="27"/>
        <v>15100-27830594-94150078344535</v>
      </c>
      <c r="B1740" s="136" t="s">
        <v>11384</v>
      </c>
      <c r="C1740" s="136" t="s">
        <v>11385</v>
      </c>
      <c r="D1740" s="132" t="s">
        <v>3420</v>
      </c>
      <c r="E1740" s="136" t="s">
        <v>3050</v>
      </c>
      <c r="F1740" s="136" t="s">
        <v>3050</v>
      </c>
      <c r="G1740" s="137">
        <v>1394394178001</v>
      </c>
      <c r="H1740" s="138" t="s">
        <v>6298</v>
      </c>
      <c r="I1740" s="136">
        <v>941500783</v>
      </c>
      <c r="J1740" s="131" t="s">
        <v>2761</v>
      </c>
      <c r="K1740" s="139">
        <v>44535</v>
      </c>
    </row>
    <row r="1741" spans="1:11">
      <c r="A1741" s="1" t="str">
        <f t="shared" si="27"/>
        <v>15100-28068494-94150083575850</v>
      </c>
      <c r="B1741" s="136" t="s">
        <v>11386</v>
      </c>
      <c r="C1741" s="136" t="s">
        <v>11387</v>
      </c>
      <c r="D1741" s="132" t="s">
        <v>3420</v>
      </c>
      <c r="E1741" s="136" t="s">
        <v>3209</v>
      </c>
      <c r="F1741" s="136" t="s">
        <v>3209</v>
      </c>
      <c r="G1741" s="137">
        <v>1394395844001</v>
      </c>
      <c r="H1741" s="138" t="s">
        <v>6298</v>
      </c>
      <c r="I1741" s="136">
        <v>941500835</v>
      </c>
      <c r="J1741" s="131" t="s">
        <v>2876</v>
      </c>
      <c r="K1741" s="139">
        <v>75850</v>
      </c>
    </row>
    <row r="1742" spans="1:11">
      <c r="A1742" s="1" t="str">
        <f t="shared" si="27"/>
        <v>15100-28194194-94150083576160</v>
      </c>
      <c r="B1742" s="136" t="s">
        <v>3204</v>
      </c>
      <c r="C1742" s="136" t="s">
        <v>11388</v>
      </c>
      <c r="D1742" s="132" t="s">
        <v>3420</v>
      </c>
      <c r="E1742" s="136" t="s">
        <v>3165</v>
      </c>
      <c r="F1742" s="136" t="s">
        <v>3165</v>
      </c>
      <c r="G1742" s="137">
        <v>1394395844001</v>
      </c>
      <c r="H1742" s="138" t="s">
        <v>6298</v>
      </c>
      <c r="I1742" s="136">
        <v>941500835</v>
      </c>
      <c r="J1742" s="131" t="s">
        <v>2876</v>
      </c>
      <c r="K1742" s="139">
        <v>76160</v>
      </c>
    </row>
    <row r="1743" spans="1:11">
      <c r="A1743" s="1" t="str">
        <f t="shared" si="27"/>
        <v>15100-27493294-94150078345970</v>
      </c>
      <c r="B1743" s="136" t="s">
        <v>2915</v>
      </c>
      <c r="C1743" s="136" t="s">
        <v>11379</v>
      </c>
      <c r="D1743" s="132" t="s">
        <v>3420</v>
      </c>
      <c r="E1743" s="136" t="s">
        <v>3048</v>
      </c>
      <c r="F1743" s="136" t="s">
        <v>3048</v>
      </c>
      <c r="G1743" s="137">
        <v>1394394178001</v>
      </c>
      <c r="H1743" s="138" t="s">
        <v>6298</v>
      </c>
      <c r="I1743" s="136">
        <v>941500783</v>
      </c>
      <c r="J1743" s="131" t="s">
        <v>2761</v>
      </c>
      <c r="K1743" s="139">
        <v>45970</v>
      </c>
    </row>
    <row r="1744" spans="1:11">
      <c r="A1744" s="1" t="str">
        <f t="shared" si="27"/>
        <v>15100-27493294-94150083574700</v>
      </c>
      <c r="B1744" s="136" t="s">
        <v>2915</v>
      </c>
      <c r="C1744" s="136" t="s">
        <v>11379</v>
      </c>
      <c r="D1744" s="132" t="s">
        <v>3420</v>
      </c>
      <c r="E1744" s="136" t="s">
        <v>3048</v>
      </c>
      <c r="F1744" s="136" t="s">
        <v>3048</v>
      </c>
      <c r="G1744" s="137">
        <v>1394395844001</v>
      </c>
      <c r="H1744" s="138" t="s">
        <v>6298</v>
      </c>
      <c r="I1744" s="136">
        <v>941500835</v>
      </c>
      <c r="J1744" s="131" t="s">
        <v>2876</v>
      </c>
      <c r="K1744" s="139">
        <v>74700</v>
      </c>
    </row>
    <row r="1745" spans="1:11">
      <c r="A1745" s="1" t="str">
        <f t="shared" si="27"/>
        <v>50100-832234795-95150053465000</v>
      </c>
      <c r="B1745" s="136" t="s">
        <v>4627</v>
      </c>
      <c r="C1745" s="136" t="s">
        <v>11346</v>
      </c>
      <c r="D1745" s="132" t="s">
        <v>3420</v>
      </c>
      <c r="E1745" s="136" t="s">
        <v>4660</v>
      </c>
      <c r="F1745" s="136" t="s">
        <v>4660</v>
      </c>
      <c r="G1745" s="137">
        <v>1395450759001</v>
      </c>
      <c r="H1745" s="138" t="s">
        <v>6454</v>
      </c>
      <c r="I1745" s="136">
        <v>951500534</v>
      </c>
      <c r="J1745" s="131" t="s">
        <v>4694</v>
      </c>
      <c r="K1745" s="139">
        <v>65000</v>
      </c>
    </row>
    <row r="1746" spans="1:11">
      <c r="A1746" s="1" t="str">
        <f t="shared" si="27"/>
        <v>50100-736691095-9515001671494670</v>
      </c>
      <c r="B1746" s="136" t="s">
        <v>3038</v>
      </c>
      <c r="C1746" s="136" t="s">
        <v>11389</v>
      </c>
      <c r="D1746" s="132" t="s">
        <v>3420</v>
      </c>
      <c r="E1746" s="136" t="s">
        <v>3043</v>
      </c>
      <c r="F1746" s="136" t="s">
        <v>3043</v>
      </c>
      <c r="G1746" s="137">
        <v>1395397990001</v>
      </c>
      <c r="H1746" s="138" t="s">
        <v>6456</v>
      </c>
      <c r="I1746" s="136">
        <v>951500167</v>
      </c>
      <c r="J1746" s="131" t="s">
        <v>3121</v>
      </c>
      <c r="K1746" s="139">
        <v>1494670</v>
      </c>
    </row>
    <row r="1747" spans="1:11">
      <c r="A1747" s="1" t="str">
        <f t="shared" si="27"/>
        <v>50100-722883495-951500067105358</v>
      </c>
      <c r="B1747" s="136" t="s">
        <v>3033</v>
      </c>
      <c r="C1747" s="136" t="s">
        <v>11390</v>
      </c>
      <c r="D1747" s="132" t="s">
        <v>3420</v>
      </c>
      <c r="E1747" s="136" t="s">
        <v>2862</v>
      </c>
      <c r="F1747" s="136" t="s">
        <v>2862</v>
      </c>
      <c r="G1747" s="137">
        <v>1394395845001</v>
      </c>
      <c r="H1747" s="138" t="s">
        <v>6453</v>
      </c>
      <c r="I1747" s="136">
        <v>951500067</v>
      </c>
      <c r="J1747" s="131" t="s">
        <v>2807</v>
      </c>
      <c r="K1747" s="139">
        <v>105358</v>
      </c>
    </row>
    <row r="1748" spans="1:11">
      <c r="A1748" s="1" t="str">
        <f t="shared" si="27"/>
        <v>50100-713861394-941500709860</v>
      </c>
      <c r="B1748" s="136" t="s">
        <v>2603</v>
      </c>
      <c r="C1748" s="136" t="s">
        <v>11391</v>
      </c>
      <c r="D1748" s="132" t="s">
        <v>3420</v>
      </c>
      <c r="E1748" s="136" t="s">
        <v>2617</v>
      </c>
      <c r="F1748" s="136" t="s">
        <v>2617</v>
      </c>
      <c r="G1748" s="137">
        <v>1394390727001</v>
      </c>
      <c r="H1748" s="138" t="s">
        <v>10183</v>
      </c>
      <c r="I1748" s="136">
        <v>941500709</v>
      </c>
      <c r="J1748" s="131" t="s">
        <v>7048</v>
      </c>
      <c r="K1748" s="139">
        <v>860</v>
      </c>
    </row>
    <row r="1749" spans="1:11">
      <c r="A1749" s="1" t="str">
        <f t="shared" si="27"/>
        <v>50100-713861395-951500001962244</v>
      </c>
      <c r="B1749" s="136" t="s">
        <v>2603</v>
      </c>
      <c r="C1749" s="136" t="s">
        <v>11391</v>
      </c>
      <c r="D1749" s="132" t="s">
        <v>3420</v>
      </c>
      <c r="E1749" s="136" t="s">
        <v>2617</v>
      </c>
      <c r="F1749" s="136" t="s">
        <v>2617</v>
      </c>
      <c r="G1749" s="137">
        <v>1394394801001</v>
      </c>
      <c r="H1749" s="138" t="s">
        <v>10183</v>
      </c>
      <c r="I1749" s="136">
        <v>951500001</v>
      </c>
      <c r="J1749" s="131" t="s">
        <v>2649</v>
      </c>
      <c r="K1749" s="139">
        <v>962244</v>
      </c>
    </row>
    <row r="1750" spans="1:11">
      <c r="A1750" s="1" t="str">
        <f t="shared" si="27"/>
        <v>50100-721059295-9515000401000000</v>
      </c>
      <c r="B1750" s="136" t="s">
        <v>2745</v>
      </c>
      <c r="C1750" s="136" t="s">
        <v>11365</v>
      </c>
      <c r="D1750" s="132" t="s">
        <v>3420</v>
      </c>
      <c r="E1750" s="136" t="s">
        <v>2758</v>
      </c>
      <c r="F1750" s="136" t="s">
        <v>2758</v>
      </c>
      <c r="G1750" s="137">
        <v>1394395847001</v>
      </c>
      <c r="H1750" s="138" t="s">
        <v>10183</v>
      </c>
      <c r="I1750" s="136">
        <v>951500040</v>
      </c>
      <c r="J1750" s="131" t="s">
        <v>2812</v>
      </c>
      <c r="K1750" s="139">
        <v>1000000</v>
      </c>
    </row>
    <row r="1751" spans="1:11">
      <c r="A1751" s="1" t="str">
        <f t="shared" si="27"/>
        <v>50100-750931995-952500018980681</v>
      </c>
      <c r="B1751" s="136" t="s">
        <v>3318</v>
      </c>
      <c r="C1751" s="136" t="s">
        <v>11392</v>
      </c>
      <c r="D1751" s="132" t="s">
        <v>3420</v>
      </c>
      <c r="E1751" s="136" t="s">
        <v>3282</v>
      </c>
      <c r="F1751" s="136" t="s">
        <v>3282</v>
      </c>
      <c r="G1751" s="137">
        <v>1395397987001</v>
      </c>
      <c r="H1751" s="138" t="s">
        <v>10183</v>
      </c>
      <c r="I1751" s="136">
        <v>952500018</v>
      </c>
      <c r="J1751" s="131" t="s">
        <v>3250</v>
      </c>
      <c r="K1751" s="139">
        <v>980681</v>
      </c>
    </row>
    <row r="1752" spans="1:11">
      <c r="A1752" s="1" t="str">
        <f t="shared" si="27"/>
        <v>50100-818081895-954100022969786</v>
      </c>
      <c r="B1752" s="136" t="s">
        <v>4435</v>
      </c>
      <c r="C1752" s="136" t="s">
        <v>11393</v>
      </c>
      <c r="D1752" s="132" t="s">
        <v>3420</v>
      </c>
      <c r="E1752" s="136" t="s">
        <v>4343</v>
      </c>
      <c r="F1752" s="136" t="s">
        <v>4343</v>
      </c>
      <c r="G1752" s="137">
        <v>1395441907001</v>
      </c>
      <c r="H1752" s="138" t="s">
        <v>10183</v>
      </c>
      <c r="I1752" s="136">
        <v>954100022</v>
      </c>
      <c r="J1752" s="131" t="s">
        <v>4499</v>
      </c>
      <c r="K1752" s="139">
        <v>969786</v>
      </c>
    </row>
    <row r="1753" spans="1:11">
      <c r="A1753" s="1" t="str">
        <f t="shared" si="27"/>
        <v>15100-28194195-9515000995170</v>
      </c>
      <c r="B1753" s="136" t="s">
        <v>3204</v>
      </c>
      <c r="C1753" s="136" t="s">
        <v>11388</v>
      </c>
      <c r="D1753" s="132" t="s">
        <v>3420</v>
      </c>
      <c r="E1753" s="136" t="s">
        <v>3165</v>
      </c>
      <c r="F1753" s="136" t="s">
        <v>3165</v>
      </c>
      <c r="G1753" s="137">
        <v>1395397985001</v>
      </c>
      <c r="H1753" s="138" t="s">
        <v>6298</v>
      </c>
      <c r="I1753" s="136">
        <v>951500099</v>
      </c>
      <c r="J1753" s="131" t="s">
        <v>2880</v>
      </c>
      <c r="K1753" s="139">
        <v>5170</v>
      </c>
    </row>
    <row r="1754" spans="1:11">
      <c r="A1754" s="1" t="str">
        <f t="shared" si="27"/>
        <v>15100-32678695-95150023745980</v>
      </c>
      <c r="B1754" s="136" t="s">
        <v>3603</v>
      </c>
      <c r="C1754" s="136" t="s">
        <v>11394</v>
      </c>
      <c r="D1754" s="132" t="s">
        <v>3420</v>
      </c>
      <c r="E1754" s="136" t="s">
        <v>3663</v>
      </c>
      <c r="F1754" s="136" t="s">
        <v>3663</v>
      </c>
      <c r="G1754" s="137">
        <v>1395427844001</v>
      </c>
      <c r="H1754" s="138" t="s">
        <v>6298</v>
      </c>
      <c r="I1754" s="136">
        <v>951500237</v>
      </c>
      <c r="J1754" s="131" t="s">
        <v>3644</v>
      </c>
      <c r="K1754" s="139">
        <v>45980</v>
      </c>
    </row>
    <row r="1755" spans="1:11">
      <c r="A1755" s="1" t="str">
        <f t="shared" si="27"/>
        <v>15100-27493295-95150004475580</v>
      </c>
      <c r="B1755" s="136" t="s">
        <v>2915</v>
      </c>
      <c r="C1755" s="136" t="s">
        <v>11379</v>
      </c>
      <c r="D1755" s="132" t="s">
        <v>3420</v>
      </c>
      <c r="E1755" s="136" t="s">
        <v>3048</v>
      </c>
      <c r="F1755" s="136" t="s">
        <v>3048</v>
      </c>
      <c r="G1755" s="137">
        <v>1394395845001</v>
      </c>
      <c r="H1755" s="138" t="s">
        <v>6453</v>
      </c>
      <c r="I1755" s="136">
        <v>951500044</v>
      </c>
      <c r="J1755" s="131" t="s">
        <v>3053</v>
      </c>
      <c r="K1755" s="139">
        <v>75580</v>
      </c>
    </row>
    <row r="1756" spans="1:11">
      <c r="A1756" s="1" t="str">
        <f t="shared" si="27"/>
        <v>15100-27369994-94150077424980</v>
      </c>
      <c r="B1756" s="136" t="s">
        <v>11395</v>
      </c>
      <c r="C1756" s="136" t="s">
        <v>11396</v>
      </c>
      <c r="D1756" s="132" t="s">
        <v>3420</v>
      </c>
      <c r="E1756" s="136" t="s">
        <v>3047</v>
      </c>
      <c r="F1756" s="136" t="s">
        <v>3047</v>
      </c>
      <c r="G1756" s="137">
        <v>1394394178001</v>
      </c>
      <c r="H1756" s="138" t="s">
        <v>6298</v>
      </c>
      <c r="I1756" s="136">
        <v>941500774</v>
      </c>
      <c r="J1756" s="131" t="s">
        <v>2878</v>
      </c>
      <c r="K1756" s="139">
        <v>24980</v>
      </c>
    </row>
    <row r="1757" spans="1:11">
      <c r="A1757" s="1" t="str">
        <f t="shared" si="27"/>
        <v>15100-33996695-95150035172680</v>
      </c>
      <c r="B1757" s="136" t="s">
        <v>3810</v>
      </c>
      <c r="C1757" s="136" t="s">
        <v>11397</v>
      </c>
      <c r="D1757" s="132" t="s">
        <v>3420</v>
      </c>
      <c r="E1757" s="136" t="s">
        <v>3834</v>
      </c>
      <c r="F1757" s="136" t="s">
        <v>3834</v>
      </c>
      <c r="G1757" s="137">
        <v>1395441444001</v>
      </c>
      <c r="H1757" s="138" t="s">
        <v>6299</v>
      </c>
      <c r="I1757" s="136">
        <v>951500351</v>
      </c>
      <c r="J1757" s="131" t="s">
        <v>3851</v>
      </c>
      <c r="K1757" s="139">
        <v>72680</v>
      </c>
    </row>
    <row r="1758" spans="1:11">
      <c r="A1758" s="1" t="str">
        <f t="shared" si="27"/>
        <v>15100-34092095-95150035129940</v>
      </c>
      <c r="B1758" s="136" t="s">
        <v>3811</v>
      </c>
      <c r="C1758" s="136" t="s">
        <v>11398</v>
      </c>
      <c r="D1758" s="132" t="s">
        <v>3420</v>
      </c>
      <c r="E1758" s="136" t="s">
        <v>3828</v>
      </c>
      <c r="F1758" s="136" t="s">
        <v>3828</v>
      </c>
      <c r="G1758" s="137">
        <v>1395441444001</v>
      </c>
      <c r="H1758" s="138" t="s">
        <v>6299</v>
      </c>
      <c r="I1758" s="136">
        <v>951500351</v>
      </c>
      <c r="J1758" s="131" t="s">
        <v>3851</v>
      </c>
      <c r="K1758" s="139">
        <v>29940</v>
      </c>
    </row>
    <row r="1759" spans="1:11">
      <c r="A1759" s="1" t="str">
        <f t="shared" si="27"/>
        <v>15100-26084494-94150071548700</v>
      </c>
      <c r="B1759" s="136" t="s">
        <v>11399</v>
      </c>
      <c r="C1759" s="136" t="s">
        <v>11400</v>
      </c>
      <c r="D1759" s="132" t="s">
        <v>3420</v>
      </c>
      <c r="E1759" s="136" t="s">
        <v>2758</v>
      </c>
      <c r="F1759" s="136" t="s">
        <v>2758</v>
      </c>
      <c r="G1759" s="137">
        <v>1394392935001</v>
      </c>
      <c r="H1759" s="138" t="s">
        <v>6298</v>
      </c>
      <c r="I1759" s="136">
        <v>941500715</v>
      </c>
      <c r="J1759" s="131" t="s">
        <v>2873</v>
      </c>
      <c r="K1759" s="139">
        <v>48700</v>
      </c>
    </row>
    <row r="1760" spans="1:11">
      <c r="A1760" s="1" t="str">
        <f t="shared" si="27"/>
        <v>15100-34612895-95150037589760</v>
      </c>
      <c r="B1760" s="136" t="s">
        <v>4159</v>
      </c>
      <c r="C1760" s="136" t="s">
        <v>11401</v>
      </c>
      <c r="D1760" s="132" t="s">
        <v>3420</v>
      </c>
      <c r="E1760" s="136" t="s">
        <v>4187</v>
      </c>
      <c r="F1760" s="136" t="s">
        <v>4187</v>
      </c>
      <c r="G1760" s="137">
        <v>1395441908001</v>
      </c>
      <c r="H1760" s="138" t="s">
        <v>6298</v>
      </c>
      <c r="I1760" s="136">
        <v>951500375</v>
      </c>
      <c r="J1760" s="131" t="s">
        <v>3842</v>
      </c>
      <c r="K1760" s="139">
        <v>89760</v>
      </c>
    </row>
    <row r="1761" spans="1:11">
      <c r="A1761" s="1" t="str">
        <f t="shared" si="27"/>
        <v>15100-29914295-95150020448630</v>
      </c>
      <c r="B1761" s="136" t="s">
        <v>3365</v>
      </c>
      <c r="C1761" s="136" t="s">
        <v>11402</v>
      </c>
      <c r="D1761" s="132" t="s">
        <v>3420</v>
      </c>
      <c r="E1761" s="136" t="s">
        <v>3377</v>
      </c>
      <c r="F1761" s="136" t="s">
        <v>3377</v>
      </c>
      <c r="G1761" s="137">
        <v>1395397987001</v>
      </c>
      <c r="H1761" s="138" t="s">
        <v>10183</v>
      </c>
      <c r="I1761" s="136">
        <v>951500204</v>
      </c>
      <c r="J1761" s="131" t="s">
        <v>3385</v>
      </c>
      <c r="K1761" s="139">
        <v>48630</v>
      </c>
    </row>
    <row r="1762" spans="1:11">
      <c r="A1762" s="1" t="str">
        <f t="shared" si="27"/>
        <v>15100-30404495-95150018022985</v>
      </c>
      <c r="B1762" s="136" t="s">
        <v>3366</v>
      </c>
      <c r="C1762" s="136" t="s">
        <v>11403</v>
      </c>
      <c r="D1762" s="132" t="s">
        <v>3420</v>
      </c>
      <c r="E1762" s="136" t="s">
        <v>3378</v>
      </c>
      <c r="F1762" s="136" t="s">
        <v>3378</v>
      </c>
      <c r="G1762" s="137">
        <v>1395401420001</v>
      </c>
      <c r="H1762" s="138" t="s">
        <v>6298</v>
      </c>
      <c r="I1762" s="136">
        <v>951500180</v>
      </c>
      <c r="J1762" s="131" t="s">
        <v>3384</v>
      </c>
      <c r="K1762" s="139">
        <v>22985</v>
      </c>
    </row>
    <row r="1763" spans="1:11">
      <c r="A1763" s="1" t="str">
        <f t="shared" si="27"/>
        <v>15100-37350895-951500545140520</v>
      </c>
      <c r="B1763" s="136" t="s">
        <v>4525</v>
      </c>
      <c r="C1763" s="136" t="s">
        <v>11404</v>
      </c>
      <c r="D1763" s="132" t="s">
        <v>3420</v>
      </c>
      <c r="E1763" s="136" t="s">
        <v>4573</v>
      </c>
      <c r="F1763" s="136" t="s">
        <v>4573</v>
      </c>
      <c r="G1763" s="137">
        <v>1395447372001</v>
      </c>
      <c r="H1763" s="138" t="s">
        <v>6300</v>
      </c>
      <c r="I1763" s="136">
        <v>951500545</v>
      </c>
      <c r="J1763" s="131" t="s">
        <v>4453</v>
      </c>
      <c r="K1763" s="139">
        <v>140520</v>
      </c>
    </row>
    <row r="1764" spans="1:11">
      <c r="A1764" s="1" t="str">
        <f t="shared" si="27"/>
        <v>50100-722883495-951500068373972</v>
      </c>
      <c r="B1764" s="136" t="s">
        <v>3033</v>
      </c>
      <c r="C1764" s="136" t="s">
        <v>11390</v>
      </c>
      <c r="D1764" s="132" t="s">
        <v>3420</v>
      </c>
      <c r="E1764" s="136" t="s">
        <v>2862</v>
      </c>
      <c r="F1764" s="136" t="s">
        <v>2862</v>
      </c>
      <c r="G1764" s="137">
        <v>1394395845001</v>
      </c>
      <c r="H1764" s="138" t="s">
        <v>6453</v>
      </c>
      <c r="I1764" s="136">
        <v>951500068</v>
      </c>
      <c r="J1764" s="131" t="s">
        <v>3076</v>
      </c>
      <c r="K1764" s="139">
        <v>373972</v>
      </c>
    </row>
    <row r="1765" spans="1:11">
      <c r="A1765" s="1" t="str">
        <f t="shared" si="27"/>
        <v>50100-713861394-94250011236896</v>
      </c>
      <c r="B1765" s="136" t="s">
        <v>2603</v>
      </c>
      <c r="C1765" s="136" t="s">
        <v>11391</v>
      </c>
      <c r="D1765" s="132" t="s">
        <v>3420</v>
      </c>
      <c r="E1765" s="136" t="s">
        <v>2617</v>
      </c>
      <c r="F1765" s="136" t="s">
        <v>2617</v>
      </c>
      <c r="G1765" s="137">
        <v>1394394316001</v>
      </c>
      <c r="H1765" s="138" t="s">
        <v>10183</v>
      </c>
      <c r="I1765" s="136">
        <v>942500112</v>
      </c>
      <c r="J1765" s="131" t="s">
        <v>7095</v>
      </c>
      <c r="K1765" s="139">
        <v>36896</v>
      </c>
    </row>
    <row r="1766" spans="1:11">
      <c r="A1766" s="1" t="str">
        <f t="shared" si="27"/>
        <v>50100-719137995-952500002205244</v>
      </c>
      <c r="B1766" s="136" t="s">
        <v>2746</v>
      </c>
      <c r="C1766" s="136" t="s">
        <v>11405</v>
      </c>
      <c r="D1766" s="132" t="s">
        <v>3420</v>
      </c>
      <c r="E1766" s="136" t="s">
        <v>2752</v>
      </c>
      <c r="F1766" s="136" t="s">
        <v>2752</v>
      </c>
      <c r="G1766" s="137">
        <v>1394394801001</v>
      </c>
      <c r="H1766" s="138" t="s">
        <v>10183</v>
      </c>
      <c r="I1766" s="136">
        <v>952500002</v>
      </c>
      <c r="J1766" s="131" t="s">
        <v>2804</v>
      </c>
      <c r="K1766" s="139">
        <v>205244</v>
      </c>
    </row>
    <row r="1767" spans="1:11">
      <c r="A1767" s="1" t="str">
        <f t="shared" si="27"/>
        <v>50100-855459096-962500009489835</v>
      </c>
      <c r="B1767" s="136" t="s">
        <v>5005</v>
      </c>
      <c r="C1767" s="136" t="s">
        <v>8967</v>
      </c>
      <c r="D1767" s="132" t="s">
        <v>4971</v>
      </c>
      <c r="E1767" s="136" t="s">
        <v>4972</v>
      </c>
      <c r="F1767" s="136" t="s">
        <v>4972</v>
      </c>
      <c r="G1767" s="137">
        <v>1396471568001</v>
      </c>
      <c r="H1767" s="138" t="s">
        <v>11406</v>
      </c>
      <c r="I1767" s="136">
        <v>962500009</v>
      </c>
      <c r="J1767" s="131" t="s">
        <v>5042</v>
      </c>
      <c r="K1767" s="139">
        <v>489835</v>
      </c>
    </row>
    <row r="1768" spans="1:11">
      <c r="A1768" s="1" t="str">
        <f t="shared" si="27"/>
        <v>50100-850622896-964100004594519</v>
      </c>
      <c r="B1768" s="136" t="s">
        <v>5006</v>
      </c>
      <c r="C1768" s="136" t="s">
        <v>8968</v>
      </c>
      <c r="D1768" s="132" t="s">
        <v>4971</v>
      </c>
      <c r="E1768" s="136" t="s">
        <v>5008</v>
      </c>
      <c r="F1768" s="136" t="s">
        <v>5008</v>
      </c>
      <c r="G1768" s="137">
        <v>1395464364001</v>
      </c>
      <c r="H1768" s="138" t="s">
        <v>10183</v>
      </c>
      <c r="I1768" s="136">
        <v>964100004</v>
      </c>
      <c r="J1768" s="131" t="s">
        <v>5043</v>
      </c>
      <c r="K1768" s="139">
        <v>594519</v>
      </c>
    </row>
    <row r="1769" spans="1:11">
      <c r="A1769" s="1" t="str">
        <f t="shared" si="27"/>
        <v>15100-27369994-94150077165020</v>
      </c>
      <c r="B1769" s="136" t="s">
        <v>11395</v>
      </c>
      <c r="C1769" s="136" t="s">
        <v>11396</v>
      </c>
      <c r="D1769" s="132" t="s">
        <v>3420</v>
      </c>
      <c r="E1769" s="136" t="s">
        <v>3047</v>
      </c>
      <c r="F1769" s="136" t="s">
        <v>3047</v>
      </c>
      <c r="G1769" s="137">
        <v>1394394178001</v>
      </c>
      <c r="H1769" s="138" t="s">
        <v>6298</v>
      </c>
      <c r="I1769" s="136">
        <v>941500771</v>
      </c>
      <c r="J1769" s="131" t="s">
        <v>2885</v>
      </c>
      <c r="K1769" s="139">
        <v>65020</v>
      </c>
    </row>
    <row r="1770" spans="1:11">
      <c r="A1770" s="1" t="str">
        <f t="shared" si="27"/>
        <v>15100-33794895-951500326138200</v>
      </c>
      <c r="B1770" s="136" t="s">
        <v>3809</v>
      </c>
      <c r="C1770" s="136" t="s">
        <v>11407</v>
      </c>
      <c r="D1770" s="132" t="s">
        <v>3420</v>
      </c>
      <c r="E1770" s="136" t="s">
        <v>3720</v>
      </c>
      <c r="F1770" s="136" t="s">
        <v>3720</v>
      </c>
      <c r="G1770" s="137">
        <v>1395437983001</v>
      </c>
      <c r="H1770" s="138" t="s">
        <v>6299</v>
      </c>
      <c r="I1770" s="136">
        <v>951500326</v>
      </c>
      <c r="J1770" s="131" t="s">
        <v>3852</v>
      </c>
      <c r="K1770" s="139">
        <v>138200</v>
      </c>
    </row>
    <row r="1771" spans="1:11">
      <c r="A1771" s="1" t="str">
        <f t="shared" si="27"/>
        <v>15100-27774594-94150072852210</v>
      </c>
      <c r="B1771" s="136" t="s">
        <v>11375</v>
      </c>
      <c r="C1771" s="136" t="s">
        <v>11376</v>
      </c>
      <c r="D1771" s="132" t="s">
        <v>3420</v>
      </c>
      <c r="E1771" s="136" t="s">
        <v>3051</v>
      </c>
      <c r="F1771" s="136" t="s">
        <v>3051</v>
      </c>
      <c r="G1771" s="137">
        <v>1394392935001</v>
      </c>
      <c r="H1771" s="138" t="s">
        <v>6298</v>
      </c>
      <c r="I1771" s="136">
        <v>941500728</v>
      </c>
      <c r="J1771" s="131" t="s">
        <v>3054</v>
      </c>
      <c r="K1771" s="139">
        <v>52210</v>
      </c>
    </row>
    <row r="1772" spans="1:11">
      <c r="A1772" s="1" t="str">
        <f t="shared" si="27"/>
        <v>15100-27774594-94150080656030</v>
      </c>
      <c r="B1772" s="136" t="s">
        <v>11375</v>
      </c>
      <c r="C1772" s="136" t="s">
        <v>11376</v>
      </c>
      <c r="D1772" s="132" t="s">
        <v>3420</v>
      </c>
      <c r="E1772" s="136" t="s">
        <v>3051</v>
      </c>
      <c r="F1772" s="136" t="s">
        <v>3051</v>
      </c>
      <c r="G1772" s="137">
        <v>1394394802001</v>
      </c>
      <c r="H1772" s="138" t="s">
        <v>6298</v>
      </c>
      <c r="I1772" s="136">
        <v>941500806</v>
      </c>
      <c r="J1772" s="131" t="s">
        <v>2887</v>
      </c>
      <c r="K1772" s="139">
        <v>56030</v>
      </c>
    </row>
    <row r="1773" spans="1:11">
      <c r="A1773" s="1" t="str">
        <f t="shared" si="27"/>
        <v>15100-33996695-95150032394420</v>
      </c>
      <c r="B1773" s="136" t="s">
        <v>3810</v>
      </c>
      <c r="C1773" s="136" t="s">
        <v>11397</v>
      </c>
      <c r="D1773" s="132" t="s">
        <v>3420</v>
      </c>
      <c r="E1773" s="136" t="s">
        <v>3834</v>
      </c>
      <c r="F1773" s="136" t="s">
        <v>3834</v>
      </c>
      <c r="G1773" s="137">
        <v>1395438159001</v>
      </c>
      <c r="H1773" s="138" t="s">
        <v>6298</v>
      </c>
      <c r="I1773" s="136">
        <v>951500323</v>
      </c>
      <c r="J1773" s="131" t="s">
        <v>3843</v>
      </c>
      <c r="K1773" s="139">
        <v>94420</v>
      </c>
    </row>
    <row r="1774" spans="1:11">
      <c r="A1774" s="1" t="str">
        <f t="shared" si="27"/>
        <v>15100-34092095-95150035788800</v>
      </c>
      <c r="B1774" s="136" t="s">
        <v>3811</v>
      </c>
      <c r="C1774" s="136" t="s">
        <v>11398</v>
      </c>
      <c r="D1774" s="132" t="s">
        <v>3420</v>
      </c>
      <c r="E1774" s="136" t="s">
        <v>3828</v>
      </c>
      <c r="F1774" s="136" t="s">
        <v>3828</v>
      </c>
      <c r="G1774" s="137">
        <v>1395441442001</v>
      </c>
      <c r="H1774" s="138" t="s">
        <v>6299</v>
      </c>
      <c r="I1774" s="136">
        <v>951500357</v>
      </c>
      <c r="J1774" s="131" t="s">
        <v>3838</v>
      </c>
      <c r="K1774" s="139">
        <v>88800</v>
      </c>
    </row>
    <row r="1775" spans="1:11">
      <c r="A1775" s="1" t="str">
        <f t="shared" si="27"/>
        <v>15100-30404495-95150005899490</v>
      </c>
      <c r="B1775" s="136" t="s">
        <v>3366</v>
      </c>
      <c r="C1775" s="136" t="s">
        <v>11403</v>
      </c>
      <c r="D1775" s="132" t="s">
        <v>3420</v>
      </c>
      <c r="E1775" s="136" t="s">
        <v>3378</v>
      </c>
      <c r="F1775" s="136" t="s">
        <v>3378</v>
      </c>
      <c r="G1775" s="137">
        <v>1394395845001</v>
      </c>
      <c r="H1775" s="138" t="s">
        <v>6453</v>
      </c>
      <c r="I1775" s="136">
        <v>951500058</v>
      </c>
      <c r="J1775" s="131" t="s">
        <v>3382</v>
      </c>
      <c r="K1775" s="139">
        <v>99490</v>
      </c>
    </row>
    <row r="1776" spans="1:11">
      <c r="A1776" s="1" t="str">
        <f t="shared" si="27"/>
        <v>15100-35951395-95150042691850</v>
      </c>
      <c r="B1776" s="136" t="s">
        <v>4322</v>
      </c>
      <c r="C1776" s="136" t="s">
        <v>11408</v>
      </c>
      <c r="D1776" s="132" t="s">
        <v>3420</v>
      </c>
      <c r="E1776" s="136" t="s">
        <v>4342</v>
      </c>
      <c r="F1776" s="136" t="s">
        <v>4438</v>
      </c>
      <c r="G1776" s="137">
        <v>1395447925001</v>
      </c>
      <c r="H1776" s="138" t="s">
        <v>6298</v>
      </c>
      <c r="I1776" s="136">
        <v>951500426</v>
      </c>
      <c r="J1776" s="131" t="s">
        <v>4280</v>
      </c>
      <c r="K1776" s="139">
        <v>91850</v>
      </c>
    </row>
    <row r="1777" spans="1:11">
      <c r="A1777" s="1" t="str">
        <f t="shared" si="27"/>
        <v>15100-34895595-951500396203140</v>
      </c>
      <c r="B1777" s="136" t="s">
        <v>4156</v>
      </c>
      <c r="C1777" s="136" t="s">
        <v>11409</v>
      </c>
      <c r="D1777" s="132" t="s">
        <v>3420</v>
      </c>
      <c r="E1777" s="136" t="s">
        <v>3900</v>
      </c>
      <c r="F1777" s="136" t="s">
        <v>3900</v>
      </c>
      <c r="G1777" s="137">
        <v>1395441445001</v>
      </c>
      <c r="H1777" s="138" t="s">
        <v>6299</v>
      </c>
      <c r="I1777" s="136">
        <v>951500396</v>
      </c>
      <c r="J1777" s="131" t="s">
        <v>3977</v>
      </c>
      <c r="K1777" s="139">
        <v>203140</v>
      </c>
    </row>
    <row r="1778" spans="1:11">
      <c r="A1778" s="1" t="str">
        <f t="shared" si="27"/>
        <v>15100-35048595-95150038196500</v>
      </c>
      <c r="B1778" s="136" t="s">
        <v>4157</v>
      </c>
      <c r="C1778" s="136" t="s">
        <v>11410</v>
      </c>
      <c r="D1778" s="132" t="s">
        <v>3420</v>
      </c>
      <c r="E1778" s="136" t="s">
        <v>3933</v>
      </c>
      <c r="F1778" s="136" t="s">
        <v>3933</v>
      </c>
      <c r="G1778" s="137">
        <v>1395445412001</v>
      </c>
      <c r="H1778" s="138" t="s">
        <v>6298</v>
      </c>
      <c r="I1778" s="136">
        <v>951500381</v>
      </c>
      <c r="J1778" s="131" t="s">
        <v>4299</v>
      </c>
      <c r="K1778" s="139">
        <v>96500</v>
      </c>
    </row>
    <row r="1779" spans="1:11">
      <c r="A1779" s="1" t="str">
        <f t="shared" si="27"/>
        <v>15100-35153495-95150040446270</v>
      </c>
      <c r="B1779" s="136" t="s">
        <v>4158</v>
      </c>
      <c r="C1779" s="136" t="s">
        <v>11411</v>
      </c>
      <c r="D1779" s="132" t="s">
        <v>3420</v>
      </c>
      <c r="E1779" s="136" t="s">
        <v>3937</v>
      </c>
      <c r="F1779" s="136" t="s">
        <v>3937</v>
      </c>
      <c r="G1779" s="137">
        <v>1395445412001</v>
      </c>
      <c r="H1779" s="138" t="s">
        <v>6298</v>
      </c>
      <c r="I1779" s="136">
        <v>951500404</v>
      </c>
      <c r="J1779" s="131" t="s">
        <v>4265</v>
      </c>
      <c r="K1779" s="139">
        <v>46270</v>
      </c>
    </row>
    <row r="1780" spans="1:11">
      <c r="A1780" s="1" t="str">
        <f t="shared" si="27"/>
        <v>15100-34446295-951500357116040</v>
      </c>
      <c r="B1780" s="136" t="s">
        <v>3798</v>
      </c>
      <c r="C1780" s="136" t="s">
        <v>11412</v>
      </c>
      <c r="D1780" s="132" t="s">
        <v>3420</v>
      </c>
      <c r="E1780" s="136" t="s">
        <v>3829</v>
      </c>
      <c r="F1780" s="136" t="s">
        <v>3829</v>
      </c>
      <c r="G1780" s="137">
        <v>1395441442001</v>
      </c>
      <c r="H1780" s="138" t="s">
        <v>6299</v>
      </c>
      <c r="I1780" s="136">
        <v>951500357</v>
      </c>
      <c r="J1780" s="131" t="s">
        <v>3838</v>
      </c>
      <c r="K1780" s="139">
        <v>116040</v>
      </c>
    </row>
    <row r="1781" spans="1:11">
      <c r="A1781" s="1" t="str">
        <f t="shared" si="27"/>
        <v>15100-37697695-951500572278580</v>
      </c>
      <c r="B1781" s="136" t="s">
        <v>4655</v>
      </c>
      <c r="C1781" s="136" t="s">
        <v>11413</v>
      </c>
      <c r="D1781" s="132" t="s">
        <v>3420</v>
      </c>
      <c r="E1781" s="136" t="s">
        <v>4661</v>
      </c>
      <c r="F1781" s="136" t="s">
        <v>4661</v>
      </c>
      <c r="G1781" s="137">
        <v>1395455038001</v>
      </c>
      <c r="H1781" s="138" t="s">
        <v>6298</v>
      </c>
      <c r="I1781" s="136">
        <v>951500572</v>
      </c>
      <c r="J1781" s="131" t="s">
        <v>4702</v>
      </c>
      <c r="K1781" s="139">
        <v>278580</v>
      </c>
    </row>
    <row r="1782" spans="1:11">
      <c r="A1782" s="1" t="str">
        <f t="shared" si="27"/>
        <v>15100-35576895-951500426172800</v>
      </c>
      <c r="B1782" s="136" t="s">
        <v>4155</v>
      </c>
      <c r="C1782" s="136" t="s">
        <v>11414</v>
      </c>
      <c r="D1782" s="132" t="s">
        <v>3420</v>
      </c>
      <c r="E1782" s="136" t="s">
        <v>4183</v>
      </c>
      <c r="F1782" s="136" t="s">
        <v>4183</v>
      </c>
      <c r="G1782" s="137">
        <v>1395447925001</v>
      </c>
      <c r="H1782" s="138" t="s">
        <v>6298</v>
      </c>
      <c r="I1782" s="136">
        <v>951500426</v>
      </c>
      <c r="J1782" s="131" t="s">
        <v>4280</v>
      </c>
      <c r="K1782" s="139">
        <v>172800</v>
      </c>
    </row>
    <row r="1783" spans="1:11">
      <c r="A1783" s="1" t="str">
        <f t="shared" si="27"/>
        <v>15100-35716495-951500455176700</v>
      </c>
      <c r="B1783" s="136" t="s">
        <v>4154</v>
      </c>
      <c r="C1783" s="136" t="s">
        <v>11415</v>
      </c>
      <c r="D1783" s="132" t="s">
        <v>3420</v>
      </c>
      <c r="E1783" s="136" t="s">
        <v>4178</v>
      </c>
      <c r="F1783" s="136" t="s">
        <v>4178</v>
      </c>
      <c r="G1783" s="137">
        <v>1395447371001</v>
      </c>
      <c r="H1783" s="138" t="s">
        <v>6299</v>
      </c>
      <c r="I1783" s="136">
        <v>951500455</v>
      </c>
      <c r="J1783" s="131" t="s">
        <v>3980</v>
      </c>
      <c r="K1783" s="139">
        <v>176700</v>
      </c>
    </row>
    <row r="1784" spans="1:11">
      <c r="A1784" s="1" t="str">
        <f t="shared" si="27"/>
        <v>15100-28194194-9415008452620</v>
      </c>
      <c r="B1784" s="136" t="s">
        <v>3204</v>
      </c>
      <c r="C1784" s="136" t="s">
        <v>11388</v>
      </c>
      <c r="D1784" s="132" t="s">
        <v>3420</v>
      </c>
      <c r="E1784" s="136" t="s">
        <v>3165</v>
      </c>
      <c r="F1784" s="136" t="s">
        <v>3165</v>
      </c>
      <c r="G1784" s="137">
        <v>1394395844001</v>
      </c>
      <c r="H1784" s="138" t="s">
        <v>6298</v>
      </c>
      <c r="I1784" s="136">
        <v>941500845</v>
      </c>
      <c r="J1784" s="131" t="s">
        <v>2774</v>
      </c>
      <c r="K1784" s="139">
        <v>2620</v>
      </c>
    </row>
    <row r="1785" spans="1:11">
      <c r="A1785" s="1" t="str">
        <f t="shared" si="27"/>
        <v>15100-26234494-94150072954600</v>
      </c>
      <c r="B1785" s="136" t="s">
        <v>11416</v>
      </c>
      <c r="C1785" s="136" t="s">
        <v>11417</v>
      </c>
      <c r="D1785" s="132" t="s">
        <v>3420</v>
      </c>
      <c r="E1785" s="136" t="s">
        <v>2862</v>
      </c>
      <c r="F1785" s="136" t="s">
        <v>2862</v>
      </c>
      <c r="G1785" s="137">
        <v>1394392935001</v>
      </c>
      <c r="H1785" s="138" t="s">
        <v>6298</v>
      </c>
      <c r="I1785" s="136">
        <v>941500729</v>
      </c>
      <c r="J1785" s="131" t="s">
        <v>2770</v>
      </c>
      <c r="K1785" s="139">
        <v>54600</v>
      </c>
    </row>
    <row r="1786" spans="1:11">
      <c r="A1786" s="1" t="str">
        <f t="shared" si="27"/>
        <v>15100-32253895-951500032212580</v>
      </c>
      <c r="B1786" s="136" t="s">
        <v>3553</v>
      </c>
      <c r="C1786" s="136" t="s">
        <v>11418</v>
      </c>
      <c r="D1786" s="132" t="s">
        <v>3420</v>
      </c>
      <c r="E1786" s="136" t="s">
        <v>3554</v>
      </c>
      <c r="F1786" s="136" t="s">
        <v>3554</v>
      </c>
      <c r="G1786" s="137">
        <v>1395397985001</v>
      </c>
      <c r="H1786" s="138" t="s">
        <v>6298</v>
      </c>
      <c r="I1786" s="136">
        <v>951500032</v>
      </c>
      <c r="J1786" s="131" t="s">
        <v>3210</v>
      </c>
      <c r="K1786" s="139">
        <v>212580</v>
      </c>
    </row>
    <row r="1787" spans="1:11">
      <c r="A1787" s="1" t="str">
        <f t="shared" si="27"/>
        <v>15100-34895595-95150038647160</v>
      </c>
      <c r="B1787" s="136" t="s">
        <v>4156</v>
      </c>
      <c r="C1787" s="136" t="s">
        <v>11409</v>
      </c>
      <c r="D1787" s="132" t="s">
        <v>3420</v>
      </c>
      <c r="E1787" s="136" t="s">
        <v>3900</v>
      </c>
      <c r="F1787" s="136" t="s">
        <v>3900</v>
      </c>
      <c r="G1787" s="137">
        <v>1395445412001</v>
      </c>
      <c r="H1787" s="138" t="s">
        <v>6298</v>
      </c>
      <c r="I1787" s="136">
        <v>951500386</v>
      </c>
      <c r="J1787" s="131" t="s">
        <v>4290</v>
      </c>
      <c r="K1787" s="139">
        <v>47160</v>
      </c>
    </row>
    <row r="1788" spans="1:11">
      <c r="A1788" s="1" t="str">
        <f t="shared" si="27"/>
        <v>15100-33086395-951500260198000</v>
      </c>
      <c r="B1788" s="136" t="s">
        <v>3613</v>
      </c>
      <c r="C1788" s="136" t="s">
        <v>11419</v>
      </c>
      <c r="D1788" s="132" t="s">
        <v>3420</v>
      </c>
      <c r="E1788" s="136" t="s">
        <v>3662</v>
      </c>
      <c r="F1788" s="136" t="s">
        <v>3662</v>
      </c>
      <c r="G1788" s="137">
        <v>1395434889001</v>
      </c>
      <c r="H1788" s="138" t="s">
        <v>6298</v>
      </c>
      <c r="I1788" s="136">
        <v>951500260</v>
      </c>
      <c r="J1788" s="131" t="s">
        <v>3652</v>
      </c>
      <c r="K1788" s="139">
        <v>198000</v>
      </c>
    </row>
    <row r="1789" spans="1:11">
      <c r="A1789" s="1" t="str">
        <f t="shared" si="27"/>
        <v>15100-35716495-95150042546860</v>
      </c>
      <c r="B1789" s="136" t="s">
        <v>4154</v>
      </c>
      <c r="C1789" s="136" t="s">
        <v>11415</v>
      </c>
      <c r="D1789" s="132" t="s">
        <v>3420</v>
      </c>
      <c r="E1789" s="136" t="s">
        <v>4178</v>
      </c>
      <c r="F1789" s="136" t="s">
        <v>4178</v>
      </c>
      <c r="G1789" s="137">
        <v>1395447925001</v>
      </c>
      <c r="H1789" s="138" t="s">
        <v>6298</v>
      </c>
      <c r="I1789" s="136">
        <v>951500425</v>
      </c>
      <c r="J1789" s="131" t="s">
        <v>4270</v>
      </c>
      <c r="K1789" s="139">
        <v>46860</v>
      </c>
    </row>
    <row r="1790" spans="1:11">
      <c r="A1790" s="1" t="str">
        <f t="shared" si="27"/>
        <v>15100-35716495-95150042013060</v>
      </c>
      <c r="B1790" s="136" t="s">
        <v>4154</v>
      </c>
      <c r="C1790" s="136" t="s">
        <v>11415</v>
      </c>
      <c r="D1790" s="132" t="s">
        <v>3420</v>
      </c>
      <c r="E1790" s="136" t="s">
        <v>4178</v>
      </c>
      <c r="F1790" s="136" t="s">
        <v>4178</v>
      </c>
      <c r="G1790" s="137">
        <v>1395441446001</v>
      </c>
      <c r="H1790" s="138" t="s">
        <v>6299</v>
      </c>
      <c r="I1790" s="136">
        <v>951500420</v>
      </c>
      <c r="J1790" s="131" t="s">
        <v>3978</v>
      </c>
      <c r="K1790" s="139">
        <v>13060</v>
      </c>
    </row>
    <row r="1791" spans="1:11">
      <c r="A1791" s="1" t="str">
        <f t="shared" si="27"/>
        <v>15100-25625994-941500712141110</v>
      </c>
      <c r="B1791" s="136" t="s">
        <v>11420</v>
      </c>
      <c r="C1791" s="136" t="s">
        <v>11421</v>
      </c>
      <c r="D1791" s="132" t="s">
        <v>3420</v>
      </c>
      <c r="E1791" s="136" t="s">
        <v>2612</v>
      </c>
      <c r="F1791" s="136" t="s">
        <v>2612</v>
      </c>
      <c r="G1791" s="137">
        <v>1394392935001</v>
      </c>
      <c r="H1791" s="138" t="s">
        <v>6298</v>
      </c>
      <c r="I1791" s="136">
        <v>941500712</v>
      </c>
      <c r="J1791" s="131" t="s">
        <v>2771</v>
      </c>
      <c r="K1791" s="139">
        <v>141110</v>
      </c>
    </row>
    <row r="1792" spans="1:11">
      <c r="A1792" s="1" t="str">
        <f t="shared" si="27"/>
        <v>15100-26084494-941500718145230</v>
      </c>
      <c r="B1792" s="136" t="s">
        <v>11399</v>
      </c>
      <c r="C1792" s="136" t="s">
        <v>11400</v>
      </c>
      <c r="D1792" s="132" t="s">
        <v>3420</v>
      </c>
      <c r="E1792" s="136" t="s">
        <v>2758</v>
      </c>
      <c r="F1792" s="136" t="s">
        <v>2758</v>
      </c>
      <c r="G1792" s="137">
        <v>1394392935001</v>
      </c>
      <c r="H1792" s="138" t="s">
        <v>6298</v>
      </c>
      <c r="I1792" s="136">
        <v>941500718</v>
      </c>
      <c r="J1792" s="131" t="s">
        <v>2871</v>
      </c>
      <c r="K1792" s="139">
        <v>145230</v>
      </c>
    </row>
    <row r="1793" spans="1:11">
      <c r="A1793" s="1" t="str">
        <f t="shared" si="27"/>
        <v>15100-26234494-94150071815550</v>
      </c>
      <c r="B1793" s="136" t="s">
        <v>11416</v>
      </c>
      <c r="C1793" s="136" t="s">
        <v>11417</v>
      </c>
      <c r="D1793" s="132" t="s">
        <v>3420</v>
      </c>
      <c r="E1793" s="136" t="s">
        <v>2862</v>
      </c>
      <c r="F1793" s="136" t="s">
        <v>2862</v>
      </c>
      <c r="G1793" s="137">
        <v>1394392935001</v>
      </c>
      <c r="H1793" s="138" t="s">
        <v>6298</v>
      </c>
      <c r="I1793" s="136">
        <v>941500718</v>
      </c>
      <c r="J1793" s="131" t="s">
        <v>2871</v>
      </c>
      <c r="K1793" s="139">
        <v>15550</v>
      </c>
    </row>
    <row r="1794" spans="1:11">
      <c r="A1794" s="1" t="str">
        <f t="shared" si="27"/>
        <v>15100-35951395-95150048423990</v>
      </c>
      <c r="B1794" s="136" t="s">
        <v>4322</v>
      </c>
      <c r="C1794" s="136" t="s">
        <v>11408</v>
      </c>
      <c r="D1794" s="132" t="s">
        <v>3420</v>
      </c>
      <c r="E1794" s="136" t="s">
        <v>4342</v>
      </c>
      <c r="F1794" s="136" t="s">
        <v>4438</v>
      </c>
      <c r="G1794" s="137">
        <v>1395449236001</v>
      </c>
      <c r="H1794" s="138" t="s">
        <v>6298</v>
      </c>
      <c r="I1794" s="136">
        <v>951500484</v>
      </c>
      <c r="J1794" s="131" t="s">
        <v>4344</v>
      </c>
      <c r="K1794" s="139">
        <v>23990</v>
      </c>
    </row>
    <row r="1795" spans="1:11">
      <c r="A1795" s="1" t="str">
        <f t="shared" ref="A1795:A1858" si="28">B1795&amp;J1795&amp;K1795</f>
        <v>15100-35836395-95150046796740</v>
      </c>
      <c r="B1795" s="136" t="s">
        <v>4153</v>
      </c>
      <c r="C1795" s="136" t="s">
        <v>11422</v>
      </c>
      <c r="D1795" s="132" t="s">
        <v>3420</v>
      </c>
      <c r="E1795" s="136" t="s">
        <v>4185</v>
      </c>
      <c r="F1795" s="136" t="s">
        <v>4185</v>
      </c>
      <c r="G1795" s="137">
        <v>1395447925001</v>
      </c>
      <c r="H1795" s="138" t="s">
        <v>6298</v>
      </c>
      <c r="I1795" s="136">
        <v>951500467</v>
      </c>
      <c r="J1795" s="131" t="s">
        <v>4276</v>
      </c>
      <c r="K1795" s="139">
        <v>96740</v>
      </c>
    </row>
    <row r="1796" spans="1:11">
      <c r="A1796" s="1" t="str">
        <f t="shared" si="28"/>
        <v>15100-25625994-94150071669220</v>
      </c>
      <c r="B1796" s="136" t="s">
        <v>11420</v>
      </c>
      <c r="C1796" s="136" t="s">
        <v>11421</v>
      </c>
      <c r="D1796" s="132" t="s">
        <v>3420</v>
      </c>
      <c r="E1796" s="136" t="s">
        <v>2612</v>
      </c>
      <c r="F1796" s="136" t="s">
        <v>2612</v>
      </c>
      <c r="G1796" s="137">
        <v>1394392935001</v>
      </c>
      <c r="H1796" s="138" t="s">
        <v>6298</v>
      </c>
      <c r="I1796" s="136">
        <v>941500716</v>
      </c>
      <c r="J1796" s="131" t="s">
        <v>2767</v>
      </c>
      <c r="K1796" s="139">
        <v>69220</v>
      </c>
    </row>
    <row r="1797" spans="1:11">
      <c r="A1797" s="1" t="str">
        <f t="shared" si="28"/>
        <v>15100-36833595-95150043922620</v>
      </c>
      <c r="B1797" s="136" t="s">
        <v>4395</v>
      </c>
      <c r="C1797" s="136" t="s">
        <v>11423</v>
      </c>
      <c r="D1797" s="132" t="s">
        <v>3420</v>
      </c>
      <c r="E1797" s="136" t="s">
        <v>4439</v>
      </c>
      <c r="F1797" s="136" t="s">
        <v>4439</v>
      </c>
      <c r="G1797" s="137">
        <v>1395441450001</v>
      </c>
      <c r="H1797" s="138" t="s">
        <v>6300</v>
      </c>
      <c r="I1797" s="136">
        <v>951500439</v>
      </c>
      <c r="J1797" s="131" t="s">
        <v>4449</v>
      </c>
      <c r="K1797" s="139">
        <v>22620</v>
      </c>
    </row>
    <row r="1798" spans="1:11">
      <c r="A1798" s="1" t="str">
        <f t="shared" si="28"/>
        <v>15100-33794895-95150034769320</v>
      </c>
      <c r="B1798" s="136" t="s">
        <v>3809</v>
      </c>
      <c r="C1798" s="136" t="s">
        <v>11407</v>
      </c>
      <c r="D1798" s="132" t="s">
        <v>3420</v>
      </c>
      <c r="E1798" s="136" t="s">
        <v>3720</v>
      </c>
      <c r="F1798" s="136" t="s">
        <v>3720</v>
      </c>
      <c r="G1798" s="137">
        <v>1395437982001</v>
      </c>
      <c r="H1798" s="138" t="s">
        <v>6300</v>
      </c>
      <c r="I1798" s="136">
        <v>951500347</v>
      </c>
      <c r="J1798" s="131" t="s">
        <v>3846</v>
      </c>
      <c r="K1798" s="139">
        <v>69320</v>
      </c>
    </row>
    <row r="1799" spans="1:11">
      <c r="A1799" s="1" t="str">
        <f t="shared" si="28"/>
        <v>15100-34092095-95150035670720</v>
      </c>
      <c r="B1799" s="136" t="s">
        <v>3811</v>
      </c>
      <c r="C1799" s="136" t="s">
        <v>11398</v>
      </c>
      <c r="D1799" s="132" t="s">
        <v>3420</v>
      </c>
      <c r="E1799" s="136" t="s">
        <v>3828</v>
      </c>
      <c r="F1799" s="136" t="s">
        <v>3828</v>
      </c>
      <c r="G1799" s="137">
        <v>1395437985001</v>
      </c>
      <c r="H1799" s="138" t="s">
        <v>6298</v>
      </c>
      <c r="I1799" s="136">
        <v>951500356</v>
      </c>
      <c r="J1799" s="131" t="s">
        <v>3849</v>
      </c>
      <c r="K1799" s="139">
        <v>70720</v>
      </c>
    </row>
    <row r="1800" spans="1:11">
      <c r="A1800" s="1" t="str">
        <f t="shared" si="28"/>
        <v>15100-34092095-95150034719820</v>
      </c>
      <c r="B1800" s="136" t="s">
        <v>3811</v>
      </c>
      <c r="C1800" s="136" t="s">
        <v>11398</v>
      </c>
      <c r="D1800" s="132" t="s">
        <v>3420</v>
      </c>
      <c r="E1800" s="136" t="s">
        <v>3828</v>
      </c>
      <c r="F1800" s="136" t="s">
        <v>3828</v>
      </c>
      <c r="G1800" s="137">
        <v>1395437982001</v>
      </c>
      <c r="H1800" s="138" t="s">
        <v>6300</v>
      </c>
      <c r="I1800" s="136">
        <v>951500347</v>
      </c>
      <c r="J1800" s="131" t="s">
        <v>3846</v>
      </c>
      <c r="K1800" s="139">
        <v>19820</v>
      </c>
    </row>
    <row r="1801" spans="1:11">
      <c r="A1801" s="1" t="str">
        <f t="shared" si="28"/>
        <v>15100-27140494-94150078545790</v>
      </c>
      <c r="B1801" s="136" t="s">
        <v>11424</v>
      </c>
      <c r="C1801" s="136" t="s">
        <v>11425</v>
      </c>
      <c r="D1801" s="132" t="s">
        <v>3420</v>
      </c>
      <c r="E1801" s="136" t="s">
        <v>2865</v>
      </c>
      <c r="F1801" s="136" t="s">
        <v>2865</v>
      </c>
      <c r="G1801" s="137">
        <v>1394394802001</v>
      </c>
      <c r="H1801" s="138" t="s">
        <v>6298</v>
      </c>
      <c r="I1801" s="136">
        <v>941500785</v>
      </c>
      <c r="J1801" s="131" t="s">
        <v>2879</v>
      </c>
      <c r="K1801" s="139">
        <v>45790</v>
      </c>
    </row>
    <row r="1802" spans="1:11">
      <c r="A1802" s="1" t="str">
        <f t="shared" si="28"/>
        <v>15100-34895595-95150039120300</v>
      </c>
      <c r="B1802" s="136" t="s">
        <v>4156</v>
      </c>
      <c r="C1802" s="136" t="s">
        <v>11409</v>
      </c>
      <c r="D1802" s="132" t="s">
        <v>3420</v>
      </c>
      <c r="E1802" s="136" t="s">
        <v>3900</v>
      </c>
      <c r="F1802" s="141" t="s">
        <v>3900</v>
      </c>
      <c r="G1802" s="137">
        <v>1395445414001</v>
      </c>
      <c r="H1802" s="140" t="s">
        <v>8845</v>
      </c>
      <c r="I1802" s="141">
        <v>951500391</v>
      </c>
      <c r="J1802" s="131" t="s">
        <v>4274</v>
      </c>
      <c r="K1802" s="142">
        <v>20300</v>
      </c>
    </row>
    <row r="1803" spans="1:11">
      <c r="A1803" s="1" t="str">
        <f t="shared" si="28"/>
        <v>15100-35295995-95150043220940</v>
      </c>
      <c r="B1803" s="136" t="s">
        <v>4161</v>
      </c>
      <c r="C1803" s="136" t="s">
        <v>11426</v>
      </c>
      <c r="D1803" s="132" t="s">
        <v>3420</v>
      </c>
      <c r="E1803" s="136" t="s">
        <v>4181</v>
      </c>
      <c r="F1803" s="136" t="s">
        <v>4181</v>
      </c>
      <c r="G1803" s="137">
        <v>1395441448001</v>
      </c>
      <c r="H1803" s="138" t="s">
        <v>6299</v>
      </c>
      <c r="I1803" s="136">
        <v>951500432</v>
      </c>
      <c r="J1803" s="131" t="s">
        <v>3979</v>
      </c>
      <c r="K1803" s="139">
        <v>20940</v>
      </c>
    </row>
    <row r="1804" spans="1:11">
      <c r="A1804" s="1" t="str">
        <f t="shared" si="28"/>
        <v>15100-35716495-95150043244360</v>
      </c>
      <c r="B1804" s="136" t="s">
        <v>4154</v>
      </c>
      <c r="C1804" s="136" t="s">
        <v>11415</v>
      </c>
      <c r="D1804" s="132" t="s">
        <v>3420</v>
      </c>
      <c r="E1804" s="136" t="s">
        <v>4178</v>
      </c>
      <c r="F1804" s="136" t="s">
        <v>4178</v>
      </c>
      <c r="G1804" s="137">
        <v>1395441448001</v>
      </c>
      <c r="H1804" s="138" t="s">
        <v>6299</v>
      </c>
      <c r="I1804" s="136">
        <v>951500432</v>
      </c>
      <c r="J1804" s="131" t="s">
        <v>3979</v>
      </c>
      <c r="K1804" s="139">
        <v>44360</v>
      </c>
    </row>
    <row r="1805" spans="1:11">
      <c r="A1805" s="1" t="str">
        <f t="shared" si="28"/>
        <v>15100-35836395-951500482119180</v>
      </c>
      <c r="B1805" s="136" t="s">
        <v>4153</v>
      </c>
      <c r="C1805" s="136" t="s">
        <v>11422</v>
      </c>
      <c r="D1805" s="132" t="s">
        <v>3420</v>
      </c>
      <c r="E1805" s="136" t="s">
        <v>4185</v>
      </c>
      <c r="F1805" s="136" t="s">
        <v>4185</v>
      </c>
      <c r="G1805" s="137">
        <v>1395447372001</v>
      </c>
      <c r="H1805" s="138" t="s">
        <v>6300</v>
      </c>
      <c r="I1805" s="136">
        <v>951500482</v>
      </c>
      <c r="J1805" s="131" t="s">
        <v>4283</v>
      </c>
      <c r="K1805" s="139">
        <v>119180</v>
      </c>
    </row>
    <row r="1806" spans="1:11">
      <c r="A1806" s="1" t="str">
        <f t="shared" si="28"/>
        <v>15100-36187495-95150046996900</v>
      </c>
      <c r="B1806" s="136" t="s">
        <v>4334</v>
      </c>
      <c r="C1806" s="136" t="s">
        <v>11427</v>
      </c>
      <c r="D1806" s="132" t="s">
        <v>3420</v>
      </c>
      <c r="E1806" s="136" t="s">
        <v>4168</v>
      </c>
      <c r="F1806" s="136" t="s">
        <v>4168</v>
      </c>
      <c r="G1806" s="137">
        <v>1395441450001</v>
      </c>
      <c r="H1806" s="138" t="s">
        <v>6300</v>
      </c>
      <c r="I1806" s="136">
        <v>951500469</v>
      </c>
      <c r="J1806" s="131" t="s">
        <v>4359</v>
      </c>
      <c r="K1806" s="139">
        <v>96900</v>
      </c>
    </row>
    <row r="1807" spans="1:11">
      <c r="A1807" s="1" t="str">
        <f t="shared" si="28"/>
        <v>50100-844989695-952500101959409</v>
      </c>
      <c r="B1807" s="136" t="s">
        <v>4827</v>
      </c>
      <c r="C1807" s="136" t="s">
        <v>11428</v>
      </c>
      <c r="D1807" s="132" t="s">
        <v>3420</v>
      </c>
      <c r="E1807" s="136" t="s">
        <v>4877</v>
      </c>
      <c r="F1807" s="136" t="s">
        <v>4877</v>
      </c>
      <c r="G1807" s="137">
        <v>1395467471001</v>
      </c>
      <c r="H1807" s="138" t="s">
        <v>11061</v>
      </c>
      <c r="I1807" s="141">
        <v>952500101</v>
      </c>
      <c r="J1807" s="131" t="s">
        <v>4739</v>
      </c>
      <c r="K1807" s="142">
        <v>959409</v>
      </c>
    </row>
    <row r="1808" spans="1:11">
      <c r="A1808" s="1" t="str">
        <f t="shared" si="28"/>
        <v>15100-28717695-951500044142960</v>
      </c>
      <c r="B1808" s="136" t="s">
        <v>3271</v>
      </c>
      <c r="C1808" s="136" t="s">
        <v>11429</v>
      </c>
      <c r="D1808" s="132" t="s">
        <v>3420</v>
      </c>
      <c r="E1808" s="136" t="s">
        <v>3274</v>
      </c>
      <c r="F1808" s="136" t="s">
        <v>3274</v>
      </c>
      <c r="G1808" s="137">
        <v>1394395845001</v>
      </c>
      <c r="H1808" s="138" t="s">
        <v>6453</v>
      </c>
      <c r="I1808" s="136">
        <v>951500044</v>
      </c>
      <c r="J1808" s="131" t="s">
        <v>3053</v>
      </c>
      <c r="K1808" s="139">
        <v>142960</v>
      </c>
    </row>
    <row r="1809" spans="1:11">
      <c r="A1809" s="1" t="str">
        <f t="shared" si="28"/>
        <v>15100-29541895-95150004451040</v>
      </c>
      <c r="B1809" s="136" t="s">
        <v>3272</v>
      </c>
      <c r="C1809" s="136" t="s">
        <v>11430</v>
      </c>
      <c r="D1809" s="132" t="s">
        <v>3420</v>
      </c>
      <c r="E1809" s="136" t="s">
        <v>3275</v>
      </c>
      <c r="F1809" s="136" t="s">
        <v>3275</v>
      </c>
      <c r="G1809" s="137">
        <v>1394395845001</v>
      </c>
      <c r="H1809" s="138" t="s">
        <v>6453</v>
      </c>
      <c r="I1809" s="136">
        <v>951500044</v>
      </c>
      <c r="J1809" s="131" t="s">
        <v>3053</v>
      </c>
      <c r="K1809" s="139">
        <v>51040</v>
      </c>
    </row>
    <row r="1810" spans="1:11">
      <c r="A1810" s="1" t="str">
        <f t="shared" si="28"/>
        <v>15100-36187495-95150039796060</v>
      </c>
      <c r="B1810" s="136" t="s">
        <v>4334</v>
      </c>
      <c r="C1810" s="136" t="s">
        <v>11427</v>
      </c>
      <c r="D1810" s="132" t="s">
        <v>3420</v>
      </c>
      <c r="E1810" s="136" t="s">
        <v>4168</v>
      </c>
      <c r="F1810" s="136" t="s">
        <v>4168</v>
      </c>
      <c r="G1810" s="137">
        <v>1395438160001</v>
      </c>
      <c r="H1810" s="138" t="s">
        <v>6300</v>
      </c>
      <c r="I1810" s="136">
        <v>951500397</v>
      </c>
      <c r="J1810" s="131" t="s">
        <v>4358</v>
      </c>
      <c r="K1810" s="139">
        <v>96060</v>
      </c>
    </row>
    <row r="1811" spans="1:11">
      <c r="A1811" s="1" t="str">
        <f t="shared" si="28"/>
        <v>15100-34719195-95150037571540</v>
      </c>
      <c r="B1811" s="136" t="s">
        <v>4160</v>
      </c>
      <c r="C1811" s="136" t="s">
        <v>11431</v>
      </c>
      <c r="D1811" s="132" t="s">
        <v>3420</v>
      </c>
      <c r="E1811" s="136" t="s">
        <v>3902</v>
      </c>
      <c r="F1811" s="136" t="s">
        <v>3902</v>
      </c>
      <c r="G1811" s="137">
        <v>1395441908001</v>
      </c>
      <c r="H1811" s="138" t="s">
        <v>6298</v>
      </c>
      <c r="I1811" s="136">
        <v>951500375</v>
      </c>
      <c r="J1811" s="131" t="s">
        <v>3842</v>
      </c>
      <c r="K1811" s="139">
        <v>71540</v>
      </c>
    </row>
    <row r="1812" spans="1:11">
      <c r="A1812" s="1" t="str">
        <f t="shared" si="28"/>
        <v>15100-29914294-94150077124110</v>
      </c>
      <c r="B1812" s="136" t="s">
        <v>3365</v>
      </c>
      <c r="C1812" s="136" t="s">
        <v>11402</v>
      </c>
      <c r="D1812" s="132" t="s">
        <v>3420</v>
      </c>
      <c r="E1812" s="136" t="s">
        <v>3377</v>
      </c>
      <c r="F1812" s="136" t="s">
        <v>3377</v>
      </c>
      <c r="G1812" s="137">
        <v>1394394178001</v>
      </c>
      <c r="H1812" s="138" t="s">
        <v>6298</v>
      </c>
      <c r="I1812" s="136">
        <v>941500771</v>
      </c>
      <c r="J1812" s="131" t="s">
        <v>2885</v>
      </c>
      <c r="K1812" s="139">
        <v>24110</v>
      </c>
    </row>
    <row r="1813" spans="1:11">
      <c r="A1813" s="1" t="str">
        <f t="shared" si="28"/>
        <v>15100-26399794-941500771184160</v>
      </c>
      <c r="B1813" s="136" t="s">
        <v>11432</v>
      </c>
      <c r="C1813" s="136" t="s">
        <v>11433</v>
      </c>
      <c r="D1813" s="132" t="s">
        <v>3420</v>
      </c>
      <c r="E1813" s="136" t="s">
        <v>2870</v>
      </c>
      <c r="F1813" s="136" t="s">
        <v>2870</v>
      </c>
      <c r="G1813" s="137">
        <v>1394394178001</v>
      </c>
      <c r="H1813" s="138" t="s">
        <v>6298</v>
      </c>
      <c r="I1813" s="136">
        <v>941500771</v>
      </c>
      <c r="J1813" s="131" t="s">
        <v>2885</v>
      </c>
      <c r="K1813" s="139">
        <v>184160</v>
      </c>
    </row>
    <row r="1814" spans="1:11">
      <c r="A1814" s="1" t="str">
        <f t="shared" si="28"/>
        <v>15100-35951395-95150052044400</v>
      </c>
      <c r="B1814" s="136" t="s">
        <v>4322</v>
      </c>
      <c r="C1814" s="136" t="s">
        <v>11408</v>
      </c>
      <c r="D1814" s="132" t="s">
        <v>3420</v>
      </c>
      <c r="E1814" s="136" t="s">
        <v>4342</v>
      </c>
      <c r="F1814" s="141" t="s">
        <v>4438</v>
      </c>
      <c r="G1814" s="137">
        <v>1395451403001</v>
      </c>
      <c r="H1814" s="140" t="s">
        <v>8845</v>
      </c>
      <c r="I1814" s="141">
        <v>951500520</v>
      </c>
      <c r="J1814" s="131" t="s">
        <v>4346</v>
      </c>
      <c r="K1814" s="142">
        <v>44400</v>
      </c>
    </row>
    <row r="1815" spans="1:11">
      <c r="A1815" s="1" t="str">
        <f t="shared" si="28"/>
        <v>15100-34317595-95150035525220</v>
      </c>
      <c r="B1815" s="136" t="s">
        <v>3797</v>
      </c>
      <c r="C1815" s="136" t="s">
        <v>11434</v>
      </c>
      <c r="D1815" s="132" t="s">
        <v>3420</v>
      </c>
      <c r="E1815" s="136" t="s">
        <v>3820</v>
      </c>
      <c r="F1815" s="136" t="s">
        <v>3820</v>
      </c>
      <c r="G1815" s="137">
        <v>1395437985001</v>
      </c>
      <c r="H1815" s="138" t="s">
        <v>6298</v>
      </c>
      <c r="I1815" s="136">
        <v>951500355</v>
      </c>
      <c r="J1815" s="131" t="s">
        <v>3841</v>
      </c>
      <c r="K1815" s="139">
        <v>25220</v>
      </c>
    </row>
    <row r="1816" spans="1:11">
      <c r="A1816" s="1" t="str">
        <f t="shared" si="28"/>
        <v>15100-34317595-95150036345240</v>
      </c>
      <c r="B1816" s="136" t="s">
        <v>3797</v>
      </c>
      <c r="C1816" s="136" t="s">
        <v>11434</v>
      </c>
      <c r="D1816" s="132" t="s">
        <v>3420</v>
      </c>
      <c r="E1816" s="136" t="s">
        <v>3820</v>
      </c>
      <c r="F1816" s="136" t="s">
        <v>3820</v>
      </c>
      <c r="G1816" s="137">
        <v>1395437982001</v>
      </c>
      <c r="H1816" s="138" t="s">
        <v>6300</v>
      </c>
      <c r="I1816" s="136">
        <v>951500363</v>
      </c>
      <c r="J1816" s="131" t="s">
        <v>3837</v>
      </c>
      <c r="K1816" s="139">
        <v>45240</v>
      </c>
    </row>
    <row r="1817" spans="1:11">
      <c r="A1817" s="1" t="str">
        <f t="shared" si="28"/>
        <v>15100-33195995-95150026499350</v>
      </c>
      <c r="B1817" s="136" t="s">
        <v>3604</v>
      </c>
      <c r="C1817" s="136" t="s">
        <v>11435</v>
      </c>
      <c r="D1817" s="132" t="s">
        <v>3420</v>
      </c>
      <c r="E1817" s="136" t="s">
        <v>3716</v>
      </c>
      <c r="F1817" s="136" t="s">
        <v>3716</v>
      </c>
      <c r="G1817" s="137">
        <v>1395434889001</v>
      </c>
      <c r="H1817" s="138" t="s">
        <v>6298</v>
      </c>
      <c r="I1817" s="136">
        <v>951500264</v>
      </c>
      <c r="J1817" s="131" t="s">
        <v>3651</v>
      </c>
      <c r="K1817" s="139">
        <v>99350</v>
      </c>
    </row>
    <row r="1818" spans="1:11">
      <c r="A1818" s="1" t="str">
        <f t="shared" si="28"/>
        <v>15100-38142395-95150057348890</v>
      </c>
      <c r="B1818" s="136" t="s">
        <v>4654</v>
      </c>
      <c r="C1818" s="136" t="s">
        <v>11436</v>
      </c>
      <c r="D1818" s="132" t="s">
        <v>3420</v>
      </c>
      <c r="E1818" s="136" t="s">
        <v>4664</v>
      </c>
      <c r="F1818" s="136" t="s">
        <v>4664</v>
      </c>
      <c r="G1818" s="137">
        <v>1395452681001</v>
      </c>
      <c r="H1818" s="138" t="s">
        <v>6300</v>
      </c>
      <c r="I1818" s="136">
        <v>951500573</v>
      </c>
      <c r="J1818" s="131" t="s">
        <v>4700</v>
      </c>
      <c r="K1818" s="139">
        <v>48890</v>
      </c>
    </row>
    <row r="1819" spans="1:11">
      <c r="A1819" s="1" t="str">
        <f t="shared" si="28"/>
        <v>15100-38433595-951500577117060</v>
      </c>
      <c r="B1819" s="136" t="s">
        <v>4757</v>
      </c>
      <c r="C1819" s="136" t="s">
        <v>11437</v>
      </c>
      <c r="D1819" s="132" t="s">
        <v>3420</v>
      </c>
      <c r="E1819" s="136" t="s">
        <v>4871</v>
      </c>
      <c r="F1819" s="136" t="s">
        <v>4871</v>
      </c>
      <c r="G1819" s="137">
        <v>1395455038001</v>
      </c>
      <c r="H1819" s="138" t="s">
        <v>6298</v>
      </c>
      <c r="I1819" s="136">
        <v>951500577</v>
      </c>
      <c r="J1819" s="131" t="s">
        <v>4890</v>
      </c>
      <c r="K1819" s="139">
        <v>117060</v>
      </c>
    </row>
    <row r="1820" spans="1:11">
      <c r="A1820" s="1" t="str">
        <f t="shared" si="28"/>
        <v>15100-38433595-951500578181120</v>
      </c>
      <c r="B1820" s="136" t="s">
        <v>4757</v>
      </c>
      <c r="C1820" s="136" t="s">
        <v>11437</v>
      </c>
      <c r="D1820" s="132" t="s">
        <v>3420</v>
      </c>
      <c r="E1820" s="136" t="s">
        <v>4871</v>
      </c>
      <c r="F1820" s="136" t="s">
        <v>4871</v>
      </c>
      <c r="G1820" s="137">
        <v>1395455038001</v>
      </c>
      <c r="H1820" s="138" t="s">
        <v>6298</v>
      </c>
      <c r="I1820" s="136">
        <v>951500578</v>
      </c>
      <c r="J1820" s="131" t="s">
        <v>4891</v>
      </c>
      <c r="K1820" s="139">
        <v>181120</v>
      </c>
    </row>
    <row r="1821" spans="1:11">
      <c r="A1821" s="1" t="str">
        <f t="shared" si="28"/>
        <v>15100-36187495-95150047061020</v>
      </c>
      <c r="B1821" s="136" t="s">
        <v>4334</v>
      </c>
      <c r="C1821" s="136" t="s">
        <v>11427</v>
      </c>
      <c r="D1821" s="132" t="s">
        <v>3420</v>
      </c>
      <c r="E1821" s="136" t="s">
        <v>4168</v>
      </c>
      <c r="F1821" s="136" t="s">
        <v>4168</v>
      </c>
      <c r="G1821" s="137">
        <v>1395441450001</v>
      </c>
      <c r="H1821" s="138" t="s">
        <v>6300</v>
      </c>
      <c r="I1821" s="136">
        <v>951500470</v>
      </c>
      <c r="J1821" s="131" t="s">
        <v>4356</v>
      </c>
      <c r="K1821" s="139">
        <v>61020</v>
      </c>
    </row>
    <row r="1822" spans="1:11">
      <c r="A1822" s="1" t="str">
        <f t="shared" si="28"/>
        <v>15100-28489894-941500811110865</v>
      </c>
      <c r="B1822" s="136" t="s">
        <v>11438</v>
      </c>
      <c r="C1822" s="136" t="s">
        <v>11439</v>
      </c>
      <c r="D1822" s="132" t="s">
        <v>3420</v>
      </c>
      <c r="E1822" s="136" t="s">
        <v>3164</v>
      </c>
      <c r="F1822" s="136" t="s">
        <v>3164</v>
      </c>
      <c r="G1822" s="137">
        <v>1394394802001</v>
      </c>
      <c r="H1822" s="138" t="s">
        <v>6298</v>
      </c>
      <c r="I1822" s="136">
        <v>941500811</v>
      </c>
      <c r="J1822" s="131" t="s">
        <v>3056</v>
      </c>
      <c r="K1822" s="139">
        <v>110865</v>
      </c>
    </row>
    <row r="1823" spans="1:11">
      <c r="A1823" s="1" t="str">
        <f t="shared" si="28"/>
        <v>15100-28489894-94150081238125</v>
      </c>
      <c r="B1823" s="136" t="s">
        <v>11438</v>
      </c>
      <c r="C1823" s="136" t="s">
        <v>11439</v>
      </c>
      <c r="D1823" s="132" t="s">
        <v>3420</v>
      </c>
      <c r="E1823" s="136" t="s">
        <v>3164</v>
      </c>
      <c r="F1823" s="136" t="s">
        <v>3164</v>
      </c>
      <c r="G1823" s="137">
        <v>1394394802001</v>
      </c>
      <c r="H1823" s="138" t="s">
        <v>6298</v>
      </c>
      <c r="I1823" s="136">
        <v>941500812</v>
      </c>
      <c r="J1823" s="131" t="s">
        <v>3211</v>
      </c>
      <c r="K1823" s="139">
        <v>38125</v>
      </c>
    </row>
    <row r="1824" spans="1:11">
      <c r="A1824" s="1" t="str">
        <f t="shared" si="28"/>
        <v>50100-819743395-951500332200000</v>
      </c>
      <c r="B1824" s="136" t="s">
        <v>4433</v>
      </c>
      <c r="C1824" s="136" t="s">
        <v>11372</v>
      </c>
      <c r="D1824" s="132" t="s">
        <v>3420</v>
      </c>
      <c r="E1824" s="136" t="s">
        <v>4438</v>
      </c>
      <c r="F1824" s="136" t="s">
        <v>4438</v>
      </c>
      <c r="G1824" s="137">
        <v>1395438159001</v>
      </c>
      <c r="H1824" s="138" t="s">
        <v>6298</v>
      </c>
      <c r="I1824" s="136">
        <v>951500332</v>
      </c>
      <c r="J1824" s="131" t="s">
        <v>4498</v>
      </c>
      <c r="K1824" s="139">
        <v>200000</v>
      </c>
    </row>
    <row r="1825" spans="1:11">
      <c r="A1825" s="1" t="str">
        <f t="shared" si="28"/>
        <v>50100-850622896-9641000051948910</v>
      </c>
      <c r="B1825" s="136" t="s">
        <v>5006</v>
      </c>
      <c r="C1825" s="136" t="s">
        <v>8968</v>
      </c>
      <c r="D1825" s="132" t="s">
        <v>4971</v>
      </c>
      <c r="E1825" s="136" t="s">
        <v>5008</v>
      </c>
      <c r="F1825" s="136" t="s">
        <v>5008</v>
      </c>
      <c r="G1825" s="137">
        <v>1395468402001</v>
      </c>
      <c r="H1825" s="138" t="s">
        <v>10183</v>
      </c>
      <c r="I1825" s="136">
        <v>964100005</v>
      </c>
      <c r="J1825" s="131" t="s">
        <v>5044</v>
      </c>
      <c r="K1825" s="139">
        <v>1948910</v>
      </c>
    </row>
    <row r="1826" spans="1:11">
      <c r="A1826" s="1" t="str">
        <f t="shared" si="28"/>
        <v>15100-25828394-94150081375260</v>
      </c>
      <c r="B1826" s="136" t="s">
        <v>11440</v>
      </c>
      <c r="C1826" s="136" t="s">
        <v>11441</v>
      </c>
      <c r="D1826" s="132" t="s">
        <v>3420</v>
      </c>
      <c r="E1826" s="136" t="s">
        <v>2751</v>
      </c>
      <c r="F1826" s="136" t="s">
        <v>2751</v>
      </c>
      <c r="G1826" s="137">
        <v>1394394802001</v>
      </c>
      <c r="H1826" s="138" t="s">
        <v>6298</v>
      </c>
      <c r="I1826" s="136">
        <v>941500813</v>
      </c>
      <c r="J1826" s="131" t="s">
        <v>2759</v>
      </c>
      <c r="K1826" s="139">
        <v>75260</v>
      </c>
    </row>
    <row r="1827" spans="1:11">
      <c r="A1827" s="1" t="str">
        <f t="shared" si="28"/>
        <v>50100-738536495-9541000071637364</v>
      </c>
      <c r="B1827" s="136" t="s">
        <v>3162</v>
      </c>
      <c r="C1827" s="136" t="s">
        <v>11442</v>
      </c>
      <c r="D1827" s="132" t="s">
        <v>3420</v>
      </c>
      <c r="E1827" s="136" t="s">
        <v>3045</v>
      </c>
      <c r="F1827" s="136" t="s">
        <v>3045</v>
      </c>
      <c r="G1827" s="137">
        <v>1395400302002</v>
      </c>
      <c r="H1827" s="138" t="s">
        <v>10183</v>
      </c>
      <c r="I1827" s="136">
        <v>954100007</v>
      </c>
      <c r="J1827" s="131" t="s">
        <v>3190</v>
      </c>
      <c r="K1827" s="139">
        <v>1637364</v>
      </c>
    </row>
    <row r="1828" spans="1:11">
      <c r="A1828" s="1" t="str">
        <f t="shared" si="28"/>
        <v>15100-27369994-94150074430000</v>
      </c>
      <c r="B1828" s="136" t="s">
        <v>11395</v>
      </c>
      <c r="C1828" s="136" t="s">
        <v>11396</v>
      </c>
      <c r="D1828" s="132" t="s">
        <v>3420</v>
      </c>
      <c r="E1828" s="136" t="s">
        <v>3047</v>
      </c>
      <c r="F1828" s="136" t="s">
        <v>3047</v>
      </c>
      <c r="G1828" s="137">
        <v>1394392654001</v>
      </c>
      <c r="H1828" s="138" t="s">
        <v>6453</v>
      </c>
      <c r="I1828" s="136">
        <v>941500744</v>
      </c>
      <c r="J1828" s="131" t="s">
        <v>6876</v>
      </c>
      <c r="K1828" s="139">
        <v>30000</v>
      </c>
    </row>
    <row r="1829" spans="1:11">
      <c r="A1829" s="1" t="str">
        <f t="shared" si="28"/>
        <v>15100-36544495-95150052351220</v>
      </c>
      <c r="B1829" s="136" t="s">
        <v>4335</v>
      </c>
      <c r="C1829" s="136" t="s">
        <v>11443</v>
      </c>
      <c r="D1829" s="132" t="s">
        <v>3420</v>
      </c>
      <c r="E1829" s="136" t="s">
        <v>4175</v>
      </c>
      <c r="F1829" s="136" t="s">
        <v>4175</v>
      </c>
      <c r="G1829" s="137">
        <v>1395449236001</v>
      </c>
      <c r="H1829" s="138" t="s">
        <v>6298</v>
      </c>
      <c r="I1829" s="136">
        <v>951500523</v>
      </c>
      <c r="J1829" s="131" t="s">
        <v>4347</v>
      </c>
      <c r="K1829" s="139">
        <v>51220</v>
      </c>
    </row>
    <row r="1830" spans="1:11">
      <c r="A1830" s="1" t="str">
        <f t="shared" si="28"/>
        <v>15100-26549794-94150074449770</v>
      </c>
      <c r="B1830" s="136" t="s">
        <v>11444</v>
      </c>
      <c r="C1830" s="136" t="s">
        <v>11445</v>
      </c>
      <c r="D1830" s="132" t="s">
        <v>3420</v>
      </c>
      <c r="E1830" s="136" t="s">
        <v>2867</v>
      </c>
      <c r="F1830" s="136" t="s">
        <v>2867</v>
      </c>
      <c r="G1830" s="137">
        <v>1394392654001</v>
      </c>
      <c r="H1830" s="138" t="s">
        <v>6453</v>
      </c>
      <c r="I1830" s="136">
        <v>941500744</v>
      </c>
      <c r="J1830" s="131" t="s">
        <v>6876</v>
      </c>
      <c r="K1830" s="139">
        <v>49770</v>
      </c>
    </row>
    <row r="1831" spans="1:11">
      <c r="A1831" s="1" t="str">
        <f t="shared" si="28"/>
        <v>15100-37350895-95150054317180</v>
      </c>
      <c r="B1831" s="136" t="s">
        <v>4525</v>
      </c>
      <c r="C1831" s="136" t="s">
        <v>11404</v>
      </c>
      <c r="D1831" s="132" t="s">
        <v>3420</v>
      </c>
      <c r="E1831" s="136" t="s">
        <v>4573</v>
      </c>
      <c r="F1831" s="136" t="s">
        <v>4573</v>
      </c>
      <c r="G1831" s="137">
        <v>1395447372001</v>
      </c>
      <c r="H1831" s="138" t="s">
        <v>6300</v>
      </c>
      <c r="I1831" s="136">
        <v>951500543</v>
      </c>
      <c r="J1831" s="131" t="s">
        <v>4354</v>
      </c>
      <c r="K1831" s="139">
        <v>17180</v>
      </c>
    </row>
    <row r="1832" spans="1:11">
      <c r="A1832" s="1" t="str">
        <f t="shared" si="28"/>
        <v>50100-712879494-94150080250145</v>
      </c>
      <c r="B1832" s="136" t="s">
        <v>10604</v>
      </c>
      <c r="C1832" s="136" t="s">
        <v>10605</v>
      </c>
      <c r="D1832" s="132" t="s">
        <v>3420</v>
      </c>
      <c r="E1832" s="136" t="s">
        <v>2614</v>
      </c>
      <c r="F1832" s="136" t="s">
        <v>2614</v>
      </c>
      <c r="G1832" s="137">
        <v>1394392654001</v>
      </c>
      <c r="H1832" s="138" t="s">
        <v>6453</v>
      </c>
      <c r="I1832" s="136">
        <v>941500802</v>
      </c>
      <c r="J1832" s="131" t="s">
        <v>6873</v>
      </c>
      <c r="K1832" s="139">
        <v>50145</v>
      </c>
    </row>
    <row r="1833" spans="1:11">
      <c r="A1833" s="1" t="str">
        <f t="shared" si="28"/>
        <v>50100-715145394-941500823399300</v>
      </c>
      <c r="B1833" s="136" t="s">
        <v>11446</v>
      </c>
      <c r="C1833" s="136" t="s">
        <v>11447</v>
      </c>
      <c r="D1833" s="132" t="s">
        <v>3420</v>
      </c>
      <c r="E1833" s="136" t="s">
        <v>2619</v>
      </c>
      <c r="F1833" s="136" t="s">
        <v>2619</v>
      </c>
      <c r="G1833" s="137">
        <v>1394394802001</v>
      </c>
      <c r="H1833" s="138" t="s">
        <v>6298</v>
      </c>
      <c r="I1833" s="136">
        <v>941500823</v>
      </c>
      <c r="J1833" s="131" t="s">
        <v>2654</v>
      </c>
      <c r="K1833" s="139">
        <v>399300</v>
      </c>
    </row>
    <row r="1834" spans="1:11">
      <c r="A1834" s="1" t="str">
        <f t="shared" si="28"/>
        <v>50100-752060795-95150018854520</v>
      </c>
      <c r="B1834" s="136" t="s">
        <v>3311</v>
      </c>
      <c r="C1834" s="136" t="s">
        <v>11063</v>
      </c>
      <c r="D1834" s="132" t="s">
        <v>3420</v>
      </c>
      <c r="E1834" s="136" t="s">
        <v>3273</v>
      </c>
      <c r="F1834" s="136" t="s">
        <v>3273</v>
      </c>
      <c r="G1834" s="137">
        <v>1395401420001</v>
      </c>
      <c r="H1834" s="138" t="s">
        <v>6298</v>
      </c>
      <c r="I1834" s="136">
        <v>951500188</v>
      </c>
      <c r="J1834" s="131" t="s">
        <v>3355</v>
      </c>
      <c r="K1834" s="139">
        <v>54520</v>
      </c>
    </row>
    <row r="1835" spans="1:11">
      <c r="A1835" s="1" t="str">
        <f t="shared" si="28"/>
        <v>50100-846366995-951500451160550</v>
      </c>
      <c r="B1835" s="136" t="s">
        <v>4828</v>
      </c>
      <c r="C1835" s="136" t="s">
        <v>11043</v>
      </c>
      <c r="D1835" s="132" t="s">
        <v>3420</v>
      </c>
      <c r="E1835" s="136" t="s">
        <v>4873</v>
      </c>
      <c r="F1835" s="136" t="s">
        <v>4873</v>
      </c>
      <c r="G1835" s="137">
        <v>1395447925001</v>
      </c>
      <c r="H1835" s="138" t="s">
        <v>6298</v>
      </c>
      <c r="I1835" s="136">
        <v>951500451</v>
      </c>
      <c r="J1835" s="131" t="s">
        <v>4944</v>
      </c>
      <c r="K1835" s="139">
        <v>160550</v>
      </c>
    </row>
    <row r="1836" spans="1:11">
      <c r="A1836" s="1" t="str">
        <f t="shared" si="28"/>
        <v>50100-846366995-95150059549176</v>
      </c>
      <c r="B1836" s="136" t="s">
        <v>4828</v>
      </c>
      <c r="C1836" s="136" t="s">
        <v>11043</v>
      </c>
      <c r="D1836" s="132" t="s">
        <v>3420</v>
      </c>
      <c r="E1836" s="136" t="s">
        <v>4873</v>
      </c>
      <c r="F1836" s="136" t="s">
        <v>4873</v>
      </c>
      <c r="G1836" s="137">
        <v>1395468405001</v>
      </c>
      <c r="H1836" s="138" t="s">
        <v>6298</v>
      </c>
      <c r="I1836" s="136">
        <v>951500595</v>
      </c>
      <c r="J1836" s="131" t="s">
        <v>4939</v>
      </c>
      <c r="K1836" s="139">
        <v>49176</v>
      </c>
    </row>
    <row r="1837" spans="1:11">
      <c r="A1837" s="1" t="str">
        <f t="shared" si="28"/>
        <v>50100-819757295-95150033488800</v>
      </c>
      <c r="B1837" s="136" t="s">
        <v>4417</v>
      </c>
      <c r="C1837" s="136" t="s">
        <v>10599</v>
      </c>
      <c r="D1837" s="132" t="s">
        <v>3420</v>
      </c>
      <c r="E1837" s="136" t="s">
        <v>4438</v>
      </c>
      <c r="F1837" s="136" t="s">
        <v>4438</v>
      </c>
      <c r="G1837" s="137">
        <v>1395438159001</v>
      </c>
      <c r="H1837" s="138" t="s">
        <v>6298</v>
      </c>
      <c r="I1837" s="136">
        <v>951500334</v>
      </c>
      <c r="J1837" s="131" t="s">
        <v>4493</v>
      </c>
      <c r="K1837" s="139">
        <v>88800</v>
      </c>
    </row>
    <row r="1838" spans="1:11">
      <c r="A1838" s="1" t="str">
        <f t="shared" si="28"/>
        <v>50100-820381495-951500505910800</v>
      </c>
      <c r="B1838" s="136" t="s">
        <v>4428</v>
      </c>
      <c r="C1838" s="136" t="s">
        <v>11448</v>
      </c>
      <c r="D1838" s="132" t="s">
        <v>3420</v>
      </c>
      <c r="E1838" s="136" t="s">
        <v>4437</v>
      </c>
      <c r="F1838" s="136" t="s">
        <v>4437</v>
      </c>
      <c r="G1838" s="137">
        <v>1395447374001</v>
      </c>
      <c r="H1838" s="138" t="s">
        <v>6456</v>
      </c>
      <c r="I1838" s="136">
        <v>951500505</v>
      </c>
      <c r="J1838" s="131" t="s">
        <v>4491</v>
      </c>
      <c r="K1838" s="139">
        <v>910800</v>
      </c>
    </row>
    <row r="1839" spans="1:11">
      <c r="A1839" s="1" t="str">
        <f t="shared" si="28"/>
        <v>50100-855741796-962500008491722</v>
      </c>
      <c r="B1839" s="136" t="s">
        <v>5000</v>
      </c>
      <c r="C1839" s="136" t="s">
        <v>8962</v>
      </c>
      <c r="D1839" s="132" t="s">
        <v>4971</v>
      </c>
      <c r="E1839" s="136" t="s">
        <v>4972</v>
      </c>
      <c r="F1839" s="136" t="s">
        <v>4972</v>
      </c>
      <c r="G1839" s="137">
        <v>1395467470001</v>
      </c>
      <c r="H1839" s="138" t="s">
        <v>6298</v>
      </c>
      <c r="I1839" s="136">
        <v>962500008</v>
      </c>
      <c r="J1839" s="131" t="s">
        <v>5040</v>
      </c>
      <c r="K1839" s="139">
        <v>491722</v>
      </c>
    </row>
    <row r="1840" spans="1:11">
      <c r="A1840" s="1" t="str">
        <f t="shared" si="28"/>
        <v>50100-743041995-951500090396510</v>
      </c>
      <c r="B1840" s="136" t="s">
        <v>3156</v>
      </c>
      <c r="C1840" s="136" t="s">
        <v>11449</v>
      </c>
      <c r="D1840" s="132" t="s">
        <v>3420</v>
      </c>
      <c r="E1840" s="136" t="s">
        <v>3171</v>
      </c>
      <c r="F1840" s="136" t="s">
        <v>3171</v>
      </c>
      <c r="G1840" s="137">
        <v>1394395845001</v>
      </c>
      <c r="H1840" s="138" t="s">
        <v>6453</v>
      </c>
      <c r="I1840" s="136">
        <v>951500090</v>
      </c>
      <c r="J1840" s="131" t="s">
        <v>3187</v>
      </c>
      <c r="K1840" s="139">
        <v>396510</v>
      </c>
    </row>
    <row r="1841" spans="1:11">
      <c r="A1841" s="1" t="str">
        <f t="shared" si="28"/>
        <v>15100-25827194-94150075422520</v>
      </c>
      <c r="B1841" s="136" t="s">
        <v>11117</v>
      </c>
      <c r="C1841" s="136" t="s">
        <v>11118</v>
      </c>
      <c r="D1841" s="132" t="s">
        <v>3420</v>
      </c>
      <c r="E1841" s="136" t="s">
        <v>2751</v>
      </c>
      <c r="F1841" s="136" t="s">
        <v>2751</v>
      </c>
      <c r="G1841" s="137">
        <v>1394394178001</v>
      </c>
      <c r="H1841" s="138" t="s">
        <v>6298</v>
      </c>
      <c r="I1841" s="136">
        <v>941500754</v>
      </c>
      <c r="J1841" s="131" t="s">
        <v>2555</v>
      </c>
      <c r="K1841" s="139">
        <v>22520</v>
      </c>
    </row>
    <row r="1842" spans="1:11">
      <c r="A1842" s="1" t="str">
        <f t="shared" si="28"/>
        <v>15100-26153695-95150010323360</v>
      </c>
      <c r="B1842" s="136" t="s">
        <v>2820</v>
      </c>
      <c r="C1842" s="136" t="s">
        <v>11154</v>
      </c>
      <c r="D1842" s="132" t="s">
        <v>3420</v>
      </c>
      <c r="E1842" s="136" t="s">
        <v>2757</v>
      </c>
      <c r="F1842" s="136" t="s">
        <v>3326</v>
      </c>
      <c r="G1842" s="137">
        <v>1395397986001</v>
      </c>
      <c r="H1842" s="138" t="s">
        <v>6454</v>
      </c>
      <c r="I1842" s="136">
        <v>951500103</v>
      </c>
      <c r="J1842" s="131" t="s">
        <v>2886</v>
      </c>
      <c r="K1842" s="139">
        <v>23360</v>
      </c>
    </row>
    <row r="1843" spans="1:11">
      <c r="A1843" s="1" t="str">
        <f t="shared" si="28"/>
        <v>15100-25062794-941500754349050</v>
      </c>
      <c r="B1843" s="136" t="s">
        <v>10631</v>
      </c>
      <c r="C1843" s="136" t="s">
        <v>10632</v>
      </c>
      <c r="D1843" s="132" t="s">
        <v>3420</v>
      </c>
      <c r="E1843" s="136" t="s">
        <v>2613</v>
      </c>
      <c r="F1843" s="136" t="s">
        <v>2613</v>
      </c>
      <c r="G1843" s="137">
        <v>1394394178001</v>
      </c>
      <c r="H1843" s="138" t="s">
        <v>6298</v>
      </c>
      <c r="I1843" s="136">
        <v>941500754</v>
      </c>
      <c r="J1843" s="131" t="s">
        <v>2555</v>
      </c>
      <c r="K1843" s="139">
        <v>349050</v>
      </c>
    </row>
    <row r="1844" spans="1:11">
      <c r="A1844" s="1" t="str">
        <f t="shared" si="28"/>
        <v>15100-25306094-94150077846820</v>
      </c>
      <c r="B1844" s="136" t="s">
        <v>11450</v>
      </c>
      <c r="C1844" s="136" t="s">
        <v>11451</v>
      </c>
      <c r="D1844" s="132" t="s">
        <v>3420</v>
      </c>
      <c r="E1844" s="136" t="s">
        <v>2611</v>
      </c>
      <c r="F1844" s="136" t="s">
        <v>2611</v>
      </c>
      <c r="G1844" s="137">
        <v>1394394178001</v>
      </c>
      <c r="H1844" s="138" t="s">
        <v>6298</v>
      </c>
      <c r="I1844" s="136">
        <v>941500778</v>
      </c>
      <c r="J1844" s="131" t="s">
        <v>2549</v>
      </c>
      <c r="K1844" s="139">
        <v>46820</v>
      </c>
    </row>
    <row r="1845" spans="1:11">
      <c r="A1845" s="1" t="str">
        <f t="shared" si="28"/>
        <v>15100-26401094-94150071326490</v>
      </c>
      <c r="B1845" s="136" t="s">
        <v>10640</v>
      </c>
      <c r="C1845" s="136" t="s">
        <v>10641</v>
      </c>
      <c r="D1845" s="132" t="s">
        <v>3420</v>
      </c>
      <c r="E1845" s="136" t="s">
        <v>2870</v>
      </c>
      <c r="F1845" s="136" t="s">
        <v>2870</v>
      </c>
      <c r="G1845" s="137">
        <v>1394392935001</v>
      </c>
      <c r="H1845" s="138" t="s">
        <v>6298</v>
      </c>
      <c r="I1845" s="136">
        <v>941500713</v>
      </c>
      <c r="J1845" s="131" t="s">
        <v>2763</v>
      </c>
      <c r="K1845" s="139">
        <v>26490</v>
      </c>
    </row>
    <row r="1846" spans="1:11">
      <c r="A1846" s="1" t="str">
        <f t="shared" si="28"/>
        <v>15100-26401094-94150073045640</v>
      </c>
      <c r="B1846" s="136" t="s">
        <v>10640</v>
      </c>
      <c r="C1846" s="136" t="s">
        <v>10641</v>
      </c>
      <c r="D1846" s="132" t="s">
        <v>3420</v>
      </c>
      <c r="E1846" s="136" t="s">
        <v>2870</v>
      </c>
      <c r="F1846" s="136" t="s">
        <v>2870</v>
      </c>
      <c r="G1846" s="137">
        <v>1394392935001</v>
      </c>
      <c r="H1846" s="138" t="s">
        <v>6298</v>
      </c>
      <c r="I1846" s="136">
        <v>941500730</v>
      </c>
      <c r="J1846" s="131" t="s">
        <v>2891</v>
      </c>
      <c r="K1846" s="139">
        <v>45640</v>
      </c>
    </row>
    <row r="1847" spans="1:11">
      <c r="A1847" s="1" t="str">
        <f t="shared" si="28"/>
        <v>15100-27898494-941500828158545</v>
      </c>
      <c r="B1847" s="136" t="s">
        <v>10652</v>
      </c>
      <c r="C1847" s="136" t="s">
        <v>10653</v>
      </c>
      <c r="D1847" s="132" t="s">
        <v>3420</v>
      </c>
      <c r="E1847" s="136" t="s">
        <v>3042</v>
      </c>
      <c r="F1847" s="136" t="s">
        <v>3042</v>
      </c>
      <c r="G1847" s="137">
        <v>1394395844001</v>
      </c>
      <c r="H1847" s="138" t="s">
        <v>6298</v>
      </c>
      <c r="I1847" s="136">
        <v>941500828</v>
      </c>
      <c r="J1847" s="131" t="s">
        <v>3055</v>
      </c>
      <c r="K1847" s="139">
        <v>158545</v>
      </c>
    </row>
    <row r="1848" spans="1:11">
      <c r="A1848" s="1" t="str">
        <f t="shared" si="28"/>
        <v>50100-720711894-94150082324541</v>
      </c>
      <c r="B1848" s="136" t="s">
        <v>2709</v>
      </c>
      <c r="C1848" s="136" t="s">
        <v>10644</v>
      </c>
      <c r="D1848" s="132" t="s">
        <v>3420</v>
      </c>
      <c r="E1848" s="136" t="s">
        <v>2755</v>
      </c>
      <c r="F1848" s="136" t="s">
        <v>2755</v>
      </c>
      <c r="G1848" s="137">
        <v>1394394802001</v>
      </c>
      <c r="H1848" s="138" t="s">
        <v>6298</v>
      </c>
      <c r="I1848" s="136">
        <v>941500823</v>
      </c>
      <c r="J1848" s="131" t="s">
        <v>2654</v>
      </c>
      <c r="K1848" s="139">
        <v>24541</v>
      </c>
    </row>
    <row r="1849" spans="1:11">
      <c r="A1849" s="1" t="str">
        <f t="shared" si="28"/>
        <v>50100-729559595-9515000947830</v>
      </c>
      <c r="B1849" s="136" t="s">
        <v>2989</v>
      </c>
      <c r="C1849" s="136" t="s">
        <v>10648</v>
      </c>
      <c r="D1849" s="132" t="s">
        <v>3420</v>
      </c>
      <c r="E1849" s="136" t="s">
        <v>2859</v>
      </c>
      <c r="F1849" s="136" t="s">
        <v>2859</v>
      </c>
      <c r="G1849" s="137">
        <v>1394395845001</v>
      </c>
      <c r="H1849" s="138" t="s">
        <v>6453</v>
      </c>
      <c r="I1849" s="136">
        <v>951500094</v>
      </c>
      <c r="J1849" s="131" t="s">
        <v>3124</v>
      </c>
      <c r="K1849" s="139">
        <v>7830</v>
      </c>
    </row>
    <row r="1850" spans="1:11">
      <c r="A1850" s="1" t="str">
        <f t="shared" si="28"/>
        <v>50100-721573295-951500070997670</v>
      </c>
      <c r="B1850" s="136" t="s">
        <v>2742</v>
      </c>
      <c r="C1850" s="136" t="s">
        <v>11452</v>
      </c>
      <c r="D1850" s="132" t="s">
        <v>3420</v>
      </c>
      <c r="E1850" s="136" t="s">
        <v>2757</v>
      </c>
      <c r="F1850" s="136" t="s">
        <v>2757</v>
      </c>
      <c r="G1850" s="137">
        <v>1394395845001</v>
      </c>
      <c r="H1850" s="138" t="s">
        <v>6453</v>
      </c>
      <c r="I1850" s="136">
        <v>951500070</v>
      </c>
      <c r="J1850" s="131" t="s">
        <v>2810</v>
      </c>
      <c r="K1850" s="139">
        <v>997670</v>
      </c>
    </row>
    <row r="1851" spans="1:11">
      <c r="A1851" s="1" t="str">
        <f t="shared" si="28"/>
        <v>15100-30354495-95150012685315</v>
      </c>
      <c r="B1851" s="136" t="s">
        <v>3359</v>
      </c>
      <c r="C1851" s="136" t="s">
        <v>10676</v>
      </c>
      <c r="D1851" s="132" t="s">
        <v>3420</v>
      </c>
      <c r="E1851" s="136" t="s">
        <v>3374</v>
      </c>
      <c r="F1851" s="136" t="s">
        <v>3374</v>
      </c>
      <c r="G1851" s="137">
        <v>1395397985001</v>
      </c>
      <c r="H1851" s="138" t="s">
        <v>6298</v>
      </c>
      <c r="I1851" s="136">
        <v>951500126</v>
      </c>
      <c r="J1851" s="131" t="s">
        <v>3381</v>
      </c>
      <c r="K1851" s="139">
        <v>85315</v>
      </c>
    </row>
    <row r="1852" spans="1:11">
      <c r="A1852" s="1" t="str">
        <f t="shared" si="28"/>
        <v>15100-26360994-941500730153480</v>
      </c>
      <c r="B1852" s="136" t="s">
        <v>10950</v>
      </c>
      <c r="C1852" s="136" t="s">
        <v>10951</v>
      </c>
      <c r="D1852" s="132" t="s">
        <v>3420</v>
      </c>
      <c r="E1852" s="136" t="s">
        <v>2863</v>
      </c>
      <c r="F1852" s="136" t="s">
        <v>2863</v>
      </c>
      <c r="G1852" s="137">
        <v>1394392935001</v>
      </c>
      <c r="H1852" s="138" t="s">
        <v>6298</v>
      </c>
      <c r="I1852" s="136">
        <v>941500730</v>
      </c>
      <c r="J1852" s="131" t="s">
        <v>2891</v>
      </c>
      <c r="K1852" s="139">
        <v>153480</v>
      </c>
    </row>
    <row r="1853" spans="1:11">
      <c r="A1853" s="1" t="str">
        <f t="shared" si="28"/>
        <v>15100-36532695-9515004081160</v>
      </c>
      <c r="B1853" s="136" t="s">
        <v>4332</v>
      </c>
      <c r="C1853" s="136" t="s">
        <v>10679</v>
      </c>
      <c r="D1853" s="132" t="s">
        <v>3420</v>
      </c>
      <c r="E1853" s="136" t="s">
        <v>4175</v>
      </c>
      <c r="F1853" s="136" t="s">
        <v>4175</v>
      </c>
      <c r="G1853" s="137">
        <v>1395445412001</v>
      </c>
      <c r="H1853" s="138" t="s">
        <v>6298</v>
      </c>
      <c r="I1853" s="136">
        <v>951500408</v>
      </c>
      <c r="J1853" s="131" t="s">
        <v>4293</v>
      </c>
      <c r="K1853" s="139">
        <v>1160</v>
      </c>
    </row>
    <row r="1854" spans="1:11">
      <c r="A1854" s="1" t="str">
        <f t="shared" si="28"/>
        <v>15100-35223495-95150043370560</v>
      </c>
      <c r="B1854" s="136" t="s">
        <v>4110</v>
      </c>
      <c r="C1854" s="136" t="s">
        <v>10707</v>
      </c>
      <c r="D1854" s="132" t="s">
        <v>3420</v>
      </c>
      <c r="E1854" s="136" t="s">
        <v>4184</v>
      </c>
      <c r="F1854" s="136" t="s">
        <v>4184</v>
      </c>
      <c r="G1854" s="137">
        <v>1395441450001</v>
      </c>
      <c r="H1854" s="138" t="s">
        <v>6300</v>
      </c>
      <c r="I1854" s="136">
        <v>951500433</v>
      </c>
      <c r="J1854" s="131" t="s">
        <v>4275</v>
      </c>
      <c r="K1854" s="139">
        <v>70560</v>
      </c>
    </row>
    <row r="1855" spans="1:11">
      <c r="A1855" s="1" t="str">
        <f t="shared" si="28"/>
        <v>15100-34651795-95150029563542</v>
      </c>
      <c r="B1855" s="136" t="s">
        <v>4108</v>
      </c>
      <c r="C1855" s="136" t="s">
        <v>10974</v>
      </c>
      <c r="D1855" s="132" t="s">
        <v>3420</v>
      </c>
      <c r="E1855" s="136" t="s">
        <v>3936</v>
      </c>
      <c r="F1855" s="136" t="s">
        <v>3936</v>
      </c>
      <c r="G1855" s="137">
        <v>1395438159001</v>
      </c>
      <c r="H1855" s="138" t="s">
        <v>6298</v>
      </c>
      <c r="I1855" s="136">
        <v>951500295</v>
      </c>
      <c r="J1855" s="131" t="s">
        <v>4286</v>
      </c>
      <c r="K1855" s="139">
        <v>63542</v>
      </c>
    </row>
    <row r="1856" spans="1:11">
      <c r="A1856" s="1" t="str">
        <f t="shared" si="28"/>
        <v>15100-37621295-95150057074760</v>
      </c>
      <c r="B1856" s="136" t="s">
        <v>4646</v>
      </c>
      <c r="C1856" s="136" t="s">
        <v>11453</v>
      </c>
      <c r="D1856" s="132" t="s">
        <v>3420</v>
      </c>
      <c r="E1856" s="136" t="s">
        <v>4659</v>
      </c>
      <c r="F1856" s="136" t="s">
        <v>4659</v>
      </c>
      <c r="G1856" s="137">
        <v>1395449238001</v>
      </c>
      <c r="H1856" s="138" t="s">
        <v>6299</v>
      </c>
      <c r="I1856" s="136">
        <v>951500570</v>
      </c>
      <c r="J1856" s="131" t="s">
        <v>4701</v>
      </c>
      <c r="K1856" s="139">
        <v>74760</v>
      </c>
    </row>
    <row r="1857" spans="1:11">
      <c r="A1857" s="1" t="str">
        <f t="shared" si="28"/>
        <v>50100-731104295-95150009427468</v>
      </c>
      <c r="B1857" s="136" t="s">
        <v>2991</v>
      </c>
      <c r="C1857" s="136" t="s">
        <v>10720</v>
      </c>
      <c r="D1857" s="132" t="s">
        <v>3420</v>
      </c>
      <c r="E1857" s="136" t="s">
        <v>2857</v>
      </c>
      <c r="F1857" s="136" t="s">
        <v>2857</v>
      </c>
      <c r="G1857" s="137">
        <v>1394395845001</v>
      </c>
      <c r="H1857" s="138" t="s">
        <v>6453</v>
      </c>
      <c r="I1857" s="136">
        <v>951500094</v>
      </c>
      <c r="J1857" s="131" t="s">
        <v>3124</v>
      </c>
      <c r="K1857" s="139">
        <v>27468</v>
      </c>
    </row>
    <row r="1858" spans="1:11">
      <c r="A1858" s="1" t="str">
        <f t="shared" si="28"/>
        <v>50100-765050795-951500208515370</v>
      </c>
      <c r="B1858" s="136" t="s">
        <v>11454</v>
      </c>
      <c r="C1858" s="136" t="s">
        <v>11455</v>
      </c>
      <c r="D1858" s="132" t="s">
        <v>3420</v>
      </c>
      <c r="E1858" s="136" t="s">
        <v>3398</v>
      </c>
      <c r="F1858" s="136" t="s">
        <v>3398</v>
      </c>
      <c r="G1858" s="137">
        <v>1395397987001</v>
      </c>
      <c r="H1858" s="138" t="s">
        <v>10183</v>
      </c>
      <c r="I1858" s="136">
        <v>951500208</v>
      </c>
      <c r="J1858" s="131" t="s">
        <v>3412</v>
      </c>
      <c r="K1858" s="139">
        <v>515370</v>
      </c>
    </row>
    <row r="1859" spans="1:11">
      <c r="A1859" s="1" t="str">
        <f t="shared" ref="A1859:A1922" si="29">B1859&amp;J1859&amp;K1859</f>
        <v>50100-766070095-951500208286420</v>
      </c>
      <c r="B1859" s="136" t="s">
        <v>3392</v>
      </c>
      <c r="C1859" s="136" t="s">
        <v>10732</v>
      </c>
      <c r="D1859" s="132" t="s">
        <v>3420</v>
      </c>
      <c r="E1859" s="136" t="s">
        <v>3400</v>
      </c>
      <c r="F1859" s="136" t="s">
        <v>3400</v>
      </c>
      <c r="G1859" s="137">
        <v>1395397987001</v>
      </c>
      <c r="H1859" s="138" t="s">
        <v>10183</v>
      </c>
      <c r="I1859" s="136">
        <v>951500208</v>
      </c>
      <c r="J1859" s="131" t="s">
        <v>3412</v>
      </c>
      <c r="K1859" s="139">
        <v>286420</v>
      </c>
    </row>
    <row r="1860" spans="1:11">
      <c r="A1860" s="1" t="str">
        <f t="shared" si="29"/>
        <v>50100-845841695-951500595199284</v>
      </c>
      <c r="B1860" s="136" t="s">
        <v>4812</v>
      </c>
      <c r="C1860" s="136" t="s">
        <v>11104</v>
      </c>
      <c r="D1860" s="132" t="s">
        <v>3420</v>
      </c>
      <c r="E1860" s="136" t="s">
        <v>4874</v>
      </c>
      <c r="F1860" s="136" t="s">
        <v>4874</v>
      </c>
      <c r="G1860" s="137">
        <v>1395468405001</v>
      </c>
      <c r="H1860" s="138" t="s">
        <v>6298</v>
      </c>
      <c r="I1860" s="136">
        <v>951500595</v>
      </c>
      <c r="J1860" s="131" t="s">
        <v>4939</v>
      </c>
      <c r="K1860" s="139">
        <v>199284</v>
      </c>
    </row>
    <row r="1861" spans="1:11">
      <c r="A1861" s="1" t="str">
        <f t="shared" si="29"/>
        <v>50100-854755096-961500036496591</v>
      </c>
      <c r="B1861" s="136" t="s">
        <v>4990</v>
      </c>
      <c r="C1861" s="136" t="s">
        <v>8952</v>
      </c>
      <c r="D1861" s="132" t="s">
        <v>4971</v>
      </c>
      <c r="E1861" s="136" t="s">
        <v>5012</v>
      </c>
      <c r="F1861" s="136" t="s">
        <v>5012</v>
      </c>
      <c r="G1861" s="137">
        <v>1395453119001</v>
      </c>
      <c r="H1861" s="138" t="s">
        <v>6300</v>
      </c>
      <c r="I1861" s="136">
        <v>961500036</v>
      </c>
      <c r="J1861" s="131" t="s">
        <v>5033</v>
      </c>
      <c r="K1861" s="139">
        <v>496591</v>
      </c>
    </row>
    <row r="1862" spans="1:11">
      <c r="A1862" s="1" t="str">
        <f t="shared" si="29"/>
        <v>50100-747618495-951500090395550</v>
      </c>
      <c r="B1862" s="136" t="s">
        <v>3240</v>
      </c>
      <c r="C1862" s="136" t="s">
        <v>11456</v>
      </c>
      <c r="D1862" s="132" t="s">
        <v>3420</v>
      </c>
      <c r="E1862" s="136" t="s">
        <v>3245</v>
      </c>
      <c r="F1862" s="136" t="s">
        <v>3245</v>
      </c>
      <c r="G1862" s="137">
        <v>1394395845001</v>
      </c>
      <c r="H1862" s="138" t="s">
        <v>6453</v>
      </c>
      <c r="I1862" s="136">
        <v>951500090</v>
      </c>
      <c r="J1862" s="131" t="s">
        <v>3187</v>
      </c>
      <c r="K1862" s="139">
        <v>395550</v>
      </c>
    </row>
    <row r="1863" spans="1:11">
      <c r="A1863" s="1" t="str">
        <f t="shared" si="29"/>
        <v>15100-27901694-941500844161505</v>
      </c>
      <c r="B1863" s="136" t="s">
        <v>11457</v>
      </c>
      <c r="C1863" s="136" t="s">
        <v>11458</v>
      </c>
      <c r="D1863" s="132" t="s">
        <v>3420</v>
      </c>
      <c r="E1863" s="136" t="s">
        <v>3042</v>
      </c>
      <c r="F1863" s="136" t="s">
        <v>3042</v>
      </c>
      <c r="G1863" s="137">
        <v>1394395844001</v>
      </c>
      <c r="H1863" s="138" t="s">
        <v>6298</v>
      </c>
      <c r="I1863" s="136">
        <v>941500844</v>
      </c>
      <c r="J1863" s="131" t="s">
        <v>2883</v>
      </c>
      <c r="K1863" s="139">
        <v>161505</v>
      </c>
    </row>
    <row r="1864" spans="1:11">
      <c r="A1864" s="1" t="str">
        <f t="shared" si="29"/>
        <v>15100-27901694-94150082864935</v>
      </c>
      <c r="B1864" s="136" t="s">
        <v>11457</v>
      </c>
      <c r="C1864" s="136" t="s">
        <v>11458</v>
      </c>
      <c r="D1864" s="132" t="s">
        <v>3420</v>
      </c>
      <c r="E1864" s="136" t="s">
        <v>3042</v>
      </c>
      <c r="F1864" s="136" t="s">
        <v>3042</v>
      </c>
      <c r="G1864" s="137">
        <v>1394395844001</v>
      </c>
      <c r="H1864" s="138" t="s">
        <v>6298</v>
      </c>
      <c r="I1864" s="136">
        <v>941500828</v>
      </c>
      <c r="J1864" s="131" t="s">
        <v>3055</v>
      </c>
      <c r="K1864" s="139">
        <v>64935</v>
      </c>
    </row>
    <row r="1865" spans="1:11">
      <c r="A1865" s="1" t="str">
        <f t="shared" si="29"/>
        <v>15100-35425595-951500453142320</v>
      </c>
      <c r="B1865" s="136" t="s">
        <v>4096</v>
      </c>
      <c r="C1865" s="136" t="s">
        <v>11459</v>
      </c>
      <c r="D1865" s="132" t="s">
        <v>3420</v>
      </c>
      <c r="E1865" s="136" t="s">
        <v>4182</v>
      </c>
      <c r="F1865" s="136" t="s">
        <v>4182</v>
      </c>
      <c r="G1865" s="137">
        <v>1395449234001</v>
      </c>
      <c r="H1865" s="138" t="s">
        <v>6299</v>
      </c>
      <c r="I1865" s="136">
        <v>951500453</v>
      </c>
      <c r="J1865" s="131" t="s">
        <v>3981</v>
      </c>
      <c r="K1865" s="139">
        <v>142320</v>
      </c>
    </row>
    <row r="1866" spans="1:11">
      <c r="A1866" s="1" t="str">
        <f t="shared" si="29"/>
        <v>15100-27151595-95150013346380</v>
      </c>
      <c r="B1866" s="136" t="s">
        <v>2834</v>
      </c>
      <c r="C1866" s="136" t="s">
        <v>11460</v>
      </c>
      <c r="D1866" s="132" t="s">
        <v>3420</v>
      </c>
      <c r="E1866" s="136" t="s">
        <v>2865</v>
      </c>
      <c r="F1866" s="136" t="s">
        <v>2865</v>
      </c>
      <c r="G1866" s="137">
        <v>1395397986001</v>
      </c>
      <c r="H1866" s="138" t="s">
        <v>6454</v>
      </c>
      <c r="I1866" s="136">
        <v>951500133</v>
      </c>
      <c r="J1866" s="131" t="s">
        <v>2872</v>
      </c>
      <c r="K1866" s="139">
        <v>46380</v>
      </c>
    </row>
    <row r="1867" spans="1:11">
      <c r="A1867" s="1" t="str">
        <f t="shared" si="29"/>
        <v>50100-824954895-951500511500000</v>
      </c>
      <c r="B1867" s="136" t="s">
        <v>4539</v>
      </c>
      <c r="C1867" s="136" t="s">
        <v>10796</v>
      </c>
      <c r="D1867" s="132" t="s">
        <v>3420</v>
      </c>
      <c r="E1867" s="136" t="s">
        <v>4570</v>
      </c>
      <c r="F1867" s="136" t="s">
        <v>4570</v>
      </c>
      <c r="G1867" s="137">
        <v>1395451221001</v>
      </c>
      <c r="H1867" s="138" t="s">
        <v>6301</v>
      </c>
      <c r="I1867" s="136">
        <v>951500511</v>
      </c>
      <c r="J1867" s="131" t="s">
        <v>4505</v>
      </c>
      <c r="K1867" s="139">
        <v>500000</v>
      </c>
    </row>
    <row r="1868" spans="1:11">
      <c r="A1868" s="1" t="str">
        <f t="shared" si="29"/>
        <v>50100-824954895-951500510312850</v>
      </c>
      <c r="B1868" s="136" t="s">
        <v>4539</v>
      </c>
      <c r="C1868" s="136" t="s">
        <v>10796</v>
      </c>
      <c r="D1868" s="132" t="s">
        <v>3420</v>
      </c>
      <c r="E1868" s="136" t="s">
        <v>4570</v>
      </c>
      <c r="F1868" s="136" t="s">
        <v>4570</v>
      </c>
      <c r="G1868" s="137">
        <v>1395451221001</v>
      </c>
      <c r="H1868" s="138" t="s">
        <v>6301</v>
      </c>
      <c r="I1868" s="136">
        <v>951500510</v>
      </c>
      <c r="J1868" s="131" t="s">
        <v>4502</v>
      </c>
      <c r="K1868" s="139">
        <v>312850</v>
      </c>
    </row>
    <row r="1869" spans="1:11">
      <c r="A1869" s="1" t="str">
        <f t="shared" si="29"/>
        <v>50100-717888394-941500836784340</v>
      </c>
      <c r="B1869" s="136" t="s">
        <v>10741</v>
      </c>
      <c r="C1869" s="136" t="s">
        <v>10742</v>
      </c>
      <c r="D1869" s="132" t="s">
        <v>3420</v>
      </c>
      <c r="E1869" s="136" t="s">
        <v>2749</v>
      </c>
      <c r="F1869" s="136" t="s">
        <v>2749</v>
      </c>
      <c r="G1869" s="137">
        <v>1394395844001</v>
      </c>
      <c r="H1869" s="138" t="s">
        <v>6298</v>
      </c>
      <c r="I1869" s="136">
        <v>941500836</v>
      </c>
      <c r="J1869" s="131" t="s">
        <v>2653</v>
      </c>
      <c r="K1869" s="139">
        <v>784340</v>
      </c>
    </row>
    <row r="1870" spans="1:11">
      <c r="A1870" s="1" t="str">
        <f t="shared" si="29"/>
        <v>15100-25149794-941500713240790</v>
      </c>
      <c r="B1870" s="136" t="s">
        <v>10750</v>
      </c>
      <c r="C1870" s="136" t="s">
        <v>10751</v>
      </c>
      <c r="D1870" s="132" t="s">
        <v>3420</v>
      </c>
      <c r="E1870" s="136" t="s">
        <v>10397</v>
      </c>
      <c r="F1870" s="136" t="s">
        <v>10397</v>
      </c>
      <c r="G1870" s="137">
        <v>1394392935001</v>
      </c>
      <c r="H1870" s="138" t="s">
        <v>6298</v>
      </c>
      <c r="I1870" s="136">
        <v>941500713</v>
      </c>
      <c r="J1870" s="131" t="s">
        <v>2763</v>
      </c>
      <c r="K1870" s="139">
        <v>240790</v>
      </c>
    </row>
    <row r="1871" spans="1:11">
      <c r="A1871" s="1" t="str">
        <f t="shared" si="29"/>
        <v>15100-26920395-95150010323320</v>
      </c>
      <c r="B1871" s="136" t="s">
        <v>2840</v>
      </c>
      <c r="C1871" s="136" t="s">
        <v>10786</v>
      </c>
      <c r="D1871" s="132" t="s">
        <v>3420</v>
      </c>
      <c r="E1871" s="136" t="s">
        <v>2859</v>
      </c>
      <c r="F1871" s="136" t="s">
        <v>2859</v>
      </c>
      <c r="G1871" s="137">
        <v>1395397986001</v>
      </c>
      <c r="H1871" s="138" t="s">
        <v>6454</v>
      </c>
      <c r="I1871" s="136">
        <v>951500103</v>
      </c>
      <c r="J1871" s="131" t="s">
        <v>2886</v>
      </c>
      <c r="K1871" s="139">
        <v>23320</v>
      </c>
    </row>
    <row r="1872" spans="1:11">
      <c r="A1872" s="1" t="str">
        <f t="shared" si="29"/>
        <v>15100-26920395-95150013324160</v>
      </c>
      <c r="B1872" s="136" t="s">
        <v>2840</v>
      </c>
      <c r="C1872" s="136" t="s">
        <v>10786</v>
      </c>
      <c r="D1872" s="132" t="s">
        <v>3420</v>
      </c>
      <c r="E1872" s="136" t="s">
        <v>2859</v>
      </c>
      <c r="F1872" s="136" t="s">
        <v>2859</v>
      </c>
      <c r="G1872" s="137">
        <v>1395397986001</v>
      </c>
      <c r="H1872" s="138" t="s">
        <v>6454</v>
      </c>
      <c r="I1872" s="136">
        <v>951500133</v>
      </c>
      <c r="J1872" s="131" t="s">
        <v>2872</v>
      </c>
      <c r="K1872" s="139">
        <v>24160</v>
      </c>
    </row>
    <row r="1873" spans="1:11">
      <c r="A1873" s="1" t="str">
        <f t="shared" si="29"/>
        <v>15100-26970794-941500844126660</v>
      </c>
      <c r="B1873" s="136" t="s">
        <v>10787</v>
      </c>
      <c r="C1873" s="136" t="s">
        <v>10788</v>
      </c>
      <c r="D1873" s="132" t="s">
        <v>3420</v>
      </c>
      <c r="E1873" s="136" t="s">
        <v>2852</v>
      </c>
      <c r="F1873" s="136" t="s">
        <v>2852</v>
      </c>
      <c r="G1873" s="137">
        <v>1394395844001</v>
      </c>
      <c r="H1873" s="138" t="s">
        <v>6298</v>
      </c>
      <c r="I1873" s="136">
        <v>941500844</v>
      </c>
      <c r="J1873" s="131" t="s">
        <v>2883</v>
      </c>
      <c r="K1873" s="139">
        <v>126660</v>
      </c>
    </row>
    <row r="1874" spans="1:11">
      <c r="A1874" s="1" t="str">
        <f t="shared" si="29"/>
        <v>50100-725683295-951500077126255</v>
      </c>
      <c r="B1874" s="136" t="s">
        <v>2957</v>
      </c>
      <c r="C1874" s="136" t="s">
        <v>10760</v>
      </c>
      <c r="D1874" s="132" t="s">
        <v>3420</v>
      </c>
      <c r="E1874" s="136" t="s">
        <v>2869</v>
      </c>
      <c r="F1874" s="136" t="s">
        <v>2869</v>
      </c>
      <c r="G1874" s="137">
        <v>1394395845001</v>
      </c>
      <c r="H1874" s="138" t="s">
        <v>6453</v>
      </c>
      <c r="I1874" s="136">
        <v>951500077</v>
      </c>
      <c r="J1874" s="131" t="s">
        <v>3128</v>
      </c>
      <c r="K1874" s="139">
        <v>126255</v>
      </c>
    </row>
    <row r="1875" spans="1:11">
      <c r="A1875" s="1" t="str">
        <f t="shared" si="29"/>
        <v>50100-720959895-951500042402537</v>
      </c>
      <c r="B1875" s="136" t="s">
        <v>2726</v>
      </c>
      <c r="C1875" s="136" t="s">
        <v>10846</v>
      </c>
      <c r="D1875" s="132" t="s">
        <v>3420</v>
      </c>
      <c r="E1875" s="136" t="s">
        <v>2758</v>
      </c>
      <c r="F1875" s="136" t="s">
        <v>2758</v>
      </c>
      <c r="G1875" s="137">
        <v>1394395845001</v>
      </c>
      <c r="H1875" s="138" t="s">
        <v>6453</v>
      </c>
      <c r="I1875" s="136">
        <v>951500042</v>
      </c>
      <c r="J1875" s="131" t="s">
        <v>2798</v>
      </c>
      <c r="K1875" s="139">
        <v>402537</v>
      </c>
    </row>
    <row r="1876" spans="1:11">
      <c r="A1876" s="1" t="str">
        <f t="shared" si="29"/>
        <v>50100-715035894-9415008361000000</v>
      </c>
      <c r="B1876" s="136" t="s">
        <v>11461</v>
      </c>
      <c r="C1876" s="136" t="s">
        <v>11462</v>
      </c>
      <c r="D1876" s="132" t="s">
        <v>3420</v>
      </c>
      <c r="E1876" s="136" t="s">
        <v>2619</v>
      </c>
      <c r="F1876" s="136" t="s">
        <v>2619</v>
      </c>
      <c r="G1876" s="137">
        <v>1394395844001</v>
      </c>
      <c r="H1876" s="138" t="s">
        <v>6298</v>
      </c>
      <c r="I1876" s="136">
        <v>941500836</v>
      </c>
      <c r="J1876" s="131" t="s">
        <v>2653</v>
      </c>
      <c r="K1876" s="139">
        <v>1000000</v>
      </c>
    </row>
    <row r="1877" spans="1:11">
      <c r="A1877" s="1" t="str">
        <f t="shared" si="29"/>
        <v>50100-835061595-951500447601260</v>
      </c>
      <c r="B1877" s="136" t="s">
        <v>4631</v>
      </c>
      <c r="C1877" s="136" t="s">
        <v>11463</v>
      </c>
      <c r="D1877" s="132" t="s">
        <v>3420</v>
      </c>
      <c r="E1877" s="136" t="s">
        <v>4662</v>
      </c>
      <c r="F1877" s="141" t="s">
        <v>4662</v>
      </c>
      <c r="G1877" s="137">
        <v>1395449243001</v>
      </c>
      <c r="H1877" s="140" t="s">
        <v>9897</v>
      </c>
      <c r="I1877" s="141">
        <v>951500447</v>
      </c>
      <c r="J1877" s="131" t="s">
        <v>4231</v>
      </c>
      <c r="K1877" s="139">
        <v>601260</v>
      </c>
    </row>
    <row r="1878" spans="1:11">
      <c r="A1878" s="1" t="str">
        <f t="shared" si="29"/>
        <v>50100-843306895-951500494139980</v>
      </c>
      <c r="B1878" s="136" t="s">
        <v>4819</v>
      </c>
      <c r="C1878" s="136" t="s">
        <v>11179</v>
      </c>
      <c r="D1878" s="132" t="s">
        <v>3420</v>
      </c>
      <c r="E1878" s="136" t="s">
        <v>4872</v>
      </c>
      <c r="F1878" s="136" t="s">
        <v>4872</v>
      </c>
      <c r="G1878" s="137">
        <v>1395449892001</v>
      </c>
      <c r="H1878" s="138" t="s">
        <v>6454</v>
      </c>
      <c r="I1878" s="136">
        <v>951500494</v>
      </c>
      <c r="J1878" s="131" t="s">
        <v>4920</v>
      </c>
      <c r="K1878" s="139">
        <v>139980</v>
      </c>
    </row>
    <row r="1879" spans="1:11">
      <c r="A1879" s="1" t="str">
        <f t="shared" si="29"/>
        <v>50100-786378595-951500253140000</v>
      </c>
      <c r="B1879" s="136" t="s">
        <v>3695</v>
      </c>
      <c r="C1879" s="136" t="s">
        <v>11464</v>
      </c>
      <c r="D1879" s="132" t="s">
        <v>3420</v>
      </c>
      <c r="E1879" s="136" t="s">
        <v>3662</v>
      </c>
      <c r="F1879" s="136" t="s">
        <v>3662</v>
      </c>
      <c r="G1879" s="137">
        <v>1395427836001</v>
      </c>
      <c r="H1879" s="138" t="s">
        <v>6298</v>
      </c>
      <c r="I1879" s="136">
        <v>951500253</v>
      </c>
      <c r="J1879" s="131" t="s">
        <v>3740</v>
      </c>
      <c r="K1879" s="139">
        <v>140000</v>
      </c>
    </row>
    <row r="1880" spans="1:11">
      <c r="A1880" s="1" t="str">
        <f t="shared" si="29"/>
        <v>50100-786986695-951500271496690</v>
      </c>
      <c r="B1880" s="136" t="s">
        <v>3689</v>
      </c>
      <c r="C1880" s="136" t="s">
        <v>10831</v>
      </c>
      <c r="D1880" s="132" t="s">
        <v>3420</v>
      </c>
      <c r="E1880" s="136" t="s">
        <v>3714</v>
      </c>
      <c r="F1880" s="136" t="s">
        <v>3714</v>
      </c>
      <c r="G1880" s="137">
        <v>1395427837001</v>
      </c>
      <c r="H1880" s="138" t="s">
        <v>6300</v>
      </c>
      <c r="I1880" s="136">
        <v>951500271</v>
      </c>
      <c r="J1880" s="131" t="s">
        <v>3741</v>
      </c>
      <c r="K1880" s="139">
        <v>496690</v>
      </c>
    </row>
    <row r="1881" spans="1:11">
      <c r="A1881" s="1" t="str">
        <f t="shared" si="29"/>
        <v>15100-32889995-95150024937627</v>
      </c>
      <c r="B1881" s="136" t="s">
        <v>3609</v>
      </c>
      <c r="C1881" s="136" t="s">
        <v>10776</v>
      </c>
      <c r="D1881" s="132" t="s">
        <v>3420</v>
      </c>
      <c r="E1881" s="136" t="s">
        <v>3665</v>
      </c>
      <c r="F1881" s="136" t="s">
        <v>3665</v>
      </c>
      <c r="G1881" s="137">
        <v>1395427836001</v>
      </c>
      <c r="H1881" s="138" t="s">
        <v>6298</v>
      </c>
      <c r="I1881" s="136">
        <v>951500249</v>
      </c>
      <c r="J1881" s="131" t="s">
        <v>3658</v>
      </c>
      <c r="K1881" s="139">
        <v>37627</v>
      </c>
    </row>
    <row r="1882" spans="1:11">
      <c r="A1882" s="1" t="str">
        <f t="shared" si="29"/>
        <v>15100-32963395-95150024913393</v>
      </c>
      <c r="B1882" s="136" t="s">
        <v>3610</v>
      </c>
      <c r="C1882" s="136" t="s">
        <v>10812</v>
      </c>
      <c r="D1882" s="132" t="s">
        <v>3420</v>
      </c>
      <c r="E1882" s="136" t="s">
        <v>3668</v>
      </c>
      <c r="F1882" s="136" t="s">
        <v>3668</v>
      </c>
      <c r="G1882" s="137">
        <v>1395427836001</v>
      </c>
      <c r="H1882" s="138" t="s">
        <v>6298</v>
      </c>
      <c r="I1882" s="136">
        <v>951500249</v>
      </c>
      <c r="J1882" s="131" t="s">
        <v>3658</v>
      </c>
      <c r="K1882" s="139">
        <v>13393</v>
      </c>
    </row>
    <row r="1883" spans="1:11">
      <c r="A1883" s="1" t="str">
        <f t="shared" si="29"/>
        <v>15100-38139095-95150057071780</v>
      </c>
      <c r="B1883" s="136" t="s">
        <v>4642</v>
      </c>
      <c r="C1883" s="136" t="s">
        <v>11465</v>
      </c>
      <c r="D1883" s="132" t="s">
        <v>3420</v>
      </c>
      <c r="E1883" s="136" t="s">
        <v>4664</v>
      </c>
      <c r="F1883" s="136" t="s">
        <v>4664</v>
      </c>
      <c r="G1883" s="137">
        <v>1395449238001</v>
      </c>
      <c r="H1883" s="138" t="s">
        <v>6299</v>
      </c>
      <c r="I1883" s="136">
        <v>951500570</v>
      </c>
      <c r="J1883" s="131" t="s">
        <v>4701</v>
      </c>
      <c r="K1883" s="139">
        <v>71780</v>
      </c>
    </row>
    <row r="1884" spans="1:11">
      <c r="A1884" s="1" t="str">
        <f t="shared" si="29"/>
        <v>15100-38298295-951500295650</v>
      </c>
      <c r="B1884" s="136" t="s">
        <v>4750</v>
      </c>
      <c r="C1884" s="136" t="s">
        <v>10849</v>
      </c>
      <c r="D1884" s="132" t="s">
        <v>3420</v>
      </c>
      <c r="E1884" s="136" t="s">
        <v>4719</v>
      </c>
      <c r="F1884" s="136" t="s">
        <v>4719</v>
      </c>
      <c r="G1884" s="137">
        <v>1395438159001</v>
      </c>
      <c r="H1884" s="138" t="s">
        <v>6298</v>
      </c>
      <c r="I1884" s="136">
        <v>951500295</v>
      </c>
      <c r="J1884" s="131" t="s">
        <v>4286</v>
      </c>
      <c r="K1884" s="139">
        <v>650</v>
      </c>
    </row>
    <row r="1885" spans="1:11">
      <c r="A1885" s="1" t="str">
        <f t="shared" si="29"/>
        <v>15100-35473695-95150045327920</v>
      </c>
      <c r="B1885" s="136" t="s">
        <v>4147</v>
      </c>
      <c r="C1885" s="136" t="s">
        <v>10785</v>
      </c>
      <c r="D1885" s="132" t="s">
        <v>3420</v>
      </c>
      <c r="E1885" s="136" t="s">
        <v>4176</v>
      </c>
      <c r="F1885" s="136" t="s">
        <v>4176</v>
      </c>
      <c r="G1885" s="137">
        <v>1395449234001</v>
      </c>
      <c r="H1885" s="138" t="s">
        <v>6299</v>
      </c>
      <c r="I1885" s="136">
        <v>951500453</v>
      </c>
      <c r="J1885" s="131" t="s">
        <v>3981</v>
      </c>
      <c r="K1885" s="139">
        <v>27920</v>
      </c>
    </row>
    <row r="1886" spans="1:11">
      <c r="A1886" s="1" t="str">
        <f t="shared" si="29"/>
        <v>15100-34718295-951500295149730</v>
      </c>
      <c r="B1886" s="136" t="s">
        <v>4148</v>
      </c>
      <c r="C1886" s="136" t="s">
        <v>11466</v>
      </c>
      <c r="D1886" s="132" t="s">
        <v>3420</v>
      </c>
      <c r="E1886" s="136" t="s">
        <v>3902</v>
      </c>
      <c r="F1886" s="136" t="s">
        <v>3902</v>
      </c>
      <c r="G1886" s="137">
        <v>1395438159001</v>
      </c>
      <c r="H1886" s="138" t="s">
        <v>6298</v>
      </c>
      <c r="I1886" s="136">
        <v>951500295</v>
      </c>
      <c r="J1886" s="131" t="s">
        <v>4286</v>
      </c>
      <c r="K1886" s="139">
        <v>149730</v>
      </c>
    </row>
    <row r="1887" spans="1:11">
      <c r="A1887" s="1" t="str">
        <f t="shared" si="29"/>
        <v>15100-28486594-94150084473830</v>
      </c>
      <c r="B1887" s="136" t="s">
        <v>10778</v>
      </c>
      <c r="C1887" s="136" t="s">
        <v>10779</v>
      </c>
      <c r="D1887" s="132" t="s">
        <v>3420</v>
      </c>
      <c r="E1887" s="136" t="s">
        <v>3164</v>
      </c>
      <c r="F1887" s="136" t="s">
        <v>3164</v>
      </c>
      <c r="G1887" s="137">
        <v>1394395844001</v>
      </c>
      <c r="H1887" s="138" t="s">
        <v>6298</v>
      </c>
      <c r="I1887" s="136">
        <v>941500844</v>
      </c>
      <c r="J1887" s="131" t="s">
        <v>2883</v>
      </c>
      <c r="K1887" s="139">
        <v>73830</v>
      </c>
    </row>
    <row r="1888" spans="1:11">
      <c r="A1888" s="1" t="str">
        <f t="shared" si="29"/>
        <v>15100-36981395-95150045771570</v>
      </c>
      <c r="B1888" s="136" t="s">
        <v>4384</v>
      </c>
      <c r="C1888" s="136" t="s">
        <v>11467</v>
      </c>
      <c r="D1888" s="132" t="s">
        <v>3420</v>
      </c>
      <c r="E1888" s="136" t="s">
        <v>4436</v>
      </c>
      <c r="F1888" s="136" t="s">
        <v>4436</v>
      </c>
      <c r="G1888" s="137">
        <v>1395441450001</v>
      </c>
      <c r="H1888" s="138" t="s">
        <v>6300</v>
      </c>
      <c r="I1888" s="136">
        <v>951500457</v>
      </c>
      <c r="J1888" s="131" t="s">
        <v>4357</v>
      </c>
      <c r="K1888" s="139">
        <v>71570</v>
      </c>
    </row>
    <row r="1889" spans="1:11">
      <c r="A1889" s="1" t="str">
        <f t="shared" si="29"/>
        <v>50100-854853496-962500005490003</v>
      </c>
      <c r="B1889" s="136" t="s">
        <v>4989</v>
      </c>
      <c r="C1889" s="136" t="s">
        <v>8951</v>
      </c>
      <c r="D1889" s="132" t="s">
        <v>4971</v>
      </c>
      <c r="E1889" s="136" t="s">
        <v>5012</v>
      </c>
      <c r="F1889" s="136" t="s">
        <v>5012</v>
      </c>
      <c r="G1889" s="137">
        <v>1396471679001</v>
      </c>
      <c r="H1889" s="138" t="s">
        <v>6453</v>
      </c>
      <c r="I1889" s="136">
        <v>962500005</v>
      </c>
      <c r="J1889" s="131" t="s">
        <v>5031</v>
      </c>
      <c r="K1889" s="139">
        <v>490003</v>
      </c>
    </row>
    <row r="1890" spans="1:11">
      <c r="A1890" s="1" t="str">
        <f t="shared" si="29"/>
        <v>15100-28130894-94150084474490</v>
      </c>
      <c r="B1890" s="136" t="s">
        <v>10892</v>
      </c>
      <c r="C1890" s="136" t="s">
        <v>10893</v>
      </c>
      <c r="D1890" s="132" t="s">
        <v>3420</v>
      </c>
      <c r="E1890" s="136" t="s">
        <v>3207</v>
      </c>
      <c r="F1890" s="136" t="s">
        <v>3207</v>
      </c>
      <c r="G1890" s="137">
        <v>1394395844001</v>
      </c>
      <c r="H1890" s="138" t="s">
        <v>6298</v>
      </c>
      <c r="I1890" s="136">
        <v>941500844</v>
      </c>
      <c r="J1890" s="131" t="s">
        <v>2883</v>
      </c>
      <c r="K1890" s="139">
        <v>74490</v>
      </c>
    </row>
    <row r="1891" spans="1:11">
      <c r="A1891" s="1" t="str">
        <f t="shared" si="29"/>
        <v>15100-28189695-95150016319810</v>
      </c>
      <c r="B1891" s="136" t="s">
        <v>3201</v>
      </c>
      <c r="C1891" s="136" t="s">
        <v>10867</v>
      </c>
      <c r="D1891" s="132" t="s">
        <v>3420</v>
      </c>
      <c r="E1891" s="136" t="s">
        <v>3165</v>
      </c>
      <c r="F1891" s="136" t="s">
        <v>3165</v>
      </c>
      <c r="G1891" s="137">
        <v>1395401420001</v>
      </c>
      <c r="H1891" s="138" t="s">
        <v>6298</v>
      </c>
      <c r="I1891" s="136">
        <v>951500163</v>
      </c>
      <c r="J1891" s="131" t="s">
        <v>2890</v>
      </c>
      <c r="K1891" s="139">
        <v>19810</v>
      </c>
    </row>
    <row r="1892" spans="1:11">
      <c r="A1892" s="1" t="str">
        <f t="shared" si="29"/>
        <v>15100-33353095-95150027824800</v>
      </c>
      <c r="B1892" s="136" t="s">
        <v>3800</v>
      </c>
      <c r="C1892" s="136" t="s">
        <v>11468</v>
      </c>
      <c r="D1892" s="132" t="s">
        <v>3420</v>
      </c>
      <c r="E1892" s="136" t="s">
        <v>3722</v>
      </c>
      <c r="F1892" s="136" t="s">
        <v>3722</v>
      </c>
      <c r="G1892" s="137">
        <v>1395436005001</v>
      </c>
      <c r="H1892" s="138" t="s">
        <v>6298</v>
      </c>
      <c r="I1892" s="136">
        <v>951500278</v>
      </c>
      <c r="J1892" s="131" t="s">
        <v>3850</v>
      </c>
      <c r="K1892" s="139">
        <v>24800</v>
      </c>
    </row>
    <row r="1893" spans="1:11">
      <c r="A1893" s="1" t="str">
        <f t="shared" si="29"/>
        <v>15100-33353095-95150028766940</v>
      </c>
      <c r="B1893" s="136" t="s">
        <v>3800</v>
      </c>
      <c r="C1893" s="136" t="s">
        <v>11468</v>
      </c>
      <c r="D1893" s="132" t="s">
        <v>3420</v>
      </c>
      <c r="E1893" s="136" t="s">
        <v>3722</v>
      </c>
      <c r="F1893" s="136" t="s">
        <v>3722</v>
      </c>
      <c r="G1893" s="137">
        <v>1395435640001</v>
      </c>
      <c r="H1893" s="138" t="s">
        <v>6299</v>
      </c>
      <c r="I1893" s="136">
        <v>951500287</v>
      </c>
      <c r="J1893" s="131" t="s">
        <v>3649</v>
      </c>
      <c r="K1893" s="139">
        <v>66940</v>
      </c>
    </row>
    <row r="1894" spans="1:11">
      <c r="A1894" s="1" t="str">
        <f t="shared" si="29"/>
        <v>15100-26087795-951500103116900</v>
      </c>
      <c r="B1894" s="136" t="s">
        <v>2839</v>
      </c>
      <c r="C1894" s="136" t="s">
        <v>11469</v>
      </c>
      <c r="D1894" s="132" t="s">
        <v>3420</v>
      </c>
      <c r="E1894" s="136" t="s">
        <v>2758</v>
      </c>
      <c r="F1894" s="136" t="s">
        <v>2758</v>
      </c>
      <c r="G1894" s="137">
        <v>1395397986001</v>
      </c>
      <c r="H1894" s="138" t="s">
        <v>6454</v>
      </c>
      <c r="I1894" s="136">
        <v>951500103</v>
      </c>
      <c r="J1894" s="131" t="s">
        <v>2886</v>
      </c>
      <c r="K1894" s="139">
        <v>116900</v>
      </c>
    </row>
    <row r="1895" spans="1:11">
      <c r="A1895" s="1" t="str">
        <f t="shared" si="29"/>
        <v>15100-31767794-9415001962000</v>
      </c>
      <c r="B1895" s="136" t="s">
        <v>3427</v>
      </c>
      <c r="C1895" s="136" t="s">
        <v>11195</v>
      </c>
      <c r="D1895" s="132" t="s">
        <v>3420</v>
      </c>
      <c r="E1895" s="136" t="s">
        <v>3455</v>
      </c>
      <c r="F1895" s="136" t="s">
        <v>3455</v>
      </c>
      <c r="G1895" s="137">
        <v>1394347414001</v>
      </c>
      <c r="H1895" s="138" t="s">
        <v>6298</v>
      </c>
      <c r="I1895" s="136">
        <v>941500196</v>
      </c>
      <c r="J1895" s="131" t="s">
        <v>1912</v>
      </c>
      <c r="K1895" s="139">
        <v>2000</v>
      </c>
    </row>
    <row r="1896" spans="1:11">
      <c r="A1896" s="1" t="str">
        <f t="shared" si="29"/>
        <v>15100-26976495-95150010325000</v>
      </c>
      <c r="B1896" s="136" t="s">
        <v>2841</v>
      </c>
      <c r="C1896" s="136" t="s">
        <v>11196</v>
      </c>
      <c r="D1896" s="132" t="s">
        <v>3420</v>
      </c>
      <c r="E1896" s="136" t="s">
        <v>2852</v>
      </c>
      <c r="F1896" s="136" t="s">
        <v>2852</v>
      </c>
      <c r="G1896" s="137">
        <v>1395397986001</v>
      </c>
      <c r="H1896" s="138" t="s">
        <v>6454</v>
      </c>
      <c r="I1896" s="136">
        <v>951500103</v>
      </c>
      <c r="J1896" s="131" t="s">
        <v>2886</v>
      </c>
      <c r="K1896" s="139">
        <v>25000</v>
      </c>
    </row>
    <row r="1897" spans="1:11">
      <c r="A1897" s="1" t="str">
        <f t="shared" si="29"/>
        <v>15100-27141995-95150013324580</v>
      </c>
      <c r="B1897" s="136" t="s">
        <v>2842</v>
      </c>
      <c r="C1897" s="136" t="s">
        <v>11197</v>
      </c>
      <c r="D1897" s="132" t="s">
        <v>3420</v>
      </c>
      <c r="E1897" s="136" t="s">
        <v>2865</v>
      </c>
      <c r="F1897" s="136" t="s">
        <v>2865</v>
      </c>
      <c r="G1897" s="137">
        <v>1395397986001</v>
      </c>
      <c r="H1897" s="138" t="s">
        <v>6454</v>
      </c>
      <c r="I1897" s="136">
        <v>951500133</v>
      </c>
      <c r="J1897" s="131" t="s">
        <v>2872</v>
      </c>
      <c r="K1897" s="139">
        <v>24580</v>
      </c>
    </row>
    <row r="1898" spans="1:11">
      <c r="A1898" s="1" t="str">
        <f t="shared" si="29"/>
        <v>15100-33006595-95150024335040</v>
      </c>
      <c r="B1898" s="136" t="s">
        <v>3598</v>
      </c>
      <c r="C1898" s="136" t="s">
        <v>11167</v>
      </c>
      <c r="D1898" s="132" t="s">
        <v>3420</v>
      </c>
      <c r="E1898" s="136" t="s">
        <v>10454</v>
      </c>
      <c r="F1898" s="136" t="s">
        <v>10454</v>
      </c>
      <c r="G1898" s="137">
        <v>1395427836001</v>
      </c>
      <c r="H1898" s="138" t="s">
        <v>6298</v>
      </c>
      <c r="I1898" s="136">
        <v>951500243</v>
      </c>
      <c r="J1898" s="131" t="s">
        <v>3648</v>
      </c>
      <c r="K1898" s="139">
        <v>35040</v>
      </c>
    </row>
    <row r="1899" spans="1:11">
      <c r="A1899" s="1" t="str">
        <f t="shared" si="29"/>
        <v>15100-33257895-95150028790360</v>
      </c>
      <c r="B1899" s="136" t="s">
        <v>3599</v>
      </c>
      <c r="C1899" s="136" t="s">
        <v>11470</v>
      </c>
      <c r="D1899" s="132" t="s">
        <v>3420</v>
      </c>
      <c r="E1899" s="136" t="s">
        <v>3966</v>
      </c>
      <c r="F1899" s="136" t="s">
        <v>3966</v>
      </c>
      <c r="G1899" s="137">
        <v>1395435640001</v>
      </c>
      <c r="H1899" s="138" t="s">
        <v>6299</v>
      </c>
      <c r="I1899" s="136">
        <v>951500287</v>
      </c>
      <c r="J1899" s="131" t="s">
        <v>3649</v>
      </c>
      <c r="K1899" s="139">
        <v>90360</v>
      </c>
    </row>
    <row r="1900" spans="1:11">
      <c r="A1900" s="1" t="str">
        <f t="shared" si="29"/>
        <v>15100-35660995-951500408120400</v>
      </c>
      <c r="B1900" s="136" t="s">
        <v>4128</v>
      </c>
      <c r="C1900" s="136" t="s">
        <v>11471</v>
      </c>
      <c r="D1900" s="132" t="s">
        <v>3420</v>
      </c>
      <c r="E1900" s="136" t="s">
        <v>4179</v>
      </c>
      <c r="F1900" s="136" t="s">
        <v>4179</v>
      </c>
      <c r="G1900" s="137">
        <v>1395445412001</v>
      </c>
      <c r="H1900" s="138" t="s">
        <v>6298</v>
      </c>
      <c r="I1900" s="136">
        <v>951500408</v>
      </c>
      <c r="J1900" s="131" t="s">
        <v>4293</v>
      </c>
      <c r="K1900" s="139">
        <v>120400</v>
      </c>
    </row>
    <row r="1901" spans="1:11">
      <c r="A1901" s="1" t="str">
        <f t="shared" si="29"/>
        <v>15100-36296495-95150045718710</v>
      </c>
      <c r="B1901" s="136" t="s">
        <v>4330</v>
      </c>
      <c r="C1901" s="136" t="s">
        <v>11203</v>
      </c>
      <c r="D1901" s="132" t="s">
        <v>3420</v>
      </c>
      <c r="E1901" s="136" t="s">
        <v>4167</v>
      </c>
      <c r="F1901" s="136" t="s">
        <v>4167</v>
      </c>
      <c r="G1901" s="137">
        <v>1395441450001</v>
      </c>
      <c r="H1901" s="138" t="s">
        <v>6300</v>
      </c>
      <c r="I1901" s="136">
        <v>951500457</v>
      </c>
      <c r="J1901" s="131" t="s">
        <v>4357</v>
      </c>
      <c r="K1901" s="139">
        <v>18710</v>
      </c>
    </row>
    <row r="1902" spans="1:11">
      <c r="A1902" s="1" t="str">
        <f t="shared" si="29"/>
        <v>15100-25508994-94150081074820</v>
      </c>
      <c r="B1902" s="136" t="s">
        <v>11472</v>
      </c>
      <c r="C1902" s="136" t="s">
        <v>11473</v>
      </c>
      <c r="D1902" s="132" t="s">
        <v>3420</v>
      </c>
      <c r="E1902" s="136" t="s">
        <v>2609</v>
      </c>
      <c r="F1902" s="136" t="s">
        <v>2609</v>
      </c>
      <c r="G1902" s="137">
        <v>1394394802001</v>
      </c>
      <c r="H1902" s="138" t="s">
        <v>6298</v>
      </c>
      <c r="I1902" s="136">
        <v>941500810</v>
      </c>
      <c r="J1902" s="131" t="s">
        <v>2775</v>
      </c>
      <c r="K1902" s="139">
        <v>74820</v>
      </c>
    </row>
    <row r="1903" spans="1:11">
      <c r="A1903" s="1" t="str">
        <f t="shared" si="29"/>
        <v>15100-39168695-95150029524270</v>
      </c>
      <c r="B1903" s="136" t="s">
        <v>4836</v>
      </c>
      <c r="C1903" s="136" t="s">
        <v>11202</v>
      </c>
      <c r="D1903" s="132" t="s">
        <v>3420</v>
      </c>
      <c r="E1903" s="136" t="s">
        <v>4877</v>
      </c>
      <c r="F1903" s="136" t="s">
        <v>4877</v>
      </c>
      <c r="G1903" s="137">
        <v>1395438159001</v>
      </c>
      <c r="H1903" s="138" t="s">
        <v>6298</v>
      </c>
      <c r="I1903" s="136">
        <v>951500295</v>
      </c>
      <c r="J1903" s="131" t="s">
        <v>4286</v>
      </c>
      <c r="K1903" s="139">
        <v>24270</v>
      </c>
    </row>
    <row r="1904" spans="1:11">
      <c r="A1904" s="1" t="str">
        <f t="shared" si="29"/>
        <v>50100-722957095-951500070397370</v>
      </c>
      <c r="B1904" s="136" t="s">
        <v>3000</v>
      </c>
      <c r="C1904" s="136" t="s">
        <v>11474</v>
      </c>
      <c r="D1904" s="132" t="s">
        <v>3420</v>
      </c>
      <c r="E1904" s="136" t="s">
        <v>2862</v>
      </c>
      <c r="F1904" s="136" t="s">
        <v>2862</v>
      </c>
      <c r="G1904" s="137">
        <v>1394395845001</v>
      </c>
      <c r="H1904" s="138" t="s">
        <v>6453</v>
      </c>
      <c r="I1904" s="136">
        <v>951500070</v>
      </c>
      <c r="J1904" s="131" t="s">
        <v>2810</v>
      </c>
      <c r="K1904" s="139">
        <v>397370</v>
      </c>
    </row>
    <row r="1905" spans="1:11">
      <c r="A1905" s="1" t="str">
        <f t="shared" si="29"/>
        <v>15100-28132394-941500844116060</v>
      </c>
      <c r="B1905" s="136" t="s">
        <v>11475</v>
      </c>
      <c r="C1905" s="136" t="s">
        <v>11476</v>
      </c>
      <c r="D1905" s="132" t="s">
        <v>3420</v>
      </c>
      <c r="E1905" s="136" t="s">
        <v>3207</v>
      </c>
      <c r="F1905" s="136" t="s">
        <v>3207</v>
      </c>
      <c r="G1905" s="137">
        <v>1394395844001</v>
      </c>
      <c r="H1905" s="138" t="s">
        <v>6298</v>
      </c>
      <c r="I1905" s="136">
        <v>941500844</v>
      </c>
      <c r="J1905" s="131" t="s">
        <v>2883</v>
      </c>
      <c r="K1905" s="139">
        <v>116060</v>
      </c>
    </row>
    <row r="1906" spans="1:11">
      <c r="A1906" s="1" t="str">
        <f t="shared" si="29"/>
        <v>15100-30028394-941500775258185</v>
      </c>
      <c r="B1906" s="136" t="s">
        <v>3368</v>
      </c>
      <c r="C1906" s="136" t="s">
        <v>10885</v>
      </c>
      <c r="D1906" s="132" t="s">
        <v>3420</v>
      </c>
      <c r="E1906" s="136" t="s">
        <v>3373</v>
      </c>
      <c r="F1906" s="136" t="s">
        <v>3373</v>
      </c>
      <c r="G1906" s="137">
        <v>1394394178001</v>
      </c>
      <c r="H1906" s="138" t="s">
        <v>6298</v>
      </c>
      <c r="I1906" s="136">
        <v>941500775</v>
      </c>
      <c r="J1906" s="131" t="s">
        <v>3058</v>
      </c>
      <c r="K1906" s="139">
        <v>258185</v>
      </c>
    </row>
    <row r="1907" spans="1:11">
      <c r="A1907" s="1" t="str">
        <f t="shared" si="29"/>
        <v>15100-35901895-951500486136740</v>
      </c>
      <c r="B1907" s="136" t="s">
        <v>4316</v>
      </c>
      <c r="C1907" s="136" t="s">
        <v>10912</v>
      </c>
      <c r="D1907" s="132" t="s">
        <v>3420</v>
      </c>
      <c r="E1907" s="136" t="s">
        <v>3967</v>
      </c>
      <c r="F1907" s="136" t="s">
        <v>3967</v>
      </c>
      <c r="G1907" s="137">
        <v>1395449236001</v>
      </c>
      <c r="H1907" s="138" t="s">
        <v>6298</v>
      </c>
      <c r="I1907" s="136">
        <v>951500486</v>
      </c>
      <c r="J1907" s="131" t="s">
        <v>4349</v>
      </c>
      <c r="K1907" s="139">
        <v>136740</v>
      </c>
    </row>
    <row r="1908" spans="1:11">
      <c r="A1908" s="1" t="str">
        <f t="shared" si="29"/>
        <v>15100-35351095-951500433124250</v>
      </c>
      <c r="B1908" s="136" t="s">
        <v>4120</v>
      </c>
      <c r="C1908" s="136" t="s">
        <v>11477</v>
      </c>
      <c r="D1908" s="132" t="s">
        <v>3420</v>
      </c>
      <c r="E1908" s="136" t="s">
        <v>4186</v>
      </c>
      <c r="F1908" s="136" t="s">
        <v>4186</v>
      </c>
      <c r="G1908" s="137">
        <v>1395441450001</v>
      </c>
      <c r="H1908" s="138" t="s">
        <v>6300</v>
      </c>
      <c r="I1908" s="136">
        <v>951500433</v>
      </c>
      <c r="J1908" s="131" t="s">
        <v>4275</v>
      </c>
      <c r="K1908" s="139">
        <v>124250</v>
      </c>
    </row>
    <row r="1909" spans="1:11">
      <c r="A1909" s="1" t="str">
        <f t="shared" si="29"/>
        <v>15100-35351695-95150043338285</v>
      </c>
      <c r="B1909" s="136" t="s">
        <v>4115</v>
      </c>
      <c r="C1909" s="136" t="s">
        <v>10890</v>
      </c>
      <c r="D1909" s="132" t="s">
        <v>3420</v>
      </c>
      <c r="E1909" s="136" t="s">
        <v>4186</v>
      </c>
      <c r="F1909" s="136" t="s">
        <v>4186</v>
      </c>
      <c r="G1909" s="137">
        <v>1395441450001</v>
      </c>
      <c r="H1909" s="138" t="s">
        <v>6300</v>
      </c>
      <c r="I1909" s="136">
        <v>951500433</v>
      </c>
      <c r="J1909" s="131" t="s">
        <v>4275</v>
      </c>
      <c r="K1909" s="139">
        <v>38285</v>
      </c>
    </row>
    <row r="1910" spans="1:11">
      <c r="A1910" s="1" t="str">
        <f t="shared" si="29"/>
        <v>15100-33001895-95150024370580</v>
      </c>
      <c r="B1910" s="136" t="s">
        <v>3627</v>
      </c>
      <c r="C1910" s="136" t="s">
        <v>11478</v>
      </c>
      <c r="D1910" s="132" t="s">
        <v>3420</v>
      </c>
      <c r="E1910" s="136" t="s">
        <v>10454</v>
      </c>
      <c r="F1910" s="136" t="s">
        <v>10454</v>
      </c>
      <c r="G1910" s="137">
        <v>1395427836001</v>
      </c>
      <c r="H1910" s="138" t="s">
        <v>6298</v>
      </c>
      <c r="I1910" s="136">
        <v>951500243</v>
      </c>
      <c r="J1910" s="131" t="s">
        <v>3648</v>
      </c>
      <c r="K1910" s="139">
        <v>70580</v>
      </c>
    </row>
    <row r="1911" spans="1:11">
      <c r="A1911" s="1" t="str">
        <f t="shared" si="29"/>
        <v>15100-35659495-9515004084960</v>
      </c>
      <c r="B1911" s="136" t="s">
        <v>4117</v>
      </c>
      <c r="C1911" s="136" t="s">
        <v>10941</v>
      </c>
      <c r="D1911" s="132" t="s">
        <v>3420</v>
      </c>
      <c r="E1911" s="136" t="s">
        <v>4179</v>
      </c>
      <c r="F1911" s="136" t="s">
        <v>4179</v>
      </c>
      <c r="G1911" s="137">
        <v>1395445412001</v>
      </c>
      <c r="H1911" s="138" t="s">
        <v>6298</v>
      </c>
      <c r="I1911" s="136">
        <v>951500408</v>
      </c>
      <c r="J1911" s="131" t="s">
        <v>4293</v>
      </c>
      <c r="K1911" s="139">
        <v>4960</v>
      </c>
    </row>
    <row r="1912" spans="1:11">
      <c r="A1912" s="1" t="str">
        <f t="shared" si="29"/>
        <v>15100-34833195-95150029546600</v>
      </c>
      <c r="B1912" s="136" t="s">
        <v>4121</v>
      </c>
      <c r="C1912" s="136" t="s">
        <v>10947</v>
      </c>
      <c r="D1912" s="132" t="s">
        <v>3420</v>
      </c>
      <c r="E1912" s="136" t="s">
        <v>3854</v>
      </c>
      <c r="F1912" s="136" t="s">
        <v>3854</v>
      </c>
      <c r="G1912" s="137">
        <v>1395438159001</v>
      </c>
      <c r="H1912" s="138" t="s">
        <v>6298</v>
      </c>
      <c r="I1912" s="136">
        <v>951500295</v>
      </c>
      <c r="J1912" s="131" t="s">
        <v>4286</v>
      </c>
      <c r="K1912" s="139">
        <v>46600</v>
      </c>
    </row>
    <row r="1913" spans="1:11">
      <c r="A1913" s="1" t="str">
        <f t="shared" si="29"/>
        <v>15100-25565994-941500778107400</v>
      </c>
      <c r="B1913" s="136" t="s">
        <v>10943</v>
      </c>
      <c r="C1913" s="136" t="s">
        <v>10944</v>
      </c>
      <c r="D1913" s="132" t="s">
        <v>3420</v>
      </c>
      <c r="E1913" s="136" t="s">
        <v>2618</v>
      </c>
      <c r="F1913" s="136" t="s">
        <v>2618</v>
      </c>
      <c r="G1913" s="137">
        <v>1394394178001</v>
      </c>
      <c r="H1913" s="138" t="s">
        <v>6298</v>
      </c>
      <c r="I1913" s="136">
        <v>941500778</v>
      </c>
      <c r="J1913" s="131" t="s">
        <v>2549</v>
      </c>
      <c r="K1913" s="139">
        <v>107400</v>
      </c>
    </row>
    <row r="1914" spans="1:11">
      <c r="A1914" s="1" t="str">
        <f t="shared" si="29"/>
        <v>15100-25566594-94150081024560</v>
      </c>
      <c r="B1914" s="136" t="s">
        <v>11479</v>
      </c>
      <c r="C1914" s="136" t="s">
        <v>11480</v>
      </c>
      <c r="D1914" s="132" t="s">
        <v>3420</v>
      </c>
      <c r="E1914" s="136" t="s">
        <v>2618</v>
      </c>
      <c r="F1914" s="136" t="s">
        <v>2618</v>
      </c>
      <c r="G1914" s="137">
        <v>1394394802001</v>
      </c>
      <c r="H1914" s="138" t="s">
        <v>6298</v>
      </c>
      <c r="I1914" s="136">
        <v>941500810</v>
      </c>
      <c r="J1914" s="131" t="s">
        <v>2775</v>
      </c>
      <c r="K1914" s="139">
        <v>24560</v>
      </c>
    </row>
    <row r="1915" spans="1:11">
      <c r="A1915" s="1" t="str">
        <f t="shared" si="29"/>
        <v>15100-39099595-95150058947730</v>
      </c>
      <c r="B1915" s="136" t="s">
        <v>4840</v>
      </c>
      <c r="C1915" s="136" t="s">
        <v>11481</v>
      </c>
      <c r="D1915" s="132" t="s">
        <v>3420</v>
      </c>
      <c r="E1915" s="136" t="s">
        <v>4879</v>
      </c>
      <c r="F1915" s="136" t="s">
        <v>4879</v>
      </c>
      <c r="G1915" s="137">
        <v>1395462017001</v>
      </c>
      <c r="H1915" s="138" t="s">
        <v>6298</v>
      </c>
      <c r="I1915" s="136">
        <v>951500589</v>
      </c>
      <c r="J1915" s="131" t="s">
        <v>4953</v>
      </c>
      <c r="K1915" s="139">
        <v>47730</v>
      </c>
    </row>
    <row r="1916" spans="1:11">
      <c r="A1916" s="1" t="str">
        <f t="shared" si="29"/>
        <v>15100-37061995-95150045772020</v>
      </c>
      <c r="B1916" s="136" t="s">
        <v>4374</v>
      </c>
      <c r="C1916" s="136" t="s">
        <v>10967</v>
      </c>
      <c r="D1916" s="132" t="s">
        <v>3420</v>
      </c>
      <c r="E1916" s="136" t="s">
        <v>4442</v>
      </c>
      <c r="F1916" s="136" t="s">
        <v>4442</v>
      </c>
      <c r="G1916" s="137">
        <v>1395441450001</v>
      </c>
      <c r="H1916" s="138" t="s">
        <v>6300</v>
      </c>
      <c r="I1916" s="136">
        <v>951500457</v>
      </c>
      <c r="J1916" s="131" t="s">
        <v>4357</v>
      </c>
      <c r="K1916" s="139">
        <v>72020</v>
      </c>
    </row>
    <row r="1917" spans="1:11">
      <c r="A1917" s="1" t="str">
        <f t="shared" si="29"/>
        <v>15100-35475195-95150045370400</v>
      </c>
      <c r="B1917" s="136" t="s">
        <v>4109</v>
      </c>
      <c r="C1917" s="136" t="s">
        <v>11482</v>
      </c>
      <c r="D1917" s="132" t="s">
        <v>3420</v>
      </c>
      <c r="E1917" s="136" t="s">
        <v>4176</v>
      </c>
      <c r="F1917" s="136" t="s">
        <v>4176</v>
      </c>
      <c r="G1917" s="137">
        <v>1395449234001</v>
      </c>
      <c r="H1917" s="138" t="s">
        <v>6299</v>
      </c>
      <c r="I1917" s="136">
        <v>951500453</v>
      </c>
      <c r="J1917" s="131" t="s">
        <v>3981</v>
      </c>
      <c r="K1917" s="139">
        <v>70400</v>
      </c>
    </row>
    <row r="1918" spans="1:11">
      <c r="A1918" s="1" t="str">
        <f t="shared" si="29"/>
        <v>15100-28491094-94150084475390</v>
      </c>
      <c r="B1918" s="136" t="s">
        <v>11483</v>
      </c>
      <c r="C1918" s="136" t="s">
        <v>11484</v>
      </c>
      <c r="D1918" s="132" t="s">
        <v>3420</v>
      </c>
      <c r="E1918" s="136" t="s">
        <v>3164</v>
      </c>
      <c r="F1918" s="136" t="s">
        <v>3164</v>
      </c>
      <c r="G1918" s="137">
        <v>1394395844001</v>
      </c>
      <c r="H1918" s="138" t="s">
        <v>6298</v>
      </c>
      <c r="I1918" s="136">
        <v>941500844</v>
      </c>
      <c r="J1918" s="131" t="s">
        <v>2883</v>
      </c>
      <c r="K1918" s="139">
        <v>75390</v>
      </c>
    </row>
    <row r="1919" spans="1:11">
      <c r="A1919" s="1" t="str">
        <f t="shared" si="29"/>
        <v>15100-39570695-95150059950640</v>
      </c>
      <c r="B1919" s="136" t="s">
        <v>4833</v>
      </c>
      <c r="C1919" s="136" t="s">
        <v>11485</v>
      </c>
      <c r="D1919" s="132" t="s">
        <v>3420</v>
      </c>
      <c r="E1919" s="136" t="s">
        <v>4876</v>
      </c>
      <c r="F1919" s="136" t="s">
        <v>4876</v>
      </c>
      <c r="G1919" s="137">
        <v>1395462017001</v>
      </c>
      <c r="H1919" s="138" t="s">
        <v>6298</v>
      </c>
      <c r="I1919" s="136">
        <v>951500599</v>
      </c>
      <c r="J1919" s="131" t="s">
        <v>4954</v>
      </c>
      <c r="K1919" s="139">
        <v>50640</v>
      </c>
    </row>
    <row r="1920" spans="1:11">
      <c r="A1920" s="1" t="str">
        <f t="shared" si="29"/>
        <v>15100-36382795-951500457140160</v>
      </c>
      <c r="B1920" s="136" t="s">
        <v>4340</v>
      </c>
      <c r="C1920" s="136" t="s">
        <v>11486</v>
      </c>
      <c r="D1920" s="132" t="s">
        <v>3420</v>
      </c>
      <c r="E1920" s="136" t="s">
        <v>4169</v>
      </c>
      <c r="F1920" s="136" t="s">
        <v>4169</v>
      </c>
      <c r="G1920" s="137">
        <v>1395441450001</v>
      </c>
      <c r="H1920" s="138" t="s">
        <v>6300</v>
      </c>
      <c r="I1920" s="136">
        <v>951500457</v>
      </c>
      <c r="J1920" s="131" t="s">
        <v>4357</v>
      </c>
      <c r="K1920" s="139">
        <v>140160</v>
      </c>
    </row>
    <row r="1921" spans="1:11">
      <c r="A1921" s="1" t="str">
        <f t="shared" si="29"/>
        <v>15100-26606895-95150010371320</v>
      </c>
      <c r="B1921" s="136" t="s">
        <v>2846</v>
      </c>
      <c r="C1921" s="136" t="s">
        <v>11487</v>
      </c>
      <c r="D1921" s="132" t="s">
        <v>3420</v>
      </c>
      <c r="E1921" s="136" t="s">
        <v>2864</v>
      </c>
      <c r="F1921" s="136" t="s">
        <v>2864</v>
      </c>
      <c r="G1921" s="137">
        <v>1395397986001</v>
      </c>
      <c r="H1921" s="138" t="s">
        <v>6454</v>
      </c>
      <c r="I1921" s="136">
        <v>951500103</v>
      </c>
      <c r="J1921" s="131" t="s">
        <v>2886</v>
      </c>
      <c r="K1921" s="139">
        <v>71320</v>
      </c>
    </row>
    <row r="1922" spans="1:11">
      <c r="A1922" s="1" t="str">
        <f t="shared" si="29"/>
        <v>15100-33309495-95150028723420</v>
      </c>
      <c r="B1922" s="136" t="s">
        <v>3615</v>
      </c>
      <c r="C1922" s="136" t="s">
        <v>11025</v>
      </c>
      <c r="D1922" s="132" t="s">
        <v>3420</v>
      </c>
      <c r="E1922" s="136" t="s">
        <v>3715</v>
      </c>
      <c r="F1922" s="136" t="s">
        <v>3715</v>
      </c>
      <c r="G1922" s="137">
        <v>1395435640001</v>
      </c>
      <c r="H1922" s="138" t="s">
        <v>6299</v>
      </c>
      <c r="I1922" s="136">
        <v>951500287</v>
      </c>
      <c r="J1922" s="131" t="s">
        <v>3649</v>
      </c>
      <c r="K1922" s="139">
        <v>23420</v>
      </c>
    </row>
    <row r="1923" spans="1:11">
      <c r="A1923" s="1" t="str">
        <f t="shared" ref="A1923:A1986" si="30">B1923&amp;J1923&amp;K1923</f>
        <v>15100-35222595-95150043373355</v>
      </c>
      <c r="B1923" s="136" t="s">
        <v>4091</v>
      </c>
      <c r="C1923" s="136" t="s">
        <v>11048</v>
      </c>
      <c r="D1923" s="132" t="s">
        <v>3420</v>
      </c>
      <c r="E1923" s="136" t="s">
        <v>4184</v>
      </c>
      <c r="F1923" s="136" t="s">
        <v>4184</v>
      </c>
      <c r="G1923" s="137">
        <v>1395441450001</v>
      </c>
      <c r="H1923" s="138" t="s">
        <v>6300</v>
      </c>
      <c r="I1923" s="136">
        <v>951500433</v>
      </c>
      <c r="J1923" s="131" t="s">
        <v>4275</v>
      </c>
      <c r="K1923" s="139">
        <v>73355</v>
      </c>
    </row>
    <row r="1924" spans="1:11">
      <c r="A1924" s="1" t="str">
        <f t="shared" si="30"/>
        <v>15100-35295095-95150043371880</v>
      </c>
      <c r="B1924" s="136" t="s">
        <v>4089</v>
      </c>
      <c r="C1924" s="136" t="s">
        <v>11013</v>
      </c>
      <c r="D1924" s="132" t="s">
        <v>3420</v>
      </c>
      <c r="E1924" s="136" t="s">
        <v>4181</v>
      </c>
      <c r="F1924" s="136" t="s">
        <v>4181</v>
      </c>
      <c r="G1924" s="137">
        <v>1395441450001</v>
      </c>
      <c r="H1924" s="138" t="s">
        <v>6300</v>
      </c>
      <c r="I1924" s="136">
        <v>951500433</v>
      </c>
      <c r="J1924" s="131" t="s">
        <v>4275</v>
      </c>
      <c r="K1924" s="139">
        <v>71880</v>
      </c>
    </row>
    <row r="1925" spans="1:11">
      <c r="A1925" s="1" t="str">
        <f t="shared" si="30"/>
        <v>15100-32930095-95150024948980</v>
      </c>
      <c r="B1925" s="136" t="s">
        <v>3623</v>
      </c>
      <c r="C1925" s="136" t="s">
        <v>11488</v>
      </c>
      <c r="D1925" s="132" t="s">
        <v>3420</v>
      </c>
      <c r="E1925" s="136" t="s">
        <v>3664</v>
      </c>
      <c r="F1925" s="136" t="s">
        <v>3664</v>
      </c>
      <c r="G1925" s="137">
        <v>1395427836001</v>
      </c>
      <c r="H1925" s="138" t="s">
        <v>6298</v>
      </c>
      <c r="I1925" s="136">
        <v>951500249</v>
      </c>
      <c r="J1925" s="131" t="s">
        <v>3658</v>
      </c>
      <c r="K1925" s="139">
        <v>48980</v>
      </c>
    </row>
    <row r="1926" spans="1:11">
      <c r="A1926" s="1" t="str">
        <f t="shared" si="30"/>
        <v>15100-28659694-94150084473745</v>
      </c>
      <c r="B1926" s="136" t="s">
        <v>3200</v>
      </c>
      <c r="C1926" s="136" t="s">
        <v>11058</v>
      </c>
      <c r="D1926" s="132" t="s">
        <v>3420</v>
      </c>
      <c r="E1926" s="136" t="s">
        <v>3208</v>
      </c>
      <c r="F1926" s="136" t="s">
        <v>3208</v>
      </c>
      <c r="G1926" s="137">
        <v>1394395844001</v>
      </c>
      <c r="H1926" s="138" t="s">
        <v>6298</v>
      </c>
      <c r="I1926" s="136">
        <v>941500844</v>
      </c>
      <c r="J1926" s="131" t="s">
        <v>2883</v>
      </c>
      <c r="K1926" s="139">
        <v>73745</v>
      </c>
    </row>
    <row r="1927" spans="1:11">
      <c r="A1927" s="1" t="str">
        <f t="shared" si="30"/>
        <v>15100-27032795-95150013323340</v>
      </c>
      <c r="B1927" s="136" t="s">
        <v>2828</v>
      </c>
      <c r="C1927" s="136" t="s">
        <v>11123</v>
      </c>
      <c r="D1927" s="132" t="s">
        <v>3420</v>
      </c>
      <c r="E1927" s="136" t="s">
        <v>2853</v>
      </c>
      <c r="F1927" s="136" t="s">
        <v>2853</v>
      </c>
      <c r="G1927" s="137">
        <v>1395397986001</v>
      </c>
      <c r="H1927" s="138" t="s">
        <v>6454</v>
      </c>
      <c r="I1927" s="136">
        <v>951500133</v>
      </c>
      <c r="J1927" s="131" t="s">
        <v>2872</v>
      </c>
      <c r="K1927" s="139">
        <v>23340</v>
      </c>
    </row>
    <row r="1928" spans="1:11">
      <c r="A1928" s="1" t="str">
        <f t="shared" si="30"/>
        <v>15100-33310995-951500287316340</v>
      </c>
      <c r="B1928" s="136" t="s">
        <v>3621</v>
      </c>
      <c r="C1928" s="136" t="s">
        <v>11103</v>
      </c>
      <c r="D1928" s="132" t="s">
        <v>3420</v>
      </c>
      <c r="E1928" s="136" t="s">
        <v>3715</v>
      </c>
      <c r="F1928" s="136" t="s">
        <v>3833</v>
      </c>
      <c r="G1928" s="137">
        <v>1395435640001</v>
      </c>
      <c r="H1928" s="138" t="s">
        <v>6299</v>
      </c>
      <c r="I1928" s="136">
        <v>951500287</v>
      </c>
      <c r="J1928" s="131" t="s">
        <v>3649</v>
      </c>
      <c r="K1928" s="139">
        <v>316340</v>
      </c>
    </row>
    <row r="1929" spans="1:11">
      <c r="A1929" s="1" t="str">
        <f t="shared" si="30"/>
        <v>15100-35715895-95150040610460</v>
      </c>
      <c r="B1929" s="136" t="s">
        <v>4097</v>
      </c>
      <c r="C1929" s="136" t="s">
        <v>11077</v>
      </c>
      <c r="D1929" s="132" t="s">
        <v>3420</v>
      </c>
      <c r="E1929" s="136" t="s">
        <v>4178</v>
      </c>
      <c r="F1929" s="136" t="s">
        <v>4178</v>
      </c>
      <c r="G1929" s="137">
        <v>1395445412001</v>
      </c>
      <c r="H1929" s="138" t="s">
        <v>6298</v>
      </c>
      <c r="I1929" s="136">
        <v>951500406</v>
      </c>
      <c r="J1929" s="131" t="s">
        <v>4284</v>
      </c>
      <c r="K1929" s="139">
        <v>10460</v>
      </c>
    </row>
    <row r="1930" spans="1:11">
      <c r="A1930" s="1" t="str">
        <f t="shared" si="30"/>
        <v>15100-35717095-95150040648830</v>
      </c>
      <c r="B1930" s="136" t="s">
        <v>4106</v>
      </c>
      <c r="C1930" s="136" t="s">
        <v>11078</v>
      </c>
      <c r="D1930" s="132" t="s">
        <v>3420</v>
      </c>
      <c r="E1930" s="136" t="s">
        <v>4178</v>
      </c>
      <c r="F1930" s="136" t="s">
        <v>4178</v>
      </c>
      <c r="G1930" s="137">
        <v>1395445412001</v>
      </c>
      <c r="H1930" s="138" t="s">
        <v>6298</v>
      </c>
      <c r="I1930" s="136">
        <v>951500406</v>
      </c>
      <c r="J1930" s="131" t="s">
        <v>4284</v>
      </c>
      <c r="K1930" s="139">
        <v>48830</v>
      </c>
    </row>
    <row r="1931" spans="1:11">
      <c r="A1931" s="1" t="str">
        <f t="shared" si="30"/>
        <v>15100-25466294-941500754113510</v>
      </c>
      <c r="B1931" s="136" t="s">
        <v>11079</v>
      </c>
      <c r="C1931" s="136" t="s">
        <v>11080</v>
      </c>
      <c r="D1931" s="132" t="s">
        <v>3420</v>
      </c>
      <c r="E1931" s="136" t="s">
        <v>2619</v>
      </c>
      <c r="F1931" s="136" t="s">
        <v>2619</v>
      </c>
      <c r="G1931" s="137">
        <v>1394394178001</v>
      </c>
      <c r="H1931" s="138" t="s">
        <v>6298</v>
      </c>
      <c r="I1931" s="136">
        <v>941500754</v>
      </c>
      <c r="J1931" s="131" t="s">
        <v>2555</v>
      </c>
      <c r="K1931" s="139">
        <v>113510</v>
      </c>
    </row>
    <row r="1932" spans="1:11">
      <c r="A1932" s="1" t="str">
        <f t="shared" si="30"/>
        <v>50100-723725595-951500077199620</v>
      </c>
      <c r="B1932" s="136" t="s">
        <v>3022</v>
      </c>
      <c r="C1932" s="136" t="s">
        <v>11489</v>
      </c>
      <c r="D1932" s="132" t="s">
        <v>3420</v>
      </c>
      <c r="E1932" s="136" t="s">
        <v>2863</v>
      </c>
      <c r="F1932" s="136" t="s">
        <v>2863</v>
      </c>
      <c r="G1932" s="137">
        <v>1394395845001</v>
      </c>
      <c r="H1932" s="138" t="s">
        <v>6453</v>
      </c>
      <c r="I1932" s="136">
        <v>951500077</v>
      </c>
      <c r="J1932" s="131" t="s">
        <v>3128</v>
      </c>
      <c r="K1932" s="139">
        <v>199620</v>
      </c>
    </row>
    <row r="1933" spans="1:11">
      <c r="A1933" s="1" t="str">
        <f t="shared" si="30"/>
        <v>15100-25095994-94150075452660</v>
      </c>
      <c r="B1933" s="136" t="s">
        <v>11168</v>
      </c>
      <c r="C1933" s="136" t="s">
        <v>11169</v>
      </c>
      <c r="D1933" s="132" t="s">
        <v>3420</v>
      </c>
      <c r="E1933" s="136" t="s">
        <v>2615</v>
      </c>
      <c r="F1933" s="136" t="s">
        <v>2615</v>
      </c>
      <c r="G1933" s="137">
        <v>1394394178001</v>
      </c>
      <c r="H1933" s="138" t="s">
        <v>6298</v>
      </c>
      <c r="I1933" s="136">
        <v>941500754</v>
      </c>
      <c r="J1933" s="131" t="s">
        <v>2555</v>
      </c>
      <c r="K1933" s="139">
        <v>52660</v>
      </c>
    </row>
    <row r="1934" spans="1:11">
      <c r="A1934" s="1" t="str">
        <f t="shared" si="30"/>
        <v>15100-25095994-941500778110100</v>
      </c>
      <c r="B1934" s="136" t="s">
        <v>11168</v>
      </c>
      <c r="C1934" s="136" t="s">
        <v>11169</v>
      </c>
      <c r="D1934" s="132" t="s">
        <v>3420</v>
      </c>
      <c r="E1934" s="136" t="s">
        <v>2615</v>
      </c>
      <c r="F1934" s="136" t="s">
        <v>2615</v>
      </c>
      <c r="G1934" s="137">
        <v>1394394178001</v>
      </c>
      <c r="H1934" s="138" t="s">
        <v>6298</v>
      </c>
      <c r="I1934" s="136">
        <v>941500778</v>
      </c>
      <c r="J1934" s="131" t="s">
        <v>2549</v>
      </c>
      <c r="K1934" s="139">
        <v>110100</v>
      </c>
    </row>
    <row r="1935" spans="1:11">
      <c r="A1935" s="1" t="str">
        <f t="shared" si="30"/>
        <v>15100-25307894-94150077850740</v>
      </c>
      <c r="B1935" s="136" t="s">
        <v>11170</v>
      </c>
      <c r="C1935" s="136" t="s">
        <v>11171</v>
      </c>
      <c r="D1935" s="132" t="s">
        <v>3420</v>
      </c>
      <c r="E1935" s="136" t="s">
        <v>2611</v>
      </c>
      <c r="F1935" s="136" t="s">
        <v>2611</v>
      </c>
      <c r="G1935" s="137">
        <v>1394394178001</v>
      </c>
      <c r="H1935" s="138" t="s">
        <v>6298</v>
      </c>
      <c r="I1935" s="136">
        <v>941500778</v>
      </c>
      <c r="J1935" s="131" t="s">
        <v>2549</v>
      </c>
      <c r="K1935" s="139">
        <v>50740</v>
      </c>
    </row>
    <row r="1936" spans="1:11">
      <c r="A1936" s="1" t="str">
        <f t="shared" si="30"/>
        <v>15100-26814294-94150084471440</v>
      </c>
      <c r="B1936" s="136" t="s">
        <v>2817</v>
      </c>
      <c r="C1936" s="136" t="s">
        <v>11172</v>
      </c>
      <c r="D1936" s="132" t="s">
        <v>3420</v>
      </c>
      <c r="E1936" s="136" t="s">
        <v>2851</v>
      </c>
      <c r="F1936" s="136" t="s">
        <v>2851</v>
      </c>
      <c r="G1936" s="137">
        <v>1394395844001</v>
      </c>
      <c r="H1936" s="138" t="s">
        <v>6298</v>
      </c>
      <c r="I1936" s="136">
        <v>941500844</v>
      </c>
      <c r="J1936" s="131" t="s">
        <v>2883</v>
      </c>
      <c r="K1936" s="139">
        <v>71440</v>
      </c>
    </row>
    <row r="1937" spans="1:11">
      <c r="A1937" s="1" t="str">
        <f t="shared" si="30"/>
        <v>50100-784325095-9515002211180</v>
      </c>
      <c r="B1937" s="136" t="s">
        <v>3687</v>
      </c>
      <c r="C1937" s="136" t="s">
        <v>11186</v>
      </c>
      <c r="D1937" s="132" t="s">
        <v>3420</v>
      </c>
      <c r="E1937" s="136" t="s">
        <v>3665</v>
      </c>
      <c r="F1937" s="136" t="s">
        <v>3665</v>
      </c>
      <c r="G1937" s="137">
        <v>1395426988001</v>
      </c>
      <c r="H1937" s="138" t="s">
        <v>6300</v>
      </c>
      <c r="I1937" s="136">
        <v>951500221</v>
      </c>
      <c r="J1937" s="131" t="s">
        <v>3525</v>
      </c>
      <c r="K1937" s="139">
        <v>1180</v>
      </c>
    </row>
    <row r="1938" spans="1:11">
      <c r="A1938" s="1" t="str">
        <f t="shared" si="30"/>
        <v>50100-711997994-941500737200860</v>
      </c>
      <c r="B1938" s="136" t="s">
        <v>11490</v>
      </c>
      <c r="C1938" s="136" t="s">
        <v>11491</v>
      </c>
      <c r="D1938" s="132" t="s">
        <v>3420</v>
      </c>
      <c r="E1938" s="136" t="s">
        <v>2616</v>
      </c>
      <c r="F1938" s="136" t="s">
        <v>2616</v>
      </c>
      <c r="G1938" s="137">
        <v>1394392654001</v>
      </c>
      <c r="H1938" s="138" t="s">
        <v>6453</v>
      </c>
      <c r="I1938" s="136">
        <v>941500737</v>
      </c>
      <c r="J1938" s="131" t="s">
        <v>6863</v>
      </c>
      <c r="K1938" s="139">
        <v>200860</v>
      </c>
    </row>
    <row r="1939" spans="1:11">
      <c r="A1939" s="1" t="str">
        <f t="shared" si="30"/>
        <v>50100-722833795-951500042115273</v>
      </c>
      <c r="B1939" s="136" t="s">
        <v>2959</v>
      </c>
      <c r="C1939" s="136" t="s">
        <v>11174</v>
      </c>
      <c r="D1939" s="132" t="s">
        <v>3420</v>
      </c>
      <c r="E1939" s="136" t="s">
        <v>2862</v>
      </c>
      <c r="F1939" s="136" t="s">
        <v>2862</v>
      </c>
      <c r="G1939" s="137">
        <v>1394395845001</v>
      </c>
      <c r="H1939" s="138" t="s">
        <v>6453</v>
      </c>
      <c r="I1939" s="136">
        <v>951500042</v>
      </c>
      <c r="J1939" s="131" t="s">
        <v>2798</v>
      </c>
      <c r="K1939" s="139">
        <v>115273</v>
      </c>
    </row>
    <row r="1940" spans="1:11">
      <c r="A1940" s="1" t="str">
        <f t="shared" si="30"/>
        <v>50100-725698095-9515000611000000</v>
      </c>
      <c r="B1940" s="136" t="s">
        <v>2958</v>
      </c>
      <c r="C1940" s="136" t="s">
        <v>11492</v>
      </c>
      <c r="D1940" s="132" t="s">
        <v>3420</v>
      </c>
      <c r="E1940" s="136" t="s">
        <v>2869</v>
      </c>
      <c r="F1940" s="136" t="s">
        <v>2869</v>
      </c>
      <c r="G1940" s="137">
        <v>1395397990001</v>
      </c>
      <c r="H1940" s="138" t="s">
        <v>6456</v>
      </c>
      <c r="I1940" s="136">
        <v>951500061</v>
      </c>
      <c r="J1940" s="131" t="s">
        <v>3101</v>
      </c>
      <c r="K1940" s="139">
        <v>1000000</v>
      </c>
    </row>
    <row r="1941" spans="1:11">
      <c r="A1941" s="1" t="str">
        <f t="shared" si="30"/>
        <v>50100-830348195-95150050177700</v>
      </c>
      <c r="B1941" s="136" t="s">
        <v>4626</v>
      </c>
      <c r="C1941" s="136" t="s">
        <v>11239</v>
      </c>
      <c r="D1941" s="132" t="s">
        <v>3420</v>
      </c>
      <c r="E1941" s="136" t="s">
        <v>4659</v>
      </c>
      <c r="F1941" s="136" t="s">
        <v>4659</v>
      </c>
      <c r="G1941" s="137">
        <v>1395447373001</v>
      </c>
      <c r="H1941" s="138" t="s">
        <v>6453</v>
      </c>
      <c r="I1941" s="136">
        <v>951500501</v>
      </c>
      <c r="J1941" s="131" t="s">
        <v>4592</v>
      </c>
      <c r="K1941" s="139">
        <v>77700</v>
      </c>
    </row>
    <row r="1942" spans="1:11">
      <c r="A1942" s="1" t="str">
        <f t="shared" si="30"/>
        <v>50100-847415495-952500102976250</v>
      </c>
      <c r="B1942" s="136" t="s">
        <v>4821</v>
      </c>
      <c r="C1942" s="136" t="s">
        <v>11493</v>
      </c>
      <c r="D1942" s="132" t="s">
        <v>3420</v>
      </c>
      <c r="E1942" s="136" t="s">
        <v>4876</v>
      </c>
      <c r="F1942" s="136" t="s">
        <v>4876</v>
      </c>
      <c r="G1942" s="137">
        <v>1395451404001</v>
      </c>
      <c r="H1942" s="138" t="s">
        <v>6456</v>
      </c>
      <c r="I1942" s="136">
        <v>952500102</v>
      </c>
      <c r="J1942" s="131" t="s">
        <v>4945</v>
      </c>
      <c r="K1942" s="139">
        <v>976250</v>
      </c>
    </row>
    <row r="1943" spans="1:11">
      <c r="A1943" s="1" t="str">
        <f t="shared" si="30"/>
        <v>50100-753067995-954100011837456</v>
      </c>
      <c r="B1943" s="136" t="s">
        <v>3313</v>
      </c>
      <c r="C1943" s="136" t="s">
        <v>11267</v>
      </c>
      <c r="D1943" s="132" t="s">
        <v>3420</v>
      </c>
      <c r="E1943" s="136" t="s">
        <v>3281</v>
      </c>
      <c r="F1943" s="136" t="s">
        <v>3281</v>
      </c>
      <c r="G1943" s="137">
        <v>1395399148001</v>
      </c>
      <c r="H1943" s="138" t="s">
        <v>10183</v>
      </c>
      <c r="I1943" s="136">
        <v>954100011</v>
      </c>
      <c r="J1943" s="131" t="s">
        <v>3356</v>
      </c>
      <c r="K1943" s="139">
        <v>837456</v>
      </c>
    </row>
    <row r="1944" spans="1:11">
      <c r="A1944" s="1" t="str">
        <f t="shared" si="30"/>
        <v>50100-853004596-9641000091000000</v>
      </c>
      <c r="B1944" s="136" t="s">
        <v>4995</v>
      </c>
      <c r="C1944" s="136" t="s">
        <v>8957</v>
      </c>
      <c r="D1944" s="132" t="s">
        <v>4971</v>
      </c>
      <c r="E1944" s="136" t="s">
        <v>5011</v>
      </c>
      <c r="F1944" s="136" t="s">
        <v>5011</v>
      </c>
      <c r="G1944" s="137">
        <v>1396471704001</v>
      </c>
      <c r="H1944" s="138" t="s">
        <v>6452</v>
      </c>
      <c r="I1944" s="136">
        <v>964100009</v>
      </c>
      <c r="J1944" s="131" t="s">
        <v>5050</v>
      </c>
      <c r="K1944" s="139">
        <v>1000000</v>
      </c>
    </row>
    <row r="1945" spans="1:11">
      <c r="A1945" s="1" t="str">
        <f t="shared" si="30"/>
        <v>15100-27591394-94150084450340</v>
      </c>
      <c r="B1945" s="136" t="s">
        <v>11249</v>
      </c>
      <c r="C1945" s="136" t="s">
        <v>11250</v>
      </c>
      <c r="D1945" s="132" t="s">
        <v>3420</v>
      </c>
      <c r="E1945" s="136" t="s">
        <v>3049</v>
      </c>
      <c r="F1945" s="136" t="s">
        <v>3049</v>
      </c>
      <c r="G1945" s="137">
        <v>1394395844001</v>
      </c>
      <c r="H1945" s="138" t="s">
        <v>6298</v>
      </c>
      <c r="I1945" s="136">
        <v>941500844</v>
      </c>
      <c r="J1945" s="131" t="s">
        <v>2883</v>
      </c>
      <c r="K1945" s="139">
        <v>50340</v>
      </c>
    </row>
    <row r="1946" spans="1:11">
      <c r="A1946" s="1" t="str">
        <f t="shared" si="30"/>
        <v>15100-27591394-941500828219040</v>
      </c>
      <c r="B1946" s="136" t="s">
        <v>11249</v>
      </c>
      <c r="C1946" s="136" t="s">
        <v>11250</v>
      </c>
      <c r="D1946" s="132" t="s">
        <v>3420</v>
      </c>
      <c r="E1946" s="136" t="s">
        <v>3049</v>
      </c>
      <c r="F1946" s="136" t="s">
        <v>3049</v>
      </c>
      <c r="G1946" s="137">
        <v>1394395844001</v>
      </c>
      <c r="H1946" s="138" t="s">
        <v>6298</v>
      </c>
      <c r="I1946" s="136">
        <v>941500828</v>
      </c>
      <c r="J1946" s="131" t="s">
        <v>3055</v>
      </c>
      <c r="K1946" s="139">
        <v>219040</v>
      </c>
    </row>
    <row r="1947" spans="1:11">
      <c r="A1947" s="1" t="str">
        <f t="shared" si="30"/>
        <v>15100-27316395-95150013375500</v>
      </c>
      <c r="B1947" s="136" t="s">
        <v>2901</v>
      </c>
      <c r="C1947" s="136" t="s">
        <v>11287</v>
      </c>
      <c r="D1947" s="132" t="s">
        <v>3420</v>
      </c>
      <c r="E1947" s="136" t="s">
        <v>3040</v>
      </c>
      <c r="F1947" s="136" t="s">
        <v>3040</v>
      </c>
      <c r="G1947" s="137">
        <v>1395397986001</v>
      </c>
      <c r="H1947" s="138" t="s">
        <v>6454</v>
      </c>
      <c r="I1947" s="136">
        <v>951500133</v>
      </c>
      <c r="J1947" s="131" t="s">
        <v>2872</v>
      </c>
      <c r="K1947" s="139">
        <v>75500</v>
      </c>
    </row>
    <row r="1948" spans="1:11">
      <c r="A1948" s="1" t="str">
        <f t="shared" si="30"/>
        <v>15100-32847695-951500243144380</v>
      </c>
      <c r="B1948" s="136" t="s">
        <v>3600</v>
      </c>
      <c r="C1948" s="136" t="s">
        <v>11291</v>
      </c>
      <c r="D1948" s="132" t="s">
        <v>3420</v>
      </c>
      <c r="E1948" s="136" t="s">
        <v>3666</v>
      </c>
      <c r="F1948" s="136" t="s">
        <v>3666</v>
      </c>
      <c r="G1948" s="137">
        <v>1395427836001</v>
      </c>
      <c r="H1948" s="138" t="s">
        <v>6298</v>
      </c>
      <c r="I1948" s="136">
        <v>951500243</v>
      </c>
      <c r="J1948" s="131" t="s">
        <v>3648</v>
      </c>
      <c r="K1948" s="139">
        <v>144380</v>
      </c>
    </row>
    <row r="1949" spans="1:11">
      <c r="A1949" s="1" t="str">
        <f t="shared" si="30"/>
        <v>15100-33629395-95150027845460</v>
      </c>
      <c r="B1949" s="136" t="s">
        <v>3786</v>
      </c>
      <c r="C1949" s="136" t="s">
        <v>11494</v>
      </c>
      <c r="D1949" s="132" t="s">
        <v>3420</v>
      </c>
      <c r="E1949" s="136" t="s">
        <v>3767</v>
      </c>
      <c r="F1949" s="136" t="s">
        <v>3767</v>
      </c>
      <c r="G1949" s="137">
        <v>1395436005001</v>
      </c>
      <c r="H1949" s="138" t="s">
        <v>6298</v>
      </c>
      <c r="I1949" s="136">
        <v>951500278</v>
      </c>
      <c r="J1949" s="131" t="s">
        <v>3850</v>
      </c>
      <c r="K1949" s="139">
        <v>45460</v>
      </c>
    </row>
    <row r="1950" spans="1:11">
      <c r="A1950" s="1" t="str">
        <f t="shared" si="30"/>
        <v>15100-27040095-95150013395580</v>
      </c>
      <c r="B1950" s="136" t="s">
        <v>2823</v>
      </c>
      <c r="C1950" s="136" t="s">
        <v>11495</v>
      </c>
      <c r="D1950" s="132" t="s">
        <v>3420</v>
      </c>
      <c r="E1950" s="136" t="s">
        <v>2853</v>
      </c>
      <c r="F1950" s="136" t="s">
        <v>2853</v>
      </c>
      <c r="G1950" s="137">
        <v>1395397986001</v>
      </c>
      <c r="H1950" s="138" t="s">
        <v>6454</v>
      </c>
      <c r="I1950" s="136">
        <v>951500133</v>
      </c>
      <c r="J1950" s="131" t="s">
        <v>2872</v>
      </c>
      <c r="K1950" s="139">
        <v>95580</v>
      </c>
    </row>
    <row r="1951" spans="1:11">
      <c r="A1951" s="1" t="str">
        <f t="shared" si="30"/>
        <v>15100-36116595-95150048699640</v>
      </c>
      <c r="B1951" s="136" t="s">
        <v>4318</v>
      </c>
      <c r="C1951" s="136" t="s">
        <v>11262</v>
      </c>
      <c r="D1951" s="132" t="s">
        <v>3420</v>
      </c>
      <c r="E1951" s="136" t="s">
        <v>4170</v>
      </c>
      <c r="F1951" s="136" t="s">
        <v>4170</v>
      </c>
      <c r="G1951" s="137">
        <v>1395449236001</v>
      </c>
      <c r="H1951" s="138" t="s">
        <v>6298</v>
      </c>
      <c r="I1951" s="136">
        <v>951500486</v>
      </c>
      <c r="J1951" s="131" t="s">
        <v>4349</v>
      </c>
      <c r="K1951" s="139">
        <v>99640</v>
      </c>
    </row>
    <row r="1952" spans="1:11">
      <c r="A1952" s="1" t="str">
        <f t="shared" si="30"/>
        <v>15100-36069595-95150048611820</v>
      </c>
      <c r="B1952" s="136" t="s">
        <v>4320</v>
      </c>
      <c r="C1952" s="136" t="s">
        <v>11294</v>
      </c>
      <c r="D1952" s="132" t="s">
        <v>3420</v>
      </c>
      <c r="E1952" s="136" t="s">
        <v>4165</v>
      </c>
      <c r="F1952" s="136" t="s">
        <v>4165</v>
      </c>
      <c r="G1952" s="137">
        <v>1395449236001</v>
      </c>
      <c r="H1952" s="138" t="s">
        <v>6298</v>
      </c>
      <c r="I1952" s="136">
        <v>951500486</v>
      </c>
      <c r="J1952" s="131" t="s">
        <v>4349</v>
      </c>
      <c r="K1952" s="139">
        <v>11820</v>
      </c>
    </row>
    <row r="1953" spans="1:11">
      <c r="A1953" s="1" t="str">
        <f t="shared" si="30"/>
        <v>15100-35298695-951500433120170</v>
      </c>
      <c r="B1953" s="136" t="s">
        <v>4139</v>
      </c>
      <c r="C1953" s="136" t="s">
        <v>11269</v>
      </c>
      <c r="D1953" s="132" t="s">
        <v>3420</v>
      </c>
      <c r="E1953" s="136" t="s">
        <v>4181</v>
      </c>
      <c r="F1953" s="136" t="s">
        <v>4181</v>
      </c>
      <c r="G1953" s="137">
        <v>1395441450001</v>
      </c>
      <c r="H1953" s="138" t="s">
        <v>6300</v>
      </c>
      <c r="I1953" s="136">
        <v>951500433</v>
      </c>
      <c r="J1953" s="131" t="s">
        <v>4275</v>
      </c>
      <c r="K1953" s="139">
        <v>120170</v>
      </c>
    </row>
    <row r="1954" spans="1:11">
      <c r="A1954" s="1" t="str">
        <f t="shared" si="30"/>
        <v>15100-37687695-95150057099780</v>
      </c>
      <c r="B1954" s="136" t="s">
        <v>4648</v>
      </c>
      <c r="C1954" s="136" t="s">
        <v>11496</v>
      </c>
      <c r="D1954" s="132" t="s">
        <v>3420</v>
      </c>
      <c r="E1954" s="136" t="s">
        <v>4661</v>
      </c>
      <c r="F1954" s="136" t="s">
        <v>4661</v>
      </c>
      <c r="G1954" s="137">
        <v>1395449238001</v>
      </c>
      <c r="H1954" s="138" t="s">
        <v>6299</v>
      </c>
      <c r="I1954" s="136">
        <v>951500570</v>
      </c>
      <c r="J1954" s="131" t="s">
        <v>4701</v>
      </c>
      <c r="K1954" s="139">
        <v>99780</v>
      </c>
    </row>
    <row r="1955" spans="1:11">
      <c r="A1955" s="1" t="str">
        <f t="shared" si="30"/>
        <v>15100-35713495-95150040670840</v>
      </c>
      <c r="B1955" s="136" t="s">
        <v>4140</v>
      </c>
      <c r="C1955" s="136" t="s">
        <v>11497</v>
      </c>
      <c r="D1955" s="132" t="s">
        <v>3420</v>
      </c>
      <c r="E1955" s="136" t="s">
        <v>4178</v>
      </c>
      <c r="F1955" s="136" t="s">
        <v>4178</v>
      </c>
      <c r="G1955" s="137">
        <v>1395445412001</v>
      </c>
      <c r="H1955" s="138" t="s">
        <v>6298</v>
      </c>
      <c r="I1955" s="136">
        <v>951500406</v>
      </c>
      <c r="J1955" s="131" t="s">
        <v>4284</v>
      </c>
      <c r="K1955" s="139">
        <v>70840</v>
      </c>
    </row>
    <row r="1956" spans="1:11">
      <c r="A1956" s="1" t="str">
        <f t="shared" si="30"/>
        <v>15100-28539294-94150081010900</v>
      </c>
      <c r="B1956" s="136" t="s">
        <v>11304</v>
      </c>
      <c r="C1956" s="136" t="s">
        <v>11305</v>
      </c>
      <c r="D1956" s="132" t="s">
        <v>3420</v>
      </c>
      <c r="E1956" s="136" t="s">
        <v>3172</v>
      </c>
      <c r="F1956" s="136" t="s">
        <v>3172</v>
      </c>
      <c r="G1956" s="137">
        <v>1394394802001</v>
      </c>
      <c r="H1956" s="138" t="s">
        <v>6298</v>
      </c>
      <c r="I1956" s="136">
        <v>941500810</v>
      </c>
      <c r="J1956" s="131" t="s">
        <v>2775</v>
      </c>
      <c r="K1956" s="139">
        <v>10900</v>
      </c>
    </row>
    <row r="1957" spans="1:11">
      <c r="A1957" s="1" t="str">
        <f t="shared" si="30"/>
        <v>15100-28541994-94150084435990</v>
      </c>
      <c r="B1957" s="136" t="s">
        <v>3199</v>
      </c>
      <c r="C1957" s="136" t="s">
        <v>11309</v>
      </c>
      <c r="D1957" s="132" t="s">
        <v>3420</v>
      </c>
      <c r="E1957" s="136" t="s">
        <v>3172</v>
      </c>
      <c r="F1957" s="136" t="s">
        <v>3172</v>
      </c>
      <c r="G1957" s="137">
        <v>1394395844001</v>
      </c>
      <c r="H1957" s="138" t="s">
        <v>6298</v>
      </c>
      <c r="I1957" s="136">
        <v>941500844</v>
      </c>
      <c r="J1957" s="131" t="s">
        <v>2883</v>
      </c>
      <c r="K1957" s="139">
        <v>35990</v>
      </c>
    </row>
    <row r="1958" spans="1:11">
      <c r="A1958" s="1" t="str">
        <f t="shared" si="30"/>
        <v>15100-36930095-95150045774550</v>
      </c>
      <c r="B1958" s="136" t="s">
        <v>4379</v>
      </c>
      <c r="C1958" s="136" t="s">
        <v>11498</v>
      </c>
      <c r="D1958" s="132" t="s">
        <v>3420</v>
      </c>
      <c r="E1958" s="136" t="s">
        <v>4307</v>
      </c>
      <c r="F1958" s="136" t="s">
        <v>4307</v>
      </c>
      <c r="G1958" s="137">
        <v>1395441450001</v>
      </c>
      <c r="H1958" s="138" t="s">
        <v>6300</v>
      </c>
      <c r="I1958" s="136">
        <v>951500457</v>
      </c>
      <c r="J1958" s="131" t="s">
        <v>4357</v>
      </c>
      <c r="K1958" s="139">
        <v>74550</v>
      </c>
    </row>
    <row r="1959" spans="1:11">
      <c r="A1959" s="1" t="str">
        <f t="shared" si="30"/>
        <v>15100-28600195-95150013324040</v>
      </c>
      <c r="B1959" s="136" t="s">
        <v>3203</v>
      </c>
      <c r="C1959" s="136" t="s">
        <v>11321</v>
      </c>
      <c r="D1959" s="132" t="s">
        <v>3420</v>
      </c>
      <c r="E1959" s="136" t="s">
        <v>3166</v>
      </c>
      <c r="F1959" s="136" t="s">
        <v>3166</v>
      </c>
      <c r="G1959" s="137">
        <v>1395397986001</v>
      </c>
      <c r="H1959" s="138" t="s">
        <v>6454</v>
      </c>
      <c r="I1959" s="136">
        <v>951500133</v>
      </c>
      <c r="J1959" s="131" t="s">
        <v>2872</v>
      </c>
      <c r="K1959" s="139">
        <v>24040</v>
      </c>
    </row>
    <row r="1960" spans="1:11">
      <c r="A1960" s="1" t="str">
        <f t="shared" si="30"/>
        <v>50100-785185495-951500227272371</v>
      </c>
      <c r="B1960" s="136" t="s">
        <v>3693</v>
      </c>
      <c r="C1960" s="136" t="s">
        <v>11325</v>
      </c>
      <c r="D1960" s="132" t="s">
        <v>3420</v>
      </c>
      <c r="E1960" s="136" t="s">
        <v>3668</v>
      </c>
      <c r="F1960" s="136" t="s">
        <v>3668</v>
      </c>
      <c r="G1960" s="137">
        <v>1395427844001</v>
      </c>
      <c r="H1960" s="138" t="s">
        <v>6298</v>
      </c>
      <c r="I1960" s="136">
        <v>951500227</v>
      </c>
      <c r="J1960" s="131" t="s">
        <v>3743</v>
      </c>
      <c r="K1960" s="139">
        <v>272371</v>
      </c>
    </row>
    <row r="1961" spans="1:11">
      <c r="A1961" s="1" t="str">
        <f t="shared" si="30"/>
        <v>50100-765047795-951500208198210</v>
      </c>
      <c r="B1961" s="136" t="s">
        <v>11499</v>
      </c>
      <c r="C1961" s="136" t="s">
        <v>11500</v>
      </c>
      <c r="D1961" s="132" t="s">
        <v>3420</v>
      </c>
      <c r="E1961" s="136" t="s">
        <v>3398</v>
      </c>
      <c r="F1961" s="136" t="s">
        <v>3398</v>
      </c>
      <c r="G1961" s="137">
        <v>1395397987001</v>
      </c>
      <c r="H1961" s="138" t="s">
        <v>10183</v>
      </c>
      <c r="I1961" s="136">
        <v>951500208</v>
      </c>
      <c r="J1961" s="131" t="s">
        <v>3412</v>
      </c>
      <c r="K1961" s="139">
        <v>198210</v>
      </c>
    </row>
    <row r="1962" spans="1:11">
      <c r="A1962" s="1" t="str">
        <f t="shared" si="30"/>
        <v>50100-713327294-941500737198700</v>
      </c>
      <c r="B1962" s="136" t="s">
        <v>11501</v>
      </c>
      <c r="C1962" s="136" t="s">
        <v>11502</v>
      </c>
      <c r="D1962" s="132" t="s">
        <v>3420</v>
      </c>
      <c r="E1962" s="136" t="s">
        <v>2614</v>
      </c>
      <c r="F1962" s="136" t="s">
        <v>2614</v>
      </c>
      <c r="G1962" s="137">
        <v>1394392654001</v>
      </c>
      <c r="H1962" s="138" t="s">
        <v>6453</v>
      </c>
      <c r="I1962" s="136">
        <v>941500737</v>
      </c>
      <c r="J1962" s="131" t="s">
        <v>6863</v>
      </c>
      <c r="K1962" s="139">
        <v>198700</v>
      </c>
    </row>
    <row r="1963" spans="1:11">
      <c r="A1963" s="1" t="str">
        <f t="shared" si="30"/>
        <v>50100-734338395-95250000741361</v>
      </c>
      <c r="B1963" s="136" t="s">
        <v>3031</v>
      </c>
      <c r="C1963" s="136" t="s">
        <v>11331</v>
      </c>
      <c r="D1963" s="132" t="s">
        <v>3420</v>
      </c>
      <c r="E1963" s="136" t="s">
        <v>3046</v>
      </c>
      <c r="F1963" s="136" t="s">
        <v>3046</v>
      </c>
      <c r="G1963" s="137">
        <v>1395397987001</v>
      </c>
      <c r="H1963" s="138" t="s">
        <v>10183</v>
      </c>
      <c r="I1963" s="136">
        <v>952500007</v>
      </c>
      <c r="J1963" s="131" t="s">
        <v>3089</v>
      </c>
      <c r="K1963" s="139">
        <v>41361</v>
      </c>
    </row>
    <row r="1964" spans="1:11">
      <c r="A1964" s="1" t="str">
        <f t="shared" si="30"/>
        <v>50100-747811395-952500007215216</v>
      </c>
      <c r="B1964" s="136" t="s">
        <v>3238</v>
      </c>
      <c r="C1964" s="136" t="s">
        <v>11343</v>
      </c>
      <c r="D1964" s="132" t="s">
        <v>3420</v>
      </c>
      <c r="E1964" s="136" t="s">
        <v>3242</v>
      </c>
      <c r="F1964" s="136" t="s">
        <v>3242</v>
      </c>
      <c r="G1964" s="137">
        <v>1395397987001</v>
      </c>
      <c r="H1964" s="138" t="s">
        <v>10183</v>
      </c>
      <c r="I1964" s="136">
        <v>952500007</v>
      </c>
      <c r="J1964" s="131" t="s">
        <v>3089</v>
      </c>
      <c r="K1964" s="139">
        <v>215216</v>
      </c>
    </row>
    <row r="1965" spans="1:11">
      <c r="A1965" s="1" t="str">
        <f t="shared" si="30"/>
        <v>15100-25126194-941500713383270</v>
      </c>
      <c r="B1965" s="136" t="s">
        <v>11354</v>
      </c>
      <c r="C1965" s="136" t="s">
        <v>11355</v>
      </c>
      <c r="D1965" s="132" t="s">
        <v>3420</v>
      </c>
      <c r="E1965" s="136" t="s">
        <v>2608</v>
      </c>
      <c r="F1965" s="136" t="s">
        <v>2608</v>
      </c>
      <c r="G1965" s="137">
        <v>1394392935001</v>
      </c>
      <c r="H1965" s="138" t="s">
        <v>6298</v>
      </c>
      <c r="I1965" s="136">
        <v>941500713</v>
      </c>
      <c r="J1965" s="131" t="s">
        <v>2763</v>
      </c>
      <c r="K1965" s="139">
        <v>383270</v>
      </c>
    </row>
    <row r="1966" spans="1:11">
      <c r="A1966" s="1" t="str">
        <f t="shared" si="30"/>
        <v>15100-25216794-94150081073440</v>
      </c>
      <c r="B1966" s="136" t="s">
        <v>11503</v>
      </c>
      <c r="C1966" s="136" t="s">
        <v>11504</v>
      </c>
      <c r="D1966" s="132" t="s">
        <v>3420</v>
      </c>
      <c r="E1966" s="136" t="s">
        <v>2616</v>
      </c>
      <c r="F1966" s="136" t="s">
        <v>2616</v>
      </c>
      <c r="G1966" s="137">
        <v>1394394802001</v>
      </c>
      <c r="H1966" s="138" t="s">
        <v>6298</v>
      </c>
      <c r="I1966" s="136">
        <v>941500810</v>
      </c>
      <c r="J1966" s="131" t="s">
        <v>2775</v>
      </c>
      <c r="K1966" s="139">
        <v>73440</v>
      </c>
    </row>
    <row r="1967" spans="1:11">
      <c r="A1967" s="1" t="str">
        <f t="shared" si="30"/>
        <v>50100-832234795-951500468393103</v>
      </c>
      <c r="B1967" s="136" t="s">
        <v>4627</v>
      </c>
      <c r="C1967" s="136" t="s">
        <v>11346</v>
      </c>
      <c r="D1967" s="132" t="s">
        <v>3420</v>
      </c>
      <c r="E1967" s="136" t="s">
        <v>4660</v>
      </c>
      <c r="F1967" s="136" t="s">
        <v>4660</v>
      </c>
      <c r="G1967" s="137">
        <v>1395447925001</v>
      </c>
      <c r="H1967" s="138" t="s">
        <v>6298</v>
      </c>
      <c r="I1967" s="136">
        <v>951500468</v>
      </c>
      <c r="J1967" s="131" t="s">
        <v>4686</v>
      </c>
      <c r="K1967" s="139">
        <v>393103</v>
      </c>
    </row>
    <row r="1968" spans="1:11">
      <c r="A1968" s="1" t="str">
        <f t="shared" si="30"/>
        <v>50100-854803196-9625000031010973</v>
      </c>
      <c r="B1968" s="136" t="s">
        <v>5004</v>
      </c>
      <c r="C1968" s="136" t="s">
        <v>8966</v>
      </c>
      <c r="D1968" s="132" t="s">
        <v>4971</v>
      </c>
      <c r="E1968" s="136" t="s">
        <v>5012</v>
      </c>
      <c r="F1968" s="136" t="s">
        <v>5012</v>
      </c>
      <c r="G1968" s="137">
        <v>1395447928001</v>
      </c>
      <c r="H1968" s="138" t="s">
        <v>10183</v>
      </c>
      <c r="I1968" s="136">
        <v>962500003</v>
      </c>
      <c r="J1968" s="131" t="s">
        <v>5028</v>
      </c>
      <c r="K1968" s="139">
        <v>1010973</v>
      </c>
    </row>
    <row r="1969" spans="1:11">
      <c r="A1969" s="1" t="str">
        <f t="shared" si="30"/>
        <v>50100-723045295-9515000701740</v>
      </c>
      <c r="B1969" s="136" t="s">
        <v>3032</v>
      </c>
      <c r="C1969" s="136" t="s">
        <v>11380</v>
      </c>
      <c r="D1969" s="132" t="s">
        <v>3420</v>
      </c>
      <c r="E1969" s="136" t="s">
        <v>2862</v>
      </c>
      <c r="F1969" s="136" t="s">
        <v>2862</v>
      </c>
      <c r="G1969" s="137">
        <v>1394395845001</v>
      </c>
      <c r="H1969" s="138" t="s">
        <v>6453</v>
      </c>
      <c r="I1969" s="136">
        <v>951500070</v>
      </c>
      <c r="J1969" s="131" t="s">
        <v>2810</v>
      </c>
      <c r="K1969" s="139">
        <v>1740</v>
      </c>
    </row>
    <row r="1970" spans="1:11">
      <c r="A1970" s="1" t="str">
        <f t="shared" si="30"/>
        <v>15100-25828394-94150002524660</v>
      </c>
      <c r="B1970" s="136" t="s">
        <v>11440</v>
      </c>
      <c r="C1970" s="136" t="s">
        <v>11441</v>
      </c>
      <c r="D1970" s="132" t="s">
        <v>3420</v>
      </c>
      <c r="E1970" s="136" t="s">
        <v>2751</v>
      </c>
      <c r="F1970" s="136" t="s">
        <v>2751</v>
      </c>
      <c r="G1970" s="137">
        <v>1394341921001</v>
      </c>
      <c r="H1970" s="138" t="s">
        <v>6298</v>
      </c>
      <c r="I1970" s="136">
        <v>941500025</v>
      </c>
      <c r="J1970" s="131" t="s">
        <v>2089</v>
      </c>
      <c r="K1970" s="139">
        <v>24660</v>
      </c>
    </row>
    <row r="1971" spans="1:11">
      <c r="A1971" s="1" t="str">
        <f t="shared" si="30"/>
        <v>15100-28194194-94150084417520</v>
      </c>
      <c r="B1971" s="136" t="s">
        <v>3204</v>
      </c>
      <c r="C1971" s="136" t="s">
        <v>11388</v>
      </c>
      <c r="D1971" s="132" t="s">
        <v>3420</v>
      </c>
      <c r="E1971" s="136" t="s">
        <v>3165</v>
      </c>
      <c r="F1971" s="136" t="s">
        <v>3165</v>
      </c>
      <c r="G1971" s="137">
        <v>1394395844001</v>
      </c>
      <c r="H1971" s="138" t="s">
        <v>6298</v>
      </c>
      <c r="I1971" s="136">
        <v>941500844</v>
      </c>
      <c r="J1971" s="131" t="s">
        <v>2883</v>
      </c>
      <c r="K1971" s="139">
        <v>17520</v>
      </c>
    </row>
    <row r="1972" spans="1:11">
      <c r="A1972" s="1" t="str">
        <f t="shared" si="30"/>
        <v>15100-29914294-941500775274775</v>
      </c>
      <c r="B1972" s="136" t="s">
        <v>3365</v>
      </c>
      <c r="C1972" s="136" t="s">
        <v>11402</v>
      </c>
      <c r="D1972" s="132" t="s">
        <v>3420</v>
      </c>
      <c r="E1972" s="136" t="s">
        <v>3377</v>
      </c>
      <c r="F1972" s="136" t="s">
        <v>3377</v>
      </c>
      <c r="G1972" s="137">
        <v>1394394178001</v>
      </c>
      <c r="H1972" s="138" t="s">
        <v>6298</v>
      </c>
      <c r="I1972" s="136">
        <v>941500775</v>
      </c>
      <c r="J1972" s="131" t="s">
        <v>3058</v>
      </c>
      <c r="K1972" s="139">
        <v>274775</v>
      </c>
    </row>
    <row r="1973" spans="1:11">
      <c r="A1973" s="1" t="str">
        <f t="shared" si="30"/>
        <v>15100-30132495-95150012623670</v>
      </c>
      <c r="B1973" s="136" t="s">
        <v>3367</v>
      </c>
      <c r="C1973" s="136" t="s">
        <v>11505</v>
      </c>
      <c r="D1973" s="132" t="s">
        <v>3420</v>
      </c>
      <c r="E1973" s="136" t="s">
        <v>3375</v>
      </c>
      <c r="F1973" s="136" t="s">
        <v>3375</v>
      </c>
      <c r="G1973" s="137">
        <v>1395397985001</v>
      </c>
      <c r="H1973" s="138" t="s">
        <v>6298</v>
      </c>
      <c r="I1973" s="136">
        <v>951500126</v>
      </c>
      <c r="J1973" s="131" t="s">
        <v>3381</v>
      </c>
      <c r="K1973" s="139">
        <v>23670</v>
      </c>
    </row>
    <row r="1974" spans="1:11">
      <c r="A1974" s="1" t="str">
        <f t="shared" si="30"/>
        <v>15100-26357994-94150073045880</v>
      </c>
      <c r="B1974" s="136" t="s">
        <v>11506</v>
      </c>
      <c r="C1974" s="136" t="s">
        <v>11507</v>
      </c>
      <c r="D1974" s="132" t="s">
        <v>3420</v>
      </c>
      <c r="E1974" s="136" t="s">
        <v>2863</v>
      </c>
      <c r="F1974" s="136" t="s">
        <v>2863</v>
      </c>
      <c r="G1974" s="137">
        <v>1394392935001</v>
      </c>
      <c r="H1974" s="138" t="s">
        <v>6298</v>
      </c>
      <c r="I1974" s="136">
        <v>941500730</v>
      </c>
      <c r="J1974" s="131" t="s">
        <v>2891</v>
      </c>
      <c r="K1974" s="139">
        <v>45880</v>
      </c>
    </row>
    <row r="1975" spans="1:11">
      <c r="A1975" s="1" t="str">
        <f t="shared" si="30"/>
        <v>15100-36338195-95150045796240</v>
      </c>
      <c r="B1975" s="136" t="s">
        <v>4336</v>
      </c>
      <c r="C1975" s="136" t="s">
        <v>11508</v>
      </c>
      <c r="D1975" s="132" t="s">
        <v>3420</v>
      </c>
      <c r="E1975" s="136" t="s">
        <v>4174</v>
      </c>
      <c r="F1975" s="136" t="s">
        <v>4174</v>
      </c>
      <c r="G1975" s="137">
        <v>1395441450001</v>
      </c>
      <c r="H1975" s="138" t="s">
        <v>6300</v>
      </c>
      <c r="I1975" s="136">
        <v>951500457</v>
      </c>
      <c r="J1975" s="131" t="s">
        <v>4357</v>
      </c>
      <c r="K1975" s="139">
        <v>96240</v>
      </c>
    </row>
    <row r="1976" spans="1:11">
      <c r="A1976" s="1" t="str">
        <f t="shared" si="30"/>
        <v>15100-35420195-951500406144340</v>
      </c>
      <c r="B1976" s="136" t="s">
        <v>4162</v>
      </c>
      <c r="C1976" s="136" t="s">
        <v>11509</v>
      </c>
      <c r="D1976" s="132" t="s">
        <v>3420</v>
      </c>
      <c r="E1976" s="136" t="s">
        <v>4182</v>
      </c>
      <c r="F1976" s="136" t="s">
        <v>4182</v>
      </c>
      <c r="G1976" s="137">
        <v>1395445412001</v>
      </c>
      <c r="H1976" s="138" t="s">
        <v>6298</v>
      </c>
      <c r="I1976" s="136">
        <v>951500406</v>
      </c>
      <c r="J1976" s="131" t="s">
        <v>4284</v>
      </c>
      <c r="K1976" s="139">
        <v>144340</v>
      </c>
    </row>
    <row r="1977" spans="1:11">
      <c r="A1977" s="1" t="str">
        <f t="shared" si="30"/>
        <v>15100-35576895-95150040873480</v>
      </c>
      <c r="B1977" s="136" t="s">
        <v>4155</v>
      </c>
      <c r="C1977" s="136" t="s">
        <v>11414</v>
      </c>
      <c r="D1977" s="132" t="s">
        <v>3420</v>
      </c>
      <c r="E1977" s="136" t="s">
        <v>4183</v>
      </c>
      <c r="F1977" s="136" t="s">
        <v>4183</v>
      </c>
      <c r="G1977" s="137">
        <v>1395445412001</v>
      </c>
      <c r="H1977" s="138" t="s">
        <v>6298</v>
      </c>
      <c r="I1977" s="136">
        <v>951500408</v>
      </c>
      <c r="J1977" s="131" t="s">
        <v>4293</v>
      </c>
      <c r="K1977" s="139">
        <v>73480</v>
      </c>
    </row>
    <row r="1978" spans="1:11">
      <c r="A1978" s="1" t="str">
        <f t="shared" si="30"/>
        <v>15100-37011395-95150045775850</v>
      </c>
      <c r="B1978" s="136" t="s">
        <v>4392</v>
      </c>
      <c r="C1978" s="136" t="s">
        <v>11510</v>
      </c>
      <c r="D1978" s="132" t="s">
        <v>3420</v>
      </c>
      <c r="E1978" s="136" t="s">
        <v>4444</v>
      </c>
      <c r="F1978" s="136" t="s">
        <v>4444</v>
      </c>
      <c r="G1978" s="137">
        <v>1395441450001</v>
      </c>
      <c r="H1978" s="138" t="s">
        <v>6300</v>
      </c>
      <c r="I1978" s="136">
        <v>951500457</v>
      </c>
      <c r="J1978" s="131" t="s">
        <v>4357</v>
      </c>
      <c r="K1978" s="139">
        <v>75850</v>
      </c>
    </row>
    <row r="1979" spans="1:11">
      <c r="A1979" s="1" t="str">
        <f t="shared" si="30"/>
        <v>50100-723739795-951500077299465</v>
      </c>
      <c r="B1979" s="136" t="s">
        <v>3037</v>
      </c>
      <c r="C1979" s="136" t="s">
        <v>11511</v>
      </c>
      <c r="D1979" s="132" t="s">
        <v>3420</v>
      </c>
      <c r="E1979" s="136" t="s">
        <v>2863</v>
      </c>
      <c r="F1979" s="136" t="s">
        <v>2863</v>
      </c>
      <c r="G1979" s="137">
        <v>1394395845001</v>
      </c>
      <c r="H1979" s="138" t="s">
        <v>6453</v>
      </c>
      <c r="I1979" s="136">
        <v>951500077</v>
      </c>
      <c r="J1979" s="131" t="s">
        <v>3128</v>
      </c>
      <c r="K1979" s="139">
        <v>299465</v>
      </c>
    </row>
    <row r="1980" spans="1:11">
      <c r="A1980" s="1" t="str">
        <f t="shared" si="30"/>
        <v>50100-775399295-954200011293679</v>
      </c>
      <c r="B1980" s="136" t="s">
        <v>3486</v>
      </c>
      <c r="C1980" s="136" t="s">
        <v>11512</v>
      </c>
      <c r="D1980" s="132" t="s">
        <v>3420</v>
      </c>
      <c r="E1980" s="136" t="s">
        <v>3464</v>
      </c>
      <c r="F1980" s="136" t="s">
        <v>3464</v>
      </c>
      <c r="G1980" s="137">
        <v>1395422325001</v>
      </c>
      <c r="H1980" s="138" t="s">
        <v>10183</v>
      </c>
      <c r="I1980" s="136">
        <v>954200011</v>
      </c>
      <c r="J1980" s="131" t="s">
        <v>3510</v>
      </c>
      <c r="K1980" s="139">
        <v>293679</v>
      </c>
    </row>
    <row r="1981" spans="1:11">
      <c r="A1981" s="1" t="str">
        <f t="shared" si="30"/>
        <v>50100-775415695-954200014489964</v>
      </c>
      <c r="B1981" s="136" t="s">
        <v>3487</v>
      </c>
      <c r="C1981" s="136" t="s">
        <v>11513</v>
      </c>
      <c r="D1981" s="132" t="s">
        <v>3420</v>
      </c>
      <c r="E1981" s="136" t="s">
        <v>3464</v>
      </c>
      <c r="F1981" s="136" t="s">
        <v>3464</v>
      </c>
      <c r="G1981" s="137">
        <v>1395426990001</v>
      </c>
      <c r="H1981" s="138" t="s">
        <v>6456</v>
      </c>
      <c r="I1981" s="136">
        <v>954200014</v>
      </c>
      <c r="J1981" s="131" t="s">
        <v>3511</v>
      </c>
      <c r="K1981" s="139">
        <v>489964</v>
      </c>
    </row>
    <row r="1982" spans="1:11">
      <c r="A1982" s="1" t="str">
        <f t="shared" si="30"/>
        <v>50100-774607495-95250002365674</v>
      </c>
      <c r="B1982" s="136" t="s">
        <v>3488</v>
      </c>
      <c r="C1982" s="136" t="s">
        <v>11514</v>
      </c>
      <c r="D1982" s="132" t="s">
        <v>3420</v>
      </c>
      <c r="E1982" s="136" t="s">
        <v>3463</v>
      </c>
      <c r="F1982" s="136" t="s">
        <v>3463</v>
      </c>
      <c r="G1982" s="137">
        <v>1395397987001</v>
      </c>
      <c r="H1982" s="138" t="s">
        <v>10183</v>
      </c>
      <c r="I1982" s="136">
        <v>952500023</v>
      </c>
      <c r="J1982" s="131" t="s">
        <v>3406</v>
      </c>
      <c r="K1982" s="139">
        <v>65674</v>
      </c>
    </row>
    <row r="1983" spans="1:11">
      <c r="A1983" s="1" t="str">
        <f t="shared" si="30"/>
        <v>50100-774607495-952500024197590</v>
      </c>
      <c r="B1983" s="136" t="s">
        <v>3488</v>
      </c>
      <c r="C1983" s="136" t="s">
        <v>11514</v>
      </c>
      <c r="D1983" s="132" t="s">
        <v>3420</v>
      </c>
      <c r="E1983" s="136" t="s">
        <v>3463</v>
      </c>
      <c r="F1983" s="136" t="s">
        <v>3463</v>
      </c>
      <c r="G1983" s="137">
        <v>1395397987001</v>
      </c>
      <c r="H1983" s="138" t="s">
        <v>10183</v>
      </c>
      <c r="I1983" s="136">
        <v>952500024</v>
      </c>
      <c r="J1983" s="131" t="s">
        <v>3512</v>
      </c>
      <c r="K1983" s="139">
        <v>197590</v>
      </c>
    </row>
    <row r="1984" spans="1:11">
      <c r="A1984" s="1" t="str">
        <f t="shared" si="30"/>
        <v>50100-776458095-951500037299820</v>
      </c>
      <c r="B1984" s="136" t="s">
        <v>3489</v>
      </c>
      <c r="C1984" s="136" t="s">
        <v>11515</v>
      </c>
      <c r="D1984" s="132" t="s">
        <v>3420</v>
      </c>
      <c r="E1984" s="136" t="s">
        <v>3504</v>
      </c>
      <c r="F1984" s="136" t="s">
        <v>3504</v>
      </c>
      <c r="G1984" s="137">
        <v>1395397986001</v>
      </c>
      <c r="H1984" s="138" t="s">
        <v>6454</v>
      </c>
      <c r="I1984" s="136">
        <v>951500037</v>
      </c>
      <c r="J1984" s="131" t="s">
        <v>3513</v>
      </c>
      <c r="K1984" s="139">
        <v>299820</v>
      </c>
    </row>
    <row r="1985" spans="1:11">
      <c r="A1985" s="1" t="str">
        <f t="shared" si="30"/>
        <v>50100-777495295-954200016972871</v>
      </c>
      <c r="B1985" s="136" t="s">
        <v>3490</v>
      </c>
      <c r="C1985" s="136" t="s">
        <v>11516</v>
      </c>
      <c r="D1985" s="132" t="s">
        <v>3420</v>
      </c>
      <c r="E1985" s="136" t="s">
        <v>3505</v>
      </c>
      <c r="F1985" s="136" t="s">
        <v>3505</v>
      </c>
      <c r="G1985" s="137">
        <v>1395421206001</v>
      </c>
      <c r="H1985" s="138" t="s">
        <v>6298</v>
      </c>
      <c r="I1985" s="136">
        <v>954200016</v>
      </c>
      <c r="J1985" s="131" t="s">
        <v>3514</v>
      </c>
      <c r="K1985" s="139">
        <v>972871</v>
      </c>
    </row>
    <row r="1986" spans="1:11">
      <c r="A1986" s="1" t="str">
        <f t="shared" si="30"/>
        <v>50100-773722195-954200009982193</v>
      </c>
      <c r="B1986" s="136" t="s">
        <v>3491</v>
      </c>
      <c r="C1986" s="136" t="s">
        <v>11517</v>
      </c>
      <c r="D1986" s="132" t="s">
        <v>3420</v>
      </c>
      <c r="E1986" s="136" t="s">
        <v>3455</v>
      </c>
      <c r="F1986" s="136" t="s">
        <v>3455</v>
      </c>
      <c r="G1986" s="137">
        <v>1395418115001</v>
      </c>
      <c r="H1986" s="138" t="s">
        <v>10183</v>
      </c>
      <c r="I1986" s="136">
        <v>954200009</v>
      </c>
      <c r="J1986" s="131" t="s">
        <v>3515</v>
      </c>
      <c r="K1986" s="139">
        <v>982193</v>
      </c>
    </row>
    <row r="1987" spans="1:11">
      <c r="A1987" s="1" t="str">
        <f t="shared" ref="A1987:A2050" si="31">B1987&amp;J1987&amp;K1987</f>
        <v>50100-776458095-9515001441000000</v>
      </c>
      <c r="B1987" s="136" t="s">
        <v>3489</v>
      </c>
      <c r="C1987" s="136" t="s">
        <v>11515</v>
      </c>
      <c r="D1987" s="132" t="s">
        <v>3420</v>
      </c>
      <c r="E1987" s="136" t="s">
        <v>3504</v>
      </c>
      <c r="F1987" s="136" t="s">
        <v>3504</v>
      </c>
      <c r="G1987" s="137">
        <v>1395397986001</v>
      </c>
      <c r="H1987" s="138" t="s">
        <v>6454</v>
      </c>
      <c r="I1987" s="136">
        <v>951500144</v>
      </c>
      <c r="J1987" s="131" t="s">
        <v>3516</v>
      </c>
      <c r="K1987" s="139">
        <v>1000000</v>
      </c>
    </row>
    <row r="1988" spans="1:11">
      <c r="A1988" s="1" t="str">
        <f t="shared" si="31"/>
        <v>50100-776458095-951500198100651</v>
      </c>
      <c r="B1988" s="136" t="s">
        <v>3489</v>
      </c>
      <c r="C1988" s="136" t="s">
        <v>11515</v>
      </c>
      <c r="D1988" s="132" t="s">
        <v>3420</v>
      </c>
      <c r="E1988" s="136" t="s">
        <v>3504</v>
      </c>
      <c r="F1988" s="136" t="s">
        <v>3504</v>
      </c>
      <c r="G1988" s="137">
        <v>1395397986001</v>
      </c>
      <c r="H1988" s="138" t="s">
        <v>6454</v>
      </c>
      <c r="I1988" s="136">
        <v>951500198</v>
      </c>
      <c r="J1988" s="131" t="s">
        <v>3476</v>
      </c>
      <c r="K1988" s="139">
        <v>100651</v>
      </c>
    </row>
    <row r="1989" spans="1:11">
      <c r="A1989" s="1" t="str">
        <f t="shared" si="31"/>
        <v>50100-776621595-954200013970302</v>
      </c>
      <c r="B1989" s="136" t="s">
        <v>3492</v>
      </c>
      <c r="C1989" s="136" t="s">
        <v>11518</v>
      </c>
      <c r="D1989" s="132" t="s">
        <v>3420</v>
      </c>
      <c r="E1989" s="136" t="s">
        <v>3506</v>
      </c>
      <c r="F1989" s="136" t="s">
        <v>3506</v>
      </c>
      <c r="G1989" s="137">
        <v>1395418115001</v>
      </c>
      <c r="H1989" s="138" t="s">
        <v>10183</v>
      </c>
      <c r="I1989" s="136">
        <v>954200013</v>
      </c>
      <c r="J1989" s="131" t="s">
        <v>3517</v>
      </c>
      <c r="K1989" s="139">
        <v>970302</v>
      </c>
    </row>
    <row r="1990" spans="1:11">
      <c r="A1990" s="1" t="str">
        <f t="shared" si="31"/>
        <v>50100-776458095-95150011878049</v>
      </c>
      <c r="B1990" s="136" t="s">
        <v>3489</v>
      </c>
      <c r="C1990" s="136" t="s">
        <v>11515</v>
      </c>
      <c r="D1990" s="132" t="s">
        <v>3420</v>
      </c>
      <c r="E1990" s="136" t="s">
        <v>3504</v>
      </c>
      <c r="F1990" s="136" t="s">
        <v>3504</v>
      </c>
      <c r="G1990" s="137">
        <v>1394395845001</v>
      </c>
      <c r="H1990" s="138" t="s">
        <v>6453</v>
      </c>
      <c r="I1990" s="136">
        <v>951500118</v>
      </c>
      <c r="J1990" s="131" t="s">
        <v>3346</v>
      </c>
      <c r="K1990" s="139">
        <v>78049</v>
      </c>
    </row>
    <row r="1991" spans="1:11">
      <c r="A1991" s="1" t="str">
        <f t="shared" si="31"/>
        <v>50100-776458095-95150016617710</v>
      </c>
      <c r="B1991" s="136" t="s">
        <v>3489</v>
      </c>
      <c r="C1991" s="136" t="s">
        <v>11515</v>
      </c>
      <c r="D1991" s="132" t="s">
        <v>3420</v>
      </c>
      <c r="E1991" s="136" t="s">
        <v>3504</v>
      </c>
      <c r="F1991" s="136" t="s">
        <v>3504</v>
      </c>
      <c r="G1991" s="137">
        <v>1395399149001</v>
      </c>
      <c r="H1991" s="138" t="s">
        <v>10186</v>
      </c>
      <c r="I1991" s="136">
        <v>951500166</v>
      </c>
      <c r="J1991" s="131" t="s">
        <v>3252</v>
      </c>
      <c r="K1991" s="139">
        <v>17710</v>
      </c>
    </row>
    <row r="1992" spans="1:11">
      <c r="A1992" s="1" t="str">
        <f t="shared" si="31"/>
        <v>50100-775597095-951500150606540</v>
      </c>
      <c r="B1992" s="136" t="s">
        <v>3449</v>
      </c>
      <c r="C1992" s="136" t="s">
        <v>11519</v>
      </c>
      <c r="D1992" s="132" t="s">
        <v>3420</v>
      </c>
      <c r="E1992" s="136" t="s">
        <v>3464</v>
      </c>
      <c r="F1992" s="136" t="s">
        <v>3464</v>
      </c>
      <c r="G1992" s="137">
        <v>1395397986001</v>
      </c>
      <c r="H1992" s="138" t="s">
        <v>6454</v>
      </c>
      <c r="I1992" s="136">
        <v>951500150</v>
      </c>
      <c r="J1992" s="131" t="s">
        <v>3483</v>
      </c>
      <c r="K1992" s="139">
        <v>606540</v>
      </c>
    </row>
    <row r="1993" spans="1:11">
      <c r="A1993" s="1" t="str">
        <f t="shared" si="31"/>
        <v>50100-775220495-954200012485257</v>
      </c>
      <c r="B1993" s="136" t="s">
        <v>3493</v>
      </c>
      <c r="C1993" s="136" t="s">
        <v>11520</v>
      </c>
      <c r="D1993" s="132" t="s">
        <v>3420</v>
      </c>
      <c r="E1993" s="136" t="s">
        <v>3464</v>
      </c>
      <c r="F1993" s="136" t="s">
        <v>3464</v>
      </c>
      <c r="G1993" s="137">
        <v>1395422325001</v>
      </c>
      <c r="H1993" s="138" t="s">
        <v>10183</v>
      </c>
      <c r="I1993" s="136">
        <v>954200012</v>
      </c>
      <c r="J1993" s="131" t="s">
        <v>3518</v>
      </c>
      <c r="K1993" s="139">
        <v>485257</v>
      </c>
    </row>
    <row r="1994" spans="1:11">
      <c r="A1994" s="1" t="str">
        <f t="shared" si="31"/>
        <v>50100-776458095-9515000551750</v>
      </c>
      <c r="B1994" s="136" t="s">
        <v>3489</v>
      </c>
      <c r="C1994" s="136" t="s">
        <v>11515</v>
      </c>
      <c r="D1994" s="132" t="s">
        <v>3420</v>
      </c>
      <c r="E1994" s="136" t="s">
        <v>3504</v>
      </c>
      <c r="F1994" s="136" t="s">
        <v>3504</v>
      </c>
      <c r="G1994" s="137">
        <v>1394395845001</v>
      </c>
      <c r="H1994" s="138" t="s">
        <v>6453</v>
      </c>
      <c r="I1994" s="136">
        <v>951500055</v>
      </c>
      <c r="J1994" s="131" t="s">
        <v>3092</v>
      </c>
      <c r="K1994" s="139">
        <v>1750</v>
      </c>
    </row>
    <row r="1995" spans="1:11">
      <c r="A1995" s="1" t="str">
        <f t="shared" si="31"/>
        <v>50100-776458095-951500062499720</v>
      </c>
      <c r="B1995" s="136" t="s">
        <v>3489</v>
      </c>
      <c r="C1995" s="136" t="s">
        <v>11515</v>
      </c>
      <c r="D1995" s="132" t="s">
        <v>3420</v>
      </c>
      <c r="E1995" s="136" t="s">
        <v>3504</v>
      </c>
      <c r="F1995" s="136" t="s">
        <v>3504</v>
      </c>
      <c r="G1995" s="137">
        <v>1394395845001</v>
      </c>
      <c r="H1995" s="138" t="s">
        <v>6453</v>
      </c>
      <c r="I1995" s="136">
        <v>951500062</v>
      </c>
      <c r="J1995" s="131" t="s">
        <v>3519</v>
      </c>
      <c r="K1995" s="139">
        <v>499720</v>
      </c>
    </row>
    <row r="1996" spans="1:11">
      <c r="A1996" s="1" t="str">
        <f t="shared" si="31"/>
        <v>50100-774607495-952500033714549</v>
      </c>
      <c r="B1996" s="136" t="s">
        <v>3488</v>
      </c>
      <c r="C1996" s="136" t="s">
        <v>11514</v>
      </c>
      <c r="D1996" s="132" t="s">
        <v>3420</v>
      </c>
      <c r="E1996" s="136" t="s">
        <v>3463</v>
      </c>
      <c r="F1996" s="136" t="s">
        <v>3463</v>
      </c>
      <c r="G1996" s="137">
        <v>1395397987001</v>
      </c>
      <c r="H1996" s="138" t="s">
        <v>10183</v>
      </c>
      <c r="I1996" s="136">
        <v>952500033</v>
      </c>
      <c r="J1996" s="131" t="s">
        <v>3520</v>
      </c>
      <c r="K1996" s="139">
        <v>714549</v>
      </c>
    </row>
    <row r="1997" spans="1:11">
      <c r="A1997" s="1" t="str">
        <f t="shared" si="31"/>
        <v>50100-776020895-954200017195282</v>
      </c>
      <c r="B1997" s="136" t="s">
        <v>3494</v>
      </c>
      <c r="C1997" s="136" t="s">
        <v>11521</v>
      </c>
      <c r="D1997" s="132" t="s">
        <v>3420</v>
      </c>
      <c r="E1997" s="136" t="s">
        <v>3507</v>
      </c>
      <c r="F1997" s="136" t="s">
        <v>3507</v>
      </c>
      <c r="G1997" s="137">
        <v>1395421206001</v>
      </c>
      <c r="H1997" s="138" t="s">
        <v>6298</v>
      </c>
      <c r="I1997" s="136">
        <v>954200017</v>
      </c>
      <c r="J1997" s="131" t="s">
        <v>3521</v>
      </c>
      <c r="K1997" s="139">
        <v>195282</v>
      </c>
    </row>
    <row r="1998" spans="1:11">
      <c r="A1998" s="1" t="str">
        <f t="shared" si="31"/>
        <v>50100-776393595-951500171365638</v>
      </c>
      <c r="B1998" s="136" t="s">
        <v>3495</v>
      </c>
      <c r="C1998" s="136" t="s">
        <v>11522</v>
      </c>
      <c r="D1998" s="132" t="s">
        <v>3420</v>
      </c>
      <c r="E1998" s="136" t="s">
        <v>3504</v>
      </c>
      <c r="F1998" s="136" t="s">
        <v>3504</v>
      </c>
      <c r="G1998" s="137">
        <v>1395397987001</v>
      </c>
      <c r="H1998" s="138" t="s">
        <v>10183</v>
      </c>
      <c r="I1998" s="136">
        <v>951500171</v>
      </c>
      <c r="J1998" s="131" t="s">
        <v>3470</v>
      </c>
      <c r="K1998" s="139">
        <v>365638</v>
      </c>
    </row>
    <row r="1999" spans="1:11">
      <c r="A1999" s="1" t="str">
        <f t="shared" si="31"/>
        <v>50100-776393595-95150019487134</v>
      </c>
      <c r="B1999" s="136" t="s">
        <v>3495</v>
      </c>
      <c r="C1999" s="136" t="s">
        <v>11522</v>
      </c>
      <c r="D1999" s="132" t="s">
        <v>3420</v>
      </c>
      <c r="E1999" s="136" t="s">
        <v>3504</v>
      </c>
      <c r="F1999" s="136" t="s">
        <v>3504</v>
      </c>
      <c r="G1999" s="137">
        <v>1395401420001</v>
      </c>
      <c r="H1999" s="138" t="s">
        <v>6298</v>
      </c>
      <c r="I1999" s="136">
        <v>951500194</v>
      </c>
      <c r="J1999" s="131" t="s">
        <v>3177</v>
      </c>
      <c r="K1999" s="139">
        <v>87134</v>
      </c>
    </row>
    <row r="2000" spans="1:11">
      <c r="A2000" s="1" t="str">
        <f t="shared" si="31"/>
        <v>50100-776393595-9515001224380</v>
      </c>
      <c r="B2000" s="136" t="s">
        <v>3495</v>
      </c>
      <c r="C2000" s="136" t="s">
        <v>11522</v>
      </c>
      <c r="D2000" s="132" t="s">
        <v>3420</v>
      </c>
      <c r="E2000" s="136" t="s">
        <v>3504</v>
      </c>
      <c r="F2000" s="136" t="s">
        <v>3504</v>
      </c>
      <c r="G2000" s="137">
        <v>1395397987001</v>
      </c>
      <c r="H2000" s="138" t="s">
        <v>10183</v>
      </c>
      <c r="I2000" s="136">
        <v>951500122</v>
      </c>
      <c r="J2000" s="131" t="s">
        <v>3134</v>
      </c>
      <c r="K2000" s="139">
        <v>4380</v>
      </c>
    </row>
    <row r="2001" spans="1:11">
      <c r="A2001" s="1" t="str">
        <f t="shared" si="31"/>
        <v>50100-773609395-9515002181000000</v>
      </c>
      <c r="B2001" s="136" t="s">
        <v>3496</v>
      </c>
      <c r="C2001" s="136" t="s">
        <v>11523</v>
      </c>
      <c r="D2001" s="132" t="s">
        <v>3420</v>
      </c>
      <c r="E2001" s="136" t="s">
        <v>3455</v>
      </c>
      <c r="F2001" s="136" t="s">
        <v>3455</v>
      </c>
      <c r="G2001" s="137">
        <v>1395426988001</v>
      </c>
      <c r="H2001" s="138" t="s">
        <v>6300</v>
      </c>
      <c r="I2001" s="136">
        <v>951500218</v>
      </c>
      <c r="J2001" s="131" t="s">
        <v>3522</v>
      </c>
      <c r="K2001" s="139">
        <v>1000000</v>
      </c>
    </row>
    <row r="2002" spans="1:11">
      <c r="A2002" s="1" t="str">
        <f t="shared" si="31"/>
        <v>50100-776264595-951500150300000</v>
      </c>
      <c r="B2002" s="136" t="s">
        <v>3497</v>
      </c>
      <c r="C2002" s="136" t="s">
        <v>11524</v>
      </c>
      <c r="D2002" s="132" t="s">
        <v>3420</v>
      </c>
      <c r="E2002" s="136" t="s">
        <v>3506</v>
      </c>
      <c r="F2002" s="136" t="s">
        <v>3506</v>
      </c>
      <c r="G2002" s="137">
        <v>1395397986001</v>
      </c>
      <c r="H2002" s="138" t="s">
        <v>6454</v>
      </c>
      <c r="I2002" s="136">
        <v>951500150</v>
      </c>
      <c r="J2002" s="131" t="s">
        <v>3483</v>
      </c>
      <c r="K2002" s="139">
        <v>300000</v>
      </c>
    </row>
    <row r="2003" spans="1:11">
      <c r="A2003" s="1" t="str">
        <f t="shared" si="31"/>
        <v>50100-776393595-95150016544358</v>
      </c>
      <c r="B2003" s="136" t="s">
        <v>3495</v>
      </c>
      <c r="C2003" s="136" t="s">
        <v>11522</v>
      </c>
      <c r="D2003" s="132" t="s">
        <v>3420</v>
      </c>
      <c r="E2003" s="136" t="s">
        <v>3504</v>
      </c>
      <c r="F2003" s="136" t="s">
        <v>3504</v>
      </c>
      <c r="G2003" s="137">
        <v>1395397986001</v>
      </c>
      <c r="H2003" s="138" t="s">
        <v>6454</v>
      </c>
      <c r="I2003" s="136">
        <v>951500165</v>
      </c>
      <c r="J2003" s="131" t="s">
        <v>3523</v>
      </c>
      <c r="K2003" s="139">
        <v>44358</v>
      </c>
    </row>
    <row r="2004" spans="1:11">
      <c r="A2004" s="1" t="str">
        <f t="shared" si="31"/>
        <v>50100-774926495-951500184499695</v>
      </c>
      <c r="B2004" s="136" t="s">
        <v>3448</v>
      </c>
      <c r="C2004" s="136" t="s">
        <v>11525</v>
      </c>
      <c r="D2004" s="132" t="s">
        <v>3420</v>
      </c>
      <c r="E2004" s="136" t="s">
        <v>3463</v>
      </c>
      <c r="F2004" s="136" t="s">
        <v>3463</v>
      </c>
      <c r="G2004" s="137">
        <v>1395400303001</v>
      </c>
      <c r="H2004" s="138" t="s">
        <v>6453</v>
      </c>
      <c r="I2004" s="136">
        <v>951500184</v>
      </c>
      <c r="J2004" s="131" t="s">
        <v>3471</v>
      </c>
      <c r="K2004" s="139">
        <v>499695</v>
      </c>
    </row>
    <row r="2005" spans="1:11">
      <c r="A2005" s="1" t="str">
        <f t="shared" si="31"/>
        <v>50100-776999295-9515001511000000</v>
      </c>
      <c r="B2005" s="136" t="s">
        <v>3498</v>
      </c>
      <c r="C2005" s="136" t="s">
        <v>11526</v>
      </c>
      <c r="D2005" s="132" t="s">
        <v>3420</v>
      </c>
      <c r="E2005" s="136" t="s">
        <v>3508</v>
      </c>
      <c r="F2005" s="136" t="s">
        <v>3508</v>
      </c>
      <c r="G2005" s="137">
        <v>1395397986001</v>
      </c>
      <c r="H2005" s="138" t="s">
        <v>6454</v>
      </c>
      <c r="I2005" s="136">
        <v>951500151</v>
      </c>
      <c r="J2005" s="131" t="s">
        <v>3524</v>
      </c>
      <c r="K2005" s="139">
        <v>1000000</v>
      </c>
    </row>
    <row r="2006" spans="1:11">
      <c r="A2006" s="1" t="str">
        <f t="shared" si="31"/>
        <v>50100-777012795-95150018735892</v>
      </c>
      <c r="B2006" s="136" t="s">
        <v>3499</v>
      </c>
      <c r="C2006" s="136" t="s">
        <v>11527</v>
      </c>
      <c r="D2006" s="132" t="s">
        <v>3420</v>
      </c>
      <c r="E2006" s="136" t="s">
        <v>3508</v>
      </c>
      <c r="F2006" s="136" t="s">
        <v>3508</v>
      </c>
      <c r="G2006" s="137">
        <v>1395400303001</v>
      </c>
      <c r="H2006" s="138" t="s">
        <v>6453</v>
      </c>
      <c r="I2006" s="136">
        <v>951500187</v>
      </c>
      <c r="J2006" s="131" t="s">
        <v>3189</v>
      </c>
      <c r="K2006" s="139">
        <v>35892</v>
      </c>
    </row>
    <row r="2007" spans="1:11">
      <c r="A2007" s="1" t="str">
        <f t="shared" si="31"/>
        <v>50100-777012795-951500184362698</v>
      </c>
      <c r="B2007" s="136" t="s">
        <v>3499</v>
      </c>
      <c r="C2007" s="136" t="s">
        <v>11527</v>
      </c>
      <c r="D2007" s="132" t="s">
        <v>3420</v>
      </c>
      <c r="E2007" s="136" t="s">
        <v>3508</v>
      </c>
      <c r="F2007" s="136" t="s">
        <v>3508</v>
      </c>
      <c r="G2007" s="137">
        <v>1395400303001</v>
      </c>
      <c r="H2007" s="138" t="s">
        <v>6453</v>
      </c>
      <c r="I2007" s="136">
        <v>951500184</v>
      </c>
      <c r="J2007" s="131" t="s">
        <v>3471</v>
      </c>
      <c r="K2007" s="139">
        <v>362698</v>
      </c>
    </row>
    <row r="2008" spans="1:11">
      <c r="A2008" s="1" t="str">
        <f t="shared" si="31"/>
        <v>50100-776243295-951500221398820</v>
      </c>
      <c r="B2008" s="136" t="s">
        <v>3500</v>
      </c>
      <c r="C2008" s="136" t="s">
        <v>11528</v>
      </c>
      <c r="D2008" s="132" t="s">
        <v>3420</v>
      </c>
      <c r="E2008" s="136" t="s">
        <v>3504</v>
      </c>
      <c r="F2008" s="136" t="s">
        <v>3504</v>
      </c>
      <c r="G2008" s="137">
        <v>1395426988001</v>
      </c>
      <c r="H2008" s="138" t="s">
        <v>6300</v>
      </c>
      <c r="I2008" s="136">
        <v>951500221</v>
      </c>
      <c r="J2008" s="131" t="s">
        <v>3525</v>
      </c>
      <c r="K2008" s="139">
        <v>398820</v>
      </c>
    </row>
    <row r="2009" spans="1:11">
      <c r="A2009" s="1" t="str">
        <f t="shared" si="31"/>
        <v>50100-774417495-954200010488741</v>
      </c>
      <c r="B2009" s="136" t="s">
        <v>3501</v>
      </c>
      <c r="C2009" s="136" t="s">
        <v>11529</v>
      </c>
      <c r="D2009" s="132" t="s">
        <v>3420</v>
      </c>
      <c r="E2009" s="136" t="s">
        <v>3509</v>
      </c>
      <c r="F2009" s="136" t="s">
        <v>3509</v>
      </c>
      <c r="G2009" s="137">
        <v>1395426990001</v>
      </c>
      <c r="H2009" s="138" t="s">
        <v>6456</v>
      </c>
      <c r="I2009" s="136">
        <v>954200010</v>
      </c>
      <c r="J2009" s="131" t="s">
        <v>3526</v>
      </c>
      <c r="K2009" s="139">
        <v>488741</v>
      </c>
    </row>
    <row r="2010" spans="1:11">
      <c r="A2010" s="1" t="str">
        <f t="shared" si="31"/>
        <v>50100-777737595-95150020618290</v>
      </c>
      <c r="B2010" s="136" t="s">
        <v>3502</v>
      </c>
      <c r="C2010" s="136" t="s">
        <v>11530</v>
      </c>
      <c r="D2010" s="132" t="s">
        <v>3420</v>
      </c>
      <c r="E2010" s="136" t="s">
        <v>3505</v>
      </c>
      <c r="F2010" s="136" t="s">
        <v>3505</v>
      </c>
      <c r="G2010" s="137">
        <v>1395418111001</v>
      </c>
      <c r="H2010" s="138" t="s">
        <v>6298</v>
      </c>
      <c r="I2010" s="136">
        <v>951500206</v>
      </c>
      <c r="J2010" s="131" t="s">
        <v>3477</v>
      </c>
      <c r="K2010" s="139">
        <v>18290</v>
      </c>
    </row>
    <row r="2011" spans="1:11">
      <c r="A2011" s="1" t="str">
        <f t="shared" si="31"/>
        <v>50100-773799795-9541000142818643</v>
      </c>
      <c r="B2011" s="136" t="s">
        <v>3503</v>
      </c>
      <c r="C2011" s="136" t="s">
        <v>11531</v>
      </c>
      <c r="D2011" s="132" t="s">
        <v>3420</v>
      </c>
      <c r="E2011" s="136" t="s">
        <v>3455</v>
      </c>
      <c r="F2011" s="136" t="s">
        <v>3455</v>
      </c>
      <c r="G2011" s="137">
        <v>1395399148001</v>
      </c>
      <c r="H2011" s="138" t="s">
        <v>10183</v>
      </c>
      <c r="I2011" s="136">
        <v>954100014</v>
      </c>
      <c r="J2011" s="131" t="s">
        <v>3527</v>
      </c>
      <c r="K2011" s="139">
        <v>2818643</v>
      </c>
    </row>
    <row r="2012" spans="1:11">
      <c r="A2012" s="1" t="str">
        <f t="shared" si="31"/>
        <v>50100-781359195-954200031488307</v>
      </c>
      <c r="B2012" s="136" t="s">
        <v>3583</v>
      </c>
      <c r="C2012" s="136" t="s">
        <v>11532</v>
      </c>
      <c r="D2012" s="132" t="s">
        <v>3420</v>
      </c>
      <c r="E2012" s="136" t="s">
        <v>3559</v>
      </c>
      <c r="F2012" s="136" t="s">
        <v>3559</v>
      </c>
      <c r="G2012" s="137">
        <v>1395426990001</v>
      </c>
      <c r="H2012" s="138" t="s">
        <v>6456</v>
      </c>
      <c r="I2012" s="136">
        <v>954200031</v>
      </c>
      <c r="J2012" s="131" t="s">
        <v>3634</v>
      </c>
      <c r="K2012" s="139">
        <v>488307</v>
      </c>
    </row>
    <row r="2013" spans="1:11">
      <c r="A2013" s="1" t="str">
        <f t="shared" si="31"/>
        <v>50100-782854795-954200033488663</v>
      </c>
      <c r="B2013" s="136" t="s">
        <v>3584</v>
      </c>
      <c r="C2013" s="136" t="s">
        <v>11533</v>
      </c>
      <c r="D2013" s="132" t="s">
        <v>3420</v>
      </c>
      <c r="E2013" s="136" t="s">
        <v>3669</v>
      </c>
      <c r="F2013" s="136" t="s">
        <v>3669</v>
      </c>
      <c r="G2013" s="137">
        <v>1395426990001</v>
      </c>
      <c r="H2013" s="138" t="s">
        <v>6456</v>
      </c>
      <c r="I2013" s="136">
        <v>954200033</v>
      </c>
      <c r="J2013" s="131" t="s">
        <v>3635</v>
      </c>
      <c r="K2013" s="139">
        <v>488663</v>
      </c>
    </row>
    <row r="2014" spans="1:11">
      <c r="A2014" s="1" t="str">
        <f t="shared" si="31"/>
        <v>50100-779019095-951500200495905</v>
      </c>
      <c r="B2014" s="136" t="s">
        <v>3531</v>
      </c>
      <c r="C2014" s="136" t="s">
        <v>11534</v>
      </c>
      <c r="D2014" s="132" t="s">
        <v>3420</v>
      </c>
      <c r="E2014" s="136" t="s">
        <v>3528</v>
      </c>
      <c r="F2014" s="136" t="s">
        <v>3528</v>
      </c>
      <c r="G2014" s="137">
        <v>1395397986001</v>
      </c>
      <c r="H2014" s="138" t="s">
        <v>6454</v>
      </c>
      <c r="I2014" s="136">
        <v>951500200</v>
      </c>
      <c r="J2014" s="131" t="s">
        <v>3560</v>
      </c>
      <c r="K2014" s="139">
        <v>495905</v>
      </c>
    </row>
    <row r="2015" spans="1:11">
      <c r="A2015" s="1" t="str">
        <f t="shared" si="31"/>
        <v>50100-778870095-954200025486767</v>
      </c>
      <c r="B2015" s="136" t="s">
        <v>3585</v>
      </c>
      <c r="C2015" s="136" t="s">
        <v>11535</v>
      </c>
      <c r="D2015" s="132" t="s">
        <v>3420</v>
      </c>
      <c r="E2015" s="136" t="s">
        <v>3528</v>
      </c>
      <c r="F2015" s="136" t="s">
        <v>3528</v>
      </c>
      <c r="G2015" s="137">
        <v>1395426990001</v>
      </c>
      <c r="H2015" s="138" t="s">
        <v>6456</v>
      </c>
      <c r="I2015" s="136">
        <v>954200025</v>
      </c>
      <c r="J2015" s="131" t="s">
        <v>3636</v>
      </c>
      <c r="K2015" s="139">
        <v>486767</v>
      </c>
    </row>
    <row r="2016" spans="1:11">
      <c r="A2016" s="1" t="str">
        <f t="shared" si="31"/>
        <v>50100-778101395-954200022487540</v>
      </c>
      <c r="B2016" s="136" t="s">
        <v>3543</v>
      </c>
      <c r="C2016" s="136" t="s">
        <v>11536</v>
      </c>
      <c r="D2016" s="132" t="s">
        <v>3420</v>
      </c>
      <c r="E2016" s="136" t="s">
        <v>3558</v>
      </c>
      <c r="F2016" s="136" t="s">
        <v>3558</v>
      </c>
      <c r="G2016" s="137">
        <v>1395426990001</v>
      </c>
      <c r="H2016" s="138" t="s">
        <v>6456</v>
      </c>
      <c r="I2016" s="136">
        <v>954200022</v>
      </c>
      <c r="J2016" s="131" t="s">
        <v>3574</v>
      </c>
      <c r="K2016" s="139">
        <v>487540</v>
      </c>
    </row>
    <row r="2017" spans="1:11">
      <c r="A2017" s="1" t="str">
        <f t="shared" si="31"/>
        <v>50100-781357695-954200029486707</v>
      </c>
      <c r="B2017" s="136" t="s">
        <v>3586</v>
      </c>
      <c r="C2017" s="136" t="s">
        <v>11537</v>
      </c>
      <c r="D2017" s="132" t="s">
        <v>3420</v>
      </c>
      <c r="E2017" s="136" t="s">
        <v>3559</v>
      </c>
      <c r="F2017" s="136" t="s">
        <v>3559</v>
      </c>
      <c r="G2017" s="137">
        <v>1395426990001</v>
      </c>
      <c r="H2017" s="138" t="s">
        <v>6456</v>
      </c>
      <c r="I2017" s="136">
        <v>954200029</v>
      </c>
      <c r="J2017" s="131" t="s">
        <v>3637</v>
      </c>
      <c r="K2017" s="139">
        <v>486707</v>
      </c>
    </row>
    <row r="2018" spans="1:11">
      <c r="A2018" s="1" t="str">
        <f t="shared" si="31"/>
        <v>50100-782334295-95150021231256</v>
      </c>
      <c r="B2018" s="136" t="s">
        <v>3587</v>
      </c>
      <c r="C2018" s="136" t="s">
        <v>11538</v>
      </c>
      <c r="D2018" s="132" t="s">
        <v>3420</v>
      </c>
      <c r="E2018" s="136" t="s">
        <v>3663</v>
      </c>
      <c r="F2018" s="136" t="s">
        <v>3663</v>
      </c>
      <c r="G2018" s="137">
        <v>1395421206001</v>
      </c>
      <c r="H2018" s="138" t="s">
        <v>6298</v>
      </c>
      <c r="I2018" s="136">
        <v>951500212</v>
      </c>
      <c r="J2018" s="131" t="s">
        <v>3569</v>
      </c>
      <c r="K2018" s="139">
        <v>31256</v>
      </c>
    </row>
    <row r="2019" spans="1:11">
      <c r="A2019" s="1" t="str">
        <f t="shared" si="31"/>
        <v>50100-779891195-954200024486952</v>
      </c>
      <c r="B2019" s="136" t="s">
        <v>3588</v>
      </c>
      <c r="C2019" s="136" t="s">
        <v>11539</v>
      </c>
      <c r="D2019" s="132" t="s">
        <v>3420</v>
      </c>
      <c r="E2019" s="136" t="s">
        <v>3557</v>
      </c>
      <c r="F2019" s="136" t="s">
        <v>3557</v>
      </c>
      <c r="G2019" s="137">
        <v>1395426990001</v>
      </c>
      <c r="H2019" s="138" t="s">
        <v>6456</v>
      </c>
      <c r="I2019" s="136">
        <v>954200024</v>
      </c>
      <c r="J2019" s="131" t="s">
        <v>3638</v>
      </c>
      <c r="K2019" s="139">
        <v>486952</v>
      </c>
    </row>
    <row r="2020" spans="1:11">
      <c r="A2020" s="1" t="str">
        <f t="shared" si="31"/>
        <v>50100-782334295-951500213300000</v>
      </c>
      <c r="B2020" s="136" t="s">
        <v>3587</v>
      </c>
      <c r="C2020" s="136" t="s">
        <v>11538</v>
      </c>
      <c r="D2020" s="132" t="s">
        <v>3420</v>
      </c>
      <c r="E2020" s="136" t="s">
        <v>3663</v>
      </c>
      <c r="F2020" s="136" t="s">
        <v>3663</v>
      </c>
      <c r="G2020" s="137">
        <v>1395421206001</v>
      </c>
      <c r="H2020" s="138" t="s">
        <v>6298</v>
      </c>
      <c r="I2020" s="136">
        <v>951500213</v>
      </c>
      <c r="J2020" s="131" t="s">
        <v>3639</v>
      </c>
      <c r="K2020" s="139">
        <v>300000</v>
      </c>
    </row>
    <row r="2021" spans="1:11">
      <c r="A2021" s="1" t="str">
        <f t="shared" si="31"/>
        <v>50100-778463295-951500187481188</v>
      </c>
      <c r="B2021" s="136" t="s">
        <v>3537</v>
      </c>
      <c r="C2021" s="136" t="s">
        <v>11540</v>
      </c>
      <c r="D2021" s="132" t="s">
        <v>3420</v>
      </c>
      <c r="E2021" s="136" t="s">
        <v>3554</v>
      </c>
      <c r="F2021" s="136" t="s">
        <v>3554</v>
      </c>
      <c r="G2021" s="137">
        <v>1395400303001</v>
      </c>
      <c r="H2021" s="138" t="s">
        <v>6453</v>
      </c>
      <c r="I2021" s="136">
        <v>951500187</v>
      </c>
      <c r="J2021" s="131" t="s">
        <v>3189</v>
      </c>
      <c r="K2021" s="139">
        <v>481188</v>
      </c>
    </row>
    <row r="2022" spans="1:11">
      <c r="A2022" s="1" t="str">
        <f t="shared" si="31"/>
        <v>50100-778463295-95150015093460</v>
      </c>
      <c r="B2022" s="136" t="s">
        <v>3537</v>
      </c>
      <c r="C2022" s="136" t="s">
        <v>11540</v>
      </c>
      <c r="D2022" s="132" t="s">
        <v>3420</v>
      </c>
      <c r="E2022" s="136" t="s">
        <v>3554</v>
      </c>
      <c r="F2022" s="136" t="s">
        <v>3554</v>
      </c>
      <c r="G2022" s="137">
        <v>1395397986001</v>
      </c>
      <c r="H2022" s="138" t="s">
        <v>6454</v>
      </c>
      <c r="I2022" s="136">
        <v>951500150</v>
      </c>
      <c r="J2022" s="131" t="s">
        <v>3483</v>
      </c>
      <c r="K2022" s="139">
        <v>93460</v>
      </c>
    </row>
    <row r="2023" spans="1:11">
      <c r="A2023" s="1" t="str">
        <f t="shared" si="31"/>
        <v>50100-780598595-951500212168744</v>
      </c>
      <c r="B2023" s="136" t="s">
        <v>3538</v>
      </c>
      <c r="C2023" s="136" t="s">
        <v>11541</v>
      </c>
      <c r="D2023" s="132" t="s">
        <v>3420</v>
      </c>
      <c r="E2023" s="136" t="s">
        <v>3555</v>
      </c>
      <c r="F2023" s="136" t="s">
        <v>3555</v>
      </c>
      <c r="G2023" s="137">
        <v>1395421206001</v>
      </c>
      <c r="H2023" s="138" t="s">
        <v>6298</v>
      </c>
      <c r="I2023" s="136">
        <v>951500212</v>
      </c>
      <c r="J2023" s="131" t="s">
        <v>3569</v>
      </c>
      <c r="K2023" s="139">
        <v>168744</v>
      </c>
    </row>
    <row r="2024" spans="1:11">
      <c r="A2024" s="1" t="str">
        <f t="shared" si="31"/>
        <v>50100-780787895-954200023486706</v>
      </c>
      <c r="B2024" s="136" t="s">
        <v>3533</v>
      </c>
      <c r="C2024" s="136" t="s">
        <v>11542</v>
      </c>
      <c r="D2024" s="132" t="s">
        <v>3420</v>
      </c>
      <c r="E2024" s="136" t="s">
        <v>3555</v>
      </c>
      <c r="F2024" s="136" t="s">
        <v>3555</v>
      </c>
      <c r="G2024" s="137">
        <v>1395426991001</v>
      </c>
      <c r="H2024" s="138" t="s">
        <v>10183</v>
      </c>
      <c r="I2024" s="136">
        <v>954200023</v>
      </c>
      <c r="J2024" s="131" t="s">
        <v>3562</v>
      </c>
      <c r="K2024" s="139">
        <v>486706</v>
      </c>
    </row>
    <row r="2025" spans="1:11">
      <c r="A2025" s="1" t="str">
        <f t="shared" si="31"/>
        <v>50100-778463295-9515001431270</v>
      </c>
      <c r="B2025" s="136" t="s">
        <v>3537</v>
      </c>
      <c r="C2025" s="136" t="s">
        <v>11540</v>
      </c>
      <c r="D2025" s="132" t="s">
        <v>3420</v>
      </c>
      <c r="E2025" s="136" t="s">
        <v>3554</v>
      </c>
      <c r="F2025" s="136" t="s">
        <v>3554</v>
      </c>
      <c r="G2025" s="137">
        <v>1395397986001</v>
      </c>
      <c r="H2025" s="138" t="s">
        <v>6454</v>
      </c>
      <c r="I2025" s="136">
        <v>951500143</v>
      </c>
      <c r="J2025" s="131" t="s">
        <v>3413</v>
      </c>
      <c r="K2025" s="139">
        <v>1270</v>
      </c>
    </row>
    <row r="2026" spans="1:11">
      <c r="A2026" s="1" t="str">
        <f t="shared" si="31"/>
        <v>50100-778463295-95150019884082</v>
      </c>
      <c r="B2026" s="136" t="s">
        <v>3537</v>
      </c>
      <c r="C2026" s="136" t="s">
        <v>11540</v>
      </c>
      <c r="D2026" s="132" t="s">
        <v>3420</v>
      </c>
      <c r="E2026" s="136" t="s">
        <v>3554</v>
      </c>
      <c r="F2026" s="136" t="s">
        <v>3554</v>
      </c>
      <c r="G2026" s="137">
        <v>1395397986001</v>
      </c>
      <c r="H2026" s="138" t="s">
        <v>6454</v>
      </c>
      <c r="I2026" s="136">
        <v>951500198</v>
      </c>
      <c r="J2026" s="131" t="s">
        <v>3476</v>
      </c>
      <c r="K2026" s="139">
        <v>84082</v>
      </c>
    </row>
    <row r="2027" spans="1:11">
      <c r="A2027" s="1" t="str">
        <f t="shared" si="31"/>
        <v>50100-782460295-9525000232214</v>
      </c>
      <c r="B2027" s="136" t="s">
        <v>3589</v>
      </c>
      <c r="C2027" s="136" t="s">
        <v>11543</v>
      </c>
      <c r="D2027" s="132" t="s">
        <v>3420</v>
      </c>
      <c r="E2027" s="136" t="s">
        <v>3663</v>
      </c>
      <c r="F2027" s="136" t="s">
        <v>3663</v>
      </c>
      <c r="G2027" s="137">
        <v>1395397987001</v>
      </c>
      <c r="H2027" s="138" t="s">
        <v>10183</v>
      </c>
      <c r="I2027" s="136">
        <v>952500023</v>
      </c>
      <c r="J2027" s="131" t="s">
        <v>3406</v>
      </c>
      <c r="K2027" s="139">
        <v>2214</v>
      </c>
    </row>
    <row r="2028" spans="1:11">
      <c r="A2028" s="1" t="str">
        <f t="shared" si="31"/>
        <v>50100-782460295-951500241398260</v>
      </c>
      <c r="B2028" s="136" t="s">
        <v>3589</v>
      </c>
      <c r="C2028" s="136" t="s">
        <v>11543</v>
      </c>
      <c r="D2028" s="132" t="s">
        <v>3420</v>
      </c>
      <c r="E2028" s="136" t="s">
        <v>3663</v>
      </c>
      <c r="F2028" s="136" t="s">
        <v>3663</v>
      </c>
      <c r="G2028" s="137">
        <v>1395426991001</v>
      </c>
      <c r="H2028" s="138" t="s">
        <v>10183</v>
      </c>
      <c r="I2028" s="136">
        <v>951500241</v>
      </c>
      <c r="J2028" s="131" t="s">
        <v>3640</v>
      </c>
      <c r="K2028" s="139">
        <v>398260</v>
      </c>
    </row>
    <row r="2029" spans="1:11">
      <c r="A2029" s="1" t="str">
        <f t="shared" si="31"/>
        <v>50100-779498595-9515002001941</v>
      </c>
      <c r="B2029" s="136" t="s">
        <v>3544</v>
      </c>
      <c r="C2029" s="136" t="s">
        <v>11544</v>
      </c>
      <c r="D2029" s="132" t="s">
        <v>3420</v>
      </c>
      <c r="E2029" s="136" t="s">
        <v>3529</v>
      </c>
      <c r="F2029" s="136" t="s">
        <v>3529</v>
      </c>
      <c r="G2029" s="137">
        <v>1395397986001</v>
      </c>
      <c r="H2029" s="138" t="s">
        <v>6454</v>
      </c>
      <c r="I2029" s="136">
        <v>951500200</v>
      </c>
      <c r="J2029" s="131" t="s">
        <v>3560</v>
      </c>
      <c r="K2029" s="139">
        <v>1941</v>
      </c>
    </row>
    <row r="2030" spans="1:11">
      <c r="A2030" s="1" t="str">
        <f t="shared" si="31"/>
        <v>50100-779498595-95150004727590</v>
      </c>
      <c r="B2030" s="136" t="s">
        <v>3544</v>
      </c>
      <c r="C2030" s="136" t="s">
        <v>11544</v>
      </c>
      <c r="D2030" s="132" t="s">
        <v>3420</v>
      </c>
      <c r="E2030" s="136" t="s">
        <v>3529</v>
      </c>
      <c r="F2030" s="136" t="s">
        <v>3529</v>
      </c>
      <c r="G2030" s="137">
        <v>1395397986001</v>
      </c>
      <c r="H2030" s="138" t="s">
        <v>6454</v>
      </c>
      <c r="I2030" s="136">
        <v>951500047</v>
      </c>
      <c r="J2030" s="131" t="s">
        <v>3118</v>
      </c>
      <c r="K2030" s="139">
        <v>27590</v>
      </c>
    </row>
    <row r="2031" spans="1:11">
      <c r="A2031" s="1" t="str">
        <f t="shared" si="31"/>
        <v>50100-779498595-951500165455202</v>
      </c>
      <c r="B2031" s="136" t="s">
        <v>3544</v>
      </c>
      <c r="C2031" s="136" t="s">
        <v>11544</v>
      </c>
      <c r="D2031" s="132" t="s">
        <v>3420</v>
      </c>
      <c r="E2031" s="136" t="s">
        <v>3529</v>
      </c>
      <c r="F2031" s="136" t="s">
        <v>3529</v>
      </c>
      <c r="G2031" s="137">
        <v>1395397986001</v>
      </c>
      <c r="H2031" s="138" t="s">
        <v>6454</v>
      </c>
      <c r="I2031" s="136">
        <v>951500165</v>
      </c>
      <c r="J2031" s="131" t="s">
        <v>3523</v>
      </c>
      <c r="K2031" s="139">
        <v>455202</v>
      </c>
    </row>
    <row r="2032" spans="1:11">
      <c r="A2032" s="1" t="str">
        <f t="shared" si="31"/>
        <v>50100-779498595-951500198515267</v>
      </c>
      <c r="B2032" s="136" t="s">
        <v>3544</v>
      </c>
      <c r="C2032" s="136" t="s">
        <v>11544</v>
      </c>
      <c r="D2032" s="132" t="s">
        <v>3420</v>
      </c>
      <c r="E2032" s="136" t="s">
        <v>3529</v>
      </c>
      <c r="F2032" s="136" t="s">
        <v>3529</v>
      </c>
      <c r="G2032" s="137">
        <v>1395397986001</v>
      </c>
      <c r="H2032" s="138" t="s">
        <v>6454</v>
      </c>
      <c r="I2032" s="136">
        <v>951500198</v>
      </c>
      <c r="J2032" s="131" t="s">
        <v>3476</v>
      </c>
      <c r="K2032" s="139">
        <v>515267</v>
      </c>
    </row>
    <row r="2033" spans="1:11">
      <c r="A2033" s="1" t="str">
        <f t="shared" si="31"/>
        <v>50100-779187295-954200018389443</v>
      </c>
      <c r="B2033" s="136" t="s">
        <v>3540</v>
      </c>
      <c r="C2033" s="136" t="s">
        <v>11545</v>
      </c>
      <c r="D2033" s="132" t="s">
        <v>3420</v>
      </c>
      <c r="E2033" s="136" t="s">
        <v>3528</v>
      </c>
      <c r="F2033" s="136" t="s">
        <v>3528</v>
      </c>
      <c r="G2033" s="137">
        <v>1395421206001</v>
      </c>
      <c r="H2033" s="138" t="s">
        <v>6298</v>
      </c>
      <c r="I2033" s="136">
        <v>954200018</v>
      </c>
      <c r="J2033" s="131" t="s">
        <v>3571</v>
      </c>
      <c r="K2033" s="139">
        <v>389443</v>
      </c>
    </row>
    <row r="2034" spans="1:11">
      <c r="A2034" s="1" t="str">
        <f t="shared" si="31"/>
        <v>50100-778334495-951500230500000</v>
      </c>
      <c r="B2034" s="136" t="s">
        <v>3541</v>
      </c>
      <c r="C2034" s="136" t="s">
        <v>11546</v>
      </c>
      <c r="D2034" s="132" t="s">
        <v>3420</v>
      </c>
      <c r="E2034" s="136" t="s">
        <v>3558</v>
      </c>
      <c r="F2034" s="136" t="s">
        <v>3558</v>
      </c>
      <c r="G2034" s="137">
        <v>1395426988001</v>
      </c>
      <c r="H2034" s="138" t="s">
        <v>6300</v>
      </c>
      <c r="I2034" s="136">
        <v>951500230</v>
      </c>
      <c r="J2034" s="131" t="s">
        <v>3572</v>
      </c>
      <c r="K2034" s="139">
        <v>500000</v>
      </c>
    </row>
    <row r="2035" spans="1:11">
      <c r="A2035" s="1" t="str">
        <f t="shared" si="31"/>
        <v>50100-778091095-954200015487540</v>
      </c>
      <c r="B2035" s="136" t="s">
        <v>3542</v>
      </c>
      <c r="C2035" s="136" t="s">
        <v>11547</v>
      </c>
      <c r="D2035" s="132" t="s">
        <v>3420</v>
      </c>
      <c r="E2035" s="136" t="s">
        <v>3558</v>
      </c>
      <c r="F2035" s="136" t="s">
        <v>3558</v>
      </c>
      <c r="G2035" s="137">
        <v>1395426990001</v>
      </c>
      <c r="H2035" s="138" t="s">
        <v>6456</v>
      </c>
      <c r="I2035" s="136">
        <v>954200015</v>
      </c>
      <c r="J2035" s="131" t="s">
        <v>3573</v>
      </c>
      <c r="K2035" s="139">
        <v>487540</v>
      </c>
    </row>
    <row r="2036" spans="1:11">
      <c r="A2036" s="1" t="str">
        <f t="shared" si="31"/>
        <v>50100-780365195-951500232999220</v>
      </c>
      <c r="B2036" s="136" t="s">
        <v>3534</v>
      </c>
      <c r="C2036" s="136" t="s">
        <v>11548</v>
      </c>
      <c r="D2036" s="132" t="s">
        <v>3420</v>
      </c>
      <c r="E2036" s="136" t="s">
        <v>3556</v>
      </c>
      <c r="F2036" s="136" t="s">
        <v>3556</v>
      </c>
      <c r="G2036" s="137">
        <v>1395426988001</v>
      </c>
      <c r="H2036" s="138" t="s">
        <v>6300</v>
      </c>
      <c r="I2036" s="136">
        <v>951500232</v>
      </c>
      <c r="J2036" s="131" t="s">
        <v>3564</v>
      </c>
      <c r="K2036" s="139">
        <v>999220</v>
      </c>
    </row>
    <row r="2037" spans="1:11">
      <c r="A2037" s="1" t="str">
        <f t="shared" si="31"/>
        <v>50100-780365195-9515002312440</v>
      </c>
      <c r="B2037" s="136" t="s">
        <v>3534</v>
      </c>
      <c r="C2037" s="136" t="s">
        <v>11548</v>
      </c>
      <c r="D2037" s="132" t="s">
        <v>3420</v>
      </c>
      <c r="E2037" s="136" t="s">
        <v>3556</v>
      </c>
      <c r="F2037" s="136" t="s">
        <v>3556</v>
      </c>
      <c r="G2037" s="137">
        <v>1395426988001</v>
      </c>
      <c r="H2037" s="138" t="s">
        <v>6300</v>
      </c>
      <c r="I2037" s="136">
        <v>951500231</v>
      </c>
      <c r="J2037" s="131" t="s">
        <v>3568</v>
      </c>
      <c r="K2037" s="139">
        <v>2440</v>
      </c>
    </row>
    <row r="2038" spans="1:11">
      <c r="A2038" s="1" t="str">
        <f t="shared" si="31"/>
        <v>50100-783398395-954200026487726</v>
      </c>
      <c r="B2038" s="136" t="s">
        <v>3590</v>
      </c>
      <c r="C2038" s="136" t="s">
        <v>11549</v>
      </c>
      <c r="D2038" s="132" t="s">
        <v>3420</v>
      </c>
      <c r="E2038" s="136" t="s">
        <v>3667</v>
      </c>
      <c r="F2038" s="136" t="s">
        <v>3667</v>
      </c>
      <c r="G2038" s="137">
        <v>1395426991001</v>
      </c>
      <c r="H2038" s="138" t="s">
        <v>10183</v>
      </c>
      <c r="I2038" s="136">
        <v>954200026</v>
      </c>
      <c r="J2038" s="131" t="s">
        <v>3641</v>
      </c>
      <c r="K2038" s="139">
        <v>487726</v>
      </c>
    </row>
    <row r="2039" spans="1:11">
      <c r="A2039" s="1" t="str">
        <f t="shared" si="31"/>
        <v>50100-780400795-954200020973904</v>
      </c>
      <c r="B2039" s="136" t="s">
        <v>3536</v>
      </c>
      <c r="C2039" s="136" t="s">
        <v>11550</v>
      </c>
      <c r="D2039" s="132" t="s">
        <v>3420</v>
      </c>
      <c r="E2039" s="136" t="s">
        <v>3556</v>
      </c>
      <c r="F2039" s="136" t="s">
        <v>3556</v>
      </c>
      <c r="G2039" s="137">
        <v>1395426991001</v>
      </c>
      <c r="H2039" s="138" t="s">
        <v>10183</v>
      </c>
      <c r="I2039" s="136">
        <v>954200020</v>
      </c>
      <c r="J2039" s="131" t="s">
        <v>3566</v>
      </c>
      <c r="K2039" s="139">
        <v>973904</v>
      </c>
    </row>
    <row r="2040" spans="1:11">
      <c r="A2040" s="1" t="str">
        <f t="shared" si="31"/>
        <v>50100-782133895-954200032488663</v>
      </c>
      <c r="B2040" s="136" t="s">
        <v>3591</v>
      </c>
      <c r="C2040" s="136" t="s">
        <v>11551</v>
      </c>
      <c r="D2040" s="132" t="s">
        <v>3420</v>
      </c>
      <c r="E2040" s="136" t="s">
        <v>3670</v>
      </c>
      <c r="F2040" s="136" t="s">
        <v>3670</v>
      </c>
      <c r="G2040" s="137">
        <v>1395426990001</v>
      </c>
      <c r="H2040" s="138" t="s">
        <v>6456</v>
      </c>
      <c r="I2040" s="136">
        <v>954200032</v>
      </c>
      <c r="J2040" s="131" t="s">
        <v>3642</v>
      </c>
      <c r="K2040" s="139">
        <v>488663</v>
      </c>
    </row>
    <row r="2041" spans="1:11">
      <c r="A2041" s="1" t="str">
        <f t="shared" si="31"/>
        <v>50100-778709995-951500231400000</v>
      </c>
      <c r="B2041" s="136" t="s">
        <v>3545</v>
      </c>
      <c r="C2041" s="136" t="s">
        <v>11552</v>
      </c>
      <c r="D2041" s="132" t="s">
        <v>3420</v>
      </c>
      <c r="E2041" s="136" t="s">
        <v>3554</v>
      </c>
      <c r="F2041" s="136" t="s">
        <v>3554</v>
      </c>
      <c r="G2041" s="137">
        <v>1395426988001</v>
      </c>
      <c r="H2041" s="138" t="s">
        <v>6300</v>
      </c>
      <c r="I2041" s="136">
        <v>951500231</v>
      </c>
      <c r="J2041" s="131" t="s">
        <v>3568</v>
      </c>
      <c r="K2041" s="139">
        <v>400000</v>
      </c>
    </row>
    <row r="2042" spans="1:11">
      <c r="A2042" s="1" t="str">
        <f t="shared" si="31"/>
        <v>50100-778470595-95150020693789</v>
      </c>
      <c r="B2042" s="136" t="s">
        <v>3532</v>
      </c>
      <c r="C2042" s="136" t="s">
        <v>11553</v>
      </c>
      <c r="D2042" s="132" t="s">
        <v>3420</v>
      </c>
      <c r="E2042" s="136" t="s">
        <v>3554</v>
      </c>
      <c r="F2042" s="136" t="s">
        <v>3554</v>
      </c>
      <c r="G2042" s="137">
        <v>1395418111001</v>
      </c>
      <c r="H2042" s="138" t="s">
        <v>6298</v>
      </c>
      <c r="I2042" s="136">
        <v>951500206</v>
      </c>
      <c r="J2042" s="131" t="s">
        <v>3477</v>
      </c>
      <c r="K2042" s="139">
        <v>93789</v>
      </c>
    </row>
    <row r="2043" spans="1:11">
      <c r="A2043" s="1" t="str">
        <f t="shared" si="31"/>
        <v>50100-778470595-95150021110271</v>
      </c>
      <c r="B2043" s="136" t="s">
        <v>3532</v>
      </c>
      <c r="C2043" s="136" t="s">
        <v>11553</v>
      </c>
      <c r="D2043" s="132" t="s">
        <v>3420</v>
      </c>
      <c r="E2043" s="136" t="s">
        <v>3554</v>
      </c>
      <c r="F2043" s="136" t="s">
        <v>3554</v>
      </c>
      <c r="G2043" s="137">
        <v>1395421206001</v>
      </c>
      <c r="H2043" s="138" t="s">
        <v>6298</v>
      </c>
      <c r="I2043" s="136">
        <v>951500211</v>
      </c>
      <c r="J2043" s="131" t="s">
        <v>3561</v>
      </c>
      <c r="K2043" s="139">
        <v>10271</v>
      </c>
    </row>
    <row r="2044" spans="1:11">
      <c r="A2044" s="1" t="str">
        <f t="shared" si="31"/>
        <v>50100-778470595-951500210295240</v>
      </c>
      <c r="B2044" s="136" t="s">
        <v>3532</v>
      </c>
      <c r="C2044" s="136" t="s">
        <v>11553</v>
      </c>
      <c r="D2044" s="132" t="s">
        <v>3420</v>
      </c>
      <c r="E2044" s="136" t="s">
        <v>3554</v>
      </c>
      <c r="F2044" s="136" t="s">
        <v>3554</v>
      </c>
      <c r="G2044" s="137">
        <v>1395421206001</v>
      </c>
      <c r="H2044" s="138" t="s">
        <v>6298</v>
      </c>
      <c r="I2044" s="136">
        <v>951500210</v>
      </c>
      <c r="J2044" s="131" t="s">
        <v>3563</v>
      </c>
      <c r="K2044" s="139">
        <v>295240</v>
      </c>
    </row>
    <row r="2045" spans="1:11">
      <c r="A2045" s="1" t="str">
        <f t="shared" si="31"/>
        <v>50100-780770095-95150021518550</v>
      </c>
      <c r="B2045" s="136" t="s">
        <v>3535</v>
      </c>
      <c r="C2045" s="136" t="s">
        <v>11554</v>
      </c>
      <c r="D2045" s="132" t="s">
        <v>3420</v>
      </c>
      <c r="E2045" s="136" t="s">
        <v>3555</v>
      </c>
      <c r="F2045" s="136" t="s">
        <v>3555</v>
      </c>
      <c r="G2045" s="137">
        <v>1395421206001</v>
      </c>
      <c r="H2045" s="138" t="s">
        <v>6298</v>
      </c>
      <c r="I2045" s="136">
        <v>951500215</v>
      </c>
      <c r="J2045" s="131" t="s">
        <v>3567</v>
      </c>
      <c r="K2045" s="139">
        <v>18550</v>
      </c>
    </row>
    <row r="2046" spans="1:11">
      <c r="A2046" s="1" t="str">
        <f t="shared" si="31"/>
        <v>50100-780770095-951500219180000</v>
      </c>
      <c r="B2046" s="136" t="s">
        <v>3535</v>
      </c>
      <c r="C2046" s="136" t="s">
        <v>11554</v>
      </c>
      <c r="D2046" s="132" t="s">
        <v>3420</v>
      </c>
      <c r="E2046" s="136" t="s">
        <v>3555</v>
      </c>
      <c r="F2046" s="136" t="s">
        <v>3555</v>
      </c>
      <c r="G2046" s="137">
        <v>1395427836001</v>
      </c>
      <c r="H2046" s="138" t="s">
        <v>6298</v>
      </c>
      <c r="I2046" s="136">
        <v>951500219</v>
      </c>
      <c r="J2046" s="131" t="s">
        <v>3565</v>
      </c>
      <c r="K2046" s="139">
        <v>180000</v>
      </c>
    </row>
    <row r="2047" spans="1:11">
      <c r="A2047" s="1" t="str">
        <f t="shared" si="31"/>
        <v>50100-780082495-954200021389562</v>
      </c>
      <c r="B2047" s="136" t="s">
        <v>3539</v>
      </c>
      <c r="C2047" s="136" t="s">
        <v>11555</v>
      </c>
      <c r="D2047" s="132" t="s">
        <v>3420</v>
      </c>
      <c r="E2047" s="136" t="s">
        <v>3557</v>
      </c>
      <c r="F2047" s="136" t="s">
        <v>3557</v>
      </c>
      <c r="G2047" s="137">
        <v>1395421206001</v>
      </c>
      <c r="H2047" s="138" t="s">
        <v>6298</v>
      </c>
      <c r="I2047" s="136">
        <v>954200021</v>
      </c>
      <c r="J2047" s="131" t="s">
        <v>3570</v>
      </c>
      <c r="K2047" s="139">
        <v>389562</v>
      </c>
    </row>
    <row r="2048" spans="1:11">
      <c r="A2048" s="1" t="str">
        <f t="shared" si="31"/>
        <v>50100-779536695-954200019292153</v>
      </c>
      <c r="B2048" s="136" t="s">
        <v>3546</v>
      </c>
      <c r="C2048" s="136" t="s">
        <v>11556</v>
      </c>
      <c r="D2048" s="132" t="s">
        <v>3420</v>
      </c>
      <c r="E2048" s="136" t="s">
        <v>3529</v>
      </c>
      <c r="F2048" s="136" t="s">
        <v>3529</v>
      </c>
      <c r="G2048" s="137">
        <v>1395422325001</v>
      </c>
      <c r="H2048" s="138" t="s">
        <v>10183</v>
      </c>
      <c r="I2048" s="136">
        <v>954200019</v>
      </c>
      <c r="J2048" s="131" t="s">
        <v>3575</v>
      </c>
      <c r="K2048" s="139">
        <v>292153</v>
      </c>
    </row>
    <row r="2049" spans="1:11">
      <c r="A2049" s="1" t="str">
        <f t="shared" si="31"/>
        <v>50100-796943295-951500228116551</v>
      </c>
      <c r="B2049" s="136" t="s">
        <v>3855</v>
      </c>
      <c r="C2049" s="136" t="s">
        <v>11557</v>
      </c>
      <c r="D2049" s="132" t="s">
        <v>3420</v>
      </c>
      <c r="E2049" s="136" t="s">
        <v>3820</v>
      </c>
      <c r="F2049" s="136" t="s">
        <v>3820</v>
      </c>
      <c r="G2049" s="137">
        <v>1395427844001</v>
      </c>
      <c r="H2049" s="138" t="s">
        <v>6298</v>
      </c>
      <c r="I2049" s="136">
        <v>951500228</v>
      </c>
      <c r="J2049" s="131" t="s">
        <v>3874</v>
      </c>
      <c r="K2049" s="139">
        <v>116551</v>
      </c>
    </row>
    <row r="2050" spans="1:11">
      <c r="A2050" s="1" t="str">
        <f t="shared" si="31"/>
        <v>50100-796943295-95150022978769</v>
      </c>
      <c r="B2050" s="136" t="s">
        <v>3855</v>
      </c>
      <c r="C2050" s="136" t="s">
        <v>11557</v>
      </c>
      <c r="D2050" s="132" t="s">
        <v>3420</v>
      </c>
      <c r="E2050" s="136" t="s">
        <v>3820</v>
      </c>
      <c r="F2050" s="136" t="s">
        <v>3820</v>
      </c>
      <c r="G2050" s="137">
        <v>1395427844001</v>
      </c>
      <c r="H2050" s="138" t="s">
        <v>6298</v>
      </c>
      <c r="I2050" s="136">
        <v>951500229</v>
      </c>
      <c r="J2050" s="131" t="s">
        <v>3875</v>
      </c>
      <c r="K2050" s="139">
        <v>78769</v>
      </c>
    </row>
    <row r="2051" spans="1:11">
      <c r="A2051" s="1" t="str">
        <f t="shared" ref="A2051:A2114" si="32">B2051&amp;J2051&amp;K2051</f>
        <v>50100-796943295-951500244198820</v>
      </c>
      <c r="B2051" s="136" t="s">
        <v>3855</v>
      </c>
      <c r="C2051" s="136" t="s">
        <v>11557</v>
      </c>
      <c r="D2051" s="132" t="s">
        <v>3420</v>
      </c>
      <c r="E2051" s="136" t="s">
        <v>3820</v>
      </c>
      <c r="F2051" s="136" t="s">
        <v>3820</v>
      </c>
      <c r="G2051" s="137">
        <v>1395427836001</v>
      </c>
      <c r="H2051" s="138" t="s">
        <v>6298</v>
      </c>
      <c r="I2051" s="136">
        <v>951500244</v>
      </c>
      <c r="J2051" s="131" t="s">
        <v>3876</v>
      </c>
      <c r="K2051" s="139">
        <v>198820</v>
      </c>
    </row>
    <row r="2052" spans="1:11">
      <c r="A2052" s="1" t="str">
        <f t="shared" si="32"/>
        <v>50100-796943295-951500242206460</v>
      </c>
      <c r="B2052" s="136" t="s">
        <v>3855</v>
      </c>
      <c r="C2052" s="136" t="s">
        <v>11557</v>
      </c>
      <c r="D2052" s="132" t="s">
        <v>3420</v>
      </c>
      <c r="E2052" s="136" t="s">
        <v>3820</v>
      </c>
      <c r="F2052" s="136" t="s">
        <v>3820</v>
      </c>
      <c r="G2052" s="137">
        <v>1395427836001</v>
      </c>
      <c r="H2052" s="138" t="s">
        <v>6298</v>
      </c>
      <c r="I2052" s="136">
        <v>951500242</v>
      </c>
      <c r="J2052" s="131" t="s">
        <v>3877</v>
      </c>
      <c r="K2052" s="139">
        <v>206460</v>
      </c>
    </row>
    <row r="2053" spans="1:11">
      <c r="A2053" s="1" t="str">
        <f t="shared" si="32"/>
        <v>50100-797115895-951500281236092</v>
      </c>
      <c r="B2053" s="136" t="s">
        <v>3856</v>
      </c>
      <c r="C2053" s="136" t="s">
        <v>11558</v>
      </c>
      <c r="D2053" s="132" t="s">
        <v>3420</v>
      </c>
      <c r="E2053" s="136" t="s">
        <v>3820</v>
      </c>
      <c r="F2053" s="136" t="s">
        <v>3820</v>
      </c>
      <c r="G2053" s="137">
        <v>1395427837001</v>
      </c>
      <c r="H2053" s="138" t="s">
        <v>6300</v>
      </c>
      <c r="I2053" s="136">
        <v>951500281</v>
      </c>
      <c r="J2053" s="131" t="s">
        <v>3755</v>
      </c>
      <c r="K2053" s="139">
        <v>236092</v>
      </c>
    </row>
    <row r="2054" spans="1:11">
      <c r="A2054" s="1" t="str">
        <f t="shared" si="32"/>
        <v>50100-798706195-95150025110420</v>
      </c>
      <c r="B2054" s="136" t="s">
        <v>3857</v>
      </c>
      <c r="C2054" s="136" t="s">
        <v>11559</v>
      </c>
      <c r="D2054" s="132" t="s">
        <v>3420</v>
      </c>
      <c r="E2054" s="136" t="s">
        <v>3829</v>
      </c>
      <c r="F2054" s="136" t="s">
        <v>3829</v>
      </c>
      <c r="G2054" s="137">
        <v>1395427836001</v>
      </c>
      <c r="H2054" s="138" t="s">
        <v>6298</v>
      </c>
      <c r="I2054" s="136">
        <v>951500251</v>
      </c>
      <c r="J2054" s="131" t="s">
        <v>3878</v>
      </c>
      <c r="K2054" s="139">
        <v>10420</v>
      </c>
    </row>
    <row r="2055" spans="1:11">
      <c r="A2055" s="1" t="str">
        <f t="shared" si="32"/>
        <v>50100-797115895-9515002755140</v>
      </c>
      <c r="B2055" s="136" t="s">
        <v>3856</v>
      </c>
      <c r="C2055" s="136" t="s">
        <v>11558</v>
      </c>
      <c r="D2055" s="132" t="s">
        <v>3420</v>
      </c>
      <c r="E2055" s="136" t="s">
        <v>3820</v>
      </c>
      <c r="F2055" s="136" t="s">
        <v>3820</v>
      </c>
      <c r="G2055" s="137">
        <v>1395427837001</v>
      </c>
      <c r="H2055" s="138" t="s">
        <v>6300</v>
      </c>
      <c r="I2055" s="136">
        <v>951500275</v>
      </c>
      <c r="J2055" s="131" t="s">
        <v>3759</v>
      </c>
      <c r="K2055" s="139">
        <v>5140</v>
      </c>
    </row>
    <row r="2056" spans="1:11">
      <c r="A2056" s="1" t="str">
        <f t="shared" si="32"/>
        <v>50100-797588995-951500315151980</v>
      </c>
      <c r="B2056" s="136" t="s">
        <v>3858</v>
      </c>
      <c r="C2056" s="136" t="s">
        <v>11560</v>
      </c>
      <c r="D2056" s="132" t="s">
        <v>3420</v>
      </c>
      <c r="E2056" s="136" t="s">
        <v>3768</v>
      </c>
      <c r="F2056" s="136" t="s">
        <v>3768</v>
      </c>
      <c r="G2056" s="137">
        <v>1395436479001</v>
      </c>
      <c r="H2056" s="138" t="s">
        <v>6456</v>
      </c>
      <c r="I2056" s="136">
        <v>951500315</v>
      </c>
      <c r="J2056" s="131" t="s">
        <v>3879</v>
      </c>
      <c r="K2056" s="139">
        <v>151980</v>
      </c>
    </row>
    <row r="2057" spans="1:11">
      <c r="A2057" s="1" t="str">
        <f t="shared" si="32"/>
        <v>50100-797588995-951500343123466</v>
      </c>
      <c r="B2057" s="136" t="s">
        <v>3858</v>
      </c>
      <c r="C2057" s="136" t="s">
        <v>11560</v>
      </c>
      <c r="D2057" s="132" t="s">
        <v>3420</v>
      </c>
      <c r="E2057" s="136" t="s">
        <v>3768</v>
      </c>
      <c r="F2057" s="136" t="s">
        <v>3768</v>
      </c>
      <c r="G2057" s="137">
        <v>1395435643001</v>
      </c>
      <c r="H2057" s="138" t="s">
        <v>6300</v>
      </c>
      <c r="I2057" s="136">
        <v>951500343</v>
      </c>
      <c r="J2057" s="131" t="s">
        <v>3880</v>
      </c>
      <c r="K2057" s="139">
        <v>123466</v>
      </c>
    </row>
    <row r="2058" spans="1:11">
      <c r="A2058" s="1" t="str">
        <f t="shared" si="32"/>
        <v>50100-797673795-9515002731000000</v>
      </c>
      <c r="B2058" s="136" t="s">
        <v>3859</v>
      </c>
      <c r="C2058" s="136" t="s">
        <v>11561</v>
      </c>
      <c r="D2058" s="132" t="s">
        <v>3420</v>
      </c>
      <c r="E2058" s="136" t="s">
        <v>3768</v>
      </c>
      <c r="F2058" s="136" t="s">
        <v>3768</v>
      </c>
      <c r="G2058" s="137">
        <v>1395434889001</v>
      </c>
      <c r="H2058" s="138" t="s">
        <v>6298</v>
      </c>
      <c r="I2058" s="136">
        <v>951500273</v>
      </c>
      <c r="J2058" s="131" t="s">
        <v>3881</v>
      </c>
      <c r="K2058" s="139">
        <v>1000000</v>
      </c>
    </row>
    <row r="2059" spans="1:11">
      <c r="A2059" s="1" t="str">
        <f t="shared" si="32"/>
        <v>50100-797673795-9515002291160</v>
      </c>
      <c r="B2059" s="136" t="s">
        <v>3859</v>
      </c>
      <c r="C2059" s="136" t="s">
        <v>11561</v>
      </c>
      <c r="D2059" s="132" t="s">
        <v>3420</v>
      </c>
      <c r="E2059" s="136" t="s">
        <v>3768</v>
      </c>
      <c r="F2059" s="136" t="s">
        <v>3768</v>
      </c>
      <c r="G2059" s="137">
        <v>1395427844001</v>
      </c>
      <c r="H2059" s="138" t="s">
        <v>6298</v>
      </c>
      <c r="I2059" s="136">
        <v>951500229</v>
      </c>
      <c r="J2059" s="131" t="s">
        <v>3875</v>
      </c>
      <c r="K2059" s="139">
        <v>1160</v>
      </c>
    </row>
    <row r="2060" spans="1:11">
      <c r="A2060" s="1" t="str">
        <f t="shared" si="32"/>
        <v>50100-794258395-9515002721000000</v>
      </c>
      <c r="B2060" s="136" t="s">
        <v>3860</v>
      </c>
      <c r="C2060" s="136" t="s">
        <v>11562</v>
      </c>
      <c r="D2060" s="132" t="s">
        <v>3420</v>
      </c>
      <c r="E2060" s="136" t="s">
        <v>3827</v>
      </c>
      <c r="F2060" s="136" t="s">
        <v>3827</v>
      </c>
      <c r="G2060" s="137">
        <v>1395434889001</v>
      </c>
      <c r="H2060" s="138" t="s">
        <v>6298</v>
      </c>
      <c r="I2060" s="136">
        <v>951500272</v>
      </c>
      <c r="J2060" s="131" t="s">
        <v>3882</v>
      </c>
      <c r="K2060" s="139">
        <v>1000000</v>
      </c>
    </row>
    <row r="2061" spans="1:11">
      <c r="A2061" s="1" t="str">
        <f t="shared" si="32"/>
        <v>50100-794372595-951500305497730</v>
      </c>
      <c r="B2061" s="136" t="s">
        <v>3861</v>
      </c>
      <c r="C2061" s="136" t="s">
        <v>11563</v>
      </c>
      <c r="D2061" s="132" t="s">
        <v>3420</v>
      </c>
      <c r="E2061" s="136" t="s">
        <v>3827</v>
      </c>
      <c r="F2061" s="136" t="s">
        <v>3827</v>
      </c>
      <c r="G2061" s="137">
        <v>1395436479001</v>
      </c>
      <c r="H2061" s="138" t="s">
        <v>6456</v>
      </c>
      <c r="I2061" s="136">
        <v>951500305</v>
      </c>
      <c r="J2061" s="131" t="s">
        <v>3758</v>
      </c>
      <c r="K2061" s="139">
        <v>497730</v>
      </c>
    </row>
    <row r="2062" spans="1:11">
      <c r="A2062" s="1" t="str">
        <f t="shared" si="32"/>
        <v>50100-797588995-951500305182974</v>
      </c>
      <c r="B2062" s="136" t="s">
        <v>3858</v>
      </c>
      <c r="C2062" s="136" t="s">
        <v>11560</v>
      </c>
      <c r="D2062" s="132" t="s">
        <v>3420</v>
      </c>
      <c r="E2062" s="136" t="s">
        <v>3768</v>
      </c>
      <c r="F2062" s="136" t="s">
        <v>3768</v>
      </c>
      <c r="G2062" s="137">
        <v>1395436479001</v>
      </c>
      <c r="H2062" s="138" t="s">
        <v>6456</v>
      </c>
      <c r="I2062" s="136">
        <v>951500305</v>
      </c>
      <c r="J2062" s="131" t="s">
        <v>3758</v>
      </c>
      <c r="K2062" s="139">
        <v>182974</v>
      </c>
    </row>
    <row r="2063" spans="1:11">
      <c r="A2063" s="1" t="str">
        <f t="shared" si="32"/>
        <v>50100-798706195-951500245220000</v>
      </c>
      <c r="B2063" s="136" t="s">
        <v>3857</v>
      </c>
      <c r="C2063" s="136" t="s">
        <v>11559</v>
      </c>
      <c r="D2063" s="132" t="s">
        <v>3420</v>
      </c>
      <c r="E2063" s="136" t="s">
        <v>3829</v>
      </c>
      <c r="F2063" s="136" t="s">
        <v>3829</v>
      </c>
      <c r="G2063" s="137">
        <v>1395427836001</v>
      </c>
      <c r="H2063" s="138" t="s">
        <v>6298</v>
      </c>
      <c r="I2063" s="136">
        <v>951500245</v>
      </c>
      <c r="J2063" s="131" t="s">
        <v>3883</v>
      </c>
      <c r="K2063" s="139">
        <v>220000</v>
      </c>
    </row>
    <row r="2064" spans="1:11">
      <c r="A2064" s="1" t="str">
        <f t="shared" si="32"/>
        <v>50100-798706195-951500252164480</v>
      </c>
      <c r="B2064" s="136" t="s">
        <v>3857</v>
      </c>
      <c r="C2064" s="136" t="s">
        <v>11559</v>
      </c>
      <c r="D2064" s="132" t="s">
        <v>3420</v>
      </c>
      <c r="E2064" s="136" t="s">
        <v>3829</v>
      </c>
      <c r="F2064" s="136" t="s">
        <v>3829</v>
      </c>
      <c r="G2064" s="137">
        <v>1395427836001</v>
      </c>
      <c r="H2064" s="138" t="s">
        <v>6298</v>
      </c>
      <c r="I2064" s="136">
        <v>951500252</v>
      </c>
      <c r="J2064" s="131" t="s">
        <v>3884</v>
      </c>
      <c r="K2064" s="139">
        <v>164480</v>
      </c>
    </row>
    <row r="2065" spans="1:11">
      <c r="A2065" s="1" t="str">
        <f t="shared" si="32"/>
        <v>50100-798708595-951500346601740</v>
      </c>
      <c r="B2065" s="136" t="s">
        <v>3862</v>
      </c>
      <c r="C2065" s="136" t="s">
        <v>11564</v>
      </c>
      <c r="D2065" s="132" t="s">
        <v>3420</v>
      </c>
      <c r="E2065" s="136" t="s">
        <v>3829</v>
      </c>
      <c r="F2065" s="136" t="s">
        <v>3829</v>
      </c>
      <c r="G2065" s="137">
        <v>1395437982001</v>
      </c>
      <c r="H2065" s="138" t="s">
        <v>6300</v>
      </c>
      <c r="I2065" s="136">
        <v>951500346</v>
      </c>
      <c r="J2065" s="131" t="s">
        <v>3885</v>
      </c>
      <c r="K2065" s="139">
        <v>601740</v>
      </c>
    </row>
    <row r="2066" spans="1:11">
      <c r="A2066" s="1" t="str">
        <f t="shared" si="32"/>
        <v>50100-797020695-951500281159868</v>
      </c>
      <c r="B2066" s="136" t="s">
        <v>3863</v>
      </c>
      <c r="C2066" s="136" t="s">
        <v>11565</v>
      </c>
      <c r="D2066" s="132" t="s">
        <v>3420</v>
      </c>
      <c r="E2066" s="136" t="s">
        <v>3820</v>
      </c>
      <c r="F2066" s="136" t="s">
        <v>3820</v>
      </c>
      <c r="G2066" s="137">
        <v>1395427837001</v>
      </c>
      <c r="H2066" s="138" t="s">
        <v>6300</v>
      </c>
      <c r="I2066" s="136">
        <v>951500281</v>
      </c>
      <c r="J2066" s="131" t="s">
        <v>3755</v>
      </c>
      <c r="K2066" s="139">
        <v>159868</v>
      </c>
    </row>
    <row r="2067" spans="1:11">
      <c r="A2067" s="1" t="str">
        <f t="shared" si="32"/>
        <v>50100-797020695-95150034342732</v>
      </c>
      <c r="B2067" s="136" t="s">
        <v>3863</v>
      </c>
      <c r="C2067" s="136" t="s">
        <v>11565</v>
      </c>
      <c r="D2067" s="132" t="s">
        <v>3420</v>
      </c>
      <c r="E2067" s="136" t="s">
        <v>3820</v>
      </c>
      <c r="F2067" s="136" t="s">
        <v>3820</v>
      </c>
      <c r="G2067" s="137">
        <v>1395435643001</v>
      </c>
      <c r="H2067" s="138" t="s">
        <v>6300</v>
      </c>
      <c r="I2067" s="136">
        <v>951500343</v>
      </c>
      <c r="J2067" s="131" t="s">
        <v>3880</v>
      </c>
      <c r="K2067" s="139">
        <v>42732</v>
      </c>
    </row>
    <row r="2068" spans="1:11">
      <c r="A2068" s="1" t="str">
        <f t="shared" si="32"/>
        <v>50100-797020695-951500324300000</v>
      </c>
      <c r="B2068" s="136" t="s">
        <v>3863</v>
      </c>
      <c r="C2068" s="136" t="s">
        <v>11565</v>
      </c>
      <c r="D2068" s="132" t="s">
        <v>3420</v>
      </c>
      <c r="E2068" s="136" t="s">
        <v>3820</v>
      </c>
      <c r="F2068" s="136" t="s">
        <v>3820</v>
      </c>
      <c r="G2068" s="137">
        <v>1395435643001</v>
      </c>
      <c r="H2068" s="138" t="s">
        <v>6300</v>
      </c>
      <c r="I2068" s="136">
        <v>951500324</v>
      </c>
      <c r="J2068" s="131" t="s">
        <v>3886</v>
      </c>
      <c r="K2068" s="139">
        <v>300000</v>
      </c>
    </row>
    <row r="2069" spans="1:11">
      <c r="A2069" s="1" t="str">
        <f t="shared" si="32"/>
        <v>50100-798710095-951500343100000</v>
      </c>
      <c r="B2069" s="136" t="s">
        <v>3864</v>
      </c>
      <c r="C2069" s="136" t="s">
        <v>11566</v>
      </c>
      <c r="D2069" s="132" t="s">
        <v>3420</v>
      </c>
      <c r="E2069" s="136" t="s">
        <v>3829</v>
      </c>
      <c r="F2069" s="136" t="s">
        <v>3829</v>
      </c>
      <c r="G2069" s="137">
        <v>1395435643001</v>
      </c>
      <c r="H2069" s="138" t="s">
        <v>6300</v>
      </c>
      <c r="I2069" s="136">
        <v>951500343</v>
      </c>
      <c r="J2069" s="131" t="s">
        <v>3880</v>
      </c>
      <c r="K2069" s="139">
        <v>100000</v>
      </c>
    </row>
    <row r="2070" spans="1:11">
      <c r="A2070" s="1" t="str">
        <f t="shared" si="32"/>
        <v>50100-798710095-951500346398260</v>
      </c>
      <c r="B2070" s="136" t="s">
        <v>3864</v>
      </c>
      <c r="C2070" s="136" t="s">
        <v>11566</v>
      </c>
      <c r="D2070" s="132" t="s">
        <v>3420</v>
      </c>
      <c r="E2070" s="136" t="s">
        <v>3829</v>
      </c>
      <c r="F2070" s="136" t="s">
        <v>3829</v>
      </c>
      <c r="G2070" s="137">
        <v>1395437982001</v>
      </c>
      <c r="H2070" s="138" t="s">
        <v>6300</v>
      </c>
      <c r="I2070" s="136">
        <v>951500346</v>
      </c>
      <c r="J2070" s="131" t="s">
        <v>3885</v>
      </c>
      <c r="K2070" s="139">
        <v>398260</v>
      </c>
    </row>
    <row r="2071" spans="1:11">
      <c r="A2071" s="1" t="str">
        <f t="shared" si="32"/>
        <v>50100-799321895-95150029923946</v>
      </c>
      <c r="B2071" s="136" t="s">
        <v>3865</v>
      </c>
      <c r="C2071" s="136" t="s">
        <v>11567</v>
      </c>
      <c r="D2071" s="132" t="s">
        <v>3420</v>
      </c>
      <c r="E2071" s="136" t="s">
        <v>3823</v>
      </c>
      <c r="F2071" s="136" t="s">
        <v>3823</v>
      </c>
      <c r="G2071" s="137">
        <v>1395438159001</v>
      </c>
      <c r="H2071" s="138" t="s">
        <v>6298</v>
      </c>
      <c r="I2071" s="136">
        <v>951500299</v>
      </c>
      <c r="J2071" s="131" t="s">
        <v>3887</v>
      </c>
      <c r="K2071" s="139">
        <v>23946</v>
      </c>
    </row>
    <row r="2072" spans="1:11">
      <c r="A2072" s="1" t="str">
        <f t="shared" si="32"/>
        <v>50100-799321895-95150025178054</v>
      </c>
      <c r="B2072" s="136" t="s">
        <v>3865</v>
      </c>
      <c r="C2072" s="136" t="s">
        <v>11567</v>
      </c>
      <c r="D2072" s="132" t="s">
        <v>3420</v>
      </c>
      <c r="E2072" s="136" t="s">
        <v>3823</v>
      </c>
      <c r="F2072" s="136" t="s">
        <v>3823</v>
      </c>
      <c r="G2072" s="137">
        <v>1395427836001</v>
      </c>
      <c r="H2072" s="138" t="s">
        <v>6298</v>
      </c>
      <c r="I2072" s="136">
        <v>951500251</v>
      </c>
      <c r="J2072" s="131" t="s">
        <v>3878</v>
      </c>
      <c r="K2072" s="139">
        <v>78054</v>
      </c>
    </row>
    <row r="2073" spans="1:11">
      <c r="A2073" s="1" t="str">
        <f t="shared" si="32"/>
        <v>50100-799321895-951500354497900</v>
      </c>
      <c r="B2073" s="136" t="s">
        <v>3865</v>
      </c>
      <c r="C2073" s="136" t="s">
        <v>11567</v>
      </c>
      <c r="D2073" s="132" t="s">
        <v>3420</v>
      </c>
      <c r="E2073" s="136" t="s">
        <v>3823</v>
      </c>
      <c r="F2073" s="136" t="s">
        <v>3823</v>
      </c>
      <c r="G2073" s="137">
        <v>1395437985001</v>
      </c>
      <c r="H2073" s="138" t="s">
        <v>6298</v>
      </c>
      <c r="I2073" s="136">
        <v>951500354</v>
      </c>
      <c r="J2073" s="131" t="s">
        <v>3888</v>
      </c>
      <c r="K2073" s="139">
        <v>497900</v>
      </c>
    </row>
    <row r="2074" spans="1:11">
      <c r="A2074" s="1" t="str">
        <f t="shared" si="32"/>
        <v>50100-797588995-95150031840980</v>
      </c>
      <c r="B2074" s="136" t="s">
        <v>3858</v>
      </c>
      <c r="C2074" s="136" t="s">
        <v>11560</v>
      </c>
      <c r="D2074" s="132" t="s">
        <v>3420</v>
      </c>
      <c r="E2074" s="136" t="s">
        <v>3768</v>
      </c>
      <c r="F2074" s="136" t="s">
        <v>3768</v>
      </c>
      <c r="G2074" s="137">
        <v>1395436479001</v>
      </c>
      <c r="H2074" s="138" t="s">
        <v>6456</v>
      </c>
      <c r="I2074" s="136">
        <v>951500318</v>
      </c>
      <c r="J2074" s="131" t="s">
        <v>3889</v>
      </c>
      <c r="K2074" s="139">
        <v>40980</v>
      </c>
    </row>
    <row r="2075" spans="1:11">
      <c r="A2075" s="1" t="str">
        <f t="shared" si="32"/>
        <v>50100-799335795-9515002671475000</v>
      </c>
      <c r="B2075" s="136" t="s">
        <v>3866</v>
      </c>
      <c r="C2075" s="136" t="s">
        <v>11568</v>
      </c>
      <c r="D2075" s="132" t="s">
        <v>3420</v>
      </c>
      <c r="E2075" s="136" t="s">
        <v>3823</v>
      </c>
      <c r="F2075" s="136" t="s">
        <v>3823</v>
      </c>
      <c r="G2075" s="137">
        <v>1395435642001</v>
      </c>
      <c r="H2075" s="138" t="s">
        <v>10206</v>
      </c>
      <c r="I2075" s="136">
        <v>951500267</v>
      </c>
      <c r="J2075" s="131" t="s">
        <v>3890</v>
      </c>
      <c r="K2075" s="139">
        <v>1475000</v>
      </c>
    </row>
    <row r="2076" spans="1:11">
      <c r="A2076" s="1" t="str">
        <f t="shared" si="32"/>
        <v>50100-797673795-951500265160000</v>
      </c>
      <c r="B2076" s="136" t="s">
        <v>3859</v>
      </c>
      <c r="C2076" s="136" t="s">
        <v>11561</v>
      </c>
      <c r="D2076" s="132" t="s">
        <v>3420</v>
      </c>
      <c r="E2076" s="136" t="s">
        <v>3768</v>
      </c>
      <c r="F2076" s="136" t="s">
        <v>3768</v>
      </c>
      <c r="G2076" s="137">
        <v>1395434889001</v>
      </c>
      <c r="H2076" s="138" t="s">
        <v>6298</v>
      </c>
      <c r="I2076" s="136">
        <v>951500265</v>
      </c>
      <c r="J2076" s="131" t="s">
        <v>3754</v>
      </c>
      <c r="K2076" s="139">
        <v>160000</v>
      </c>
    </row>
    <row r="2077" spans="1:11">
      <c r="A2077" s="1" t="str">
        <f t="shared" si="32"/>
        <v>50100-797673795-951500283498840</v>
      </c>
      <c r="B2077" s="136" t="s">
        <v>3859</v>
      </c>
      <c r="C2077" s="136" t="s">
        <v>11561</v>
      </c>
      <c r="D2077" s="132" t="s">
        <v>3420</v>
      </c>
      <c r="E2077" s="136" t="s">
        <v>3768</v>
      </c>
      <c r="F2077" s="136" t="s">
        <v>3768</v>
      </c>
      <c r="G2077" s="137">
        <v>1395436005001</v>
      </c>
      <c r="H2077" s="138" t="s">
        <v>6298</v>
      </c>
      <c r="I2077" s="136">
        <v>951500283</v>
      </c>
      <c r="J2077" s="131" t="s">
        <v>3891</v>
      </c>
      <c r="K2077" s="139">
        <v>498840</v>
      </c>
    </row>
    <row r="2078" spans="1:11">
      <c r="A2078" s="1" t="str">
        <f t="shared" si="32"/>
        <v>50100-799355895-951500267200000</v>
      </c>
      <c r="B2078" s="136" t="s">
        <v>3867</v>
      </c>
      <c r="C2078" s="136" t="s">
        <v>11569</v>
      </c>
      <c r="D2078" s="132" t="s">
        <v>3420</v>
      </c>
      <c r="E2078" s="136" t="s">
        <v>3823</v>
      </c>
      <c r="F2078" s="136" t="s">
        <v>3823</v>
      </c>
      <c r="G2078" s="137">
        <v>1395435642001</v>
      </c>
      <c r="H2078" s="138" t="s">
        <v>10206</v>
      </c>
      <c r="I2078" s="136">
        <v>951500267</v>
      </c>
      <c r="J2078" s="131" t="s">
        <v>3890</v>
      </c>
      <c r="K2078" s="139">
        <v>200000</v>
      </c>
    </row>
    <row r="2079" spans="1:11">
      <c r="A2079" s="1" t="str">
        <f t="shared" si="32"/>
        <v>50100-795661695-95250003025985</v>
      </c>
      <c r="B2079" s="136" t="s">
        <v>3868</v>
      </c>
      <c r="C2079" s="136" t="s">
        <v>11570</v>
      </c>
      <c r="D2079" s="132" t="s">
        <v>3420</v>
      </c>
      <c r="E2079" s="136" t="s">
        <v>3822</v>
      </c>
      <c r="F2079" s="136" t="s">
        <v>3822</v>
      </c>
      <c r="G2079" s="137">
        <v>1395418113001</v>
      </c>
      <c r="H2079" s="138" t="s">
        <v>6298</v>
      </c>
      <c r="I2079" s="136">
        <v>952500030</v>
      </c>
      <c r="J2079" s="131" t="s">
        <v>3766</v>
      </c>
      <c r="K2079" s="139">
        <v>25985</v>
      </c>
    </row>
    <row r="2080" spans="1:11">
      <c r="A2080" s="1" t="str">
        <f t="shared" si="32"/>
        <v>50100-795661695-951500226124900</v>
      </c>
      <c r="B2080" s="136" t="s">
        <v>3868</v>
      </c>
      <c r="C2080" s="136" t="s">
        <v>11570</v>
      </c>
      <c r="D2080" s="132" t="s">
        <v>3420</v>
      </c>
      <c r="E2080" s="136" t="s">
        <v>3822</v>
      </c>
      <c r="F2080" s="136" t="s">
        <v>3822</v>
      </c>
      <c r="G2080" s="137">
        <v>1395427836001</v>
      </c>
      <c r="H2080" s="138" t="s">
        <v>6298</v>
      </c>
      <c r="I2080" s="136">
        <v>951500226</v>
      </c>
      <c r="J2080" s="131" t="s">
        <v>3892</v>
      </c>
      <c r="K2080" s="139">
        <v>124900</v>
      </c>
    </row>
    <row r="2081" spans="1:11">
      <c r="A2081" s="1" t="str">
        <f t="shared" si="32"/>
        <v>50100-795661695-951500224198820</v>
      </c>
      <c r="B2081" s="136" t="s">
        <v>3868</v>
      </c>
      <c r="C2081" s="136" t="s">
        <v>11570</v>
      </c>
      <c r="D2081" s="132" t="s">
        <v>3420</v>
      </c>
      <c r="E2081" s="136" t="s">
        <v>3822</v>
      </c>
      <c r="F2081" s="136" t="s">
        <v>3822</v>
      </c>
      <c r="G2081" s="137">
        <v>1395421206001</v>
      </c>
      <c r="H2081" s="138" t="s">
        <v>6298</v>
      </c>
      <c r="I2081" s="136">
        <v>951500224</v>
      </c>
      <c r="J2081" s="131" t="s">
        <v>3893</v>
      </c>
      <c r="K2081" s="139">
        <v>198820</v>
      </c>
    </row>
    <row r="2082" spans="1:11">
      <c r="A2082" s="1" t="str">
        <f t="shared" si="32"/>
        <v>50100-794333195-954200040490435</v>
      </c>
      <c r="B2082" s="136" t="s">
        <v>3869</v>
      </c>
      <c r="C2082" s="136" t="s">
        <v>11571</v>
      </c>
      <c r="D2082" s="132" t="s">
        <v>3420</v>
      </c>
      <c r="E2082" s="136" t="s">
        <v>3827</v>
      </c>
      <c r="F2082" s="136" t="s">
        <v>3827</v>
      </c>
      <c r="G2082" s="137">
        <v>1395437986001</v>
      </c>
      <c r="H2082" s="138" t="s">
        <v>10183</v>
      </c>
      <c r="I2082" s="136">
        <v>954200040</v>
      </c>
      <c r="J2082" s="131" t="s">
        <v>3894</v>
      </c>
      <c r="K2082" s="139">
        <v>490435</v>
      </c>
    </row>
    <row r="2083" spans="1:11">
      <c r="A2083" s="1" t="str">
        <f t="shared" si="32"/>
        <v>50100-795661695-95150022883209</v>
      </c>
      <c r="B2083" s="136" t="s">
        <v>3868</v>
      </c>
      <c r="C2083" s="136" t="s">
        <v>11570</v>
      </c>
      <c r="D2083" s="132" t="s">
        <v>3420</v>
      </c>
      <c r="E2083" s="136" t="s">
        <v>3822</v>
      </c>
      <c r="F2083" s="136" t="s">
        <v>3822</v>
      </c>
      <c r="G2083" s="137">
        <v>1395427844001</v>
      </c>
      <c r="H2083" s="138" t="s">
        <v>6298</v>
      </c>
      <c r="I2083" s="136">
        <v>951500228</v>
      </c>
      <c r="J2083" s="131" t="s">
        <v>3874</v>
      </c>
      <c r="K2083" s="139">
        <v>83209</v>
      </c>
    </row>
    <row r="2084" spans="1:11">
      <c r="A2084" s="1" t="str">
        <f t="shared" si="32"/>
        <v>50100-794308095-954200042293112</v>
      </c>
      <c r="B2084" s="136" t="s">
        <v>3870</v>
      </c>
      <c r="C2084" s="136" t="s">
        <v>11572</v>
      </c>
      <c r="D2084" s="132" t="s">
        <v>3420</v>
      </c>
      <c r="E2084" s="136" t="s">
        <v>3827</v>
      </c>
      <c r="F2084" s="136" t="s">
        <v>3827</v>
      </c>
      <c r="G2084" s="137">
        <v>1395431925001</v>
      </c>
      <c r="H2084" s="138" t="s">
        <v>10183</v>
      </c>
      <c r="I2084" s="136">
        <v>954200042</v>
      </c>
      <c r="J2084" s="131" t="s">
        <v>3895</v>
      </c>
      <c r="K2084" s="139">
        <v>293112</v>
      </c>
    </row>
    <row r="2085" spans="1:11">
      <c r="A2085" s="1" t="str">
        <f t="shared" si="32"/>
        <v>50100-797199195-951500246150000</v>
      </c>
      <c r="B2085" s="136" t="s">
        <v>3871</v>
      </c>
      <c r="C2085" s="136" t="s">
        <v>11573</v>
      </c>
      <c r="D2085" s="132" t="s">
        <v>3420</v>
      </c>
      <c r="E2085" s="136" t="s">
        <v>3820</v>
      </c>
      <c r="F2085" s="136" t="s">
        <v>3820</v>
      </c>
      <c r="G2085" s="137">
        <v>1395434889001</v>
      </c>
      <c r="H2085" s="138" t="s">
        <v>6298</v>
      </c>
      <c r="I2085" s="136">
        <v>951500246</v>
      </c>
      <c r="J2085" s="131" t="s">
        <v>3896</v>
      </c>
      <c r="K2085" s="139">
        <v>150000</v>
      </c>
    </row>
    <row r="2086" spans="1:11">
      <c r="A2086" s="1" t="str">
        <f t="shared" si="32"/>
        <v>50100-797199195-951500198399960</v>
      </c>
      <c r="B2086" s="136" t="s">
        <v>3871</v>
      </c>
      <c r="C2086" s="136" t="s">
        <v>11573</v>
      </c>
      <c r="D2086" s="132" t="s">
        <v>3420</v>
      </c>
      <c r="E2086" s="136" t="s">
        <v>3820</v>
      </c>
      <c r="F2086" s="136" t="s">
        <v>3820</v>
      </c>
      <c r="G2086" s="137">
        <v>1395397986001</v>
      </c>
      <c r="H2086" s="138" t="s">
        <v>6454</v>
      </c>
      <c r="I2086" s="136">
        <v>951500198</v>
      </c>
      <c r="J2086" s="131" t="s">
        <v>3476</v>
      </c>
      <c r="K2086" s="139">
        <v>399960</v>
      </c>
    </row>
    <row r="2087" spans="1:11">
      <c r="A2087" s="1" t="str">
        <f t="shared" si="32"/>
        <v>50100-797199195-95150025110966</v>
      </c>
      <c r="B2087" s="136" t="s">
        <v>3871</v>
      </c>
      <c r="C2087" s="136" t="s">
        <v>11573</v>
      </c>
      <c r="D2087" s="132" t="s">
        <v>3420</v>
      </c>
      <c r="E2087" s="136" t="s">
        <v>3820</v>
      </c>
      <c r="F2087" s="136" t="s">
        <v>3820</v>
      </c>
      <c r="G2087" s="137">
        <v>1395427836001</v>
      </c>
      <c r="H2087" s="138" t="s">
        <v>6298</v>
      </c>
      <c r="I2087" s="136">
        <v>951500251</v>
      </c>
      <c r="J2087" s="131" t="s">
        <v>3878</v>
      </c>
      <c r="K2087" s="139">
        <v>10966</v>
      </c>
    </row>
    <row r="2088" spans="1:11">
      <c r="A2088" s="1" t="str">
        <f t="shared" si="32"/>
        <v>50100-797199195-951500247379460</v>
      </c>
      <c r="B2088" s="136" t="s">
        <v>3871</v>
      </c>
      <c r="C2088" s="136" t="s">
        <v>11573</v>
      </c>
      <c r="D2088" s="132" t="s">
        <v>3420</v>
      </c>
      <c r="E2088" s="136" t="s">
        <v>3820</v>
      </c>
      <c r="F2088" s="136" t="s">
        <v>3820</v>
      </c>
      <c r="G2088" s="137">
        <v>1395427836001</v>
      </c>
      <c r="H2088" s="138" t="s">
        <v>6298</v>
      </c>
      <c r="I2088" s="136">
        <v>951500247</v>
      </c>
      <c r="J2088" s="131" t="s">
        <v>3897</v>
      </c>
      <c r="K2088" s="139">
        <v>379460</v>
      </c>
    </row>
    <row r="2089" spans="1:11">
      <c r="A2089" s="1" t="str">
        <f t="shared" si="32"/>
        <v>50100-795661695-95150022717685</v>
      </c>
      <c r="B2089" s="136" t="s">
        <v>3868</v>
      </c>
      <c r="C2089" s="136" t="s">
        <v>11570</v>
      </c>
      <c r="D2089" s="132" t="s">
        <v>3420</v>
      </c>
      <c r="E2089" s="136" t="s">
        <v>3822</v>
      </c>
      <c r="F2089" s="136" t="s">
        <v>3822</v>
      </c>
      <c r="G2089" s="137">
        <v>1395427844001</v>
      </c>
      <c r="H2089" s="138" t="s">
        <v>6298</v>
      </c>
      <c r="I2089" s="136">
        <v>951500227</v>
      </c>
      <c r="J2089" s="131" t="s">
        <v>3743</v>
      </c>
      <c r="K2089" s="139">
        <v>17685</v>
      </c>
    </row>
    <row r="2090" spans="1:11">
      <c r="A2090" s="1" t="str">
        <f t="shared" si="32"/>
        <v>50100-795661695-95250002845776</v>
      </c>
      <c r="B2090" s="136" t="s">
        <v>3868</v>
      </c>
      <c r="C2090" s="136" t="s">
        <v>11570</v>
      </c>
      <c r="D2090" s="132" t="s">
        <v>3420</v>
      </c>
      <c r="E2090" s="136" t="s">
        <v>3822</v>
      </c>
      <c r="F2090" s="136" t="s">
        <v>3822</v>
      </c>
      <c r="G2090" s="137">
        <v>1395421206001</v>
      </c>
      <c r="H2090" s="138" t="s">
        <v>6298</v>
      </c>
      <c r="I2090" s="136">
        <v>952500028</v>
      </c>
      <c r="J2090" s="131" t="s">
        <v>3742</v>
      </c>
      <c r="K2090" s="139">
        <v>45776</v>
      </c>
    </row>
    <row r="2091" spans="1:11">
      <c r="A2091" s="1" t="str">
        <f t="shared" si="32"/>
        <v>50100-797199195-95150020051814</v>
      </c>
      <c r="B2091" s="136" t="s">
        <v>3871</v>
      </c>
      <c r="C2091" s="136" t="s">
        <v>11573</v>
      </c>
      <c r="D2091" s="132" t="s">
        <v>3420</v>
      </c>
      <c r="E2091" s="136" t="s">
        <v>3820</v>
      </c>
      <c r="F2091" s="136" t="s">
        <v>3820</v>
      </c>
      <c r="G2091" s="137">
        <v>1395397986001</v>
      </c>
      <c r="H2091" s="138" t="s">
        <v>6454</v>
      </c>
      <c r="I2091" s="136">
        <v>951500200</v>
      </c>
      <c r="J2091" s="131" t="s">
        <v>3560</v>
      </c>
      <c r="K2091" s="139">
        <v>51814</v>
      </c>
    </row>
    <row r="2092" spans="1:11">
      <c r="A2092" s="1" t="str">
        <f t="shared" si="32"/>
        <v>50100-799083195-954100017969565</v>
      </c>
      <c r="B2092" s="136" t="s">
        <v>3872</v>
      </c>
      <c r="C2092" s="136" t="s">
        <v>11574</v>
      </c>
      <c r="D2092" s="132" t="s">
        <v>3420</v>
      </c>
      <c r="E2092" s="136" t="s">
        <v>3825</v>
      </c>
      <c r="F2092" s="136" t="s">
        <v>3825</v>
      </c>
      <c r="G2092" s="137">
        <v>1395399148001</v>
      </c>
      <c r="H2092" s="138" t="s">
        <v>10183</v>
      </c>
      <c r="I2092" s="136">
        <v>954100017</v>
      </c>
      <c r="J2092" s="131" t="s">
        <v>3898</v>
      </c>
      <c r="K2092" s="139">
        <v>969565</v>
      </c>
    </row>
    <row r="2093" spans="1:11">
      <c r="A2093" s="1" t="str">
        <f t="shared" si="32"/>
        <v>50100-794324295-954200041686609</v>
      </c>
      <c r="B2093" s="136" t="s">
        <v>3873</v>
      </c>
      <c r="C2093" s="136" t="s">
        <v>11575</v>
      </c>
      <c r="D2093" s="132" t="s">
        <v>3420</v>
      </c>
      <c r="E2093" s="136" t="s">
        <v>3827</v>
      </c>
      <c r="F2093" s="136" t="s">
        <v>3827</v>
      </c>
      <c r="G2093" s="137">
        <v>1395431925001</v>
      </c>
      <c r="H2093" s="138" t="s">
        <v>10183</v>
      </c>
      <c r="I2093" s="136">
        <v>954200041</v>
      </c>
      <c r="J2093" s="131" t="s">
        <v>3899</v>
      </c>
      <c r="K2093" s="139">
        <v>686609</v>
      </c>
    </row>
    <row r="2094" spans="1:11">
      <c r="A2094" s="1" t="str">
        <f t="shared" si="32"/>
        <v>50100-789147495-9542000351410331</v>
      </c>
      <c r="B2094" s="136" t="s">
        <v>3696</v>
      </c>
      <c r="C2094" s="136" t="s">
        <v>11576</v>
      </c>
      <c r="D2094" s="132" t="s">
        <v>3420</v>
      </c>
      <c r="E2094" s="136" t="s">
        <v>3717</v>
      </c>
      <c r="F2094" s="136" t="s">
        <v>3717</v>
      </c>
      <c r="G2094" s="137">
        <v>1395431925001</v>
      </c>
      <c r="H2094" s="138" t="s">
        <v>10183</v>
      </c>
      <c r="I2094" s="136">
        <v>954200035</v>
      </c>
      <c r="J2094" s="131" t="s">
        <v>3744</v>
      </c>
      <c r="K2094" s="139">
        <v>1410331</v>
      </c>
    </row>
    <row r="2095" spans="1:11">
      <c r="A2095" s="1" t="str">
        <f t="shared" si="32"/>
        <v>50100-790268995-951500289299340</v>
      </c>
      <c r="B2095" s="136" t="s">
        <v>3697</v>
      </c>
      <c r="C2095" s="136" t="s">
        <v>11577</v>
      </c>
      <c r="D2095" s="132" t="s">
        <v>3420</v>
      </c>
      <c r="E2095" s="136" t="s">
        <v>3718</v>
      </c>
      <c r="F2095" s="136" t="s">
        <v>3718</v>
      </c>
      <c r="G2095" s="137">
        <v>1395437985001</v>
      </c>
      <c r="H2095" s="138" t="s">
        <v>6298</v>
      </c>
      <c r="I2095" s="136">
        <v>951500289</v>
      </c>
      <c r="J2095" s="131" t="s">
        <v>3745</v>
      </c>
      <c r="K2095" s="139">
        <v>299340</v>
      </c>
    </row>
    <row r="2096" spans="1:11">
      <c r="A2096" s="1" t="str">
        <f t="shared" si="32"/>
        <v>50100-792001295-951500304200000</v>
      </c>
      <c r="B2096" s="136" t="s">
        <v>3698</v>
      </c>
      <c r="C2096" s="136" t="s">
        <v>11578</v>
      </c>
      <c r="D2096" s="132" t="s">
        <v>3420</v>
      </c>
      <c r="E2096" s="136" t="s">
        <v>3719</v>
      </c>
      <c r="F2096" s="136" t="s">
        <v>3719</v>
      </c>
      <c r="G2096" s="137">
        <v>1395418115001</v>
      </c>
      <c r="H2096" s="138" t="s">
        <v>10183</v>
      </c>
      <c r="I2096" s="136">
        <v>951500304</v>
      </c>
      <c r="J2096" s="131" t="s">
        <v>3746</v>
      </c>
      <c r="K2096" s="139">
        <v>200000</v>
      </c>
    </row>
    <row r="2097" spans="1:11">
      <c r="A2097" s="1" t="str">
        <f t="shared" si="32"/>
        <v>50100-790304895-951500303758768</v>
      </c>
      <c r="B2097" s="136" t="s">
        <v>3699</v>
      </c>
      <c r="C2097" s="136" t="s">
        <v>11579</v>
      </c>
      <c r="D2097" s="132" t="s">
        <v>3420</v>
      </c>
      <c r="E2097" s="136" t="s">
        <v>3718</v>
      </c>
      <c r="F2097" s="136" t="s">
        <v>3718</v>
      </c>
      <c r="G2097" s="137">
        <v>1395397987001</v>
      </c>
      <c r="H2097" s="138" t="s">
        <v>10183</v>
      </c>
      <c r="I2097" s="136">
        <v>951500303</v>
      </c>
      <c r="J2097" s="131" t="s">
        <v>3747</v>
      </c>
      <c r="K2097" s="139">
        <v>758768</v>
      </c>
    </row>
    <row r="2098" spans="1:11">
      <c r="A2098" s="1" t="str">
        <f t="shared" si="32"/>
        <v>50100-790291295-951500236209530</v>
      </c>
      <c r="B2098" s="136" t="s">
        <v>3700</v>
      </c>
      <c r="C2098" s="136" t="s">
        <v>11580</v>
      </c>
      <c r="D2098" s="132" t="s">
        <v>3420</v>
      </c>
      <c r="E2098" s="136" t="s">
        <v>3718</v>
      </c>
      <c r="F2098" s="136" t="s">
        <v>3718</v>
      </c>
      <c r="G2098" s="137">
        <v>1395421206001</v>
      </c>
      <c r="H2098" s="138" t="s">
        <v>6298</v>
      </c>
      <c r="I2098" s="136">
        <v>951500236</v>
      </c>
      <c r="J2098" s="131" t="s">
        <v>3725</v>
      </c>
      <c r="K2098" s="139">
        <v>209530</v>
      </c>
    </row>
    <row r="2099" spans="1:11">
      <c r="A2099" s="1" t="str">
        <f t="shared" si="32"/>
        <v>50100-790291295-951500239197120</v>
      </c>
      <c r="B2099" s="136" t="s">
        <v>3700</v>
      </c>
      <c r="C2099" s="136" t="s">
        <v>11580</v>
      </c>
      <c r="D2099" s="132" t="s">
        <v>3420</v>
      </c>
      <c r="E2099" s="136" t="s">
        <v>3718</v>
      </c>
      <c r="F2099" s="136" t="s">
        <v>3718</v>
      </c>
      <c r="G2099" s="137">
        <v>1395427836001</v>
      </c>
      <c r="H2099" s="138" t="s">
        <v>6298</v>
      </c>
      <c r="I2099" s="136">
        <v>951500239</v>
      </c>
      <c r="J2099" s="131" t="s">
        <v>3748</v>
      </c>
      <c r="K2099" s="139">
        <v>197120</v>
      </c>
    </row>
    <row r="2100" spans="1:11">
      <c r="A2100" s="1" t="str">
        <f t="shared" si="32"/>
        <v>50100-790291295-951500225400000</v>
      </c>
      <c r="B2100" s="136" t="s">
        <v>3700</v>
      </c>
      <c r="C2100" s="136" t="s">
        <v>11580</v>
      </c>
      <c r="D2100" s="132" t="s">
        <v>3420</v>
      </c>
      <c r="E2100" s="136" t="s">
        <v>3718</v>
      </c>
      <c r="F2100" s="136" t="s">
        <v>3718</v>
      </c>
      <c r="G2100" s="137">
        <v>1395421206001</v>
      </c>
      <c r="H2100" s="138" t="s">
        <v>6298</v>
      </c>
      <c r="I2100" s="136">
        <v>951500225</v>
      </c>
      <c r="J2100" s="131" t="s">
        <v>3749</v>
      </c>
      <c r="K2100" s="139">
        <v>400000</v>
      </c>
    </row>
    <row r="2101" spans="1:11">
      <c r="A2101" s="1" t="str">
        <f t="shared" si="32"/>
        <v>50100-790291295-95250002789560</v>
      </c>
      <c r="B2101" s="136" t="s">
        <v>3700</v>
      </c>
      <c r="C2101" s="136" t="s">
        <v>11580</v>
      </c>
      <c r="D2101" s="132" t="s">
        <v>3420</v>
      </c>
      <c r="E2101" s="136" t="s">
        <v>3718</v>
      </c>
      <c r="F2101" s="136" t="s">
        <v>3718</v>
      </c>
      <c r="G2101" s="137">
        <v>1395421206001</v>
      </c>
      <c r="H2101" s="138" t="s">
        <v>6298</v>
      </c>
      <c r="I2101" s="136">
        <v>952500027</v>
      </c>
      <c r="J2101" s="131" t="s">
        <v>3750</v>
      </c>
      <c r="K2101" s="139">
        <v>89560</v>
      </c>
    </row>
    <row r="2102" spans="1:11">
      <c r="A2102" s="1" t="str">
        <f t="shared" si="32"/>
        <v>50100-790291295-95150021699460</v>
      </c>
      <c r="B2102" s="136" t="s">
        <v>3700</v>
      </c>
      <c r="C2102" s="136" t="s">
        <v>11580</v>
      </c>
      <c r="D2102" s="132" t="s">
        <v>3420</v>
      </c>
      <c r="E2102" s="136" t="s">
        <v>3718</v>
      </c>
      <c r="F2102" s="136" t="s">
        <v>3718</v>
      </c>
      <c r="G2102" s="137">
        <v>1395421206001</v>
      </c>
      <c r="H2102" s="138" t="s">
        <v>6298</v>
      </c>
      <c r="I2102" s="136">
        <v>951500216</v>
      </c>
      <c r="J2102" s="131" t="s">
        <v>3751</v>
      </c>
      <c r="K2102" s="139">
        <v>99460</v>
      </c>
    </row>
    <row r="2103" spans="1:11">
      <c r="A2103" s="1" t="str">
        <f t="shared" si="32"/>
        <v>50100-792001295-951500303117976</v>
      </c>
      <c r="B2103" s="136" t="s">
        <v>3698</v>
      </c>
      <c r="C2103" s="136" t="s">
        <v>11578</v>
      </c>
      <c r="D2103" s="132" t="s">
        <v>3420</v>
      </c>
      <c r="E2103" s="136" t="s">
        <v>3719</v>
      </c>
      <c r="F2103" s="136" t="s">
        <v>3719</v>
      </c>
      <c r="G2103" s="137">
        <v>1395397987001</v>
      </c>
      <c r="H2103" s="138" t="s">
        <v>10183</v>
      </c>
      <c r="I2103" s="136">
        <v>951500303</v>
      </c>
      <c r="J2103" s="131" t="s">
        <v>3747</v>
      </c>
      <c r="K2103" s="139">
        <v>117976</v>
      </c>
    </row>
    <row r="2104" spans="1:11">
      <c r="A2104" s="1" t="str">
        <f t="shared" si="32"/>
        <v>50100-790299995-951500286497137</v>
      </c>
      <c r="B2104" s="136" t="s">
        <v>3701</v>
      </c>
      <c r="C2104" s="136" t="s">
        <v>11581</v>
      </c>
      <c r="D2104" s="132" t="s">
        <v>3420</v>
      </c>
      <c r="E2104" s="136" t="s">
        <v>3718</v>
      </c>
      <c r="F2104" s="136" t="s">
        <v>3718</v>
      </c>
      <c r="G2104" s="137">
        <v>1395437984001</v>
      </c>
      <c r="H2104" s="138" t="s">
        <v>10335</v>
      </c>
      <c r="I2104" s="136">
        <v>951500286</v>
      </c>
      <c r="J2104" s="131" t="s">
        <v>3752</v>
      </c>
      <c r="K2104" s="139">
        <v>497137</v>
      </c>
    </row>
    <row r="2105" spans="1:11">
      <c r="A2105" s="1" t="str">
        <f t="shared" si="32"/>
        <v>50100-790291295-95150021799380</v>
      </c>
      <c r="B2105" s="136" t="s">
        <v>3700</v>
      </c>
      <c r="C2105" s="136" t="s">
        <v>11580</v>
      </c>
      <c r="D2105" s="132" t="s">
        <v>3420</v>
      </c>
      <c r="E2105" s="136" t="s">
        <v>3718</v>
      </c>
      <c r="F2105" s="136" t="s">
        <v>3718</v>
      </c>
      <c r="G2105" s="137">
        <v>1395421206001</v>
      </c>
      <c r="H2105" s="138" t="s">
        <v>6298</v>
      </c>
      <c r="I2105" s="136">
        <v>951500217</v>
      </c>
      <c r="J2105" s="131" t="s">
        <v>3753</v>
      </c>
      <c r="K2105" s="139">
        <v>99380</v>
      </c>
    </row>
    <row r="2106" spans="1:11">
      <c r="A2106" s="1" t="str">
        <f t="shared" si="32"/>
        <v>50100-792360395-951500265840000</v>
      </c>
      <c r="B2106" s="136" t="s">
        <v>3702</v>
      </c>
      <c r="C2106" s="136" t="s">
        <v>11582</v>
      </c>
      <c r="D2106" s="132" t="s">
        <v>3420</v>
      </c>
      <c r="E2106" s="136" t="s">
        <v>3720</v>
      </c>
      <c r="F2106" s="136" t="s">
        <v>3720</v>
      </c>
      <c r="G2106" s="137">
        <v>1395434889001</v>
      </c>
      <c r="H2106" s="138" t="s">
        <v>6298</v>
      </c>
      <c r="I2106" s="136">
        <v>951500265</v>
      </c>
      <c r="J2106" s="131" t="s">
        <v>3754</v>
      </c>
      <c r="K2106" s="139">
        <v>840000</v>
      </c>
    </row>
    <row r="2107" spans="1:11">
      <c r="A2107" s="1" t="str">
        <f t="shared" si="32"/>
        <v>50100-791958495-951500286999695</v>
      </c>
      <c r="B2107" s="136" t="s">
        <v>3703</v>
      </c>
      <c r="C2107" s="136" t="s">
        <v>11583</v>
      </c>
      <c r="D2107" s="132" t="s">
        <v>3420</v>
      </c>
      <c r="E2107" s="136" t="s">
        <v>3719</v>
      </c>
      <c r="F2107" s="136" t="s">
        <v>3719</v>
      </c>
      <c r="G2107" s="137">
        <v>1395437984001</v>
      </c>
      <c r="H2107" s="138" t="s">
        <v>10335</v>
      </c>
      <c r="I2107" s="136">
        <v>951500286</v>
      </c>
      <c r="J2107" s="131" t="s">
        <v>3752</v>
      </c>
      <c r="K2107" s="139">
        <v>999695</v>
      </c>
    </row>
    <row r="2108" spans="1:11">
      <c r="A2108" s="1" t="str">
        <f t="shared" si="32"/>
        <v>50100-792863695-951500281260</v>
      </c>
      <c r="B2108" s="136" t="s">
        <v>3704</v>
      </c>
      <c r="C2108" s="136" t="s">
        <v>11584</v>
      </c>
      <c r="D2108" s="132" t="s">
        <v>3420</v>
      </c>
      <c r="E2108" s="136" t="s">
        <v>3721</v>
      </c>
      <c r="F2108" s="136" t="s">
        <v>3721</v>
      </c>
      <c r="G2108" s="137">
        <v>1395427837001</v>
      </c>
      <c r="H2108" s="138" t="s">
        <v>6300</v>
      </c>
      <c r="I2108" s="136">
        <v>951500281</v>
      </c>
      <c r="J2108" s="131" t="s">
        <v>3755</v>
      </c>
      <c r="K2108" s="139">
        <v>260</v>
      </c>
    </row>
    <row r="2109" spans="1:11">
      <c r="A2109" s="1" t="str">
        <f t="shared" si="32"/>
        <v>50100-792863695-9515002631000000</v>
      </c>
      <c r="B2109" s="136" t="s">
        <v>3704</v>
      </c>
      <c r="C2109" s="136" t="s">
        <v>11584</v>
      </c>
      <c r="D2109" s="132" t="s">
        <v>3420</v>
      </c>
      <c r="E2109" s="136" t="s">
        <v>3721</v>
      </c>
      <c r="F2109" s="136" t="s">
        <v>3721</v>
      </c>
      <c r="G2109" s="137">
        <v>1395427837001</v>
      </c>
      <c r="H2109" s="138" t="s">
        <v>6300</v>
      </c>
      <c r="I2109" s="136">
        <v>951500263</v>
      </c>
      <c r="J2109" s="131" t="s">
        <v>3756</v>
      </c>
      <c r="K2109" s="139">
        <v>1000000</v>
      </c>
    </row>
    <row r="2110" spans="1:11">
      <c r="A2110" s="1" t="str">
        <f t="shared" si="32"/>
        <v>50100-791978595-951500281103780</v>
      </c>
      <c r="B2110" s="136" t="s">
        <v>3705</v>
      </c>
      <c r="C2110" s="136" t="s">
        <v>11585</v>
      </c>
      <c r="D2110" s="132" t="s">
        <v>3420</v>
      </c>
      <c r="E2110" s="136" t="s">
        <v>3719</v>
      </c>
      <c r="F2110" s="136" t="s">
        <v>3719</v>
      </c>
      <c r="G2110" s="137">
        <v>1395427837001</v>
      </c>
      <c r="H2110" s="138" t="s">
        <v>6300</v>
      </c>
      <c r="I2110" s="136">
        <v>951500281</v>
      </c>
      <c r="J2110" s="131" t="s">
        <v>3755</v>
      </c>
      <c r="K2110" s="139">
        <v>103780</v>
      </c>
    </row>
    <row r="2111" spans="1:11">
      <c r="A2111" s="1" t="str">
        <f t="shared" si="32"/>
        <v>50100-791996595-951500290120000</v>
      </c>
      <c r="B2111" s="136" t="s">
        <v>3706</v>
      </c>
      <c r="C2111" s="136" t="s">
        <v>11586</v>
      </c>
      <c r="D2111" s="132" t="s">
        <v>3420</v>
      </c>
      <c r="E2111" s="136" t="s">
        <v>3719</v>
      </c>
      <c r="F2111" s="136" t="s">
        <v>3719</v>
      </c>
      <c r="G2111" s="137">
        <v>1395426990001</v>
      </c>
      <c r="H2111" s="138" t="s">
        <v>6456</v>
      </c>
      <c r="I2111" s="136">
        <v>951500290</v>
      </c>
      <c r="J2111" s="131" t="s">
        <v>3757</v>
      </c>
      <c r="K2111" s="139">
        <v>120000</v>
      </c>
    </row>
    <row r="2112" spans="1:11">
      <c r="A2112" s="1" t="str">
        <f t="shared" si="32"/>
        <v>50100-791996595-951500305356</v>
      </c>
      <c r="B2112" s="136" t="s">
        <v>3706</v>
      </c>
      <c r="C2112" s="136" t="s">
        <v>11586</v>
      </c>
      <c r="D2112" s="132" t="s">
        <v>3420</v>
      </c>
      <c r="E2112" s="136" t="s">
        <v>3719</v>
      </c>
      <c r="F2112" s="136" t="s">
        <v>3719</v>
      </c>
      <c r="G2112" s="137">
        <v>1395436479001</v>
      </c>
      <c r="H2112" s="138" t="s">
        <v>6456</v>
      </c>
      <c r="I2112" s="136">
        <v>951500305</v>
      </c>
      <c r="J2112" s="131" t="s">
        <v>3758</v>
      </c>
      <c r="K2112" s="139">
        <v>356</v>
      </c>
    </row>
    <row r="2113" spans="1:11">
      <c r="A2113" s="1" t="str">
        <f t="shared" si="32"/>
        <v>50100-788629395-951500253260000</v>
      </c>
      <c r="B2113" s="136" t="s">
        <v>3707</v>
      </c>
      <c r="C2113" s="136" t="s">
        <v>11587</v>
      </c>
      <c r="D2113" s="132" t="s">
        <v>3420</v>
      </c>
      <c r="E2113" s="136" t="s">
        <v>3722</v>
      </c>
      <c r="F2113" s="136" t="s">
        <v>3722</v>
      </c>
      <c r="G2113" s="137">
        <v>1395427836001</v>
      </c>
      <c r="H2113" s="138" t="s">
        <v>6298</v>
      </c>
      <c r="I2113" s="136">
        <v>951500253</v>
      </c>
      <c r="J2113" s="131" t="s">
        <v>3740</v>
      </c>
      <c r="K2113" s="139">
        <v>260000</v>
      </c>
    </row>
    <row r="2114" spans="1:11">
      <c r="A2114" s="1" t="str">
        <f t="shared" si="32"/>
        <v>50100-792809995-951500275994860</v>
      </c>
      <c r="B2114" s="136" t="s">
        <v>3708</v>
      </c>
      <c r="C2114" s="136" t="s">
        <v>11588</v>
      </c>
      <c r="D2114" s="132" t="s">
        <v>3420</v>
      </c>
      <c r="E2114" s="136" t="s">
        <v>3721</v>
      </c>
      <c r="F2114" s="136" t="s">
        <v>3721</v>
      </c>
      <c r="G2114" s="137">
        <v>1395427837001</v>
      </c>
      <c r="H2114" s="138" t="s">
        <v>6300</v>
      </c>
      <c r="I2114" s="136">
        <v>951500275</v>
      </c>
      <c r="J2114" s="131" t="s">
        <v>3759</v>
      </c>
      <c r="K2114" s="139">
        <v>994860</v>
      </c>
    </row>
    <row r="2115" spans="1:11">
      <c r="A2115" s="1" t="str">
        <f t="shared" ref="A2115:A2178" si="33">B2115&amp;J2115&amp;K2115</f>
        <v>50100-790308295-951500257183480</v>
      </c>
      <c r="B2115" s="136" t="s">
        <v>3709</v>
      </c>
      <c r="C2115" s="136" t="s">
        <v>11589</v>
      </c>
      <c r="D2115" s="132" t="s">
        <v>3420</v>
      </c>
      <c r="E2115" s="136" t="s">
        <v>3718</v>
      </c>
      <c r="F2115" s="136" t="s">
        <v>3718</v>
      </c>
      <c r="G2115" s="137">
        <v>1395426989001</v>
      </c>
      <c r="H2115" s="138" t="s">
        <v>6300</v>
      </c>
      <c r="I2115" s="136">
        <v>951500257</v>
      </c>
      <c r="J2115" s="131" t="s">
        <v>3677</v>
      </c>
      <c r="K2115" s="139">
        <v>183480</v>
      </c>
    </row>
    <row r="2116" spans="1:11">
      <c r="A2116" s="1" t="str">
        <f t="shared" si="33"/>
        <v>50100-790301495-951500286100317</v>
      </c>
      <c r="B2116" s="136" t="s">
        <v>3710</v>
      </c>
      <c r="C2116" s="136" t="s">
        <v>11590</v>
      </c>
      <c r="D2116" s="132" t="s">
        <v>3420</v>
      </c>
      <c r="E2116" s="136" t="s">
        <v>3718</v>
      </c>
      <c r="F2116" s="136" t="s">
        <v>3718</v>
      </c>
      <c r="G2116" s="137">
        <v>1395437984001</v>
      </c>
      <c r="H2116" s="138" t="s">
        <v>10335</v>
      </c>
      <c r="I2116" s="136">
        <v>951500286</v>
      </c>
      <c r="J2116" s="131" t="s">
        <v>3752</v>
      </c>
      <c r="K2116" s="139">
        <v>100317</v>
      </c>
    </row>
    <row r="2117" spans="1:11">
      <c r="A2117" s="1" t="str">
        <f t="shared" si="33"/>
        <v>50100-790308295-951500261500000</v>
      </c>
      <c r="B2117" s="136" t="s">
        <v>3709</v>
      </c>
      <c r="C2117" s="136" t="s">
        <v>11589</v>
      </c>
      <c r="D2117" s="132" t="s">
        <v>3420</v>
      </c>
      <c r="E2117" s="136" t="s">
        <v>3718</v>
      </c>
      <c r="F2117" s="136" t="s">
        <v>3718</v>
      </c>
      <c r="G2117" s="137">
        <v>1395427837001</v>
      </c>
      <c r="H2117" s="138" t="s">
        <v>6300</v>
      </c>
      <c r="I2117" s="136">
        <v>951500261</v>
      </c>
      <c r="J2117" s="131" t="s">
        <v>3760</v>
      </c>
      <c r="K2117" s="139">
        <v>500000</v>
      </c>
    </row>
    <row r="2118" spans="1:11">
      <c r="A2118" s="1" t="str">
        <f t="shared" si="33"/>
        <v>50100-790308295-951500256212590</v>
      </c>
      <c r="B2118" s="136" t="s">
        <v>3709</v>
      </c>
      <c r="C2118" s="136" t="s">
        <v>11589</v>
      </c>
      <c r="D2118" s="132" t="s">
        <v>3420</v>
      </c>
      <c r="E2118" s="136" t="s">
        <v>3718</v>
      </c>
      <c r="F2118" s="136" t="s">
        <v>3718</v>
      </c>
      <c r="G2118" s="137">
        <v>1395426989001</v>
      </c>
      <c r="H2118" s="138" t="s">
        <v>6300</v>
      </c>
      <c r="I2118" s="136">
        <v>951500256</v>
      </c>
      <c r="J2118" s="131" t="s">
        <v>3676</v>
      </c>
      <c r="K2118" s="139">
        <v>212590</v>
      </c>
    </row>
    <row r="2119" spans="1:11">
      <c r="A2119" s="1" t="str">
        <f t="shared" si="33"/>
        <v>50100-791978595-951500280395380</v>
      </c>
      <c r="B2119" s="136" t="s">
        <v>3705</v>
      </c>
      <c r="C2119" s="136" t="s">
        <v>11585</v>
      </c>
      <c r="D2119" s="132" t="s">
        <v>3420</v>
      </c>
      <c r="E2119" s="136" t="s">
        <v>3719</v>
      </c>
      <c r="F2119" s="136" t="s">
        <v>3719</v>
      </c>
      <c r="G2119" s="137">
        <v>1395427837001</v>
      </c>
      <c r="H2119" s="138" t="s">
        <v>6300</v>
      </c>
      <c r="I2119" s="136">
        <v>951500280</v>
      </c>
      <c r="J2119" s="131" t="s">
        <v>3761</v>
      </c>
      <c r="K2119" s="139">
        <v>395380</v>
      </c>
    </row>
    <row r="2120" spans="1:11">
      <c r="A2120" s="1" t="str">
        <f t="shared" si="33"/>
        <v>50100-790308295-951500280104620</v>
      </c>
      <c r="B2120" s="136" t="s">
        <v>3709</v>
      </c>
      <c r="C2120" s="136" t="s">
        <v>11589</v>
      </c>
      <c r="D2120" s="132" t="s">
        <v>3420</v>
      </c>
      <c r="E2120" s="136" t="s">
        <v>3718</v>
      </c>
      <c r="F2120" s="136" t="s">
        <v>3718</v>
      </c>
      <c r="G2120" s="137">
        <v>1395427837001</v>
      </c>
      <c r="H2120" s="138" t="s">
        <v>6300</v>
      </c>
      <c r="I2120" s="136">
        <v>951500280</v>
      </c>
      <c r="J2120" s="131" t="s">
        <v>3761</v>
      </c>
      <c r="K2120" s="139">
        <v>104620</v>
      </c>
    </row>
    <row r="2121" spans="1:11">
      <c r="A2121" s="1" t="str">
        <f t="shared" si="33"/>
        <v>50100-790786395-9542000391963732</v>
      </c>
      <c r="B2121" s="136" t="s">
        <v>3711</v>
      </c>
      <c r="C2121" s="136">
        <v>7907863</v>
      </c>
      <c r="D2121" s="132" t="s">
        <v>3420</v>
      </c>
      <c r="E2121" s="136" t="s">
        <v>3723</v>
      </c>
      <c r="F2121" s="136" t="s">
        <v>3723</v>
      </c>
      <c r="G2121" s="137">
        <v>1395436005001</v>
      </c>
      <c r="H2121" s="138" t="s">
        <v>6298</v>
      </c>
      <c r="I2121" s="136">
        <v>954200039</v>
      </c>
      <c r="J2121" s="131" t="s">
        <v>3762</v>
      </c>
      <c r="K2121" s="139">
        <v>1963732</v>
      </c>
    </row>
    <row r="2122" spans="1:11">
      <c r="A2122" s="1" t="str">
        <f t="shared" si="33"/>
        <v>50100-792883195-954100016907289</v>
      </c>
      <c r="B2122" s="136" t="s">
        <v>3712</v>
      </c>
      <c r="C2122" s="136">
        <v>7928831</v>
      </c>
      <c r="D2122" s="132" t="s">
        <v>3420</v>
      </c>
      <c r="E2122" s="136" t="s">
        <v>3721</v>
      </c>
      <c r="F2122" s="136" t="s">
        <v>3721</v>
      </c>
      <c r="G2122" s="137">
        <v>1395399148001</v>
      </c>
      <c r="H2122" s="138" t="s">
        <v>10183</v>
      </c>
      <c r="I2122" s="136">
        <v>954100016</v>
      </c>
      <c r="J2122" s="131" t="s">
        <v>3763</v>
      </c>
      <c r="K2122" s="139">
        <v>907289</v>
      </c>
    </row>
    <row r="2123" spans="1:11">
      <c r="A2123" s="1" t="str">
        <f t="shared" si="33"/>
        <v>50100-792926195-951500199319060</v>
      </c>
      <c r="B2123" s="136" t="s">
        <v>3713</v>
      </c>
      <c r="C2123" s="136">
        <v>7929261</v>
      </c>
      <c r="D2123" s="132" t="s">
        <v>3420</v>
      </c>
      <c r="E2123" s="136" t="s">
        <v>3721</v>
      </c>
      <c r="F2123" s="136" t="s">
        <v>3721</v>
      </c>
      <c r="G2123" s="137">
        <v>1395397986001</v>
      </c>
      <c r="H2123" s="138" t="s">
        <v>6454</v>
      </c>
      <c r="I2123" s="136">
        <v>951500199</v>
      </c>
      <c r="J2123" s="131" t="s">
        <v>3764</v>
      </c>
      <c r="K2123" s="139">
        <v>319060</v>
      </c>
    </row>
    <row r="2124" spans="1:11">
      <c r="A2124" s="1" t="str">
        <f t="shared" si="33"/>
        <v>50100-792926195-951500199680940</v>
      </c>
      <c r="B2124" s="136" t="s">
        <v>3713</v>
      </c>
      <c r="C2124" s="136">
        <v>7929261</v>
      </c>
      <c r="D2124" s="132" t="s">
        <v>3420</v>
      </c>
      <c r="E2124" s="136" t="s">
        <v>3721</v>
      </c>
      <c r="F2124" s="136" t="s">
        <v>3721</v>
      </c>
      <c r="G2124" s="137">
        <v>1395397986001</v>
      </c>
      <c r="H2124" s="138" t="s">
        <v>6454</v>
      </c>
      <c r="I2124" s="136">
        <v>951500199</v>
      </c>
      <c r="J2124" s="131" t="s">
        <v>3764</v>
      </c>
      <c r="K2124" s="139">
        <v>680940</v>
      </c>
    </row>
    <row r="2125" spans="1:11">
      <c r="A2125" s="1" t="str">
        <f t="shared" si="33"/>
        <v>50100-792926195-951500200402360</v>
      </c>
      <c r="B2125" s="136" t="s">
        <v>3713</v>
      </c>
      <c r="C2125" s="136">
        <v>7929261</v>
      </c>
      <c r="D2125" s="132" t="s">
        <v>3420</v>
      </c>
      <c r="E2125" s="136" t="s">
        <v>3721</v>
      </c>
      <c r="F2125" s="136" t="s">
        <v>3721</v>
      </c>
      <c r="G2125" s="137">
        <v>1395397986001</v>
      </c>
      <c r="H2125" s="138" t="s">
        <v>6454</v>
      </c>
      <c r="I2125" s="136">
        <v>951500200</v>
      </c>
      <c r="J2125" s="131" t="s">
        <v>3560</v>
      </c>
      <c r="K2125" s="139">
        <v>402360</v>
      </c>
    </row>
    <row r="2126" spans="1:11">
      <c r="A2126" s="1" t="str">
        <f t="shared" si="33"/>
        <v>50100-792926195-95150020047640</v>
      </c>
      <c r="B2126" s="136" t="s">
        <v>3713</v>
      </c>
      <c r="C2126" s="136">
        <v>7929261</v>
      </c>
      <c r="D2126" s="132" t="s">
        <v>3420</v>
      </c>
      <c r="E2126" s="136" t="s">
        <v>3721</v>
      </c>
      <c r="F2126" s="136" t="s">
        <v>3721</v>
      </c>
      <c r="G2126" s="137">
        <v>1395397986001</v>
      </c>
      <c r="H2126" s="138" t="s">
        <v>6454</v>
      </c>
      <c r="I2126" s="136">
        <v>951500200</v>
      </c>
      <c r="J2126" s="131" t="s">
        <v>3560</v>
      </c>
      <c r="K2126" s="139">
        <v>47640</v>
      </c>
    </row>
    <row r="2127" spans="1:11">
      <c r="A2127" s="1" t="str">
        <f t="shared" si="33"/>
        <v>50100-792926195-95150021420640</v>
      </c>
      <c r="B2127" s="136" t="s">
        <v>3713</v>
      </c>
      <c r="C2127" s="136">
        <v>7929261</v>
      </c>
      <c r="D2127" s="132" t="s">
        <v>3420</v>
      </c>
      <c r="E2127" s="136" t="s">
        <v>3721</v>
      </c>
      <c r="F2127" s="136" t="s">
        <v>3721</v>
      </c>
      <c r="G2127" s="137">
        <v>1395421206001</v>
      </c>
      <c r="H2127" s="138" t="s">
        <v>6298</v>
      </c>
      <c r="I2127" s="136">
        <v>951500214</v>
      </c>
      <c r="J2127" s="131" t="s">
        <v>3765</v>
      </c>
      <c r="K2127" s="139">
        <v>20640</v>
      </c>
    </row>
    <row r="2128" spans="1:11">
      <c r="A2128" s="1" t="str">
        <f t="shared" si="33"/>
        <v>50100-792926195-9525000273667</v>
      </c>
      <c r="B2128" s="136" t="s">
        <v>3713</v>
      </c>
      <c r="C2128" s="136">
        <v>7929261</v>
      </c>
      <c r="D2128" s="132" t="s">
        <v>3420</v>
      </c>
      <c r="E2128" s="136" t="s">
        <v>3721</v>
      </c>
      <c r="F2128" s="136" t="s">
        <v>3721</v>
      </c>
      <c r="G2128" s="137">
        <v>1395421206001</v>
      </c>
      <c r="H2128" s="138" t="s">
        <v>6298</v>
      </c>
      <c r="I2128" s="136">
        <v>952500027</v>
      </c>
      <c r="J2128" s="131" t="s">
        <v>3750</v>
      </c>
      <c r="K2128" s="139">
        <v>3667</v>
      </c>
    </row>
    <row r="2129" spans="1:11">
      <c r="A2129" s="1" t="str">
        <f t="shared" si="33"/>
        <v>50100-792926195-95250003020593</v>
      </c>
      <c r="B2129" s="136" t="s">
        <v>3713</v>
      </c>
      <c r="C2129" s="136">
        <v>7929261</v>
      </c>
      <c r="D2129" s="132" t="s">
        <v>3420</v>
      </c>
      <c r="E2129" s="136" t="s">
        <v>3721</v>
      </c>
      <c r="F2129" s="136" t="s">
        <v>3721</v>
      </c>
      <c r="G2129" s="137">
        <v>1395418113001</v>
      </c>
      <c r="H2129" s="138" t="s">
        <v>6298</v>
      </c>
      <c r="I2129" s="136">
        <v>952500030</v>
      </c>
      <c r="J2129" s="131" t="s">
        <v>3766</v>
      </c>
      <c r="K2129" s="139">
        <v>20593</v>
      </c>
    </row>
    <row r="2130" spans="1:11">
      <c r="A2130" s="1" t="str">
        <f t="shared" si="33"/>
        <v>50100-767700195-954200004987935</v>
      </c>
      <c r="B2130" s="136" t="s">
        <v>3438</v>
      </c>
      <c r="C2130" s="136" t="s">
        <v>11591</v>
      </c>
      <c r="D2130" s="132" t="s">
        <v>3420</v>
      </c>
      <c r="E2130" s="136" t="s">
        <v>3461</v>
      </c>
      <c r="F2130" s="136" t="s">
        <v>3461</v>
      </c>
      <c r="G2130" s="137">
        <v>1395418113001</v>
      </c>
      <c r="H2130" s="138" t="s">
        <v>6298</v>
      </c>
      <c r="I2130" s="136">
        <v>954200004</v>
      </c>
      <c r="J2130" s="131" t="s">
        <v>3475</v>
      </c>
      <c r="K2130" s="139">
        <v>987935</v>
      </c>
    </row>
    <row r="2131" spans="1:11">
      <c r="A2131" s="1" t="str">
        <f t="shared" si="33"/>
        <v>50100-770045295-954200006492019</v>
      </c>
      <c r="B2131" s="136" t="s">
        <v>3443</v>
      </c>
      <c r="C2131" s="136" t="s">
        <v>11592</v>
      </c>
      <c r="D2131" s="132" t="s">
        <v>3420</v>
      </c>
      <c r="E2131" s="136" t="s">
        <v>3451</v>
      </c>
      <c r="F2131" s="136" t="s">
        <v>3451</v>
      </c>
      <c r="G2131" s="137">
        <v>1395418115001</v>
      </c>
      <c r="H2131" s="138" t="s">
        <v>10183</v>
      </c>
      <c r="I2131" s="136">
        <v>954200006</v>
      </c>
      <c r="J2131" s="131" t="s">
        <v>3479</v>
      </c>
      <c r="K2131" s="139">
        <v>492019</v>
      </c>
    </row>
    <row r="2132" spans="1:11">
      <c r="A2132" s="1" t="str">
        <f t="shared" si="33"/>
        <v>50100-769679795-951500152200000</v>
      </c>
      <c r="B2132" s="136" t="s">
        <v>3436</v>
      </c>
      <c r="C2132" s="136" t="s">
        <v>11593</v>
      </c>
      <c r="D2132" s="132" t="s">
        <v>3420</v>
      </c>
      <c r="E2132" s="136" t="s">
        <v>3457</v>
      </c>
      <c r="F2132" s="136" t="s">
        <v>3457</v>
      </c>
      <c r="G2132" s="137">
        <v>1395397986001</v>
      </c>
      <c r="H2132" s="138" t="s">
        <v>6454</v>
      </c>
      <c r="I2132" s="136">
        <v>951500152</v>
      </c>
      <c r="J2132" s="131" t="s">
        <v>3472</v>
      </c>
      <c r="K2132" s="139">
        <v>200000</v>
      </c>
    </row>
    <row r="2133" spans="1:11">
      <c r="A2133" s="1" t="str">
        <f t="shared" si="33"/>
        <v>50100-771760295-951500194546</v>
      </c>
      <c r="B2133" s="136" t="s">
        <v>3430</v>
      </c>
      <c r="C2133" s="136" t="s">
        <v>11594</v>
      </c>
      <c r="D2133" s="132" t="s">
        <v>3420</v>
      </c>
      <c r="E2133" s="136" t="s">
        <v>3458</v>
      </c>
      <c r="F2133" s="136" t="s">
        <v>3458</v>
      </c>
      <c r="G2133" s="137">
        <v>1395401420001</v>
      </c>
      <c r="H2133" s="138" t="s">
        <v>6298</v>
      </c>
      <c r="I2133" s="136">
        <v>951500194</v>
      </c>
      <c r="J2133" s="131" t="s">
        <v>3177</v>
      </c>
      <c r="K2133" s="139">
        <v>546</v>
      </c>
    </row>
    <row r="2134" spans="1:11">
      <c r="A2134" s="1" t="str">
        <f t="shared" si="33"/>
        <v>50100-772348695-95150017044660</v>
      </c>
      <c r="B2134" s="136" t="s">
        <v>3437</v>
      </c>
      <c r="C2134" s="136" t="s">
        <v>11595</v>
      </c>
      <c r="D2134" s="132" t="s">
        <v>3420</v>
      </c>
      <c r="E2134" s="136" t="s">
        <v>3460</v>
      </c>
      <c r="F2134" s="136" t="s">
        <v>3460</v>
      </c>
      <c r="G2134" s="137">
        <v>1395397986001</v>
      </c>
      <c r="H2134" s="138" t="s">
        <v>6454</v>
      </c>
      <c r="I2134" s="136">
        <v>951500170</v>
      </c>
      <c r="J2134" s="131" t="s">
        <v>3473</v>
      </c>
      <c r="K2134" s="139">
        <v>44660</v>
      </c>
    </row>
    <row r="2135" spans="1:11">
      <c r="A2135" s="1" t="str">
        <f t="shared" si="33"/>
        <v>50100-771760295-951500188494454</v>
      </c>
      <c r="B2135" s="136" t="s">
        <v>3430</v>
      </c>
      <c r="C2135" s="136" t="s">
        <v>11594</v>
      </c>
      <c r="D2135" s="132" t="s">
        <v>3420</v>
      </c>
      <c r="E2135" s="136" t="s">
        <v>3458</v>
      </c>
      <c r="F2135" s="136" t="s">
        <v>3458</v>
      </c>
      <c r="G2135" s="137">
        <v>1395401420001</v>
      </c>
      <c r="H2135" s="138" t="s">
        <v>6298</v>
      </c>
      <c r="I2135" s="136">
        <v>951500188</v>
      </c>
      <c r="J2135" s="131" t="s">
        <v>3355</v>
      </c>
      <c r="K2135" s="139">
        <v>494454</v>
      </c>
    </row>
    <row r="2136" spans="1:11">
      <c r="A2136" s="1" t="str">
        <f t="shared" si="33"/>
        <v>50100-772348695-9515001989040</v>
      </c>
      <c r="B2136" s="136" t="s">
        <v>3437</v>
      </c>
      <c r="C2136" s="136" t="s">
        <v>11595</v>
      </c>
      <c r="D2136" s="132" t="s">
        <v>3420</v>
      </c>
      <c r="E2136" s="136" t="s">
        <v>3460</v>
      </c>
      <c r="F2136" s="136" t="s">
        <v>3460</v>
      </c>
      <c r="G2136" s="137">
        <v>1395397986001</v>
      </c>
      <c r="H2136" s="138" t="s">
        <v>6454</v>
      </c>
      <c r="I2136" s="136">
        <v>951500198</v>
      </c>
      <c r="J2136" s="131" t="s">
        <v>3476</v>
      </c>
      <c r="K2136" s="139">
        <v>9040</v>
      </c>
    </row>
    <row r="2137" spans="1:11">
      <c r="A2137" s="1" t="str">
        <f t="shared" si="33"/>
        <v>50100-772348695-95150016948700</v>
      </c>
      <c r="B2137" s="136" t="s">
        <v>3437</v>
      </c>
      <c r="C2137" s="136" t="s">
        <v>11595</v>
      </c>
      <c r="D2137" s="132" t="s">
        <v>3420</v>
      </c>
      <c r="E2137" s="136" t="s">
        <v>3460</v>
      </c>
      <c r="F2137" s="136" t="s">
        <v>3460</v>
      </c>
      <c r="G2137" s="137">
        <v>1395397986001</v>
      </c>
      <c r="H2137" s="138" t="s">
        <v>6454</v>
      </c>
      <c r="I2137" s="136">
        <v>951500169</v>
      </c>
      <c r="J2137" s="131" t="s">
        <v>3481</v>
      </c>
      <c r="K2137" s="139">
        <v>48700</v>
      </c>
    </row>
    <row r="2138" spans="1:11">
      <c r="A2138" s="1" t="str">
        <f t="shared" si="33"/>
        <v>50100-772348695-951500152119020</v>
      </c>
      <c r="B2138" s="136" t="s">
        <v>3437</v>
      </c>
      <c r="C2138" s="136" t="s">
        <v>11595</v>
      </c>
      <c r="D2138" s="132" t="s">
        <v>3420</v>
      </c>
      <c r="E2138" s="136" t="s">
        <v>3460</v>
      </c>
      <c r="F2138" s="136" t="s">
        <v>3460</v>
      </c>
      <c r="G2138" s="137">
        <v>1395397986001</v>
      </c>
      <c r="H2138" s="138" t="s">
        <v>6454</v>
      </c>
      <c r="I2138" s="136">
        <v>951500152</v>
      </c>
      <c r="J2138" s="131" t="s">
        <v>3472</v>
      </c>
      <c r="K2138" s="139">
        <v>119020</v>
      </c>
    </row>
    <row r="2139" spans="1:11">
      <c r="A2139" s="1" t="str">
        <f t="shared" si="33"/>
        <v>50100-772348695-951500168278580</v>
      </c>
      <c r="B2139" s="136" t="s">
        <v>3437</v>
      </c>
      <c r="C2139" s="136" t="s">
        <v>11595</v>
      </c>
      <c r="D2139" s="132" t="s">
        <v>3420</v>
      </c>
      <c r="E2139" s="136" t="s">
        <v>3460</v>
      </c>
      <c r="F2139" s="136" t="s">
        <v>3460</v>
      </c>
      <c r="G2139" s="137">
        <v>1395397986001</v>
      </c>
      <c r="H2139" s="138" t="s">
        <v>6454</v>
      </c>
      <c r="I2139" s="136">
        <v>951500168</v>
      </c>
      <c r="J2139" s="131" t="s">
        <v>3474</v>
      </c>
      <c r="K2139" s="139">
        <v>278580</v>
      </c>
    </row>
    <row r="2140" spans="1:11">
      <c r="A2140" s="1" t="str">
        <f t="shared" si="33"/>
        <v>50100-769233495-95150009699320</v>
      </c>
      <c r="B2140" s="136" t="s">
        <v>3432</v>
      </c>
      <c r="C2140" s="136" t="s">
        <v>11596</v>
      </c>
      <c r="D2140" s="132" t="s">
        <v>3420</v>
      </c>
      <c r="E2140" s="136" t="s">
        <v>3457</v>
      </c>
      <c r="F2140" s="136" t="s">
        <v>3457</v>
      </c>
      <c r="G2140" s="137">
        <v>1394395845001</v>
      </c>
      <c r="H2140" s="138" t="s">
        <v>6453</v>
      </c>
      <c r="I2140" s="136">
        <v>951500096</v>
      </c>
      <c r="J2140" s="131" t="s">
        <v>3410</v>
      </c>
      <c r="K2140" s="139">
        <v>99320</v>
      </c>
    </row>
    <row r="2141" spans="1:11">
      <c r="A2141" s="1" t="str">
        <f t="shared" si="33"/>
        <v>50100-770696395-95150020649776</v>
      </c>
      <c r="B2141" s="136" t="s">
        <v>3442</v>
      </c>
      <c r="C2141" s="136" t="s">
        <v>11597</v>
      </c>
      <c r="D2141" s="132" t="s">
        <v>3420</v>
      </c>
      <c r="E2141" s="136" t="s">
        <v>3421</v>
      </c>
      <c r="F2141" s="136" t="s">
        <v>3421</v>
      </c>
      <c r="G2141" s="137">
        <v>1395418111001</v>
      </c>
      <c r="H2141" s="138" t="s">
        <v>6298</v>
      </c>
      <c r="I2141" s="136">
        <v>951500206</v>
      </c>
      <c r="J2141" s="131" t="s">
        <v>3477</v>
      </c>
      <c r="K2141" s="139">
        <v>49776</v>
      </c>
    </row>
    <row r="2142" spans="1:11">
      <c r="A2142" s="1" t="str">
        <f t="shared" si="33"/>
        <v>50100-771926695-951500171396280</v>
      </c>
      <c r="B2142" s="136" t="s">
        <v>3447</v>
      </c>
      <c r="C2142" s="136" t="s">
        <v>11598</v>
      </c>
      <c r="D2142" s="132" t="s">
        <v>3420</v>
      </c>
      <c r="E2142" s="136" t="s">
        <v>3459</v>
      </c>
      <c r="F2142" s="136" t="s">
        <v>3459</v>
      </c>
      <c r="G2142" s="137">
        <v>1395397987001</v>
      </c>
      <c r="H2142" s="138" t="s">
        <v>10183</v>
      </c>
      <c r="I2142" s="136">
        <v>951500171</v>
      </c>
      <c r="J2142" s="131" t="s">
        <v>3470</v>
      </c>
      <c r="K2142" s="139">
        <v>396280</v>
      </c>
    </row>
    <row r="2143" spans="1:11">
      <c r="A2143" s="1" t="str">
        <f t="shared" si="33"/>
        <v>50100-771580995-951500166198000</v>
      </c>
      <c r="B2143" s="136" t="s">
        <v>3444</v>
      </c>
      <c r="C2143" s="136" t="s">
        <v>11599</v>
      </c>
      <c r="D2143" s="132" t="s">
        <v>3420</v>
      </c>
      <c r="E2143" s="136" t="s">
        <v>3458</v>
      </c>
      <c r="F2143" s="136" t="s">
        <v>3458</v>
      </c>
      <c r="G2143" s="137">
        <v>1395399149001</v>
      </c>
      <c r="H2143" s="138" t="s">
        <v>10186</v>
      </c>
      <c r="I2143" s="136">
        <v>951500166</v>
      </c>
      <c r="J2143" s="131" t="s">
        <v>3252</v>
      </c>
      <c r="K2143" s="139">
        <v>198000</v>
      </c>
    </row>
    <row r="2144" spans="1:11">
      <c r="A2144" s="1" t="str">
        <f t="shared" si="33"/>
        <v>50100-768545695-95150013718845</v>
      </c>
      <c r="B2144" s="136" t="s">
        <v>3429</v>
      </c>
      <c r="C2144" s="136" t="s">
        <v>11600</v>
      </c>
      <c r="D2144" s="132" t="s">
        <v>3420</v>
      </c>
      <c r="E2144" s="136" t="s">
        <v>3457</v>
      </c>
      <c r="F2144" s="136" t="s">
        <v>3457</v>
      </c>
      <c r="G2144" s="137">
        <v>1395397986001</v>
      </c>
      <c r="H2144" s="138" t="s">
        <v>6454</v>
      </c>
      <c r="I2144" s="136">
        <v>951500137</v>
      </c>
      <c r="J2144" s="131" t="s">
        <v>3401</v>
      </c>
      <c r="K2144" s="139">
        <v>18845</v>
      </c>
    </row>
    <row r="2145" spans="1:11">
      <c r="A2145" s="1" t="str">
        <f t="shared" si="33"/>
        <v>50100-771928195-95150016458658</v>
      </c>
      <c r="B2145" s="136" t="s">
        <v>3434</v>
      </c>
      <c r="C2145" s="136" t="s">
        <v>11601</v>
      </c>
      <c r="D2145" s="132" t="s">
        <v>3420</v>
      </c>
      <c r="E2145" s="136" t="s">
        <v>3459</v>
      </c>
      <c r="F2145" s="136" t="s">
        <v>3459</v>
      </c>
      <c r="G2145" s="137">
        <v>1395397987001</v>
      </c>
      <c r="H2145" s="138" t="s">
        <v>10183</v>
      </c>
      <c r="I2145" s="136">
        <v>951500164</v>
      </c>
      <c r="J2145" s="131" t="s">
        <v>3469</v>
      </c>
      <c r="K2145" s="139">
        <v>58658</v>
      </c>
    </row>
    <row r="2146" spans="1:11">
      <c r="A2146" s="1" t="str">
        <f t="shared" si="33"/>
        <v>50100-771928195-951500171237882</v>
      </c>
      <c r="B2146" s="136" t="s">
        <v>3434</v>
      </c>
      <c r="C2146" s="136" t="s">
        <v>11601</v>
      </c>
      <c r="D2146" s="132" t="s">
        <v>3420</v>
      </c>
      <c r="E2146" s="136" t="s">
        <v>3459</v>
      </c>
      <c r="F2146" s="136" t="s">
        <v>3459</v>
      </c>
      <c r="G2146" s="137">
        <v>1395397987001</v>
      </c>
      <c r="H2146" s="138" t="s">
        <v>10183</v>
      </c>
      <c r="I2146" s="136">
        <v>951500171</v>
      </c>
      <c r="J2146" s="131" t="s">
        <v>3470</v>
      </c>
      <c r="K2146" s="139">
        <v>237882</v>
      </c>
    </row>
    <row r="2147" spans="1:11">
      <c r="A2147" s="1" t="str">
        <f t="shared" si="33"/>
        <v>50100-770971495-951500164199000</v>
      </c>
      <c r="B2147" s="136" t="s">
        <v>3446</v>
      </c>
      <c r="C2147" s="136" t="s">
        <v>11602</v>
      </c>
      <c r="D2147" s="132" t="s">
        <v>3420</v>
      </c>
      <c r="E2147" s="136" t="s">
        <v>3456</v>
      </c>
      <c r="F2147" s="136" t="s">
        <v>3456</v>
      </c>
      <c r="G2147" s="137">
        <v>1395397987001</v>
      </c>
      <c r="H2147" s="138" t="s">
        <v>10183</v>
      </c>
      <c r="I2147" s="136">
        <v>951500164</v>
      </c>
      <c r="J2147" s="131" t="s">
        <v>3469</v>
      </c>
      <c r="K2147" s="139">
        <v>199000</v>
      </c>
    </row>
    <row r="2148" spans="1:11">
      <c r="A2148" s="1" t="str">
        <f t="shared" si="33"/>
        <v>50100-771412195-951500164242342</v>
      </c>
      <c r="B2148" s="136" t="s">
        <v>3433</v>
      </c>
      <c r="C2148" s="136" t="s">
        <v>11603</v>
      </c>
      <c r="D2148" s="132" t="s">
        <v>3420</v>
      </c>
      <c r="E2148" s="136" t="s">
        <v>3456</v>
      </c>
      <c r="F2148" s="136" t="s">
        <v>3456</v>
      </c>
      <c r="G2148" s="137">
        <v>1395397987001</v>
      </c>
      <c r="H2148" s="138" t="s">
        <v>10183</v>
      </c>
      <c r="I2148" s="136">
        <v>951500164</v>
      </c>
      <c r="J2148" s="131" t="s">
        <v>3469</v>
      </c>
      <c r="K2148" s="139">
        <v>242342</v>
      </c>
    </row>
    <row r="2149" spans="1:11">
      <c r="A2149" s="1" t="str">
        <f t="shared" si="33"/>
        <v>50100-768545695-951500065498360</v>
      </c>
      <c r="B2149" s="136" t="s">
        <v>3429</v>
      </c>
      <c r="C2149" s="136" t="s">
        <v>11600</v>
      </c>
      <c r="D2149" s="132" t="s">
        <v>3420</v>
      </c>
      <c r="E2149" s="136" t="s">
        <v>3457</v>
      </c>
      <c r="F2149" s="136" t="s">
        <v>3457</v>
      </c>
      <c r="G2149" s="137">
        <v>1395397986001</v>
      </c>
      <c r="H2149" s="138" t="s">
        <v>6454</v>
      </c>
      <c r="I2149" s="136">
        <v>951500065</v>
      </c>
      <c r="J2149" s="131" t="s">
        <v>3467</v>
      </c>
      <c r="K2149" s="139">
        <v>498360</v>
      </c>
    </row>
    <row r="2150" spans="1:11">
      <c r="A2150" s="1" t="str">
        <f t="shared" si="33"/>
        <v>50100-771412195-95150015454238</v>
      </c>
      <c r="B2150" s="136" t="s">
        <v>3433</v>
      </c>
      <c r="C2150" s="136" t="s">
        <v>11603</v>
      </c>
      <c r="D2150" s="132" t="s">
        <v>3420</v>
      </c>
      <c r="E2150" s="136" t="s">
        <v>3456</v>
      </c>
      <c r="F2150" s="136" t="s">
        <v>3456</v>
      </c>
      <c r="G2150" s="137">
        <v>1395397987001</v>
      </c>
      <c r="H2150" s="138" t="s">
        <v>10183</v>
      </c>
      <c r="I2150" s="136">
        <v>951500154</v>
      </c>
      <c r="J2150" s="131" t="s">
        <v>3347</v>
      </c>
      <c r="K2150" s="139">
        <v>54238</v>
      </c>
    </row>
    <row r="2151" spans="1:11">
      <c r="A2151" s="1" t="str">
        <f t="shared" si="33"/>
        <v>50100-768590495-954200005295968</v>
      </c>
      <c r="B2151" s="136" t="s">
        <v>3440</v>
      </c>
      <c r="C2151" s="136" t="s">
        <v>11604</v>
      </c>
      <c r="D2151" s="132" t="s">
        <v>3420</v>
      </c>
      <c r="E2151" s="136" t="s">
        <v>3462</v>
      </c>
      <c r="F2151" s="136" t="s">
        <v>3462</v>
      </c>
      <c r="G2151" s="137">
        <v>1395418115001</v>
      </c>
      <c r="H2151" s="138" t="s">
        <v>10183</v>
      </c>
      <c r="I2151" s="136">
        <v>954200005</v>
      </c>
      <c r="J2151" s="131" t="s">
        <v>3478</v>
      </c>
      <c r="K2151" s="139">
        <v>295968</v>
      </c>
    </row>
    <row r="2152" spans="1:11">
      <c r="A2152" s="1" t="str">
        <f t="shared" si="33"/>
        <v>50100-769127395-95150003560225</v>
      </c>
      <c r="B2152" s="136" t="s">
        <v>3441</v>
      </c>
      <c r="C2152" s="136" t="s">
        <v>11605</v>
      </c>
      <c r="D2152" s="132" t="s">
        <v>3420</v>
      </c>
      <c r="E2152" s="136" t="s">
        <v>3457</v>
      </c>
      <c r="F2152" s="136" t="s">
        <v>3457</v>
      </c>
      <c r="G2152" s="137">
        <v>1394395847001</v>
      </c>
      <c r="H2152" s="138" t="s">
        <v>10183</v>
      </c>
      <c r="I2152" s="136">
        <v>951500035</v>
      </c>
      <c r="J2152" s="131" t="s">
        <v>3080</v>
      </c>
      <c r="K2152" s="139">
        <v>60225</v>
      </c>
    </row>
    <row r="2153" spans="1:11">
      <c r="A2153" s="1" t="str">
        <f t="shared" si="33"/>
        <v>50100-770850695-954200008196155</v>
      </c>
      <c r="B2153" s="136" t="s">
        <v>3431</v>
      </c>
      <c r="C2153" s="136" t="s">
        <v>11606</v>
      </c>
      <c r="D2153" s="132" t="s">
        <v>3420</v>
      </c>
      <c r="E2153" s="136" t="s">
        <v>3454</v>
      </c>
      <c r="F2153" s="136" t="s">
        <v>3454</v>
      </c>
      <c r="G2153" s="137">
        <v>1395424251001</v>
      </c>
      <c r="H2153" s="138" t="s">
        <v>11607</v>
      </c>
      <c r="I2153" s="136">
        <v>954200008</v>
      </c>
      <c r="J2153" s="131" t="s">
        <v>3468</v>
      </c>
      <c r="K2153" s="139">
        <v>196155</v>
      </c>
    </row>
    <row r="2154" spans="1:11">
      <c r="A2154" s="1" t="str">
        <f t="shared" si="33"/>
        <v>50100-768560395-951500206158840</v>
      </c>
      <c r="B2154" s="136" t="s">
        <v>3439</v>
      </c>
      <c r="C2154" s="136" t="s">
        <v>11608</v>
      </c>
      <c r="D2154" s="132" t="s">
        <v>3420</v>
      </c>
      <c r="E2154" s="136" t="s">
        <v>3457</v>
      </c>
      <c r="F2154" s="136" t="s">
        <v>3457</v>
      </c>
      <c r="G2154" s="137">
        <v>1395418111001</v>
      </c>
      <c r="H2154" s="138" t="s">
        <v>6298</v>
      </c>
      <c r="I2154" s="136">
        <v>951500206</v>
      </c>
      <c r="J2154" s="131" t="s">
        <v>3477</v>
      </c>
      <c r="K2154" s="139">
        <v>158840</v>
      </c>
    </row>
    <row r="2155" spans="1:11">
      <c r="A2155" s="1" t="str">
        <f t="shared" si="33"/>
        <v>50100-769072395-954200007492260</v>
      </c>
      <c r="B2155" s="136" t="s">
        <v>3445</v>
      </c>
      <c r="C2155" s="136" t="s">
        <v>11609</v>
      </c>
      <c r="D2155" s="132" t="s">
        <v>3420</v>
      </c>
      <c r="E2155" s="136" t="s">
        <v>3452</v>
      </c>
      <c r="F2155" s="136" t="s">
        <v>3452</v>
      </c>
      <c r="G2155" s="137">
        <v>1395421207001</v>
      </c>
      <c r="H2155" s="138" t="s">
        <v>11610</v>
      </c>
      <c r="I2155" s="136">
        <v>954200007</v>
      </c>
      <c r="J2155" s="131" t="s">
        <v>3480</v>
      </c>
      <c r="K2155" s="139">
        <v>492260</v>
      </c>
    </row>
    <row r="2156" spans="1:11">
      <c r="A2156" s="1" t="str">
        <f t="shared" si="33"/>
        <v>50100-771383095-951500074653318</v>
      </c>
      <c r="B2156" s="136" t="s">
        <v>3435</v>
      </c>
      <c r="C2156" s="136" t="s">
        <v>11611</v>
      </c>
      <c r="D2156" s="132" t="s">
        <v>3420</v>
      </c>
      <c r="E2156" s="136" t="s">
        <v>3456</v>
      </c>
      <c r="F2156" s="136" t="s">
        <v>3456</v>
      </c>
      <c r="G2156" s="137">
        <v>1394395845001</v>
      </c>
      <c r="H2156" s="138" t="s">
        <v>6453</v>
      </c>
      <c r="I2156" s="136">
        <v>951500074</v>
      </c>
      <c r="J2156" s="131" t="s">
        <v>3108</v>
      </c>
      <c r="K2156" s="139">
        <v>653318</v>
      </c>
    </row>
    <row r="2157" spans="1:11">
      <c r="A2157" s="1" t="str">
        <f t="shared" si="33"/>
        <v>50100-771383095-951500179207180</v>
      </c>
      <c r="B2157" s="136" t="s">
        <v>3435</v>
      </c>
      <c r="C2157" s="136" t="s">
        <v>11611</v>
      </c>
      <c r="D2157" s="132" t="s">
        <v>3420</v>
      </c>
      <c r="E2157" s="136" t="s">
        <v>3456</v>
      </c>
      <c r="F2157" s="136" t="s">
        <v>3456</v>
      </c>
      <c r="G2157" s="137">
        <v>1395400303001</v>
      </c>
      <c r="H2157" s="138" t="s">
        <v>6453</v>
      </c>
      <c r="I2157" s="136">
        <v>951500179</v>
      </c>
      <c r="J2157" s="131" t="s">
        <v>3344</v>
      </c>
      <c r="K2157" s="139">
        <v>207180</v>
      </c>
    </row>
    <row r="2158" spans="1:11">
      <c r="A2158" s="1" t="str">
        <f t="shared" si="33"/>
        <v>50100-771383095-951500184137607</v>
      </c>
      <c r="B2158" s="136" t="s">
        <v>3435</v>
      </c>
      <c r="C2158" s="136" t="s">
        <v>11611</v>
      </c>
      <c r="D2158" s="132" t="s">
        <v>3420</v>
      </c>
      <c r="E2158" s="136" t="s">
        <v>3456</v>
      </c>
      <c r="F2158" s="136" t="s">
        <v>3456</v>
      </c>
      <c r="G2158" s="137">
        <v>1395400303001</v>
      </c>
      <c r="H2158" s="138" t="s">
        <v>6453</v>
      </c>
      <c r="I2158" s="136">
        <v>951500184</v>
      </c>
      <c r="J2158" s="131" t="s">
        <v>3471</v>
      </c>
      <c r="K2158" s="139">
        <v>137607</v>
      </c>
    </row>
    <row r="2159" spans="1:11">
      <c r="A2159" s="1" t="str">
        <f t="shared" si="33"/>
        <v>50100-768545695-95150020657625</v>
      </c>
      <c r="B2159" s="136" t="s">
        <v>3429</v>
      </c>
      <c r="C2159" s="136" t="s">
        <v>11600</v>
      </c>
      <c r="D2159" s="132" t="s">
        <v>3420</v>
      </c>
      <c r="E2159" s="136" t="s">
        <v>3457</v>
      </c>
      <c r="F2159" s="136" t="s">
        <v>3457</v>
      </c>
      <c r="G2159" s="137">
        <v>1395418111001</v>
      </c>
      <c r="H2159" s="138" t="s">
        <v>6298</v>
      </c>
      <c r="I2159" s="136">
        <v>951500206</v>
      </c>
      <c r="J2159" s="131" t="s">
        <v>3477</v>
      </c>
      <c r="K2159" s="139">
        <v>57625</v>
      </c>
    </row>
    <row r="2160" spans="1:11">
      <c r="A2160" s="1" t="str">
        <f t="shared" si="33"/>
        <v>50100-768545695-951500205118940</v>
      </c>
      <c r="B2160" s="136" t="s">
        <v>3429</v>
      </c>
      <c r="C2160" s="136" t="s">
        <v>11600</v>
      </c>
      <c r="D2160" s="132" t="s">
        <v>3420</v>
      </c>
      <c r="E2160" s="136" t="s">
        <v>3457</v>
      </c>
      <c r="F2160" s="136" t="s">
        <v>3457</v>
      </c>
      <c r="G2160" s="137">
        <v>1395418111001</v>
      </c>
      <c r="H2160" s="138" t="s">
        <v>6298</v>
      </c>
      <c r="I2160" s="136">
        <v>951500205</v>
      </c>
      <c r="J2160" s="131" t="s">
        <v>3482</v>
      </c>
      <c r="K2160" s="139">
        <v>118940</v>
      </c>
    </row>
    <row r="2161" spans="1:11">
      <c r="A2161" s="1" t="str">
        <f t="shared" si="33"/>
        <v>50100-803955295-952500047488125</v>
      </c>
      <c r="B2161" s="136" t="s">
        <v>3910</v>
      </c>
      <c r="C2161" s="136" t="s">
        <v>11612</v>
      </c>
      <c r="D2161" s="132" t="s">
        <v>3420</v>
      </c>
      <c r="E2161" s="136" t="s">
        <v>3932</v>
      </c>
      <c r="F2161" s="136" t="s">
        <v>3932</v>
      </c>
      <c r="G2161" s="137">
        <v>1395436479001</v>
      </c>
      <c r="H2161" s="138" t="s">
        <v>6456</v>
      </c>
      <c r="I2161" s="136">
        <v>952500047</v>
      </c>
      <c r="J2161" s="131" t="s">
        <v>3938</v>
      </c>
      <c r="K2161" s="139">
        <v>488125</v>
      </c>
    </row>
    <row r="2162" spans="1:11">
      <c r="A2162" s="1" t="str">
        <f t="shared" si="33"/>
        <v>50100-804000095-9525000472691</v>
      </c>
      <c r="B2162" s="136" t="s">
        <v>3911</v>
      </c>
      <c r="C2162" s="136" t="s">
        <v>11613</v>
      </c>
      <c r="D2162" s="132" t="s">
        <v>3420</v>
      </c>
      <c r="E2162" s="136" t="s">
        <v>3932</v>
      </c>
      <c r="F2162" s="136" t="s">
        <v>3932</v>
      </c>
      <c r="G2162" s="137">
        <v>1395436479001</v>
      </c>
      <c r="H2162" s="138" t="s">
        <v>6456</v>
      </c>
      <c r="I2162" s="136">
        <v>952500047</v>
      </c>
      <c r="J2162" s="131" t="s">
        <v>3938</v>
      </c>
      <c r="K2162" s="139">
        <v>2691</v>
      </c>
    </row>
    <row r="2163" spans="1:11">
      <c r="A2163" s="1" t="str">
        <f t="shared" si="33"/>
        <v>50100-804000095-952500046875934</v>
      </c>
      <c r="B2163" s="136" t="s">
        <v>3911</v>
      </c>
      <c r="C2163" s="136" t="s">
        <v>11613</v>
      </c>
      <c r="D2163" s="132" t="s">
        <v>3420</v>
      </c>
      <c r="E2163" s="136" t="s">
        <v>3932</v>
      </c>
      <c r="F2163" s="136" t="s">
        <v>3932</v>
      </c>
      <c r="G2163" s="137">
        <v>1395436479001</v>
      </c>
      <c r="H2163" s="138" t="s">
        <v>6456</v>
      </c>
      <c r="I2163" s="136">
        <v>952500046</v>
      </c>
      <c r="J2163" s="131" t="s">
        <v>3939</v>
      </c>
      <c r="K2163" s="139">
        <v>875934</v>
      </c>
    </row>
    <row r="2164" spans="1:11">
      <c r="A2164" s="1" t="str">
        <f t="shared" si="33"/>
        <v>50100-804047795-95250004619173</v>
      </c>
      <c r="B2164" s="136" t="s">
        <v>3912</v>
      </c>
      <c r="C2164" s="136" t="s">
        <v>11614</v>
      </c>
      <c r="D2164" s="132" t="s">
        <v>3420</v>
      </c>
      <c r="E2164" s="136" t="s">
        <v>3932</v>
      </c>
      <c r="F2164" s="136" t="s">
        <v>3932</v>
      </c>
      <c r="G2164" s="137">
        <v>1395436479001</v>
      </c>
      <c r="H2164" s="138" t="s">
        <v>6456</v>
      </c>
      <c r="I2164" s="136">
        <v>952500046</v>
      </c>
      <c r="J2164" s="131" t="s">
        <v>3939</v>
      </c>
      <c r="K2164" s="139">
        <v>19173</v>
      </c>
    </row>
    <row r="2165" spans="1:11">
      <c r="A2165" s="1" t="str">
        <f t="shared" si="33"/>
        <v>50100-804047795-952500048957077</v>
      </c>
      <c r="B2165" s="136" t="s">
        <v>3912</v>
      </c>
      <c r="C2165" s="136" t="s">
        <v>11614</v>
      </c>
      <c r="D2165" s="132" t="s">
        <v>3420</v>
      </c>
      <c r="E2165" s="136" t="s">
        <v>3932</v>
      </c>
      <c r="F2165" s="136" t="s">
        <v>3932</v>
      </c>
      <c r="G2165" s="137">
        <v>1395436479001</v>
      </c>
      <c r="H2165" s="138" t="s">
        <v>6456</v>
      </c>
      <c r="I2165" s="136">
        <v>952500048</v>
      </c>
      <c r="J2165" s="131" t="s">
        <v>3940</v>
      </c>
      <c r="K2165" s="139">
        <v>957077</v>
      </c>
    </row>
    <row r="2166" spans="1:11">
      <c r="A2166" s="1" t="str">
        <f t="shared" si="33"/>
        <v>50100-804911095-95250004837230</v>
      </c>
      <c r="B2166" s="136" t="s">
        <v>3913</v>
      </c>
      <c r="C2166" s="136" t="s">
        <v>11615</v>
      </c>
      <c r="D2166" s="132" t="s">
        <v>3420</v>
      </c>
      <c r="E2166" s="136" t="s">
        <v>3933</v>
      </c>
      <c r="F2166" s="136" t="s">
        <v>3933</v>
      </c>
      <c r="G2166" s="137">
        <v>1395436479001</v>
      </c>
      <c r="H2166" s="138" t="s">
        <v>6456</v>
      </c>
      <c r="I2166" s="136">
        <v>952500048</v>
      </c>
      <c r="J2166" s="131" t="s">
        <v>3940</v>
      </c>
      <c r="K2166" s="139">
        <v>37230</v>
      </c>
    </row>
    <row r="2167" spans="1:11">
      <c r="A2167" s="1" t="str">
        <f t="shared" si="33"/>
        <v>50100-804911095-952500048939020</v>
      </c>
      <c r="B2167" s="136" t="s">
        <v>3913</v>
      </c>
      <c r="C2167" s="136" t="s">
        <v>11615</v>
      </c>
      <c r="D2167" s="132" t="s">
        <v>3420</v>
      </c>
      <c r="E2167" s="136" t="s">
        <v>3933</v>
      </c>
      <c r="F2167" s="136" t="s">
        <v>3933</v>
      </c>
      <c r="G2167" s="137">
        <v>1395436479001</v>
      </c>
      <c r="H2167" s="138" t="s">
        <v>6456</v>
      </c>
      <c r="I2167" s="136">
        <v>952500048</v>
      </c>
      <c r="J2167" s="131" t="s">
        <v>3940</v>
      </c>
      <c r="K2167" s="139">
        <v>939020</v>
      </c>
    </row>
    <row r="2168" spans="1:11">
      <c r="A2168" s="1" t="str">
        <f t="shared" si="33"/>
        <v>50100-802295795-9541000182800431</v>
      </c>
      <c r="B2168" s="136" t="s">
        <v>3914</v>
      </c>
      <c r="C2168" s="136" t="s">
        <v>11616</v>
      </c>
      <c r="D2168" s="132" t="s">
        <v>3420</v>
      </c>
      <c r="E2168" s="136" t="s">
        <v>3854</v>
      </c>
      <c r="F2168" s="136" t="s">
        <v>3854</v>
      </c>
      <c r="G2168" s="137">
        <v>1395441907001</v>
      </c>
      <c r="H2168" s="138" t="s">
        <v>10183</v>
      </c>
      <c r="I2168" s="136">
        <v>954100018</v>
      </c>
      <c r="J2168" s="131" t="s">
        <v>3941</v>
      </c>
      <c r="K2168" s="139">
        <v>2800431</v>
      </c>
    </row>
    <row r="2169" spans="1:11">
      <c r="A2169" s="1" t="str">
        <f t="shared" si="33"/>
        <v>50100-801313595-951500229119251</v>
      </c>
      <c r="B2169" s="136" t="s">
        <v>3901</v>
      </c>
      <c r="C2169" s="136" t="s">
        <v>11617</v>
      </c>
      <c r="D2169" s="132" t="s">
        <v>3420</v>
      </c>
      <c r="E2169" s="136" t="s">
        <v>3902</v>
      </c>
      <c r="F2169" s="136" t="s">
        <v>3902</v>
      </c>
      <c r="G2169" s="137">
        <v>1395427844001</v>
      </c>
      <c r="H2169" s="138" t="s">
        <v>6298</v>
      </c>
      <c r="I2169" s="136">
        <v>951500229</v>
      </c>
      <c r="J2169" s="131" t="s">
        <v>3875</v>
      </c>
      <c r="K2169" s="139">
        <v>119251</v>
      </c>
    </row>
    <row r="2170" spans="1:11">
      <c r="A2170" s="1" t="str">
        <f t="shared" si="33"/>
        <v>50100-801313595-952500035106625</v>
      </c>
      <c r="B2170" s="136" t="s">
        <v>3901</v>
      </c>
      <c r="C2170" s="136" t="s">
        <v>11617</v>
      </c>
      <c r="D2170" s="132" t="s">
        <v>3420</v>
      </c>
      <c r="E2170" s="136" t="s">
        <v>3902</v>
      </c>
      <c r="F2170" s="136" t="s">
        <v>3902</v>
      </c>
      <c r="G2170" s="137">
        <v>1395437985001</v>
      </c>
      <c r="H2170" s="138" t="s">
        <v>6298</v>
      </c>
      <c r="I2170" s="136">
        <v>952500035</v>
      </c>
      <c r="J2170" s="131" t="s">
        <v>3903</v>
      </c>
      <c r="K2170" s="139">
        <v>106625</v>
      </c>
    </row>
    <row r="2171" spans="1:11">
      <c r="A2171" s="1" t="str">
        <f t="shared" si="33"/>
        <v>50100-801313595-951500289530660</v>
      </c>
      <c r="B2171" s="136" t="s">
        <v>3901</v>
      </c>
      <c r="C2171" s="136" t="s">
        <v>11617</v>
      </c>
      <c r="D2171" s="132" t="s">
        <v>3420</v>
      </c>
      <c r="E2171" s="136" t="s">
        <v>3902</v>
      </c>
      <c r="F2171" s="136" t="s">
        <v>3902</v>
      </c>
      <c r="G2171" s="137">
        <v>1395437985001</v>
      </c>
      <c r="H2171" s="138" t="s">
        <v>6298</v>
      </c>
      <c r="I2171" s="136">
        <v>951500289</v>
      </c>
      <c r="J2171" s="131" t="s">
        <v>3745</v>
      </c>
      <c r="K2171" s="139">
        <v>530660</v>
      </c>
    </row>
    <row r="2172" spans="1:11">
      <c r="A2172" s="1" t="str">
        <f t="shared" si="33"/>
        <v>50100-801313595-951500299236214</v>
      </c>
      <c r="B2172" s="136" t="s">
        <v>3901</v>
      </c>
      <c r="C2172" s="136" t="s">
        <v>11617</v>
      </c>
      <c r="D2172" s="132" t="s">
        <v>3420</v>
      </c>
      <c r="E2172" s="136" t="s">
        <v>3902</v>
      </c>
      <c r="F2172" s="136" t="s">
        <v>3902</v>
      </c>
      <c r="G2172" s="137">
        <v>1395438159001</v>
      </c>
      <c r="H2172" s="138" t="s">
        <v>6298</v>
      </c>
      <c r="I2172" s="136">
        <v>951500299</v>
      </c>
      <c r="J2172" s="131" t="s">
        <v>3887</v>
      </c>
      <c r="K2172" s="139">
        <v>236214</v>
      </c>
    </row>
    <row r="2173" spans="1:11">
      <c r="A2173" s="1" t="str">
        <f t="shared" si="33"/>
        <v>50100-805404495-952500045997633</v>
      </c>
      <c r="B2173" s="136" t="s">
        <v>3915</v>
      </c>
      <c r="C2173" s="136" t="s">
        <v>11618</v>
      </c>
      <c r="D2173" s="132" t="s">
        <v>3420</v>
      </c>
      <c r="E2173" s="136" t="s">
        <v>3934</v>
      </c>
      <c r="F2173" s="136" t="s">
        <v>3934</v>
      </c>
      <c r="G2173" s="137">
        <v>1395438162001</v>
      </c>
      <c r="H2173" s="138" t="s">
        <v>11619</v>
      </c>
      <c r="I2173" s="136">
        <v>952500045</v>
      </c>
      <c r="J2173" s="131" t="s">
        <v>3942</v>
      </c>
      <c r="K2173" s="139">
        <v>997633</v>
      </c>
    </row>
    <row r="2174" spans="1:11">
      <c r="A2174" s="1" t="str">
        <f t="shared" si="33"/>
        <v>50100-801909295-951500365152900</v>
      </c>
      <c r="B2174" s="136" t="s">
        <v>3916</v>
      </c>
      <c r="C2174" s="136" t="s">
        <v>11620</v>
      </c>
      <c r="D2174" s="132" t="s">
        <v>3420</v>
      </c>
      <c r="E2174" s="136" t="s">
        <v>3935</v>
      </c>
      <c r="F2174" s="136" t="s">
        <v>3935</v>
      </c>
      <c r="G2174" s="137">
        <v>1395431923001</v>
      </c>
      <c r="H2174" s="138" t="s">
        <v>6300</v>
      </c>
      <c r="I2174" s="136">
        <v>951500365</v>
      </c>
      <c r="J2174" s="131" t="s">
        <v>3943</v>
      </c>
      <c r="K2174" s="139">
        <v>152900</v>
      </c>
    </row>
    <row r="2175" spans="1:11">
      <c r="A2175" s="1" t="str">
        <f t="shared" si="33"/>
        <v>50100-801909295-951500296547100</v>
      </c>
      <c r="B2175" s="136" t="s">
        <v>3916</v>
      </c>
      <c r="C2175" s="136" t="s">
        <v>11620</v>
      </c>
      <c r="D2175" s="132" t="s">
        <v>3420</v>
      </c>
      <c r="E2175" s="136" t="s">
        <v>3935</v>
      </c>
      <c r="F2175" s="136" t="s">
        <v>3935</v>
      </c>
      <c r="G2175" s="137">
        <v>1395431923001</v>
      </c>
      <c r="H2175" s="138" t="s">
        <v>6300</v>
      </c>
      <c r="I2175" s="136">
        <v>951500296</v>
      </c>
      <c r="J2175" s="131" t="s">
        <v>3944</v>
      </c>
      <c r="K2175" s="139">
        <v>547100</v>
      </c>
    </row>
    <row r="2176" spans="1:11">
      <c r="A2176" s="1" t="str">
        <f t="shared" si="33"/>
        <v>50100-801815195-951500352499520</v>
      </c>
      <c r="B2176" s="136" t="s">
        <v>3917</v>
      </c>
      <c r="C2176" s="136" t="s">
        <v>11621</v>
      </c>
      <c r="D2176" s="132" t="s">
        <v>3420</v>
      </c>
      <c r="E2176" s="136" t="s">
        <v>3935</v>
      </c>
      <c r="F2176" s="136" t="s">
        <v>3935</v>
      </c>
      <c r="G2176" s="137">
        <v>1395441443001</v>
      </c>
      <c r="H2176" s="138" t="s">
        <v>6454</v>
      </c>
      <c r="I2176" s="136">
        <v>951500352</v>
      </c>
      <c r="J2176" s="131" t="s">
        <v>3945</v>
      </c>
      <c r="K2176" s="139">
        <v>499520</v>
      </c>
    </row>
    <row r="2177" spans="1:11">
      <c r="A2177" s="1" t="str">
        <f t="shared" si="33"/>
        <v>50100-801857595-9515003021620100</v>
      </c>
      <c r="B2177" s="136" t="s">
        <v>3918</v>
      </c>
      <c r="C2177" s="136" t="s">
        <v>11622</v>
      </c>
      <c r="D2177" s="132" t="s">
        <v>3420</v>
      </c>
      <c r="E2177" s="136" t="s">
        <v>3935</v>
      </c>
      <c r="F2177" s="136" t="s">
        <v>3935</v>
      </c>
      <c r="G2177" s="137">
        <v>1395431923001</v>
      </c>
      <c r="H2177" s="138" t="s">
        <v>6300</v>
      </c>
      <c r="I2177" s="136">
        <v>951500302</v>
      </c>
      <c r="J2177" s="131" t="s">
        <v>3946</v>
      </c>
      <c r="K2177" s="139">
        <v>1620100</v>
      </c>
    </row>
    <row r="2178" spans="1:11">
      <c r="A2178" s="1" t="str">
        <f t="shared" si="33"/>
        <v>50100-801980695-951500282485205</v>
      </c>
      <c r="B2178" s="136" t="s">
        <v>3919</v>
      </c>
      <c r="C2178" s="136" t="s">
        <v>11623</v>
      </c>
      <c r="D2178" s="132" t="s">
        <v>3420</v>
      </c>
      <c r="E2178" s="136" t="s">
        <v>3854</v>
      </c>
      <c r="F2178" s="136" t="s">
        <v>3854</v>
      </c>
      <c r="G2178" s="137">
        <v>1395436005001</v>
      </c>
      <c r="H2178" s="138" t="s">
        <v>6298</v>
      </c>
      <c r="I2178" s="136">
        <v>951500282</v>
      </c>
      <c r="J2178" s="131" t="s">
        <v>3947</v>
      </c>
      <c r="K2178" s="139">
        <v>485205</v>
      </c>
    </row>
    <row r="2179" spans="1:11">
      <c r="A2179" s="1" t="str">
        <f t="shared" ref="A2179:A2242" si="34">B2179&amp;J2179&amp;K2179</f>
        <v>50100-802843795-9525000355070</v>
      </c>
      <c r="B2179" s="136" t="s">
        <v>3920</v>
      </c>
      <c r="C2179" s="136" t="s">
        <v>11624</v>
      </c>
      <c r="D2179" s="132" t="s">
        <v>3420</v>
      </c>
      <c r="E2179" s="136" t="s">
        <v>3900</v>
      </c>
      <c r="F2179" s="136" t="s">
        <v>3900</v>
      </c>
      <c r="G2179" s="137">
        <v>1395437985001</v>
      </c>
      <c r="H2179" s="138" t="s">
        <v>6298</v>
      </c>
      <c r="I2179" s="136">
        <v>952500035</v>
      </c>
      <c r="J2179" s="131" t="s">
        <v>3903</v>
      </c>
      <c r="K2179" s="139">
        <v>5070</v>
      </c>
    </row>
    <row r="2180" spans="1:11">
      <c r="A2180" s="1" t="str">
        <f t="shared" si="34"/>
        <v>50100-801857595-951500361384900</v>
      </c>
      <c r="B2180" s="136" t="s">
        <v>3918</v>
      </c>
      <c r="C2180" s="136" t="s">
        <v>11622</v>
      </c>
      <c r="D2180" s="132" t="s">
        <v>3420</v>
      </c>
      <c r="E2180" s="136" t="s">
        <v>3935</v>
      </c>
      <c r="F2180" s="136" t="s">
        <v>3935</v>
      </c>
      <c r="G2180" s="137">
        <v>1395431923001</v>
      </c>
      <c r="H2180" s="138" t="s">
        <v>6300</v>
      </c>
      <c r="I2180" s="136">
        <v>951500361</v>
      </c>
      <c r="J2180" s="131" t="s">
        <v>3948</v>
      </c>
      <c r="K2180" s="139">
        <v>384900</v>
      </c>
    </row>
    <row r="2181" spans="1:11">
      <c r="A2181" s="1" t="str">
        <f t="shared" si="34"/>
        <v>50100-802843795-951500292999780</v>
      </c>
      <c r="B2181" s="136" t="s">
        <v>3920</v>
      </c>
      <c r="C2181" s="136" t="s">
        <v>11624</v>
      </c>
      <c r="D2181" s="132" t="s">
        <v>3420</v>
      </c>
      <c r="E2181" s="136" t="s">
        <v>3900</v>
      </c>
      <c r="F2181" s="136" t="s">
        <v>3900</v>
      </c>
      <c r="G2181" s="137">
        <v>1395438159001</v>
      </c>
      <c r="H2181" s="138" t="s">
        <v>6298</v>
      </c>
      <c r="I2181" s="136">
        <v>951500292</v>
      </c>
      <c r="J2181" s="131" t="s">
        <v>3949</v>
      </c>
      <c r="K2181" s="139">
        <v>999780</v>
      </c>
    </row>
    <row r="2182" spans="1:11">
      <c r="A2182" s="1" t="str">
        <f t="shared" si="34"/>
        <v>50100-801909295-951500348300460</v>
      </c>
      <c r="B2182" s="136" t="s">
        <v>3916</v>
      </c>
      <c r="C2182" s="136" t="s">
        <v>11620</v>
      </c>
      <c r="D2182" s="132" t="s">
        <v>3420</v>
      </c>
      <c r="E2182" s="136" t="s">
        <v>3935</v>
      </c>
      <c r="F2182" s="136" t="s">
        <v>3935</v>
      </c>
      <c r="G2182" s="137">
        <v>1395435643001</v>
      </c>
      <c r="H2182" s="138" t="s">
        <v>6300</v>
      </c>
      <c r="I2182" s="136">
        <v>951500348</v>
      </c>
      <c r="J2182" s="131" t="s">
        <v>3950</v>
      </c>
      <c r="K2182" s="139">
        <v>300460</v>
      </c>
    </row>
    <row r="2183" spans="1:11">
      <c r="A2183" s="1" t="str">
        <f t="shared" si="34"/>
        <v>50100-800843695-951500343292002</v>
      </c>
      <c r="B2183" s="136" t="s">
        <v>3921</v>
      </c>
      <c r="C2183" s="136" t="s">
        <v>11625</v>
      </c>
      <c r="D2183" s="132" t="s">
        <v>3420</v>
      </c>
      <c r="E2183" s="136" t="s">
        <v>3936</v>
      </c>
      <c r="F2183" s="136" t="s">
        <v>3936</v>
      </c>
      <c r="G2183" s="137">
        <v>1395435643001</v>
      </c>
      <c r="H2183" s="138" t="s">
        <v>6300</v>
      </c>
      <c r="I2183" s="136">
        <v>951500343</v>
      </c>
      <c r="J2183" s="131" t="s">
        <v>3880</v>
      </c>
      <c r="K2183" s="139">
        <v>292002</v>
      </c>
    </row>
    <row r="2184" spans="1:11">
      <c r="A2184" s="1" t="str">
        <f t="shared" si="34"/>
        <v>50100-804626995-951500298582160</v>
      </c>
      <c r="B2184" s="136" t="s">
        <v>3922</v>
      </c>
      <c r="C2184" s="136" t="s">
        <v>11626</v>
      </c>
      <c r="D2184" s="132" t="s">
        <v>3420</v>
      </c>
      <c r="E2184" s="136" t="s">
        <v>3933</v>
      </c>
      <c r="F2184" s="136" t="s">
        <v>3933</v>
      </c>
      <c r="G2184" s="137">
        <v>1395438159001</v>
      </c>
      <c r="H2184" s="138" t="s">
        <v>6298</v>
      </c>
      <c r="I2184" s="136">
        <v>951500298</v>
      </c>
      <c r="J2184" s="131" t="s">
        <v>3951</v>
      </c>
      <c r="K2184" s="139">
        <v>582160</v>
      </c>
    </row>
    <row r="2185" spans="1:11">
      <c r="A2185" s="1" t="str">
        <f t="shared" si="34"/>
        <v>50100-804626995-951500294297540</v>
      </c>
      <c r="B2185" s="136" t="s">
        <v>3922</v>
      </c>
      <c r="C2185" s="136" t="s">
        <v>11626</v>
      </c>
      <c r="D2185" s="132" t="s">
        <v>3420</v>
      </c>
      <c r="E2185" s="136" t="s">
        <v>3933</v>
      </c>
      <c r="F2185" s="136" t="s">
        <v>3933</v>
      </c>
      <c r="G2185" s="137">
        <v>1395438159001</v>
      </c>
      <c r="H2185" s="138" t="s">
        <v>6298</v>
      </c>
      <c r="I2185" s="136">
        <v>951500294</v>
      </c>
      <c r="J2185" s="131" t="s">
        <v>3952</v>
      </c>
      <c r="K2185" s="139">
        <v>297540</v>
      </c>
    </row>
    <row r="2186" spans="1:11">
      <c r="A2186" s="1" t="str">
        <f t="shared" si="34"/>
        <v>50100-804626995-951500291453180</v>
      </c>
      <c r="B2186" s="136" t="s">
        <v>3922</v>
      </c>
      <c r="C2186" s="136" t="s">
        <v>11626</v>
      </c>
      <c r="D2186" s="132" t="s">
        <v>3420</v>
      </c>
      <c r="E2186" s="136" t="s">
        <v>3933</v>
      </c>
      <c r="F2186" s="136" t="s">
        <v>3933</v>
      </c>
      <c r="G2186" s="137">
        <v>1395438159001</v>
      </c>
      <c r="H2186" s="138" t="s">
        <v>6298</v>
      </c>
      <c r="I2186" s="136">
        <v>951500291</v>
      </c>
      <c r="J2186" s="131" t="s">
        <v>3953</v>
      </c>
      <c r="K2186" s="139">
        <v>453180</v>
      </c>
    </row>
    <row r="2187" spans="1:11">
      <c r="A2187" s="1" t="str">
        <f t="shared" si="34"/>
        <v>50100-804626995-951500293299340</v>
      </c>
      <c r="B2187" s="136" t="s">
        <v>3922</v>
      </c>
      <c r="C2187" s="136" t="s">
        <v>11626</v>
      </c>
      <c r="D2187" s="132" t="s">
        <v>3420</v>
      </c>
      <c r="E2187" s="136" t="s">
        <v>3933</v>
      </c>
      <c r="F2187" s="136" t="s">
        <v>3933</v>
      </c>
      <c r="G2187" s="137">
        <v>1395438159001</v>
      </c>
      <c r="H2187" s="138" t="s">
        <v>6298</v>
      </c>
      <c r="I2187" s="136">
        <v>951500293</v>
      </c>
      <c r="J2187" s="131" t="s">
        <v>3954</v>
      </c>
      <c r="K2187" s="139">
        <v>299340</v>
      </c>
    </row>
    <row r="2188" spans="1:11">
      <c r="A2188" s="1" t="str">
        <f t="shared" si="34"/>
        <v>50100-802661395-95150036529100</v>
      </c>
      <c r="B2188" s="136" t="s">
        <v>3923</v>
      </c>
      <c r="C2188" s="136" t="s">
        <v>11627</v>
      </c>
      <c r="D2188" s="132" t="s">
        <v>3420</v>
      </c>
      <c r="E2188" s="136" t="s">
        <v>3900</v>
      </c>
      <c r="F2188" s="136" t="s">
        <v>3900</v>
      </c>
      <c r="G2188" s="137">
        <v>1395431923001</v>
      </c>
      <c r="H2188" s="138" t="s">
        <v>6300</v>
      </c>
      <c r="I2188" s="136">
        <v>951500365</v>
      </c>
      <c r="J2188" s="131" t="s">
        <v>3943</v>
      </c>
      <c r="K2188" s="139">
        <v>29100</v>
      </c>
    </row>
    <row r="2189" spans="1:11">
      <c r="A2189" s="1" t="str">
        <f t="shared" si="34"/>
        <v>50100-802661395-951500361265100</v>
      </c>
      <c r="B2189" s="136" t="s">
        <v>3923</v>
      </c>
      <c r="C2189" s="136" t="s">
        <v>11627</v>
      </c>
      <c r="D2189" s="132" t="s">
        <v>3420</v>
      </c>
      <c r="E2189" s="136" t="s">
        <v>3900</v>
      </c>
      <c r="F2189" s="136" t="s">
        <v>3900</v>
      </c>
      <c r="G2189" s="137">
        <v>1395431923001</v>
      </c>
      <c r="H2189" s="138" t="s">
        <v>6300</v>
      </c>
      <c r="I2189" s="136">
        <v>951500361</v>
      </c>
      <c r="J2189" s="131" t="s">
        <v>3948</v>
      </c>
      <c r="K2189" s="139">
        <v>265100</v>
      </c>
    </row>
    <row r="2190" spans="1:11">
      <c r="A2190" s="1" t="str">
        <f t="shared" si="34"/>
        <v>50100-802661395-951500309180808</v>
      </c>
      <c r="B2190" s="136" t="s">
        <v>3923</v>
      </c>
      <c r="C2190" s="136" t="s">
        <v>11627</v>
      </c>
      <c r="D2190" s="132" t="s">
        <v>3420</v>
      </c>
      <c r="E2190" s="136" t="s">
        <v>3900</v>
      </c>
      <c r="F2190" s="136" t="s">
        <v>3900</v>
      </c>
      <c r="G2190" s="137">
        <v>1395435643001</v>
      </c>
      <c r="H2190" s="138" t="s">
        <v>6300</v>
      </c>
      <c r="I2190" s="136">
        <v>951500309</v>
      </c>
      <c r="J2190" s="131" t="s">
        <v>3955</v>
      </c>
      <c r="K2190" s="139">
        <v>180808</v>
      </c>
    </row>
    <row r="2191" spans="1:11">
      <c r="A2191" s="1" t="str">
        <f t="shared" si="34"/>
        <v>50100-802912595-951500297152720</v>
      </c>
      <c r="B2191" s="136" t="s">
        <v>3924</v>
      </c>
      <c r="C2191" s="136" t="s">
        <v>11628</v>
      </c>
      <c r="D2191" s="132" t="s">
        <v>3420</v>
      </c>
      <c r="E2191" s="136" t="s">
        <v>3900</v>
      </c>
      <c r="F2191" s="136" t="s">
        <v>3900</v>
      </c>
      <c r="G2191" s="137">
        <v>1395438159001</v>
      </c>
      <c r="H2191" s="138" t="s">
        <v>6298</v>
      </c>
      <c r="I2191" s="136">
        <v>951500297</v>
      </c>
      <c r="J2191" s="131" t="s">
        <v>3956</v>
      </c>
      <c r="K2191" s="139">
        <v>152720</v>
      </c>
    </row>
    <row r="2192" spans="1:11">
      <c r="A2192" s="1" t="str">
        <f t="shared" si="34"/>
        <v>50100-802912595-95150030099260</v>
      </c>
      <c r="B2192" s="136" t="s">
        <v>3924</v>
      </c>
      <c r="C2192" s="136" t="s">
        <v>11628</v>
      </c>
      <c r="D2192" s="132" t="s">
        <v>3420</v>
      </c>
      <c r="E2192" s="136" t="s">
        <v>3900</v>
      </c>
      <c r="F2192" s="136" t="s">
        <v>3900</v>
      </c>
      <c r="G2192" s="137">
        <v>1395438159001</v>
      </c>
      <c r="H2192" s="138" t="s">
        <v>6298</v>
      </c>
      <c r="I2192" s="136">
        <v>951500300</v>
      </c>
      <c r="J2192" s="131" t="s">
        <v>3957</v>
      </c>
      <c r="K2192" s="139">
        <v>99260</v>
      </c>
    </row>
    <row r="2193" spans="1:11">
      <c r="A2193" s="1" t="str">
        <f t="shared" si="34"/>
        <v>50100-802952495-951500384557144</v>
      </c>
      <c r="B2193" s="136" t="s">
        <v>3925</v>
      </c>
      <c r="C2193" s="136" t="s">
        <v>11629</v>
      </c>
      <c r="D2193" s="132" t="s">
        <v>3420</v>
      </c>
      <c r="E2193" s="136" t="s">
        <v>3900</v>
      </c>
      <c r="F2193" s="136" t="s">
        <v>3900</v>
      </c>
      <c r="G2193" s="137">
        <v>1395437982001</v>
      </c>
      <c r="H2193" s="138" t="s">
        <v>6300</v>
      </c>
      <c r="I2193" s="136">
        <v>951500384</v>
      </c>
      <c r="J2193" s="131" t="s">
        <v>3958</v>
      </c>
      <c r="K2193" s="139">
        <v>557144</v>
      </c>
    </row>
    <row r="2194" spans="1:11">
      <c r="A2194" s="1" t="str">
        <f t="shared" si="34"/>
        <v>50100-802952495-951500390125544</v>
      </c>
      <c r="B2194" s="136" t="s">
        <v>3925</v>
      </c>
      <c r="C2194" s="136" t="s">
        <v>11629</v>
      </c>
      <c r="D2194" s="132" t="s">
        <v>3420</v>
      </c>
      <c r="E2194" s="136" t="s">
        <v>3900</v>
      </c>
      <c r="F2194" s="136" t="s">
        <v>3900</v>
      </c>
      <c r="G2194" s="137">
        <v>1395437982001</v>
      </c>
      <c r="H2194" s="138" t="s">
        <v>6300</v>
      </c>
      <c r="I2194" s="136">
        <v>951500390</v>
      </c>
      <c r="J2194" s="131" t="s">
        <v>3959</v>
      </c>
      <c r="K2194" s="139">
        <v>125544</v>
      </c>
    </row>
    <row r="2195" spans="1:11">
      <c r="A2195" s="1" t="str">
        <f t="shared" si="34"/>
        <v>50100-800843695-951500348209748</v>
      </c>
      <c r="B2195" s="136" t="s">
        <v>3921</v>
      </c>
      <c r="C2195" s="136" t="s">
        <v>11625</v>
      </c>
      <c r="D2195" s="132" t="s">
        <v>3420</v>
      </c>
      <c r="E2195" s="136" t="s">
        <v>3936</v>
      </c>
      <c r="F2195" s="136" t="s">
        <v>3936</v>
      </c>
      <c r="G2195" s="137">
        <v>1395435643001</v>
      </c>
      <c r="H2195" s="138" t="s">
        <v>6300</v>
      </c>
      <c r="I2195" s="136">
        <v>951500348</v>
      </c>
      <c r="J2195" s="131" t="s">
        <v>3950</v>
      </c>
      <c r="K2195" s="139">
        <v>209748</v>
      </c>
    </row>
    <row r="2196" spans="1:11">
      <c r="A2196" s="1" t="str">
        <f t="shared" si="34"/>
        <v>50100-802952495-951500309318312</v>
      </c>
      <c r="B2196" s="136" t="s">
        <v>3925</v>
      </c>
      <c r="C2196" s="136" t="s">
        <v>11629</v>
      </c>
      <c r="D2196" s="132" t="s">
        <v>3420</v>
      </c>
      <c r="E2196" s="136" t="s">
        <v>3900</v>
      </c>
      <c r="F2196" s="136" t="s">
        <v>3900</v>
      </c>
      <c r="G2196" s="137">
        <v>1395435643001</v>
      </c>
      <c r="H2196" s="138" t="s">
        <v>6300</v>
      </c>
      <c r="I2196" s="136">
        <v>951500309</v>
      </c>
      <c r="J2196" s="131" t="s">
        <v>3955</v>
      </c>
      <c r="K2196" s="139">
        <v>318312</v>
      </c>
    </row>
    <row r="2197" spans="1:11">
      <c r="A2197" s="1" t="str">
        <f t="shared" si="34"/>
        <v>50100-802912595-952500035244395</v>
      </c>
      <c r="B2197" s="136" t="s">
        <v>3924</v>
      </c>
      <c r="C2197" s="136" t="s">
        <v>11628</v>
      </c>
      <c r="D2197" s="132" t="s">
        <v>3420</v>
      </c>
      <c r="E2197" s="136" t="s">
        <v>3900</v>
      </c>
      <c r="F2197" s="136" t="s">
        <v>3900</v>
      </c>
      <c r="G2197" s="137">
        <v>1395437985001</v>
      </c>
      <c r="H2197" s="138" t="s">
        <v>6298</v>
      </c>
      <c r="I2197" s="136">
        <v>952500035</v>
      </c>
      <c r="J2197" s="131" t="s">
        <v>3903</v>
      </c>
      <c r="K2197" s="139">
        <v>244395</v>
      </c>
    </row>
    <row r="2198" spans="1:11">
      <c r="A2198" s="1" t="str">
        <f t="shared" si="34"/>
        <v>50100-802942295-951500384440216</v>
      </c>
      <c r="B2198" s="136" t="s">
        <v>3926</v>
      </c>
      <c r="C2198" s="136" t="s">
        <v>11630</v>
      </c>
      <c r="D2198" s="132" t="s">
        <v>3420</v>
      </c>
      <c r="E2198" s="136" t="s">
        <v>3900</v>
      </c>
      <c r="F2198" s="136" t="s">
        <v>3900</v>
      </c>
      <c r="G2198" s="137">
        <v>1395437982001</v>
      </c>
      <c r="H2198" s="138" t="s">
        <v>6300</v>
      </c>
      <c r="I2198" s="136">
        <v>951500384</v>
      </c>
      <c r="J2198" s="131" t="s">
        <v>3958</v>
      </c>
      <c r="K2198" s="139">
        <v>440216</v>
      </c>
    </row>
    <row r="2199" spans="1:11">
      <c r="A2199" s="1" t="str">
        <f t="shared" si="34"/>
        <v>50100-802942295-951500390560784</v>
      </c>
      <c r="B2199" s="136" t="s">
        <v>3926</v>
      </c>
      <c r="C2199" s="136" t="s">
        <v>11630</v>
      </c>
      <c r="D2199" s="132" t="s">
        <v>3420</v>
      </c>
      <c r="E2199" s="136" t="s">
        <v>3900</v>
      </c>
      <c r="F2199" s="136" t="s">
        <v>3900</v>
      </c>
      <c r="G2199" s="137">
        <v>1395437982001</v>
      </c>
      <c r="H2199" s="138" t="s">
        <v>6300</v>
      </c>
      <c r="I2199" s="136">
        <v>951500390</v>
      </c>
      <c r="J2199" s="131" t="s">
        <v>3959</v>
      </c>
      <c r="K2199" s="139">
        <v>560784</v>
      </c>
    </row>
    <row r="2200" spans="1:11">
      <c r="A2200" s="1" t="str">
        <f t="shared" si="34"/>
        <v>50100-804626995-951500306370880</v>
      </c>
      <c r="B2200" s="136" t="s">
        <v>3922</v>
      </c>
      <c r="C2200" s="136" t="s">
        <v>11626</v>
      </c>
      <c r="D2200" s="132" t="s">
        <v>3420</v>
      </c>
      <c r="E2200" s="136" t="s">
        <v>3933</v>
      </c>
      <c r="F2200" s="136" t="s">
        <v>3933</v>
      </c>
      <c r="G2200" s="137">
        <v>1395438159001</v>
      </c>
      <c r="H2200" s="138" t="s">
        <v>6298</v>
      </c>
      <c r="I2200" s="136">
        <v>951500306</v>
      </c>
      <c r="J2200" s="131" t="s">
        <v>3960</v>
      </c>
      <c r="K2200" s="139">
        <v>370880</v>
      </c>
    </row>
    <row r="2201" spans="1:11">
      <c r="A2201" s="1" t="str">
        <f t="shared" si="34"/>
        <v>50100-804650495-952500035499000</v>
      </c>
      <c r="B2201" s="136" t="s">
        <v>3927</v>
      </c>
      <c r="C2201" s="136" t="s">
        <v>11631</v>
      </c>
      <c r="D2201" s="132" t="s">
        <v>3420</v>
      </c>
      <c r="E2201" s="136" t="s">
        <v>3933</v>
      </c>
      <c r="F2201" s="136" t="s">
        <v>3933</v>
      </c>
      <c r="G2201" s="137">
        <v>1395437985001</v>
      </c>
      <c r="H2201" s="138" t="s">
        <v>6298</v>
      </c>
      <c r="I2201" s="136">
        <v>952500035</v>
      </c>
      <c r="J2201" s="131" t="s">
        <v>3903</v>
      </c>
      <c r="K2201" s="139">
        <v>499000</v>
      </c>
    </row>
    <row r="2202" spans="1:11">
      <c r="A2202" s="1" t="str">
        <f t="shared" si="34"/>
        <v>50100-805305095-951500390502950</v>
      </c>
      <c r="B2202" s="136" t="s">
        <v>3928</v>
      </c>
      <c r="C2202" s="136" t="s">
        <v>11632</v>
      </c>
      <c r="D2202" s="132" t="s">
        <v>3420</v>
      </c>
      <c r="E2202" s="136" t="s">
        <v>3934</v>
      </c>
      <c r="F2202" s="136" t="s">
        <v>3934</v>
      </c>
      <c r="G2202" s="137">
        <v>1395437982001</v>
      </c>
      <c r="H2202" s="138" t="s">
        <v>6300</v>
      </c>
      <c r="I2202" s="136">
        <v>951500390</v>
      </c>
      <c r="J2202" s="131" t="s">
        <v>3959</v>
      </c>
      <c r="K2202" s="139">
        <v>502950</v>
      </c>
    </row>
    <row r="2203" spans="1:11">
      <c r="A2203" s="1" t="str">
        <f t="shared" si="34"/>
        <v>50100-802661395-95150034821862</v>
      </c>
      <c r="B2203" s="136" t="s">
        <v>3923</v>
      </c>
      <c r="C2203" s="136" t="s">
        <v>11627</v>
      </c>
      <c r="D2203" s="132" t="s">
        <v>3420</v>
      </c>
      <c r="E2203" s="136" t="s">
        <v>3900</v>
      </c>
      <c r="F2203" s="136" t="s">
        <v>3900</v>
      </c>
      <c r="G2203" s="137">
        <v>1395435643001</v>
      </c>
      <c r="H2203" s="138" t="s">
        <v>6300</v>
      </c>
      <c r="I2203" s="136">
        <v>951500348</v>
      </c>
      <c r="J2203" s="131" t="s">
        <v>3950</v>
      </c>
      <c r="K2203" s="139">
        <v>21862</v>
      </c>
    </row>
    <row r="2204" spans="1:11">
      <c r="A2204" s="1" t="str">
        <f t="shared" si="34"/>
        <v>50100-801464295-95150034899890</v>
      </c>
      <c r="B2204" s="136" t="s">
        <v>3929</v>
      </c>
      <c r="C2204" s="136" t="s">
        <v>11633</v>
      </c>
      <c r="D2204" s="132" t="s">
        <v>3420</v>
      </c>
      <c r="E2204" s="136" t="s">
        <v>3902</v>
      </c>
      <c r="F2204" s="136" t="s">
        <v>3902</v>
      </c>
      <c r="G2204" s="137">
        <v>1395435643001</v>
      </c>
      <c r="H2204" s="138" t="s">
        <v>6300</v>
      </c>
      <c r="I2204" s="136">
        <v>951500348</v>
      </c>
      <c r="J2204" s="131" t="s">
        <v>3950</v>
      </c>
      <c r="K2204" s="139">
        <v>99890</v>
      </c>
    </row>
    <row r="2205" spans="1:11">
      <c r="A2205" s="1" t="str">
        <f t="shared" si="34"/>
        <v>50100-805358995-95150036980900</v>
      </c>
      <c r="B2205" s="136" t="s">
        <v>3930</v>
      </c>
      <c r="C2205" s="136" t="s">
        <v>11634</v>
      </c>
      <c r="D2205" s="132" t="s">
        <v>3420</v>
      </c>
      <c r="E2205" s="136" t="s">
        <v>3934</v>
      </c>
      <c r="F2205" s="136" t="s">
        <v>3934</v>
      </c>
      <c r="G2205" s="137">
        <v>1395438159001</v>
      </c>
      <c r="H2205" s="138" t="s">
        <v>6298</v>
      </c>
      <c r="I2205" s="136">
        <v>951500369</v>
      </c>
      <c r="J2205" s="131" t="s">
        <v>3961</v>
      </c>
      <c r="K2205" s="139">
        <v>80900</v>
      </c>
    </row>
    <row r="2206" spans="1:11">
      <c r="A2206" s="1" t="str">
        <f t="shared" si="34"/>
        <v>50100-805358995-951500306127320</v>
      </c>
      <c r="B2206" s="136" t="s">
        <v>3930</v>
      </c>
      <c r="C2206" s="136" t="s">
        <v>11634</v>
      </c>
      <c r="D2206" s="132" t="s">
        <v>3420</v>
      </c>
      <c r="E2206" s="136" t="s">
        <v>3934</v>
      </c>
      <c r="F2206" s="136" t="s">
        <v>3934</v>
      </c>
      <c r="G2206" s="137">
        <v>1395438159001</v>
      </c>
      <c r="H2206" s="138" t="s">
        <v>6298</v>
      </c>
      <c r="I2206" s="136">
        <v>951500306</v>
      </c>
      <c r="J2206" s="131" t="s">
        <v>3960</v>
      </c>
      <c r="K2206" s="139">
        <v>127320</v>
      </c>
    </row>
    <row r="2207" spans="1:11">
      <c r="A2207" s="1" t="str">
        <f t="shared" si="34"/>
        <v>50100-805358995-95150037145920</v>
      </c>
      <c r="B2207" s="136" t="s">
        <v>3930</v>
      </c>
      <c r="C2207" s="136" t="s">
        <v>11634</v>
      </c>
      <c r="D2207" s="132" t="s">
        <v>3420</v>
      </c>
      <c r="E2207" s="136" t="s">
        <v>3934</v>
      </c>
      <c r="F2207" s="136" t="s">
        <v>3934</v>
      </c>
      <c r="G2207" s="137">
        <v>1395438159001</v>
      </c>
      <c r="H2207" s="138" t="s">
        <v>6298</v>
      </c>
      <c r="I2207" s="136">
        <v>951500371</v>
      </c>
      <c r="J2207" s="131" t="s">
        <v>3962</v>
      </c>
      <c r="K2207" s="139">
        <v>45920</v>
      </c>
    </row>
    <row r="2208" spans="1:11">
      <c r="A2208" s="1" t="str">
        <f t="shared" si="34"/>
        <v>50100-805358995-951500298150000</v>
      </c>
      <c r="B2208" s="136" t="s">
        <v>3930</v>
      </c>
      <c r="C2208" s="136" t="s">
        <v>11634</v>
      </c>
      <c r="D2208" s="132" t="s">
        <v>3420</v>
      </c>
      <c r="E2208" s="136" t="s">
        <v>3934</v>
      </c>
      <c r="F2208" s="136" t="s">
        <v>3934</v>
      </c>
      <c r="G2208" s="137">
        <v>1395438159001</v>
      </c>
      <c r="H2208" s="138" t="s">
        <v>6298</v>
      </c>
      <c r="I2208" s="136">
        <v>951500298</v>
      </c>
      <c r="J2208" s="131" t="s">
        <v>3951</v>
      </c>
      <c r="K2208" s="139">
        <v>150000</v>
      </c>
    </row>
    <row r="2209" spans="1:11">
      <c r="A2209" s="1" t="str">
        <f t="shared" si="34"/>
        <v>50100-805358995-952500051437425</v>
      </c>
      <c r="B2209" s="136" t="s">
        <v>3930</v>
      </c>
      <c r="C2209" s="136" t="s">
        <v>11634</v>
      </c>
      <c r="D2209" s="132" t="s">
        <v>3420</v>
      </c>
      <c r="E2209" s="136" t="s">
        <v>3934</v>
      </c>
      <c r="F2209" s="136" t="s">
        <v>3934</v>
      </c>
      <c r="G2209" s="137">
        <v>1395441908001</v>
      </c>
      <c r="H2209" s="138" t="s">
        <v>6298</v>
      </c>
      <c r="I2209" s="136">
        <v>952500051</v>
      </c>
      <c r="J2209" s="131" t="s">
        <v>3963</v>
      </c>
      <c r="K2209" s="139">
        <v>437425</v>
      </c>
    </row>
    <row r="2210" spans="1:11">
      <c r="A2210" s="1" t="str">
        <f t="shared" si="34"/>
        <v>50100-805358995-952500035142935</v>
      </c>
      <c r="B2210" s="136" t="s">
        <v>3930</v>
      </c>
      <c r="C2210" s="136" t="s">
        <v>11634</v>
      </c>
      <c r="D2210" s="132" t="s">
        <v>3420</v>
      </c>
      <c r="E2210" s="136" t="s">
        <v>3934</v>
      </c>
      <c r="F2210" s="136" t="s">
        <v>3934</v>
      </c>
      <c r="G2210" s="137">
        <v>1395437985001</v>
      </c>
      <c r="H2210" s="138" t="s">
        <v>6298</v>
      </c>
      <c r="I2210" s="136">
        <v>952500035</v>
      </c>
      <c r="J2210" s="131" t="s">
        <v>3903</v>
      </c>
      <c r="K2210" s="139">
        <v>142935</v>
      </c>
    </row>
    <row r="2211" spans="1:11">
      <c r="A2211" s="1" t="str">
        <f t="shared" si="34"/>
        <v>50100-804923595-952500048123587</v>
      </c>
      <c r="B2211" s="136" t="s">
        <v>3931</v>
      </c>
      <c r="C2211" s="136">
        <v>8049235</v>
      </c>
      <c r="D2211" s="132" t="s">
        <v>3420</v>
      </c>
      <c r="E2211" s="136" t="s">
        <v>3937</v>
      </c>
      <c r="F2211" s="136" t="s">
        <v>3933</v>
      </c>
      <c r="G2211" s="137">
        <v>1395436479001</v>
      </c>
      <c r="H2211" s="138" t="s">
        <v>6456</v>
      </c>
      <c r="I2211" s="136">
        <v>952500048</v>
      </c>
      <c r="J2211" s="131" t="s">
        <v>3940</v>
      </c>
      <c r="K2211" s="139">
        <v>123587</v>
      </c>
    </row>
    <row r="2212" spans="1:11">
      <c r="A2212" s="1" t="str">
        <f t="shared" si="34"/>
        <v>50100-804923595-952500048852663</v>
      </c>
      <c r="B2212" s="136" t="s">
        <v>3931</v>
      </c>
      <c r="C2212" s="136">
        <v>8049235</v>
      </c>
      <c r="D2212" s="132" t="s">
        <v>3420</v>
      </c>
      <c r="E2212" s="136" t="s">
        <v>3937</v>
      </c>
      <c r="F2212" s="136" t="s">
        <v>3933</v>
      </c>
      <c r="G2212" s="137">
        <v>1395436479001</v>
      </c>
      <c r="H2212" s="138" t="s">
        <v>6456</v>
      </c>
      <c r="I2212" s="136">
        <v>952500048</v>
      </c>
      <c r="J2212" s="131" t="s">
        <v>3940</v>
      </c>
      <c r="K2212" s="139">
        <v>852663</v>
      </c>
    </row>
    <row r="2213" spans="1:11">
      <c r="A2213" s="1" t="str">
        <f t="shared" si="34"/>
        <v>50100-808493895-951500319298650</v>
      </c>
      <c r="B2213" s="136" t="s">
        <v>4026</v>
      </c>
      <c r="C2213" s="136" t="s">
        <v>11635</v>
      </c>
      <c r="D2213" s="132" t="s">
        <v>3420</v>
      </c>
      <c r="E2213" s="136" t="s">
        <v>4176</v>
      </c>
      <c r="F2213" s="136" t="s">
        <v>4176</v>
      </c>
      <c r="G2213" s="137">
        <v>1395438159001</v>
      </c>
      <c r="H2213" s="138" t="s">
        <v>6298</v>
      </c>
      <c r="I2213" s="136">
        <v>951500319</v>
      </c>
      <c r="J2213" s="131" t="s">
        <v>4235</v>
      </c>
      <c r="K2213" s="139">
        <v>298650</v>
      </c>
    </row>
    <row r="2214" spans="1:11">
      <c r="A2214" s="1" t="str">
        <f t="shared" si="34"/>
        <v>50100-810911995-951500460454605</v>
      </c>
      <c r="B2214" s="136" t="s">
        <v>4027</v>
      </c>
      <c r="C2214" s="136" t="s">
        <v>11636</v>
      </c>
      <c r="D2214" s="132" t="s">
        <v>3420</v>
      </c>
      <c r="E2214" s="136" t="s">
        <v>4177</v>
      </c>
      <c r="F2214" s="136" t="s">
        <v>4177</v>
      </c>
      <c r="G2214" s="137">
        <v>1395447373001</v>
      </c>
      <c r="H2214" s="138" t="s">
        <v>6453</v>
      </c>
      <c r="I2214" s="136">
        <v>951500460</v>
      </c>
      <c r="J2214" s="131" t="s">
        <v>4236</v>
      </c>
      <c r="K2214" s="139">
        <v>454605</v>
      </c>
    </row>
    <row r="2215" spans="1:11">
      <c r="A2215" s="1" t="str">
        <f t="shared" si="34"/>
        <v>50100-810126995-952500068488125</v>
      </c>
      <c r="B2215" s="136" t="s">
        <v>4028</v>
      </c>
      <c r="C2215" s="136" t="s">
        <v>11637</v>
      </c>
      <c r="D2215" s="132" t="s">
        <v>3420</v>
      </c>
      <c r="E2215" s="136" t="s">
        <v>4178</v>
      </c>
      <c r="F2215" s="136" t="s">
        <v>4178</v>
      </c>
      <c r="G2215" s="137">
        <v>1395447378001</v>
      </c>
      <c r="H2215" s="138" t="s">
        <v>6456</v>
      </c>
      <c r="I2215" s="136">
        <v>952500068</v>
      </c>
      <c r="J2215" s="131" t="s">
        <v>4199</v>
      </c>
      <c r="K2215" s="139">
        <v>488125</v>
      </c>
    </row>
    <row r="2216" spans="1:11">
      <c r="A2216" s="1" t="str">
        <f t="shared" si="34"/>
        <v>50100-810150095-952500068488125</v>
      </c>
      <c r="B2216" s="136" t="s">
        <v>4029</v>
      </c>
      <c r="C2216" s="136" t="s">
        <v>11638</v>
      </c>
      <c r="D2216" s="132" t="s">
        <v>3420</v>
      </c>
      <c r="E2216" s="136" t="s">
        <v>4178</v>
      </c>
      <c r="F2216" s="136" t="s">
        <v>4178</v>
      </c>
      <c r="G2216" s="137">
        <v>1395447378001</v>
      </c>
      <c r="H2216" s="138" t="s">
        <v>6456</v>
      </c>
      <c r="I2216" s="136">
        <v>952500068</v>
      </c>
      <c r="J2216" s="131" t="s">
        <v>4199</v>
      </c>
      <c r="K2216" s="139">
        <v>488125</v>
      </c>
    </row>
    <row r="2217" spans="1:11">
      <c r="A2217" s="1" t="str">
        <f t="shared" si="34"/>
        <v>50100-809695395-951500443526225</v>
      </c>
      <c r="B2217" s="136" t="s">
        <v>4030</v>
      </c>
      <c r="C2217" s="136" t="s">
        <v>11639</v>
      </c>
      <c r="D2217" s="132" t="s">
        <v>3420</v>
      </c>
      <c r="E2217" s="136" t="s">
        <v>4179</v>
      </c>
      <c r="F2217" s="136" t="s">
        <v>4179</v>
      </c>
      <c r="G2217" s="137">
        <v>1395447373001</v>
      </c>
      <c r="H2217" s="138" t="s">
        <v>6453</v>
      </c>
      <c r="I2217" s="136">
        <v>951500443</v>
      </c>
      <c r="J2217" s="131" t="s">
        <v>4237</v>
      </c>
      <c r="K2217" s="139">
        <v>526225</v>
      </c>
    </row>
    <row r="2218" spans="1:11">
      <c r="A2218" s="1" t="str">
        <f t="shared" si="34"/>
        <v>50100-808844595-951500444996100</v>
      </c>
      <c r="B2218" s="136" t="s">
        <v>4031</v>
      </c>
      <c r="C2218" s="136" t="s">
        <v>11640</v>
      </c>
      <c r="D2218" s="132" t="s">
        <v>3420</v>
      </c>
      <c r="E2218" s="136" t="s">
        <v>4180</v>
      </c>
      <c r="F2218" s="136" t="s">
        <v>4180</v>
      </c>
      <c r="G2218" s="137">
        <v>1395447373001</v>
      </c>
      <c r="H2218" s="138" t="s">
        <v>6453</v>
      </c>
      <c r="I2218" s="136">
        <v>951500444</v>
      </c>
      <c r="J2218" s="131" t="s">
        <v>4238</v>
      </c>
      <c r="K2218" s="139">
        <v>996100</v>
      </c>
    </row>
    <row r="2219" spans="1:11">
      <c r="A2219" s="1" t="str">
        <f t="shared" si="34"/>
        <v>50100-809695395-9515004443900</v>
      </c>
      <c r="B2219" s="136" t="s">
        <v>4030</v>
      </c>
      <c r="C2219" s="136" t="s">
        <v>11639</v>
      </c>
      <c r="D2219" s="132" t="s">
        <v>3420</v>
      </c>
      <c r="E2219" s="136" t="s">
        <v>4179</v>
      </c>
      <c r="F2219" s="136" t="s">
        <v>4179</v>
      </c>
      <c r="G2219" s="137">
        <v>1395447373001</v>
      </c>
      <c r="H2219" s="138" t="s">
        <v>6453</v>
      </c>
      <c r="I2219" s="136">
        <v>951500444</v>
      </c>
      <c r="J2219" s="131" t="s">
        <v>4238</v>
      </c>
      <c r="K2219" s="139">
        <v>3900</v>
      </c>
    </row>
    <row r="2220" spans="1:11">
      <c r="A2220" s="1" t="str">
        <f t="shared" si="34"/>
        <v>50100-809695395-951500456459875</v>
      </c>
      <c r="B2220" s="136" t="s">
        <v>4030</v>
      </c>
      <c r="C2220" s="136" t="s">
        <v>11639</v>
      </c>
      <c r="D2220" s="132" t="s">
        <v>3420</v>
      </c>
      <c r="E2220" s="136" t="s">
        <v>4179</v>
      </c>
      <c r="F2220" s="136" t="s">
        <v>4179</v>
      </c>
      <c r="G2220" s="137">
        <v>1395447373001</v>
      </c>
      <c r="H2220" s="138" t="s">
        <v>6453</v>
      </c>
      <c r="I2220" s="136">
        <v>951500456</v>
      </c>
      <c r="J2220" s="131" t="s">
        <v>4239</v>
      </c>
      <c r="K2220" s="139">
        <v>459875</v>
      </c>
    </row>
    <row r="2221" spans="1:11">
      <c r="A2221" s="1" t="str">
        <f t="shared" si="34"/>
        <v>50100-810907495-951500463498525</v>
      </c>
      <c r="B2221" s="136" t="s">
        <v>4032</v>
      </c>
      <c r="C2221" s="136" t="s">
        <v>11641</v>
      </c>
      <c r="D2221" s="132" t="s">
        <v>3420</v>
      </c>
      <c r="E2221" s="136" t="s">
        <v>4177</v>
      </c>
      <c r="F2221" s="136" t="s">
        <v>4177</v>
      </c>
      <c r="G2221" s="137">
        <v>1395447373001</v>
      </c>
      <c r="H2221" s="138" t="s">
        <v>6453</v>
      </c>
      <c r="I2221" s="136">
        <v>951500463</v>
      </c>
      <c r="J2221" s="131" t="s">
        <v>4209</v>
      </c>
      <c r="K2221" s="139">
        <v>498525</v>
      </c>
    </row>
    <row r="2222" spans="1:11">
      <c r="A2222" s="1" t="str">
        <f t="shared" si="34"/>
        <v>50100-810911995-951500456540125</v>
      </c>
      <c r="B2222" s="136" t="s">
        <v>4027</v>
      </c>
      <c r="C2222" s="136" t="s">
        <v>11636</v>
      </c>
      <c r="D2222" s="132" t="s">
        <v>3420</v>
      </c>
      <c r="E2222" s="136" t="s">
        <v>4177</v>
      </c>
      <c r="F2222" s="136" t="s">
        <v>4177</v>
      </c>
      <c r="G2222" s="137">
        <v>1395447373001</v>
      </c>
      <c r="H2222" s="138" t="s">
        <v>6453</v>
      </c>
      <c r="I2222" s="136">
        <v>951500456</v>
      </c>
      <c r="J2222" s="131" t="s">
        <v>4239</v>
      </c>
      <c r="K2222" s="139">
        <v>540125</v>
      </c>
    </row>
    <row r="2223" spans="1:11">
      <c r="A2223" s="1" t="str">
        <f t="shared" si="34"/>
        <v>50100-808190295-951500446989570</v>
      </c>
      <c r="B2223" s="136" t="s">
        <v>4033</v>
      </c>
      <c r="C2223" s="136" t="s">
        <v>11642</v>
      </c>
      <c r="D2223" s="132" t="s">
        <v>3420</v>
      </c>
      <c r="E2223" s="136" t="s">
        <v>4176</v>
      </c>
      <c r="F2223" s="136" t="s">
        <v>4176</v>
      </c>
      <c r="G2223" s="137">
        <v>1395447374001</v>
      </c>
      <c r="H2223" s="138" t="s">
        <v>6456</v>
      </c>
      <c r="I2223" s="136">
        <v>951500446</v>
      </c>
      <c r="J2223" s="131" t="s">
        <v>4222</v>
      </c>
      <c r="K2223" s="139">
        <v>989570</v>
      </c>
    </row>
    <row r="2224" spans="1:11">
      <c r="A2224" s="1" t="str">
        <f t="shared" si="34"/>
        <v>50100-808601795-9515004421000000</v>
      </c>
      <c r="B2224" s="136" t="s">
        <v>4034</v>
      </c>
      <c r="C2224" s="136" t="s">
        <v>11643</v>
      </c>
      <c r="D2224" s="132" t="s">
        <v>3420</v>
      </c>
      <c r="E2224" s="136" t="s">
        <v>4180</v>
      </c>
      <c r="F2224" s="136" t="s">
        <v>4180</v>
      </c>
      <c r="G2224" s="137">
        <v>1395447373001</v>
      </c>
      <c r="H2224" s="138" t="s">
        <v>6453</v>
      </c>
      <c r="I2224" s="136">
        <v>951500442</v>
      </c>
      <c r="J2224" s="131" t="s">
        <v>4240</v>
      </c>
      <c r="K2224" s="139">
        <v>1000000</v>
      </c>
    </row>
    <row r="2225" spans="1:11">
      <c r="A2225" s="1" t="str">
        <f t="shared" si="34"/>
        <v>50100-810919195-951500461949000</v>
      </c>
      <c r="B2225" s="136" t="s">
        <v>4035</v>
      </c>
      <c r="C2225" s="136" t="s">
        <v>11644</v>
      </c>
      <c r="D2225" s="132" t="s">
        <v>3420</v>
      </c>
      <c r="E2225" s="136" t="s">
        <v>4177</v>
      </c>
      <c r="F2225" s="136" t="s">
        <v>4177</v>
      </c>
      <c r="G2225" s="137">
        <v>1395447373001</v>
      </c>
      <c r="H2225" s="138" t="s">
        <v>6453</v>
      </c>
      <c r="I2225" s="136">
        <v>951500461</v>
      </c>
      <c r="J2225" s="131" t="s">
        <v>4192</v>
      </c>
      <c r="K2225" s="139">
        <v>949000</v>
      </c>
    </row>
    <row r="2226" spans="1:11">
      <c r="A2226" s="1" t="str">
        <f t="shared" si="34"/>
        <v>50100-810922195-9515004591800</v>
      </c>
      <c r="B2226" s="136" t="s">
        <v>4036</v>
      </c>
      <c r="C2226" s="136" t="s">
        <v>11645</v>
      </c>
      <c r="D2226" s="132" t="s">
        <v>3420</v>
      </c>
      <c r="E2226" s="136" t="s">
        <v>4177</v>
      </c>
      <c r="F2226" s="136" t="s">
        <v>4177</v>
      </c>
      <c r="G2226" s="137">
        <v>1395447373001</v>
      </c>
      <c r="H2226" s="138" t="s">
        <v>6453</v>
      </c>
      <c r="I2226" s="136">
        <v>951500459</v>
      </c>
      <c r="J2226" s="131" t="s">
        <v>4241</v>
      </c>
      <c r="K2226" s="139">
        <v>1800</v>
      </c>
    </row>
    <row r="2227" spans="1:11">
      <c r="A2227" s="1" t="str">
        <f t="shared" si="34"/>
        <v>50100-808601795-951500443473775</v>
      </c>
      <c r="B2227" s="136" t="s">
        <v>4034</v>
      </c>
      <c r="C2227" s="136" t="s">
        <v>11643</v>
      </c>
      <c r="D2227" s="132" t="s">
        <v>3420</v>
      </c>
      <c r="E2227" s="136" t="s">
        <v>4180</v>
      </c>
      <c r="F2227" s="136" t="s">
        <v>4180</v>
      </c>
      <c r="G2227" s="137">
        <v>1395447373001</v>
      </c>
      <c r="H2227" s="138" t="s">
        <v>6453</v>
      </c>
      <c r="I2227" s="136">
        <v>951500443</v>
      </c>
      <c r="J2227" s="131" t="s">
        <v>4237</v>
      </c>
      <c r="K2227" s="139">
        <v>473775</v>
      </c>
    </row>
    <row r="2228" spans="1:11">
      <c r="A2228" s="1" t="str">
        <f t="shared" si="34"/>
        <v>50100-808634095-951500434506475</v>
      </c>
      <c r="B2228" s="136" t="s">
        <v>4037</v>
      </c>
      <c r="C2228" s="136" t="s">
        <v>11646</v>
      </c>
      <c r="D2228" s="132" t="s">
        <v>3420</v>
      </c>
      <c r="E2228" s="136" t="s">
        <v>4180</v>
      </c>
      <c r="F2228" s="136" t="s">
        <v>4180</v>
      </c>
      <c r="G2228" s="137">
        <v>1395447373001</v>
      </c>
      <c r="H2228" s="138" t="s">
        <v>6453</v>
      </c>
      <c r="I2228" s="136">
        <v>951500434</v>
      </c>
      <c r="J2228" s="131" t="s">
        <v>4242</v>
      </c>
      <c r="K2228" s="139">
        <v>506475</v>
      </c>
    </row>
    <row r="2229" spans="1:11">
      <c r="A2229" s="1" t="str">
        <f t="shared" si="34"/>
        <v>50100-808634095-951500435489475</v>
      </c>
      <c r="B2229" s="136" t="s">
        <v>4037</v>
      </c>
      <c r="C2229" s="136" t="s">
        <v>11646</v>
      </c>
      <c r="D2229" s="132" t="s">
        <v>3420</v>
      </c>
      <c r="E2229" s="136" t="s">
        <v>4180</v>
      </c>
      <c r="F2229" s="136" t="s">
        <v>4180</v>
      </c>
      <c r="G2229" s="137">
        <v>1395447373001</v>
      </c>
      <c r="H2229" s="138" t="s">
        <v>6453</v>
      </c>
      <c r="I2229" s="136">
        <v>951500435</v>
      </c>
      <c r="J2229" s="131" t="s">
        <v>4243</v>
      </c>
      <c r="K2229" s="139">
        <v>489475</v>
      </c>
    </row>
    <row r="2230" spans="1:11">
      <c r="A2230" s="1" t="str">
        <f t="shared" si="34"/>
        <v>50100-810790995-95250006078100</v>
      </c>
      <c r="B2230" s="136" t="s">
        <v>4038</v>
      </c>
      <c r="C2230" s="136" t="s">
        <v>11647</v>
      </c>
      <c r="D2230" s="132" t="s">
        <v>3420</v>
      </c>
      <c r="E2230" s="136" t="s">
        <v>4177</v>
      </c>
      <c r="F2230" s="136" t="s">
        <v>4177</v>
      </c>
      <c r="G2230" s="137">
        <v>1395436479001</v>
      </c>
      <c r="H2230" s="138" t="s">
        <v>6456</v>
      </c>
      <c r="I2230" s="136">
        <v>952500060</v>
      </c>
      <c r="J2230" s="131" t="s">
        <v>4244</v>
      </c>
      <c r="K2230" s="139">
        <v>78100</v>
      </c>
    </row>
    <row r="2231" spans="1:11">
      <c r="A2231" s="1" t="str">
        <f t="shared" si="34"/>
        <v>50100-808574195-951500416139865</v>
      </c>
      <c r="B2231" s="136" t="s">
        <v>4039</v>
      </c>
      <c r="C2231" s="136" t="s">
        <v>11648</v>
      </c>
      <c r="D2231" s="132" t="s">
        <v>3420</v>
      </c>
      <c r="E2231" s="136" t="s">
        <v>4180</v>
      </c>
      <c r="F2231" s="136" t="s">
        <v>4180</v>
      </c>
      <c r="G2231" s="137">
        <v>1395447373001</v>
      </c>
      <c r="H2231" s="138" t="s">
        <v>6453</v>
      </c>
      <c r="I2231" s="136">
        <v>951500416</v>
      </c>
      <c r="J2231" s="131" t="s">
        <v>4219</v>
      </c>
      <c r="K2231" s="139">
        <v>139865</v>
      </c>
    </row>
    <row r="2232" spans="1:11">
      <c r="A2232" s="1" t="str">
        <f t="shared" si="34"/>
        <v>50100-809898795-952500054391040</v>
      </c>
      <c r="B2232" s="136" t="s">
        <v>4040</v>
      </c>
      <c r="C2232" s="136" t="s">
        <v>11649</v>
      </c>
      <c r="D2232" s="132" t="s">
        <v>3420</v>
      </c>
      <c r="E2232" s="136" t="s">
        <v>4178</v>
      </c>
      <c r="F2232" s="136" t="s">
        <v>4178</v>
      </c>
      <c r="G2232" s="137">
        <v>1395431925001</v>
      </c>
      <c r="H2232" s="138" t="s">
        <v>10183</v>
      </c>
      <c r="I2232" s="136">
        <v>952500054</v>
      </c>
      <c r="J2232" s="131" t="s">
        <v>4245</v>
      </c>
      <c r="K2232" s="139">
        <v>391040</v>
      </c>
    </row>
    <row r="2233" spans="1:11">
      <c r="A2233" s="1" t="str">
        <f t="shared" si="34"/>
        <v>50100-806644395-951500395501875</v>
      </c>
      <c r="B2233" s="136" t="s">
        <v>4041</v>
      </c>
      <c r="C2233" s="136" t="s">
        <v>11650</v>
      </c>
      <c r="D2233" s="132" t="s">
        <v>3420</v>
      </c>
      <c r="E2233" s="136" t="s">
        <v>4181</v>
      </c>
      <c r="F2233" s="136" t="s">
        <v>4181</v>
      </c>
      <c r="G2233" s="137">
        <v>1395437982001</v>
      </c>
      <c r="H2233" s="138" t="s">
        <v>6300</v>
      </c>
      <c r="I2233" s="136">
        <v>951500395</v>
      </c>
      <c r="J2233" s="131" t="s">
        <v>4246</v>
      </c>
      <c r="K2233" s="139">
        <v>501875</v>
      </c>
    </row>
    <row r="2234" spans="1:11">
      <c r="A2234" s="1" t="str">
        <f t="shared" si="34"/>
        <v>50100-810770895-951500448728980</v>
      </c>
      <c r="B2234" s="136" t="s">
        <v>4042</v>
      </c>
      <c r="C2234" s="136" t="s">
        <v>11651</v>
      </c>
      <c r="D2234" s="132" t="s">
        <v>3420</v>
      </c>
      <c r="E2234" s="136" t="s">
        <v>4177</v>
      </c>
      <c r="F2234" s="136" t="s">
        <v>4177</v>
      </c>
      <c r="G2234" s="137">
        <v>1395447374001</v>
      </c>
      <c r="H2234" s="138" t="s">
        <v>6456</v>
      </c>
      <c r="I2234" s="136">
        <v>951500448</v>
      </c>
      <c r="J2234" s="131" t="s">
        <v>4247</v>
      </c>
      <c r="K2234" s="139">
        <v>728980</v>
      </c>
    </row>
    <row r="2235" spans="1:11">
      <c r="A2235" s="1" t="str">
        <f t="shared" si="34"/>
        <v>50100-810770895-9515004463842</v>
      </c>
      <c r="B2235" s="136" t="s">
        <v>4042</v>
      </c>
      <c r="C2235" s="136" t="s">
        <v>11651</v>
      </c>
      <c r="D2235" s="132" t="s">
        <v>3420</v>
      </c>
      <c r="E2235" s="136" t="s">
        <v>4177</v>
      </c>
      <c r="F2235" s="136" t="s">
        <v>4177</v>
      </c>
      <c r="G2235" s="137">
        <v>1395447374001</v>
      </c>
      <c r="H2235" s="138" t="s">
        <v>6456</v>
      </c>
      <c r="I2235" s="136">
        <v>951500446</v>
      </c>
      <c r="J2235" s="131" t="s">
        <v>4222</v>
      </c>
      <c r="K2235" s="139">
        <v>3842</v>
      </c>
    </row>
    <row r="2236" spans="1:11">
      <c r="A2236" s="1" t="str">
        <f t="shared" si="34"/>
        <v>50100-807929695-951500407997950</v>
      </c>
      <c r="B2236" s="136" t="s">
        <v>4043</v>
      </c>
      <c r="C2236" s="136" t="s">
        <v>11652</v>
      </c>
      <c r="D2236" s="132" t="s">
        <v>3420</v>
      </c>
      <c r="E2236" s="136" t="s">
        <v>4176</v>
      </c>
      <c r="F2236" s="136" t="s">
        <v>4176</v>
      </c>
      <c r="G2236" s="137">
        <v>1395447375001</v>
      </c>
      <c r="H2236" s="138" t="s">
        <v>6454</v>
      </c>
      <c r="I2236" s="136">
        <v>951500407</v>
      </c>
      <c r="J2236" s="131" t="s">
        <v>4248</v>
      </c>
      <c r="K2236" s="139">
        <v>997950</v>
      </c>
    </row>
    <row r="2237" spans="1:11">
      <c r="A2237" s="1" t="str">
        <f t="shared" si="34"/>
        <v>50100-810522995-951500266583914</v>
      </c>
      <c r="B2237" s="136" t="s">
        <v>4044</v>
      </c>
      <c r="C2237" s="136" t="s">
        <v>11653</v>
      </c>
      <c r="D2237" s="132" t="s">
        <v>3420</v>
      </c>
      <c r="E2237" s="136" t="s">
        <v>4177</v>
      </c>
      <c r="F2237" s="136" t="s">
        <v>4177</v>
      </c>
      <c r="G2237" s="137">
        <v>1395435642001</v>
      </c>
      <c r="H2237" s="138" t="s">
        <v>10206</v>
      </c>
      <c r="I2237" s="136">
        <v>951500266</v>
      </c>
      <c r="J2237" s="131" t="s">
        <v>4226</v>
      </c>
      <c r="K2237" s="139">
        <v>583914</v>
      </c>
    </row>
    <row r="2238" spans="1:11">
      <c r="A2238" s="1" t="str">
        <f t="shared" si="34"/>
        <v>50100-808661595-9515004072050</v>
      </c>
      <c r="B2238" s="136" t="s">
        <v>4045</v>
      </c>
      <c r="C2238" s="136" t="s">
        <v>11654</v>
      </c>
      <c r="D2238" s="132" t="s">
        <v>3420</v>
      </c>
      <c r="E2238" s="136" t="s">
        <v>4180</v>
      </c>
      <c r="F2238" s="136" t="s">
        <v>4180</v>
      </c>
      <c r="G2238" s="137">
        <v>1395447375001</v>
      </c>
      <c r="H2238" s="138" t="s">
        <v>6454</v>
      </c>
      <c r="I2238" s="136">
        <v>951500407</v>
      </c>
      <c r="J2238" s="131" t="s">
        <v>4248</v>
      </c>
      <c r="K2238" s="139">
        <v>2050</v>
      </c>
    </row>
    <row r="2239" spans="1:11">
      <c r="A2239" s="1" t="str">
        <f t="shared" si="34"/>
        <v>50100-808601795-951500435510525</v>
      </c>
      <c r="B2239" s="136" t="s">
        <v>4034</v>
      </c>
      <c r="C2239" s="136" t="s">
        <v>11643</v>
      </c>
      <c r="D2239" s="132" t="s">
        <v>3420</v>
      </c>
      <c r="E2239" s="136" t="s">
        <v>4180</v>
      </c>
      <c r="F2239" s="136" t="s">
        <v>4180</v>
      </c>
      <c r="G2239" s="137">
        <v>1395447373001</v>
      </c>
      <c r="H2239" s="138" t="s">
        <v>6453</v>
      </c>
      <c r="I2239" s="136">
        <v>951500435</v>
      </c>
      <c r="J2239" s="131" t="s">
        <v>4243</v>
      </c>
      <c r="K2239" s="139">
        <v>510525</v>
      </c>
    </row>
    <row r="2240" spans="1:11">
      <c r="A2240" s="1" t="str">
        <f t="shared" si="34"/>
        <v>50100-808661595-951500434493525</v>
      </c>
      <c r="B2240" s="136" t="s">
        <v>4045</v>
      </c>
      <c r="C2240" s="136" t="s">
        <v>11654</v>
      </c>
      <c r="D2240" s="132" t="s">
        <v>3420</v>
      </c>
      <c r="E2240" s="136" t="s">
        <v>4180</v>
      </c>
      <c r="F2240" s="136" t="s">
        <v>4180</v>
      </c>
      <c r="G2240" s="137">
        <v>1395447373001</v>
      </c>
      <c r="H2240" s="138" t="s">
        <v>6453</v>
      </c>
      <c r="I2240" s="136">
        <v>951500434</v>
      </c>
      <c r="J2240" s="131" t="s">
        <v>4242</v>
      </c>
      <c r="K2240" s="139">
        <v>493525</v>
      </c>
    </row>
    <row r="2241" spans="1:11">
      <c r="A2241" s="1" t="str">
        <f t="shared" si="34"/>
        <v>50100-807764295-9515004458320</v>
      </c>
      <c r="B2241" s="136" t="s">
        <v>4046</v>
      </c>
      <c r="C2241" s="136" t="s">
        <v>11655</v>
      </c>
      <c r="D2241" s="132" t="s">
        <v>3420</v>
      </c>
      <c r="E2241" s="136" t="s">
        <v>4182</v>
      </c>
      <c r="F2241" s="136" t="s">
        <v>4182</v>
      </c>
      <c r="G2241" s="137">
        <v>1395447374001</v>
      </c>
      <c r="H2241" s="138" t="s">
        <v>6456</v>
      </c>
      <c r="I2241" s="136">
        <v>951500445</v>
      </c>
      <c r="J2241" s="131" t="s">
        <v>4207</v>
      </c>
      <c r="K2241" s="139">
        <v>8320</v>
      </c>
    </row>
    <row r="2242" spans="1:11">
      <c r="A2242" s="1" t="str">
        <f t="shared" si="34"/>
        <v>50100-808832495-951500395499590</v>
      </c>
      <c r="B2242" s="136" t="s">
        <v>4047</v>
      </c>
      <c r="C2242" s="136" t="s">
        <v>11656</v>
      </c>
      <c r="D2242" s="132" t="s">
        <v>3420</v>
      </c>
      <c r="E2242" s="136" t="s">
        <v>4180</v>
      </c>
      <c r="F2242" s="136" t="s">
        <v>4180</v>
      </c>
      <c r="G2242" s="137">
        <v>1395437982001</v>
      </c>
      <c r="H2242" s="138" t="s">
        <v>6300</v>
      </c>
      <c r="I2242" s="136">
        <v>951500395</v>
      </c>
      <c r="J2242" s="131" t="s">
        <v>4246</v>
      </c>
      <c r="K2242" s="139">
        <v>499590</v>
      </c>
    </row>
    <row r="2243" spans="1:11">
      <c r="A2243" s="1" t="str">
        <f t="shared" ref="A2243:A2306" si="35">B2243&amp;J2243&amp;K2243</f>
        <v>50100-809102495-951500447998250</v>
      </c>
      <c r="B2243" s="136" t="s">
        <v>4048</v>
      </c>
      <c r="C2243" s="136" t="s">
        <v>11657</v>
      </c>
      <c r="D2243" s="132" t="s">
        <v>3420</v>
      </c>
      <c r="E2243" s="136" t="s">
        <v>4183</v>
      </c>
      <c r="F2243" s="141" t="s">
        <v>4183</v>
      </c>
      <c r="G2243" s="137">
        <v>1395449243001</v>
      </c>
      <c r="H2243" s="140" t="s">
        <v>9897</v>
      </c>
      <c r="I2243" s="141">
        <v>951500447</v>
      </c>
      <c r="J2243" s="131" t="s">
        <v>4231</v>
      </c>
      <c r="K2243" s="139">
        <v>998250</v>
      </c>
    </row>
    <row r="2244" spans="1:11">
      <c r="A2244" s="1" t="str">
        <f t="shared" si="35"/>
        <v>50100-810919195-95150046048260</v>
      </c>
      <c r="B2244" s="136" t="s">
        <v>4035</v>
      </c>
      <c r="C2244" s="136" t="s">
        <v>11644</v>
      </c>
      <c r="D2244" s="132" t="s">
        <v>3420</v>
      </c>
      <c r="E2244" s="136" t="s">
        <v>4177</v>
      </c>
      <c r="F2244" s="136" t="s">
        <v>4177</v>
      </c>
      <c r="G2244" s="137">
        <v>1395447373001</v>
      </c>
      <c r="H2244" s="138" t="s">
        <v>6453</v>
      </c>
      <c r="I2244" s="136">
        <v>951500460</v>
      </c>
      <c r="J2244" s="131" t="s">
        <v>4236</v>
      </c>
      <c r="K2244" s="139">
        <v>48260</v>
      </c>
    </row>
    <row r="2245" spans="1:11">
      <c r="A2245" s="1" t="str">
        <f t="shared" si="35"/>
        <v>50100-809689995-951500471181690</v>
      </c>
      <c r="B2245" s="136" t="s">
        <v>4049</v>
      </c>
      <c r="C2245" s="136" t="s">
        <v>11658</v>
      </c>
      <c r="D2245" s="132" t="s">
        <v>3420</v>
      </c>
      <c r="E2245" s="136" t="s">
        <v>4179</v>
      </c>
      <c r="F2245" s="136" t="s">
        <v>4179</v>
      </c>
      <c r="G2245" s="137">
        <v>1395450760001</v>
      </c>
      <c r="H2245" s="138" t="s">
        <v>6301</v>
      </c>
      <c r="I2245" s="136">
        <v>951500471</v>
      </c>
      <c r="J2245" s="131" t="s">
        <v>4223</v>
      </c>
      <c r="K2245" s="139">
        <v>181690</v>
      </c>
    </row>
    <row r="2246" spans="1:11">
      <c r="A2246" s="1" t="str">
        <f t="shared" si="35"/>
        <v>50100-809684895-951500395117407</v>
      </c>
      <c r="B2246" s="136" t="s">
        <v>4050</v>
      </c>
      <c r="C2246" s="136" t="s">
        <v>11659</v>
      </c>
      <c r="D2246" s="132" t="s">
        <v>3420</v>
      </c>
      <c r="E2246" s="136" t="s">
        <v>4179</v>
      </c>
      <c r="F2246" s="136" t="s">
        <v>4179</v>
      </c>
      <c r="G2246" s="137">
        <v>1395437982001</v>
      </c>
      <c r="H2246" s="138" t="s">
        <v>6300</v>
      </c>
      <c r="I2246" s="136">
        <v>951500395</v>
      </c>
      <c r="J2246" s="131" t="s">
        <v>4246</v>
      </c>
      <c r="K2246" s="139">
        <v>117407</v>
      </c>
    </row>
    <row r="2247" spans="1:11">
      <c r="A2247" s="1" t="str">
        <f t="shared" si="35"/>
        <v>50100-809684895-951500415262353</v>
      </c>
      <c r="B2247" s="136" t="s">
        <v>4050</v>
      </c>
      <c r="C2247" s="136" t="s">
        <v>11659</v>
      </c>
      <c r="D2247" s="132" t="s">
        <v>3420</v>
      </c>
      <c r="E2247" s="136" t="s">
        <v>4179</v>
      </c>
      <c r="F2247" s="136" t="s">
        <v>4179</v>
      </c>
      <c r="G2247" s="137">
        <v>1395438160001</v>
      </c>
      <c r="H2247" s="138" t="s">
        <v>6300</v>
      </c>
      <c r="I2247" s="136">
        <v>951500415</v>
      </c>
      <c r="J2247" s="131" t="s">
        <v>4195</v>
      </c>
      <c r="K2247" s="139">
        <v>262353</v>
      </c>
    </row>
    <row r="2248" spans="1:11">
      <c r="A2248" s="1" t="str">
        <f t="shared" si="35"/>
        <v>50100-807393595-9541000192790187</v>
      </c>
      <c r="B2248" s="136" t="s">
        <v>4051</v>
      </c>
      <c r="C2248" s="136" t="s">
        <v>11660</v>
      </c>
      <c r="D2248" s="132" t="s">
        <v>3420</v>
      </c>
      <c r="E2248" s="136" t="s">
        <v>4182</v>
      </c>
      <c r="F2248" s="136" t="s">
        <v>4182</v>
      </c>
      <c r="G2248" s="137">
        <v>1395441907001</v>
      </c>
      <c r="H2248" s="138" t="s">
        <v>10183</v>
      </c>
      <c r="I2248" s="136">
        <v>954100019</v>
      </c>
      <c r="J2248" s="131" t="s">
        <v>4249</v>
      </c>
      <c r="K2248" s="139">
        <v>2790187</v>
      </c>
    </row>
    <row r="2249" spans="1:11">
      <c r="A2249" s="1" t="str">
        <f t="shared" si="35"/>
        <v>50100-809689995-951500441309170</v>
      </c>
      <c r="B2249" s="136" t="s">
        <v>4049</v>
      </c>
      <c r="C2249" s="136" t="s">
        <v>11658</v>
      </c>
      <c r="D2249" s="132" t="s">
        <v>3420</v>
      </c>
      <c r="E2249" s="136" t="s">
        <v>4179</v>
      </c>
      <c r="F2249" s="136" t="s">
        <v>4179</v>
      </c>
      <c r="G2249" s="137">
        <v>1395447377001</v>
      </c>
      <c r="H2249" s="138" t="s">
        <v>6301</v>
      </c>
      <c r="I2249" s="136">
        <v>951500441</v>
      </c>
      <c r="J2249" s="131" t="s">
        <v>4250</v>
      </c>
      <c r="K2249" s="139">
        <v>309170</v>
      </c>
    </row>
    <row r="2250" spans="1:11">
      <c r="A2250" s="1" t="str">
        <f t="shared" si="35"/>
        <v>50100-809684895-951500383122940</v>
      </c>
      <c r="B2250" s="136" t="s">
        <v>4050</v>
      </c>
      <c r="C2250" s="136" t="s">
        <v>11659</v>
      </c>
      <c r="D2250" s="132" t="s">
        <v>3420</v>
      </c>
      <c r="E2250" s="136" t="s">
        <v>4179</v>
      </c>
      <c r="F2250" s="136" t="s">
        <v>4179</v>
      </c>
      <c r="G2250" s="137">
        <v>1395436479001</v>
      </c>
      <c r="H2250" s="138" t="s">
        <v>6456</v>
      </c>
      <c r="I2250" s="136">
        <v>951500383</v>
      </c>
      <c r="J2250" s="131" t="s">
        <v>4251</v>
      </c>
      <c r="K2250" s="139">
        <v>122940</v>
      </c>
    </row>
    <row r="2251" spans="1:11">
      <c r="A2251" s="1" t="str">
        <f t="shared" si="35"/>
        <v>5100-807967295-9515003935800</v>
      </c>
      <c r="B2251" s="136" t="s">
        <v>11661</v>
      </c>
      <c r="C2251" s="136" t="s">
        <v>11662</v>
      </c>
      <c r="D2251" s="132" t="s">
        <v>3420</v>
      </c>
      <c r="E2251" s="136" t="s">
        <v>4176</v>
      </c>
      <c r="F2251" s="136" t="s">
        <v>4176</v>
      </c>
      <c r="G2251" s="137">
        <v>1395431925001</v>
      </c>
      <c r="H2251" s="138" t="s">
        <v>10183</v>
      </c>
      <c r="I2251" s="136">
        <v>951500393</v>
      </c>
      <c r="J2251" s="131" t="s">
        <v>4252</v>
      </c>
      <c r="K2251" s="139">
        <v>5800</v>
      </c>
    </row>
    <row r="2252" spans="1:11">
      <c r="A2252" s="1" t="str">
        <f t="shared" si="35"/>
        <v>50100-810642495-952500064984956</v>
      </c>
      <c r="B2252" s="136" t="s">
        <v>4053</v>
      </c>
      <c r="C2252" s="136" t="s">
        <v>11663</v>
      </c>
      <c r="D2252" s="132" t="s">
        <v>3420</v>
      </c>
      <c r="E2252" s="136" t="s">
        <v>4177</v>
      </c>
      <c r="F2252" s="136" t="s">
        <v>4177</v>
      </c>
      <c r="G2252" s="137">
        <v>1395437986001</v>
      </c>
      <c r="H2252" s="138" t="s">
        <v>10183</v>
      </c>
      <c r="I2252" s="136">
        <v>952500064</v>
      </c>
      <c r="J2252" s="131" t="s">
        <v>4189</v>
      </c>
      <c r="K2252" s="139">
        <v>984956</v>
      </c>
    </row>
    <row r="2253" spans="1:11">
      <c r="A2253" s="1" t="str">
        <f t="shared" si="35"/>
        <v>5100-807967295-95150037762031</v>
      </c>
      <c r="B2253" s="136" t="s">
        <v>11661</v>
      </c>
      <c r="C2253" s="136" t="s">
        <v>11662</v>
      </c>
      <c r="D2253" s="132" t="s">
        <v>3420</v>
      </c>
      <c r="E2253" s="136" t="s">
        <v>4176</v>
      </c>
      <c r="F2253" s="136" t="s">
        <v>4176</v>
      </c>
      <c r="G2253" s="137">
        <v>1395426991001</v>
      </c>
      <c r="H2253" s="138" t="s">
        <v>10183</v>
      </c>
      <c r="I2253" s="136">
        <v>951500377</v>
      </c>
      <c r="J2253" s="131" t="s">
        <v>4253</v>
      </c>
      <c r="K2253" s="139">
        <v>62031</v>
      </c>
    </row>
    <row r="2254" spans="1:11">
      <c r="A2254" s="1" t="str">
        <f t="shared" si="35"/>
        <v>50100-805645695-951500316190260</v>
      </c>
      <c r="B2254" s="136" t="s">
        <v>4054</v>
      </c>
      <c r="C2254" s="136" t="s">
        <v>11664</v>
      </c>
      <c r="D2254" s="132" t="s">
        <v>3420</v>
      </c>
      <c r="E2254" s="136" t="s">
        <v>3937</v>
      </c>
      <c r="F2254" s="136" t="s">
        <v>3937</v>
      </c>
      <c r="G2254" s="137">
        <v>1395436479001</v>
      </c>
      <c r="H2254" s="138" t="s">
        <v>6456</v>
      </c>
      <c r="I2254" s="136">
        <v>951500316</v>
      </c>
      <c r="J2254" s="131" t="s">
        <v>4254</v>
      </c>
      <c r="K2254" s="139">
        <v>190260</v>
      </c>
    </row>
    <row r="2255" spans="1:11">
      <c r="A2255" s="1" t="str">
        <f t="shared" si="35"/>
        <v>50100-805645695-9525000318350</v>
      </c>
      <c r="B2255" s="136" t="s">
        <v>4054</v>
      </c>
      <c r="C2255" s="136" t="s">
        <v>11664</v>
      </c>
      <c r="D2255" s="132" t="s">
        <v>3420</v>
      </c>
      <c r="E2255" s="136" t="s">
        <v>3937</v>
      </c>
      <c r="F2255" s="136" t="s">
        <v>3937</v>
      </c>
      <c r="G2255" s="137">
        <v>1395421206001</v>
      </c>
      <c r="H2255" s="138" t="s">
        <v>6298</v>
      </c>
      <c r="I2255" s="136">
        <v>952500031</v>
      </c>
      <c r="J2255" s="131" t="s">
        <v>4255</v>
      </c>
      <c r="K2255" s="139">
        <v>8350</v>
      </c>
    </row>
    <row r="2256" spans="1:11">
      <c r="A2256" s="1" t="str">
        <f t="shared" si="35"/>
        <v>50100-807717295-95250003191528</v>
      </c>
      <c r="B2256" s="136" t="s">
        <v>4055</v>
      </c>
      <c r="C2256" s="136" t="s">
        <v>11665</v>
      </c>
      <c r="D2256" s="132" t="s">
        <v>3420</v>
      </c>
      <c r="E2256" s="136" t="s">
        <v>4182</v>
      </c>
      <c r="F2256" s="136" t="s">
        <v>4182</v>
      </c>
      <c r="G2256" s="137">
        <v>1395421206001</v>
      </c>
      <c r="H2256" s="138" t="s">
        <v>6298</v>
      </c>
      <c r="I2256" s="136">
        <v>952500031</v>
      </c>
      <c r="J2256" s="131" t="s">
        <v>4255</v>
      </c>
      <c r="K2256" s="139">
        <v>91528</v>
      </c>
    </row>
    <row r="2257" spans="1:11">
      <c r="A2257" s="1" t="str">
        <f t="shared" si="35"/>
        <v>5100-807967295-9515002591646</v>
      </c>
      <c r="B2257" s="136" t="s">
        <v>11661</v>
      </c>
      <c r="C2257" s="136" t="s">
        <v>11662</v>
      </c>
      <c r="D2257" s="132" t="s">
        <v>3420</v>
      </c>
      <c r="E2257" s="136" t="s">
        <v>4176</v>
      </c>
      <c r="F2257" s="136" t="s">
        <v>4176</v>
      </c>
      <c r="G2257" s="137">
        <v>1395431925001</v>
      </c>
      <c r="H2257" s="138" t="s">
        <v>10183</v>
      </c>
      <c r="I2257" s="136">
        <v>951500259</v>
      </c>
      <c r="J2257" s="131" t="s">
        <v>3730</v>
      </c>
      <c r="K2257" s="139">
        <v>1646</v>
      </c>
    </row>
    <row r="2258" spans="1:11">
      <c r="A2258" s="1" t="str">
        <f t="shared" si="35"/>
        <v>50100-806322295-951500395496850</v>
      </c>
      <c r="B2258" s="136" t="s">
        <v>4056</v>
      </c>
      <c r="C2258" s="136" t="s">
        <v>11666</v>
      </c>
      <c r="D2258" s="132" t="s">
        <v>3420</v>
      </c>
      <c r="E2258" s="136" t="s">
        <v>4184</v>
      </c>
      <c r="F2258" s="136" t="s">
        <v>4184</v>
      </c>
      <c r="G2258" s="137">
        <v>1395437982001</v>
      </c>
      <c r="H2258" s="138" t="s">
        <v>6300</v>
      </c>
      <c r="I2258" s="136">
        <v>951500395</v>
      </c>
      <c r="J2258" s="131" t="s">
        <v>4246</v>
      </c>
      <c r="K2258" s="139">
        <v>496850</v>
      </c>
    </row>
    <row r="2259" spans="1:11">
      <c r="A2259" s="1" t="str">
        <f t="shared" si="35"/>
        <v>50100-810933595-951500367300000</v>
      </c>
      <c r="B2259" s="136" t="s">
        <v>4057</v>
      </c>
      <c r="C2259" s="136" t="s">
        <v>11667</v>
      </c>
      <c r="D2259" s="132" t="s">
        <v>3420</v>
      </c>
      <c r="E2259" s="136" t="s">
        <v>4177</v>
      </c>
      <c r="F2259" s="136" t="s">
        <v>4177</v>
      </c>
      <c r="G2259" s="137">
        <v>1395438159001</v>
      </c>
      <c r="H2259" s="138" t="s">
        <v>6298</v>
      </c>
      <c r="I2259" s="136">
        <v>951500367</v>
      </c>
      <c r="J2259" s="131" t="s">
        <v>4256</v>
      </c>
      <c r="K2259" s="139">
        <v>300000</v>
      </c>
    </row>
    <row r="2260" spans="1:11">
      <c r="A2260" s="1" t="str">
        <f t="shared" si="35"/>
        <v>50100-808806195-951500441990810</v>
      </c>
      <c r="B2260" s="136" t="s">
        <v>4058</v>
      </c>
      <c r="C2260" s="136" t="s">
        <v>11668</v>
      </c>
      <c r="D2260" s="132" t="s">
        <v>3420</v>
      </c>
      <c r="E2260" s="136" t="s">
        <v>4180</v>
      </c>
      <c r="F2260" s="136" t="s">
        <v>4180</v>
      </c>
      <c r="G2260" s="137">
        <v>1395447377001</v>
      </c>
      <c r="H2260" s="138" t="s">
        <v>6301</v>
      </c>
      <c r="I2260" s="136">
        <v>951500441</v>
      </c>
      <c r="J2260" s="131" t="s">
        <v>4250</v>
      </c>
      <c r="K2260" s="139">
        <v>990810</v>
      </c>
    </row>
    <row r="2261" spans="1:11">
      <c r="A2261" s="1" t="str">
        <f t="shared" si="35"/>
        <v>50100-808818395-951500441980020</v>
      </c>
      <c r="B2261" s="136" t="s">
        <v>4059</v>
      </c>
      <c r="C2261" s="136" t="s">
        <v>11669</v>
      </c>
      <c r="D2261" s="132" t="s">
        <v>3420</v>
      </c>
      <c r="E2261" s="136" t="s">
        <v>4180</v>
      </c>
      <c r="F2261" s="136" t="s">
        <v>4180</v>
      </c>
      <c r="G2261" s="137">
        <v>1395447377001</v>
      </c>
      <c r="H2261" s="138" t="s">
        <v>6301</v>
      </c>
      <c r="I2261" s="136">
        <v>951500441</v>
      </c>
      <c r="J2261" s="131" t="s">
        <v>4250</v>
      </c>
      <c r="K2261" s="139">
        <v>980020</v>
      </c>
    </row>
    <row r="2262" spans="1:11">
      <c r="A2262" s="1" t="str">
        <f t="shared" si="35"/>
        <v>50100-807764295-95150026791665</v>
      </c>
      <c r="B2262" s="136" t="s">
        <v>4046</v>
      </c>
      <c r="C2262" s="136" t="s">
        <v>11655</v>
      </c>
      <c r="D2262" s="132" t="s">
        <v>3420</v>
      </c>
      <c r="E2262" s="136" t="s">
        <v>4182</v>
      </c>
      <c r="F2262" s="136" t="s">
        <v>4182</v>
      </c>
      <c r="G2262" s="137">
        <v>1395435642001</v>
      </c>
      <c r="H2262" s="138" t="s">
        <v>10206</v>
      </c>
      <c r="I2262" s="136">
        <v>951500267</v>
      </c>
      <c r="J2262" s="131" t="s">
        <v>3890</v>
      </c>
      <c r="K2262" s="139">
        <v>91665</v>
      </c>
    </row>
    <row r="2263" spans="1:11">
      <c r="A2263" s="1" t="str">
        <f t="shared" si="35"/>
        <v>50100-810083995-951500415502000</v>
      </c>
      <c r="B2263" s="136" t="s">
        <v>4060</v>
      </c>
      <c r="C2263" s="136" t="s">
        <v>11670</v>
      </c>
      <c r="D2263" s="132" t="s">
        <v>3420</v>
      </c>
      <c r="E2263" s="136" t="s">
        <v>4178</v>
      </c>
      <c r="F2263" s="136" t="s">
        <v>4178</v>
      </c>
      <c r="G2263" s="137">
        <v>1395438160001</v>
      </c>
      <c r="H2263" s="138" t="s">
        <v>6300</v>
      </c>
      <c r="I2263" s="136">
        <v>951500415</v>
      </c>
      <c r="J2263" s="131" t="s">
        <v>4195</v>
      </c>
      <c r="K2263" s="139">
        <v>502000</v>
      </c>
    </row>
    <row r="2264" spans="1:11">
      <c r="A2264" s="1" t="str">
        <f t="shared" si="35"/>
        <v>50100-810915595-951500460497135</v>
      </c>
      <c r="B2264" s="136" t="s">
        <v>4061</v>
      </c>
      <c r="C2264" s="136" t="s">
        <v>11671</v>
      </c>
      <c r="D2264" s="132" t="s">
        <v>3420</v>
      </c>
      <c r="E2264" s="136" t="s">
        <v>4177</v>
      </c>
      <c r="F2264" s="136" t="s">
        <v>4177</v>
      </c>
      <c r="G2264" s="137">
        <v>1395447373001</v>
      </c>
      <c r="H2264" s="138" t="s">
        <v>6453</v>
      </c>
      <c r="I2264" s="136">
        <v>951500460</v>
      </c>
      <c r="J2264" s="131" t="s">
        <v>4236</v>
      </c>
      <c r="K2264" s="139">
        <v>497135</v>
      </c>
    </row>
    <row r="2265" spans="1:11">
      <c r="A2265" s="1" t="str">
        <f t="shared" si="35"/>
        <v>50100-810933595-95150032151700</v>
      </c>
      <c r="B2265" s="136" t="s">
        <v>4057</v>
      </c>
      <c r="C2265" s="136" t="s">
        <v>11667</v>
      </c>
      <c r="D2265" s="132" t="s">
        <v>3420</v>
      </c>
      <c r="E2265" s="136" t="s">
        <v>4177</v>
      </c>
      <c r="F2265" s="136" t="s">
        <v>4177</v>
      </c>
      <c r="G2265" s="137">
        <v>1395438159001</v>
      </c>
      <c r="H2265" s="138" t="s">
        <v>6298</v>
      </c>
      <c r="I2265" s="136">
        <v>951500321</v>
      </c>
      <c r="J2265" s="131" t="s">
        <v>4257</v>
      </c>
      <c r="K2265" s="139">
        <v>51700</v>
      </c>
    </row>
    <row r="2266" spans="1:11">
      <c r="A2266" s="1" t="str">
        <f t="shared" si="35"/>
        <v>5100-807967295-95150037874323</v>
      </c>
      <c r="B2266" s="136" t="s">
        <v>11661</v>
      </c>
      <c r="C2266" s="136" t="s">
        <v>11662</v>
      </c>
      <c r="D2266" s="132" t="s">
        <v>3420</v>
      </c>
      <c r="E2266" s="136" t="s">
        <v>4176</v>
      </c>
      <c r="F2266" s="136" t="s">
        <v>4176</v>
      </c>
      <c r="G2266" s="137">
        <v>1395418115001</v>
      </c>
      <c r="H2266" s="138" t="s">
        <v>10183</v>
      </c>
      <c r="I2266" s="136">
        <v>951500378</v>
      </c>
      <c r="J2266" s="131" t="s">
        <v>4258</v>
      </c>
      <c r="K2266" s="139">
        <v>74323</v>
      </c>
    </row>
    <row r="2267" spans="1:11">
      <c r="A2267" s="1" t="str">
        <f t="shared" si="35"/>
        <v>50100-809852095-951500447489500</v>
      </c>
      <c r="B2267" s="136" t="s">
        <v>4062</v>
      </c>
      <c r="C2267" s="136" t="s">
        <v>11672</v>
      </c>
      <c r="D2267" s="132" t="s">
        <v>3420</v>
      </c>
      <c r="E2267" s="136" t="s">
        <v>4178</v>
      </c>
      <c r="F2267" s="141" t="s">
        <v>4178</v>
      </c>
      <c r="G2267" s="137">
        <v>1395449243001</v>
      </c>
      <c r="H2267" s="140" t="s">
        <v>9897</v>
      </c>
      <c r="I2267" s="141">
        <v>951500447</v>
      </c>
      <c r="J2267" s="131" t="s">
        <v>4231</v>
      </c>
      <c r="K2267" s="139">
        <v>489500</v>
      </c>
    </row>
    <row r="2268" spans="1:11">
      <c r="A2268" s="1" t="str">
        <f t="shared" si="35"/>
        <v>50100-808766395-952500058491287</v>
      </c>
      <c r="B2268" s="136" t="s">
        <v>4063</v>
      </c>
      <c r="C2268" s="136" t="s">
        <v>11673</v>
      </c>
      <c r="D2268" s="132" t="s">
        <v>3420</v>
      </c>
      <c r="E2268" s="136" t="s">
        <v>4180</v>
      </c>
      <c r="F2268" s="136" t="s">
        <v>4180</v>
      </c>
      <c r="G2268" s="137">
        <v>1395447376001</v>
      </c>
      <c r="H2268" s="138" t="s">
        <v>11674</v>
      </c>
      <c r="I2268" s="136">
        <v>952500058</v>
      </c>
      <c r="J2268" s="131" t="s">
        <v>4220</v>
      </c>
      <c r="K2268" s="139">
        <v>491287</v>
      </c>
    </row>
    <row r="2269" spans="1:11">
      <c r="A2269" s="1" t="str">
        <f t="shared" si="35"/>
        <v>50100-809694795-951500471502016</v>
      </c>
      <c r="B2269" s="136" t="s">
        <v>4064</v>
      </c>
      <c r="C2269" s="136" t="s">
        <v>11675</v>
      </c>
      <c r="D2269" s="132" t="s">
        <v>3420</v>
      </c>
      <c r="E2269" s="136" t="s">
        <v>4179</v>
      </c>
      <c r="F2269" s="136" t="s">
        <v>4179</v>
      </c>
      <c r="G2269" s="137">
        <v>1395450760001</v>
      </c>
      <c r="H2269" s="138" t="s">
        <v>6301</v>
      </c>
      <c r="I2269" s="136">
        <v>951500471</v>
      </c>
      <c r="J2269" s="131" t="s">
        <v>4223</v>
      </c>
      <c r="K2269" s="139">
        <v>502016</v>
      </c>
    </row>
    <row r="2270" spans="1:11">
      <c r="A2270" s="1" t="str">
        <f t="shared" si="35"/>
        <v>50100-809869395-951500447299640</v>
      </c>
      <c r="B2270" s="136" t="s">
        <v>4065</v>
      </c>
      <c r="C2270" s="136" t="s">
        <v>11676</v>
      </c>
      <c r="D2270" s="132" t="s">
        <v>3420</v>
      </c>
      <c r="E2270" s="136" t="s">
        <v>4178</v>
      </c>
      <c r="F2270" s="141" t="s">
        <v>4178</v>
      </c>
      <c r="G2270" s="137">
        <v>1395449243001</v>
      </c>
      <c r="H2270" s="140" t="s">
        <v>9897</v>
      </c>
      <c r="I2270" s="141">
        <v>951500447</v>
      </c>
      <c r="J2270" s="131" t="s">
        <v>4231</v>
      </c>
      <c r="K2270" s="139">
        <v>299640</v>
      </c>
    </row>
    <row r="2271" spans="1:11">
      <c r="A2271" s="1" t="str">
        <f t="shared" si="35"/>
        <v>50100-808497495-951500321198300</v>
      </c>
      <c r="B2271" s="136" t="s">
        <v>4066</v>
      </c>
      <c r="C2271" s="136" t="s">
        <v>11677</v>
      </c>
      <c r="D2271" s="132" t="s">
        <v>3420</v>
      </c>
      <c r="E2271" s="136" t="s">
        <v>4176</v>
      </c>
      <c r="F2271" s="136" t="s">
        <v>4176</v>
      </c>
      <c r="G2271" s="137">
        <v>1395438159001</v>
      </c>
      <c r="H2271" s="138" t="s">
        <v>6298</v>
      </c>
      <c r="I2271" s="136">
        <v>951500321</v>
      </c>
      <c r="J2271" s="131" t="s">
        <v>4257</v>
      </c>
      <c r="K2271" s="139">
        <v>198300</v>
      </c>
    </row>
    <row r="2272" spans="1:11">
      <c r="A2272" s="1" t="str">
        <f t="shared" si="35"/>
        <v>50100-808560095-951500424498900</v>
      </c>
      <c r="B2272" s="136" t="s">
        <v>4067</v>
      </c>
      <c r="C2272" s="136" t="s">
        <v>11678</v>
      </c>
      <c r="D2272" s="132" t="s">
        <v>3420</v>
      </c>
      <c r="E2272" s="136" t="s">
        <v>4180</v>
      </c>
      <c r="F2272" s="136" t="s">
        <v>4180</v>
      </c>
      <c r="G2272" s="137">
        <v>1395447373001</v>
      </c>
      <c r="H2272" s="138" t="s">
        <v>6453</v>
      </c>
      <c r="I2272" s="136">
        <v>951500424</v>
      </c>
      <c r="J2272" s="131" t="s">
        <v>4259</v>
      </c>
      <c r="K2272" s="139">
        <v>498900</v>
      </c>
    </row>
    <row r="2273" spans="1:11">
      <c r="A2273" s="1" t="str">
        <f t="shared" si="35"/>
        <v>50100-810572395-951500424501100</v>
      </c>
      <c r="B2273" s="136" t="s">
        <v>4068</v>
      </c>
      <c r="C2273" s="136" t="s">
        <v>11679</v>
      </c>
      <c r="D2273" s="132" t="s">
        <v>3420</v>
      </c>
      <c r="E2273" s="136" t="s">
        <v>4177</v>
      </c>
      <c r="F2273" s="136" t="s">
        <v>4177</v>
      </c>
      <c r="G2273" s="137">
        <v>1395447373001</v>
      </c>
      <c r="H2273" s="138" t="s">
        <v>6453</v>
      </c>
      <c r="I2273" s="136">
        <v>951500424</v>
      </c>
      <c r="J2273" s="131" t="s">
        <v>4259</v>
      </c>
      <c r="K2273" s="139">
        <v>501100</v>
      </c>
    </row>
    <row r="2274" spans="1:11">
      <c r="A2274" s="1" t="str">
        <f t="shared" si="35"/>
        <v>50100-810933595-95150041328800</v>
      </c>
      <c r="B2274" s="136" t="s">
        <v>4057</v>
      </c>
      <c r="C2274" s="136" t="s">
        <v>11667</v>
      </c>
      <c r="D2274" s="132" t="s">
        <v>3420</v>
      </c>
      <c r="E2274" s="136" t="s">
        <v>4177</v>
      </c>
      <c r="F2274" s="136" t="s">
        <v>4177</v>
      </c>
      <c r="G2274" s="137">
        <v>1395447369001</v>
      </c>
      <c r="H2274" s="138" t="s">
        <v>6298</v>
      </c>
      <c r="I2274" s="136">
        <v>951500413</v>
      </c>
      <c r="J2274" s="131" t="s">
        <v>4197</v>
      </c>
      <c r="K2274" s="139">
        <v>28800</v>
      </c>
    </row>
    <row r="2275" spans="1:11">
      <c r="A2275" s="1" t="str">
        <f t="shared" si="35"/>
        <v>50100-810717195-952500067490582</v>
      </c>
      <c r="B2275" s="136" t="s">
        <v>4069</v>
      </c>
      <c r="C2275" s="136" t="s">
        <v>11680</v>
      </c>
      <c r="D2275" s="132" t="s">
        <v>3420</v>
      </c>
      <c r="E2275" s="136" t="s">
        <v>4185</v>
      </c>
      <c r="F2275" s="136" t="s">
        <v>4185</v>
      </c>
      <c r="G2275" s="137">
        <v>1395447929001</v>
      </c>
      <c r="H2275" s="138" t="s">
        <v>11619</v>
      </c>
      <c r="I2275" s="136">
        <v>952500067</v>
      </c>
      <c r="J2275" s="131" t="s">
        <v>4204</v>
      </c>
      <c r="K2275" s="139">
        <v>490582</v>
      </c>
    </row>
    <row r="2276" spans="1:11">
      <c r="A2276" s="1" t="str">
        <f t="shared" si="35"/>
        <v>50100-809141095-951500395496480</v>
      </c>
      <c r="B2276" s="136" t="s">
        <v>4070</v>
      </c>
      <c r="C2276" s="136" t="s">
        <v>11681</v>
      </c>
      <c r="D2276" s="132" t="s">
        <v>3420</v>
      </c>
      <c r="E2276" s="136" t="s">
        <v>4183</v>
      </c>
      <c r="F2276" s="136" t="s">
        <v>4183</v>
      </c>
      <c r="G2276" s="137">
        <v>1395437982001</v>
      </c>
      <c r="H2276" s="138" t="s">
        <v>6300</v>
      </c>
      <c r="I2276" s="136">
        <v>951500395</v>
      </c>
      <c r="J2276" s="131" t="s">
        <v>4246</v>
      </c>
      <c r="K2276" s="139">
        <v>496480</v>
      </c>
    </row>
    <row r="2277" spans="1:11">
      <c r="A2277" s="1" t="str">
        <f t="shared" si="35"/>
        <v>50100-810572395-951500369500</v>
      </c>
      <c r="B2277" s="136" t="s">
        <v>4068</v>
      </c>
      <c r="C2277" s="136" t="s">
        <v>11679</v>
      </c>
      <c r="D2277" s="132" t="s">
        <v>3420</v>
      </c>
      <c r="E2277" s="136" t="s">
        <v>4177</v>
      </c>
      <c r="F2277" s="136" t="s">
        <v>4177</v>
      </c>
      <c r="G2277" s="137">
        <v>1395438159001</v>
      </c>
      <c r="H2277" s="138" t="s">
        <v>6298</v>
      </c>
      <c r="I2277" s="136">
        <v>951500369</v>
      </c>
      <c r="J2277" s="131" t="s">
        <v>3961</v>
      </c>
      <c r="K2277" s="139">
        <v>500</v>
      </c>
    </row>
    <row r="2278" spans="1:11">
      <c r="A2278" s="1" t="str">
        <f t="shared" si="35"/>
        <v>50100-808685295-951500416496805</v>
      </c>
      <c r="B2278" s="136" t="s">
        <v>4071</v>
      </c>
      <c r="C2278" s="136" t="s">
        <v>11682</v>
      </c>
      <c r="D2278" s="132" t="s">
        <v>3420</v>
      </c>
      <c r="E2278" s="136" t="s">
        <v>4180</v>
      </c>
      <c r="F2278" s="136" t="s">
        <v>4180</v>
      </c>
      <c r="G2278" s="137">
        <v>1395447373001</v>
      </c>
      <c r="H2278" s="138" t="s">
        <v>6453</v>
      </c>
      <c r="I2278" s="136">
        <v>951500416</v>
      </c>
      <c r="J2278" s="131" t="s">
        <v>4219</v>
      </c>
      <c r="K2278" s="139">
        <v>496805</v>
      </c>
    </row>
    <row r="2279" spans="1:11">
      <c r="A2279" s="1" t="str">
        <f t="shared" si="35"/>
        <v>50100-810922195-9515004871000000</v>
      </c>
      <c r="B2279" s="136" t="s">
        <v>4036</v>
      </c>
      <c r="C2279" s="136" t="s">
        <v>11645</v>
      </c>
      <c r="D2279" s="132" t="s">
        <v>3420</v>
      </c>
      <c r="E2279" s="136" t="s">
        <v>4177</v>
      </c>
      <c r="F2279" s="136" t="s">
        <v>4177</v>
      </c>
      <c r="G2279" s="137">
        <v>1395447373001</v>
      </c>
      <c r="H2279" s="138" t="s">
        <v>6453</v>
      </c>
      <c r="I2279" s="136">
        <v>951500487</v>
      </c>
      <c r="J2279" s="131" t="s">
        <v>4260</v>
      </c>
      <c r="K2279" s="139">
        <v>1000000</v>
      </c>
    </row>
    <row r="2280" spans="1:11">
      <c r="A2280" s="1" t="str">
        <f t="shared" si="35"/>
        <v>50100-809695095-9515004711033871</v>
      </c>
      <c r="B2280" s="136" t="s">
        <v>4072</v>
      </c>
      <c r="C2280" s="136" t="s">
        <v>11683</v>
      </c>
      <c r="D2280" s="132" t="s">
        <v>3420</v>
      </c>
      <c r="E2280" s="136" t="s">
        <v>4179</v>
      </c>
      <c r="F2280" s="136" t="s">
        <v>4179</v>
      </c>
      <c r="G2280" s="137">
        <v>1395450760001</v>
      </c>
      <c r="H2280" s="138" t="s">
        <v>6301</v>
      </c>
      <c r="I2280" s="136">
        <v>951500471</v>
      </c>
      <c r="J2280" s="131" t="s">
        <v>4223</v>
      </c>
      <c r="K2280" s="139">
        <v>1033871</v>
      </c>
    </row>
    <row r="2281" spans="1:11">
      <c r="A2281" s="1" t="str">
        <f t="shared" si="35"/>
        <v>50100-809692695-951500471491945</v>
      </c>
      <c r="B2281" s="136" t="s">
        <v>4073</v>
      </c>
      <c r="C2281" s="136" t="s">
        <v>11684</v>
      </c>
      <c r="D2281" s="132" t="s">
        <v>3420</v>
      </c>
      <c r="E2281" s="136" t="s">
        <v>4179</v>
      </c>
      <c r="F2281" s="136" t="s">
        <v>4179</v>
      </c>
      <c r="G2281" s="137">
        <v>1395450760001</v>
      </c>
      <c r="H2281" s="138" t="s">
        <v>6301</v>
      </c>
      <c r="I2281" s="136">
        <v>951500471</v>
      </c>
      <c r="J2281" s="131" t="s">
        <v>4223</v>
      </c>
      <c r="K2281" s="139">
        <v>491945</v>
      </c>
    </row>
    <row r="2282" spans="1:11">
      <c r="A2282" s="1" t="str">
        <f t="shared" si="35"/>
        <v>50100-810881495-951500415502890</v>
      </c>
      <c r="B2282" s="136" t="s">
        <v>4074</v>
      </c>
      <c r="C2282" s="136" t="s">
        <v>11685</v>
      </c>
      <c r="D2282" s="132" t="s">
        <v>3420</v>
      </c>
      <c r="E2282" s="136" t="s">
        <v>4177</v>
      </c>
      <c r="F2282" s="136" t="s">
        <v>4177</v>
      </c>
      <c r="G2282" s="137">
        <v>1395438160001</v>
      </c>
      <c r="H2282" s="138" t="s">
        <v>6300</v>
      </c>
      <c r="I2282" s="136">
        <v>951500415</v>
      </c>
      <c r="J2282" s="131" t="s">
        <v>4195</v>
      </c>
      <c r="K2282" s="139">
        <v>502890</v>
      </c>
    </row>
    <row r="2283" spans="1:11">
      <c r="A2283" s="1" t="str">
        <f t="shared" si="35"/>
        <v>50100-811057195-9515005121001950</v>
      </c>
      <c r="B2283" s="136" t="s">
        <v>4075</v>
      </c>
      <c r="C2283" s="136" t="s">
        <v>11686</v>
      </c>
      <c r="D2283" s="132" t="s">
        <v>3420</v>
      </c>
      <c r="E2283" s="136" t="s">
        <v>4185</v>
      </c>
      <c r="F2283" s="136" t="s">
        <v>4185</v>
      </c>
      <c r="G2283" s="137">
        <v>1395447373001</v>
      </c>
      <c r="H2283" s="138" t="s">
        <v>6453</v>
      </c>
      <c r="I2283" s="136">
        <v>951500512</v>
      </c>
      <c r="J2283" s="131" t="s">
        <v>4224</v>
      </c>
      <c r="K2283" s="139">
        <v>1001950</v>
      </c>
    </row>
    <row r="2284" spans="1:11">
      <c r="A2284" s="1" t="str">
        <f t="shared" si="35"/>
        <v>5100-808289495-9542000432450579</v>
      </c>
      <c r="B2284" s="136" t="s">
        <v>11687</v>
      </c>
      <c r="C2284" s="136" t="s">
        <v>11688</v>
      </c>
      <c r="D2284" s="132" t="s">
        <v>3420</v>
      </c>
      <c r="E2284" s="136" t="s">
        <v>4176</v>
      </c>
      <c r="F2284" s="136" t="s">
        <v>4176</v>
      </c>
      <c r="G2284" s="137">
        <v>1395441908001</v>
      </c>
      <c r="H2284" s="138" t="s">
        <v>6298</v>
      </c>
      <c r="I2284" s="136">
        <v>954200043</v>
      </c>
      <c r="J2284" s="131" t="s">
        <v>4261</v>
      </c>
      <c r="K2284" s="139">
        <v>2450579</v>
      </c>
    </row>
    <row r="2285" spans="1:11">
      <c r="A2285" s="1" t="str">
        <f t="shared" si="35"/>
        <v>50100-805985495-95150039010722</v>
      </c>
      <c r="B2285" s="136" t="s">
        <v>4077</v>
      </c>
      <c r="C2285" s="136" t="s">
        <v>11689</v>
      </c>
      <c r="D2285" s="132" t="s">
        <v>3420</v>
      </c>
      <c r="E2285" s="136" t="s">
        <v>3937</v>
      </c>
      <c r="F2285" s="136" t="s">
        <v>3937</v>
      </c>
      <c r="G2285" s="137">
        <v>1395437982001</v>
      </c>
      <c r="H2285" s="138" t="s">
        <v>6300</v>
      </c>
      <c r="I2285" s="136">
        <v>951500390</v>
      </c>
      <c r="J2285" s="131" t="s">
        <v>3959</v>
      </c>
      <c r="K2285" s="139">
        <v>10722</v>
      </c>
    </row>
    <row r="2286" spans="1:11">
      <c r="A2286" s="1" t="str">
        <f t="shared" si="35"/>
        <v>50100-808845895-951500459385610</v>
      </c>
      <c r="B2286" s="136" t="s">
        <v>4078</v>
      </c>
      <c r="C2286" s="136" t="s">
        <v>11690</v>
      </c>
      <c r="D2286" s="132" t="s">
        <v>3420</v>
      </c>
      <c r="E2286" s="136" t="s">
        <v>4180</v>
      </c>
      <c r="F2286" s="136" t="s">
        <v>4180</v>
      </c>
      <c r="G2286" s="137">
        <v>1395447373001</v>
      </c>
      <c r="H2286" s="138" t="s">
        <v>6453</v>
      </c>
      <c r="I2286" s="136">
        <v>951500459</v>
      </c>
      <c r="J2286" s="131" t="s">
        <v>4241</v>
      </c>
      <c r="K2286" s="139">
        <v>385610</v>
      </c>
    </row>
    <row r="2287" spans="1:11">
      <c r="A2287" s="1" t="str">
        <f t="shared" si="35"/>
        <v>50100-810926695-9515004592590</v>
      </c>
      <c r="B2287" s="136" t="s">
        <v>4079</v>
      </c>
      <c r="C2287" s="136" t="s">
        <v>11691</v>
      </c>
      <c r="D2287" s="132" t="s">
        <v>3420</v>
      </c>
      <c r="E2287" s="136" t="s">
        <v>4177</v>
      </c>
      <c r="F2287" s="136" t="s">
        <v>4177</v>
      </c>
      <c r="G2287" s="137">
        <v>1395447373001</v>
      </c>
      <c r="H2287" s="138" t="s">
        <v>6453</v>
      </c>
      <c r="I2287" s="136">
        <v>951500459</v>
      </c>
      <c r="J2287" s="131" t="s">
        <v>4241</v>
      </c>
      <c r="K2287" s="139">
        <v>2590</v>
      </c>
    </row>
    <row r="2288" spans="1:11">
      <c r="A2288" s="1" t="str">
        <f t="shared" si="35"/>
        <v>50100-805985495-951500395487798</v>
      </c>
      <c r="B2288" s="136" t="s">
        <v>4077</v>
      </c>
      <c r="C2288" s="136" t="s">
        <v>11689</v>
      </c>
      <c r="D2288" s="132" t="s">
        <v>3420</v>
      </c>
      <c r="E2288" s="136" t="s">
        <v>3937</v>
      </c>
      <c r="F2288" s="136" t="s">
        <v>3937</v>
      </c>
      <c r="G2288" s="137">
        <v>1395437982001</v>
      </c>
      <c r="H2288" s="138" t="s">
        <v>6300</v>
      </c>
      <c r="I2288" s="136">
        <v>951500395</v>
      </c>
      <c r="J2288" s="131" t="s">
        <v>4246</v>
      </c>
      <c r="K2288" s="139">
        <v>487798</v>
      </c>
    </row>
    <row r="2289" spans="1:11">
      <c r="A2289" s="1" t="str">
        <f t="shared" si="35"/>
        <v>50100-808845895-951500416112590</v>
      </c>
      <c r="B2289" s="136" t="s">
        <v>4078</v>
      </c>
      <c r="C2289" s="136" t="s">
        <v>11690</v>
      </c>
      <c r="D2289" s="132" t="s">
        <v>3420</v>
      </c>
      <c r="E2289" s="136" t="s">
        <v>4180</v>
      </c>
      <c r="F2289" s="136" t="s">
        <v>4180</v>
      </c>
      <c r="G2289" s="137">
        <v>1395447373001</v>
      </c>
      <c r="H2289" s="138" t="s">
        <v>6453</v>
      </c>
      <c r="I2289" s="136">
        <v>951500416</v>
      </c>
      <c r="J2289" s="131" t="s">
        <v>4219</v>
      </c>
      <c r="K2289" s="139">
        <v>112590</v>
      </c>
    </row>
    <row r="2290" spans="1:11">
      <c r="A2290" s="1" t="str">
        <f t="shared" si="35"/>
        <v>50100-810926695-951500488598910</v>
      </c>
      <c r="B2290" s="136" t="s">
        <v>4079</v>
      </c>
      <c r="C2290" s="136" t="s">
        <v>11691</v>
      </c>
      <c r="D2290" s="132" t="s">
        <v>3420</v>
      </c>
      <c r="E2290" s="136" t="s">
        <v>4177</v>
      </c>
      <c r="F2290" s="136" t="s">
        <v>4177</v>
      </c>
      <c r="G2290" s="137">
        <v>1395447373001</v>
      </c>
      <c r="H2290" s="138" t="s">
        <v>6453</v>
      </c>
      <c r="I2290" s="136">
        <v>951500488</v>
      </c>
      <c r="J2290" s="131" t="s">
        <v>4202</v>
      </c>
      <c r="K2290" s="139">
        <v>598910</v>
      </c>
    </row>
    <row r="2291" spans="1:11">
      <c r="A2291" s="1" t="str">
        <f t="shared" si="35"/>
        <v>50100-808702295-951500267200000</v>
      </c>
      <c r="B2291" s="136" t="s">
        <v>4080</v>
      </c>
      <c r="C2291" s="136" t="s">
        <v>11692</v>
      </c>
      <c r="D2291" s="132" t="s">
        <v>3420</v>
      </c>
      <c r="E2291" s="136" t="s">
        <v>4180</v>
      </c>
      <c r="F2291" s="136" t="s">
        <v>4180</v>
      </c>
      <c r="G2291" s="137">
        <v>1395435642001</v>
      </c>
      <c r="H2291" s="138" t="s">
        <v>10206</v>
      </c>
      <c r="I2291" s="136">
        <v>951500267</v>
      </c>
      <c r="J2291" s="131" t="s">
        <v>3890</v>
      </c>
      <c r="K2291" s="139">
        <v>200000</v>
      </c>
    </row>
    <row r="2292" spans="1:11">
      <c r="A2292" s="1" t="str">
        <f t="shared" si="35"/>
        <v>50100-810933595-951500322120000</v>
      </c>
      <c r="B2292" s="136" t="s">
        <v>4057</v>
      </c>
      <c r="C2292" s="136" t="s">
        <v>11667</v>
      </c>
      <c r="D2292" s="132" t="s">
        <v>3420</v>
      </c>
      <c r="E2292" s="136" t="s">
        <v>4177</v>
      </c>
      <c r="F2292" s="136" t="s">
        <v>4177</v>
      </c>
      <c r="G2292" s="137">
        <v>1395438159001</v>
      </c>
      <c r="H2292" s="138" t="s">
        <v>6298</v>
      </c>
      <c r="I2292" s="136">
        <v>951500322</v>
      </c>
      <c r="J2292" s="131" t="s">
        <v>4262</v>
      </c>
      <c r="K2292" s="139">
        <v>120000</v>
      </c>
    </row>
    <row r="2293" spans="1:11">
      <c r="A2293" s="1" t="str">
        <f t="shared" si="35"/>
        <v>50100-807717295-9515002678457</v>
      </c>
      <c r="B2293" s="136" t="s">
        <v>4055</v>
      </c>
      <c r="C2293" s="136" t="s">
        <v>11665</v>
      </c>
      <c r="D2293" s="132" t="s">
        <v>3420</v>
      </c>
      <c r="E2293" s="136" t="s">
        <v>4182</v>
      </c>
      <c r="F2293" s="136" t="s">
        <v>4182</v>
      </c>
      <c r="G2293" s="137">
        <v>1395435642001</v>
      </c>
      <c r="H2293" s="138" t="s">
        <v>10206</v>
      </c>
      <c r="I2293" s="136">
        <v>951500267</v>
      </c>
      <c r="J2293" s="131" t="s">
        <v>3890</v>
      </c>
      <c r="K2293" s="139">
        <v>8457</v>
      </c>
    </row>
    <row r="2294" spans="1:11">
      <c r="A2294" s="1" t="str">
        <f t="shared" si="35"/>
        <v>50100-808497495-9515003191350</v>
      </c>
      <c r="B2294" s="136" t="s">
        <v>4066</v>
      </c>
      <c r="C2294" s="136" t="s">
        <v>11677</v>
      </c>
      <c r="D2294" s="132" t="s">
        <v>3420</v>
      </c>
      <c r="E2294" s="136" t="s">
        <v>4176</v>
      </c>
      <c r="F2294" s="136" t="s">
        <v>4176</v>
      </c>
      <c r="G2294" s="137">
        <v>1395438159001</v>
      </c>
      <c r="H2294" s="138" t="s">
        <v>6298</v>
      </c>
      <c r="I2294" s="136">
        <v>951500319</v>
      </c>
      <c r="J2294" s="131" t="s">
        <v>4235</v>
      </c>
      <c r="K2294" s="139">
        <v>1350</v>
      </c>
    </row>
    <row r="2295" spans="1:11">
      <c r="A2295" s="1" t="str">
        <f t="shared" si="35"/>
        <v>50100-807350595-952500053316351</v>
      </c>
      <c r="B2295" s="136" t="s">
        <v>4081</v>
      </c>
      <c r="C2295" s="136" t="s">
        <v>11693</v>
      </c>
      <c r="D2295" s="132" t="s">
        <v>3420</v>
      </c>
      <c r="E2295" s="136" t="s">
        <v>4186</v>
      </c>
      <c r="F2295" s="136" t="s">
        <v>4186</v>
      </c>
      <c r="G2295" s="137">
        <v>1395422325001</v>
      </c>
      <c r="H2295" s="138" t="s">
        <v>10183</v>
      </c>
      <c r="I2295" s="136">
        <v>952500053</v>
      </c>
      <c r="J2295" s="131" t="s">
        <v>4263</v>
      </c>
      <c r="K2295" s="139">
        <v>316351</v>
      </c>
    </row>
    <row r="2296" spans="1:11">
      <c r="A2296" s="1" t="str">
        <f t="shared" si="35"/>
        <v>50100-807350595-952500054182</v>
      </c>
      <c r="B2296" s="136" t="s">
        <v>4081</v>
      </c>
      <c r="C2296" s="136" t="s">
        <v>11693</v>
      </c>
      <c r="D2296" s="132" t="s">
        <v>3420</v>
      </c>
      <c r="E2296" s="136" t="s">
        <v>4186</v>
      </c>
      <c r="F2296" s="136" t="s">
        <v>4186</v>
      </c>
      <c r="G2296" s="137">
        <v>1395431925001</v>
      </c>
      <c r="H2296" s="138" t="s">
        <v>10183</v>
      </c>
      <c r="I2296" s="136">
        <v>952500054</v>
      </c>
      <c r="J2296" s="131" t="s">
        <v>4245</v>
      </c>
      <c r="K2296" s="139">
        <v>182</v>
      </c>
    </row>
    <row r="2297" spans="1:11">
      <c r="A2297" s="1" t="str">
        <f t="shared" si="35"/>
        <v>50100-807350595-952500052215339</v>
      </c>
      <c r="B2297" s="136" t="s">
        <v>4081</v>
      </c>
      <c r="C2297" s="136" t="s">
        <v>11693</v>
      </c>
      <c r="D2297" s="132" t="s">
        <v>3420</v>
      </c>
      <c r="E2297" s="136" t="s">
        <v>4186</v>
      </c>
      <c r="F2297" s="136" t="s">
        <v>4186</v>
      </c>
      <c r="G2297" s="137">
        <v>1395397987001</v>
      </c>
      <c r="H2297" s="138" t="s">
        <v>10183</v>
      </c>
      <c r="I2297" s="136">
        <v>952500052</v>
      </c>
      <c r="J2297" s="131" t="s">
        <v>4264</v>
      </c>
      <c r="K2297" s="139">
        <v>215339</v>
      </c>
    </row>
    <row r="2298" spans="1:11">
      <c r="A2298" s="1" t="str">
        <f t="shared" si="35"/>
        <v>50100-806445895-952500052481000</v>
      </c>
      <c r="B2298" s="136" t="s">
        <v>4082</v>
      </c>
      <c r="C2298" s="136" t="s">
        <v>11694</v>
      </c>
      <c r="D2298" s="132" t="s">
        <v>3420</v>
      </c>
      <c r="E2298" s="136" t="s">
        <v>4181</v>
      </c>
      <c r="F2298" s="136" t="s">
        <v>4181</v>
      </c>
      <c r="G2298" s="137">
        <v>1395397987001</v>
      </c>
      <c r="H2298" s="138" t="s">
        <v>10183</v>
      </c>
      <c r="I2298" s="136">
        <v>952500052</v>
      </c>
      <c r="J2298" s="131" t="s">
        <v>4264</v>
      </c>
      <c r="K2298" s="139">
        <v>481000</v>
      </c>
    </row>
    <row r="2299" spans="1:11">
      <c r="A2299" s="1" t="str">
        <f t="shared" si="35"/>
        <v>50100-806445895-95250005269494</v>
      </c>
      <c r="B2299" s="136" t="s">
        <v>4082</v>
      </c>
      <c r="C2299" s="136" t="s">
        <v>11694</v>
      </c>
      <c r="D2299" s="132" t="s">
        <v>3420</v>
      </c>
      <c r="E2299" s="136" t="s">
        <v>4181</v>
      </c>
      <c r="F2299" s="136" t="s">
        <v>4181</v>
      </c>
      <c r="G2299" s="137">
        <v>1395397987001</v>
      </c>
      <c r="H2299" s="138" t="s">
        <v>10183</v>
      </c>
      <c r="I2299" s="136">
        <v>952500052</v>
      </c>
      <c r="J2299" s="131" t="s">
        <v>4264</v>
      </c>
      <c r="K2299" s="139">
        <v>69494</v>
      </c>
    </row>
    <row r="2300" spans="1:11">
      <c r="A2300" s="1" t="str">
        <f t="shared" si="35"/>
        <v>50100-809252395-952500048273350</v>
      </c>
      <c r="B2300" s="136" t="s">
        <v>4083</v>
      </c>
      <c r="C2300" s="136" t="s">
        <v>11695</v>
      </c>
      <c r="D2300" s="132" t="s">
        <v>3420</v>
      </c>
      <c r="E2300" s="136" t="s">
        <v>4183</v>
      </c>
      <c r="F2300" s="136" t="s">
        <v>4183</v>
      </c>
      <c r="G2300" s="137">
        <v>1395436479001</v>
      </c>
      <c r="H2300" s="138" t="s">
        <v>6456</v>
      </c>
      <c r="I2300" s="136">
        <v>952500048</v>
      </c>
      <c r="J2300" s="131" t="s">
        <v>3940</v>
      </c>
      <c r="K2300" s="139">
        <v>273350</v>
      </c>
    </row>
    <row r="2301" spans="1:11">
      <c r="A2301" s="1" t="str">
        <f t="shared" si="35"/>
        <v>50100-806758095-952500048175725</v>
      </c>
      <c r="B2301" s="136" t="s">
        <v>4084</v>
      </c>
      <c r="C2301" s="136" t="s">
        <v>11696</v>
      </c>
      <c r="D2301" s="132" t="s">
        <v>3420</v>
      </c>
      <c r="E2301" s="136" t="s">
        <v>4181</v>
      </c>
      <c r="F2301" s="136" t="s">
        <v>4181</v>
      </c>
      <c r="G2301" s="137">
        <v>1395436479001</v>
      </c>
      <c r="H2301" s="138" t="s">
        <v>6456</v>
      </c>
      <c r="I2301" s="136">
        <v>952500048</v>
      </c>
      <c r="J2301" s="131" t="s">
        <v>3940</v>
      </c>
      <c r="K2301" s="139">
        <v>175725</v>
      </c>
    </row>
    <row r="2302" spans="1:11">
      <c r="A2302" s="1" t="str">
        <f t="shared" si="35"/>
        <v>50100-809292995-95250004818724</v>
      </c>
      <c r="B2302" s="136" t="s">
        <v>4085</v>
      </c>
      <c r="C2302" s="136" t="s">
        <v>11697</v>
      </c>
      <c r="D2302" s="132" t="s">
        <v>3420</v>
      </c>
      <c r="E2302" s="136" t="s">
        <v>4183</v>
      </c>
      <c r="F2302" s="136" t="s">
        <v>4183</v>
      </c>
      <c r="G2302" s="137">
        <v>1395436479001</v>
      </c>
      <c r="H2302" s="138" t="s">
        <v>6456</v>
      </c>
      <c r="I2302" s="136">
        <v>952500048</v>
      </c>
      <c r="J2302" s="131" t="s">
        <v>3940</v>
      </c>
      <c r="K2302" s="139">
        <v>18724</v>
      </c>
    </row>
    <row r="2303" spans="1:11">
      <c r="A2303" s="1" t="str">
        <f t="shared" si="35"/>
        <v>50100-809292995-95250004828670</v>
      </c>
      <c r="B2303" s="136" t="s">
        <v>4085</v>
      </c>
      <c r="C2303" s="136" t="s">
        <v>11697</v>
      </c>
      <c r="D2303" s="132" t="s">
        <v>3420</v>
      </c>
      <c r="E2303" s="136" t="s">
        <v>4183</v>
      </c>
      <c r="F2303" s="136" t="s">
        <v>4183</v>
      </c>
      <c r="G2303" s="137">
        <v>1395436479001</v>
      </c>
      <c r="H2303" s="138" t="s">
        <v>6456</v>
      </c>
      <c r="I2303" s="136">
        <v>952500048</v>
      </c>
      <c r="J2303" s="131" t="s">
        <v>3940</v>
      </c>
      <c r="K2303" s="139">
        <v>28670</v>
      </c>
    </row>
    <row r="2304" spans="1:11">
      <c r="A2304" s="1" t="str">
        <f t="shared" si="35"/>
        <v>50100-809292995-95250004847050</v>
      </c>
      <c r="B2304" s="136" t="s">
        <v>4085</v>
      </c>
      <c r="C2304" s="136" t="s">
        <v>11697</v>
      </c>
      <c r="D2304" s="132" t="s">
        <v>3420</v>
      </c>
      <c r="E2304" s="136" t="s">
        <v>4183</v>
      </c>
      <c r="F2304" s="136" t="s">
        <v>4183</v>
      </c>
      <c r="G2304" s="137">
        <v>1395436479001</v>
      </c>
      <c r="H2304" s="138" t="s">
        <v>6456</v>
      </c>
      <c r="I2304" s="136">
        <v>952500048</v>
      </c>
      <c r="J2304" s="131" t="s">
        <v>3940</v>
      </c>
      <c r="K2304" s="139">
        <v>47050</v>
      </c>
    </row>
    <row r="2305" spans="1:11">
      <c r="A2305" s="1" t="str">
        <f t="shared" si="35"/>
        <v>50100-809292995-952500060413206</v>
      </c>
      <c r="B2305" s="136" t="s">
        <v>4085</v>
      </c>
      <c r="C2305" s="136" t="s">
        <v>11697</v>
      </c>
      <c r="D2305" s="132" t="s">
        <v>3420</v>
      </c>
      <c r="E2305" s="136" t="s">
        <v>4183</v>
      </c>
      <c r="F2305" s="136" t="s">
        <v>4183</v>
      </c>
      <c r="G2305" s="137">
        <v>1395436479001</v>
      </c>
      <c r="H2305" s="138" t="s">
        <v>6456</v>
      </c>
      <c r="I2305" s="136">
        <v>952500060</v>
      </c>
      <c r="J2305" s="131" t="s">
        <v>4244</v>
      </c>
      <c r="K2305" s="139">
        <v>413206</v>
      </c>
    </row>
    <row r="2306" spans="1:11">
      <c r="A2306" s="1" t="str">
        <f t="shared" si="35"/>
        <v>50100-842009995-951500575992030</v>
      </c>
      <c r="B2306" s="136" t="s">
        <v>4758</v>
      </c>
      <c r="C2306" s="136" t="s">
        <v>11698</v>
      </c>
      <c r="D2306" s="132" t="s">
        <v>3420</v>
      </c>
      <c r="E2306" s="136" t="s">
        <v>4866</v>
      </c>
      <c r="F2306" s="136" t="s">
        <v>4866</v>
      </c>
      <c r="G2306" s="137">
        <v>1395451404001</v>
      </c>
      <c r="H2306" s="138" t="s">
        <v>6456</v>
      </c>
      <c r="I2306" s="136">
        <v>951500575</v>
      </c>
      <c r="J2306" s="131" t="s">
        <v>4895</v>
      </c>
      <c r="K2306" s="139">
        <v>992030</v>
      </c>
    </row>
    <row r="2307" spans="1:11">
      <c r="A2307" s="1" t="str">
        <f t="shared" ref="A2307:A2370" si="36">B2307&amp;J2307&amp;K2307</f>
        <v>50100-836672595-951500533916460</v>
      </c>
      <c r="B2307" s="136" t="s">
        <v>4708</v>
      </c>
      <c r="C2307" s="136" t="s">
        <v>11699</v>
      </c>
      <c r="D2307" s="132" t="s">
        <v>3420</v>
      </c>
      <c r="E2307" s="136" t="s">
        <v>4706</v>
      </c>
      <c r="F2307" s="136" t="s">
        <v>4706</v>
      </c>
      <c r="G2307" s="137">
        <v>1395447373001</v>
      </c>
      <c r="H2307" s="138" t="s">
        <v>6453</v>
      </c>
      <c r="I2307" s="136">
        <v>951500533</v>
      </c>
      <c r="J2307" s="131" t="s">
        <v>4721</v>
      </c>
      <c r="K2307" s="139">
        <v>916460</v>
      </c>
    </row>
    <row r="2308" spans="1:11">
      <c r="A2308" s="1" t="str">
        <f t="shared" si="36"/>
        <v>50100-836406495-951500449250000</v>
      </c>
      <c r="B2308" s="136" t="s">
        <v>4711</v>
      </c>
      <c r="C2308" s="136" t="s">
        <v>11700</v>
      </c>
      <c r="D2308" s="132" t="s">
        <v>3420</v>
      </c>
      <c r="E2308" s="136" t="s">
        <v>4706</v>
      </c>
      <c r="F2308" s="136" t="s">
        <v>4706</v>
      </c>
      <c r="G2308" s="137">
        <v>1395447925001</v>
      </c>
      <c r="H2308" s="138" t="s">
        <v>6298</v>
      </c>
      <c r="I2308" s="136">
        <v>951500449</v>
      </c>
      <c r="J2308" s="131" t="s">
        <v>4725</v>
      </c>
      <c r="K2308" s="139">
        <v>250000</v>
      </c>
    </row>
    <row r="2309" spans="1:11">
      <c r="A2309" s="1" t="str">
        <f t="shared" si="36"/>
        <v>50100-836406495-95150047877945</v>
      </c>
      <c r="B2309" s="136" t="s">
        <v>4711</v>
      </c>
      <c r="C2309" s="136" t="s">
        <v>11700</v>
      </c>
      <c r="D2309" s="132" t="s">
        <v>3420</v>
      </c>
      <c r="E2309" s="136" t="s">
        <v>4706</v>
      </c>
      <c r="F2309" s="136" t="s">
        <v>4706</v>
      </c>
      <c r="G2309" s="137">
        <v>1395449892001</v>
      </c>
      <c r="H2309" s="138" t="s">
        <v>6454</v>
      </c>
      <c r="I2309" s="136">
        <v>951500478</v>
      </c>
      <c r="J2309" s="131" t="s">
        <v>4691</v>
      </c>
      <c r="K2309" s="139">
        <v>77945</v>
      </c>
    </row>
    <row r="2310" spans="1:11">
      <c r="A2310" s="1" t="str">
        <f t="shared" si="36"/>
        <v>50100-836406495-952500059172555</v>
      </c>
      <c r="B2310" s="136" t="s">
        <v>4711</v>
      </c>
      <c r="C2310" s="136" t="s">
        <v>11700</v>
      </c>
      <c r="D2310" s="132" t="s">
        <v>3420</v>
      </c>
      <c r="E2310" s="136" t="s">
        <v>4706</v>
      </c>
      <c r="F2310" s="136" t="s">
        <v>4706</v>
      </c>
      <c r="G2310" s="137">
        <v>1395441908001</v>
      </c>
      <c r="H2310" s="138" t="s">
        <v>6298</v>
      </c>
      <c r="I2310" s="136">
        <v>952500059</v>
      </c>
      <c r="J2310" s="131" t="s">
        <v>4724</v>
      </c>
      <c r="K2310" s="139">
        <v>172555</v>
      </c>
    </row>
    <row r="2311" spans="1:11">
      <c r="A2311" s="1" t="str">
        <f t="shared" si="36"/>
        <v>50100-842010895-9515005181168000</v>
      </c>
      <c r="B2311" s="136" t="s">
        <v>4759</v>
      </c>
      <c r="C2311" s="136" t="s">
        <v>11701</v>
      </c>
      <c r="D2311" s="132" t="s">
        <v>3420</v>
      </c>
      <c r="E2311" s="136" t="s">
        <v>4866</v>
      </c>
      <c r="F2311" s="136" t="s">
        <v>4866</v>
      </c>
      <c r="G2311" s="137">
        <v>1395451399001</v>
      </c>
      <c r="H2311" s="138" t="s">
        <v>10206</v>
      </c>
      <c r="I2311" s="136">
        <v>951500518</v>
      </c>
      <c r="J2311" s="131" t="s">
        <v>4896</v>
      </c>
      <c r="K2311" s="139">
        <v>1168000</v>
      </c>
    </row>
    <row r="2312" spans="1:11">
      <c r="A2312" s="1" t="str">
        <f t="shared" si="36"/>
        <v>50100-839796595-9515005337400</v>
      </c>
      <c r="B2312" s="136" t="s">
        <v>4760</v>
      </c>
      <c r="C2312" s="136" t="s">
        <v>11702</v>
      </c>
      <c r="D2312" s="132" t="s">
        <v>3420</v>
      </c>
      <c r="E2312" s="136" t="s">
        <v>4868</v>
      </c>
      <c r="F2312" s="136" t="s">
        <v>4868</v>
      </c>
      <c r="G2312" s="137">
        <v>1395447373001</v>
      </c>
      <c r="H2312" s="138" t="s">
        <v>6453</v>
      </c>
      <c r="I2312" s="136">
        <v>951500533</v>
      </c>
      <c r="J2312" s="131" t="s">
        <v>4721</v>
      </c>
      <c r="K2312" s="139">
        <v>7400</v>
      </c>
    </row>
    <row r="2313" spans="1:11">
      <c r="A2313" s="1" t="str">
        <f t="shared" si="36"/>
        <v>50100-836672595-95150050486740</v>
      </c>
      <c r="B2313" s="136" t="s">
        <v>4708</v>
      </c>
      <c r="C2313" s="136" t="s">
        <v>11699</v>
      </c>
      <c r="D2313" s="132" t="s">
        <v>3420</v>
      </c>
      <c r="E2313" s="136" t="s">
        <v>4706</v>
      </c>
      <c r="F2313" s="136" t="s">
        <v>4706</v>
      </c>
      <c r="G2313" s="137">
        <v>1395447373001</v>
      </c>
      <c r="H2313" s="138" t="s">
        <v>6453</v>
      </c>
      <c r="I2313" s="136">
        <v>951500504</v>
      </c>
      <c r="J2313" s="131" t="s">
        <v>4680</v>
      </c>
      <c r="K2313" s="139">
        <v>86740</v>
      </c>
    </row>
    <row r="2314" spans="1:11">
      <c r="A2314" s="1" t="str">
        <f t="shared" si="36"/>
        <v>50100-842028295-9542000471960747</v>
      </c>
      <c r="B2314" s="136" t="s">
        <v>4761</v>
      </c>
      <c r="C2314" s="136" t="s">
        <v>11703</v>
      </c>
      <c r="D2314" s="132" t="s">
        <v>3420</v>
      </c>
      <c r="E2314" s="136" t="s">
        <v>4866</v>
      </c>
      <c r="F2314" s="136" t="s">
        <v>4866</v>
      </c>
      <c r="G2314" s="137">
        <v>1395455038001</v>
      </c>
      <c r="H2314" s="138" t="s">
        <v>6298</v>
      </c>
      <c r="I2314" s="136">
        <v>954200047</v>
      </c>
      <c r="J2314" s="131" t="s">
        <v>4897</v>
      </c>
      <c r="K2314" s="139">
        <v>1960747</v>
      </c>
    </row>
    <row r="2315" spans="1:11">
      <c r="A2315" s="1" t="str">
        <f t="shared" si="36"/>
        <v>50100-838324995-952500090546700</v>
      </c>
      <c r="B2315" s="136" t="s">
        <v>4762</v>
      </c>
      <c r="C2315" s="136" t="s">
        <v>11704</v>
      </c>
      <c r="D2315" s="132" t="s">
        <v>3420</v>
      </c>
      <c r="E2315" s="136" t="s">
        <v>4707</v>
      </c>
      <c r="F2315" s="136" t="s">
        <v>4707</v>
      </c>
      <c r="G2315" s="137">
        <v>1395451404001</v>
      </c>
      <c r="H2315" s="138" t="s">
        <v>6456</v>
      </c>
      <c r="I2315" s="136">
        <v>952500090</v>
      </c>
      <c r="J2315" s="131" t="s">
        <v>4898</v>
      </c>
      <c r="K2315" s="139">
        <v>546700</v>
      </c>
    </row>
    <row r="2316" spans="1:11">
      <c r="A2316" s="1" t="str">
        <f t="shared" si="36"/>
        <v>50100-839796595-9515005321000000</v>
      </c>
      <c r="B2316" s="136" t="s">
        <v>4760</v>
      </c>
      <c r="C2316" s="136" t="s">
        <v>11702</v>
      </c>
      <c r="D2316" s="132" t="s">
        <v>3420</v>
      </c>
      <c r="E2316" s="136" t="s">
        <v>4868</v>
      </c>
      <c r="F2316" s="136" t="s">
        <v>4868</v>
      </c>
      <c r="G2316" s="137">
        <v>1395447373001</v>
      </c>
      <c r="H2316" s="138" t="s">
        <v>6453</v>
      </c>
      <c r="I2316" s="136">
        <v>951500532</v>
      </c>
      <c r="J2316" s="131" t="s">
        <v>4899</v>
      </c>
      <c r="K2316" s="139">
        <v>1000000</v>
      </c>
    </row>
    <row r="2317" spans="1:11">
      <c r="A2317" s="1" t="str">
        <f t="shared" si="36"/>
        <v>50100-836895295-952500089976250</v>
      </c>
      <c r="B2317" s="136" t="s">
        <v>4713</v>
      </c>
      <c r="C2317" s="136" t="s">
        <v>11705</v>
      </c>
      <c r="D2317" s="132" t="s">
        <v>3420</v>
      </c>
      <c r="E2317" s="136" t="s">
        <v>4719</v>
      </c>
      <c r="F2317" s="136" t="s">
        <v>4719</v>
      </c>
      <c r="G2317" s="137">
        <v>1395451404001</v>
      </c>
      <c r="H2317" s="138" t="s">
        <v>6456</v>
      </c>
      <c r="I2317" s="136">
        <v>952500089</v>
      </c>
      <c r="J2317" s="131" t="s">
        <v>4727</v>
      </c>
      <c r="K2317" s="139">
        <v>976250</v>
      </c>
    </row>
    <row r="2318" spans="1:11">
      <c r="A2318" s="1" t="str">
        <f t="shared" si="36"/>
        <v>50100-839820295-951500508357296</v>
      </c>
      <c r="B2318" s="136" t="s">
        <v>4763</v>
      </c>
      <c r="C2318" s="136" t="s">
        <v>11706</v>
      </c>
      <c r="D2318" s="132" t="s">
        <v>3420</v>
      </c>
      <c r="E2318" s="136" t="s">
        <v>4868</v>
      </c>
      <c r="F2318" s="141" t="s">
        <v>4868</v>
      </c>
      <c r="G2318" s="137">
        <v>1395451402001</v>
      </c>
      <c r="H2318" s="140" t="s">
        <v>9897</v>
      </c>
      <c r="I2318" s="141">
        <v>951500508</v>
      </c>
      <c r="J2318" s="131" t="s">
        <v>4900</v>
      </c>
      <c r="K2318" s="139">
        <v>357296</v>
      </c>
    </row>
    <row r="2319" spans="1:11">
      <c r="A2319" s="1" t="str">
        <f t="shared" si="36"/>
        <v>50100-839236795-9515005381035100</v>
      </c>
      <c r="B2319" s="136" t="s">
        <v>4764</v>
      </c>
      <c r="C2319" s="136" t="s">
        <v>11707</v>
      </c>
      <c r="D2319" s="132" t="s">
        <v>3420</v>
      </c>
      <c r="E2319" s="136" t="s">
        <v>4865</v>
      </c>
      <c r="F2319" s="136" t="s">
        <v>4865</v>
      </c>
      <c r="G2319" s="137">
        <v>1395447373001</v>
      </c>
      <c r="H2319" s="138" t="s">
        <v>6453</v>
      </c>
      <c r="I2319" s="136">
        <v>951500538</v>
      </c>
      <c r="J2319" s="131" t="s">
        <v>4728</v>
      </c>
      <c r="K2319" s="139">
        <v>1035100</v>
      </c>
    </row>
    <row r="2320" spans="1:11">
      <c r="A2320" s="1" t="str">
        <f t="shared" si="36"/>
        <v>50100-836384495-951500538250455</v>
      </c>
      <c r="B2320" s="136" t="s">
        <v>4716</v>
      </c>
      <c r="C2320" s="136" t="s">
        <v>11708</v>
      </c>
      <c r="D2320" s="132" t="s">
        <v>3420</v>
      </c>
      <c r="E2320" s="136" t="s">
        <v>4706</v>
      </c>
      <c r="F2320" s="136" t="s">
        <v>4706</v>
      </c>
      <c r="G2320" s="137">
        <v>1395447373001</v>
      </c>
      <c r="H2320" s="138" t="s">
        <v>6453</v>
      </c>
      <c r="I2320" s="136">
        <v>951500538</v>
      </c>
      <c r="J2320" s="131" t="s">
        <v>4728</v>
      </c>
      <c r="K2320" s="139">
        <v>250455</v>
      </c>
    </row>
    <row r="2321" spans="1:11">
      <c r="A2321" s="1" t="str">
        <f t="shared" si="36"/>
        <v>50100-836918595-95250004919421</v>
      </c>
      <c r="B2321" s="136" t="s">
        <v>4709</v>
      </c>
      <c r="C2321" s="136" t="s">
        <v>11709</v>
      </c>
      <c r="D2321" s="132" t="s">
        <v>3420</v>
      </c>
      <c r="E2321" s="136" t="s">
        <v>4719</v>
      </c>
      <c r="F2321" s="136" t="s">
        <v>4719</v>
      </c>
      <c r="G2321" s="137">
        <v>1395441908001</v>
      </c>
      <c r="H2321" s="138" t="s">
        <v>6298</v>
      </c>
      <c r="I2321" s="136">
        <v>952500049</v>
      </c>
      <c r="J2321" s="131" t="s">
        <v>4598</v>
      </c>
      <c r="K2321" s="139">
        <v>19421</v>
      </c>
    </row>
    <row r="2322" spans="1:11">
      <c r="A2322" s="1" t="str">
        <f t="shared" si="36"/>
        <v>50100-836918595-95250007220613</v>
      </c>
      <c r="B2322" s="136" t="s">
        <v>4709</v>
      </c>
      <c r="C2322" s="136" t="s">
        <v>11709</v>
      </c>
      <c r="D2322" s="132" t="s">
        <v>3420</v>
      </c>
      <c r="E2322" s="136" t="s">
        <v>4719</v>
      </c>
      <c r="F2322" s="136" t="s">
        <v>4719</v>
      </c>
      <c r="G2322" s="137">
        <v>1395452679001</v>
      </c>
      <c r="H2322" s="138" t="s">
        <v>6298</v>
      </c>
      <c r="I2322" s="136">
        <v>952500072</v>
      </c>
      <c r="J2322" s="131" t="s">
        <v>4722</v>
      </c>
      <c r="K2322" s="139">
        <v>20613</v>
      </c>
    </row>
    <row r="2323" spans="1:11">
      <c r="A2323" s="1" t="str">
        <f t="shared" si="36"/>
        <v>50100-836918595-951500436105065</v>
      </c>
      <c r="B2323" s="136" t="s">
        <v>4709</v>
      </c>
      <c r="C2323" s="136" t="s">
        <v>11709</v>
      </c>
      <c r="D2323" s="132" t="s">
        <v>3420</v>
      </c>
      <c r="E2323" s="136" t="s">
        <v>4719</v>
      </c>
      <c r="F2323" s="136" t="s">
        <v>4719</v>
      </c>
      <c r="G2323" s="137">
        <v>1395447925001</v>
      </c>
      <c r="H2323" s="138" t="s">
        <v>6298</v>
      </c>
      <c r="I2323" s="136">
        <v>951500436</v>
      </c>
      <c r="J2323" s="131" t="s">
        <v>4685</v>
      </c>
      <c r="K2323" s="139">
        <v>105065</v>
      </c>
    </row>
    <row r="2324" spans="1:11">
      <c r="A2324" s="1" t="str">
        <f t="shared" si="36"/>
        <v>50100-836918595-95150048045024</v>
      </c>
      <c r="B2324" s="136" t="s">
        <v>4709</v>
      </c>
      <c r="C2324" s="136" t="s">
        <v>11709</v>
      </c>
      <c r="D2324" s="132" t="s">
        <v>3420</v>
      </c>
      <c r="E2324" s="136" t="s">
        <v>4719</v>
      </c>
      <c r="F2324" s="136" t="s">
        <v>4719</v>
      </c>
      <c r="G2324" s="137">
        <v>1395449236001</v>
      </c>
      <c r="H2324" s="138" t="s">
        <v>6298</v>
      </c>
      <c r="I2324" s="136">
        <v>951500480</v>
      </c>
      <c r="J2324" s="131" t="s">
        <v>4688</v>
      </c>
      <c r="K2324" s="139">
        <v>45024</v>
      </c>
    </row>
    <row r="2325" spans="1:11">
      <c r="A2325" s="1" t="str">
        <f t="shared" si="36"/>
        <v>50100-841011395-952500099490491</v>
      </c>
      <c r="B2325" s="136" t="s">
        <v>4765</v>
      </c>
      <c r="C2325" s="136" t="s">
        <v>11710</v>
      </c>
      <c r="D2325" s="132" t="s">
        <v>3420</v>
      </c>
      <c r="E2325" s="136" t="s">
        <v>4870</v>
      </c>
      <c r="F2325" s="136" t="s">
        <v>4870</v>
      </c>
      <c r="G2325" s="137">
        <v>1395451401001</v>
      </c>
      <c r="H2325" s="138" t="s">
        <v>6300</v>
      </c>
      <c r="I2325" s="136">
        <v>952500099</v>
      </c>
      <c r="J2325" s="131" t="s">
        <v>4901</v>
      </c>
      <c r="K2325" s="139">
        <v>490491</v>
      </c>
    </row>
    <row r="2326" spans="1:11">
      <c r="A2326" s="1" t="str">
        <f t="shared" si="36"/>
        <v>50100-836047795-954100028887146</v>
      </c>
      <c r="B2326" s="136" t="s">
        <v>4710</v>
      </c>
      <c r="C2326" s="136" t="s">
        <v>11711</v>
      </c>
      <c r="D2326" s="132" t="s">
        <v>3420</v>
      </c>
      <c r="E2326" s="136" t="s">
        <v>4663</v>
      </c>
      <c r="F2326" s="136" t="s">
        <v>4663</v>
      </c>
      <c r="G2326" s="137">
        <v>1395460645001</v>
      </c>
      <c r="H2326" s="138" t="s">
        <v>10183</v>
      </c>
      <c r="I2326" s="136">
        <v>954100028</v>
      </c>
      <c r="J2326" s="131" t="s">
        <v>4723</v>
      </c>
      <c r="K2326" s="139">
        <v>887146</v>
      </c>
    </row>
    <row r="2327" spans="1:11">
      <c r="A2327" s="1" t="str">
        <f t="shared" si="36"/>
        <v>50100-836918595-951500429108527</v>
      </c>
      <c r="B2327" s="136" t="s">
        <v>4709</v>
      </c>
      <c r="C2327" s="136" t="s">
        <v>11709</v>
      </c>
      <c r="D2327" s="132" t="s">
        <v>3420</v>
      </c>
      <c r="E2327" s="136" t="s">
        <v>4719</v>
      </c>
      <c r="F2327" s="136" t="s">
        <v>4719</v>
      </c>
      <c r="G2327" s="137">
        <v>1395447925001</v>
      </c>
      <c r="H2327" s="138" t="s">
        <v>6298</v>
      </c>
      <c r="I2327" s="136">
        <v>951500429</v>
      </c>
      <c r="J2327" s="131" t="s">
        <v>4682</v>
      </c>
      <c r="K2327" s="139">
        <v>108527</v>
      </c>
    </row>
    <row r="2328" spans="1:11">
      <c r="A2328" s="1" t="str">
        <f t="shared" si="36"/>
        <v>50100-841095095-95250008293763</v>
      </c>
      <c r="B2328" s="136" t="s">
        <v>4766</v>
      </c>
      <c r="C2328" s="136" t="s">
        <v>11712</v>
      </c>
      <c r="D2328" s="132" t="s">
        <v>3420</v>
      </c>
      <c r="E2328" s="136" t="s">
        <v>4870</v>
      </c>
      <c r="F2328" s="136" t="s">
        <v>4870</v>
      </c>
      <c r="G2328" s="137">
        <v>1395452679001</v>
      </c>
      <c r="H2328" s="138" t="s">
        <v>6298</v>
      </c>
      <c r="I2328" s="143">
        <v>952500082</v>
      </c>
      <c r="J2328" s="131" t="s">
        <v>4902</v>
      </c>
      <c r="K2328" s="139">
        <v>93763</v>
      </c>
    </row>
    <row r="2329" spans="1:11">
      <c r="A2329" s="1" t="str">
        <f t="shared" si="36"/>
        <v>50100-842021995-95150048194380</v>
      </c>
      <c r="B2329" s="136" t="s">
        <v>4767</v>
      </c>
      <c r="C2329" s="136" t="s">
        <v>11713</v>
      </c>
      <c r="D2329" s="132" t="s">
        <v>3420</v>
      </c>
      <c r="E2329" s="136" t="s">
        <v>4866</v>
      </c>
      <c r="F2329" s="136" t="s">
        <v>4866</v>
      </c>
      <c r="G2329" s="137">
        <v>1395449892001</v>
      </c>
      <c r="H2329" s="138" t="s">
        <v>6454</v>
      </c>
      <c r="I2329" s="136">
        <v>951500481</v>
      </c>
      <c r="J2329" s="131" t="s">
        <v>4903</v>
      </c>
      <c r="K2329" s="139">
        <v>94380</v>
      </c>
    </row>
    <row r="2330" spans="1:11">
      <c r="A2330" s="1" t="str">
        <f t="shared" si="36"/>
        <v>50100-842015395-951500481398400</v>
      </c>
      <c r="B2330" s="136" t="s">
        <v>4768</v>
      </c>
      <c r="C2330" s="136" t="s">
        <v>11714</v>
      </c>
      <c r="D2330" s="132" t="s">
        <v>3420</v>
      </c>
      <c r="E2330" s="136" t="s">
        <v>4866</v>
      </c>
      <c r="F2330" s="136" t="s">
        <v>4866</v>
      </c>
      <c r="G2330" s="137">
        <v>1395449892001</v>
      </c>
      <c r="H2330" s="138" t="s">
        <v>6454</v>
      </c>
      <c r="I2330" s="136">
        <v>951500481</v>
      </c>
      <c r="J2330" s="131" t="s">
        <v>4903</v>
      </c>
      <c r="K2330" s="139">
        <v>398400</v>
      </c>
    </row>
    <row r="2331" spans="1:11">
      <c r="A2331" s="1" t="str">
        <f t="shared" si="36"/>
        <v>50100-837781795-9525000871000000</v>
      </c>
      <c r="B2331" s="136" t="s">
        <v>4769</v>
      </c>
      <c r="C2331" s="136" t="s">
        <v>11715</v>
      </c>
      <c r="D2331" s="132" t="s">
        <v>3420</v>
      </c>
      <c r="E2331" s="136" t="s">
        <v>4871</v>
      </c>
      <c r="F2331" s="136" t="s">
        <v>4871</v>
      </c>
      <c r="G2331" s="137">
        <v>1395447928001</v>
      </c>
      <c r="H2331" s="138" t="s">
        <v>10183</v>
      </c>
      <c r="I2331" s="136">
        <v>952500087</v>
      </c>
      <c r="J2331" s="131" t="s">
        <v>4904</v>
      </c>
      <c r="K2331" s="139">
        <v>1000000</v>
      </c>
    </row>
    <row r="2332" spans="1:11">
      <c r="A2332" s="1" t="str">
        <f t="shared" si="36"/>
        <v>50100-837781795-9525000885043</v>
      </c>
      <c r="B2332" s="136" t="s">
        <v>4769</v>
      </c>
      <c r="C2332" s="136" t="s">
        <v>11715</v>
      </c>
      <c r="D2332" s="132" t="s">
        <v>3420</v>
      </c>
      <c r="E2332" s="136" t="s">
        <v>4871</v>
      </c>
      <c r="F2332" s="136" t="s">
        <v>4871</v>
      </c>
      <c r="G2332" s="137">
        <v>1395447928001</v>
      </c>
      <c r="H2332" s="138" t="s">
        <v>10183</v>
      </c>
      <c r="I2332" s="136">
        <v>952500088</v>
      </c>
      <c r="J2332" s="131" t="s">
        <v>4695</v>
      </c>
      <c r="K2332" s="139">
        <v>5043</v>
      </c>
    </row>
    <row r="2333" spans="1:11">
      <c r="A2333" s="1" t="str">
        <f t="shared" si="36"/>
        <v>50100-838789295-954100036992301</v>
      </c>
      <c r="B2333" s="136" t="s">
        <v>4770</v>
      </c>
      <c r="C2333" s="136" t="s">
        <v>11716</v>
      </c>
      <c r="D2333" s="132" t="s">
        <v>3420</v>
      </c>
      <c r="E2333" s="136" t="s">
        <v>4871</v>
      </c>
      <c r="F2333" s="136" t="s">
        <v>4871</v>
      </c>
      <c r="G2333" s="137">
        <v>1395460645001</v>
      </c>
      <c r="H2333" s="138" t="s">
        <v>10183</v>
      </c>
      <c r="I2333" s="136">
        <v>954100036</v>
      </c>
      <c r="J2333" s="131" t="s">
        <v>4905</v>
      </c>
      <c r="K2333" s="139">
        <v>992301</v>
      </c>
    </row>
    <row r="2334" spans="1:11">
      <c r="A2334" s="1" t="str">
        <f t="shared" si="36"/>
        <v>50100-840490495-95150052717465</v>
      </c>
      <c r="B2334" s="136" t="s">
        <v>4771</v>
      </c>
      <c r="C2334" s="136" t="s">
        <v>11717</v>
      </c>
      <c r="D2334" s="132" t="s">
        <v>3420</v>
      </c>
      <c r="E2334" s="136" t="s">
        <v>4869</v>
      </c>
      <c r="F2334" s="136" t="s">
        <v>4869</v>
      </c>
      <c r="G2334" s="137">
        <v>1395451399001</v>
      </c>
      <c r="H2334" s="138" t="s">
        <v>10206</v>
      </c>
      <c r="I2334" s="136">
        <v>951500527</v>
      </c>
      <c r="J2334" s="131" t="s">
        <v>4906</v>
      </c>
      <c r="K2334" s="139">
        <v>17465</v>
      </c>
    </row>
    <row r="2335" spans="1:11">
      <c r="A2335" s="1" t="str">
        <f t="shared" si="36"/>
        <v>50100-838803695-9541000351060507</v>
      </c>
      <c r="B2335" s="136" t="s">
        <v>4772</v>
      </c>
      <c r="C2335" s="136" t="s">
        <v>11718</v>
      </c>
      <c r="D2335" s="132" t="s">
        <v>3420</v>
      </c>
      <c r="E2335" s="136" t="s">
        <v>4871</v>
      </c>
      <c r="F2335" s="136" t="s">
        <v>4871</v>
      </c>
      <c r="G2335" s="137">
        <v>1395460645001</v>
      </c>
      <c r="H2335" s="138" t="s">
        <v>10183</v>
      </c>
      <c r="I2335" s="136">
        <v>954100035</v>
      </c>
      <c r="J2335" s="131" t="s">
        <v>4907</v>
      </c>
      <c r="K2335" s="139">
        <v>1060507</v>
      </c>
    </row>
    <row r="2336" spans="1:11">
      <c r="A2336" s="1" t="str">
        <f t="shared" si="36"/>
        <v>50100-841385995-952500097591638</v>
      </c>
      <c r="B2336" s="136" t="s">
        <v>4773</v>
      </c>
      <c r="C2336" s="136" t="s">
        <v>11719</v>
      </c>
      <c r="D2336" s="132" t="s">
        <v>3420</v>
      </c>
      <c r="E2336" s="136" t="s">
        <v>4866</v>
      </c>
      <c r="F2336" s="136" t="s">
        <v>4866</v>
      </c>
      <c r="G2336" s="137">
        <v>1395455040001</v>
      </c>
      <c r="H2336" s="138" t="s">
        <v>11406</v>
      </c>
      <c r="I2336" s="136">
        <v>952500097</v>
      </c>
      <c r="J2336" s="131" t="s">
        <v>4737</v>
      </c>
      <c r="K2336" s="139">
        <v>591638</v>
      </c>
    </row>
    <row r="2337" spans="1:11">
      <c r="A2337" s="1" t="str">
        <f t="shared" si="36"/>
        <v>50100-841447495-952500096493075</v>
      </c>
      <c r="B2337" s="136" t="s">
        <v>4774</v>
      </c>
      <c r="C2337" s="136" t="s">
        <v>11720</v>
      </c>
      <c r="D2337" s="132" t="s">
        <v>3420</v>
      </c>
      <c r="E2337" s="136" t="s">
        <v>4866</v>
      </c>
      <c r="F2337" s="136" t="s">
        <v>4866</v>
      </c>
      <c r="G2337" s="137">
        <v>1395455040001</v>
      </c>
      <c r="H2337" s="138" t="s">
        <v>11406</v>
      </c>
      <c r="I2337" s="136">
        <v>952500096</v>
      </c>
      <c r="J2337" s="131" t="s">
        <v>4736</v>
      </c>
      <c r="K2337" s="139">
        <v>493075</v>
      </c>
    </row>
    <row r="2338" spans="1:11">
      <c r="A2338" s="1" t="str">
        <f t="shared" si="36"/>
        <v>50100-840490495-951500311478425</v>
      </c>
      <c r="B2338" s="136" t="s">
        <v>4771</v>
      </c>
      <c r="C2338" s="136" t="s">
        <v>11717</v>
      </c>
      <c r="D2338" s="132" t="s">
        <v>3420</v>
      </c>
      <c r="E2338" s="136" t="s">
        <v>4869</v>
      </c>
      <c r="F2338" s="136" t="s">
        <v>4869</v>
      </c>
      <c r="G2338" s="137">
        <v>1395435642001</v>
      </c>
      <c r="H2338" s="138" t="s">
        <v>10206</v>
      </c>
      <c r="I2338" s="136">
        <v>951500311</v>
      </c>
      <c r="J2338" s="131" t="s">
        <v>4459</v>
      </c>
      <c r="K2338" s="139">
        <v>478425</v>
      </c>
    </row>
    <row r="2339" spans="1:11">
      <c r="A2339" s="1" t="str">
        <f t="shared" si="36"/>
        <v>50100-838340495-952500089449075</v>
      </c>
      <c r="B2339" s="136" t="s">
        <v>4775</v>
      </c>
      <c r="C2339" s="136" t="s">
        <v>11721</v>
      </c>
      <c r="D2339" s="132" t="s">
        <v>3420</v>
      </c>
      <c r="E2339" s="136" t="s">
        <v>4707</v>
      </c>
      <c r="F2339" s="136" t="s">
        <v>4707</v>
      </c>
      <c r="G2339" s="137">
        <v>1395451404001</v>
      </c>
      <c r="H2339" s="138" t="s">
        <v>6456</v>
      </c>
      <c r="I2339" s="136">
        <v>952500089</v>
      </c>
      <c r="J2339" s="131" t="s">
        <v>4727</v>
      </c>
      <c r="K2339" s="139">
        <v>449075</v>
      </c>
    </row>
    <row r="2340" spans="1:11">
      <c r="A2340" s="1" t="str">
        <f t="shared" si="36"/>
        <v>50100-842026195-951500586858186</v>
      </c>
      <c r="B2340" s="136" t="s">
        <v>4776</v>
      </c>
      <c r="C2340" s="136" t="s">
        <v>11722</v>
      </c>
      <c r="D2340" s="132" t="s">
        <v>3420</v>
      </c>
      <c r="E2340" s="136" t="s">
        <v>4866</v>
      </c>
      <c r="F2340" s="136" t="s">
        <v>4866</v>
      </c>
      <c r="G2340" s="137">
        <v>1395451401001</v>
      </c>
      <c r="H2340" s="138" t="s">
        <v>6300</v>
      </c>
      <c r="I2340" s="136">
        <v>951500586</v>
      </c>
      <c r="J2340" s="131" t="s">
        <v>4908</v>
      </c>
      <c r="K2340" s="139">
        <v>858186</v>
      </c>
    </row>
    <row r="2341" spans="1:11">
      <c r="A2341" s="1" t="str">
        <f t="shared" si="36"/>
        <v>50100-842026195-95150058863500</v>
      </c>
      <c r="B2341" s="136" t="s">
        <v>4776</v>
      </c>
      <c r="C2341" s="136" t="s">
        <v>11722</v>
      </c>
      <c r="D2341" s="132" t="s">
        <v>3420</v>
      </c>
      <c r="E2341" s="136" t="s">
        <v>4866</v>
      </c>
      <c r="F2341" s="136" t="s">
        <v>4866</v>
      </c>
      <c r="G2341" s="137">
        <v>1395451401001</v>
      </c>
      <c r="H2341" s="138" t="s">
        <v>6300</v>
      </c>
      <c r="I2341" s="136">
        <v>951500588</v>
      </c>
      <c r="J2341" s="131" t="s">
        <v>4909</v>
      </c>
      <c r="K2341" s="139">
        <v>63500</v>
      </c>
    </row>
    <row r="2342" spans="1:11">
      <c r="A2342" s="1" t="str">
        <f t="shared" si="36"/>
        <v>50100-842016595-951500584500000</v>
      </c>
      <c r="B2342" s="136" t="s">
        <v>4777</v>
      </c>
      <c r="C2342" s="136" t="s">
        <v>11723</v>
      </c>
      <c r="D2342" s="132" t="s">
        <v>3420</v>
      </c>
      <c r="E2342" s="136" t="s">
        <v>4866</v>
      </c>
      <c r="F2342" s="136" t="s">
        <v>4866</v>
      </c>
      <c r="G2342" s="137">
        <v>1395451401001</v>
      </c>
      <c r="H2342" s="138" t="s">
        <v>6300</v>
      </c>
      <c r="I2342" s="136">
        <v>951500584</v>
      </c>
      <c r="J2342" s="131" t="s">
        <v>4910</v>
      </c>
      <c r="K2342" s="139">
        <v>500000</v>
      </c>
    </row>
    <row r="2343" spans="1:11">
      <c r="A2343" s="1" t="str">
        <f t="shared" si="36"/>
        <v>50100-842016595-9525000996336</v>
      </c>
      <c r="B2343" s="136" t="s">
        <v>4777</v>
      </c>
      <c r="C2343" s="136" t="s">
        <v>11723</v>
      </c>
      <c r="D2343" s="132" t="s">
        <v>3420</v>
      </c>
      <c r="E2343" s="136" t="s">
        <v>4866</v>
      </c>
      <c r="F2343" s="136" t="s">
        <v>4866</v>
      </c>
      <c r="G2343" s="137">
        <v>1395451401001</v>
      </c>
      <c r="H2343" s="138" t="s">
        <v>6300</v>
      </c>
      <c r="I2343" s="136">
        <v>952500099</v>
      </c>
      <c r="J2343" s="131" t="s">
        <v>4901</v>
      </c>
      <c r="K2343" s="139">
        <v>6336</v>
      </c>
    </row>
    <row r="2344" spans="1:11">
      <c r="A2344" s="1" t="str">
        <f t="shared" si="36"/>
        <v>50100-837386695-951500480158840</v>
      </c>
      <c r="B2344" s="136" t="s">
        <v>4717</v>
      </c>
      <c r="C2344" s="136" t="s">
        <v>11724</v>
      </c>
      <c r="D2344" s="132" t="s">
        <v>3420</v>
      </c>
      <c r="E2344" s="136" t="s">
        <v>4720</v>
      </c>
      <c r="F2344" s="136" t="s">
        <v>4720</v>
      </c>
      <c r="G2344" s="137">
        <v>1395449236001</v>
      </c>
      <c r="H2344" s="138" t="s">
        <v>6298</v>
      </c>
      <c r="I2344" s="136">
        <v>951500480</v>
      </c>
      <c r="J2344" s="131" t="s">
        <v>4688</v>
      </c>
      <c r="K2344" s="139">
        <v>158840</v>
      </c>
    </row>
    <row r="2345" spans="1:11">
      <c r="A2345" s="1" t="str">
        <f t="shared" si="36"/>
        <v>50100-837465295-952500091296178</v>
      </c>
      <c r="B2345" s="136" t="s">
        <v>4712</v>
      </c>
      <c r="C2345" s="136" t="s">
        <v>11725</v>
      </c>
      <c r="D2345" s="132" t="s">
        <v>3420</v>
      </c>
      <c r="E2345" s="136" t="s">
        <v>4720</v>
      </c>
      <c r="F2345" s="136" t="s">
        <v>4720</v>
      </c>
      <c r="G2345" s="137">
        <v>1395455040001</v>
      </c>
      <c r="H2345" s="138" t="s">
        <v>11406</v>
      </c>
      <c r="I2345" s="136">
        <v>952500091</v>
      </c>
      <c r="J2345" s="131" t="s">
        <v>4726</v>
      </c>
      <c r="K2345" s="139">
        <v>296178</v>
      </c>
    </row>
    <row r="2346" spans="1:11">
      <c r="A2346" s="1" t="str">
        <f t="shared" si="36"/>
        <v>50100-840450195-952500083290643</v>
      </c>
      <c r="B2346" s="136" t="s">
        <v>4778</v>
      </c>
      <c r="C2346" s="136" t="s">
        <v>11726</v>
      </c>
      <c r="D2346" s="132" t="s">
        <v>3420</v>
      </c>
      <c r="E2346" s="136" t="s">
        <v>4869</v>
      </c>
      <c r="F2346" s="136" t="s">
        <v>4869</v>
      </c>
      <c r="G2346" s="137">
        <v>1395455038001</v>
      </c>
      <c r="H2346" s="138" t="s">
        <v>6298</v>
      </c>
      <c r="I2346" s="136">
        <v>952500083</v>
      </c>
      <c r="J2346" s="131" t="s">
        <v>4911</v>
      </c>
      <c r="K2346" s="139">
        <v>290643</v>
      </c>
    </row>
    <row r="2347" spans="1:11">
      <c r="A2347" s="1" t="str">
        <f t="shared" si="36"/>
        <v>50100-841386295-952500094493075</v>
      </c>
      <c r="B2347" s="136" t="s">
        <v>4779</v>
      </c>
      <c r="C2347" s="136" t="s">
        <v>11727</v>
      </c>
      <c r="D2347" s="132" t="s">
        <v>3420</v>
      </c>
      <c r="E2347" s="136" t="s">
        <v>4866</v>
      </c>
      <c r="F2347" s="136" t="s">
        <v>4866</v>
      </c>
      <c r="G2347" s="137">
        <v>1395455040001</v>
      </c>
      <c r="H2347" s="138" t="s">
        <v>11406</v>
      </c>
      <c r="I2347" s="136">
        <v>952500094</v>
      </c>
      <c r="J2347" s="131" t="s">
        <v>4734</v>
      </c>
      <c r="K2347" s="139">
        <v>493075</v>
      </c>
    </row>
    <row r="2348" spans="1:11">
      <c r="A2348" s="1" t="str">
        <f t="shared" si="36"/>
        <v>50100-842008795-952500098976250</v>
      </c>
      <c r="B2348" s="136" t="s">
        <v>4780</v>
      </c>
      <c r="C2348" s="136" t="s">
        <v>11728</v>
      </c>
      <c r="D2348" s="132" t="s">
        <v>3420</v>
      </c>
      <c r="E2348" s="136" t="s">
        <v>4866</v>
      </c>
      <c r="F2348" s="136" t="s">
        <v>4866</v>
      </c>
      <c r="G2348" s="137">
        <v>1395451404001</v>
      </c>
      <c r="H2348" s="138" t="s">
        <v>6456</v>
      </c>
      <c r="I2348" s="136">
        <v>952500098</v>
      </c>
      <c r="J2348" s="131" t="s">
        <v>4912</v>
      </c>
      <c r="K2348" s="139">
        <v>976250</v>
      </c>
    </row>
    <row r="2349" spans="1:11">
      <c r="A2349" s="1" t="str">
        <f t="shared" si="36"/>
        <v>50100-826469695-951500564499165</v>
      </c>
      <c r="B2349" s="136" t="s">
        <v>4781</v>
      </c>
      <c r="C2349" s="136" t="s">
        <v>11729</v>
      </c>
      <c r="D2349" s="132" t="s">
        <v>3420</v>
      </c>
      <c r="E2349" s="136" t="s">
        <v>4573</v>
      </c>
      <c r="F2349" s="136" t="s">
        <v>4573</v>
      </c>
      <c r="G2349" s="137">
        <v>1395455032001</v>
      </c>
      <c r="H2349" s="138" t="s">
        <v>11619</v>
      </c>
      <c r="I2349" s="136">
        <v>951500564</v>
      </c>
      <c r="J2349" s="131" t="s">
        <v>4913</v>
      </c>
      <c r="K2349" s="139">
        <v>499165</v>
      </c>
    </row>
    <row r="2350" spans="1:11">
      <c r="A2350" s="1" t="str">
        <f t="shared" si="36"/>
        <v>50100-839820295-951500447643704</v>
      </c>
      <c r="B2350" s="136" t="s">
        <v>4763</v>
      </c>
      <c r="C2350" s="136" t="s">
        <v>11706</v>
      </c>
      <c r="D2350" s="132" t="s">
        <v>3420</v>
      </c>
      <c r="E2350" s="136" t="s">
        <v>4868</v>
      </c>
      <c r="F2350" s="141" t="s">
        <v>4868</v>
      </c>
      <c r="G2350" s="137">
        <v>1395449243001</v>
      </c>
      <c r="H2350" s="140" t="s">
        <v>9897</v>
      </c>
      <c r="I2350" s="141">
        <v>951500447</v>
      </c>
      <c r="J2350" s="131" t="s">
        <v>4231</v>
      </c>
      <c r="K2350" s="139">
        <v>643704</v>
      </c>
    </row>
    <row r="2351" spans="1:11">
      <c r="A2351" s="1" t="str">
        <f t="shared" si="36"/>
        <v>50100-836384495-951500531246045</v>
      </c>
      <c r="B2351" s="136" t="s">
        <v>4716</v>
      </c>
      <c r="C2351" s="136" t="s">
        <v>11708</v>
      </c>
      <c r="D2351" s="132" t="s">
        <v>3420</v>
      </c>
      <c r="E2351" s="136" t="s">
        <v>4706</v>
      </c>
      <c r="F2351" s="136" t="s">
        <v>4706</v>
      </c>
      <c r="G2351" s="137">
        <v>1395447373001</v>
      </c>
      <c r="H2351" s="138" t="s">
        <v>6453</v>
      </c>
      <c r="I2351" s="136">
        <v>951500531</v>
      </c>
      <c r="J2351" s="131" t="s">
        <v>4604</v>
      </c>
      <c r="K2351" s="139">
        <v>246045</v>
      </c>
    </row>
    <row r="2352" spans="1:11">
      <c r="A2352" s="1" t="str">
        <f t="shared" si="36"/>
        <v>50100-837400995-95150048043170</v>
      </c>
      <c r="B2352" s="136" t="s">
        <v>4714</v>
      </c>
      <c r="C2352" s="136" t="s">
        <v>11730</v>
      </c>
      <c r="D2352" s="132" t="s">
        <v>3420</v>
      </c>
      <c r="E2352" s="136" t="s">
        <v>4720</v>
      </c>
      <c r="F2352" s="136" t="s">
        <v>4720</v>
      </c>
      <c r="G2352" s="137">
        <v>1395449236001</v>
      </c>
      <c r="H2352" s="138" t="s">
        <v>6298</v>
      </c>
      <c r="I2352" s="136">
        <v>951500480</v>
      </c>
      <c r="J2352" s="131" t="s">
        <v>4688</v>
      </c>
      <c r="K2352" s="139">
        <v>43170</v>
      </c>
    </row>
    <row r="2353" spans="1:11">
      <c r="A2353" s="1" t="str">
        <f t="shared" si="36"/>
        <v>50100-837400995-952500072155380</v>
      </c>
      <c r="B2353" s="136" t="s">
        <v>4714</v>
      </c>
      <c r="C2353" s="136" t="s">
        <v>11730</v>
      </c>
      <c r="D2353" s="132" t="s">
        <v>3420</v>
      </c>
      <c r="E2353" s="136" t="s">
        <v>4720</v>
      </c>
      <c r="F2353" s="136" t="s">
        <v>4720</v>
      </c>
      <c r="G2353" s="137">
        <v>1395452679001</v>
      </c>
      <c r="H2353" s="138" t="s">
        <v>6298</v>
      </c>
      <c r="I2353" s="136">
        <v>952500072</v>
      </c>
      <c r="J2353" s="131" t="s">
        <v>4722</v>
      </c>
      <c r="K2353" s="139">
        <v>155380</v>
      </c>
    </row>
    <row r="2354" spans="1:11">
      <c r="A2354" s="1" t="str">
        <f t="shared" si="36"/>
        <v>50100-837369995-9541000341094253</v>
      </c>
      <c r="B2354" s="136" t="s">
        <v>4782</v>
      </c>
      <c r="C2354" s="136" t="s">
        <v>11731</v>
      </c>
      <c r="D2354" s="132" t="s">
        <v>3420</v>
      </c>
      <c r="E2354" s="136" t="s">
        <v>4720</v>
      </c>
      <c r="F2354" s="136" t="s">
        <v>4720</v>
      </c>
      <c r="G2354" s="137">
        <v>1395460645001</v>
      </c>
      <c r="H2354" s="138" t="s">
        <v>10183</v>
      </c>
      <c r="I2354" s="136">
        <v>954100034</v>
      </c>
      <c r="J2354" s="131" t="s">
        <v>4914</v>
      </c>
      <c r="K2354" s="139">
        <v>1094253</v>
      </c>
    </row>
    <row r="2355" spans="1:11">
      <c r="A2355" s="1" t="str">
        <f t="shared" si="36"/>
        <v>50100-840574295-951500518500000</v>
      </c>
      <c r="B2355" s="136" t="s">
        <v>4783</v>
      </c>
      <c r="C2355" s="136" t="s">
        <v>11732</v>
      </c>
      <c r="D2355" s="132" t="s">
        <v>3420</v>
      </c>
      <c r="E2355" s="136" t="s">
        <v>4869</v>
      </c>
      <c r="F2355" s="136" t="s">
        <v>4869</v>
      </c>
      <c r="G2355" s="137">
        <v>1395451399001</v>
      </c>
      <c r="H2355" s="138" t="s">
        <v>10206</v>
      </c>
      <c r="I2355" s="136">
        <v>951500518</v>
      </c>
      <c r="J2355" s="131" t="s">
        <v>4896</v>
      </c>
      <c r="K2355" s="139">
        <v>500000</v>
      </c>
    </row>
    <row r="2356" spans="1:11">
      <c r="A2356" s="1" t="str">
        <f t="shared" si="36"/>
        <v>50100-841472395-951500575997975</v>
      </c>
      <c r="B2356" s="136" t="s">
        <v>4784</v>
      </c>
      <c r="C2356" s="136" t="s">
        <v>11733</v>
      </c>
      <c r="D2356" s="132" t="s">
        <v>3420</v>
      </c>
      <c r="E2356" s="136" t="s">
        <v>4866</v>
      </c>
      <c r="F2356" s="136" t="s">
        <v>4866</v>
      </c>
      <c r="G2356" s="137">
        <v>1395451404001</v>
      </c>
      <c r="H2356" s="138" t="s">
        <v>6456</v>
      </c>
      <c r="I2356" s="136">
        <v>951500575</v>
      </c>
      <c r="J2356" s="131" t="s">
        <v>4895</v>
      </c>
      <c r="K2356" s="139">
        <v>997975</v>
      </c>
    </row>
    <row r="2357" spans="1:11">
      <c r="A2357" s="1" t="str">
        <f t="shared" si="36"/>
        <v>50100-841478695-951500568502670</v>
      </c>
      <c r="B2357" s="136" t="s">
        <v>4785</v>
      </c>
      <c r="C2357" s="136" t="s">
        <v>11734</v>
      </c>
      <c r="D2357" s="132" t="s">
        <v>3420</v>
      </c>
      <c r="E2357" s="136" t="s">
        <v>4866</v>
      </c>
      <c r="F2357" s="136" t="s">
        <v>4866</v>
      </c>
      <c r="G2357" s="137">
        <v>1395451400001</v>
      </c>
      <c r="H2357" s="138" t="s">
        <v>6454</v>
      </c>
      <c r="I2357" s="136">
        <v>951500568</v>
      </c>
      <c r="J2357" s="131" t="s">
        <v>4915</v>
      </c>
      <c r="K2357" s="139">
        <v>502670</v>
      </c>
    </row>
    <row r="2358" spans="1:11">
      <c r="A2358" s="1" t="str">
        <f t="shared" si="36"/>
        <v>50100-841123895-95250008224569</v>
      </c>
      <c r="B2358" s="136" t="s">
        <v>4786</v>
      </c>
      <c r="C2358" s="136" t="s">
        <v>11735</v>
      </c>
      <c r="D2358" s="132" t="s">
        <v>3420</v>
      </c>
      <c r="E2358" s="136" t="s">
        <v>4870</v>
      </c>
      <c r="F2358" s="136" t="s">
        <v>4870</v>
      </c>
      <c r="G2358" s="137">
        <v>1395452679001</v>
      </c>
      <c r="H2358" s="138" t="s">
        <v>6298</v>
      </c>
      <c r="I2358" s="136">
        <v>952500082</v>
      </c>
      <c r="J2358" s="131" t="s">
        <v>4902</v>
      </c>
      <c r="K2358" s="139">
        <v>24569</v>
      </c>
    </row>
    <row r="2359" spans="1:11">
      <c r="A2359" s="1" t="str">
        <f t="shared" si="36"/>
        <v>50100-841123895-952500093195892</v>
      </c>
      <c r="B2359" s="136" t="s">
        <v>4786</v>
      </c>
      <c r="C2359" s="136" t="s">
        <v>11735</v>
      </c>
      <c r="D2359" s="132" t="s">
        <v>3420</v>
      </c>
      <c r="E2359" s="136" t="s">
        <v>4870</v>
      </c>
      <c r="F2359" s="136" t="s">
        <v>4870</v>
      </c>
      <c r="G2359" s="137">
        <v>1395455038001</v>
      </c>
      <c r="H2359" s="138" t="s">
        <v>6298</v>
      </c>
      <c r="I2359" s="136">
        <v>952500093</v>
      </c>
      <c r="J2359" s="131" t="s">
        <v>4916</v>
      </c>
      <c r="K2359" s="139">
        <v>195892</v>
      </c>
    </row>
    <row r="2360" spans="1:11">
      <c r="A2360" s="1" t="str">
        <f t="shared" si="36"/>
        <v>50100-841123895-952500092158924</v>
      </c>
      <c r="B2360" s="136" t="s">
        <v>4786</v>
      </c>
      <c r="C2360" s="136" t="s">
        <v>11735</v>
      </c>
      <c r="D2360" s="132" t="s">
        <v>3420</v>
      </c>
      <c r="E2360" s="136" t="s">
        <v>4870</v>
      </c>
      <c r="F2360" s="136" t="s">
        <v>4870</v>
      </c>
      <c r="G2360" s="137">
        <v>1395455038001</v>
      </c>
      <c r="H2360" s="138" t="s">
        <v>6298</v>
      </c>
      <c r="I2360" s="136">
        <v>952500092</v>
      </c>
      <c r="J2360" s="131" t="s">
        <v>4917</v>
      </c>
      <c r="K2360" s="139">
        <v>158924</v>
      </c>
    </row>
    <row r="2361" spans="1:11">
      <c r="A2361" s="1" t="str">
        <f t="shared" si="36"/>
        <v>50100-841123895-95250008320328</v>
      </c>
      <c r="B2361" s="136" t="s">
        <v>4786</v>
      </c>
      <c r="C2361" s="136" t="s">
        <v>11735</v>
      </c>
      <c r="D2361" s="132" t="s">
        <v>3420</v>
      </c>
      <c r="E2361" s="136" t="s">
        <v>4870</v>
      </c>
      <c r="F2361" s="136" t="s">
        <v>4870</v>
      </c>
      <c r="G2361" s="137">
        <v>1395455038001</v>
      </c>
      <c r="H2361" s="138" t="s">
        <v>6298</v>
      </c>
      <c r="I2361" s="136">
        <v>952500083</v>
      </c>
      <c r="J2361" s="131" t="s">
        <v>4911</v>
      </c>
      <c r="K2361" s="139">
        <v>20328</v>
      </c>
    </row>
    <row r="2362" spans="1:11">
      <c r="A2362" s="1" t="str">
        <f t="shared" si="36"/>
        <v>50100-841123895-951500546119512</v>
      </c>
      <c r="B2362" s="136" t="s">
        <v>4786</v>
      </c>
      <c r="C2362" s="136" t="s">
        <v>11735</v>
      </c>
      <c r="D2362" s="132" t="s">
        <v>3420</v>
      </c>
      <c r="E2362" s="136" t="s">
        <v>4870</v>
      </c>
      <c r="F2362" s="136" t="s">
        <v>4870</v>
      </c>
      <c r="G2362" s="137">
        <v>1395450759001</v>
      </c>
      <c r="H2362" s="138" t="s">
        <v>6454</v>
      </c>
      <c r="I2362" s="136">
        <v>951500546</v>
      </c>
      <c r="J2362" s="131" t="s">
        <v>4918</v>
      </c>
      <c r="K2362" s="139">
        <v>119512</v>
      </c>
    </row>
    <row r="2363" spans="1:11">
      <c r="A2363" s="1" t="str">
        <f t="shared" si="36"/>
        <v>50100-839833195-951500576442987</v>
      </c>
      <c r="B2363" s="136" t="s">
        <v>4787</v>
      </c>
      <c r="C2363" s="136" t="s">
        <v>11736</v>
      </c>
      <c r="D2363" s="132" t="s">
        <v>3420</v>
      </c>
      <c r="E2363" s="136" t="s">
        <v>4868</v>
      </c>
      <c r="F2363" s="136" t="s">
        <v>4868</v>
      </c>
      <c r="G2363" s="137">
        <v>1395451404001</v>
      </c>
      <c r="H2363" s="138" t="s">
        <v>6456</v>
      </c>
      <c r="I2363" s="136">
        <v>951500576</v>
      </c>
      <c r="J2363" s="131" t="s">
        <v>4919</v>
      </c>
      <c r="K2363" s="139">
        <v>442987</v>
      </c>
    </row>
    <row r="2364" spans="1:11">
      <c r="A2364" s="1" t="str">
        <f t="shared" si="36"/>
        <v>50100-839833195-95150010542080</v>
      </c>
      <c r="B2364" s="136" t="s">
        <v>4787</v>
      </c>
      <c r="C2364" s="136" t="s">
        <v>11736</v>
      </c>
      <c r="D2364" s="132" t="s">
        <v>3420</v>
      </c>
      <c r="E2364" s="136" t="s">
        <v>4868</v>
      </c>
      <c r="F2364" s="136" t="s">
        <v>4868</v>
      </c>
      <c r="G2364" s="137">
        <v>1395397990001</v>
      </c>
      <c r="H2364" s="138" t="s">
        <v>6456</v>
      </c>
      <c r="I2364" s="136">
        <v>951500105</v>
      </c>
      <c r="J2364" s="131" t="s">
        <v>3130</v>
      </c>
      <c r="K2364" s="139">
        <v>42080</v>
      </c>
    </row>
    <row r="2365" spans="1:11">
      <c r="A2365" s="1" t="str">
        <f t="shared" si="36"/>
        <v>50100-840541295-951500576485496</v>
      </c>
      <c r="B2365" s="136" t="s">
        <v>4788</v>
      </c>
      <c r="C2365" s="136" t="s">
        <v>11737</v>
      </c>
      <c r="D2365" s="132" t="s">
        <v>3420</v>
      </c>
      <c r="E2365" s="136" t="s">
        <v>4869</v>
      </c>
      <c r="F2365" s="136" t="s">
        <v>4869</v>
      </c>
      <c r="G2365" s="137">
        <v>1395451404001</v>
      </c>
      <c r="H2365" s="138" t="s">
        <v>6456</v>
      </c>
      <c r="I2365" s="136">
        <v>951500576</v>
      </c>
      <c r="J2365" s="131" t="s">
        <v>4919</v>
      </c>
      <c r="K2365" s="139">
        <v>485496</v>
      </c>
    </row>
    <row r="2366" spans="1:11">
      <c r="A2366" s="1" t="str">
        <f t="shared" si="36"/>
        <v>50100-841466095-951500527296970</v>
      </c>
      <c r="B2366" s="136" t="s">
        <v>4789</v>
      </c>
      <c r="C2366" s="136" t="s">
        <v>11738</v>
      </c>
      <c r="D2366" s="132" t="s">
        <v>3420</v>
      </c>
      <c r="E2366" s="136" t="s">
        <v>4866</v>
      </c>
      <c r="F2366" s="136" t="s">
        <v>4866</v>
      </c>
      <c r="G2366" s="137">
        <v>1395451399001</v>
      </c>
      <c r="H2366" s="138" t="s">
        <v>10206</v>
      </c>
      <c r="I2366" s="136">
        <v>951500527</v>
      </c>
      <c r="J2366" s="131" t="s">
        <v>4906</v>
      </c>
      <c r="K2366" s="139">
        <v>296970</v>
      </c>
    </row>
    <row r="2367" spans="1:11">
      <c r="A2367" s="1" t="str">
        <f t="shared" si="36"/>
        <v>50100-837422395-95150043796720</v>
      </c>
      <c r="B2367" s="136" t="s">
        <v>4718</v>
      </c>
      <c r="C2367" s="136" t="s">
        <v>11739</v>
      </c>
      <c r="D2367" s="132" t="s">
        <v>3420</v>
      </c>
      <c r="E2367" s="136" t="s">
        <v>4720</v>
      </c>
      <c r="F2367" s="136" t="s">
        <v>4720</v>
      </c>
      <c r="G2367" s="137">
        <v>1395447925001</v>
      </c>
      <c r="H2367" s="138" t="s">
        <v>6298</v>
      </c>
      <c r="I2367" s="136">
        <v>951500437</v>
      </c>
      <c r="J2367" s="131" t="s">
        <v>4588</v>
      </c>
      <c r="K2367" s="139">
        <v>96720</v>
      </c>
    </row>
    <row r="2368" spans="1:11">
      <c r="A2368" s="1" t="str">
        <f t="shared" si="36"/>
        <v>50100-837422395-951500431149992</v>
      </c>
      <c r="B2368" s="136" t="s">
        <v>4718</v>
      </c>
      <c r="C2368" s="136" t="s">
        <v>11739</v>
      </c>
      <c r="D2368" s="132" t="s">
        <v>3420</v>
      </c>
      <c r="E2368" s="136" t="s">
        <v>4720</v>
      </c>
      <c r="F2368" s="136" t="s">
        <v>4720</v>
      </c>
      <c r="G2368" s="137">
        <v>1395447925001</v>
      </c>
      <c r="H2368" s="138" t="s">
        <v>6298</v>
      </c>
      <c r="I2368" s="136">
        <v>951500431</v>
      </c>
      <c r="J2368" s="131" t="s">
        <v>4611</v>
      </c>
      <c r="K2368" s="139">
        <v>149992</v>
      </c>
    </row>
    <row r="2369" spans="1:11">
      <c r="A2369" s="1" t="str">
        <f t="shared" si="36"/>
        <v>50100-837422395-95150048051278</v>
      </c>
      <c r="B2369" s="136" t="s">
        <v>4718</v>
      </c>
      <c r="C2369" s="136" t="s">
        <v>11739</v>
      </c>
      <c r="D2369" s="132" t="s">
        <v>3420</v>
      </c>
      <c r="E2369" s="136" t="s">
        <v>4720</v>
      </c>
      <c r="F2369" s="136" t="s">
        <v>4720</v>
      </c>
      <c r="G2369" s="137">
        <v>1395449236001</v>
      </c>
      <c r="H2369" s="138" t="s">
        <v>6298</v>
      </c>
      <c r="I2369" s="136">
        <v>951500480</v>
      </c>
      <c r="J2369" s="131" t="s">
        <v>4688</v>
      </c>
      <c r="K2369" s="139">
        <v>51278</v>
      </c>
    </row>
    <row r="2370" spans="1:11">
      <c r="A2370" s="1" t="str">
        <f t="shared" si="36"/>
        <v>50100-842018695-9525000993173</v>
      </c>
      <c r="B2370" s="136" t="s">
        <v>4790</v>
      </c>
      <c r="C2370" s="136" t="s">
        <v>11740</v>
      </c>
      <c r="D2370" s="132" t="s">
        <v>3420</v>
      </c>
      <c r="E2370" s="136" t="s">
        <v>4866</v>
      </c>
      <c r="F2370" s="136" t="s">
        <v>4866</v>
      </c>
      <c r="G2370" s="137">
        <v>1395451401001</v>
      </c>
      <c r="H2370" s="138" t="s">
        <v>6300</v>
      </c>
      <c r="I2370" s="136">
        <v>952500099</v>
      </c>
      <c r="J2370" s="131" t="s">
        <v>4901</v>
      </c>
      <c r="K2370" s="139">
        <v>3173</v>
      </c>
    </row>
    <row r="2371" spans="1:11">
      <c r="A2371" s="1" t="str">
        <f t="shared" ref="A2371:A2434" si="37">B2371&amp;J2371&amp;K2371</f>
        <v>50100-842018695-951500586141814</v>
      </c>
      <c r="B2371" s="136" t="s">
        <v>4790</v>
      </c>
      <c r="C2371" s="136" t="s">
        <v>11740</v>
      </c>
      <c r="D2371" s="132" t="s">
        <v>3420</v>
      </c>
      <c r="E2371" s="136" t="s">
        <v>4866</v>
      </c>
      <c r="F2371" s="136" t="s">
        <v>4866</v>
      </c>
      <c r="G2371" s="137">
        <v>1395451401001</v>
      </c>
      <c r="H2371" s="138" t="s">
        <v>6300</v>
      </c>
      <c r="I2371" s="136">
        <v>951500586</v>
      </c>
      <c r="J2371" s="131" t="s">
        <v>4908</v>
      </c>
      <c r="K2371" s="139">
        <v>141814</v>
      </c>
    </row>
    <row r="2372" spans="1:11">
      <c r="A2372" s="1" t="str">
        <f t="shared" si="37"/>
        <v>50100-842021995-951500494300620</v>
      </c>
      <c r="B2372" s="136" t="s">
        <v>4767</v>
      </c>
      <c r="C2372" s="136" t="s">
        <v>11713</v>
      </c>
      <c r="D2372" s="132" t="s">
        <v>3420</v>
      </c>
      <c r="E2372" s="136" t="s">
        <v>4866</v>
      </c>
      <c r="F2372" s="136" t="s">
        <v>4866</v>
      </c>
      <c r="G2372" s="137">
        <v>1395449892001</v>
      </c>
      <c r="H2372" s="138" t="s">
        <v>6454</v>
      </c>
      <c r="I2372" s="136">
        <v>951500494</v>
      </c>
      <c r="J2372" s="131" t="s">
        <v>4920</v>
      </c>
      <c r="K2372" s="139">
        <v>300620</v>
      </c>
    </row>
    <row r="2373" spans="1:11">
      <c r="A2373" s="1" t="str">
        <f t="shared" si="37"/>
        <v>50100-837582895-951500447600600</v>
      </c>
      <c r="B2373" s="136" t="s">
        <v>4715</v>
      </c>
      <c r="C2373" s="136" t="s">
        <v>11741</v>
      </c>
      <c r="D2373" s="132" t="s">
        <v>3420</v>
      </c>
      <c r="E2373" s="136" t="s">
        <v>4720</v>
      </c>
      <c r="F2373" s="141" t="s">
        <v>4720</v>
      </c>
      <c r="G2373" s="137">
        <v>1395449243001</v>
      </c>
      <c r="H2373" s="140" t="s">
        <v>9897</v>
      </c>
      <c r="I2373" s="141">
        <v>951500447</v>
      </c>
      <c r="J2373" s="131" t="s">
        <v>4231</v>
      </c>
      <c r="K2373" s="139">
        <v>600600</v>
      </c>
    </row>
    <row r="2374" spans="1:11">
      <c r="A2374" s="1" t="str">
        <f t="shared" si="37"/>
        <v>50100-840246995-954200046978716</v>
      </c>
      <c r="B2374" s="136" t="s">
        <v>4791</v>
      </c>
      <c r="C2374" s="136" t="s">
        <v>11742</v>
      </c>
      <c r="D2374" s="132" t="s">
        <v>3420</v>
      </c>
      <c r="E2374" s="136" t="s">
        <v>4867</v>
      </c>
      <c r="F2374" s="136" t="s">
        <v>4867</v>
      </c>
      <c r="G2374" s="137">
        <v>1395455038001</v>
      </c>
      <c r="H2374" s="138" t="s">
        <v>6298</v>
      </c>
      <c r="I2374" s="136">
        <v>954200046</v>
      </c>
      <c r="J2374" s="131" t="s">
        <v>4921</v>
      </c>
      <c r="K2374" s="139">
        <v>978716</v>
      </c>
    </row>
    <row r="2375" spans="1:11">
      <c r="A2375" s="1" t="str">
        <f t="shared" si="37"/>
        <v>50100-840996995-952500085498000</v>
      </c>
      <c r="B2375" s="136" t="s">
        <v>4792</v>
      </c>
      <c r="C2375" s="136" t="s">
        <v>11743</v>
      </c>
      <c r="D2375" s="132" t="s">
        <v>3420</v>
      </c>
      <c r="E2375" s="136" t="s">
        <v>4870</v>
      </c>
      <c r="F2375" s="136" t="s">
        <v>4870</v>
      </c>
      <c r="G2375" s="137">
        <v>1395455038001</v>
      </c>
      <c r="H2375" s="138" t="s">
        <v>6298</v>
      </c>
      <c r="I2375" s="136">
        <v>952500085</v>
      </c>
      <c r="J2375" s="131" t="s">
        <v>4922</v>
      </c>
      <c r="K2375" s="139">
        <v>498000</v>
      </c>
    </row>
    <row r="2376" spans="1:11">
      <c r="A2376" s="1" t="str">
        <f t="shared" si="37"/>
        <v>50100-839217495-952500072317230</v>
      </c>
      <c r="B2376" s="136" t="s">
        <v>4793</v>
      </c>
      <c r="C2376" s="136" t="s">
        <v>11744</v>
      </c>
      <c r="D2376" s="132" t="s">
        <v>3420</v>
      </c>
      <c r="E2376" s="136" t="s">
        <v>4865</v>
      </c>
      <c r="F2376" s="136" t="s">
        <v>4865</v>
      </c>
      <c r="G2376" s="137">
        <v>1395452679001</v>
      </c>
      <c r="H2376" s="138" t="s">
        <v>6298</v>
      </c>
      <c r="I2376" s="136">
        <v>952500072</v>
      </c>
      <c r="J2376" s="131" t="s">
        <v>4722</v>
      </c>
      <c r="K2376" s="139">
        <v>317230</v>
      </c>
    </row>
    <row r="2377" spans="1:11">
      <c r="A2377" s="1" t="str">
        <f t="shared" si="37"/>
        <v>50100-839217495-95150043196172</v>
      </c>
      <c r="B2377" s="136" t="s">
        <v>4793</v>
      </c>
      <c r="C2377" s="136" t="s">
        <v>11744</v>
      </c>
      <c r="D2377" s="132" t="s">
        <v>3420</v>
      </c>
      <c r="E2377" s="136" t="s">
        <v>4865</v>
      </c>
      <c r="F2377" s="136" t="s">
        <v>4865</v>
      </c>
      <c r="G2377" s="137">
        <v>1395447925001</v>
      </c>
      <c r="H2377" s="138" t="s">
        <v>6298</v>
      </c>
      <c r="I2377" s="136">
        <v>951500431</v>
      </c>
      <c r="J2377" s="131" t="s">
        <v>4611</v>
      </c>
      <c r="K2377" s="139">
        <v>96172</v>
      </c>
    </row>
    <row r="2378" spans="1:11">
      <c r="A2378" s="1" t="str">
        <f t="shared" si="37"/>
        <v>50100-841095095-952500073199795</v>
      </c>
      <c r="B2378" s="136" t="s">
        <v>4766</v>
      </c>
      <c r="C2378" s="136" t="s">
        <v>11712</v>
      </c>
      <c r="D2378" s="132" t="s">
        <v>3420</v>
      </c>
      <c r="E2378" s="136" t="s">
        <v>4870</v>
      </c>
      <c r="F2378" s="136" t="s">
        <v>4870</v>
      </c>
      <c r="G2378" s="137">
        <v>1395452679001</v>
      </c>
      <c r="H2378" s="138" t="s">
        <v>6298</v>
      </c>
      <c r="I2378" s="136">
        <v>952500073</v>
      </c>
      <c r="J2378" s="131" t="s">
        <v>4923</v>
      </c>
      <c r="K2378" s="139">
        <v>199795</v>
      </c>
    </row>
    <row r="2379" spans="1:11">
      <c r="A2379" s="1" t="str">
        <f t="shared" si="37"/>
        <v>50100-841095095-952500075197812</v>
      </c>
      <c r="B2379" s="136" t="s">
        <v>4766</v>
      </c>
      <c r="C2379" s="136" t="s">
        <v>11712</v>
      </c>
      <c r="D2379" s="132" t="s">
        <v>3420</v>
      </c>
      <c r="E2379" s="136" t="s">
        <v>4870</v>
      </c>
      <c r="F2379" s="136" t="s">
        <v>4870</v>
      </c>
      <c r="G2379" s="137">
        <v>1395455038001</v>
      </c>
      <c r="H2379" s="138" t="s">
        <v>6298</v>
      </c>
      <c r="I2379" s="136">
        <v>952500075</v>
      </c>
      <c r="J2379" s="131" t="s">
        <v>4924</v>
      </c>
      <c r="K2379" s="139">
        <v>197812</v>
      </c>
    </row>
    <row r="2380" spans="1:11">
      <c r="A2380" s="1" t="str">
        <f t="shared" si="37"/>
        <v>50100-839217495-95250005947413</v>
      </c>
      <c r="B2380" s="136" t="s">
        <v>4793</v>
      </c>
      <c r="C2380" s="136" t="s">
        <v>11744</v>
      </c>
      <c r="D2380" s="132" t="s">
        <v>3420</v>
      </c>
      <c r="E2380" s="136" t="s">
        <v>4865</v>
      </c>
      <c r="F2380" s="136" t="s">
        <v>4865</v>
      </c>
      <c r="G2380" s="137">
        <v>1395441908001</v>
      </c>
      <c r="H2380" s="138" t="s">
        <v>6298</v>
      </c>
      <c r="I2380" s="136">
        <v>952500059</v>
      </c>
      <c r="J2380" s="131" t="s">
        <v>4724</v>
      </c>
      <c r="K2380" s="139">
        <v>47413</v>
      </c>
    </row>
    <row r="2381" spans="1:11">
      <c r="A2381" s="1" t="str">
        <f t="shared" si="37"/>
        <v>50100-839217495-952500082359185</v>
      </c>
      <c r="B2381" s="136" t="s">
        <v>4793</v>
      </c>
      <c r="C2381" s="136" t="s">
        <v>11744</v>
      </c>
      <c r="D2381" s="132" t="s">
        <v>3420</v>
      </c>
      <c r="E2381" s="136" t="s">
        <v>4865</v>
      </c>
      <c r="F2381" s="136" t="s">
        <v>4865</v>
      </c>
      <c r="G2381" s="137">
        <v>1395452679001</v>
      </c>
      <c r="H2381" s="138" t="s">
        <v>6298</v>
      </c>
      <c r="I2381" s="136">
        <v>952500082</v>
      </c>
      <c r="J2381" s="131" t="s">
        <v>4902</v>
      </c>
      <c r="K2381" s="139">
        <v>359185</v>
      </c>
    </row>
    <row r="2382" spans="1:11">
      <c r="A2382" s="1" t="str">
        <f t="shared" si="37"/>
        <v>50100-839217495-951500313174370</v>
      </c>
      <c r="B2382" s="136" t="s">
        <v>4793</v>
      </c>
      <c r="C2382" s="136" t="s">
        <v>11744</v>
      </c>
      <c r="D2382" s="132" t="s">
        <v>3420</v>
      </c>
      <c r="E2382" s="136" t="s">
        <v>4865</v>
      </c>
      <c r="F2382" s="136" t="s">
        <v>4865</v>
      </c>
      <c r="G2382" s="137">
        <v>1395438608001</v>
      </c>
      <c r="H2382" s="138" t="s">
        <v>10312</v>
      </c>
      <c r="I2382" s="136">
        <v>951500313</v>
      </c>
      <c r="J2382" s="131" t="s">
        <v>4674</v>
      </c>
      <c r="K2382" s="139">
        <v>174370</v>
      </c>
    </row>
    <row r="2383" spans="1:11">
      <c r="A2383" s="1" t="str">
        <f t="shared" si="37"/>
        <v>50100-841493795-9541000412729910</v>
      </c>
      <c r="B2383" s="136" t="s">
        <v>4794</v>
      </c>
      <c r="C2383" s="136" t="s">
        <v>11745</v>
      </c>
      <c r="D2383" s="132" t="s">
        <v>3420</v>
      </c>
      <c r="E2383" s="136" t="s">
        <v>4866</v>
      </c>
      <c r="F2383" s="136" t="s">
        <v>4866</v>
      </c>
      <c r="G2383" s="137">
        <v>1395468402001</v>
      </c>
      <c r="H2383" s="138" t="s">
        <v>10183</v>
      </c>
      <c r="I2383" s="136">
        <v>954100041</v>
      </c>
      <c r="J2383" s="131" t="s">
        <v>4925</v>
      </c>
      <c r="K2383" s="139">
        <v>2729910</v>
      </c>
    </row>
    <row r="2384" spans="1:11">
      <c r="A2384" s="1" t="str">
        <f t="shared" si="37"/>
        <v>50100-842018695-95150054679148</v>
      </c>
      <c r="B2384" s="136" t="s">
        <v>4790</v>
      </c>
      <c r="C2384" s="136" t="s">
        <v>11740</v>
      </c>
      <c r="D2384" s="132" t="s">
        <v>3420</v>
      </c>
      <c r="E2384" s="136" t="s">
        <v>4866</v>
      </c>
      <c r="F2384" s="136" t="s">
        <v>4866</v>
      </c>
      <c r="G2384" s="137">
        <v>1395450759001</v>
      </c>
      <c r="H2384" s="138" t="s">
        <v>6454</v>
      </c>
      <c r="I2384" s="136">
        <v>951500546</v>
      </c>
      <c r="J2384" s="131" t="s">
        <v>4918</v>
      </c>
      <c r="K2384" s="139">
        <v>79148</v>
      </c>
    </row>
    <row r="2385" spans="1:11">
      <c r="A2385" s="1" t="str">
        <f t="shared" si="37"/>
        <v>50100-842018695-95150053484720</v>
      </c>
      <c r="B2385" s="136" t="s">
        <v>4790</v>
      </c>
      <c r="C2385" s="136" t="s">
        <v>11740</v>
      </c>
      <c r="D2385" s="132" t="s">
        <v>3420</v>
      </c>
      <c r="E2385" s="136" t="s">
        <v>4866</v>
      </c>
      <c r="F2385" s="136" t="s">
        <v>4866</v>
      </c>
      <c r="G2385" s="137">
        <v>1395450759001</v>
      </c>
      <c r="H2385" s="138" t="s">
        <v>6454</v>
      </c>
      <c r="I2385" s="136">
        <v>951500534</v>
      </c>
      <c r="J2385" s="131" t="s">
        <v>4694</v>
      </c>
      <c r="K2385" s="139">
        <v>84720</v>
      </c>
    </row>
    <row r="2386" spans="1:11">
      <c r="A2386" s="1" t="str">
        <f t="shared" si="37"/>
        <v>50100-842018695-9515004232440</v>
      </c>
      <c r="B2386" s="136" t="s">
        <v>4790</v>
      </c>
      <c r="C2386" s="136" t="s">
        <v>11740</v>
      </c>
      <c r="D2386" s="132" t="s">
        <v>3420</v>
      </c>
      <c r="E2386" s="136" t="s">
        <v>4866</v>
      </c>
      <c r="F2386" s="136" t="s">
        <v>4866</v>
      </c>
      <c r="G2386" s="137">
        <v>1395447375001</v>
      </c>
      <c r="H2386" s="138" t="s">
        <v>6454</v>
      </c>
      <c r="I2386" s="136">
        <v>951500423</v>
      </c>
      <c r="J2386" s="131" t="s">
        <v>4210</v>
      </c>
      <c r="K2386" s="139">
        <v>2440</v>
      </c>
    </row>
    <row r="2387" spans="1:11">
      <c r="A2387" s="1" t="str">
        <f t="shared" si="37"/>
        <v>50100-842018695-951500568152570</v>
      </c>
      <c r="B2387" s="136" t="s">
        <v>4790</v>
      </c>
      <c r="C2387" s="136" t="s">
        <v>11740</v>
      </c>
      <c r="D2387" s="132" t="s">
        <v>3420</v>
      </c>
      <c r="E2387" s="136" t="s">
        <v>4866</v>
      </c>
      <c r="F2387" s="136" t="s">
        <v>4866</v>
      </c>
      <c r="G2387" s="137">
        <v>1395451400001</v>
      </c>
      <c r="H2387" s="138" t="s">
        <v>6454</v>
      </c>
      <c r="I2387" s="136">
        <v>951500568</v>
      </c>
      <c r="J2387" s="131" t="s">
        <v>4915</v>
      </c>
      <c r="K2387" s="139">
        <v>152570</v>
      </c>
    </row>
    <row r="2388" spans="1:11">
      <c r="A2388" s="1" t="str">
        <f t="shared" si="37"/>
        <v>50100-839217495-95150050519110</v>
      </c>
      <c r="B2388" s="136" t="s">
        <v>4793</v>
      </c>
      <c r="C2388" s="136" t="s">
        <v>11744</v>
      </c>
      <c r="D2388" s="132" t="s">
        <v>3420</v>
      </c>
      <c r="E2388" s="136" t="s">
        <v>4865</v>
      </c>
      <c r="F2388" s="136" t="s">
        <v>4865</v>
      </c>
      <c r="G2388" s="137">
        <v>1395447374001</v>
      </c>
      <c r="H2388" s="138" t="s">
        <v>6456</v>
      </c>
      <c r="I2388" s="136">
        <v>951500505</v>
      </c>
      <c r="J2388" s="131" t="s">
        <v>4491</v>
      </c>
      <c r="K2388" s="139">
        <v>19110</v>
      </c>
    </row>
    <row r="2389" spans="1:11">
      <c r="A2389" s="1" t="str">
        <f t="shared" si="37"/>
        <v>50100-841490295-9541000401086961</v>
      </c>
      <c r="B2389" s="136" t="s">
        <v>4795</v>
      </c>
      <c r="C2389" s="136" t="s">
        <v>11746</v>
      </c>
      <c r="D2389" s="132" t="s">
        <v>3420</v>
      </c>
      <c r="E2389" s="136" t="s">
        <v>4866</v>
      </c>
      <c r="F2389" s="136" t="s">
        <v>4866</v>
      </c>
      <c r="G2389" s="137">
        <v>1395468402001</v>
      </c>
      <c r="H2389" s="138" t="s">
        <v>10183</v>
      </c>
      <c r="I2389" s="136">
        <v>954100040</v>
      </c>
      <c r="J2389" s="131" t="s">
        <v>4926</v>
      </c>
      <c r="K2389" s="139">
        <v>1086961</v>
      </c>
    </row>
    <row r="2390" spans="1:11">
      <c r="A2390" s="1" t="str">
        <f t="shared" si="37"/>
        <v>50100-841456495-9525000943792</v>
      </c>
      <c r="B2390" s="136" t="s">
        <v>4796</v>
      </c>
      <c r="C2390" s="136" t="s">
        <v>11747</v>
      </c>
      <c r="D2390" s="132" t="s">
        <v>3420</v>
      </c>
      <c r="E2390" s="136" t="s">
        <v>4866</v>
      </c>
      <c r="F2390" s="136" t="s">
        <v>4866</v>
      </c>
      <c r="G2390" s="137">
        <v>1395455040001</v>
      </c>
      <c r="H2390" s="138" t="s">
        <v>11406</v>
      </c>
      <c r="I2390" s="136">
        <v>952500094</v>
      </c>
      <c r="J2390" s="131" t="s">
        <v>4734</v>
      </c>
      <c r="K2390" s="139">
        <v>3792</v>
      </c>
    </row>
    <row r="2391" spans="1:11">
      <c r="A2391" s="1" t="str">
        <f t="shared" si="37"/>
        <v>50100-841456495-95250009591173</v>
      </c>
      <c r="B2391" s="136" t="s">
        <v>4796</v>
      </c>
      <c r="C2391" s="136" t="s">
        <v>11747</v>
      </c>
      <c r="D2391" s="132" t="s">
        <v>3420</v>
      </c>
      <c r="E2391" s="136" t="s">
        <v>4866</v>
      </c>
      <c r="F2391" s="136" t="s">
        <v>4866</v>
      </c>
      <c r="G2391" s="137">
        <v>1395455040001</v>
      </c>
      <c r="H2391" s="138" t="s">
        <v>11406</v>
      </c>
      <c r="I2391" s="136">
        <v>952500095</v>
      </c>
      <c r="J2391" s="131" t="s">
        <v>4735</v>
      </c>
      <c r="K2391" s="139">
        <v>91173</v>
      </c>
    </row>
    <row r="2392" spans="1:11">
      <c r="A2392" s="1" t="str">
        <f t="shared" si="37"/>
        <v>50100-841456495-9525000961295</v>
      </c>
      <c r="B2392" s="136" t="s">
        <v>4796</v>
      </c>
      <c r="C2392" s="136" t="s">
        <v>11747</v>
      </c>
      <c r="D2392" s="132" t="s">
        <v>3420</v>
      </c>
      <c r="E2392" s="136" t="s">
        <v>4866</v>
      </c>
      <c r="F2392" s="136" t="s">
        <v>4866</v>
      </c>
      <c r="G2392" s="137">
        <v>1395455040001</v>
      </c>
      <c r="H2392" s="138" t="s">
        <v>11406</v>
      </c>
      <c r="I2392" s="136">
        <v>952500096</v>
      </c>
      <c r="J2392" s="131" t="s">
        <v>4736</v>
      </c>
      <c r="K2392" s="139">
        <v>1295</v>
      </c>
    </row>
    <row r="2393" spans="1:11">
      <c r="A2393" s="1" t="str">
        <f t="shared" si="37"/>
        <v>50100-841456495-9525000972355</v>
      </c>
      <c r="B2393" s="136" t="s">
        <v>4796</v>
      </c>
      <c r="C2393" s="136" t="s">
        <v>11747</v>
      </c>
      <c r="D2393" s="132" t="s">
        <v>3420</v>
      </c>
      <c r="E2393" s="136" t="s">
        <v>4866</v>
      </c>
      <c r="F2393" s="136" t="s">
        <v>4866</v>
      </c>
      <c r="G2393" s="137">
        <v>1395455040001</v>
      </c>
      <c r="H2393" s="138" t="s">
        <v>11406</v>
      </c>
      <c r="I2393" s="136">
        <v>952500097</v>
      </c>
      <c r="J2393" s="131" t="s">
        <v>4737</v>
      </c>
      <c r="K2393" s="139">
        <v>2355</v>
      </c>
    </row>
    <row r="2394" spans="1:11">
      <c r="A2394" s="1" t="str">
        <f t="shared" si="37"/>
        <v>50100-840450195-951500373226860</v>
      </c>
      <c r="B2394" s="136" t="s">
        <v>4778</v>
      </c>
      <c r="C2394" s="136" t="s">
        <v>11726</v>
      </c>
      <c r="D2394" s="132" t="s">
        <v>3420</v>
      </c>
      <c r="E2394" s="136" t="s">
        <v>4869</v>
      </c>
      <c r="F2394" s="136" t="s">
        <v>4869</v>
      </c>
      <c r="G2394" s="137">
        <v>1395436005001</v>
      </c>
      <c r="H2394" s="138" t="s">
        <v>6298</v>
      </c>
      <c r="I2394" s="136">
        <v>951500373</v>
      </c>
      <c r="J2394" s="131" t="s">
        <v>4927</v>
      </c>
      <c r="K2394" s="139">
        <v>226860</v>
      </c>
    </row>
    <row r="2395" spans="1:11">
      <c r="A2395" s="1" t="str">
        <f t="shared" si="37"/>
        <v>50100-840450195-9515004913447</v>
      </c>
      <c r="B2395" s="136" t="s">
        <v>4778</v>
      </c>
      <c r="C2395" s="136" t="s">
        <v>11726</v>
      </c>
      <c r="D2395" s="132" t="s">
        <v>3420</v>
      </c>
      <c r="E2395" s="136" t="s">
        <v>4869</v>
      </c>
      <c r="F2395" s="136" t="s">
        <v>4869</v>
      </c>
      <c r="G2395" s="137">
        <v>1395449236001</v>
      </c>
      <c r="H2395" s="138" t="s">
        <v>6298</v>
      </c>
      <c r="I2395" s="136">
        <v>951500491</v>
      </c>
      <c r="J2395" s="131" t="s">
        <v>4602</v>
      </c>
      <c r="K2395" s="139">
        <v>3447</v>
      </c>
    </row>
    <row r="2396" spans="1:11">
      <c r="A2396" s="1" t="str">
        <f t="shared" si="37"/>
        <v>50100-842018695-95150049457600</v>
      </c>
      <c r="B2396" s="136" t="s">
        <v>4790</v>
      </c>
      <c r="C2396" s="136" t="s">
        <v>11740</v>
      </c>
      <c r="D2396" s="132" t="s">
        <v>3420</v>
      </c>
      <c r="E2396" s="136" t="s">
        <v>4866</v>
      </c>
      <c r="F2396" s="136" t="s">
        <v>4866</v>
      </c>
      <c r="G2396" s="137">
        <v>1395449892001</v>
      </c>
      <c r="H2396" s="138" t="s">
        <v>6454</v>
      </c>
      <c r="I2396" s="136">
        <v>951500494</v>
      </c>
      <c r="J2396" s="131" t="s">
        <v>4920</v>
      </c>
      <c r="K2396" s="139">
        <v>57600</v>
      </c>
    </row>
    <row r="2397" spans="1:11">
      <c r="A2397" s="1" t="str">
        <f t="shared" si="37"/>
        <v>50100-839853695-9541000383330481</v>
      </c>
      <c r="B2397" s="136" t="s">
        <v>4797</v>
      </c>
      <c r="C2397" s="136" t="s">
        <v>11748</v>
      </c>
      <c r="D2397" s="132" t="s">
        <v>3420</v>
      </c>
      <c r="E2397" s="136" t="s">
        <v>4868</v>
      </c>
      <c r="F2397" s="136" t="s">
        <v>4868</v>
      </c>
      <c r="G2397" s="137">
        <v>1395464364001</v>
      </c>
      <c r="H2397" s="138" t="s">
        <v>10183</v>
      </c>
      <c r="I2397" s="136">
        <v>954100038</v>
      </c>
      <c r="J2397" s="131" t="s">
        <v>4928</v>
      </c>
      <c r="K2397" s="139">
        <v>3330481</v>
      </c>
    </row>
    <row r="2398" spans="1:11">
      <c r="A2398" s="1" t="str">
        <f t="shared" si="37"/>
        <v>50100-839853695-954100039916797</v>
      </c>
      <c r="B2398" s="136" t="s">
        <v>4797</v>
      </c>
      <c r="C2398" s="136" t="s">
        <v>11748</v>
      </c>
      <c r="D2398" s="132" t="s">
        <v>3420</v>
      </c>
      <c r="E2398" s="136" t="s">
        <v>4868</v>
      </c>
      <c r="F2398" s="136" t="s">
        <v>4868</v>
      </c>
      <c r="G2398" s="137">
        <v>1395457970001</v>
      </c>
      <c r="H2398" s="138" t="s">
        <v>10183</v>
      </c>
      <c r="I2398" s="136">
        <v>954100039</v>
      </c>
      <c r="J2398" s="131" t="s">
        <v>4929</v>
      </c>
      <c r="K2398" s="139">
        <v>916797</v>
      </c>
    </row>
    <row r="2399" spans="1:11">
      <c r="A2399" s="1" t="str">
        <f t="shared" si="37"/>
        <v>50100-839853695-954100037350000</v>
      </c>
      <c r="B2399" s="136" t="s">
        <v>4797</v>
      </c>
      <c r="C2399" s="136" t="s">
        <v>11748</v>
      </c>
      <c r="D2399" s="132" t="s">
        <v>3420</v>
      </c>
      <c r="E2399" s="136" t="s">
        <v>4868</v>
      </c>
      <c r="F2399" s="136" t="s">
        <v>4868</v>
      </c>
      <c r="G2399" s="137">
        <v>1395460645001</v>
      </c>
      <c r="H2399" s="138" t="s">
        <v>10183</v>
      </c>
      <c r="I2399" s="136">
        <v>954100037</v>
      </c>
      <c r="J2399" s="131" t="s">
        <v>4930</v>
      </c>
      <c r="K2399" s="139">
        <v>350000</v>
      </c>
    </row>
    <row r="2400" spans="1:11">
      <c r="A2400" s="1" t="str">
        <f t="shared" si="37"/>
        <v>50100-813313995-951500473377903</v>
      </c>
      <c r="B2400" s="136" t="s">
        <v>3982</v>
      </c>
      <c r="C2400" s="136" t="s">
        <v>11749</v>
      </c>
      <c r="D2400" s="132" t="s">
        <v>3420</v>
      </c>
      <c r="E2400" s="136" t="s">
        <v>4165</v>
      </c>
      <c r="F2400" s="136" t="s">
        <v>4165</v>
      </c>
      <c r="G2400" s="137">
        <v>1395441450001</v>
      </c>
      <c r="H2400" s="138" t="s">
        <v>6300</v>
      </c>
      <c r="I2400" s="136">
        <v>951500473</v>
      </c>
      <c r="J2400" s="131" t="s">
        <v>4188</v>
      </c>
      <c r="K2400" s="139">
        <v>377903</v>
      </c>
    </row>
    <row r="2401" spans="1:11">
      <c r="A2401" s="1" t="str">
        <f t="shared" si="37"/>
        <v>50100-811860695-952500064591228</v>
      </c>
      <c r="B2401" s="136" t="s">
        <v>3983</v>
      </c>
      <c r="C2401" s="136" t="s">
        <v>11750</v>
      </c>
      <c r="D2401" s="132" t="s">
        <v>3420</v>
      </c>
      <c r="E2401" s="136" t="s">
        <v>3967</v>
      </c>
      <c r="F2401" s="136" t="s">
        <v>3967</v>
      </c>
      <c r="G2401" s="137">
        <v>1395437986001</v>
      </c>
      <c r="H2401" s="138" t="s">
        <v>10183</v>
      </c>
      <c r="I2401" s="136">
        <v>952500064</v>
      </c>
      <c r="J2401" s="131" t="s">
        <v>4189</v>
      </c>
      <c r="K2401" s="139">
        <v>591228</v>
      </c>
    </row>
    <row r="2402" spans="1:11">
      <c r="A2402" s="1" t="str">
        <f t="shared" si="37"/>
        <v>50100-812857595-9515004641000000</v>
      </c>
      <c r="B2402" s="136" t="s">
        <v>3984</v>
      </c>
      <c r="C2402" s="136" t="s">
        <v>11751</v>
      </c>
      <c r="D2402" s="132" t="s">
        <v>3420</v>
      </c>
      <c r="E2402" s="136" t="s">
        <v>4166</v>
      </c>
      <c r="F2402" s="136" t="s">
        <v>4166</v>
      </c>
      <c r="G2402" s="137">
        <v>1395447373001</v>
      </c>
      <c r="H2402" s="138" t="s">
        <v>6453</v>
      </c>
      <c r="I2402" s="136">
        <v>951500464</v>
      </c>
      <c r="J2402" s="131" t="s">
        <v>4190</v>
      </c>
      <c r="K2402" s="139">
        <v>1000000</v>
      </c>
    </row>
    <row r="2403" spans="1:11">
      <c r="A2403" s="1" t="str">
        <f t="shared" si="37"/>
        <v>50100-813076095-951500466320675</v>
      </c>
      <c r="B2403" s="136" t="s">
        <v>3985</v>
      </c>
      <c r="C2403" s="136" t="s">
        <v>11752</v>
      </c>
      <c r="D2403" s="132" t="s">
        <v>3420</v>
      </c>
      <c r="E2403" s="136" t="s">
        <v>4165</v>
      </c>
      <c r="F2403" s="136" t="s">
        <v>4165</v>
      </c>
      <c r="G2403" s="137">
        <v>1395447373001</v>
      </c>
      <c r="H2403" s="138" t="s">
        <v>6453</v>
      </c>
      <c r="I2403" s="136">
        <v>951500466</v>
      </c>
      <c r="J2403" s="131" t="s">
        <v>4191</v>
      </c>
      <c r="K2403" s="139">
        <v>320675</v>
      </c>
    </row>
    <row r="2404" spans="1:11">
      <c r="A2404" s="1" t="str">
        <f t="shared" si="37"/>
        <v>50100-813076095-95150046151000</v>
      </c>
      <c r="B2404" s="136" t="s">
        <v>3985</v>
      </c>
      <c r="C2404" s="136" t="s">
        <v>11752</v>
      </c>
      <c r="D2404" s="132" t="s">
        <v>3420</v>
      </c>
      <c r="E2404" s="136" t="s">
        <v>4165</v>
      </c>
      <c r="F2404" s="136" t="s">
        <v>4165</v>
      </c>
      <c r="G2404" s="137">
        <v>1395447373001</v>
      </c>
      <c r="H2404" s="138" t="s">
        <v>6453</v>
      </c>
      <c r="I2404" s="136">
        <v>951500461</v>
      </c>
      <c r="J2404" s="131" t="s">
        <v>4192</v>
      </c>
      <c r="K2404" s="139">
        <v>51000</v>
      </c>
    </row>
    <row r="2405" spans="1:11">
      <c r="A2405" s="1" t="str">
        <f t="shared" si="37"/>
        <v>50100-813076095-951500499128325</v>
      </c>
      <c r="B2405" s="136" t="s">
        <v>3985</v>
      </c>
      <c r="C2405" s="136" t="s">
        <v>11752</v>
      </c>
      <c r="D2405" s="132" t="s">
        <v>3420</v>
      </c>
      <c r="E2405" s="136" t="s">
        <v>4165</v>
      </c>
      <c r="F2405" s="136" t="s">
        <v>4165</v>
      </c>
      <c r="G2405" s="137">
        <v>1395447373001</v>
      </c>
      <c r="H2405" s="138" t="s">
        <v>6453</v>
      </c>
      <c r="I2405" s="136">
        <v>951500499</v>
      </c>
      <c r="J2405" s="131" t="s">
        <v>4193</v>
      </c>
      <c r="K2405" s="139">
        <v>128325</v>
      </c>
    </row>
    <row r="2406" spans="1:11">
      <c r="A2406" s="1" t="str">
        <f t="shared" si="37"/>
        <v>50100-815359995-951500539997000</v>
      </c>
      <c r="B2406" s="136" t="s">
        <v>3986</v>
      </c>
      <c r="C2406" s="136" t="s">
        <v>11753</v>
      </c>
      <c r="D2406" s="132" t="s">
        <v>3420</v>
      </c>
      <c r="E2406" s="136" t="s">
        <v>4167</v>
      </c>
      <c r="F2406" s="136" t="s">
        <v>4167</v>
      </c>
      <c r="G2406" s="137">
        <v>1395447378001</v>
      </c>
      <c r="H2406" s="138" t="s">
        <v>6456</v>
      </c>
      <c r="I2406" s="136">
        <v>951500539</v>
      </c>
      <c r="J2406" s="131" t="s">
        <v>4194</v>
      </c>
      <c r="K2406" s="139">
        <v>997000</v>
      </c>
    </row>
    <row r="2407" spans="1:11">
      <c r="A2407" s="1" t="str">
        <f t="shared" si="37"/>
        <v>50100-813313995-951500415626707</v>
      </c>
      <c r="B2407" s="136" t="s">
        <v>3982</v>
      </c>
      <c r="C2407" s="136" t="s">
        <v>11749</v>
      </c>
      <c r="D2407" s="132" t="s">
        <v>3420</v>
      </c>
      <c r="E2407" s="136" t="s">
        <v>4165</v>
      </c>
      <c r="F2407" s="136" t="s">
        <v>4165</v>
      </c>
      <c r="G2407" s="137">
        <v>1395438160001</v>
      </c>
      <c r="H2407" s="138" t="s">
        <v>6300</v>
      </c>
      <c r="I2407" s="136">
        <v>951500415</v>
      </c>
      <c r="J2407" s="131" t="s">
        <v>4195</v>
      </c>
      <c r="K2407" s="139">
        <v>626707</v>
      </c>
    </row>
    <row r="2408" spans="1:11">
      <c r="A2408" s="1" t="str">
        <f t="shared" si="37"/>
        <v>50100-814131695-952500070585830</v>
      </c>
      <c r="B2408" s="136" t="s">
        <v>3987</v>
      </c>
      <c r="C2408" s="136" t="s">
        <v>11754</v>
      </c>
      <c r="D2408" s="132" t="s">
        <v>3420</v>
      </c>
      <c r="E2408" s="136" t="s">
        <v>4168</v>
      </c>
      <c r="F2408" s="136" t="s">
        <v>4168</v>
      </c>
      <c r="G2408" s="137">
        <v>1395447928001</v>
      </c>
      <c r="H2408" s="138" t="s">
        <v>10183</v>
      </c>
      <c r="I2408" s="136">
        <v>952500070</v>
      </c>
      <c r="J2408" s="131" t="s">
        <v>4196</v>
      </c>
      <c r="K2408" s="139">
        <v>585830</v>
      </c>
    </row>
    <row r="2409" spans="1:11">
      <c r="A2409" s="1" t="str">
        <f t="shared" si="37"/>
        <v>50100-814131695-9525000641945</v>
      </c>
      <c r="B2409" s="136" t="s">
        <v>3987</v>
      </c>
      <c r="C2409" s="136" t="s">
        <v>11754</v>
      </c>
      <c r="D2409" s="132" t="s">
        <v>3420</v>
      </c>
      <c r="E2409" s="136" t="s">
        <v>4168</v>
      </c>
      <c r="F2409" s="136" t="s">
        <v>4168</v>
      </c>
      <c r="G2409" s="137">
        <v>1395437986001</v>
      </c>
      <c r="H2409" s="138" t="s">
        <v>10183</v>
      </c>
      <c r="I2409" s="136">
        <v>952500064</v>
      </c>
      <c r="J2409" s="131" t="s">
        <v>4189</v>
      </c>
      <c r="K2409" s="139">
        <v>1945</v>
      </c>
    </row>
    <row r="2410" spans="1:11">
      <c r="A2410" s="1" t="str">
        <f t="shared" si="37"/>
        <v>50100-816408895-9515004131000</v>
      </c>
      <c r="B2410" s="136" t="s">
        <v>3988</v>
      </c>
      <c r="C2410" s="136" t="s">
        <v>11755</v>
      </c>
      <c r="D2410" s="132" t="s">
        <v>3420</v>
      </c>
      <c r="E2410" s="136" t="s">
        <v>4169</v>
      </c>
      <c r="F2410" s="136" t="s">
        <v>4169</v>
      </c>
      <c r="G2410" s="137">
        <v>1395447369001</v>
      </c>
      <c r="H2410" s="138" t="s">
        <v>6298</v>
      </c>
      <c r="I2410" s="136">
        <v>951500413</v>
      </c>
      <c r="J2410" s="131" t="s">
        <v>4197</v>
      </c>
      <c r="K2410" s="139">
        <v>1000</v>
      </c>
    </row>
    <row r="2411" spans="1:11">
      <c r="A2411" s="1" t="str">
        <f t="shared" si="37"/>
        <v>50100-812692995-952500050270000</v>
      </c>
      <c r="B2411" s="136" t="s">
        <v>3989</v>
      </c>
      <c r="C2411" s="136" t="s">
        <v>11756</v>
      </c>
      <c r="D2411" s="132" t="s">
        <v>3420</v>
      </c>
      <c r="E2411" s="136" t="s">
        <v>4166</v>
      </c>
      <c r="F2411" s="136" t="s">
        <v>4166</v>
      </c>
      <c r="G2411" s="137">
        <v>1395441908001</v>
      </c>
      <c r="H2411" s="138" t="s">
        <v>6298</v>
      </c>
      <c r="I2411" s="136">
        <v>952500050</v>
      </c>
      <c r="J2411" s="131" t="s">
        <v>4198</v>
      </c>
      <c r="K2411" s="139">
        <v>270000</v>
      </c>
    </row>
    <row r="2412" spans="1:11">
      <c r="A2412" s="1" t="str">
        <f t="shared" si="37"/>
        <v>50100-812692995-952500051284309</v>
      </c>
      <c r="B2412" s="136" t="s">
        <v>3989</v>
      </c>
      <c r="C2412" s="136" t="s">
        <v>11756</v>
      </c>
      <c r="D2412" s="132" t="s">
        <v>3420</v>
      </c>
      <c r="E2412" s="136" t="s">
        <v>4166</v>
      </c>
      <c r="F2412" s="136" t="s">
        <v>4166</v>
      </c>
      <c r="G2412" s="137">
        <v>1395441908001</v>
      </c>
      <c r="H2412" s="138" t="s">
        <v>6298</v>
      </c>
      <c r="I2412" s="136">
        <v>952500051</v>
      </c>
      <c r="J2412" s="131" t="s">
        <v>3963</v>
      </c>
      <c r="K2412" s="139">
        <v>284309</v>
      </c>
    </row>
    <row r="2413" spans="1:11">
      <c r="A2413" s="1" t="str">
        <f t="shared" si="37"/>
        <v>50100-816467095-952500068536776</v>
      </c>
      <c r="B2413" s="136" t="s">
        <v>3990</v>
      </c>
      <c r="C2413" s="136" t="s">
        <v>11757</v>
      </c>
      <c r="D2413" s="132" t="s">
        <v>3420</v>
      </c>
      <c r="E2413" s="136" t="s">
        <v>4169</v>
      </c>
      <c r="F2413" s="136" t="s">
        <v>4169</v>
      </c>
      <c r="G2413" s="137">
        <v>1395447378001</v>
      </c>
      <c r="H2413" s="138" t="s">
        <v>6456</v>
      </c>
      <c r="I2413" s="136">
        <v>952500068</v>
      </c>
      <c r="J2413" s="131" t="s">
        <v>4199</v>
      </c>
      <c r="K2413" s="139">
        <v>536776</v>
      </c>
    </row>
    <row r="2414" spans="1:11">
      <c r="A2414" s="1" t="str">
        <f t="shared" si="37"/>
        <v>50100-816467095-952500069439474</v>
      </c>
      <c r="B2414" s="136" t="s">
        <v>3990</v>
      </c>
      <c r="C2414" s="136" t="s">
        <v>11757</v>
      </c>
      <c r="D2414" s="132" t="s">
        <v>3420</v>
      </c>
      <c r="E2414" s="136" t="s">
        <v>4169</v>
      </c>
      <c r="F2414" s="136" t="s">
        <v>4169</v>
      </c>
      <c r="G2414" s="137">
        <v>1395447378001</v>
      </c>
      <c r="H2414" s="138" t="s">
        <v>6456</v>
      </c>
      <c r="I2414" s="136">
        <v>952500069</v>
      </c>
      <c r="J2414" s="131" t="s">
        <v>4200</v>
      </c>
      <c r="K2414" s="139">
        <v>439474</v>
      </c>
    </row>
    <row r="2415" spans="1:11">
      <c r="A2415" s="1" t="str">
        <f t="shared" si="37"/>
        <v>50100-812692995-951500413144691</v>
      </c>
      <c r="B2415" s="136" t="s">
        <v>3989</v>
      </c>
      <c r="C2415" s="136" t="s">
        <v>11756</v>
      </c>
      <c r="D2415" s="132" t="s">
        <v>3420</v>
      </c>
      <c r="E2415" s="136" t="s">
        <v>4166</v>
      </c>
      <c r="F2415" s="136" t="s">
        <v>4166</v>
      </c>
      <c r="G2415" s="137">
        <v>1395447369001</v>
      </c>
      <c r="H2415" s="138" t="s">
        <v>6298</v>
      </c>
      <c r="I2415" s="136">
        <v>951500413</v>
      </c>
      <c r="J2415" s="131" t="s">
        <v>4197</v>
      </c>
      <c r="K2415" s="139">
        <v>144691</v>
      </c>
    </row>
    <row r="2416" spans="1:11">
      <c r="A2416" s="1" t="str">
        <f t="shared" si="37"/>
        <v>50100-812857595-951500462300000</v>
      </c>
      <c r="B2416" s="136" t="s">
        <v>3984</v>
      </c>
      <c r="C2416" s="136" t="s">
        <v>11751</v>
      </c>
      <c r="D2416" s="132" t="s">
        <v>3420</v>
      </c>
      <c r="E2416" s="136" t="s">
        <v>4166</v>
      </c>
      <c r="F2416" s="136" t="s">
        <v>4166</v>
      </c>
      <c r="G2416" s="137">
        <v>1395447373001</v>
      </c>
      <c r="H2416" s="138" t="s">
        <v>6453</v>
      </c>
      <c r="I2416" s="136">
        <v>951500462</v>
      </c>
      <c r="J2416" s="131" t="s">
        <v>4201</v>
      </c>
      <c r="K2416" s="139">
        <v>300000</v>
      </c>
    </row>
    <row r="2417" spans="1:11">
      <c r="A2417" s="1" t="str">
        <f t="shared" si="37"/>
        <v>50100-812857595-951500466179325</v>
      </c>
      <c r="B2417" s="136" t="s">
        <v>3984</v>
      </c>
      <c r="C2417" s="136" t="s">
        <v>11751</v>
      </c>
      <c r="D2417" s="132" t="s">
        <v>3420</v>
      </c>
      <c r="E2417" s="136" t="s">
        <v>4166</v>
      </c>
      <c r="F2417" s="136" t="s">
        <v>4166</v>
      </c>
      <c r="G2417" s="137">
        <v>1395447373001</v>
      </c>
      <c r="H2417" s="138" t="s">
        <v>6453</v>
      </c>
      <c r="I2417" s="136">
        <v>951500466</v>
      </c>
      <c r="J2417" s="131" t="s">
        <v>4191</v>
      </c>
      <c r="K2417" s="139">
        <v>179325</v>
      </c>
    </row>
    <row r="2418" spans="1:11">
      <c r="A2418" s="1" t="str">
        <f t="shared" si="37"/>
        <v>50100-813096795-951500499300500</v>
      </c>
      <c r="B2418" s="136" t="s">
        <v>3991</v>
      </c>
      <c r="C2418" s="136" t="s">
        <v>11758</v>
      </c>
      <c r="D2418" s="132" t="s">
        <v>3420</v>
      </c>
      <c r="E2418" s="136" t="s">
        <v>4165</v>
      </c>
      <c r="F2418" s="136" t="s">
        <v>4165</v>
      </c>
      <c r="G2418" s="137">
        <v>1395447373001</v>
      </c>
      <c r="H2418" s="138" t="s">
        <v>6453</v>
      </c>
      <c r="I2418" s="136">
        <v>951500499</v>
      </c>
      <c r="J2418" s="131" t="s">
        <v>4193</v>
      </c>
      <c r="K2418" s="139">
        <v>300500</v>
      </c>
    </row>
    <row r="2419" spans="1:11">
      <c r="A2419" s="1" t="str">
        <f t="shared" si="37"/>
        <v>50100-813092895-951500488200000</v>
      </c>
      <c r="B2419" s="136" t="s">
        <v>3992</v>
      </c>
      <c r="C2419" s="136" t="s">
        <v>11759</v>
      </c>
      <c r="D2419" s="132" t="s">
        <v>3420</v>
      </c>
      <c r="E2419" s="136" t="s">
        <v>4165</v>
      </c>
      <c r="F2419" s="136" t="s">
        <v>4165</v>
      </c>
      <c r="G2419" s="137">
        <v>1395447373001</v>
      </c>
      <c r="H2419" s="138" t="s">
        <v>6453</v>
      </c>
      <c r="I2419" s="136">
        <v>951500488</v>
      </c>
      <c r="J2419" s="131" t="s">
        <v>4202</v>
      </c>
      <c r="K2419" s="139">
        <v>200000</v>
      </c>
    </row>
    <row r="2420" spans="1:11">
      <c r="A2420" s="1" t="str">
        <f t="shared" si="37"/>
        <v>50100-814574595-951500473999350</v>
      </c>
      <c r="B2420" s="136" t="s">
        <v>3993</v>
      </c>
      <c r="C2420" s="136" t="s">
        <v>11760</v>
      </c>
      <c r="D2420" s="132" t="s">
        <v>3420</v>
      </c>
      <c r="E2420" s="136" t="s">
        <v>4168</v>
      </c>
      <c r="F2420" s="136" t="s">
        <v>4168</v>
      </c>
      <c r="G2420" s="137">
        <v>1395441450001</v>
      </c>
      <c r="H2420" s="138" t="s">
        <v>6300</v>
      </c>
      <c r="I2420" s="136">
        <v>951500473</v>
      </c>
      <c r="J2420" s="131" t="s">
        <v>4188</v>
      </c>
      <c r="K2420" s="139">
        <v>999350</v>
      </c>
    </row>
    <row r="2421" spans="1:11">
      <c r="A2421" s="1" t="str">
        <f t="shared" si="37"/>
        <v>50100-812692995-951500394300000</v>
      </c>
      <c r="B2421" s="136" t="s">
        <v>3989</v>
      </c>
      <c r="C2421" s="136" t="s">
        <v>11756</v>
      </c>
      <c r="D2421" s="132" t="s">
        <v>3420</v>
      </c>
      <c r="E2421" s="136" t="s">
        <v>4166</v>
      </c>
      <c r="F2421" s="136" t="s">
        <v>4166</v>
      </c>
      <c r="G2421" s="137">
        <v>1395445412001</v>
      </c>
      <c r="H2421" s="138" t="s">
        <v>6298</v>
      </c>
      <c r="I2421" s="136">
        <v>951500394</v>
      </c>
      <c r="J2421" s="131" t="s">
        <v>4203</v>
      </c>
      <c r="K2421" s="139">
        <v>300000</v>
      </c>
    </row>
    <row r="2422" spans="1:11">
      <c r="A2422" s="1" t="str">
        <f t="shared" si="37"/>
        <v>50100-813869595-952500067490582</v>
      </c>
      <c r="B2422" s="136" t="s">
        <v>3994</v>
      </c>
      <c r="C2422" s="136" t="s">
        <v>11761</v>
      </c>
      <c r="D2422" s="132" t="s">
        <v>3420</v>
      </c>
      <c r="E2422" s="136" t="s">
        <v>4170</v>
      </c>
      <c r="F2422" s="136" t="s">
        <v>4170</v>
      </c>
      <c r="G2422" s="137">
        <v>1395447929001</v>
      </c>
      <c r="H2422" s="138" t="s">
        <v>11619</v>
      </c>
      <c r="I2422" s="136">
        <v>952500067</v>
      </c>
      <c r="J2422" s="131" t="s">
        <v>4204</v>
      </c>
      <c r="K2422" s="139">
        <v>490582</v>
      </c>
    </row>
    <row r="2423" spans="1:11">
      <c r="A2423" s="1" t="str">
        <f t="shared" si="37"/>
        <v>50100-815206795-95150045237408</v>
      </c>
      <c r="B2423" s="136" t="s">
        <v>3995</v>
      </c>
      <c r="C2423" s="136" t="s">
        <v>11762</v>
      </c>
      <c r="D2423" s="132" t="s">
        <v>3420</v>
      </c>
      <c r="E2423" s="136" t="s">
        <v>4171</v>
      </c>
      <c r="F2423" s="136" t="s">
        <v>4171</v>
      </c>
      <c r="G2423" s="137">
        <v>1395447377001</v>
      </c>
      <c r="H2423" s="138" t="s">
        <v>6301</v>
      </c>
      <c r="I2423" s="136">
        <v>951500452</v>
      </c>
      <c r="J2423" s="131" t="s">
        <v>4205</v>
      </c>
      <c r="K2423" s="139">
        <v>37408</v>
      </c>
    </row>
    <row r="2424" spans="1:11">
      <c r="A2424" s="1" t="str">
        <f t="shared" si="37"/>
        <v>50100-815206795-951500454960000</v>
      </c>
      <c r="B2424" s="136" t="s">
        <v>3995</v>
      </c>
      <c r="C2424" s="136" t="s">
        <v>11762</v>
      </c>
      <c r="D2424" s="132" t="s">
        <v>3420</v>
      </c>
      <c r="E2424" s="136" t="s">
        <v>4171</v>
      </c>
      <c r="F2424" s="136" t="s">
        <v>4171</v>
      </c>
      <c r="G2424" s="137">
        <v>1395447377001</v>
      </c>
      <c r="H2424" s="138" t="s">
        <v>6301</v>
      </c>
      <c r="I2424" s="136">
        <v>951500454</v>
      </c>
      <c r="J2424" s="131" t="s">
        <v>4206</v>
      </c>
      <c r="K2424" s="139">
        <v>960000</v>
      </c>
    </row>
    <row r="2425" spans="1:11">
      <c r="A2425" s="1" t="str">
        <f t="shared" si="37"/>
        <v>50100-814002295-951500445732600</v>
      </c>
      <c r="B2425" s="136" t="s">
        <v>3996</v>
      </c>
      <c r="C2425" s="136" t="s">
        <v>11763</v>
      </c>
      <c r="D2425" s="132" t="s">
        <v>3420</v>
      </c>
      <c r="E2425" s="136" t="s">
        <v>4170</v>
      </c>
      <c r="F2425" s="136" t="s">
        <v>4170</v>
      </c>
      <c r="G2425" s="137">
        <v>1395447374001</v>
      </c>
      <c r="H2425" s="138" t="s">
        <v>6456</v>
      </c>
      <c r="I2425" s="136">
        <v>951500445</v>
      </c>
      <c r="J2425" s="131" t="s">
        <v>4207</v>
      </c>
      <c r="K2425" s="139">
        <v>732600</v>
      </c>
    </row>
    <row r="2426" spans="1:11">
      <c r="A2426" s="1" t="str">
        <f t="shared" si="37"/>
        <v>50100-815486095-95150049971650</v>
      </c>
      <c r="B2426" s="136" t="s">
        <v>3997</v>
      </c>
      <c r="C2426" s="136" t="s">
        <v>11764</v>
      </c>
      <c r="D2426" s="132" t="s">
        <v>3420</v>
      </c>
      <c r="E2426" s="136" t="s">
        <v>4167</v>
      </c>
      <c r="F2426" s="136" t="s">
        <v>4167</v>
      </c>
      <c r="G2426" s="137">
        <v>1395447373001</v>
      </c>
      <c r="H2426" s="138" t="s">
        <v>6453</v>
      </c>
      <c r="I2426" s="136">
        <v>951500499</v>
      </c>
      <c r="J2426" s="131" t="s">
        <v>4193</v>
      </c>
      <c r="K2426" s="139">
        <v>71650</v>
      </c>
    </row>
    <row r="2427" spans="1:11">
      <c r="A2427" s="1" t="str">
        <f t="shared" si="37"/>
        <v>50100-815486095-951500500925350</v>
      </c>
      <c r="B2427" s="136" t="s">
        <v>3997</v>
      </c>
      <c r="C2427" s="136" t="s">
        <v>11764</v>
      </c>
      <c r="D2427" s="132" t="s">
        <v>3420</v>
      </c>
      <c r="E2427" s="136" t="s">
        <v>4167</v>
      </c>
      <c r="F2427" s="136" t="s">
        <v>4167</v>
      </c>
      <c r="G2427" s="137">
        <v>1395447373001</v>
      </c>
      <c r="H2427" s="138" t="s">
        <v>6453</v>
      </c>
      <c r="I2427" s="136">
        <v>951500500</v>
      </c>
      <c r="J2427" s="131" t="s">
        <v>4208</v>
      </c>
      <c r="K2427" s="139">
        <v>925350</v>
      </c>
    </row>
    <row r="2428" spans="1:11">
      <c r="A2428" s="1" t="str">
        <f t="shared" si="37"/>
        <v>50100-812781795-951500415499910</v>
      </c>
      <c r="B2428" s="136" t="s">
        <v>3998</v>
      </c>
      <c r="C2428" s="136" t="s">
        <v>11765</v>
      </c>
      <c r="D2428" s="132" t="s">
        <v>3420</v>
      </c>
      <c r="E2428" s="136" t="s">
        <v>4166</v>
      </c>
      <c r="F2428" s="136" t="s">
        <v>4166</v>
      </c>
      <c r="G2428" s="137">
        <v>1395438160001</v>
      </c>
      <c r="H2428" s="138" t="s">
        <v>6300</v>
      </c>
      <c r="I2428" s="136">
        <v>951500415</v>
      </c>
      <c r="J2428" s="131" t="s">
        <v>4195</v>
      </c>
      <c r="K2428" s="139">
        <v>499910</v>
      </c>
    </row>
    <row r="2429" spans="1:11">
      <c r="A2429" s="1" t="str">
        <f t="shared" si="37"/>
        <v>50100-812857595-951500463501475</v>
      </c>
      <c r="B2429" s="136" t="s">
        <v>3984</v>
      </c>
      <c r="C2429" s="136" t="s">
        <v>11751</v>
      </c>
      <c r="D2429" s="132" t="s">
        <v>3420</v>
      </c>
      <c r="E2429" s="136" t="s">
        <v>4166</v>
      </c>
      <c r="F2429" s="136" t="s">
        <v>4166</v>
      </c>
      <c r="G2429" s="137">
        <v>1395447373001</v>
      </c>
      <c r="H2429" s="138" t="s">
        <v>6453</v>
      </c>
      <c r="I2429" s="136">
        <v>951500463</v>
      </c>
      <c r="J2429" s="131" t="s">
        <v>4209</v>
      </c>
      <c r="K2429" s="139">
        <v>501475</v>
      </c>
    </row>
    <row r="2430" spans="1:11">
      <c r="A2430" s="1" t="str">
        <f t="shared" si="37"/>
        <v>50100-816377495-951500423997020</v>
      </c>
      <c r="B2430" s="136" t="s">
        <v>3999</v>
      </c>
      <c r="C2430" s="136" t="s">
        <v>11766</v>
      </c>
      <c r="D2430" s="132" t="s">
        <v>3420</v>
      </c>
      <c r="E2430" s="136" t="s">
        <v>4169</v>
      </c>
      <c r="F2430" s="136" t="s">
        <v>4169</v>
      </c>
      <c r="G2430" s="137">
        <v>1395447375001</v>
      </c>
      <c r="H2430" s="138" t="s">
        <v>6454</v>
      </c>
      <c r="I2430" s="136">
        <v>951500423</v>
      </c>
      <c r="J2430" s="131" t="s">
        <v>4210</v>
      </c>
      <c r="K2430" s="139">
        <v>997020</v>
      </c>
    </row>
    <row r="2431" spans="1:11">
      <c r="A2431" s="1" t="str">
        <f t="shared" si="37"/>
        <v>50100-817125295-951500506966142</v>
      </c>
      <c r="B2431" s="136" t="s">
        <v>4000</v>
      </c>
      <c r="C2431" s="136" t="s">
        <v>11767</v>
      </c>
      <c r="D2431" s="132" t="s">
        <v>3420</v>
      </c>
      <c r="E2431" s="136" t="s">
        <v>4172</v>
      </c>
      <c r="F2431" s="136" t="s">
        <v>4172</v>
      </c>
      <c r="G2431" s="137">
        <v>1395447374001</v>
      </c>
      <c r="H2431" s="138" t="s">
        <v>6456</v>
      </c>
      <c r="I2431" s="136">
        <v>951500506</v>
      </c>
      <c r="J2431" s="131" t="s">
        <v>4211</v>
      </c>
      <c r="K2431" s="139">
        <v>966142</v>
      </c>
    </row>
    <row r="2432" spans="1:11">
      <c r="A2432" s="1" t="str">
        <f t="shared" si="37"/>
        <v>50100-817125295-95150052837328</v>
      </c>
      <c r="B2432" s="136" t="s">
        <v>4000</v>
      </c>
      <c r="C2432" s="136" t="s">
        <v>11767</v>
      </c>
      <c r="D2432" s="132" t="s">
        <v>3420</v>
      </c>
      <c r="E2432" s="136" t="s">
        <v>4172</v>
      </c>
      <c r="F2432" s="136" t="s">
        <v>4172</v>
      </c>
      <c r="G2432" s="137">
        <v>1395447374001</v>
      </c>
      <c r="H2432" s="138" t="s">
        <v>6456</v>
      </c>
      <c r="I2432" s="136">
        <v>951500528</v>
      </c>
      <c r="J2432" s="131" t="s">
        <v>4212</v>
      </c>
      <c r="K2432" s="139">
        <v>37328</v>
      </c>
    </row>
    <row r="2433" spans="1:11">
      <c r="A2433" s="1" t="str">
        <f t="shared" si="37"/>
        <v>50100-817361495-95150032785696</v>
      </c>
      <c r="B2433" s="136" t="s">
        <v>4001</v>
      </c>
      <c r="C2433" s="136" t="s">
        <v>11768</v>
      </c>
      <c r="D2433" s="132" t="s">
        <v>3420</v>
      </c>
      <c r="E2433" s="136" t="s">
        <v>4172</v>
      </c>
      <c r="F2433" s="136" t="s">
        <v>4172</v>
      </c>
      <c r="G2433" s="137">
        <v>1395438159001</v>
      </c>
      <c r="H2433" s="138" t="s">
        <v>6298</v>
      </c>
      <c r="I2433" s="136">
        <v>951500327</v>
      </c>
      <c r="J2433" s="131" t="s">
        <v>4213</v>
      </c>
      <c r="K2433" s="139">
        <v>85696</v>
      </c>
    </row>
    <row r="2434" spans="1:11">
      <c r="A2434" s="1" t="str">
        <f t="shared" si="37"/>
        <v>50100-814687295-951500529472950</v>
      </c>
      <c r="B2434" s="136" t="s">
        <v>4002</v>
      </c>
      <c r="C2434" s="136" t="s">
        <v>11769</v>
      </c>
      <c r="D2434" s="132" t="s">
        <v>3420</v>
      </c>
      <c r="E2434" s="136" t="s">
        <v>4168</v>
      </c>
      <c r="F2434" s="136" t="s">
        <v>4168</v>
      </c>
      <c r="G2434" s="137">
        <v>1395447373001</v>
      </c>
      <c r="H2434" s="138" t="s">
        <v>6453</v>
      </c>
      <c r="I2434" s="136">
        <v>951500529</v>
      </c>
      <c r="J2434" s="131" t="s">
        <v>4214</v>
      </c>
      <c r="K2434" s="139">
        <v>472950</v>
      </c>
    </row>
    <row r="2435" spans="1:11">
      <c r="A2435" s="1" t="str">
        <f t="shared" ref="A2435:A2498" si="38">B2435&amp;J2435&amp;K2435</f>
        <v>50100-816786495-951500445990000</v>
      </c>
      <c r="B2435" s="136" t="s">
        <v>4003</v>
      </c>
      <c r="C2435" s="136" t="s">
        <v>11770</v>
      </c>
      <c r="D2435" s="132" t="s">
        <v>3420</v>
      </c>
      <c r="E2435" s="136" t="s">
        <v>4173</v>
      </c>
      <c r="F2435" s="136" t="s">
        <v>4173</v>
      </c>
      <c r="G2435" s="137">
        <v>1395447374001</v>
      </c>
      <c r="H2435" s="138" t="s">
        <v>6456</v>
      </c>
      <c r="I2435" s="136">
        <v>951500445</v>
      </c>
      <c r="J2435" s="131" t="s">
        <v>4207</v>
      </c>
      <c r="K2435" s="139">
        <v>990000</v>
      </c>
    </row>
    <row r="2436" spans="1:11">
      <c r="A2436" s="1" t="str">
        <f t="shared" si="38"/>
        <v>50100-817361495-951500413217004</v>
      </c>
      <c r="B2436" s="136" t="s">
        <v>4001</v>
      </c>
      <c r="C2436" s="136" t="s">
        <v>11768</v>
      </c>
      <c r="D2436" s="132" t="s">
        <v>3420</v>
      </c>
      <c r="E2436" s="136" t="s">
        <v>4172</v>
      </c>
      <c r="F2436" s="136" t="s">
        <v>4172</v>
      </c>
      <c r="G2436" s="137">
        <v>1395447369001</v>
      </c>
      <c r="H2436" s="138" t="s">
        <v>6298</v>
      </c>
      <c r="I2436" s="136">
        <v>951500413</v>
      </c>
      <c r="J2436" s="131" t="s">
        <v>4197</v>
      </c>
      <c r="K2436" s="139">
        <v>217004</v>
      </c>
    </row>
    <row r="2437" spans="1:11">
      <c r="A2437" s="1" t="str">
        <f t="shared" si="38"/>
        <v>50100-817361495-951500328200000</v>
      </c>
      <c r="B2437" s="136" t="s">
        <v>4001</v>
      </c>
      <c r="C2437" s="136" t="s">
        <v>11768</v>
      </c>
      <c r="D2437" s="132" t="s">
        <v>3420</v>
      </c>
      <c r="E2437" s="136" t="s">
        <v>4172</v>
      </c>
      <c r="F2437" s="136" t="s">
        <v>4172</v>
      </c>
      <c r="G2437" s="137">
        <v>1395438159001</v>
      </c>
      <c r="H2437" s="138" t="s">
        <v>6298</v>
      </c>
      <c r="I2437" s="136">
        <v>951500328</v>
      </c>
      <c r="J2437" s="131" t="s">
        <v>4215</v>
      </c>
      <c r="K2437" s="139">
        <v>200000</v>
      </c>
    </row>
    <row r="2438" spans="1:11">
      <c r="A2438" s="1" t="str">
        <f t="shared" si="38"/>
        <v>50100-815090095-951500325199500</v>
      </c>
      <c r="B2438" s="136" t="s">
        <v>4004</v>
      </c>
      <c r="C2438" s="136" t="s">
        <v>11771</v>
      </c>
      <c r="D2438" s="132" t="s">
        <v>3420</v>
      </c>
      <c r="E2438" s="136" t="s">
        <v>4171</v>
      </c>
      <c r="F2438" s="136" t="s">
        <v>4171</v>
      </c>
      <c r="G2438" s="137">
        <v>1395438159001</v>
      </c>
      <c r="H2438" s="138" t="s">
        <v>6298</v>
      </c>
      <c r="I2438" s="136">
        <v>951500325</v>
      </c>
      <c r="J2438" s="131" t="s">
        <v>4216</v>
      </c>
      <c r="K2438" s="139">
        <v>199500</v>
      </c>
    </row>
    <row r="2439" spans="1:11">
      <c r="A2439" s="1" t="str">
        <f t="shared" si="38"/>
        <v>50100-815090095-951500413195500</v>
      </c>
      <c r="B2439" s="136" t="s">
        <v>4004</v>
      </c>
      <c r="C2439" s="136" t="s">
        <v>11771</v>
      </c>
      <c r="D2439" s="132" t="s">
        <v>3420</v>
      </c>
      <c r="E2439" s="136" t="s">
        <v>4171</v>
      </c>
      <c r="F2439" s="136" t="s">
        <v>4171</v>
      </c>
      <c r="G2439" s="137">
        <v>1395447369001</v>
      </c>
      <c r="H2439" s="138" t="s">
        <v>6298</v>
      </c>
      <c r="I2439" s="136">
        <v>951500413</v>
      </c>
      <c r="J2439" s="131" t="s">
        <v>4197</v>
      </c>
      <c r="K2439" s="139">
        <v>195500</v>
      </c>
    </row>
    <row r="2440" spans="1:11">
      <c r="A2440" s="1" t="str">
        <f t="shared" si="38"/>
        <v>50100-815224995-951500452749320</v>
      </c>
      <c r="B2440" s="136" t="s">
        <v>4005</v>
      </c>
      <c r="C2440" s="136" t="s">
        <v>11772</v>
      </c>
      <c r="D2440" s="132" t="s">
        <v>3420</v>
      </c>
      <c r="E2440" s="136" t="s">
        <v>4171</v>
      </c>
      <c r="F2440" s="136" t="s">
        <v>4171</v>
      </c>
      <c r="G2440" s="137">
        <v>1395447377001</v>
      </c>
      <c r="H2440" s="138" t="s">
        <v>6301</v>
      </c>
      <c r="I2440" s="136">
        <v>951500452</v>
      </c>
      <c r="J2440" s="131" t="s">
        <v>4205</v>
      </c>
      <c r="K2440" s="139">
        <v>749320</v>
      </c>
    </row>
    <row r="2441" spans="1:11">
      <c r="A2441" s="1" t="str">
        <f t="shared" si="38"/>
        <v>50100-815090095-951500330100000</v>
      </c>
      <c r="B2441" s="136" t="s">
        <v>4004</v>
      </c>
      <c r="C2441" s="136" t="s">
        <v>11771</v>
      </c>
      <c r="D2441" s="132" t="s">
        <v>3420</v>
      </c>
      <c r="E2441" s="136" t="s">
        <v>4171</v>
      </c>
      <c r="F2441" s="136" t="s">
        <v>4171</v>
      </c>
      <c r="G2441" s="137">
        <v>1395438159001</v>
      </c>
      <c r="H2441" s="138" t="s">
        <v>6298</v>
      </c>
      <c r="I2441" s="136">
        <v>951500330</v>
      </c>
      <c r="J2441" s="131" t="s">
        <v>4217</v>
      </c>
      <c r="K2441" s="139">
        <v>100000</v>
      </c>
    </row>
    <row r="2442" spans="1:11">
      <c r="A2442" s="1" t="str">
        <f t="shared" si="38"/>
        <v>50100-813181195-952500057500000</v>
      </c>
      <c r="B2442" s="136" t="s">
        <v>4006</v>
      </c>
      <c r="C2442" s="136" t="s">
        <v>11773</v>
      </c>
      <c r="D2442" s="132" t="s">
        <v>3420</v>
      </c>
      <c r="E2442" s="136" t="s">
        <v>4165</v>
      </c>
      <c r="F2442" s="136" t="s">
        <v>4165</v>
      </c>
      <c r="G2442" s="137">
        <v>1395447376001</v>
      </c>
      <c r="H2442" s="138" t="s">
        <v>11674</v>
      </c>
      <c r="I2442" s="136">
        <v>952500057</v>
      </c>
      <c r="J2442" s="131" t="s">
        <v>4218</v>
      </c>
      <c r="K2442" s="139">
        <v>500000</v>
      </c>
    </row>
    <row r="2443" spans="1:11">
      <c r="A2443" s="1" t="str">
        <f t="shared" si="38"/>
        <v>50100-811884595-951500416740</v>
      </c>
      <c r="B2443" s="136" t="s">
        <v>4007</v>
      </c>
      <c r="C2443" s="136" t="s">
        <v>11774</v>
      </c>
      <c r="D2443" s="132" t="s">
        <v>3420</v>
      </c>
      <c r="E2443" s="136" t="s">
        <v>3967</v>
      </c>
      <c r="F2443" s="136" t="s">
        <v>3967</v>
      </c>
      <c r="G2443" s="137">
        <v>1395447373001</v>
      </c>
      <c r="H2443" s="138" t="s">
        <v>6453</v>
      </c>
      <c r="I2443" s="136">
        <v>951500416</v>
      </c>
      <c r="J2443" s="131" t="s">
        <v>4219</v>
      </c>
      <c r="K2443" s="139">
        <v>740</v>
      </c>
    </row>
    <row r="2444" spans="1:11">
      <c r="A2444" s="1" t="str">
        <f t="shared" si="38"/>
        <v>50100-811884595-951500488199060</v>
      </c>
      <c r="B2444" s="136" t="s">
        <v>4007</v>
      </c>
      <c r="C2444" s="136" t="s">
        <v>11774</v>
      </c>
      <c r="D2444" s="132" t="s">
        <v>3420</v>
      </c>
      <c r="E2444" s="136" t="s">
        <v>3967</v>
      </c>
      <c r="F2444" s="136" t="s">
        <v>3967</v>
      </c>
      <c r="G2444" s="137">
        <v>1395447373001</v>
      </c>
      <c r="H2444" s="138" t="s">
        <v>6453</v>
      </c>
      <c r="I2444" s="136">
        <v>951500488</v>
      </c>
      <c r="J2444" s="131" t="s">
        <v>4202</v>
      </c>
      <c r="K2444" s="139">
        <v>199060</v>
      </c>
    </row>
    <row r="2445" spans="1:11">
      <c r="A2445" s="1" t="str">
        <f t="shared" si="38"/>
        <v>50100-813181195-9525000581889</v>
      </c>
      <c r="B2445" s="136" t="s">
        <v>4006</v>
      </c>
      <c r="C2445" s="136" t="s">
        <v>11773</v>
      </c>
      <c r="D2445" s="132" t="s">
        <v>3420</v>
      </c>
      <c r="E2445" s="136" t="s">
        <v>4165</v>
      </c>
      <c r="F2445" s="136" t="s">
        <v>4165</v>
      </c>
      <c r="G2445" s="137">
        <v>1395447376001</v>
      </c>
      <c r="H2445" s="138" t="s">
        <v>11674</v>
      </c>
      <c r="I2445" s="136">
        <v>952500058</v>
      </c>
      <c r="J2445" s="131" t="s">
        <v>4220</v>
      </c>
      <c r="K2445" s="139">
        <v>1889</v>
      </c>
    </row>
    <row r="2446" spans="1:11">
      <c r="A2446" s="1" t="str">
        <f t="shared" si="38"/>
        <v>50100-815224995-951500465249866</v>
      </c>
      <c r="B2446" s="136" t="s">
        <v>4005</v>
      </c>
      <c r="C2446" s="136" t="s">
        <v>11772</v>
      </c>
      <c r="D2446" s="132" t="s">
        <v>3420</v>
      </c>
      <c r="E2446" s="136" t="s">
        <v>4171</v>
      </c>
      <c r="F2446" s="136" t="s">
        <v>4171</v>
      </c>
      <c r="G2446" s="137">
        <v>1395447377001</v>
      </c>
      <c r="H2446" s="138" t="s">
        <v>6301</v>
      </c>
      <c r="I2446" s="136">
        <v>951500465</v>
      </c>
      <c r="J2446" s="131" t="s">
        <v>4221</v>
      </c>
      <c r="K2446" s="139">
        <v>249866</v>
      </c>
    </row>
    <row r="2447" spans="1:11">
      <c r="A2447" s="1" t="str">
        <f t="shared" si="38"/>
        <v>50100-812521095-95150036934340</v>
      </c>
      <c r="B2447" s="136" t="s">
        <v>4008</v>
      </c>
      <c r="C2447" s="136" t="s">
        <v>11775</v>
      </c>
      <c r="D2447" s="132" t="s">
        <v>3420</v>
      </c>
      <c r="E2447" s="136" t="s">
        <v>4166</v>
      </c>
      <c r="F2447" s="136" t="s">
        <v>4166</v>
      </c>
      <c r="G2447" s="137">
        <v>1395438159001</v>
      </c>
      <c r="H2447" s="138" t="s">
        <v>6298</v>
      </c>
      <c r="I2447" s="136">
        <v>951500369</v>
      </c>
      <c r="J2447" s="131" t="s">
        <v>3961</v>
      </c>
      <c r="K2447" s="139">
        <v>34340</v>
      </c>
    </row>
    <row r="2448" spans="1:11">
      <c r="A2448" s="1" t="str">
        <f t="shared" si="38"/>
        <v>50100-812521095-951500413212005</v>
      </c>
      <c r="B2448" s="136" t="s">
        <v>4008</v>
      </c>
      <c r="C2448" s="136" t="s">
        <v>11775</v>
      </c>
      <c r="D2448" s="132" t="s">
        <v>3420</v>
      </c>
      <c r="E2448" s="136" t="s">
        <v>4166</v>
      </c>
      <c r="F2448" s="136" t="s">
        <v>4166</v>
      </c>
      <c r="G2448" s="137">
        <v>1395447369001</v>
      </c>
      <c r="H2448" s="138" t="s">
        <v>6298</v>
      </c>
      <c r="I2448" s="136">
        <v>951500413</v>
      </c>
      <c r="J2448" s="131" t="s">
        <v>4197</v>
      </c>
      <c r="K2448" s="139">
        <v>212005</v>
      </c>
    </row>
    <row r="2449" spans="1:11">
      <c r="A2449" s="1" t="str">
        <f t="shared" si="38"/>
        <v>50100-812809795-952500068976250</v>
      </c>
      <c r="B2449" s="136" t="s">
        <v>4009</v>
      </c>
      <c r="C2449" s="136" t="s">
        <v>11776</v>
      </c>
      <c r="D2449" s="132" t="s">
        <v>3420</v>
      </c>
      <c r="E2449" s="136" t="s">
        <v>4166</v>
      </c>
      <c r="F2449" s="136" t="s">
        <v>4166</v>
      </c>
      <c r="G2449" s="137">
        <v>1395447378001</v>
      </c>
      <c r="H2449" s="138" t="s">
        <v>6456</v>
      </c>
      <c r="I2449" s="136">
        <v>952500068</v>
      </c>
      <c r="J2449" s="131" t="s">
        <v>4199</v>
      </c>
      <c r="K2449" s="139">
        <v>976250</v>
      </c>
    </row>
    <row r="2450" spans="1:11">
      <c r="A2450" s="1" t="str">
        <f t="shared" si="38"/>
        <v>50100-814695095-951500499499525</v>
      </c>
      <c r="B2450" s="136" t="s">
        <v>4010</v>
      </c>
      <c r="C2450" s="136" t="s">
        <v>11777</v>
      </c>
      <c r="D2450" s="132" t="s">
        <v>3420</v>
      </c>
      <c r="E2450" s="136" t="s">
        <v>4168</v>
      </c>
      <c r="F2450" s="136" t="s">
        <v>4168</v>
      </c>
      <c r="G2450" s="137">
        <v>1395447373001</v>
      </c>
      <c r="H2450" s="138" t="s">
        <v>6453</v>
      </c>
      <c r="I2450" s="136">
        <v>951500499</v>
      </c>
      <c r="J2450" s="131" t="s">
        <v>4193</v>
      </c>
      <c r="K2450" s="139">
        <v>499525</v>
      </c>
    </row>
    <row r="2451" spans="1:11">
      <c r="A2451" s="1" t="str">
        <f t="shared" si="38"/>
        <v>50100-817119695-951500539503000</v>
      </c>
      <c r="B2451" s="136" t="s">
        <v>4011</v>
      </c>
      <c r="C2451" s="136" t="s">
        <v>11778</v>
      </c>
      <c r="D2451" s="132" t="s">
        <v>3420</v>
      </c>
      <c r="E2451" s="136" t="s">
        <v>4172</v>
      </c>
      <c r="F2451" s="136" t="s">
        <v>4172</v>
      </c>
      <c r="G2451" s="137">
        <v>1395447378001</v>
      </c>
      <c r="H2451" s="138" t="s">
        <v>6456</v>
      </c>
      <c r="I2451" s="136">
        <v>951500539</v>
      </c>
      <c r="J2451" s="131" t="s">
        <v>4194</v>
      </c>
      <c r="K2451" s="139">
        <v>503000</v>
      </c>
    </row>
    <row r="2452" spans="1:11">
      <c r="A2452" s="1" t="str">
        <f t="shared" si="38"/>
        <v>50100-817119695-951500528487000</v>
      </c>
      <c r="B2452" s="136" t="s">
        <v>4011</v>
      </c>
      <c r="C2452" s="136" t="s">
        <v>11778</v>
      </c>
      <c r="D2452" s="132" t="s">
        <v>3420</v>
      </c>
      <c r="E2452" s="136" t="s">
        <v>4172</v>
      </c>
      <c r="F2452" s="136" t="s">
        <v>4172</v>
      </c>
      <c r="G2452" s="137">
        <v>1395447374001</v>
      </c>
      <c r="H2452" s="138" t="s">
        <v>6456</v>
      </c>
      <c r="I2452" s="136">
        <v>951500528</v>
      </c>
      <c r="J2452" s="131" t="s">
        <v>4212</v>
      </c>
      <c r="K2452" s="139">
        <v>487000</v>
      </c>
    </row>
    <row r="2453" spans="1:11">
      <c r="A2453" s="1" t="str">
        <f t="shared" si="38"/>
        <v>50100-811828395-95150050629752</v>
      </c>
      <c r="B2453" s="136" t="s">
        <v>4012</v>
      </c>
      <c r="C2453" s="136" t="s">
        <v>11779</v>
      </c>
      <c r="D2453" s="132" t="s">
        <v>3420</v>
      </c>
      <c r="E2453" s="136" t="s">
        <v>3967</v>
      </c>
      <c r="F2453" s="136" t="s">
        <v>3967</v>
      </c>
      <c r="G2453" s="137">
        <v>1395447374001</v>
      </c>
      <c r="H2453" s="138" t="s">
        <v>6456</v>
      </c>
      <c r="I2453" s="136">
        <v>951500506</v>
      </c>
      <c r="J2453" s="131" t="s">
        <v>4211</v>
      </c>
      <c r="K2453" s="139">
        <v>29752</v>
      </c>
    </row>
    <row r="2454" spans="1:11">
      <c r="A2454" s="1" t="str">
        <f t="shared" si="38"/>
        <v>50100-813651495-951500452213272</v>
      </c>
      <c r="B2454" s="136" t="s">
        <v>4013</v>
      </c>
      <c r="C2454" s="136" t="s">
        <v>11780</v>
      </c>
      <c r="D2454" s="132" t="s">
        <v>3420</v>
      </c>
      <c r="E2454" s="136" t="s">
        <v>4170</v>
      </c>
      <c r="F2454" s="136" t="s">
        <v>4170</v>
      </c>
      <c r="G2454" s="137">
        <v>1395447377001</v>
      </c>
      <c r="H2454" s="138" t="s">
        <v>6301</v>
      </c>
      <c r="I2454" s="136">
        <v>951500452</v>
      </c>
      <c r="J2454" s="131" t="s">
        <v>4205</v>
      </c>
      <c r="K2454" s="139">
        <v>213272</v>
      </c>
    </row>
    <row r="2455" spans="1:11">
      <c r="A2455" s="1" t="str">
        <f t="shared" si="38"/>
        <v>50100-811828395-9515004461276408</v>
      </c>
      <c r="B2455" s="136" t="s">
        <v>4012</v>
      </c>
      <c r="C2455" s="136" t="s">
        <v>11779</v>
      </c>
      <c r="D2455" s="132" t="s">
        <v>3420</v>
      </c>
      <c r="E2455" s="136" t="s">
        <v>3967</v>
      </c>
      <c r="F2455" s="136" t="s">
        <v>3967</v>
      </c>
      <c r="G2455" s="137">
        <v>1395447374001</v>
      </c>
      <c r="H2455" s="138" t="s">
        <v>6456</v>
      </c>
      <c r="I2455" s="136">
        <v>951500446</v>
      </c>
      <c r="J2455" s="131" t="s">
        <v>4222</v>
      </c>
      <c r="K2455" s="139">
        <v>1276408</v>
      </c>
    </row>
    <row r="2456" spans="1:11">
      <c r="A2456" s="1" t="str">
        <f t="shared" si="38"/>
        <v>50100-813651495-951500471790478</v>
      </c>
      <c r="B2456" s="136" t="s">
        <v>4013</v>
      </c>
      <c r="C2456" s="136" t="s">
        <v>11780</v>
      </c>
      <c r="D2456" s="132" t="s">
        <v>3420</v>
      </c>
      <c r="E2456" s="136" t="s">
        <v>4170</v>
      </c>
      <c r="F2456" s="136" t="s">
        <v>4170</v>
      </c>
      <c r="G2456" s="137">
        <v>1395450760001</v>
      </c>
      <c r="H2456" s="138" t="s">
        <v>6301</v>
      </c>
      <c r="I2456" s="136">
        <v>951500471</v>
      </c>
      <c r="J2456" s="131" t="s">
        <v>4223</v>
      </c>
      <c r="K2456" s="139">
        <v>790478</v>
      </c>
    </row>
    <row r="2457" spans="1:11">
      <c r="A2457" s="1" t="str">
        <f t="shared" si="38"/>
        <v>50100-814687295-951500512498050</v>
      </c>
      <c r="B2457" s="136" t="s">
        <v>4002</v>
      </c>
      <c r="C2457" s="136" t="s">
        <v>11769</v>
      </c>
      <c r="D2457" s="132" t="s">
        <v>3420</v>
      </c>
      <c r="E2457" s="136" t="s">
        <v>4168</v>
      </c>
      <c r="F2457" s="136" t="s">
        <v>4168</v>
      </c>
      <c r="G2457" s="137">
        <v>1395447373001</v>
      </c>
      <c r="H2457" s="138" t="s">
        <v>6453</v>
      </c>
      <c r="I2457" s="136">
        <v>951500512</v>
      </c>
      <c r="J2457" s="131" t="s">
        <v>4224</v>
      </c>
      <c r="K2457" s="139">
        <v>498050</v>
      </c>
    </row>
    <row r="2458" spans="1:11">
      <c r="A2458" s="1" t="str">
        <f t="shared" si="38"/>
        <v>50100-814687295-9515004981000000</v>
      </c>
      <c r="B2458" s="136" t="s">
        <v>4002</v>
      </c>
      <c r="C2458" s="136" t="s">
        <v>11769</v>
      </c>
      <c r="D2458" s="132" t="s">
        <v>3420</v>
      </c>
      <c r="E2458" s="136" t="s">
        <v>4168</v>
      </c>
      <c r="F2458" s="136" t="s">
        <v>4168</v>
      </c>
      <c r="G2458" s="137">
        <v>1395447373001</v>
      </c>
      <c r="H2458" s="138" t="s">
        <v>6453</v>
      </c>
      <c r="I2458" s="136">
        <v>951500498</v>
      </c>
      <c r="J2458" s="131" t="s">
        <v>4225</v>
      </c>
      <c r="K2458" s="139">
        <v>1000000</v>
      </c>
    </row>
    <row r="2459" spans="1:11">
      <c r="A2459" s="1" t="str">
        <f t="shared" si="38"/>
        <v>50100-815833895-951500266396790</v>
      </c>
      <c r="B2459" s="136" t="s">
        <v>4014</v>
      </c>
      <c r="C2459" s="136" t="s">
        <v>11781</v>
      </c>
      <c r="D2459" s="132" t="s">
        <v>3420</v>
      </c>
      <c r="E2459" s="136" t="s">
        <v>4174</v>
      </c>
      <c r="F2459" s="136" t="s">
        <v>4174</v>
      </c>
      <c r="G2459" s="137">
        <v>1395435642001</v>
      </c>
      <c r="H2459" s="138" t="s">
        <v>10206</v>
      </c>
      <c r="I2459" s="136">
        <v>951500266</v>
      </c>
      <c r="J2459" s="131" t="s">
        <v>4226</v>
      </c>
      <c r="K2459" s="139">
        <v>396790</v>
      </c>
    </row>
    <row r="2460" spans="1:11">
      <c r="A2460" s="1" t="str">
        <f t="shared" si="38"/>
        <v>50100-817665195-9515004901005400</v>
      </c>
      <c r="B2460" s="136" t="s">
        <v>4015</v>
      </c>
      <c r="C2460" s="136" t="s">
        <v>11782</v>
      </c>
      <c r="D2460" s="132" t="s">
        <v>3420</v>
      </c>
      <c r="E2460" s="136" t="s">
        <v>4175</v>
      </c>
      <c r="F2460" s="136" t="s">
        <v>4175</v>
      </c>
      <c r="G2460" s="137">
        <v>1395451221001</v>
      </c>
      <c r="H2460" s="138" t="s">
        <v>6301</v>
      </c>
      <c r="I2460" s="136">
        <v>951500490</v>
      </c>
      <c r="J2460" s="131" t="s">
        <v>4227</v>
      </c>
      <c r="K2460" s="139">
        <v>1005400</v>
      </c>
    </row>
    <row r="2461" spans="1:11">
      <c r="A2461" s="1" t="str">
        <f t="shared" si="38"/>
        <v>50100-816408895-951500493999000</v>
      </c>
      <c r="B2461" s="136" t="s">
        <v>3988</v>
      </c>
      <c r="C2461" s="136" t="s">
        <v>11755</v>
      </c>
      <c r="D2461" s="132" t="s">
        <v>3420</v>
      </c>
      <c r="E2461" s="136" t="s">
        <v>4169</v>
      </c>
      <c r="F2461" s="136" t="s">
        <v>4169</v>
      </c>
      <c r="G2461" s="137">
        <v>1395450759001</v>
      </c>
      <c r="H2461" s="138" t="s">
        <v>6454</v>
      </c>
      <c r="I2461" s="136">
        <v>951500493</v>
      </c>
      <c r="J2461" s="131" t="s">
        <v>4228</v>
      </c>
      <c r="K2461" s="139">
        <v>999000</v>
      </c>
    </row>
    <row r="2462" spans="1:11">
      <c r="A2462" s="1" t="str">
        <f t="shared" si="38"/>
        <v>50100-813282295-9541000212512678</v>
      </c>
      <c r="B2462" s="136" t="s">
        <v>4016</v>
      </c>
      <c r="C2462" s="136" t="s">
        <v>11783</v>
      </c>
      <c r="D2462" s="132" t="s">
        <v>3420</v>
      </c>
      <c r="E2462" s="136" t="s">
        <v>4165</v>
      </c>
      <c r="F2462" s="136" t="s">
        <v>4165</v>
      </c>
      <c r="G2462" s="137">
        <v>1395441907001</v>
      </c>
      <c r="H2462" s="138" t="s">
        <v>10183</v>
      </c>
      <c r="I2462" s="136">
        <v>954100021</v>
      </c>
      <c r="J2462" s="131" t="s">
        <v>4229</v>
      </c>
      <c r="K2462" s="139">
        <v>2512678</v>
      </c>
    </row>
    <row r="2463" spans="1:11">
      <c r="A2463" s="1" t="str">
        <f t="shared" si="38"/>
        <v>50100-815450495-9525000678128</v>
      </c>
      <c r="B2463" s="136" t="s">
        <v>4017</v>
      </c>
      <c r="C2463" s="136" t="s">
        <v>11784</v>
      </c>
      <c r="D2463" s="132" t="s">
        <v>3420</v>
      </c>
      <c r="E2463" s="136" t="s">
        <v>4167</v>
      </c>
      <c r="F2463" s="136" t="s">
        <v>4167</v>
      </c>
      <c r="G2463" s="137">
        <v>1395447929001</v>
      </c>
      <c r="H2463" s="138" t="s">
        <v>11619</v>
      </c>
      <c r="I2463" s="136">
        <v>952500067</v>
      </c>
      <c r="J2463" s="131" t="s">
        <v>4204</v>
      </c>
      <c r="K2463" s="139">
        <v>8128</v>
      </c>
    </row>
    <row r="2464" spans="1:11">
      <c r="A2464" s="1" t="str">
        <f t="shared" si="38"/>
        <v>50100-815450495-952500066988611</v>
      </c>
      <c r="B2464" s="136" t="s">
        <v>4017</v>
      </c>
      <c r="C2464" s="136" t="s">
        <v>11784</v>
      </c>
      <c r="D2464" s="132" t="s">
        <v>3420</v>
      </c>
      <c r="E2464" s="136" t="s">
        <v>4167</v>
      </c>
      <c r="F2464" s="136" t="s">
        <v>4167</v>
      </c>
      <c r="G2464" s="137">
        <v>1395447929001</v>
      </c>
      <c r="H2464" s="138" t="s">
        <v>11619</v>
      </c>
      <c r="I2464" s="136">
        <v>952500066</v>
      </c>
      <c r="J2464" s="131" t="s">
        <v>4230</v>
      </c>
      <c r="K2464" s="139">
        <v>988611</v>
      </c>
    </row>
    <row r="2465" spans="1:11">
      <c r="A2465" s="1" t="str">
        <f t="shared" si="38"/>
        <v>50100-811925295-952500064904178</v>
      </c>
      <c r="B2465" s="136" t="s">
        <v>4018</v>
      </c>
      <c r="C2465" s="136" t="s">
        <v>11785</v>
      </c>
      <c r="D2465" s="132" t="s">
        <v>3420</v>
      </c>
      <c r="E2465" s="136" t="s">
        <v>3967</v>
      </c>
      <c r="F2465" s="136" t="s">
        <v>3967</v>
      </c>
      <c r="G2465" s="137">
        <v>1395437986001</v>
      </c>
      <c r="H2465" s="138" t="s">
        <v>10183</v>
      </c>
      <c r="I2465" s="136">
        <v>952500064</v>
      </c>
      <c r="J2465" s="131" t="s">
        <v>4189</v>
      </c>
      <c r="K2465" s="139">
        <v>904178</v>
      </c>
    </row>
    <row r="2466" spans="1:11">
      <c r="A2466" s="1" t="str">
        <f t="shared" si="38"/>
        <v>50100-816807395-951500447736670</v>
      </c>
      <c r="B2466" s="136" t="s">
        <v>4019</v>
      </c>
      <c r="C2466" s="136" t="s">
        <v>11786</v>
      </c>
      <c r="D2466" s="132" t="s">
        <v>3420</v>
      </c>
      <c r="E2466" s="136" t="s">
        <v>4173</v>
      </c>
      <c r="F2466" s="141" t="s">
        <v>4173</v>
      </c>
      <c r="G2466" s="137">
        <v>1395449243001</v>
      </c>
      <c r="H2466" s="140" t="s">
        <v>9897</v>
      </c>
      <c r="I2466" s="141">
        <v>951500447</v>
      </c>
      <c r="J2466" s="131" t="s">
        <v>4231</v>
      </c>
      <c r="K2466" s="139">
        <v>736670</v>
      </c>
    </row>
    <row r="2467" spans="1:11">
      <c r="A2467" s="1" t="str">
        <f t="shared" si="38"/>
        <v>50100-811768295-95420004560000</v>
      </c>
      <c r="B2467" s="136" t="s">
        <v>4020</v>
      </c>
      <c r="C2467" s="136" t="s">
        <v>11787</v>
      </c>
      <c r="D2467" s="132" t="s">
        <v>3420</v>
      </c>
      <c r="E2467" s="136" t="s">
        <v>3967</v>
      </c>
      <c r="F2467" s="141" t="s">
        <v>3967</v>
      </c>
      <c r="G2467" s="137">
        <v>1395451405001</v>
      </c>
      <c r="H2467" s="140" t="s">
        <v>8845</v>
      </c>
      <c r="I2467" s="141">
        <v>954200045</v>
      </c>
      <c r="J2467" s="131" t="s">
        <v>4232</v>
      </c>
      <c r="K2467" s="142">
        <v>60000</v>
      </c>
    </row>
    <row r="2468" spans="1:11">
      <c r="A2468" s="1" t="str">
        <f t="shared" si="38"/>
        <v>50100-811768295-95420004439438</v>
      </c>
      <c r="B2468" s="136" t="s">
        <v>4020</v>
      </c>
      <c r="C2468" s="136" t="s">
        <v>11787</v>
      </c>
      <c r="D2468" s="132" t="s">
        <v>3420</v>
      </c>
      <c r="E2468" s="136" t="s">
        <v>3967</v>
      </c>
      <c r="F2468" s="141" t="s">
        <v>3967</v>
      </c>
      <c r="G2468" s="137">
        <v>1395451406001</v>
      </c>
      <c r="H2468" s="140" t="s">
        <v>8845</v>
      </c>
      <c r="I2468" s="141">
        <v>954200044</v>
      </c>
      <c r="J2468" s="131" t="s">
        <v>4233</v>
      </c>
      <c r="K2468" s="142">
        <v>39438</v>
      </c>
    </row>
    <row r="2469" spans="1:11">
      <c r="A2469" s="1" t="str">
        <f t="shared" si="38"/>
        <v>50100-813473895-951500473502390</v>
      </c>
      <c r="B2469" s="136" t="s">
        <v>4021</v>
      </c>
      <c r="C2469" s="136" t="s">
        <v>11788</v>
      </c>
      <c r="D2469" s="132" t="s">
        <v>3420</v>
      </c>
      <c r="E2469" s="136" t="s">
        <v>4165</v>
      </c>
      <c r="F2469" s="136" t="s">
        <v>4165</v>
      </c>
      <c r="G2469" s="137">
        <v>1395441450001</v>
      </c>
      <c r="H2469" s="138" t="s">
        <v>6300</v>
      </c>
      <c r="I2469" s="136">
        <v>951500473</v>
      </c>
      <c r="J2469" s="131" t="s">
        <v>4188</v>
      </c>
      <c r="K2469" s="139">
        <v>502390</v>
      </c>
    </row>
    <row r="2470" spans="1:11">
      <c r="A2470" s="1" t="str">
        <f t="shared" si="38"/>
        <v>50100-811925295-95250006578640</v>
      </c>
      <c r="B2470" s="136" t="s">
        <v>4018</v>
      </c>
      <c r="C2470" s="136" t="s">
        <v>11785</v>
      </c>
      <c r="D2470" s="132" t="s">
        <v>3420</v>
      </c>
      <c r="E2470" s="136" t="s">
        <v>3967</v>
      </c>
      <c r="F2470" s="136" t="s">
        <v>3967</v>
      </c>
      <c r="G2470" s="137">
        <v>1395422325001</v>
      </c>
      <c r="H2470" s="138" t="s">
        <v>10183</v>
      </c>
      <c r="I2470" s="136">
        <v>952500065</v>
      </c>
      <c r="J2470" s="131" t="s">
        <v>4234</v>
      </c>
      <c r="K2470" s="139">
        <v>78640</v>
      </c>
    </row>
    <row r="2471" spans="1:11">
      <c r="A2471" s="1" t="str">
        <f t="shared" si="38"/>
        <v>50100-813631095-951500447749056</v>
      </c>
      <c r="B2471" s="136" t="s">
        <v>4022</v>
      </c>
      <c r="C2471" s="136" t="s">
        <v>11789</v>
      </c>
      <c r="D2471" s="132" t="s">
        <v>3420</v>
      </c>
      <c r="E2471" s="136" t="s">
        <v>4170</v>
      </c>
      <c r="F2471" s="141" t="s">
        <v>4170</v>
      </c>
      <c r="G2471" s="137">
        <v>1395449243001</v>
      </c>
      <c r="H2471" s="140" t="s">
        <v>9897</v>
      </c>
      <c r="I2471" s="141">
        <v>951500447</v>
      </c>
      <c r="J2471" s="131" t="s">
        <v>4231</v>
      </c>
      <c r="K2471" s="139">
        <v>749056</v>
      </c>
    </row>
    <row r="2472" spans="1:11">
      <c r="A2472" s="1" t="str">
        <f t="shared" si="38"/>
        <v>50100-813642895-951500447497750</v>
      </c>
      <c r="B2472" s="136" t="s">
        <v>4023</v>
      </c>
      <c r="C2472" s="136" t="s">
        <v>11790</v>
      </c>
      <c r="D2472" s="132" t="s">
        <v>3420</v>
      </c>
      <c r="E2472" s="136" t="s">
        <v>4170</v>
      </c>
      <c r="F2472" s="141" t="s">
        <v>4170</v>
      </c>
      <c r="G2472" s="137">
        <v>1395449243001</v>
      </c>
      <c r="H2472" s="140" t="s">
        <v>9897</v>
      </c>
      <c r="I2472" s="141">
        <v>951500447</v>
      </c>
      <c r="J2472" s="131" t="s">
        <v>4231</v>
      </c>
      <c r="K2472" s="139">
        <v>497750</v>
      </c>
    </row>
    <row r="2473" spans="1:11">
      <c r="A2473" s="1" t="str">
        <f t="shared" si="38"/>
        <v>50100-816154095-951500447497860</v>
      </c>
      <c r="B2473" s="136" t="s">
        <v>4024</v>
      </c>
      <c r="C2473" s="136" t="s">
        <v>11791</v>
      </c>
      <c r="D2473" s="132" t="s">
        <v>3420</v>
      </c>
      <c r="E2473" s="136" t="s">
        <v>4169</v>
      </c>
      <c r="F2473" s="141" t="s">
        <v>4169</v>
      </c>
      <c r="G2473" s="137">
        <v>1395449243001</v>
      </c>
      <c r="H2473" s="140" t="s">
        <v>9897</v>
      </c>
      <c r="I2473" s="141">
        <v>951500447</v>
      </c>
      <c r="J2473" s="131" t="s">
        <v>4231</v>
      </c>
      <c r="K2473" s="139">
        <v>497860</v>
      </c>
    </row>
    <row r="2474" spans="1:11">
      <c r="A2474" s="1" t="str">
        <f t="shared" si="38"/>
        <v>50100-811609095-951500447492250</v>
      </c>
      <c r="B2474" s="136" t="s">
        <v>4025</v>
      </c>
      <c r="C2474" s="136" t="s">
        <v>11792</v>
      </c>
      <c r="D2474" s="132" t="s">
        <v>3420</v>
      </c>
      <c r="E2474" s="136" t="s">
        <v>3967</v>
      </c>
      <c r="F2474" s="141" t="s">
        <v>3967</v>
      </c>
      <c r="G2474" s="137">
        <v>1395449243001</v>
      </c>
      <c r="H2474" s="140" t="s">
        <v>9897</v>
      </c>
      <c r="I2474" s="141">
        <v>951500447</v>
      </c>
      <c r="J2474" s="131" t="s">
        <v>4231</v>
      </c>
      <c r="K2474" s="139">
        <v>492250</v>
      </c>
    </row>
    <row r="2475" spans="1:11">
      <c r="A2475" s="1" t="str">
        <f t="shared" si="38"/>
        <v>50100-862414896-961500059250000</v>
      </c>
      <c r="B2475" s="141" t="s">
        <v>5090</v>
      </c>
      <c r="C2475" s="141" t="s">
        <v>9021</v>
      </c>
      <c r="D2475" s="132" t="s">
        <v>4971</v>
      </c>
      <c r="E2475" s="141" t="s">
        <v>5160</v>
      </c>
      <c r="F2475" s="141" t="s">
        <v>5160</v>
      </c>
      <c r="G2475" s="137">
        <v>1395453119001</v>
      </c>
      <c r="H2475" s="140" t="s">
        <v>6300</v>
      </c>
      <c r="I2475" s="141">
        <v>961500059</v>
      </c>
      <c r="J2475" s="131" t="s">
        <v>5172</v>
      </c>
      <c r="K2475" s="142">
        <v>250000</v>
      </c>
    </row>
    <row r="2476" spans="1:11">
      <c r="A2476" s="1" t="str">
        <f t="shared" si="38"/>
        <v>50100-862414896-96150007850240</v>
      </c>
      <c r="B2476" s="141" t="s">
        <v>5090</v>
      </c>
      <c r="C2476" s="141" t="s">
        <v>9021</v>
      </c>
      <c r="D2476" s="132" t="s">
        <v>4971</v>
      </c>
      <c r="E2476" s="141" t="s">
        <v>5160</v>
      </c>
      <c r="F2476" s="141" t="s">
        <v>5160</v>
      </c>
      <c r="G2476" s="137">
        <v>1395468405001</v>
      </c>
      <c r="H2476" s="140" t="s">
        <v>6298</v>
      </c>
      <c r="I2476" s="141">
        <v>961500078</v>
      </c>
      <c r="J2476" s="131" t="s">
        <v>5174</v>
      </c>
      <c r="K2476" s="142">
        <v>50240</v>
      </c>
    </row>
    <row r="2477" spans="1:11">
      <c r="A2477" s="1" t="str">
        <f t="shared" si="38"/>
        <v>50100-862414896-961500073199760</v>
      </c>
      <c r="B2477" s="141" t="s">
        <v>5090</v>
      </c>
      <c r="C2477" s="141" t="s">
        <v>9021</v>
      </c>
      <c r="D2477" s="132" t="s">
        <v>4971</v>
      </c>
      <c r="E2477" s="141" t="s">
        <v>5160</v>
      </c>
      <c r="F2477" s="141" t="s">
        <v>5160</v>
      </c>
      <c r="G2477" s="137">
        <v>1395468405001</v>
      </c>
      <c r="H2477" s="140" t="s">
        <v>6298</v>
      </c>
      <c r="I2477" s="141">
        <v>961500073</v>
      </c>
      <c r="J2477" s="131" t="s">
        <v>5173</v>
      </c>
      <c r="K2477" s="142">
        <v>199760</v>
      </c>
    </row>
    <row r="2478" spans="1:11">
      <c r="A2478" s="1" t="str">
        <f t="shared" si="38"/>
        <v>50100-858242796-961500011989560</v>
      </c>
      <c r="B2478" s="141" t="s">
        <v>5091</v>
      </c>
      <c r="C2478" s="141" t="s">
        <v>9022</v>
      </c>
      <c r="D2478" s="132" t="s">
        <v>4971</v>
      </c>
      <c r="E2478" s="141" t="s">
        <v>5161</v>
      </c>
      <c r="F2478" s="141" t="s">
        <v>5161</v>
      </c>
      <c r="G2478" s="137">
        <v>1395451404001</v>
      </c>
      <c r="H2478" s="140" t="s">
        <v>6456</v>
      </c>
      <c r="I2478" s="141">
        <v>961500011</v>
      </c>
      <c r="J2478" s="131" t="s">
        <v>5039</v>
      </c>
      <c r="K2478" s="142">
        <v>989560</v>
      </c>
    </row>
    <row r="2479" spans="1:11">
      <c r="A2479" s="1" t="str">
        <f t="shared" si="38"/>
        <v>50100-863375496-961500075235400</v>
      </c>
      <c r="B2479" s="141" t="s">
        <v>5094</v>
      </c>
      <c r="C2479" s="141" t="s">
        <v>9025</v>
      </c>
      <c r="D2479" s="132" t="s">
        <v>4971</v>
      </c>
      <c r="E2479" s="141" t="s">
        <v>5163</v>
      </c>
      <c r="F2479" s="141" t="s">
        <v>5163</v>
      </c>
      <c r="G2479" s="137">
        <v>1395468405001</v>
      </c>
      <c r="H2479" s="140" t="s">
        <v>6298</v>
      </c>
      <c r="I2479" s="141">
        <v>961500075</v>
      </c>
      <c r="J2479" s="131" t="s">
        <v>5180</v>
      </c>
      <c r="K2479" s="142">
        <v>235400</v>
      </c>
    </row>
    <row r="2480" spans="1:11">
      <c r="A2480" s="1" t="str">
        <f t="shared" si="38"/>
        <v>50100-863375496-96150007769525</v>
      </c>
      <c r="B2480" s="141" t="s">
        <v>5094</v>
      </c>
      <c r="C2480" s="141" t="s">
        <v>9025</v>
      </c>
      <c r="D2480" s="132" t="s">
        <v>4971</v>
      </c>
      <c r="E2480" s="141" t="s">
        <v>5163</v>
      </c>
      <c r="F2480" s="141" t="s">
        <v>5163</v>
      </c>
      <c r="G2480" s="137">
        <v>1395468405001</v>
      </c>
      <c r="H2480" s="140" t="s">
        <v>6298</v>
      </c>
      <c r="I2480" s="141">
        <v>961500077</v>
      </c>
      <c r="J2480" s="131" t="s">
        <v>5178</v>
      </c>
      <c r="K2480" s="142">
        <v>69525</v>
      </c>
    </row>
    <row r="2481" spans="1:11">
      <c r="A2481" s="1" t="str">
        <f t="shared" si="38"/>
        <v>50100-861969496-96420000496800</v>
      </c>
      <c r="B2481" s="141" t="s">
        <v>5096</v>
      </c>
      <c r="C2481" s="141" t="s">
        <v>9027</v>
      </c>
      <c r="D2481" s="132" t="s">
        <v>4971</v>
      </c>
      <c r="E2481" s="141" t="s">
        <v>5165</v>
      </c>
      <c r="F2481" s="141" t="s">
        <v>5165</v>
      </c>
      <c r="G2481" s="137">
        <v>1396471568001</v>
      </c>
      <c r="H2481" s="138" t="s">
        <v>11406</v>
      </c>
      <c r="I2481" s="141">
        <v>964200004</v>
      </c>
      <c r="J2481" s="131" t="s">
        <v>5182</v>
      </c>
      <c r="K2481" s="142">
        <v>96800</v>
      </c>
    </row>
    <row r="2482" spans="1:11">
      <c r="A2482" s="1" t="str">
        <f t="shared" si="38"/>
        <v>50100-862810196-962500001378431</v>
      </c>
      <c r="B2482" s="141" t="s">
        <v>5093</v>
      </c>
      <c r="C2482" s="141" t="s">
        <v>9024</v>
      </c>
      <c r="D2482" s="132" t="s">
        <v>4971</v>
      </c>
      <c r="E2482" s="141" t="s">
        <v>5160</v>
      </c>
      <c r="F2482" s="141" t="s">
        <v>5160</v>
      </c>
      <c r="G2482" s="137">
        <v>1395462017001</v>
      </c>
      <c r="H2482" s="140" t="s">
        <v>6298</v>
      </c>
      <c r="I2482" s="141">
        <v>962500001</v>
      </c>
      <c r="J2482" s="131" t="s">
        <v>5022</v>
      </c>
      <c r="K2482" s="142">
        <v>378431</v>
      </c>
    </row>
    <row r="2483" spans="1:11">
      <c r="A2483" s="1" t="str">
        <f t="shared" si="38"/>
        <v>50100-862810196-961500086499020</v>
      </c>
      <c r="B2483" s="141" t="s">
        <v>5093</v>
      </c>
      <c r="C2483" s="141" t="s">
        <v>9024</v>
      </c>
      <c r="D2483" s="132" t="s">
        <v>4971</v>
      </c>
      <c r="E2483" s="141" t="s">
        <v>5160</v>
      </c>
      <c r="F2483" s="141" t="s">
        <v>5160</v>
      </c>
      <c r="G2483" s="137">
        <v>1395468405001</v>
      </c>
      <c r="H2483" s="140" t="s">
        <v>6298</v>
      </c>
      <c r="I2483" s="141">
        <v>961500086</v>
      </c>
      <c r="J2483" s="131" t="s">
        <v>5177</v>
      </c>
      <c r="K2483" s="142">
        <v>499020</v>
      </c>
    </row>
    <row r="2484" spans="1:11">
      <c r="A2484" s="1" t="str">
        <f t="shared" si="38"/>
        <v>50100-862810196-961500077372399</v>
      </c>
      <c r="B2484" s="141" t="s">
        <v>5093</v>
      </c>
      <c r="C2484" s="141" t="s">
        <v>9024</v>
      </c>
      <c r="D2484" s="132" t="s">
        <v>4971</v>
      </c>
      <c r="E2484" s="141" t="s">
        <v>5160</v>
      </c>
      <c r="F2484" s="141" t="s">
        <v>5160</v>
      </c>
      <c r="G2484" s="137">
        <v>1395468405001</v>
      </c>
      <c r="H2484" s="140" t="s">
        <v>6298</v>
      </c>
      <c r="I2484" s="141">
        <v>961500077</v>
      </c>
      <c r="J2484" s="131" t="s">
        <v>5178</v>
      </c>
      <c r="K2484" s="142">
        <v>372399</v>
      </c>
    </row>
    <row r="2485" spans="1:11">
      <c r="A2485" s="1" t="str">
        <f t="shared" si="38"/>
        <v>50100-859179296-961500082995500</v>
      </c>
      <c r="B2485" s="141" t="s">
        <v>5092</v>
      </c>
      <c r="C2485" s="141" t="s">
        <v>9023</v>
      </c>
      <c r="D2485" s="132" t="s">
        <v>4971</v>
      </c>
      <c r="E2485" s="141" t="s">
        <v>5162</v>
      </c>
      <c r="F2485" s="141" t="s">
        <v>5162</v>
      </c>
      <c r="G2485" s="137">
        <v>1396474209001</v>
      </c>
      <c r="H2485" s="140" t="s">
        <v>10206</v>
      </c>
      <c r="I2485" s="141">
        <v>961500082</v>
      </c>
      <c r="J2485" s="131" t="s">
        <v>5175</v>
      </c>
      <c r="K2485" s="142">
        <v>995500</v>
      </c>
    </row>
    <row r="2486" spans="1:11">
      <c r="A2486" s="1" t="str">
        <f t="shared" si="38"/>
        <v>50100-863375496-961500069390000</v>
      </c>
      <c r="B2486" s="141" t="s">
        <v>5094</v>
      </c>
      <c r="C2486" s="141" t="s">
        <v>9025</v>
      </c>
      <c r="D2486" s="132" t="s">
        <v>4971</v>
      </c>
      <c r="E2486" s="141" t="s">
        <v>5163</v>
      </c>
      <c r="F2486" s="141" t="s">
        <v>5163</v>
      </c>
      <c r="G2486" s="137">
        <v>1395467470001</v>
      </c>
      <c r="H2486" s="140" t="s">
        <v>6298</v>
      </c>
      <c r="I2486" s="141">
        <v>961500069</v>
      </c>
      <c r="J2486" s="131" t="s">
        <v>5179</v>
      </c>
      <c r="K2486" s="142">
        <v>390000</v>
      </c>
    </row>
    <row r="2487" spans="1:11">
      <c r="A2487" s="1" t="str">
        <f t="shared" si="38"/>
        <v>50100-858564096-962500012500000</v>
      </c>
      <c r="B2487" s="141" t="s">
        <v>5102</v>
      </c>
      <c r="C2487" s="141" t="s">
        <v>9033</v>
      </c>
      <c r="D2487" s="132" t="s">
        <v>4971</v>
      </c>
      <c r="E2487" s="141" t="s">
        <v>5161</v>
      </c>
      <c r="F2487" s="141" t="s">
        <v>5161</v>
      </c>
      <c r="G2487" s="137">
        <v>1396472577001</v>
      </c>
      <c r="H2487" s="140" t="s">
        <v>6452</v>
      </c>
      <c r="I2487" s="141">
        <v>962500012</v>
      </c>
      <c r="J2487" s="131" t="s">
        <v>5188</v>
      </c>
      <c r="K2487" s="142">
        <v>500000</v>
      </c>
    </row>
    <row r="2488" spans="1:11">
      <c r="A2488" s="1" t="str">
        <f t="shared" si="38"/>
        <v>50100-858309596-96150001345850</v>
      </c>
      <c r="B2488" s="141" t="s">
        <v>5101</v>
      </c>
      <c r="C2488" s="141" t="s">
        <v>9032</v>
      </c>
      <c r="D2488" s="132" t="s">
        <v>4971</v>
      </c>
      <c r="E2488" s="141" t="s">
        <v>5161</v>
      </c>
      <c r="F2488" s="141" t="s">
        <v>5161</v>
      </c>
      <c r="G2488" s="137">
        <v>1395462017001</v>
      </c>
      <c r="H2488" s="140" t="s">
        <v>6298</v>
      </c>
      <c r="I2488" s="141">
        <v>961500013</v>
      </c>
      <c r="J2488" s="131" t="s">
        <v>5187</v>
      </c>
      <c r="K2488" s="142">
        <v>45850</v>
      </c>
    </row>
    <row r="2489" spans="1:11">
      <c r="A2489" s="1" t="str">
        <f t="shared" si="38"/>
        <v>50100-858309596-961500055200000</v>
      </c>
      <c r="B2489" s="141" t="s">
        <v>5101</v>
      </c>
      <c r="C2489" s="141" t="s">
        <v>9032</v>
      </c>
      <c r="D2489" s="132" t="s">
        <v>4971</v>
      </c>
      <c r="E2489" s="141" t="s">
        <v>5161</v>
      </c>
      <c r="F2489" s="141" t="s">
        <v>5161</v>
      </c>
      <c r="G2489" s="137">
        <v>1395467470001</v>
      </c>
      <c r="H2489" s="140" t="s">
        <v>6298</v>
      </c>
      <c r="I2489" s="141">
        <v>961500055</v>
      </c>
      <c r="J2489" s="131" t="s">
        <v>5186</v>
      </c>
      <c r="K2489" s="142">
        <v>200000</v>
      </c>
    </row>
    <row r="2490" spans="1:11">
      <c r="A2490" s="1" t="str">
        <f t="shared" si="38"/>
        <v>50100-860359596-962500013492510</v>
      </c>
      <c r="B2490" s="141" t="s">
        <v>5095</v>
      </c>
      <c r="C2490" s="141" t="s">
        <v>9026</v>
      </c>
      <c r="D2490" s="132" t="s">
        <v>4971</v>
      </c>
      <c r="E2490" s="141" t="s">
        <v>5164</v>
      </c>
      <c r="F2490" s="141" t="s">
        <v>5164</v>
      </c>
      <c r="G2490" s="137">
        <v>1396472577001</v>
      </c>
      <c r="H2490" s="140" t="s">
        <v>6452</v>
      </c>
      <c r="I2490" s="141">
        <v>962500013</v>
      </c>
      <c r="J2490" s="131" t="s">
        <v>5181</v>
      </c>
      <c r="K2490" s="142">
        <v>492510</v>
      </c>
    </row>
    <row r="2491" spans="1:11">
      <c r="A2491" s="1" t="str">
        <f t="shared" si="38"/>
        <v>50100-862810196-961500076250000</v>
      </c>
      <c r="B2491" s="141" t="s">
        <v>5093</v>
      </c>
      <c r="C2491" s="141" t="s">
        <v>9024</v>
      </c>
      <c r="D2491" s="132" t="s">
        <v>4971</v>
      </c>
      <c r="E2491" s="141" t="s">
        <v>5160</v>
      </c>
      <c r="F2491" s="141" t="s">
        <v>5160</v>
      </c>
      <c r="G2491" s="137">
        <v>1395468405001</v>
      </c>
      <c r="H2491" s="140" t="s">
        <v>6298</v>
      </c>
      <c r="I2491" s="141">
        <v>961500076</v>
      </c>
      <c r="J2491" s="131" t="s">
        <v>5176</v>
      </c>
      <c r="K2491" s="142">
        <v>250000</v>
      </c>
    </row>
    <row r="2492" spans="1:11">
      <c r="A2492" s="1" t="str">
        <f t="shared" si="38"/>
        <v>50100-858537296-964100014962231</v>
      </c>
      <c r="B2492" s="141" t="s">
        <v>5100</v>
      </c>
      <c r="C2492" s="141" t="s">
        <v>9031</v>
      </c>
      <c r="D2492" s="132" t="s">
        <v>4971</v>
      </c>
      <c r="E2492" s="141" t="s">
        <v>5161</v>
      </c>
      <c r="F2492" s="141" t="s">
        <v>5161</v>
      </c>
      <c r="G2492" s="137">
        <v>1396474210001</v>
      </c>
      <c r="H2492" s="140" t="s">
        <v>6452</v>
      </c>
      <c r="I2492" s="141">
        <v>964100014</v>
      </c>
      <c r="J2492" s="131" t="s">
        <v>5185</v>
      </c>
      <c r="K2492" s="142">
        <v>962231</v>
      </c>
    </row>
    <row r="2493" spans="1:11">
      <c r="A2493" s="1" t="str">
        <f t="shared" si="38"/>
        <v>50100-859493996-962500010489090</v>
      </c>
      <c r="B2493" s="141" t="s">
        <v>5112</v>
      </c>
      <c r="C2493" s="141" t="s">
        <v>9043</v>
      </c>
      <c r="D2493" s="132" t="s">
        <v>4971</v>
      </c>
      <c r="E2493" s="141" t="s">
        <v>5047</v>
      </c>
      <c r="F2493" s="141" t="s">
        <v>5047</v>
      </c>
      <c r="G2493" s="137">
        <v>1396471568001</v>
      </c>
      <c r="H2493" s="138" t="s">
        <v>11406</v>
      </c>
      <c r="I2493" s="141">
        <v>962500010</v>
      </c>
      <c r="J2493" s="131" t="s">
        <v>5189</v>
      </c>
      <c r="K2493" s="142">
        <v>489090</v>
      </c>
    </row>
    <row r="2494" spans="1:11">
      <c r="A2494" s="1" t="str">
        <f t="shared" si="38"/>
        <v>50100-857678896-961500044313087</v>
      </c>
      <c r="B2494" s="141" t="s">
        <v>5109</v>
      </c>
      <c r="C2494" s="141" t="s">
        <v>9040</v>
      </c>
      <c r="D2494" s="132" t="s">
        <v>4971</v>
      </c>
      <c r="E2494" s="141" t="s">
        <v>5166</v>
      </c>
      <c r="F2494" s="141" t="s">
        <v>5166</v>
      </c>
      <c r="G2494" s="137">
        <v>1395453119001</v>
      </c>
      <c r="H2494" s="140" t="s">
        <v>6300</v>
      </c>
      <c r="I2494" s="141">
        <v>961500044</v>
      </c>
      <c r="J2494" s="131" t="s">
        <v>5192</v>
      </c>
      <c r="K2494" s="142">
        <v>313087</v>
      </c>
    </row>
    <row r="2495" spans="1:11">
      <c r="A2495" s="1" t="str">
        <f t="shared" si="38"/>
        <v>50100-860917896-9641000162831224</v>
      </c>
      <c r="B2495" s="141" t="s">
        <v>5111</v>
      </c>
      <c r="C2495" s="141" t="s">
        <v>9042</v>
      </c>
      <c r="D2495" s="132" t="s">
        <v>4971</v>
      </c>
      <c r="E2495" s="141" t="s">
        <v>5169</v>
      </c>
      <c r="F2495" s="141" t="s">
        <v>5169</v>
      </c>
      <c r="G2495" s="137">
        <v>1396477306001</v>
      </c>
      <c r="H2495" s="140" t="s">
        <v>6452</v>
      </c>
      <c r="I2495" s="141">
        <v>964100016</v>
      </c>
      <c r="J2495" s="131" t="s">
        <v>5194</v>
      </c>
      <c r="K2495" s="142">
        <v>2831224</v>
      </c>
    </row>
    <row r="2496" spans="1:11">
      <c r="A2496" s="1" t="str">
        <f t="shared" si="38"/>
        <v>50100-858863896-964100015989345</v>
      </c>
      <c r="B2496" s="141" t="s">
        <v>5113</v>
      </c>
      <c r="C2496" s="141" t="s">
        <v>9044</v>
      </c>
      <c r="D2496" s="132" t="s">
        <v>4971</v>
      </c>
      <c r="E2496" s="141" t="s">
        <v>5162</v>
      </c>
      <c r="F2496" s="141" t="s">
        <v>5162</v>
      </c>
      <c r="G2496" s="137">
        <v>1396474210001</v>
      </c>
      <c r="H2496" s="140" t="s">
        <v>6452</v>
      </c>
      <c r="I2496" s="141">
        <v>964100015</v>
      </c>
      <c r="J2496" s="131" t="s">
        <v>5195</v>
      </c>
      <c r="K2496" s="142">
        <v>989345</v>
      </c>
    </row>
    <row r="2497" spans="1:11">
      <c r="A2497" s="1" t="str">
        <f t="shared" si="38"/>
        <v>50100-857739596-961500061676940</v>
      </c>
      <c r="B2497" s="141" t="s">
        <v>5110</v>
      </c>
      <c r="C2497" s="141" t="s">
        <v>9041</v>
      </c>
      <c r="D2497" s="132" t="s">
        <v>4971</v>
      </c>
      <c r="E2497" s="141" t="s">
        <v>5166</v>
      </c>
      <c r="F2497" s="141" t="s">
        <v>5166</v>
      </c>
      <c r="G2497" s="137">
        <v>1396473813001</v>
      </c>
      <c r="H2497" s="140" t="s">
        <v>10206</v>
      </c>
      <c r="I2497" s="141">
        <v>961500061</v>
      </c>
      <c r="J2497" s="131" t="s">
        <v>5193</v>
      </c>
      <c r="K2497" s="142">
        <v>676940</v>
      </c>
    </row>
    <row r="2498" spans="1:11">
      <c r="A2498" s="1" t="str">
        <f t="shared" si="38"/>
        <v>50100-856674096-962500016137060</v>
      </c>
      <c r="B2498" s="141" t="s">
        <v>5098</v>
      </c>
      <c r="C2498" s="141" t="s">
        <v>9029</v>
      </c>
      <c r="D2498" s="132" t="s">
        <v>4971</v>
      </c>
      <c r="E2498" s="141" t="s">
        <v>5167</v>
      </c>
      <c r="F2498" s="141" t="s">
        <v>5167</v>
      </c>
      <c r="G2498" s="137">
        <v>1396471989001</v>
      </c>
      <c r="H2498" s="140" t="s">
        <v>6456</v>
      </c>
      <c r="I2498" s="141">
        <v>962500016</v>
      </c>
      <c r="J2498" s="131" t="s">
        <v>5037</v>
      </c>
      <c r="K2498" s="142">
        <v>137060</v>
      </c>
    </row>
    <row r="2499" spans="1:11">
      <c r="A2499" s="1" t="str">
        <f t="shared" ref="A2499:A2562" si="39">B2499&amp;J2499&amp;K2499</f>
        <v>50100-857765896-96150004385672</v>
      </c>
      <c r="B2499" s="141" t="s">
        <v>5122</v>
      </c>
      <c r="C2499" s="141" t="s">
        <v>9053</v>
      </c>
      <c r="D2499" s="132" t="s">
        <v>4971</v>
      </c>
      <c r="E2499" s="141" t="s">
        <v>5166</v>
      </c>
      <c r="F2499" s="141" t="s">
        <v>5166</v>
      </c>
      <c r="G2499" s="137">
        <v>1396472779001</v>
      </c>
      <c r="H2499" s="140" t="s">
        <v>10206</v>
      </c>
      <c r="I2499" s="141">
        <v>961500043</v>
      </c>
      <c r="J2499" s="131" t="s">
        <v>5020</v>
      </c>
      <c r="K2499" s="142">
        <v>85672</v>
      </c>
    </row>
    <row r="2500" spans="1:11">
      <c r="A2500" s="1" t="str">
        <f t="shared" si="39"/>
        <v>50100-857765896-961500061904328</v>
      </c>
      <c r="B2500" s="141" t="s">
        <v>5122</v>
      </c>
      <c r="C2500" s="141" t="s">
        <v>9053</v>
      </c>
      <c r="D2500" s="132" t="s">
        <v>4971</v>
      </c>
      <c r="E2500" s="141" t="s">
        <v>5166</v>
      </c>
      <c r="F2500" s="141" t="s">
        <v>5166</v>
      </c>
      <c r="G2500" s="137">
        <v>1396473813001</v>
      </c>
      <c r="H2500" s="140" t="s">
        <v>10206</v>
      </c>
      <c r="I2500" s="141">
        <v>961500061</v>
      </c>
      <c r="J2500" s="131" t="s">
        <v>5193</v>
      </c>
      <c r="K2500" s="142">
        <v>904328</v>
      </c>
    </row>
    <row r="2501" spans="1:11">
      <c r="A2501" s="1" t="str">
        <f t="shared" si="39"/>
        <v>50100-861952996-964200006491024</v>
      </c>
      <c r="B2501" s="141" t="s">
        <v>5099</v>
      </c>
      <c r="C2501" s="141" t="s">
        <v>9030</v>
      </c>
      <c r="D2501" s="132" t="s">
        <v>4971</v>
      </c>
      <c r="E2501" s="141" t="s">
        <v>5165</v>
      </c>
      <c r="F2501" s="141" t="s">
        <v>5165</v>
      </c>
      <c r="G2501" s="137">
        <v>1395469542001</v>
      </c>
      <c r="H2501" s="140" t="s">
        <v>6300</v>
      </c>
      <c r="I2501" s="141">
        <v>964200006</v>
      </c>
      <c r="J2501" s="131" t="s">
        <v>5184</v>
      </c>
      <c r="K2501" s="142">
        <v>491024</v>
      </c>
    </row>
    <row r="2502" spans="1:11">
      <c r="A2502" s="1" t="str">
        <f t="shared" si="39"/>
        <v>50100-856827296-9615000445611</v>
      </c>
      <c r="B2502" s="141" t="s">
        <v>5121</v>
      </c>
      <c r="C2502" s="141" t="s">
        <v>9052</v>
      </c>
      <c r="D2502" s="132" t="s">
        <v>4971</v>
      </c>
      <c r="E2502" s="141" t="s">
        <v>5167</v>
      </c>
      <c r="F2502" s="141" t="s">
        <v>5167</v>
      </c>
      <c r="G2502" s="137">
        <v>1395453119001</v>
      </c>
      <c r="H2502" s="140" t="s">
        <v>6300</v>
      </c>
      <c r="I2502" s="141">
        <v>961500044</v>
      </c>
      <c r="J2502" s="131" t="s">
        <v>5192</v>
      </c>
      <c r="K2502" s="142">
        <v>5611</v>
      </c>
    </row>
    <row r="2503" spans="1:11">
      <c r="A2503" s="1" t="str">
        <f t="shared" si="39"/>
        <v>50100-856297096-9641000131070469</v>
      </c>
      <c r="B2503" s="141" t="s">
        <v>5103</v>
      </c>
      <c r="C2503" s="141" t="s">
        <v>9034</v>
      </c>
      <c r="D2503" s="132" t="s">
        <v>4971</v>
      </c>
      <c r="E2503" s="141" t="s">
        <v>5007</v>
      </c>
      <c r="F2503" s="141" t="s">
        <v>5007</v>
      </c>
      <c r="G2503" s="137">
        <v>1396474210001</v>
      </c>
      <c r="H2503" s="140" t="s">
        <v>6452</v>
      </c>
      <c r="I2503" s="141">
        <v>964100013</v>
      </c>
      <c r="J2503" s="131" t="s">
        <v>5029</v>
      </c>
      <c r="K2503" s="142">
        <v>1070469</v>
      </c>
    </row>
    <row r="2504" spans="1:11">
      <c r="A2504" s="1" t="str">
        <f t="shared" si="39"/>
        <v>50100-859176296-962500015873876</v>
      </c>
      <c r="B2504" s="141" t="s">
        <v>5104</v>
      </c>
      <c r="C2504" s="141" t="s">
        <v>9035</v>
      </c>
      <c r="D2504" s="132" t="s">
        <v>4971</v>
      </c>
      <c r="E2504" s="141" t="s">
        <v>5162</v>
      </c>
      <c r="F2504" s="141" t="s">
        <v>5162</v>
      </c>
      <c r="G2504" s="137">
        <v>1396471989001</v>
      </c>
      <c r="H2504" s="140" t="s">
        <v>6456</v>
      </c>
      <c r="I2504" s="141">
        <v>962500015</v>
      </c>
      <c r="J2504" s="131" t="s">
        <v>5017</v>
      </c>
      <c r="K2504" s="142">
        <v>873876</v>
      </c>
    </row>
    <row r="2505" spans="1:11">
      <c r="A2505" s="1" t="str">
        <f t="shared" si="39"/>
        <v>50100-859176296-9625000166072</v>
      </c>
      <c r="B2505" s="141" t="s">
        <v>5104</v>
      </c>
      <c r="C2505" s="141" t="s">
        <v>9035</v>
      </c>
      <c r="D2505" s="132" t="s">
        <v>4971</v>
      </c>
      <c r="E2505" s="141" t="s">
        <v>5162</v>
      </c>
      <c r="F2505" s="141" t="s">
        <v>5162</v>
      </c>
      <c r="G2505" s="137">
        <v>1396471989001</v>
      </c>
      <c r="H2505" s="140" t="s">
        <v>6456</v>
      </c>
      <c r="I2505" s="141">
        <v>962500016</v>
      </c>
      <c r="J2505" s="131" t="s">
        <v>5037</v>
      </c>
      <c r="K2505" s="142">
        <v>6072</v>
      </c>
    </row>
    <row r="2506" spans="1:11">
      <c r="A2506" s="1" t="str">
        <f t="shared" si="39"/>
        <v>50100-857444696-9625000095700</v>
      </c>
      <c r="B2506" s="141" t="s">
        <v>5106</v>
      </c>
      <c r="C2506" s="141" t="s">
        <v>9037</v>
      </c>
      <c r="D2506" s="132" t="s">
        <v>4971</v>
      </c>
      <c r="E2506" s="141" t="s">
        <v>5166</v>
      </c>
      <c r="F2506" s="141" t="s">
        <v>5166</v>
      </c>
      <c r="G2506" s="137">
        <v>1396471568001</v>
      </c>
      <c r="H2506" s="138" t="s">
        <v>11406</v>
      </c>
      <c r="I2506" s="141">
        <v>962500009</v>
      </c>
      <c r="J2506" s="131" t="s">
        <v>5042</v>
      </c>
      <c r="K2506" s="142">
        <v>5700</v>
      </c>
    </row>
    <row r="2507" spans="1:11">
      <c r="A2507" s="1" t="str">
        <f t="shared" si="39"/>
        <v>50100-860885296-961500061258830</v>
      </c>
      <c r="B2507" s="141" t="s">
        <v>5115</v>
      </c>
      <c r="C2507" s="141" t="s">
        <v>9046</v>
      </c>
      <c r="D2507" s="132" t="s">
        <v>4971</v>
      </c>
      <c r="E2507" s="141" t="s">
        <v>5169</v>
      </c>
      <c r="F2507" s="141" t="s">
        <v>5169</v>
      </c>
      <c r="G2507" s="137">
        <v>1396473813001</v>
      </c>
      <c r="H2507" s="140" t="s">
        <v>10206</v>
      </c>
      <c r="I2507" s="141">
        <v>961500061</v>
      </c>
      <c r="J2507" s="131" t="s">
        <v>5193</v>
      </c>
      <c r="K2507" s="142">
        <v>258830</v>
      </c>
    </row>
    <row r="2508" spans="1:11">
      <c r="A2508" s="1" t="str">
        <f t="shared" si="39"/>
        <v>50100-856372296-961500043990000</v>
      </c>
      <c r="B2508" s="141" t="s">
        <v>5114</v>
      </c>
      <c r="C2508" s="141" t="s">
        <v>9045</v>
      </c>
      <c r="D2508" s="132" t="s">
        <v>4971</v>
      </c>
      <c r="E2508" s="141" t="s">
        <v>5007</v>
      </c>
      <c r="F2508" s="141" t="s">
        <v>5007</v>
      </c>
      <c r="G2508" s="137">
        <v>1396472779001</v>
      </c>
      <c r="H2508" s="140" t="s">
        <v>10206</v>
      </c>
      <c r="I2508" s="141">
        <v>961500043</v>
      </c>
      <c r="J2508" s="131" t="s">
        <v>5020</v>
      </c>
      <c r="K2508" s="142">
        <v>990000</v>
      </c>
    </row>
    <row r="2509" spans="1:11">
      <c r="A2509" s="1" t="str">
        <f t="shared" si="39"/>
        <v>50100-859176295-95250009823677</v>
      </c>
      <c r="B2509" s="141" t="s">
        <v>5104</v>
      </c>
      <c r="C2509" s="141" t="s">
        <v>9035</v>
      </c>
      <c r="D2509" s="132" t="s">
        <v>4971</v>
      </c>
      <c r="E2509" s="141" t="s">
        <v>5162</v>
      </c>
      <c r="F2509" s="141" t="s">
        <v>5162</v>
      </c>
      <c r="G2509" s="137">
        <v>1395451404001</v>
      </c>
      <c r="H2509" s="140" t="s">
        <v>6456</v>
      </c>
      <c r="I2509" s="141">
        <v>952500098</v>
      </c>
      <c r="J2509" s="131" t="s">
        <v>4912</v>
      </c>
      <c r="K2509" s="142">
        <v>23677</v>
      </c>
    </row>
    <row r="2510" spans="1:11">
      <c r="A2510" s="1" t="str">
        <f t="shared" si="39"/>
        <v>50100-859176295-95250010323621</v>
      </c>
      <c r="B2510" s="141" t="s">
        <v>5104</v>
      </c>
      <c r="C2510" s="141" t="s">
        <v>9035</v>
      </c>
      <c r="D2510" s="132" t="s">
        <v>4971</v>
      </c>
      <c r="E2510" s="141" t="s">
        <v>5162</v>
      </c>
      <c r="F2510" s="141" t="s">
        <v>5162</v>
      </c>
      <c r="G2510" s="137">
        <v>1395451404001</v>
      </c>
      <c r="H2510" s="140" t="s">
        <v>6456</v>
      </c>
      <c r="I2510" s="141">
        <v>952500103</v>
      </c>
      <c r="J2510" s="131" t="s">
        <v>4941</v>
      </c>
      <c r="K2510" s="142">
        <v>23621</v>
      </c>
    </row>
    <row r="2511" spans="1:11">
      <c r="A2511" s="1" t="str">
        <f t="shared" si="39"/>
        <v>50100-860953496-964200005487971</v>
      </c>
      <c r="B2511" s="141" t="s">
        <v>5116</v>
      </c>
      <c r="C2511" s="141" t="s">
        <v>9047</v>
      </c>
      <c r="D2511" s="132" t="s">
        <v>4971</v>
      </c>
      <c r="E2511" s="141" t="s">
        <v>5169</v>
      </c>
      <c r="F2511" s="141" t="s">
        <v>5169</v>
      </c>
      <c r="G2511" s="137">
        <v>1395468405001</v>
      </c>
      <c r="H2511" s="140" t="s">
        <v>6298</v>
      </c>
      <c r="I2511" s="141">
        <v>964200005</v>
      </c>
      <c r="J2511" s="131" t="s">
        <v>5196</v>
      </c>
      <c r="K2511" s="142">
        <v>487971</v>
      </c>
    </row>
    <row r="2512" spans="1:11">
      <c r="A2512" s="1" t="str">
        <f t="shared" si="39"/>
        <v>50100-863613496-961500110600000</v>
      </c>
      <c r="B2512" s="141" t="s">
        <v>5107</v>
      </c>
      <c r="C2512" s="141" t="s">
        <v>9038</v>
      </c>
      <c r="D2512" s="132" t="s">
        <v>4971</v>
      </c>
      <c r="E2512" s="141" t="s">
        <v>5168</v>
      </c>
      <c r="F2512" s="141" t="s">
        <v>5168</v>
      </c>
      <c r="G2512" s="137">
        <v>1395469542001</v>
      </c>
      <c r="H2512" s="140" t="s">
        <v>6300</v>
      </c>
      <c r="I2512" s="141">
        <v>961500110</v>
      </c>
      <c r="J2512" s="131" t="s">
        <v>5190</v>
      </c>
      <c r="K2512" s="142">
        <v>600000</v>
      </c>
    </row>
    <row r="2513" spans="1:11">
      <c r="A2513" s="1" t="str">
        <f t="shared" si="39"/>
        <v>50100-857444696-962500010483140</v>
      </c>
      <c r="B2513" s="141" t="s">
        <v>5106</v>
      </c>
      <c r="C2513" s="141" t="s">
        <v>9037</v>
      </c>
      <c r="D2513" s="132" t="s">
        <v>4971</v>
      </c>
      <c r="E2513" s="141" t="s">
        <v>5166</v>
      </c>
      <c r="F2513" s="141" t="s">
        <v>5166</v>
      </c>
      <c r="G2513" s="137">
        <v>1396471568001</v>
      </c>
      <c r="H2513" s="138" t="s">
        <v>11406</v>
      </c>
      <c r="I2513" s="141">
        <v>962500010</v>
      </c>
      <c r="J2513" s="131" t="s">
        <v>5189</v>
      </c>
      <c r="K2513" s="142">
        <v>483140</v>
      </c>
    </row>
    <row r="2514" spans="1:11">
      <c r="A2514" s="1" t="str">
        <f t="shared" si="39"/>
        <v>50100-857718796-961500043990000</v>
      </c>
      <c r="B2514" s="141" t="s">
        <v>5108</v>
      </c>
      <c r="C2514" s="141" t="s">
        <v>9039</v>
      </c>
      <c r="D2514" s="132" t="s">
        <v>4971</v>
      </c>
      <c r="E2514" s="141" t="s">
        <v>5166</v>
      </c>
      <c r="F2514" s="141" t="s">
        <v>5166</v>
      </c>
      <c r="G2514" s="137">
        <v>1396472779001</v>
      </c>
      <c r="H2514" s="140" t="s">
        <v>10206</v>
      </c>
      <c r="I2514" s="141">
        <v>961500043</v>
      </c>
      <c r="J2514" s="131" t="s">
        <v>5020</v>
      </c>
      <c r="K2514" s="142">
        <v>990000</v>
      </c>
    </row>
    <row r="2515" spans="1:11">
      <c r="A2515" s="1" t="str">
        <f t="shared" si="39"/>
        <v>50100-856731096-96250000698315</v>
      </c>
      <c r="B2515" s="141" t="s">
        <v>5105</v>
      </c>
      <c r="C2515" s="141" t="s">
        <v>9036</v>
      </c>
      <c r="D2515" s="132" t="s">
        <v>4971</v>
      </c>
      <c r="E2515" s="141" t="s">
        <v>5167</v>
      </c>
      <c r="F2515" s="141" t="s">
        <v>5167</v>
      </c>
      <c r="G2515" s="137">
        <v>1395467470001</v>
      </c>
      <c r="H2515" s="140" t="s">
        <v>6298</v>
      </c>
      <c r="I2515" s="141">
        <v>962500006</v>
      </c>
      <c r="J2515" s="131" t="s">
        <v>5026</v>
      </c>
      <c r="K2515" s="142">
        <v>98315</v>
      </c>
    </row>
    <row r="2516" spans="1:11">
      <c r="A2516" s="1" t="str">
        <f t="shared" si="39"/>
        <v>50100-856827296-961500036203409</v>
      </c>
      <c r="B2516" s="141" t="s">
        <v>5121</v>
      </c>
      <c r="C2516" s="141" t="s">
        <v>9052</v>
      </c>
      <c r="D2516" s="132" t="s">
        <v>4971</v>
      </c>
      <c r="E2516" s="141" t="s">
        <v>5167</v>
      </c>
      <c r="F2516" s="141" t="s">
        <v>5167</v>
      </c>
      <c r="G2516" s="137">
        <v>1395453119001</v>
      </c>
      <c r="H2516" s="140" t="s">
        <v>6300</v>
      </c>
      <c r="I2516" s="141">
        <v>961500036</v>
      </c>
      <c r="J2516" s="131" t="s">
        <v>5033</v>
      </c>
      <c r="K2516" s="142">
        <v>203409</v>
      </c>
    </row>
    <row r="2517" spans="1:11">
      <c r="A2517" s="1" t="str">
        <f t="shared" si="39"/>
        <v>50100-863613496-961500111390000</v>
      </c>
      <c r="B2517" s="141" t="s">
        <v>5107</v>
      </c>
      <c r="C2517" s="141" t="s">
        <v>9038</v>
      </c>
      <c r="D2517" s="132" t="s">
        <v>4971</v>
      </c>
      <c r="E2517" s="141" t="s">
        <v>5168</v>
      </c>
      <c r="F2517" s="141" t="s">
        <v>5168</v>
      </c>
      <c r="G2517" s="137">
        <v>1396472848001</v>
      </c>
      <c r="H2517" s="140" t="s">
        <v>6300</v>
      </c>
      <c r="I2517" s="141">
        <v>961500111</v>
      </c>
      <c r="J2517" s="131" t="s">
        <v>5191</v>
      </c>
      <c r="K2517" s="142">
        <v>390000</v>
      </c>
    </row>
    <row r="2518" spans="1:11">
      <c r="A2518" s="1" t="str">
        <f t="shared" si="39"/>
        <v>50100-857813596-9642000021959100</v>
      </c>
      <c r="B2518" s="141" t="s">
        <v>5097</v>
      </c>
      <c r="C2518" s="141" t="s">
        <v>9028</v>
      </c>
      <c r="D2518" s="132" t="s">
        <v>4971</v>
      </c>
      <c r="E2518" s="141" t="s">
        <v>5166</v>
      </c>
      <c r="F2518" s="141" t="s">
        <v>5166</v>
      </c>
      <c r="G2518" s="137">
        <v>1395468405001</v>
      </c>
      <c r="H2518" s="140" t="s">
        <v>6298</v>
      </c>
      <c r="I2518" s="141">
        <v>964200002</v>
      </c>
      <c r="J2518" s="131" t="s">
        <v>5183</v>
      </c>
      <c r="K2518" s="142">
        <v>1959100</v>
      </c>
    </row>
    <row r="2519" spans="1:11">
      <c r="A2519" s="1" t="str">
        <f t="shared" si="39"/>
        <v>50100-860813396-96250001795030</v>
      </c>
      <c r="B2519" s="141" t="s">
        <v>5123</v>
      </c>
      <c r="C2519" s="141" t="s">
        <v>9054</v>
      </c>
      <c r="D2519" s="132" t="s">
        <v>4971</v>
      </c>
      <c r="E2519" s="141" t="s">
        <v>5169</v>
      </c>
      <c r="F2519" s="141" t="s">
        <v>5169</v>
      </c>
      <c r="G2519" s="137">
        <v>1396472852001</v>
      </c>
      <c r="H2519" s="140" t="s">
        <v>11793</v>
      </c>
      <c r="I2519" s="141">
        <v>962500017</v>
      </c>
      <c r="J2519" s="131" t="s">
        <v>5206</v>
      </c>
      <c r="K2519" s="142">
        <v>95030</v>
      </c>
    </row>
    <row r="2520" spans="1:11">
      <c r="A2520" s="1" t="str">
        <f t="shared" si="39"/>
        <v>50100-859183196-961500053100000</v>
      </c>
      <c r="B2520" s="141" t="s">
        <v>5119</v>
      </c>
      <c r="C2520" s="141" t="s">
        <v>9050</v>
      </c>
      <c r="D2520" s="132" t="s">
        <v>4971</v>
      </c>
      <c r="E2520" s="141" t="s">
        <v>5162</v>
      </c>
      <c r="F2520" s="141" t="s">
        <v>5162</v>
      </c>
      <c r="G2520" s="137">
        <v>1395467470001</v>
      </c>
      <c r="H2520" s="140" t="s">
        <v>6298</v>
      </c>
      <c r="I2520" s="141">
        <v>961500053</v>
      </c>
      <c r="J2520" s="131" t="s">
        <v>5202</v>
      </c>
      <c r="K2520" s="142">
        <v>100000</v>
      </c>
    </row>
    <row r="2521" spans="1:11">
      <c r="A2521" s="1" t="str">
        <f t="shared" si="39"/>
        <v>50100-862095096-962500018790313</v>
      </c>
      <c r="B2521" s="141" t="s">
        <v>5117</v>
      </c>
      <c r="C2521" s="141" t="s">
        <v>9048</v>
      </c>
      <c r="D2521" s="132" t="s">
        <v>4971</v>
      </c>
      <c r="E2521" s="141" t="s">
        <v>5165</v>
      </c>
      <c r="F2521" s="141" t="s">
        <v>5165</v>
      </c>
      <c r="G2521" s="137">
        <v>1396472850001</v>
      </c>
      <c r="H2521" s="140" t="s">
        <v>11061</v>
      </c>
      <c r="I2521" s="141">
        <v>962500018</v>
      </c>
      <c r="J2521" s="131" t="s">
        <v>5197</v>
      </c>
      <c r="K2521" s="142">
        <v>790313</v>
      </c>
    </row>
    <row r="2522" spans="1:11">
      <c r="A2522" s="1" t="str">
        <f t="shared" si="39"/>
        <v>50100-862095096-962500019184089</v>
      </c>
      <c r="B2522" s="141" t="s">
        <v>5117</v>
      </c>
      <c r="C2522" s="141" t="s">
        <v>9048</v>
      </c>
      <c r="D2522" s="132" t="s">
        <v>4971</v>
      </c>
      <c r="E2522" s="141" t="s">
        <v>5165</v>
      </c>
      <c r="F2522" s="141" t="s">
        <v>5165</v>
      </c>
      <c r="G2522" s="137">
        <v>1396472850001</v>
      </c>
      <c r="H2522" s="140" t="s">
        <v>11061</v>
      </c>
      <c r="I2522" s="141">
        <v>962500019</v>
      </c>
      <c r="J2522" s="131" t="s">
        <v>5198</v>
      </c>
      <c r="K2522" s="142">
        <v>184089</v>
      </c>
    </row>
    <row r="2523" spans="1:11">
      <c r="A2523" s="1" t="str">
        <f t="shared" si="39"/>
        <v>50100-859183196-96150005696970</v>
      </c>
      <c r="B2523" s="141" t="s">
        <v>5119</v>
      </c>
      <c r="C2523" s="141" t="s">
        <v>9050</v>
      </c>
      <c r="D2523" s="132" t="s">
        <v>4971</v>
      </c>
      <c r="E2523" s="141" t="s">
        <v>5162</v>
      </c>
      <c r="F2523" s="141" t="s">
        <v>5162</v>
      </c>
      <c r="G2523" s="137">
        <v>1395467470001</v>
      </c>
      <c r="H2523" s="140" t="s">
        <v>6298</v>
      </c>
      <c r="I2523" s="141">
        <v>961500056</v>
      </c>
      <c r="J2523" s="131" t="s">
        <v>5203</v>
      </c>
      <c r="K2523" s="142">
        <v>96970</v>
      </c>
    </row>
    <row r="2524" spans="1:11">
      <c r="A2524" s="1" t="str">
        <f t="shared" si="39"/>
        <v>50100-863843796-961500060250000</v>
      </c>
      <c r="B2524" s="141" t="s">
        <v>5120</v>
      </c>
      <c r="C2524" s="141" t="s">
        <v>9051</v>
      </c>
      <c r="D2524" s="132" t="s">
        <v>4971</v>
      </c>
      <c r="E2524" s="141" t="s">
        <v>5168</v>
      </c>
      <c r="F2524" s="141" t="s">
        <v>5168</v>
      </c>
      <c r="G2524" s="137">
        <v>1395453119001</v>
      </c>
      <c r="H2524" s="140" t="s">
        <v>6300</v>
      </c>
      <c r="I2524" s="141">
        <v>961500060</v>
      </c>
      <c r="J2524" s="131" t="s">
        <v>5204</v>
      </c>
      <c r="K2524" s="142">
        <v>250000</v>
      </c>
    </row>
    <row r="2525" spans="1:11">
      <c r="A2525" s="1" t="str">
        <f t="shared" si="39"/>
        <v>50100-863843796-961500044181302</v>
      </c>
      <c r="B2525" s="141" t="s">
        <v>5120</v>
      </c>
      <c r="C2525" s="141" t="s">
        <v>9051</v>
      </c>
      <c r="D2525" s="132" t="s">
        <v>4971</v>
      </c>
      <c r="E2525" s="141" t="s">
        <v>5168</v>
      </c>
      <c r="F2525" s="141" t="s">
        <v>5168</v>
      </c>
      <c r="G2525" s="137">
        <v>1395453119001</v>
      </c>
      <c r="H2525" s="140" t="s">
        <v>6300</v>
      </c>
      <c r="I2525" s="141">
        <v>961500044</v>
      </c>
      <c r="J2525" s="131" t="s">
        <v>5192</v>
      </c>
      <c r="K2525" s="142">
        <v>181302</v>
      </c>
    </row>
    <row r="2526" spans="1:11">
      <c r="A2526" s="1" t="str">
        <f t="shared" si="39"/>
        <v>50100-859176295-95250010212594</v>
      </c>
      <c r="B2526" s="141" t="s">
        <v>5104</v>
      </c>
      <c r="C2526" s="141" t="s">
        <v>9035</v>
      </c>
      <c r="D2526" s="132" t="s">
        <v>4971</v>
      </c>
      <c r="E2526" s="141" t="s">
        <v>5162</v>
      </c>
      <c r="F2526" s="141" t="s">
        <v>5162</v>
      </c>
      <c r="G2526" s="137">
        <v>1395451404001</v>
      </c>
      <c r="H2526" s="140" t="s">
        <v>6456</v>
      </c>
      <c r="I2526" s="141">
        <v>952500102</v>
      </c>
      <c r="J2526" s="131" t="s">
        <v>4945</v>
      </c>
      <c r="K2526" s="142">
        <v>12594</v>
      </c>
    </row>
    <row r="2527" spans="1:11">
      <c r="A2527" s="1" t="str">
        <f t="shared" si="39"/>
        <v>50100-857091096-964200001982261</v>
      </c>
      <c r="B2527" s="141" t="s">
        <v>5118</v>
      </c>
      <c r="C2527" s="141" t="s">
        <v>9049</v>
      </c>
      <c r="D2527" s="132" t="s">
        <v>4971</v>
      </c>
      <c r="E2527" s="141" t="s">
        <v>5170</v>
      </c>
      <c r="F2527" s="141" t="s">
        <v>5170</v>
      </c>
      <c r="G2527" s="137">
        <v>1396471403001</v>
      </c>
      <c r="H2527" s="138" t="s">
        <v>11406</v>
      </c>
      <c r="I2527" s="141">
        <v>964200001</v>
      </c>
      <c r="J2527" s="131" t="s">
        <v>5199</v>
      </c>
      <c r="K2527" s="142">
        <v>982261</v>
      </c>
    </row>
    <row r="2528" spans="1:11">
      <c r="A2528" s="1" t="str">
        <f t="shared" si="39"/>
        <v>50100-857091096-964200003491142</v>
      </c>
      <c r="B2528" s="141" t="s">
        <v>5118</v>
      </c>
      <c r="C2528" s="141" t="s">
        <v>9049</v>
      </c>
      <c r="D2528" s="132" t="s">
        <v>4971</v>
      </c>
      <c r="E2528" s="141" t="s">
        <v>5170</v>
      </c>
      <c r="F2528" s="141" t="s">
        <v>5170</v>
      </c>
      <c r="G2528" s="137">
        <v>1396471403001</v>
      </c>
      <c r="H2528" s="138" t="s">
        <v>11406</v>
      </c>
      <c r="I2528" s="141">
        <v>964200003</v>
      </c>
      <c r="J2528" s="131" t="s">
        <v>5200</v>
      </c>
      <c r="K2528" s="142">
        <v>491142</v>
      </c>
    </row>
    <row r="2529" spans="1:11">
      <c r="A2529" s="1" t="str">
        <f t="shared" si="39"/>
        <v>50100-857091096-964200007982261</v>
      </c>
      <c r="B2529" s="141" t="s">
        <v>5118</v>
      </c>
      <c r="C2529" s="141" t="s">
        <v>9049</v>
      </c>
      <c r="D2529" s="132" t="s">
        <v>4971</v>
      </c>
      <c r="E2529" s="141" t="s">
        <v>5170</v>
      </c>
      <c r="F2529" s="141" t="s">
        <v>5170</v>
      </c>
      <c r="G2529" s="137">
        <v>1396471403001</v>
      </c>
      <c r="H2529" s="138" t="s">
        <v>11406</v>
      </c>
      <c r="I2529" s="141">
        <v>964200007</v>
      </c>
      <c r="J2529" s="131" t="s">
        <v>5201</v>
      </c>
      <c r="K2529" s="142">
        <v>982261</v>
      </c>
    </row>
    <row r="2530" spans="1:11">
      <c r="A2530" s="1" t="str">
        <f t="shared" si="39"/>
        <v>50100-863843796-96150007091613</v>
      </c>
      <c r="B2530" s="141" t="s">
        <v>5120</v>
      </c>
      <c r="C2530" s="141" t="s">
        <v>9051</v>
      </c>
      <c r="D2530" s="132" t="s">
        <v>4971</v>
      </c>
      <c r="E2530" s="141" t="s">
        <v>5168</v>
      </c>
      <c r="F2530" s="141" t="s">
        <v>5168</v>
      </c>
      <c r="G2530" s="137">
        <v>1395457969001</v>
      </c>
      <c r="H2530" s="140" t="s">
        <v>6300</v>
      </c>
      <c r="I2530" s="141">
        <v>961500070</v>
      </c>
      <c r="J2530" s="131" t="s">
        <v>5205</v>
      </c>
      <c r="K2530" s="142">
        <v>91613</v>
      </c>
    </row>
    <row r="2531" spans="1:11">
      <c r="A2531" s="1" t="str">
        <f t="shared" si="39"/>
        <v>15100-41251696-96150011848280</v>
      </c>
      <c r="B2531" s="141" t="s">
        <v>5125</v>
      </c>
      <c r="C2531" s="141" t="s">
        <v>9056</v>
      </c>
      <c r="D2531" s="132" t="s">
        <v>4971</v>
      </c>
      <c r="E2531" s="141" t="s">
        <v>5163</v>
      </c>
      <c r="F2531" s="141" t="s">
        <v>5163</v>
      </c>
      <c r="G2531" s="141" t="s">
        <v>5762</v>
      </c>
      <c r="H2531" s="140" t="s">
        <v>6298</v>
      </c>
      <c r="I2531" s="141">
        <v>961500118</v>
      </c>
      <c r="J2531" s="131" t="s">
        <v>5208</v>
      </c>
      <c r="K2531" s="142">
        <v>48280</v>
      </c>
    </row>
    <row r="2532" spans="1:11">
      <c r="A2532" s="1" t="str">
        <f t="shared" si="39"/>
        <v>15100-41165596-96150005828040</v>
      </c>
      <c r="B2532" s="141" t="s">
        <v>5124</v>
      </c>
      <c r="C2532" s="141" t="s">
        <v>9055</v>
      </c>
      <c r="D2532" s="132" t="s">
        <v>4971</v>
      </c>
      <c r="E2532" s="141" t="s">
        <v>5160</v>
      </c>
      <c r="F2532" s="141" t="s">
        <v>5160</v>
      </c>
      <c r="G2532" s="141" t="s">
        <v>5758</v>
      </c>
      <c r="H2532" s="140" t="s">
        <v>6298</v>
      </c>
      <c r="I2532" s="141">
        <v>961500058</v>
      </c>
      <c r="J2532" s="131" t="s">
        <v>5071</v>
      </c>
      <c r="K2532" s="142">
        <v>28040</v>
      </c>
    </row>
    <row r="2533" spans="1:11">
      <c r="A2533" s="1" t="str">
        <f t="shared" si="39"/>
        <v>15100-41165596-96150010844060</v>
      </c>
      <c r="B2533" s="141" t="s">
        <v>5124</v>
      </c>
      <c r="C2533" s="141" t="s">
        <v>9055</v>
      </c>
      <c r="D2533" s="132" t="s">
        <v>4971</v>
      </c>
      <c r="E2533" s="141" t="s">
        <v>5160</v>
      </c>
      <c r="F2533" s="141" t="s">
        <v>5160</v>
      </c>
      <c r="G2533" s="141" t="s">
        <v>5762</v>
      </c>
      <c r="H2533" s="140" t="s">
        <v>6298</v>
      </c>
      <c r="I2533" s="141">
        <v>961500108</v>
      </c>
      <c r="J2533" s="131" t="s">
        <v>5207</v>
      </c>
      <c r="K2533" s="142">
        <v>44060</v>
      </c>
    </row>
    <row r="2534" spans="1:11">
      <c r="A2534" s="1" t="str">
        <f t="shared" si="39"/>
        <v>15100-41105596-961500108141120</v>
      </c>
      <c r="B2534" s="141" t="s">
        <v>5126</v>
      </c>
      <c r="C2534" s="141" t="s">
        <v>9057</v>
      </c>
      <c r="D2534" s="132" t="s">
        <v>4971</v>
      </c>
      <c r="E2534" s="141" t="s">
        <v>5165</v>
      </c>
      <c r="F2534" s="141" t="s">
        <v>5165</v>
      </c>
      <c r="G2534" s="141" t="s">
        <v>5762</v>
      </c>
      <c r="H2534" s="140" t="s">
        <v>6298</v>
      </c>
      <c r="I2534" s="141">
        <v>961500108</v>
      </c>
      <c r="J2534" s="131" t="s">
        <v>5207</v>
      </c>
      <c r="K2534" s="142">
        <v>141120</v>
      </c>
    </row>
    <row r="2535" spans="1:11">
      <c r="A2535" s="1" t="str">
        <f t="shared" si="39"/>
        <v>15100-41251696-96150010771580</v>
      </c>
      <c r="B2535" s="141" t="s">
        <v>5125</v>
      </c>
      <c r="C2535" s="141" t="s">
        <v>9056</v>
      </c>
      <c r="D2535" s="132" t="s">
        <v>4971</v>
      </c>
      <c r="E2535" s="141" t="s">
        <v>5163</v>
      </c>
      <c r="F2535" s="141" t="s">
        <v>5163</v>
      </c>
      <c r="G2535" s="141" t="s">
        <v>5762</v>
      </c>
      <c r="H2535" s="140" t="s">
        <v>6298</v>
      </c>
      <c r="I2535" s="141">
        <v>961500107</v>
      </c>
      <c r="J2535" s="131" t="s">
        <v>5209</v>
      </c>
      <c r="K2535" s="142">
        <v>71580</v>
      </c>
    </row>
    <row r="2536" spans="1:11">
      <c r="A2536" s="1" t="str">
        <f t="shared" si="39"/>
        <v>15100-40758796-96150004113050</v>
      </c>
      <c r="B2536" s="141" t="s">
        <v>5127</v>
      </c>
      <c r="C2536" s="141" t="s">
        <v>9058</v>
      </c>
      <c r="D2536" s="132" t="s">
        <v>4971</v>
      </c>
      <c r="E2536" s="141" t="s">
        <v>5162</v>
      </c>
      <c r="F2536" s="141" t="s">
        <v>5162</v>
      </c>
      <c r="G2536" s="141" t="s">
        <v>5758</v>
      </c>
      <c r="H2536" s="140" t="s">
        <v>6298</v>
      </c>
      <c r="I2536" s="141">
        <v>961500041</v>
      </c>
      <c r="J2536" s="131" t="s">
        <v>5065</v>
      </c>
      <c r="K2536" s="142">
        <v>13050</v>
      </c>
    </row>
    <row r="2537" spans="1:11">
      <c r="A2537" s="1" t="str">
        <f t="shared" si="39"/>
        <v>15100-40758796-96150005831000</v>
      </c>
      <c r="B2537" s="141" t="s">
        <v>5127</v>
      </c>
      <c r="C2537" s="141" t="s">
        <v>9058</v>
      </c>
      <c r="D2537" s="132" t="s">
        <v>4971</v>
      </c>
      <c r="E2537" s="141" t="s">
        <v>5162</v>
      </c>
      <c r="F2537" s="141" t="s">
        <v>5162</v>
      </c>
      <c r="G2537" s="141" t="s">
        <v>5758</v>
      </c>
      <c r="H2537" s="140" t="s">
        <v>6298</v>
      </c>
      <c r="I2537" s="141">
        <v>961500058</v>
      </c>
      <c r="J2537" s="131" t="s">
        <v>5071</v>
      </c>
      <c r="K2537" s="142">
        <v>31000</v>
      </c>
    </row>
    <row r="2538" spans="1:11">
      <c r="A2538" s="1" t="str">
        <f t="shared" si="39"/>
        <v>15100-40631996-96150004913600</v>
      </c>
      <c r="B2538" s="141" t="s">
        <v>5143</v>
      </c>
      <c r="C2538" s="141" t="s">
        <v>9074</v>
      </c>
      <c r="D2538" s="132" t="s">
        <v>4971</v>
      </c>
      <c r="E2538" s="141" t="s">
        <v>5166</v>
      </c>
      <c r="F2538" s="141" t="s">
        <v>5166</v>
      </c>
      <c r="G2538" s="141" t="s">
        <v>5764</v>
      </c>
      <c r="H2538" s="140" t="s">
        <v>6299</v>
      </c>
      <c r="I2538" s="141">
        <v>961500049</v>
      </c>
      <c r="J2538" s="131" t="s">
        <v>5073</v>
      </c>
      <c r="K2538" s="142">
        <v>13600</v>
      </c>
    </row>
    <row r="2539" spans="1:11">
      <c r="A2539" s="1" t="str">
        <f t="shared" si="39"/>
        <v>15100-40828496-96150000948220</v>
      </c>
      <c r="B2539" s="141" t="s">
        <v>5144</v>
      </c>
      <c r="C2539" s="141" t="s">
        <v>9075</v>
      </c>
      <c r="D2539" s="132" t="s">
        <v>4971</v>
      </c>
      <c r="E2539" s="141" t="s">
        <v>5047</v>
      </c>
      <c r="F2539" s="141" t="s">
        <v>5047</v>
      </c>
      <c r="G2539" s="141" t="s">
        <v>5752</v>
      </c>
      <c r="H2539" s="140" t="s">
        <v>6298</v>
      </c>
      <c r="I2539" s="141">
        <v>961500009</v>
      </c>
      <c r="J2539" s="131" t="s">
        <v>5215</v>
      </c>
      <c r="K2539" s="142">
        <v>48220</v>
      </c>
    </row>
    <row r="2540" spans="1:11">
      <c r="A2540" s="1" t="str">
        <f t="shared" si="39"/>
        <v>15100-41297396-961500029278000</v>
      </c>
      <c r="B2540" s="141" t="s">
        <v>5145</v>
      </c>
      <c r="C2540" s="141" t="s">
        <v>9076</v>
      </c>
      <c r="D2540" s="132" t="s">
        <v>4971</v>
      </c>
      <c r="E2540" s="141" t="s">
        <v>5168</v>
      </c>
      <c r="F2540" s="141" t="s">
        <v>5168</v>
      </c>
      <c r="G2540" s="141" t="s">
        <v>5775</v>
      </c>
      <c r="H2540" s="140" t="s">
        <v>6300</v>
      </c>
      <c r="I2540" s="141">
        <v>961500029</v>
      </c>
      <c r="J2540" s="131" t="s">
        <v>5217</v>
      </c>
      <c r="K2540" s="142">
        <v>278000</v>
      </c>
    </row>
    <row r="2541" spans="1:11">
      <c r="A2541" s="1" t="str">
        <f t="shared" si="39"/>
        <v>15100-41297395-9515005475380</v>
      </c>
      <c r="B2541" s="141" t="s">
        <v>5145</v>
      </c>
      <c r="C2541" s="141" t="s">
        <v>9076</v>
      </c>
      <c r="D2541" s="132" t="s">
        <v>4971</v>
      </c>
      <c r="E2541" s="141" t="s">
        <v>5168</v>
      </c>
      <c r="F2541" s="141" t="s">
        <v>5168</v>
      </c>
      <c r="G2541" s="141" t="s">
        <v>5728</v>
      </c>
      <c r="H2541" s="140" t="s">
        <v>6299</v>
      </c>
      <c r="I2541" s="141">
        <v>951500547</v>
      </c>
      <c r="J2541" s="131" t="s">
        <v>4360</v>
      </c>
      <c r="K2541" s="142">
        <v>5380</v>
      </c>
    </row>
    <row r="2542" spans="1:11">
      <c r="A2542" s="1" t="str">
        <f t="shared" si="39"/>
        <v>15100-40689696-96150004024460</v>
      </c>
      <c r="B2542" s="141" t="s">
        <v>5130</v>
      </c>
      <c r="C2542" s="141" t="s">
        <v>9061</v>
      </c>
      <c r="D2542" s="132" t="s">
        <v>4971</v>
      </c>
      <c r="E2542" s="141" t="s">
        <v>5161</v>
      </c>
      <c r="F2542" s="141" t="s">
        <v>5161</v>
      </c>
      <c r="G2542" s="141" t="s">
        <v>5777</v>
      </c>
      <c r="H2542" s="140" t="s">
        <v>6300</v>
      </c>
      <c r="I2542" s="141">
        <v>961500040</v>
      </c>
      <c r="J2542" s="131" t="s">
        <v>5211</v>
      </c>
      <c r="K2542" s="142">
        <v>24460</v>
      </c>
    </row>
    <row r="2543" spans="1:11">
      <c r="A2543" s="1" t="str">
        <f t="shared" si="39"/>
        <v>15100-40763896-96150004076950</v>
      </c>
      <c r="B2543" s="141" t="s">
        <v>5131</v>
      </c>
      <c r="C2543" s="141" t="s">
        <v>9062</v>
      </c>
      <c r="D2543" s="132" t="s">
        <v>4971</v>
      </c>
      <c r="E2543" s="141" t="s">
        <v>5162</v>
      </c>
      <c r="F2543" s="141" t="s">
        <v>5162</v>
      </c>
      <c r="G2543" s="141" t="s">
        <v>5777</v>
      </c>
      <c r="H2543" s="140" t="s">
        <v>6300</v>
      </c>
      <c r="I2543" s="141">
        <v>961500040</v>
      </c>
      <c r="J2543" s="131" t="s">
        <v>5211</v>
      </c>
      <c r="K2543" s="142">
        <v>76950</v>
      </c>
    </row>
    <row r="2544" spans="1:11">
      <c r="A2544" s="1" t="str">
        <f t="shared" si="39"/>
        <v>15100-40969796-961500099199280</v>
      </c>
      <c r="B2544" s="141" t="s">
        <v>5150</v>
      </c>
      <c r="C2544" s="141" t="s">
        <v>9081</v>
      </c>
      <c r="D2544" s="132" t="s">
        <v>4971</v>
      </c>
      <c r="E2544" s="141" t="s">
        <v>5169</v>
      </c>
      <c r="F2544" s="141" t="s">
        <v>5169</v>
      </c>
      <c r="G2544" s="141" t="s">
        <v>5762</v>
      </c>
      <c r="H2544" s="140" t="s">
        <v>6298</v>
      </c>
      <c r="I2544" s="141">
        <v>961500099</v>
      </c>
      <c r="J2544" s="131" t="s">
        <v>5227</v>
      </c>
      <c r="K2544" s="142">
        <v>199280</v>
      </c>
    </row>
    <row r="2545" spans="1:11">
      <c r="A2545" s="1" t="str">
        <f t="shared" si="39"/>
        <v>15100-40899496-961500068137360</v>
      </c>
      <c r="B2545" s="141" t="s">
        <v>5139</v>
      </c>
      <c r="C2545" s="141" t="s">
        <v>9070</v>
      </c>
      <c r="D2545" s="132" t="s">
        <v>4971</v>
      </c>
      <c r="E2545" s="141" t="s">
        <v>5164</v>
      </c>
      <c r="F2545" s="141" t="s">
        <v>5164</v>
      </c>
      <c r="G2545" s="141" t="s">
        <v>5758</v>
      </c>
      <c r="H2545" s="140" t="s">
        <v>6298</v>
      </c>
      <c r="I2545" s="141">
        <v>961500068</v>
      </c>
      <c r="J2545" s="131" t="s">
        <v>5221</v>
      </c>
      <c r="K2545" s="142">
        <v>137360</v>
      </c>
    </row>
    <row r="2546" spans="1:11">
      <c r="A2546" s="1" t="str">
        <f t="shared" si="39"/>
        <v>15100-40920096-96150001989220</v>
      </c>
      <c r="B2546" s="141" t="s">
        <v>5137</v>
      </c>
      <c r="C2546" s="141" t="s">
        <v>9068</v>
      </c>
      <c r="D2546" s="132" t="s">
        <v>4971</v>
      </c>
      <c r="E2546" s="141" t="s">
        <v>5164</v>
      </c>
      <c r="F2546" s="141" t="s">
        <v>5164</v>
      </c>
      <c r="G2546" s="141" t="s">
        <v>5758</v>
      </c>
      <c r="H2546" s="140" t="s">
        <v>6298</v>
      </c>
      <c r="I2546" s="141">
        <v>961500019</v>
      </c>
      <c r="J2546" s="131" t="s">
        <v>5222</v>
      </c>
      <c r="K2546" s="142">
        <v>89220</v>
      </c>
    </row>
    <row r="2547" spans="1:11">
      <c r="A2547" s="1" t="str">
        <f t="shared" si="39"/>
        <v>15100-40920096-96150006845640</v>
      </c>
      <c r="B2547" s="141" t="s">
        <v>5137</v>
      </c>
      <c r="C2547" s="141" t="s">
        <v>9068</v>
      </c>
      <c r="D2547" s="132" t="s">
        <v>4971</v>
      </c>
      <c r="E2547" s="141" t="s">
        <v>5164</v>
      </c>
      <c r="F2547" s="141" t="s">
        <v>5164</v>
      </c>
      <c r="G2547" s="141" t="s">
        <v>5758</v>
      </c>
      <c r="H2547" s="140" t="s">
        <v>6298</v>
      </c>
      <c r="I2547" s="141">
        <v>961500068</v>
      </c>
      <c r="J2547" s="131" t="s">
        <v>5221</v>
      </c>
      <c r="K2547" s="142">
        <v>45640</v>
      </c>
    </row>
    <row r="2548" spans="1:11">
      <c r="A2548" s="1" t="str">
        <f t="shared" si="39"/>
        <v>15100-40920096-961500066159940</v>
      </c>
      <c r="B2548" s="141" t="s">
        <v>5137</v>
      </c>
      <c r="C2548" s="141" t="s">
        <v>9068</v>
      </c>
      <c r="D2548" s="132" t="s">
        <v>4971</v>
      </c>
      <c r="E2548" s="141" t="s">
        <v>5164</v>
      </c>
      <c r="F2548" s="141" t="s">
        <v>5164</v>
      </c>
      <c r="G2548" s="141" t="s">
        <v>5777</v>
      </c>
      <c r="H2548" s="140" t="s">
        <v>6300</v>
      </c>
      <c r="I2548" s="141">
        <v>961500066</v>
      </c>
      <c r="J2548" s="131" t="s">
        <v>5219</v>
      </c>
      <c r="K2548" s="142">
        <v>159940</v>
      </c>
    </row>
    <row r="2549" spans="1:11">
      <c r="A2549" s="1" t="str">
        <f t="shared" si="39"/>
        <v>15100-40968796-96150006846260</v>
      </c>
      <c r="B2549" s="141" t="s">
        <v>5138</v>
      </c>
      <c r="C2549" s="141" t="s">
        <v>9069</v>
      </c>
      <c r="D2549" s="132" t="s">
        <v>4971</v>
      </c>
      <c r="E2549" s="141" t="s">
        <v>5169</v>
      </c>
      <c r="F2549" s="141" t="s">
        <v>5169</v>
      </c>
      <c r="G2549" s="141" t="s">
        <v>5758</v>
      </c>
      <c r="H2549" s="140" t="s">
        <v>6298</v>
      </c>
      <c r="I2549" s="141">
        <v>961500068</v>
      </c>
      <c r="J2549" s="131" t="s">
        <v>5221</v>
      </c>
      <c r="K2549" s="142">
        <v>46260</v>
      </c>
    </row>
    <row r="2550" spans="1:11">
      <c r="A2550" s="1" t="str">
        <f t="shared" si="39"/>
        <v>15100-41151496-96150001925200</v>
      </c>
      <c r="B2550" s="141" t="s">
        <v>5136</v>
      </c>
      <c r="C2550" s="141" t="s">
        <v>9067</v>
      </c>
      <c r="D2550" s="132" t="s">
        <v>4971</v>
      </c>
      <c r="E2550" s="141" t="s">
        <v>5160</v>
      </c>
      <c r="F2550" s="141" t="s">
        <v>5160</v>
      </c>
      <c r="G2550" s="141" t="s">
        <v>5758</v>
      </c>
      <c r="H2550" s="140" t="s">
        <v>6298</v>
      </c>
      <c r="I2550" s="141">
        <v>961500019</v>
      </c>
      <c r="J2550" s="131" t="s">
        <v>5222</v>
      </c>
      <c r="K2550" s="142">
        <v>25200</v>
      </c>
    </row>
    <row r="2551" spans="1:11">
      <c r="A2551" s="1" t="str">
        <f t="shared" si="39"/>
        <v>15100-40920096-961500095150000</v>
      </c>
      <c r="B2551" s="141" t="s">
        <v>5137</v>
      </c>
      <c r="C2551" s="141" t="s">
        <v>9068</v>
      </c>
      <c r="D2551" s="132" t="s">
        <v>4971</v>
      </c>
      <c r="E2551" s="141" t="s">
        <v>5164</v>
      </c>
      <c r="F2551" s="141" t="s">
        <v>5164</v>
      </c>
      <c r="G2551" s="141" t="s">
        <v>5795</v>
      </c>
      <c r="H2551" s="140" t="s">
        <v>6299</v>
      </c>
      <c r="I2551" s="141">
        <v>961500095</v>
      </c>
      <c r="J2551" s="131" t="s">
        <v>5218</v>
      </c>
      <c r="K2551" s="142">
        <v>150000</v>
      </c>
    </row>
    <row r="2552" spans="1:11">
      <c r="A2552" s="1" t="str">
        <f t="shared" si="39"/>
        <v>15100-40969396-961500029103080</v>
      </c>
      <c r="B2552" s="141" t="s">
        <v>5135</v>
      </c>
      <c r="C2552" s="141" t="s">
        <v>9066</v>
      </c>
      <c r="D2552" s="132" t="s">
        <v>4971</v>
      </c>
      <c r="E2552" s="141" t="s">
        <v>5169</v>
      </c>
      <c r="F2552" s="141" t="s">
        <v>5169</v>
      </c>
      <c r="G2552" s="141" t="s">
        <v>5775</v>
      </c>
      <c r="H2552" s="140" t="s">
        <v>6300</v>
      </c>
      <c r="I2552" s="141">
        <v>961500029</v>
      </c>
      <c r="J2552" s="131" t="s">
        <v>5217</v>
      </c>
      <c r="K2552" s="142">
        <v>103080</v>
      </c>
    </row>
    <row r="2553" spans="1:11">
      <c r="A2553" s="1" t="str">
        <f t="shared" si="39"/>
        <v>15100-40824296-96150005248060</v>
      </c>
      <c r="B2553" s="141" t="s">
        <v>5141</v>
      </c>
      <c r="C2553" s="141" t="s">
        <v>9072</v>
      </c>
      <c r="D2553" s="132" t="s">
        <v>4971</v>
      </c>
      <c r="E2553" s="141" t="s">
        <v>5047</v>
      </c>
      <c r="F2553" s="141" t="s">
        <v>5047</v>
      </c>
      <c r="G2553" s="141" t="s">
        <v>5758</v>
      </c>
      <c r="H2553" s="140" t="s">
        <v>6298</v>
      </c>
      <c r="I2553" s="141">
        <v>961500052</v>
      </c>
      <c r="J2553" s="131" t="s">
        <v>5225</v>
      </c>
      <c r="K2553" s="142">
        <v>48060</v>
      </c>
    </row>
    <row r="2554" spans="1:11">
      <c r="A2554" s="1" t="str">
        <f t="shared" si="39"/>
        <v>15100-40968196-96150006880000</v>
      </c>
      <c r="B2554" s="141" t="s">
        <v>5146</v>
      </c>
      <c r="C2554" s="141" t="s">
        <v>9077</v>
      </c>
      <c r="D2554" s="132" t="s">
        <v>4971</v>
      </c>
      <c r="E2554" s="141" t="s">
        <v>5169</v>
      </c>
      <c r="F2554" s="141" t="s">
        <v>5169</v>
      </c>
      <c r="G2554" s="141" t="s">
        <v>5758</v>
      </c>
      <c r="H2554" s="140" t="s">
        <v>6298</v>
      </c>
      <c r="I2554" s="141">
        <v>961500068</v>
      </c>
      <c r="J2554" s="131" t="s">
        <v>5221</v>
      </c>
      <c r="K2554" s="142">
        <v>80000</v>
      </c>
    </row>
    <row r="2555" spans="1:11">
      <c r="A2555" s="1" t="str">
        <f t="shared" si="39"/>
        <v>15100-41151496-9615000796090</v>
      </c>
      <c r="B2555" s="141" t="s">
        <v>5136</v>
      </c>
      <c r="C2555" s="141" t="s">
        <v>9067</v>
      </c>
      <c r="D2555" s="132" t="s">
        <v>4971</v>
      </c>
      <c r="E2555" s="141" t="s">
        <v>5160</v>
      </c>
      <c r="F2555" s="141" t="s">
        <v>5160</v>
      </c>
      <c r="G2555" s="141" t="s">
        <v>5762</v>
      </c>
      <c r="H2555" s="140" t="s">
        <v>6298</v>
      </c>
      <c r="I2555" s="141">
        <v>961500079</v>
      </c>
      <c r="J2555" s="131" t="s">
        <v>5057</v>
      </c>
      <c r="K2555" s="142">
        <v>6090</v>
      </c>
    </row>
    <row r="2556" spans="1:11">
      <c r="A2556" s="1" t="str">
        <f t="shared" si="39"/>
        <v>15100-40920096-96150006388400</v>
      </c>
      <c r="B2556" s="141" t="s">
        <v>5137</v>
      </c>
      <c r="C2556" s="141" t="s">
        <v>9068</v>
      </c>
      <c r="D2556" s="132" t="s">
        <v>4971</v>
      </c>
      <c r="E2556" s="141" t="s">
        <v>5164</v>
      </c>
      <c r="F2556" s="141" t="s">
        <v>5164</v>
      </c>
      <c r="G2556" s="141" t="s">
        <v>5787</v>
      </c>
      <c r="H2556" s="140" t="s">
        <v>8845</v>
      </c>
      <c r="I2556" s="141">
        <v>961500063</v>
      </c>
      <c r="J2556" s="131" t="s">
        <v>5055</v>
      </c>
      <c r="K2556" s="142">
        <v>88400</v>
      </c>
    </row>
    <row r="2557" spans="1:11">
      <c r="A2557" s="1" t="str">
        <f t="shared" si="39"/>
        <v>15100-41297396-96150001922040</v>
      </c>
      <c r="B2557" s="141" t="s">
        <v>5145</v>
      </c>
      <c r="C2557" s="141" t="s">
        <v>9076</v>
      </c>
      <c r="D2557" s="132" t="s">
        <v>4971</v>
      </c>
      <c r="E2557" s="141" t="s">
        <v>5168</v>
      </c>
      <c r="F2557" s="141" t="s">
        <v>5168</v>
      </c>
      <c r="G2557" s="141" t="s">
        <v>5758</v>
      </c>
      <c r="H2557" s="140" t="s">
        <v>6298</v>
      </c>
      <c r="I2557" s="141">
        <v>961500019</v>
      </c>
      <c r="J2557" s="131" t="s">
        <v>5222</v>
      </c>
      <c r="K2557" s="142">
        <v>22040</v>
      </c>
    </row>
    <row r="2558" spans="1:11">
      <c r="A2558" s="1" t="str">
        <f t="shared" si="39"/>
        <v>15100-40920096-96150005074500</v>
      </c>
      <c r="B2558" s="141" t="s">
        <v>5137</v>
      </c>
      <c r="C2558" s="141" t="s">
        <v>9068</v>
      </c>
      <c r="D2558" s="132" t="s">
        <v>4971</v>
      </c>
      <c r="E2558" s="141" t="s">
        <v>5164</v>
      </c>
      <c r="F2558" s="141" t="s">
        <v>5164</v>
      </c>
      <c r="G2558" s="141" t="s">
        <v>5767</v>
      </c>
      <c r="H2558" s="140" t="s">
        <v>6299</v>
      </c>
      <c r="I2558" s="141">
        <v>961500050</v>
      </c>
      <c r="J2558" s="131" t="s">
        <v>5216</v>
      </c>
      <c r="K2558" s="142">
        <v>74500</v>
      </c>
    </row>
    <row r="2559" spans="1:11">
      <c r="A2559" s="1" t="str">
        <f t="shared" si="39"/>
        <v>15100-40969396-961500091101320</v>
      </c>
      <c r="B2559" s="141" t="s">
        <v>5135</v>
      </c>
      <c r="C2559" s="141" t="s">
        <v>9066</v>
      </c>
      <c r="D2559" s="132" t="s">
        <v>4971</v>
      </c>
      <c r="E2559" s="141" t="s">
        <v>5169</v>
      </c>
      <c r="F2559" s="141" t="s">
        <v>5169</v>
      </c>
      <c r="G2559" s="141" t="s">
        <v>5762</v>
      </c>
      <c r="H2559" s="140" t="s">
        <v>6298</v>
      </c>
      <c r="I2559" s="141">
        <v>961500091</v>
      </c>
      <c r="J2559" s="131" t="s">
        <v>5220</v>
      </c>
      <c r="K2559" s="142">
        <v>101320</v>
      </c>
    </row>
    <row r="2560" spans="1:11">
      <c r="A2560" s="1" t="str">
        <f t="shared" si="39"/>
        <v>15100-41104696-961500103118440</v>
      </c>
      <c r="B2560" s="141" t="s">
        <v>5128</v>
      </c>
      <c r="C2560" s="141" t="s">
        <v>9059</v>
      </c>
      <c r="D2560" s="132" t="s">
        <v>4971</v>
      </c>
      <c r="E2560" s="141" t="s">
        <v>5165</v>
      </c>
      <c r="F2560" s="141" t="s">
        <v>5165</v>
      </c>
      <c r="G2560" s="141" t="s">
        <v>5801</v>
      </c>
      <c r="H2560" s="140" t="s">
        <v>6300</v>
      </c>
      <c r="I2560" s="141">
        <v>961500103</v>
      </c>
      <c r="J2560" s="131" t="s">
        <v>5210</v>
      </c>
      <c r="K2560" s="142">
        <v>118440</v>
      </c>
    </row>
    <row r="2561" spans="1:11">
      <c r="A2561" s="1" t="str">
        <f t="shared" si="39"/>
        <v>15100-40824296-961500040123320</v>
      </c>
      <c r="B2561" s="141" t="s">
        <v>5141</v>
      </c>
      <c r="C2561" s="141" t="s">
        <v>9072</v>
      </c>
      <c r="D2561" s="132" t="s">
        <v>4971</v>
      </c>
      <c r="E2561" s="141" t="s">
        <v>5047</v>
      </c>
      <c r="F2561" s="141" t="s">
        <v>5047</v>
      </c>
      <c r="G2561" s="141" t="s">
        <v>5777</v>
      </c>
      <c r="H2561" s="140" t="s">
        <v>6300</v>
      </c>
      <c r="I2561" s="141">
        <v>961500040</v>
      </c>
      <c r="J2561" s="131" t="s">
        <v>5211</v>
      </c>
      <c r="K2561" s="142">
        <v>123320</v>
      </c>
    </row>
    <row r="2562" spans="1:11">
      <c r="A2562" s="1" t="str">
        <f t="shared" si="39"/>
        <v>15100-40631996-96150006370890</v>
      </c>
      <c r="B2562" s="141" t="s">
        <v>5143</v>
      </c>
      <c r="C2562" s="141" t="s">
        <v>9074</v>
      </c>
      <c r="D2562" s="132" t="s">
        <v>4971</v>
      </c>
      <c r="E2562" s="141" t="s">
        <v>5166</v>
      </c>
      <c r="F2562" s="141" t="s">
        <v>5166</v>
      </c>
      <c r="G2562" s="141" t="s">
        <v>5787</v>
      </c>
      <c r="H2562" s="140" t="s">
        <v>8845</v>
      </c>
      <c r="I2562" s="141">
        <v>961500063</v>
      </c>
      <c r="J2562" s="131" t="s">
        <v>5055</v>
      </c>
      <c r="K2562" s="142">
        <v>70890</v>
      </c>
    </row>
    <row r="2563" spans="1:11">
      <c r="A2563" s="1" t="str">
        <f t="shared" ref="A2563:A2626" si="40">B2563&amp;J2563&amp;K2563</f>
        <v>15100-40968196-96150009139880</v>
      </c>
      <c r="B2563" s="141" t="s">
        <v>5146</v>
      </c>
      <c r="C2563" s="141" t="s">
        <v>9077</v>
      </c>
      <c r="D2563" s="132" t="s">
        <v>4971</v>
      </c>
      <c r="E2563" s="141" t="s">
        <v>5169</v>
      </c>
      <c r="F2563" s="141" t="s">
        <v>5169</v>
      </c>
      <c r="G2563" s="141" t="s">
        <v>5762</v>
      </c>
      <c r="H2563" s="140" t="s">
        <v>6298</v>
      </c>
      <c r="I2563" s="141">
        <v>961500091</v>
      </c>
      <c r="J2563" s="131" t="s">
        <v>5220</v>
      </c>
      <c r="K2563" s="142">
        <v>39880</v>
      </c>
    </row>
    <row r="2564" spans="1:11">
      <c r="A2564" s="1" t="str">
        <f t="shared" si="40"/>
        <v>15100-41094196-96150010670320</v>
      </c>
      <c r="B2564" s="141" t="s">
        <v>5142</v>
      </c>
      <c r="C2564" s="141" t="s">
        <v>9073</v>
      </c>
      <c r="D2564" s="132" t="s">
        <v>4971</v>
      </c>
      <c r="E2564" s="141" t="s">
        <v>5165</v>
      </c>
      <c r="F2564" s="141" t="s">
        <v>5165</v>
      </c>
      <c r="G2564" s="141" t="s">
        <v>5762</v>
      </c>
      <c r="H2564" s="140" t="s">
        <v>6298</v>
      </c>
      <c r="I2564" s="141">
        <v>961500106</v>
      </c>
      <c r="J2564" s="131" t="s">
        <v>5213</v>
      </c>
      <c r="K2564" s="142">
        <v>70320</v>
      </c>
    </row>
    <row r="2565" spans="1:11">
      <c r="A2565" s="1" t="str">
        <f t="shared" si="40"/>
        <v>15100-40691196-96150004868410</v>
      </c>
      <c r="B2565" s="141" t="s">
        <v>5129</v>
      </c>
      <c r="C2565" s="141" t="s">
        <v>9060</v>
      </c>
      <c r="D2565" s="132" t="s">
        <v>4971</v>
      </c>
      <c r="E2565" s="141" t="s">
        <v>5161</v>
      </c>
      <c r="F2565" s="141" t="s">
        <v>5161</v>
      </c>
      <c r="G2565" s="141" t="s">
        <v>5777</v>
      </c>
      <c r="H2565" s="140" t="s">
        <v>6300</v>
      </c>
      <c r="I2565" s="141">
        <v>961500048</v>
      </c>
      <c r="J2565" s="131" t="s">
        <v>5075</v>
      </c>
      <c r="K2565" s="142">
        <v>68410</v>
      </c>
    </row>
    <row r="2566" spans="1:11">
      <c r="A2566" s="1" t="str">
        <f t="shared" si="40"/>
        <v>15100-40758796-96150004827160</v>
      </c>
      <c r="B2566" s="141" t="s">
        <v>5127</v>
      </c>
      <c r="C2566" s="141" t="s">
        <v>9058</v>
      </c>
      <c r="D2566" s="132" t="s">
        <v>4971</v>
      </c>
      <c r="E2566" s="141" t="s">
        <v>5162</v>
      </c>
      <c r="F2566" s="141" t="s">
        <v>5162</v>
      </c>
      <c r="G2566" s="141" t="s">
        <v>5777</v>
      </c>
      <c r="H2566" s="140" t="s">
        <v>6300</v>
      </c>
      <c r="I2566" s="141">
        <v>961500048</v>
      </c>
      <c r="J2566" s="131" t="s">
        <v>5075</v>
      </c>
      <c r="K2566" s="142">
        <v>27160</v>
      </c>
    </row>
    <row r="2567" spans="1:11">
      <c r="A2567" s="1" t="str">
        <f t="shared" si="40"/>
        <v>15100-40629196-96150004848180</v>
      </c>
      <c r="B2567" s="141" t="s">
        <v>5159</v>
      </c>
      <c r="C2567" s="141" t="s">
        <v>9090</v>
      </c>
      <c r="D2567" s="132" t="s">
        <v>4971</v>
      </c>
      <c r="E2567" s="141" t="s">
        <v>5166</v>
      </c>
      <c r="F2567" s="141" t="s">
        <v>5166</v>
      </c>
      <c r="G2567" s="141" t="s">
        <v>5777</v>
      </c>
      <c r="H2567" s="140" t="s">
        <v>6300</v>
      </c>
      <c r="I2567" s="141">
        <v>961500048</v>
      </c>
      <c r="J2567" s="131" t="s">
        <v>5075</v>
      </c>
      <c r="K2567" s="142">
        <v>48180</v>
      </c>
    </row>
    <row r="2568" spans="1:11">
      <c r="A2568" s="1" t="str">
        <f t="shared" si="40"/>
        <v>15100-40828496-96150008944180</v>
      </c>
      <c r="B2568" s="141" t="s">
        <v>5144</v>
      </c>
      <c r="C2568" s="141" t="s">
        <v>9075</v>
      </c>
      <c r="D2568" s="132" t="s">
        <v>4971</v>
      </c>
      <c r="E2568" s="141" t="s">
        <v>5047</v>
      </c>
      <c r="F2568" s="141" t="s">
        <v>5047</v>
      </c>
      <c r="G2568" s="141" t="s">
        <v>5762</v>
      </c>
      <c r="H2568" s="140" t="s">
        <v>6298</v>
      </c>
      <c r="I2568" s="141">
        <v>961500089</v>
      </c>
      <c r="J2568" s="131" t="s">
        <v>5224</v>
      </c>
      <c r="K2568" s="142">
        <v>44180</v>
      </c>
    </row>
    <row r="2569" spans="1:11">
      <c r="A2569" s="1" t="str">
        <f t="shared" si="40"/>
        <v>15100-40908496-961500066288060</v>
      </c>
      <c r="B2569" s="141" t="s">
        <v>5147</v>
      </c>
      <c r="C2569" s="141" t="s">
        <v>9078</v>
      </c>
      <c r="D2569" s="132" t="s">
        <v>4971</v>
      </c>
      <c r="E2569" s="141" t="s">
        <v>5164</v>
      </c>
      <c r="F2569" s="141" t="s">
        <v>5164</v>
      </c>
      <c r="G2569" s="141" t="s">
        <v>5777</v>
      </c>
      <c r="H2569" s="140" t="s">
        <v>6300</v>
      </c>
      <c r="I2569" s="141">
        <v>961500066</v>
      </c>
      <c r="J2569" s="131" t="s">
        <v>5219</v>
      </c>
      <c r="K2569" s="142">
        <v>288060</v>
      </c>
    </row>
    <row r="2570" spans="1:11">
      <c r="A2570" s="1" t="str">
        <f t="shared" si="40"/>
        <v>15100-41151496-96150000315450</v>
      </c>
      <c r="B2570" s="141" t="s">
        <v>5136</v>
      </c>
      <c r="C2570" s="141" t="s">
        <v>9067</v>
      </c>
      <c r="D2570" s="132" t="s">
        <v>4971</v>
      </c>
      <c r="E2570" s="141" t="s">
        <v>5160</v>
      </c>
      <c r="F2570" s="141" t="s">
        <v>5160</v>
      </c>
      <c r="G2570" s="141" t="s">
        <v>5752</v>
      </c>
      <c r="H2570" s="140" t="s">
        <v>6298</v>
      </c>
      <c r="I2570" s="141">
        <v>961500003</v>
      </c>
      <c r="J2570" s="131" t="s">
        <v>4969</v>
      </c>
      <c r="K2570" s="142">
        <v>15450</v>
      </c>
    </row>
    <row r="2571" spans="1:11">
      <c r="A2571" s="1" t="str">
        <f t="shared" si="40"/>
        <v>15100-40824296-96150003226480</v>
      </c>
      <c r="B2571" s="141" t="s">
        <v>5141</v>
      </c>
      <c r="C2571" s="141" t="s">
        <v>9072</v>
      </c>
      <c r="D2571" s="132" t="s">
        <v>4971</v>
      </c>
      <c r="E2571" s="141" t="s">
        <v>5047</v>
      </c>
      <c r="F2571" s="141" t="s">
        <v>5047</v>
      </c>
      <c r="G2571" s="141" t="s">
        <v>5758</v>
      </c>
      <c r="H2571" s="140" t="s">
        <v>6298</v>
      </c>
      <c r="I2571" s="141">
        <v>961500032</v>
      </c>
      <c r="J2571" s="131" t="s">
        <v>5060</v>
      </c>
      <c r="K2571" s="142">
        <v>26480</v>
      </c>
    </row>
    <row r="2572" spans="1:11">
      <c r="A2572" s="1" t="str">
        <f t="shared" si="40"/>
        <v>15100-41287196-96150011768680</v>
      </c>
      <c r="B2572" s="141" t="s">
        <v>5148</v>
      </c>
      <c r="C2572" s="141" t="s">
        <v>9079</v>
      </c>
      <c r="D2572" s="132" t="s">
        <v>4971</v>
      </c>
      <c r="E2572" s="141" t="s">
        <v>5168</v>
      </c>
      <c r="F2572" s="141" t="s">
        <v>5168</v>
      </c>
      <c r="G2572" s="141" t="s">
        <v>5762</v>
      </c>
      <c r="H2572" s="140" t="s">
        <v>6298</v>
      </c>
      <c r="I2572" s="141">
        <v>961500117</v>
      </c>
      <c r="J2572" s="131" t="s">
        <v>5226</v>
      </c>
      <c r="K2572" s="142">
        <v>68680</v>
      </c>
    </row>
    <row r="2573" spans="1:11">
      <c r="A2573" s="1" t="str">
        <f t="shared" si="40"/>
        <v>15100-41144296-96150008925800</v>
      </c>
      <c r="B2573" s="141" t="s">
        <v>5151</v>
      </c>
      <c r="C2573" s="141" t="s">
        <v>9082</v>
      </c>
      <c r="D2573" s="132" t="s">
        <v>4971</v>
      </c>
      <c r="E2573" s="141" t="s">
        <v>5160</v>
      </c>
      <c r="F2573" s="141" t="s">
        <v>5160</v>
      </c>
      <c r="G2573" s="141" t="s">
        <v>5762</v>
      </c>
      <c r="H2573" s="140" t="s">
        <v>6298</v>
      </c>
      <c r="I2573" s="141">
        <v>961500089</v>
      </c>
      <c r="J2573" s="131" t="s">
        <v>5224</v>
      </c>
      <c r="K2573" s="142">
        <v>25800</v>
      </c>
    </row>
    <row r="2574" spans="1:11">
      <c r="A2574" s="1" t="str">
        <f t="shared" si="40"/>
        <v>15100-41292296-96150002993490</v>
      </c>
      <c r="B2574" s="141" t="s">
        <v>5140</v>
      </c>
      <c r="C2574" s="141" t="s">
        <v>9071</v>
      </c>
      <c r="D2574" s="132" t="s">
        <v>4971</v>
      </c>
      <c r="E2574" s="141" t="s">
        <v>5168</v>
      </c>
      <c r="F2574" s="141" t="s">
        <v>5168</v>
      </c>
      <c r="G2574" s="141" t="s">
        <v>5775</v>
      </c>
      <c r="H2574" s="140" t="s">
        <v>6300</v>
      </c>
      <c r="I2574" s="141">
        <v>961500029</v>
      </c>
      <c r="J2574" s="131" t="s">
        <v>5217</v>
      </c>
      <c r="K2574" s="142">
        <v>93490</v>
      </c>
    </row>
    <row r="2575" spans="1:11">
      <c r="A2575" s="1" t="str">
        <f t="shared" si="40"/>
        <v>15100-41247196-96150010370150</v>
      </c>
      <c r="B2575" s="141" t="s">
        <v>5152</v>
      </c>
      <c r="C2575" s="141" t="s">
        <v>9083</v>
      </c>
      <c r="D2575" s="132" t="s">
        <v>4971</v>
      </c>
      <c r="E2575" s="141" t="s">
        <v>5163</v>
      </c>
      <c r="F2575" s="141" t="s">
        <v>5163</v>
      </c>
      <c r="G2575" s="141" t="s">
        <v>5801</v>
      </c>
      <c r="H2575" s="140" t="s">
        <v>6300</v>
      </c>
      <c r="I2575" s="141">
        <v>961500103</v>
      </c>
      <c r="J2575" s="131" t="s">
        <v>5210</v>
      </c>
      <c r="K2575" s="142">
        <v>70150</v>
      </c>
    </row>
    <row r="2576" spans="1:11">
      <c r="A2576" s="1" t="str">
        <f t="shared" si="40"/>
        <v>15100-40768396-961500009119540</v>
      </c>
      <c r="B2576" s="141" t="s">
        <v>5134</v>
      </c>
      <c r="C2576" s="141" t="s">
        <v>9065</v>
      </c>
      <c r="D2576" s="132" t="s">
        <v>4971</v>
      </c>
      <c r="E2576" s="141" t="s">
        <v>5162</v>
      </c>
      <c r="F2576" s="141" t="s">
        <v>5162</v>
      </c>
      <c r="G2576" s="141" t="s">
        <v>5752</v>
      </c>
      <c r="H2576" s="140" t="s">
        <v>6298</v>
      </c>
      <c r="I2576" s="141">
        <v>961500009</v>
      </c>
      <c r="J2576" s="131" t="s">
        <v>5215</v>
      </c>
      <c r="K2576" s="142">
        <v>119540</v>
      </c>
    </row>
    <row r="2577" spans="1:11">
      <c r="A2577" s="1" t="str">
        <f t="shared" si="40"/>
        <v>15100-41026596-961500103143050</v>
      </c>
      <c r="B2577" s="141" t="s">
        <v>5132</v>
      </c>
      <c r="C2577" s="141" t="s">
        <v>9063</v>
      </c>
      <c r="D2577" s="132" t="s">
        <v>4971</v>
      </c>
      <c r="E2577" s="141" t="s">
        <v>5171</v>
      </c>
      <c r="F2577" s="141" t="s">
        <v>5171</v>
      </c>
      <c r="G2577" s="141" t="s">
        <v>5801</v>
      </c>
      <c r="H2577" s="140" t="s">
        <v>6300</v>
      </c>
      <c r="I2577" s="141">
        <v>961500103</v>
      </c>
      <c r="J2577" s="131" t="s">
        <v>5210</v>
      </c>
      <c r="K2577" s="142">
        <v>143050</v>
      </c>
    </row>
    <row r="2578" spans="1:11">
      <c r="A2578" s="1" t="str">
        <f t="shared" si="40"/>
        <v>15100-40901596-96150005248930</v>
      </c>
      <c r="B2578" s="141" t="s">
        <v>5149</v>
      </c>
      <c r="C2578" s="141" t="s">
        <v>9080</v>
      </c>
      <c r="D2578" s="132" t="s">
        <v>4971</v>
      </c>
      <c r="E2578" s="141" t="s">
        <v>5164</v>
      </c>
      <c r="F2578" s="141" t="s">
        <v>5164</v>
      </c>
      <c r="G2578" s="141" t="s">
        <v>5758</v>
      </c>
      <c r="H2578" s="140" t="s">
        <v>6298</v>
      </c>
      <c r="I2578" s="141">
        <v>961500052</v>
      </c>
      <c r="J2578" s="131" t="s">
        <v>5225</v>
      </c>
      <c r="K2578" s="142">
        <v>48930</v>
      </c>
    </row>
    <row r="2579" spans="1:11">
      <c r="A2579" s="1" t="str">
        <f t="shared" si="40"/>
        <v>15100-40969796-961500068150120</v>
      </c>
      <c r="B2579" s="141" t="s">
        <v>5150</v>
      </c>
      <c r="C2579" s="141" t="s">
        <v>9081</v>
      </c>
      <c r="D2579" s="132" t="s">
        <v>4971</v>
      </c>
      <c r="E2579" s="141" t="s">
        <v>5169</v>
      </c>
      <c r="F2579" s="141" t="s">
        <v>5169</v>
      </c>
      <c r="G2579" s="141" t="s">
        <v>5758</v>
      </c>
      <c r="H2579" s="140" t="s">
        <v>6298</v>
      </c>
      <c r="I2579" s="141">
        <v>961500068</v>
      </c>
      <c r="J2579" s="131" t="s">
        <v>5221</v>
      </c>
      <c r="K2579" s="142">
        <v>150120</v>
      </c>
    </row>
    <row r="2580" spans="1:11">
      <c r="A2580" s="1" t="str">
        <f t="shared" si="40"/>
        <v>15100-41101396-961500102250000</v>
      </c>
      <c r="B2580" s="141" t="s">
        <v>5133</v>
      </c>
      <c r="C2580" s="141" t="s">
        <v>9064</v>
      </c>
      <c r="D2580" s="132" t="s">
        <v>4971</v>
      </c>
      <c r="E2580" s="141" t="s">
        <v>5165</v>
      </c>
      <c r="F2580" s="141" t="s">
        <v>5165</v>
      </c>
      <c r="G2580" s="141" t="s">
        <v>5800</v>
      </c>
      <c r="H2580" s="140" t="s">
        <v>6299</v>
      </c>
      <c r="I2580" s="141">
        <v>961500102</v>
      </c>
      <c r="J2580" s="131" t="s">
        <v>5212</v>
      </c>
      <c r="K2580" s="142">
        <v>250000</v>
      </c>
    </row>
    <row r="2581" spans="1:11">
      <c r="A2581" s="1" t="str">
        <f t="shared" si="40"/>
        <v>15100-40768396-96150005035500</v>
      </c>
      <c r="B2581" s="141" t="s">
        <v>5134</v>
      </c>
      <c r="C2581" s="141" t="s">
        <v>9065</v>
      </c>
      <c r="D2581" s="132" t="s">
        <v>4971</v>
      </c>
      <c r="E2581" s="141" t="s">
        <v>5162</v>
      </c>
      <c r="F2581" s="141" t="s">
        <v>5162</v>
      </c>
      <c r="G2581" s="141" t="s">
        <v>5767</v>
      </c>
      <c r="H2581" s="140" t="s">
        <v>6299</v>
      </c>
      <c r="I2581" s="141">
        <v>961500050</v>
      </c>
      <c r="J2581" s="131" t="s">
        <v>5216</v>
      </c>
      <c r="K2581" s="142">
        <v>35500</v>
      </c>
    </row>
    <row r="2582" spans="1:11">
      <c r="A2582" s="1" t="str">
        <f t="shared" si="40"/>
        <v>15100-40768396-96150003127760</v>
      </c>
      <c r="B2582" s="141" t="s">
        <v>5134</v>
      </c>
      <c r="C2582" s="141" t="s">
        <v>9065</v>
      </c>
      <c r="D2582" s="132" t="s">
        <v>4971</v>
      </c>
      <c r="E2582" s="141" t="s">
        <v>5162</v>
      </c>
      <c r="F2582" s="141" t="s">
        <v>5162</v>
      </c>
      <c r="G2582" s="141" t="s">
        <v>5758</v>
      </c>
      <c r="H2582" s="140" t="s">
        <v>6298</v>
      </c>
      <c r="I2582" s="141">
        <v>961500031</v>
      </c>
      <c r="J2582" s="131" t="s">
        <v>5070</v>
      </c>
      <c r="K2582" s="142">
        <v>27760</v>
      </c>
    </row>
    <row r="2583" spans="1:11">
      <c r="A2583" s="1" t="str">
        <f t="shared" si="40"/>
        <v>15100-41101396-96150010654680</v>
      </c>
      <c r="B2583" s="141" t="s">
        <v>5133</v>
      </c>
      <c r="C2583" s="141" t="s">
        <v>9064</v>
      </c>
      <c r="D2583" s="132" t="s">
        <v>4971</v>
      </c>
      <c r="E2583" s="141" t="s">
        <v>5165</v>
      </c>
      <c r="F2583" s="141" t="s">
        <v>5165</v>
      </c>
      <c r="G2583" s="141" t="s">
        <v>5762</v>
      </c>
      <c r="H2583" s="140" t="s">
        <v>6298</v>
      </c>
      <c r="I2583" s="141">
        <v>961500106</v>
      </c>
      <c r="J2583" s="131" t="s">
        <v>5213</v>
      </c>
      <c r="K2583" s="142">
        <v>54680</v>
      </c>
    </row>
    <row r="2584" spans="1:11">
      <c r="A2584" s="1" t="str">
        <f t="shared" si="40"/>
        <v>15100-40969796-96150006348980</v>
      </c>
      <c r="B2584" s="141" t="s">
        <v>5150</v>
      </c>
      <c r="C2584" s="141" t="s">
        <v>9081</v>
      </c>
      <c r="D2584" s="132" t="s">
        <v>4971</v>
      </c>
      <c r="E2584" s="141" t="s">
        <v>5169</v>
      </c>
      <c r="F2584" s="141" t="s">
        <v>5169</v>
      </c>
      <c r="G2584" s="141" t="s">
        <v>5787</v>
      </c>
      <c r="H2584" s="140" t="s">
        <v>8845</v>
      </c>
      <c r="I2584" s="141">
        <v>961500063</v>
      </c>
      <c r="J2584" s="131" t="s">
        <v>5055</v>
      </c>
      <c r="K2584" s="142">
        <v>48980</v>
      </c>
    </row>
    <row r="2585" spans="1:11">
      <c r="A2585" s="1" t="str">
        <f t="shared" si="40"/>
        <v>15100-40768396-96150006397660</v>
      </c>
      <c r="B2585" s="141" t="s">
        <v>5134</v>
      </c>
      <c r="C2585" s="141" t="s">
        <v>9065</v>
      </c>
      <c r="D2585" s="132" t="s">
        <v>4971</v>
      </c>
      <c r="E2585" s="141" t="s">
        <v>5162</v>
      </c>
      <c r="F2585" s="141" t="s">
        <v>5162</v>
      </c>
      <c r="G2585" s="141" t="s">
        <v>5787</v>
      </c>
      <c r="H2585" s="140" t="s">
        <v>8845</v>
      </c>
      <c r="I2585" s="141">
        <v>961500063</v>
      </c>
      <c r="J2585" s="131" t="s">
        <v>5055</v>
      </c>
      <c r="K2585" s="142">
        <v>97660</v>
      </c>
    </row>
    <row r="2586" spans="1:11">
      <c r="A2586" s="1" t="str">
        <f t="shared" si="40"/>
        <v>15100-40768396-96150008739000</v>
      </c>
      <c r="B2586" s="141" t="s">
        <v>5134</v>
      </c>
      <c r="C2586" s="141" t="s">
        <v>9065</v>
      </c>
      <c r="D2586" s="132" t="s">
        <v>4971</v>
      </c>
      <c r="E2586" s="141" t="s">
        <v>5162</v>
      </c>
      <c r="F2586" s="141" t="s">
        <v>5162</v>
      </c>
      <c r="G2586" s="141" t="s">
        <v>5795</v>
      </c>
      <c r="H2586" s="140" t="s">
        <v>6299</v>
      </c>
      <c r="I2586" s="141">
        <v>961500087</v>
      </c>
      <c r="J2586" s="131" t="s">
        <v>5214</v>
      </c>
      <c r="K2586" s="142">
        <v>39000</v>
      </c>
    </row>
    <row r="2587" spans="1:11">
      <c r="A2587" s="1" t="str">
        <f t="shared" si="40"/>
        <v>15100-40768396-96150007931570</v>
      </c>
      <c r="B2587" s="141" t="s">
        <v>5134</v>
      </c>
      <c r="C2587" s="141" t="s">
        <v>9065</v>
      </c>
      <c r="D2587" s="132" t="s">
        <v>4971</v>
      </c>
      <c r="E2587" s="141" t="s">
        <v>5162</v>
      </c>
      <c r="F2587" s="141" t="s">
        <v>5162</v>
      </c>
      <c r="G2587" s="141" t="s">
        <v>5762</v>
      </c>
      <c r="H2587" s="140" t="s">
        <v>6298</v>
      </c>
      <c r="I2587" s="141">
        <v>961500079</v>
      </c>
      <c r="J2587" s="131" t="s">
        <v>5057</v>
      </c>
      <c r="K2587" s="142">
        <v>31570</v>
      </c>
    </row>
    <row r="2588" spans="1:11">
      <c r="A2588" s="1" t="str">
        <f t="shared" si="40"/>
        <v>15100-41177496-961500103168360</v>
      </c>
      <c r="B2588" s="141" t="s">
        <v>5155</v>
      </c>
      <c r="C2588" s="141" t="s">
        <v>9086</v>
      </c>
      <c r="D2588" s="132" t="s">
        <v>4971</v>
      </c>
      <c r="E2588" s="141" t="s">
        <v>5160</v>
      </c>
      <c r="F2588" s="141" t="s">
        <v>5160</v>
      </c>
      <c r="G2588" s="141" t="s">
        <v>5801</v>
      </c>
      <c r="H2588" s="140" t="s">
        <v>6300</v>
      </c>
      <c r="I2588" s="141">
        <v>961500103</v>
      </c>
      <c r="J2588" s="131" t="s">
        <v>5210</v>
      </c>
      <c r="K2588" s="142">
        <v>168360</v>
      </c>
    </row>
    <row r="2589" spans="1:11">
      <c r="A2589" s="1" t="str">
        <f t="shared" si="40"/>
        <v>15100-40825196-96150007912600</v>
      </c>
      <c r="B2589" s="141" t="s">
        <v>5156</v>
      </c>
      <c r="C2589" s="141" t="s">
        <v>9087</v>
      </c>
      <c r="D2589" s="132" t="s">
        <v>4971</v>
      </c>
      <c r="E2589" s="141" t="s">
        <v>5047</v>
      </c>
      <c r="F2589" s="141" t="s">
        <v>5047</v>
      </c>
      <c r="G2589" s="141" t="s">
        <v>5762</v>
      </c>
      <c r="H2589" s="140" t="s">
        <v>6298</v>
      </c>
      <c r="I2589" s="141">
        <v>961500079</v>
      </c>
      <c r="J2589" s="131" t="s">
        <v>5057</v>
      </c>
      <c r="K2589" s="142">
        <v>12600</v>
      </c>
    </row>
    <row r="2590" spans="1:11">
      <c r="A2590" s="1" t="str">
        <f t="shared" si="40"/>
        <v>15100-41028396-96150001967200</v>
      </c>
      <c r="B2590" s="141" t="s">
        <v>5153</v>
      </c>
      <c r="C2590" s="141" t="s">
        <v>9084</v>
      </c>
      <c r="D2590" s="132" t="s">
        <v>4971</v>
      </c>
      <c r="E2590" s="141" t="s">
        <v>5171</v>
      </c>
      <c r="F2590" s="141" t="s">
        <v>5171</v>
      </c>
      <c r="G2590" s="141" t="s">
        <v>5758</v>
      </c>
      <c r="H2590" s="140" t="s">
        <v>6298</v>
      </c>
      <c r="I2590" s="141">
        <v>961500019</v>
      </c>
      <c r="J2590" s="131" t="s">
        <v>5222</v>
      </c>
      <c r="K2590" s="142">
        <v>67200</v>
      </c>
    </row>
    <row r="2591" spans="1:11">
      <c r="A2591" s="1" t="str">
        <f t="shared" si="40"/>
        <v>15100-41028396-96150004793120</v>
      </c>
      <c r="B2591" s="141" t="s">
        <v>5153</v>
      </c>
      <c r="C2591" s="141" t="s">
        <v>9084</v>
      </c>
      <c r="D2591" s="132" t="s">
        <v>4971</v>
      </c>
      <c r="E2591" s="141" t="s">
        <v>5171</v>
      </c>
      <c r="F2591" s="141" t="s">
        <v>5171</v>
      </c>
      <c r="G2591" s="141" t="s">
        <v>5772</v>
      </c>
      <c r="H2591" s="140" t="s">
        <v>6454</v>
      </c>
      <c r="I2591" s="141">
        <v>961500047</v>
      </c>
      <c r="J2591" s="131" t="s">
        <v>5229</v>
      </c>
      <c r="K2591" s="142">
        <v>93120</v>
      </c>
    </row>
    <row r="2592" spans="1:11">
      <c r="A2592" s="1" t="str">
        <f t="shared" si="40"/>
        <v>15100-41305196-96150004793680</v>
      </c>
      <c r="B2592" s="141" t="s">
        <v>5154</v>
      </c>
      <c r="C2592" s="141" t="s">
        <v>9085</v>
      </c>
      <c r="D2592" s="132" t="s">
        <v>4971</v>
      </c>
      <c r="E2592" s="141" t="s">
        <v>5168</v>
      </c>
      <c r="F2592" s="141" t="s">
        <v>5168</v>
      </c>
      <c r="G2592" s="141" t="s">
        <v>5772</v>
      </c>
      <c r="H2592" s="140" t="s">
        <v>6454</v>
      </c>
      <c r="I2592" s="141">
        <v>961500047</v>
      </c>
      <c r="J2592" s="131" t="s">
        <v>5229</v>
      </c>
      <c r="K2592" s="142">
        <v>93680</v>
      </c>
    </row>
    <row r="2593" spans="1:11">
      <c r="A2593" s="1" t="str">
        <f t="shared" si="40"/>
        <v>15100-40631996-96150005786900</v>
      </c>
      <c r="B2593" s="141" t="s">
        <v>5143</v>
      </c>
      <c r="C2593" s="141" t="s">
        <v>9074</v>
      </c>
      <c r="D2593" s="132" t="s">
        <v>4971</v>
      </c>
      <c r="E2593" s="141" t="s">
        <v>5166</v>
      </c>
      <c r="F2593" s="141" t="s">
        <v>5166</v>
      </c>
      <c r="G2593" s="141" t="s">
        <v>5758</v>
      </c>
      <c r="H2593" s="140" t="s">
        <v>6298</v>
      </c>
      <c r="I2593" s="141">
        <v>961500057</v>
      </c>
      <c r="J2593" s="131" t="s">
        <v>5223</v>
      </c>
      <c r="K2593" s="142">
        <v>86900</v>
      </c>
    </row>
    <row r="2594" spans="1:11">
      <c r="A2594" s="1" t="str">
        <f t="shared" si="40"/>
        <v>15100-40689696-96150005769970</v>
      </c>
      <c r="B2594" s="141" t="s">
        <v>5130</v>
      </c>
      <c r="C2594" s="141" t="s">
        <v>9061</v>
      </c>
      <c r="D2594" s="132" t="s">
        <v>4971</v>
      </c>
      <c r="E2594" s="141" t="s">
        <v>5161</v>
      </c>
      <c r="F2594" s="141" t="s">
        <v>5161</v>
      </c>
      <c r="G2594" s="141" t="s">
        <v>5758</v>
      </c>
      <c r="H2594" s="140" t="s">
        <v>6298</v>
      </c>
      <c r="I2594" s="141">
        <v>961500057</v>
      </c>
      <c r="J2594" s="131" t="s">
        <v>5223</v>
      </c>
      <c r="K2594" s="142">
        <v>69970</v>
      </c>
    </row>
    <row r="2595" spans="1:11">
      <c r="A2595" s="1" t="str">
        <f t="shared" si="40"/>
        <v>15100-40763896-961500057274250</v>
      </c>
      <c r="B2595" s="141" t="s">
        <v>5131</v>
      </c>
      <c r="C2595" s="141" t="s">
        <v>9062</v>
      </c>
      <c r="D2595" s="132" t="s">
        <v>4971</v>
      </c>
      <c r="E2595" s="141" t="s">
        <v>5162</v>
      </c>
      <c r="F2595" s="141" t="s">
        <v>5162</v>
      </c>
      <c r="G2595" s="141" t="s">
        <v>5758</v>
      </c>
      <c r="H2595" s="140" t="s">
        <v>6298</v>
      </c>
      <c r="I2595" s="141">
        <v>961500057</v>
      </c>
      <c r="J2595" s="131" t="s">
        <v>5223</v>
      </c>
      <c r="K2595" s="142">
        <v>274250</v>
      </c>
    </row>
    <row r="2596" spans="1:11">
      <c r="A2596" s="1" t="str">
        <f t="shared" si="40"/>
        <v>15100-40768396-96150005778550</v>
      </c>
      <c r="B2596" s="141" t="s">
        <v>5134</v>
      </c>
      <c r="C2596" s="141" t="s">
        <v>9065</v>
      </c>
      <c r="D2596" s="132" t="s">
        <v>4971</v>
      </c>
      <c r="E2596" s="141" t="s">
        <v>5162</v>
      </c>
      <c r="F2596" s="141" t="s">
        <v>5162</v>
      </c>
      <c r="G2596" s="141" t="s">
        <v>5758</v>
      </c>
      <c r="H2596" s="140" t="s">
        <v>6298</v>
      </c>
      <c r="I2596" s="141">
        <v>961500057</v>
      </c>
      <c r="J2596" s="131" t="s">
        <v>5223</v>
      </c>
      <c r="K2596" s="142">
        <v>78550</v>
      </c>
    </row>
    <row r="2597" spans="1:11">
      <c r="A2597" s="1" t="str">
        <f t="shared" si="40"/>
        <v>15100-41245096-961500023170830</v>
      </c>
      <c r="B2597" s="141" t="s">
        <v>5157</v>
      </c>
      <c r="C2597" s="141" t="s">
        <v>9088</v>
      </c>
      <c r="D2597" s="132" t="s">
        <v>4971</v>
      </c>
      <c r="E2597" s="141" t="s">
        <v>5163</v>
      </c>
      <c r="F2597" s="141" t="s">
        <v>5163</v>
      </c>
      <c r="G2597" s="141" t="s">
        <v>5751</v>
      </c>
      <c r="H2597" s="140" t="s">
        <v>6300</v>
      </c>
      <c r="I2597" s="141">
        <v>961500023</v>
      </c>
      <c r="J2597" s="131" t="s">
        <v>5074</v>
      </c>
      <c r="K2597" s="142">
        <v>170830</v>
      </c>
    </row>
    <row r="2598" spans="1:11">
      <c r="A2598" s="1" t="str">
        <f t="shared" si="40"/>
        <v>15100-41151496-961500023163060</v>
      </c>
      <c r="B2598" s="141" t="s">
        <v>5136</v>
      </c>
      <c r="C2598" s="141" t="s">
        <v>9067</v>
      </c>
      <c r="D2598" s="132" t="s">
        <v>4971</v>
      </c>
      <c r="E2598" s="141" t="s">
        <v>5160</v>
      </c>
      <c r="F2598" s="141" t="s">
        <v>5160</v>
      </c>
      <c r="G2598" s="141" t="s">
        <v>5751</v>
      </c>
      <c r="H2598" s="140" t="s">
        <v>6300</v>
      </c>
      <c r="I2598" s="141">
        <v>961500023</v>
      </c>
      <c r="J2598" s="131" t="s">
        <v>5074</v>
      </c>
      <c r="K2598" s="142">
        <v>163060</v>
      </c>
    </row>
    <row r="2599" spans="1:11">
      <c r="A2599" s="1" t="str">
        <f t="shared" si="40"/>
        <v>15100-40824296-96150005725680</v>
      </c>
      <c r="B2599" s="141" t="s">
        <v>5141</v>
      </c>
      <c r="C2599" s="141" t="s">
        <v>9072</v>
      </c>
      <c r="D2599" s="132" t="s">
        <v>4971</v>
      </c>
      <c r="E2599" s="141" t="s">
        <v>5047</v>
      </c>
      <c r="F2599" s="141" t="s">
        <v>5047</v>
      </c>
      <c r="G2599" s="141" t="s">
        <v>5758</v>
      </c>
      <c r="H2599" s="140" t="s">
        <v>6298</v>
      </c>
      <c r="I2599" s="141">
        <v>961500057</v>
      </c>
      <c r="J2599" s="131" t="s">
        <v>5223</v>
      </c>
      <c r="K2599" s="142">
        <v>25680</v>
      </c>
    </row>
    <row r="2600" spans="1:11">
      <c r="A2600" s="1" t="str">
        <f t="shared" si="40"/>
        <v>15100-41297395-9515005701900</v>
      </c>
      <c r="B2600" s="141" t="s">
        <v>5145</v>
      </c>
      <c r="C2600" s="141" t="s">
        <v>9076</v>
      </c>
      <c r="D2600" s="132" t="s">
        <v>4971</v>
      </c>
      <c r="E2600" s="141" t="s">
        <v>5168</v>
      </c>
      <c r="F2600" s="141" t="s">
        <v>5168</v>
      </c>
      <c r="G2600" s="141" t="s">
        <v>5728</v>
      </c>
      <c r="H2600" s="140" t="s">
        <v>6299</v>
      </c>
      <c r="I2600" s="141">
        <v>951500570</v>
      </c>
      <c r="J2600" s="131" t="s">
        <v>4701</v>
      </c>
      <c r="K2600" s="142">
        <v>1900</v>
      </c>
    </row>
    <row r="2601" spans="1:11">
      <c r="A2601" s="1" t="str">
        <f t="shared" si="40"/>
        <v>15100-41247196-96150010928010</v>
      </c>
      <c r="B2601" s="141" t="s">
        <v>5152</v>
      </c>
      <c r="C2601" s="141" t="s">
        <v>9083</v>
      </c>
      <c r="D2601" s="132" t="s">
        <v>4971</v>
      </c>
      <c r="E2601" s="141" t="s">
        <v>5163</v>
      </c>
      <c r="F2601" s="141" t="s">
        <v>5163</v>
      </c>
      <c r="G2601" s="141" t="s">
        <v>5801</v>
      </c>
      <c r="H2601" s="140" t="s">
        <v>6300</v>
      </c>
      <c r="I2601" s="141">
        <v>961500109</v>
      </c>
      <c r="J2601" s="131" t="s">
        <v>5228</v>
      </c>
      <c r="K2601" s="142">
        <v>28010</v>
      </c>
    </row>
    <row r="2602" spans="1:11">
      <c r="A2602" s="1" t="str">
        <f t="shared" si="40"/>
        <v>15100-40630396-96150005745190</v>
      </c>
      <c r="B2602" s="141" t="s">
        <v>5158</v>
      </c>
      <c r="C2602" s="141" t="s">
        <v>9089</v>
      </c>
      <c r="D2602" s="132" t="s">
        <v>4971</v>
      </c>
      <c r="E2602" s="141" t="s">
        <v>5166</v>
      </c>
      <c r="F2602" s="141" t="s">
        <v>5166</v>
      </c>
      <c r="G2602" s="141" t="s">
        <v>5758</v>
      </c>
      <c r="H2602" s="140" t="s">
        <v>6298</v>
      </c>
      <c r="I2602" s="141">
        <v>961500057</v>
      </c>
      <c r="J2602" s="131" t="s">
        <v>5223</v>
      </c>
      <c r="K2602" s="142">
        <v>45190</v>
      </c>
    </row>
    <row r="2603" spans="1:11">
      <c r="A2603" s="1" t="str">
        <f t="shared" si="40"/>
        <v>15100-40825196-96150005739320</v>
      </c>
      <c r="B2603" s="141" t="s">
        <v>5156</v>
      </c>
      <c r="C2603" s="141" t="s">
        <v>9087</v>
      </c>
      <c r="D2603" s="132" t="s">
        <v>4971</v>
      </c>
      <c r="E2603" s="141" t="s">
        <v>5047</v>
      </c>
      <c r="F2603" s="141" t="s">
        <v>5047</v>
      </c>
      <c r="G2603" s="141" t="s">
        <v>5758</v>
      </c>
      <c r="H2603" s="140" t="s">
        <v>6298</v>
      </c>
      <c r="I2603" s="141">
        <v>961500057</v>
      </c>
      <c r="J2603" s="131" t="s">
        <v>5223</v>
      </c>
      <c r="K2603" s="142">
        <v>39320</v>
      </c>
    </row>
    <row r="2604" spans="1:11">
      <c r="A2604" s="1" t="str">
        <f t="shared" si="40"/>
        <v>15100-39738096-96150000246020</v>
      </c>
      <c r="B2604" s="136" t="s">
        <v>4851</v>
      </c>
      <c r="C2604" s="136" t="s">
        <v>8925</v>
      </c>
      <c r="D2604" s="132" t="s">
        <v>4971</v>
      </c>
      <c r="E2604" s="136" t="s">
        <v>4882</v>
      </c>
      <c r="F2604" s="136" t="s">
        <v>4882</v>
      </c>
      <c r="G2604" s="136" t="s">
        <v>5764</v>
      </c>
      <c r="H2604" s="138" t="s">
        <v>6299</v>
      </c>
      <c r="I2604" s="136">
        <v>961500002</v>
      </c>
      <c r="J2604" s="131" t="s">
        <v>4964</v>
      </c>
      <c r="K2604" s="139">
        <v>46020</v>
      </c>
    </row>
    <row r="2605" spans="1:11">
      <c r="A2605" s="1" t="str">
        <f t="shared" si="40"/>
        <v>15100-39738095-95150060923700</v>
      </c>
      <c r="B2605" s="136" t="s">
        <v>4851</v>
      </c>
      <c r="C2605" s="136" t="s">
        <v>8925</v>
      </c>
      <c r="D2605" s="132" t="s">
        <v>4971</v>
      </c>
      <c r="E2605" s="136" t="s">
        <v>4882</v>
      </c>
      <c r="F2605" s="136" t="s">
        <v>4882</v>
      </c>
      <c r="G2605" s="136" t="s">
        <v>5752</v>
      </c>
      <c r="H2605" s="138" t="s">
        <v>6298</v>
      </c>
      <c r="I2605" s="136">
        <v>951500609</v>
      </c>
      <c r="J2605" s="131" t="s">
        <v>4965</v>
      </c>
      <c r="K2605" s="139">
        <v>23700</v>
      </c>
    </row>
    <row r="2606" spans="1:11">
      <c r="A2606" s="1" t="str">
        <f t="shared" si="40"/>
        <v>15100-39661095-95150059722180</v>
      </c>
      <c r="B2606" s="136" t="s">
        <v>4852</v>
      </c>
      <c r="C2606" s="136" t="s">
        <v>8926</v>
      </c>
      <c r="D2606" s="132" t="s">
        <v>4971</v>
      </c>
      <c r="E2606" s="136" t="s">
        <v>4884</v>
      </c>
      <c r="F2606" s="136" t="s">
        <v>4884</v>
      </c>
      <c r="G2606" s="136" t="s">
        <v>5752</v>
      </c>
      <c r="H2606" s="138" t="s">
        <v>6298</v>
      </c>
      <c r="I2606" s="136">
        <v>951500597</v>
      </c>
      <c r="J2606" s="131" t="s">
        <v>4951</v>
      </c>
      <c r="K2606" s="139">
        <v>22180</v>
      </c>
    </row>
    <row r="2607" spans="1:11">
      <c r="A2607" s="1" t="str">
        <f t="shared" si="40"/>
        <v>15100-39738095-95150060321780</v>
      </c>
      <c r="B2607" s="136" t="s">
        <v>4851</v>
      </c>
      <c r="C2607" s="136" t="s">
        <v>8925</v>
      </c>
      <c r="D2607" s="132" t="s">
        <v>4971</v>
      </c>
      <c r="E2607" s="136" t="s">
        <v>4882</v>
      </c>
      <c r="F2607" s="136" t="s">
        <v>4882</v>
      </c>
      <c r="G2607" s="136" t="s">
        <v>5752</v>
      </c>
      <c r="H2607" s="138" t="s">
        <v>6298</v>
      </c>
      <c r="I2607" s="136">
        <v>951500603</v>
      </c>
      <c r="J2607" s="131" t="s">
        <v>4952</v>
      </c>
      <c r="K2607" s="139">
        <v>21780</v>
      </c>
    </row>
    <row r="2608" spans="1:11">
      <c r="A2608" s="1" t="str">
        <f t="shared" si="40"/>
        <v>15100-39661095-95150060971300</v>
      </c>
      <c r="B2608" s="136" t="s">
        <v>4852</v>
      </c>
      <c r="C2608" s="136" t="s">
        <v>8926</v>
      </c>
      <c r="D2608" s="132" t="s">
        <v>4971</v>
      </c>
      <c r="E2608" s="136" t="s">
        <v>4884</v>
      </c>
      <c r="F2608" s="136" t="s">
        <v>4884</v>
      </c>
      <c r="G2608" s="136" t="s">
        <v>5752</v>
      </c>
      <c r="H2608" s="138" t="s">
        <v>6298</v>
      </c>
      <c r="I2608" s="136">
        <v>951500609</v>
      </c>
      <c r="J2608" s="131" t="s">
        <v>4965</v>
      </c>
      <c r="K2608" s="139">
        <v>71300</v>
      </c>
    </row>
    <row r="2609" spans="1:11">
      <c r="A2609" s="1" t="str">
        <f t="shared" si="40"/>
        <v>15100-39661095-95150059996240</v>
      </c>
      <c r="B2609" s="136" t="s">
        <v>4852</v>
      </c>
      <c r="C2609" s="136" t="s">
        <v>8926</v>
      </c>
      <c r="D2609" s="132" t="s">
        <v>4971</v>
      </c>
      <c r="E2609" s="136" t="s">
        <v>4884</v>
      </c>
      <c r="F2609" s="136" t="s">
        <v>4884</v>
      </c>
      <c r="G2609" s="136" t="s">
        <v>5752</v>
      </c>
      <c r="H2609" s="138" t="s">
        <v>6298</v>
      </c>
      <c r="I2609" s="136">
        <v>951500599</v>
      </c>
      <c r="J2609" s="131" t="s">
        <v>4954</v>
      </c>
      <c r="K2609" s="139">
        <v>96240</v>
      </c>
    </row>
    <row r="2610" spans="1:11">
      <c r="A2610" s="1" t="str">
        <f t="shared" si="40"/>
        <v>15100-39690395-95150057416795</v>
      </c>
      <c r="B2610" s="136" t="s">
        <v>4857</v>
      </c>
      <c r="C2610" s="136" t="s">
        <v>8931</v>
      </c>
      <c r="D2610" s="132" t="s">
        <v>4971</v>
      </c>
      <c r="E2610" s="136" t="s">
        <v>4886</v>
      </c>
      <c r="F2610" s="136" t="s">
        <v>4886</v>
      </c>
      <c r="G2610" s="136" t="s">
        <v>5752</v>
      </c>
      <c r="H2610" s="138" t="s">
        <v>6298</v>
      </c>
      <c r="I2610" s="136">
        <v>951500574</v>
      </c>
      <c r="J2610" s="131" t="s">
        <v>4699</v>
      </c>
      <c r="K2610" s="139">
        <v>16795</v>
      </c>
    </row>
    <row r="2611" spans="1:11">
      <c r="A2611" s="1" t="str">
        <f t="shared" si="40"/>
        <v>15100-39646695-95150060471380</v>
      </c>
      <c r="B2611" s="136" t="s">
        <v>4859</v>
      </c>
      <c r="C2611" s="136" t="s">
        <v>8933</v>
      </c>
      <c r="D2611" s="132" t="s">
        <v>4971</v>
      </c>
      <c r="E2611" s="136" t="s">
        <v>4888</v>
      </c>
      <c r="F2611" s="136" t="s">
        <v>4888</v>
      </c>
      <c r="G2611" s="136" t="s">
        <v>5764</v>
      </c>
      <c r="H2611" s="138" t="s">
        <v>6299</v>
      </c>
      <c r="I2611" s="136">
        <v>951500604</v>
      </c>
      <c r="J2611" s="131" t="s">
        <v>4967</v>
      </c>
      <c r="K2611" s="139">
        <v>71380</v>
      </c>
    </row>
    <row r="2612" spans="1:11">
      <c r="A2612" s="1" t="str">
        <f t="shared" si="40"/>
        <v>15100-39773295-951500606370115</v>
      </c>
      <c r="B2612" s="136" t="s">
        <v>4858</v>
      </c>
      <c r="C2612" s="136" t="s">
        <v>8932</v>
      </c>
      <c r="D2612" s="132" t="s">
        <v>4971</v>
      </c>
      <c r="E2612" s="136" t="s">
        <v>4887</v>
      </c>
      <c r="F2612" s="136" t="s">
        <v>4887</v>
      </c>
      <c r="G2612" s="136" t="s">
        <v>5766</v>
      </c>
      <c r="H2612" s="138" t="s">
        <v>11794</v>
      </c>
      <c r="I2612" s="136">
        <v>951500606</v>
      </c>
      <c r="J2612" s="131" t="s">
        <v>4966</v>
      </c>
      <c r="K2612" s="139">
        <v>370115</v>
      </c>
    </row>
    <row r="2613" spans="1:11">
      <c r="A2613" s="1" t="str">
        <f t="shared" si="40"/>
        <v>15100-39690395-95150047616060</v>
      </c>
      <c r="B2613" s="136" t="s">
        <v>4857</v>
      </c>
      <c r="C2613" s="136" t="s">
        <v>8931</v>
      </c>
      <c r="D2613" s="132" t="s">
        <v>4971</v>
      </c>
      <c r="E2613" s="136" t="s">
        <v>4886</v>
      </c>
      <c r="F2613" s="136" t="s">
        <v>4886</v>
      </c>
      <c r="G2613" s="136" t="s">
        <v>5708</v>
      </c>
      <c r="H2613" s="138" t="s">
        <v>6298</v>
      </c>
      <c r="I2613" s="136">
        <v>951500476</v>
      </c>
      <c r="J2613" s="131" t="s">
        <v>4451</v>
      </c>
      <c r="K2613" s="139">
        <v>16060</v>
      </c>
    </row>
    <row r="2614" spans="1:11">
      <c r="A2614" s="1" t="str">
        <f t="shared" si="40"/>
        <v>15100-39690395-95150058360165</v>
      </c>
      <c r="B2614" s="136" t="s">
        <v>4857</v>
      </c>
      <c r="C2614" s="136" t="s">
        <v>8931</v>
      </c>
      <c r="D2614" s="132" t="s">
        <v>4971</v>
      </c>
      <c r="E2614" s="136" t="s">
        <v>4886</v>
      </c>
      <c r="F2614" s="136" t="s">
        <v>4886</v>
      </c>
      <c r="G2614" s="136" t="s">
        <v>5752</v>
      </c>
      <c r="H2614" s="138" t="s">
        <v>6298</v>
      </c>
      <c r="I2614" s="136">
        <v>951500583</v>
      </c>
      <c r="J2614" s="131" t="s">
        <v>4894</v>
      </c>
      <c r="K2614" s="139">
        <v>60165</v>
      </c>
    </row>
    <row r="2615" spans="1:11">
      <c r="A2615" s="1" t="str">
        <f t="shared" si="40"/>
        <v>15100-39690695-95150058710620</v>
      </c>
      <c r="B2615" s="136" t="s">
        <v>4855</v>
      </c>
      <c r="C2615" s="136" t="s">
        <v>8929</v>
      </c>
      <c r="D2615" s="132" t="s">
        <v>4971</v>
      </c>
      <c r="E2615" s="136" t="s">
        <v>4886</v>
      </c>
      <c r="F2615" s="136" t="s">
        <v>4886</v>
      </c>
      <c r="G2615" s="136" t="s">
        <v>5759</v>
      </c>
      <c r="H2615" s="138" t="s">
        <v>6299</v>
      </c>
      <c r="I2615" s="136">
        <v>951500587</v>
      </c>
      <c r="J2615" s="131" t="s">
        <v>4889</v>
      </c>
      <c r="K2615" s="139">
        <v>10620</v>
      </c>
    </row>
    <row r="2616" spans="1:11">
      <c r="A2616" s="1" t="str">
        <f t="shared" si="40"/>
        <v>15100-39690695-95150060269800</v>
      </c>
      <c r="B2616" s="136" t="s">
        <v>4855</v>
      </c>
      <c r="C2616" s="136" t="s">
        <v>8929</v>
      </c>
      <c r="D2616" s="132" t="s">
        <v>4971</v>
      </c>
      <c r="E2616" s="136" t="s">
        <v>4886</v>
      </c>
      <c r="F2616" s="136" t="s">
        <v>4886</v>
      </c>
      <c r="G2616" s="136" t="s">
        <v>5759</v>
      </c>
      <c r="H2616" s="138" t="s">
        <v>6299</v>
      </c>
      <c r="I2616" s="136">
        <v>951500602</v>
      </c>
      <c r="J2616" s="131" t="s">
        <v>4968</v>
      </c>
      <c r="K2616" s="139">
        <v>69800</v>
      </c>
    </row>
    <row r="2617" spans="1:11">
      <c r="A2617" s="1" t="str">
        <f t="shared" si="40"/>
        <v>15100-39822995-9515006021460</v>
      </c>
      <c r="B2617" s="136" t="s">
        <v>4860</v>
      </c>
      <c r="C2617" s="136" t="s">
        <v>8934</v>
      </c>
      <c r="D2617" s="132" t="s">
        <v>4971</v>
      </c>
      <c r="E2617" s="136" t="s">
        <v>4881</v>
      </c>
      <c r="F2617" s="136" t="s">
        <v>4881</v>
      </c>
      <c r="G2617" s="136" t="s">
        <v>5759</v>
      </c>
      <c r="H2617" s="138" t="s">
        <v>6299</v>
      </c>
      <c r="I2617" s="136">
        <v>951500602</v>
      </c>
      <c r="J2617" s="131" t="s">
        <v>4968</v>
      </c>
      <c r="K2617" s="139">
        <v>1460</v>
      </c>
    </row>
    <row r="2618" spans="1:11">
      <c r="A2618" s="1" t="str">
        <f t="shared" si="40"/>
        <v>15100-39690695-9515005965440</v>
      </c>
      <c r="B2618" s="136" t="s">
        <v>4855</v>
      </c>
      <c r="C2618" s="136" t="s">
        <v>8929</v>
      </c>
      <c r="D2618" s="132" t="s">
        <v>4971</v>
      </c>
      <c r="E2618" s="136" t="s">
        <v>4886</v>
      </c>
      <c r="F2618" s="136" t="s">
        <v>4886</v>
      </c>
      <c r="G2618" s="136" t="s">
        <v>5759</v>
      </c>
      <c r="H2618" s="138" t="s">
        <v>6299</v>
      </c>
      <c r="I2618" s="136">
        <v>951500596</v>
      </c>
      <c r="J2618" s="131" t="s">
        <v>4956</v>
      </c>
      <c r="K2618" s="139">
        <v>5440</v>
      </c>
    </row>
    <row r="2619" spans="1:11">
      <c r="A2619" s="1" t="str">
        <f t="shared" si="40"/>
        <v>15100-39690695-95150060477600</v>
      </c>
      <c r="B2619" s="136" t="s">
        <v>4855</v>
      </c>
      <c r="C2619" s="136" t="s">
        <v>8929</v>
      </c>
      <c r="D2619" s="132" t="s">
        <v>4971</v>
      </c>
      <c r="E2619" s="136" t="s">
        <v>4886</v>
      </c>
      <c r="F2619" s="136" t="s">
        <v>4886</v>
      </c>
      <c r="G2619" s="136" t="s">
        <v>5764</v>
      </c>
      <c r="H2619" s="138" t="s">
        <v>6299</v>
      </c>
      <c r="I2619" s="136">
        <v>951500604</v>
      </c>
      <c r="J2619" s="131" t="s">
        <v>4967</v>
      </c>
      <c r="K2619" s="139">
        <v>77600</v>
      </c>
    </row>
    <row r="2620" spans="1:11">
      <c r="A2620" s="1" t="str">
        <f t="shared" si="40"/>
        <v>15100-39819995-951500606151410</v>
      </c>
      <c r="B2620" s="136" t="s">
        <v>4854</v>
      </c>
      <c r="C2620" s="136" t="s">
        <v>8928</v>
      </c>
      <c r="D2620" s="132" t="s">
        <v>4971</v>
      </c>
      <c r="E2620" s="136" t="s">
        <v>4881</v>
      </c>
      <c r="F2620" s="136" t="s">
        <v>4881</v>
      </c>
      <c r="G2620" s="136" t="s">
        <v>5766</v>
      </c>
      <c r="H2620" s="138" t="s">
        <v>11794</v>
      </c>
      <c r="I2620" s="136">
        <v>951500606</v>
      </c>
      <c r="J2620" s="131" t="s">
        <v>4966</v>
      </c>
      <c r="K2620" s="139">
        <v>151410</v>
      </c>
    </row>
    <row r="2621" spans="1:11">
      <c r="A2621" s="1" t="str">
        <f t="shared" si="40"/>
        <v>15100-39822996-96150000220660</v>
      </c>
      <c r="B2621" s="136" t="s">
        <v>4860</v>
      </c>
      <c r="C2621" s="136" t="s">
        <v>8934</v>
      </c>
      <c r="D2621" s="132" t="s">
        <v>4971</v>
      </c>
      <c r="E2621" s="136" t="s">
        <v>4881</v>
      </c>
      <c r="F2621" s="136" t="s">
        <v>4881</v>
      </c>
      <c r="G2621" s="136" t="s">
        <v>5764</v>
      </c>
      <c r="H2621" s="138" t="s">
        <v>6299</v>
      </c>
      <c r="I2621" s="136">
        <v>961500002</v>
      </c>
      <c r="J2621" s="131" t="s">
        <v>4964</v>
      </c>
      <c r="K2621" s="139">
        <v>20660</v>
      </c>
    </row>
    <row r="2622" spans="1:11">
      <c r="A2622" s="1" t="str">
        <f t="shared" si="40"/>
        <v>15100-39782396-961500003331980</v>
      </c>
      <c r="B2622" s="136" t="s">
        <v>4856</v>
      </c>
      <c r="C2622" s="136" t="s">
        <v>8930</v>
      </c>
      <c r="D2622" s="132" t="s">
        <v>4971</v>
      </c>
      <c r="E2622" s="136" t="s">
        <v>4887</v>
      </c>
      <c r="F2622" s="136" t="s">
        <v>4887</v>
      </c>
      <c r="G2622" s="136" t="s">
        <v>5752</v>
      </c>
      <c r="H2622" s="138" t="s">
        <v>6298</v>
      </c>
      <c r="I2622" s="136">
        <v>961500003</v>
      </c>
      <c r="J2622" s="131" t="s">
        <v>4969</v>
      </c>
      <c r="K2622" s="139">
        <v>331980</v>
      </c>
    </row>
    <row r="2623" spans="1:11">
      <c r="A2623" s="1" t="str">
        <f t="shared" si="40"/>
        <v>15100-39751596-96150000273320</v>
      </c>
      <c r="B2623" s="136" t="s">
        <v>4853</v>
      </c>
      <c r="C2623" s="136" t="s">
        <v>8927</v>
      </c>
      <c r="D2623" s="132" t="s">
        <v>4971</v>
      </c>
      <c r="E2623" s="136" t="s">
        <v>4885</v>
      </c>
      <c r="F2623" s="136" t="s">
        <v>4885</v>
      </c>
      <c r="G2623" s="136" t="s">
        <v>5764</v>
      </c>
      <c r="H2623" s="138" t="s">
        <v>6299</v>
      </c>
      <c r="I2623" s="136">
        <v>961500002</v>
      </c>
      <c r="J2623" s="131" t="s">
        <v>4964</v>
      </c>
      <c r="K2623" s="139">
        <v>73320</v>
      </c>
    </row>
    <row r="2624" spans="1:11">
      <c r="A2624" s="1" t="str">
        <f t="shared" si="40"/>
        <v>15100-39824496-961500003252570</v>
      </c>
      <c r="B2624" s="136" t="s">
        <v>4863</v>
      </c>
      <c r="C2624" s="136" t="s">
        <v>8937</v>
      </c>
      <c r="D2624" s="132" t="s">
        <v>4971</v>
      </c>
      <c r="E2624" s="136" t="s">
        <v>4881</v>
      </c>
      <c r="F2624" s="136" t="s">
        <v>4881</v>
      </c>
      <c r="G2624" s="136" t="s">
        <v>5752</v>
      </c>
      <c r="H2624" s="138" t="s">
        <v>6298</v>
      </c>
      <c r="I2624" s="136">
        <v>961500003</v>
      </c>
      <c r="J2624" s="131" t="s">
        <v>4969</v>
      </c>
      <c r="K2624" s="139">
        <v>252570</v>
      </c>
    </row>
    <row r="2625" spans="1:11">
      <c r="A2625" s="1" t="str">
        <f t="shared" si="40"/>
        <v>15100-39670095-95150060270900</v>
      </c>
      <c r="B2625" s="136" t="s">
        <v>4861</v>
      </c>
      <c r="C2625" s="136" t="s">
        <v>8935</v>
      </c>
      <c r="D2625" s="132" t="s">
        <v>4971</v>
      </c>
      <c r="E2625" s="136" t="s">
        <v>4884</v>
      </c>
      <c r="F2625" s="136" t="s">
        <v>4884</v>
      </c>
      <c r="G2625" s="136" t="s">
        <v>5759</v>
      </c>
      <c r="H2625" s="138" t="s">
        <v>6299</v>
      </c>
      <c r="I2625" s="136">
        <v>951500602</v>
      </c>
      <c r="J2625" s="131" t="s">
        <v>4968</v>
      </c>
      <c r="K2625" s="139">
        <v>70900</v>
      </c>
    </row>
    <row r="2626" spans="1:11">
      <c r="A2626" s="1" t="str">
        <f t="shared" si="40"/>
        <v>15100-39785095-951500605214320</v>
      </c>
      <c r="B2626" s="136" t="s">
        <v>4862</v>
      </c>
      <c r="C2626" s="136" t="s">
        <v>8936</v>
      </c>
      <c r="D2626" s="132" t="s">
        <v>4971</v>
      </c>
      <c r="E2626" s="136" t="s">
        <v>4887</v>
      </c>
      <c r="F2626" s="136" t="s">
        <v>4887</v>
      </c>
      <c r="G2626" s="136" t="s">
        <v>5766</v>
      </c>
      <c r="H2626" s="138" t="s">
        <v>11794</v>
      </c>
      <c r="I2626" s="136">
        <v>951500605</v>
      </c>
      <c r="J2626" s="131" t="s">
        <v>4970</v>
      </c>
      <c r="K2626" s="139">
        <v>214320</v>
      </c>
    </row>
    <row r="2627" spans="1:11">
      <c r="A2627" s="1" t="str">
        <f t="shared" ref="A2627:A2690" si="41">B2627&amp;J2627&amp;K2627</f>
        <v>15100-39824495-95150059928300</v>
      </c>
      <c r="B2627" s="136" t="s">
        <v>4863</v>
      </c>
      <c r="C2627" s="136" t="s">
        <v>8937</v>
      </c>
      <c r="D2627" s="132" t="s">
        <v>4971</v>
      </c>
      <c r="E2627" s="136" t="s">
        <v>4881</v>
      </c>
      <c r="F2627" s="136" t="s">
        <v>4881</v>
      </c>
      <c r="G2627" s="136" t="s">
        <v>5752</v>
      </c>
      <c r="H2627" s="138" t="s">
        <v>6298</v>
      </c>
      <c r="I2627" s="136">
        <v>951500599</v>
      </c>
      <c r="J2627" s="131" t="s">
        <v>4954</v>
      </c>
      <c r="K2627" s="139">
        <v>28300</v>
      </c>
    </row>
    <row r="2628" spans="1:11">
      <c r="A2628" s="1" t="str">
        <f t="shared" si="41"/>
        <v>15100-39824495-95150058942370</v>
      </c>
      <c r="B2628" s="136" t="s">
        <v>4863</v>
      </c>
      <c r="C2628" s="136" t="s">
        <v>8937</v>
      </c>
      <c r="D2628" s="132" t="s">
        <v>4971</v>
      </c>
      <c r="E2628" s="136" t="s">
        <v>4881</v>
      </c>
      <c r="F2628" s="136" t="s">
        <v>4881</v>
      </c>
      <c r="G2628" s="136" t="s">
        <v>5752</v>
      </c>
      <c r="H2628" s="138" t="s">
        <v>6298</v>
      </c>
      <c r="I2628" s="136">
        <v>951500589</v>
      </c>
      <c r="J2628" s="131" t="s">
        <v>4953</v>
      </c>
      <c r="K2628" s="139">
        <v>42370</v>
      </c>
    </row>
    <row r="2629" spans="1:11">
      <c r="A2629" s="1" t="str">
        <f t="shared" si="41"/>
        <v>15100-40222796-96150002673280</v>
      </c>
      <c r="B2629" s="136" t="s">
        <v>11795</v>
      </c>
      <c r="C2629" s="136" t="s">
        <v>8980</v>
      </c>
      <c r="D2629" s="132" t="s">
        <v>4971</v>
      </c>
      <c r="E2629" s="136" t="s">
        <v>5010</v>
      </c>
      <c r="F2629" s="136" t="s">
        <v>5010</v>
      </c>
      <c r="G2629" s="136" t="s">
        <v>5758</v>
      </c>
      <c r="H2629" s="138" t="s">
        <v>6298</v>
      </c>
      <c r="I2629" s="136">
        <v>961500026</v>
      </c>
      <c r="J2629" s="131" t="s">
        <v>5062</v>
      </c>
      <c r="K2629" s="139">
        <v>73280</v>
      </c>
    </row>
    <row r="2630" spans="1:11">
      <c r="A2630" s="1" t="str">
        <f t="shared" si="41"/>
        <v>15100-40075496-96150000647620</v>
      </c>
      <c r="B2630" s="136" t="s">
        <v>11796</v>
      </c>
      <c r="C2630" s="136" t="s">
        <v>8998</v>
      </c>
      <c r="D2630" s="132" t="s">
        <v>4971</v>
      </c>
      <c r="E2630" s="136" t="s">
        <v>5046</v>
      </c>
      <c r="F2630" s="136" t="s">
        <v>5046</v>
      </c>
      <c r="G2630" s="136" t="s">
        <v>5752</v>
      </c>
      <c r="H2630" s="138" t="s">
        <v>6298</v>
      </c>
      <c r="I2630" s="136">
        <v>961500006</v>
      </c>
      <c r="J2630" s="131" t="s">
        <v>5072</v>
      </c>
      <c r="K2630" s="139">
        <v>47620</v>
      </c>
    </row>
    <row r="2631" spans="1:11">
      <c r="A2631" s="1" t="str">
        <f t="shared" si="41"/>
        <v>15100-40570596-96150005870360</v>
      </c>
      <c r="B2631" s="136" t="s">
        <v>11797</v>
      </c>
      <c r="C2631" s="136" t="s">
        <v>8996</v>
      </c>
      <c r="D2631" s="132" t="s">
        <v>4971</v>
      </c>
      <c r="E2631" s="136" t="s">
        <v>5170</v>
      </c>
      <c r="F2631" s="136" t="s">
        <v>5170</v>
      </c>
      <c r="G2631" s="136" t="s">
        <v>5758</v>
      </c>
      <c r="H2631" s="138" t="s">
        <v>6298</v>
      </c>
      <c r="I2631" s="136">
        <v>961500058</v>
      </c>
      <c r="J2631" s="131" t="s">
        <v>5071</v>
      </c>
      <c r="K2631" s="139">
        <v>70360</v>
      </c>
    </row>
    <row r="2632" spans="1:11">
      <c r="A2632" s="1" t="str">
        <f t="shared" si="41"/>
        <v>15100-40398496-96150005871640</v>
      </c>
      <c r="B2632" s="136" t="s">
        <v>11798</v>
      </c>
      <c r="C2632" s="136" t="s">
        <v>8989</v>
      </c>
      <c r="D2632" s="132" t="s">
        <v>4971</v>
      </c>
      <c r="E2632" s="136" t="s">
        <v>4972</v>
      </c>
      <c r="F2632" s="136" t="s">
        <v>4972</v>
      </c>
      <c r="G2632" s="136" t="s">
        <v>5758</v>
      </c>
      <c r="H2632" s="138" t="s">
        <v>6298</v>
      </c>
      <c r="I2632" s="136">
        <v>961500058</v>
      </c>
      <c r="J2632" s="131" t="s">
        <v>5071</v>
      </c>
      <c r="K2632" s="139">
        <v>71640</v>
      </c>
    </row>
    <row r="2633" spans="1:11">
      <c r="A2633" s="1" t="str">
        <f t="shared" si="41"/>
        <v>15100-40259896-96150002689240</v>
      </c>
      <c r="B2633" s="136" t="s">
        <v>11799</v>
      </c>
      <c r="C2633" s="136" t="s">
        <v>9011</v>
      </c>
      <c r="D2633" s="132" t="s">
        <v>4971</v>
      </c>
      <c r="E2633" s="136" t="s">
        <v>5014</v>
      </c>
      <c r="F2633" s="136" t="s">
        <v>5014</v>
      </c>
      <c r="G2633" s="136" t="s">
        <v>5758</v>
      </c>
      <c r="H2633" s="138" t="s">
        <v>6298</v>
      </c>
      <c r="I2633" s="136">
        <v>961500026</v>
      </c>
      <c r="J2633" s="131" t="s">
        <v>5062</v>
      </c>
      <c r="K2633" s="139">
        <v>89240</v>
      </c>
    </row>
    <row r="2634" spans="1:11">
      <c r="A2634" s="1" t="str">
        <f t="shared" si="41"/>
        <v>15100-40163396-961500026122480</v>
      </c>
      <c r="B2634" s="136" t="s">
        <v>11800</v>
      </c>
      <c r="C2634" s="136" t="s">
        <v>8997</v>
      </c>
      <c r="D2634" s="132" t="s">
        <v>4971</v>
      </c>
      <c r="E2634" s="136" t="s">
        <v>5011</v>
      </c>
      <c r="F2634" s="136" t="s">
        <v>5011</v>
      </c>
      <c r="G2634" s="136" t="s">
        <v>5758</v>
      </c>
      <c r="H2634" s="138" t="s">
        <v>6298</v>
      </c>
      <c r="I2634" s="136">
        <v>961500026</v>
      </c>
      <c r="J2634" s="131" t="s">
        <v>5062</v>
      </c>
      <c r="K2634" s="139">
        <v>122480</v>
      </c>
    </row>
    <row r="2635" spans="1:11">
      <c r="A2635" s="1" t="str">
        <f t="shared" si="41"/>
        <v>15100-40508296-96150004850750</v>
      </c>
      <c r="B2635" s="136" t="s">
        <v>11801</v>
      </c>
      <c r="C2635" s="136" t="s">
        <v>9015</v>
      </c>
      <c r="D2635" s="132" t="s">
        <v>4971</v>
      </c>
      <c r="E2635" s="136" t="s">
        <v>5167</v>
      </c>
      <c r="F2635" s="136" t="s">
        <v>5167</v>
      </c>
      <c r="G2635" s="136" t="s">
        <v>5777</v>
      </c>
      <c r="H2635" s="138" t="s">
        <v>6300</v>
      </c>
      <c r="I2635" s="136">
        <v>961500048</v>
      </c>
      <c r="J2635" s="131" t="s">
        <v>5075</v>
      </c>
      <c r="K2635" s="139">
        <v>50750</v>
      </c>
    </row>
    <row r="2636" spans="1:11">
      <c r="A2636" s="1" t="str">
        <f t="shared" si="41"/>
        <v>15100-40448096-96150004873240</v>
      </c>
      <c r="B2636" s="136" t="s">
        <v>11802</v>
      </c>
      <c r="C2636" s="136" t="s">
        <v>9009</v>
      </c>
      <c r="D2636" s="132" t="s">
        <v>4971</v>
      </c>
      <c r="E2636" s="136" t="s">
        <v>5007</v>
      </c>
      <c r="F2636" s="136" t="s">
        <v>5007</v>
      </c>
      <c r="G2636" s="136" t="s">
        <v>5777</v>
      </c>
      <c r="H2636" s="138" t="s">
        <v>6300</v>
      </c>
      <c r="I2636" s="136">
        <v>961500048</v>
      </c>
      <c r="J2636" s="131" t="s">
        <v>5075</v>
      </c>
      <c r="K2636" s="139">
        <v>73240</v>
      </c>
    </row>
    <row r="2637" spans="1:11">
      <c r="A2637" s="1" t="str">
        <f t="shared" si="41"/>
        <v>15100-39982796-96150000667940</v>
      </c>
      <c r="B2637" s="136" t="s">
        <v>11803</v>
      </c>
      <c r="C2637" s="136" t="s">
        <v>9008</v>
      </c>
      <c r="D2637" s="132" t="s">
        <v>4971</v>
      </c>
      <c r="E2637" s="136" t="s">
        <v>5045</v>
      </c>
      <c r="F2637" s="136" t="s">
        <v>5045</v>
      </c>
      <c r="G2637" s="136" t="s">
        <v>5752</v>
      </c>
      <c r="H2637" s="138" t="s">
        <v>6298</v>
      </c>
      <c r="I2637" s="136">
        <v>961500006</v>
      </c>
      <c r="J2637" s="131" t="s">
        <v>5072</v>
      </c>
      <c r="K2637" s="139">
        <v>67940</v>
      </c>
    </row>
    <row r="2638" spans="1:11">
      <c r="A2638" s="1" t="str">
        <f t="shared" si="41"/>
        <v>15100-40322896-961500023139730</v>
      </c>
      <c r="B2638" s="136" t="s">
        <v>11804</v>
      </c>
      <c r="C2638" s="136" t="s">
        <v>9010</v>
      </c>
      <c r="D2638" s="132" t="s">
        <v>4971</v>
      </c>
      <c r="E2638" s="136" t="s">
        <v>5012</v>
      </c>
      <c r="F2638" s="136" t="s">
        <v>5012</v>
      </c>
      <c r="G2638" s="136" t="s">
        <v>5751</v>
      </c>
      <c r="H2638" s="138" t="s">
        <v>6300</v>
      </c>
      <c r="I2638" s="136">
        <v>961500023</v>
      </c>
      <c r="J2638" s="131" t="s">
        <v>5074</v>
      </c>
      <c r="K2638" s="139">
        <v>139730</v>
      </c>
    </row>
    <row r="2639" spans="1:11">
      <c r="A2639" s="1" t="str">
        <f t="shared" si="41"/>
        <v>15100-40508296-96150003275490</v>
      </c>
      <c r="B2639" s="136" t="s">
        <v>11801</v>
      </c>
      <c r="C2639" s="136" t="s">
        <v>9015</v>
      </c>
      <c r="D2639" s="132" t="s">
        <v>4971</v>
      </c>
      <c r="E2639" s="136" t="s">
        <v>5167</v>
      </c>
      <c r="F2639" s="136" t="s">
        <v>5167</v>
      </c>
      <c r="G2639" s="136" t="s">
        <v>5758</v>
      </c>
      <c r="H2639" s="138" t="s">
        <v>6298</v>
      </c>
      <c r="I2639" s="136">
        <v>961500032</v>
      </c>
      <c r="J2639" s="131" t="s">
        <v>5060</v>
      </c>
      <c r="K2639" s="139">
        <v>75490</v>
      </c>
    </row>
    <row r="2640" spans="1:11">
      <c r="A2640" s="1" t="str">
        <f t="shared" si="41"/>
        <v>15100-40448096-96150003226340</v>
      </c>
      <c r="B2640" s="136" t="s">
        <v>11802</v>
      </c>
      <c r="C2640" s="136" t="s">
        <v>9009</v>
      </c>
      <c r="D2640" s="132" t="s">
        <v>4971</v>
      </c>
      <c r="E2640" s="136" t="s">
        <v>5007</v>
      </c>
      <c r="F2640" s="136" t="s">
        <v>5007</v>
      </c>
      <c r="G2640" s="136" t="s">
        <v>5758</v>
      </c>
      <c r="H2640" s="138" t="s">
        <v>6298</v>
      </c>
      <c r="I2640" s="136">
        <v>961500032</v>
      </c>
      <c r="J2640" s="131" t="s">
        <v>5060</v>
      </c>
      <c r="K2640" s="139">
        <v>26340</v>
      </c>
    </row>
    <row r="2641" spans="1:11">
      <c r="A2641" s="1" t="str">
        <f t="shared" si="41"/>
        <v>15100-39864195-95150054169760</v>
      </c>
      <c r="B2641" s="136" t="s">
        <v>11805</v>
      </c>
      <c r="C2641" s="136" t="s">
        <v>8975</v>
      </c>
      <c r="D2641" s="132" t="s">
        <v>4971</v>
      </c>
      <c r="E2641" s="136" t="s">
        <v>5008</v>
      </c>
      <c r="F2641" s="141" t="s">
        <v>5008</v>
      </c>
      <c r="G2641" s="141" t="s">
        <v>5727</v>
      </c>
      <c r="H2641" s="140" t="s">
        <v>8845</v>
      </c>
      <c r="I2641" s="141">
        <v>951500541</v>
      </c>
      <c r="J2641" s="131" t="s">
        <v>4352</v>
      </c>
      <c r="K2641" s="142">
        <v>69760</v>
      </c>
    </row>
    <row r="2642" spans="1:11">
      <c r="A2642" s="1" t="str">
        <f t="shared" si="41"/>
        <v>15100-40259896-96150004130280</v>
      </c>
      <c r="B2642" s="136" t="s">
        <v>11799</v>
      </c>
      <c r="C2642" s="136" t="s">
        <v>9011</v>
      </c>
      <c r="D2642" s="132" t="s">
        <v>4971</v>
      </c>
      <c r="E2642" s="136" t="s">
        <v>5014</v>
      </c>
      <c r="F2642" s="136" t="s">
        <v>5014</v>
      </c>
      <c r="G2642" s="136" t="s">
        <v>5758</v>
      </c>
      <c r="H2642" s="138" t="s">
        <v>6298</v>
      </c>
      <c r="I2642" s="136">
        <v>961500041</v>
      </c>
      <c r="J2642" s="131" t="s">
        <v>5065</v>
      </c>
      <c r="K2642" s="139">
        <v>30280</v>
      </c>
    </row>
    <row r="2643" spans="1:11">
      <c r="A2643" s="1" t="str">
        <f t="shared" si="41"/>
        <v>15100-39919995-951500606199190</v>
      </c>
      <c r="B2643" s="136" t="s">
        <v>11806</v>
      </c>
      <c r="C2643" s="136" t="s">
        <v>8974</v>
      </c>
      <c r="D2643" s="132" t="s">
        <v>4971</v>
      </c>
      <c r="E2643" s="136" t="s">
        <v>11807</v>
      </c>
      <c r="F2643" s="136" t="s">
        <v>11807</v>
      </c>
      <c r="G2643" s="136" t="s">
        <v>5766</v>
      </c>
      <c r="H2643" s="138" t="s">
        <v>11794</v>
      </c>
      <c r="I2643" s="136">
        <v>951500606</v>
      </c>
      <c r="J2643" s="131" t="s">
        <v>4966</v>
      </c>
      <c r="K2643" s="139">
        <v>199190</v>
      </c>
    </row>
    <row r="2644" spans="1:11">
      <c r="A2644" s="1" t="str">
        <f t="shared" si="41"/>
        <v>15100-40397296-96150003272680</v>
      </c>
      <c r="B2644" s="136" t="s">
        <v>11808</v>
      </c>
      <c r="C2644" s="136" t="s">
        <v>8976</v>
      </c>
      <c r="D2644" s="132" t="s">
        <v>4971</v>
      </c>
      <c r="E2644" s="136" t="s">
        <v>4972</v>
      </c>
      <c r="F2644" s="136" t="s">
        <v>4972</v>
      </c>
      <c r="G2644" s="136" t="s">
        <v>5758</v>
      </c>
      <c r="H2644" s="138" t="s">
        <v>6298</v>
      </c>
      <c r="I2644" s="136">
        <v>961500032</v>
      </c>
      <c r="J2644" s="131" t="s">
        <v>5060</v>
      </c>
      <c r="K2644" s="139">
        <v>72680</v>
      </c>
    </row>
    <row r="2645" spans="1:11">
      <c r="A2645" s="1" t="str">
        <f t="shared" si="41"/>
        <v>15100-40220696-961500018170820</v>
      </c>
      <c r="B2645" s="136" t="s">
        <v>11809</v>
      </c>
      <c r="C2645" s="136" t="s">
        <v>8977</v>
      </c>
      <c r="D2645" s="132" t="s">
        <v>4971</v>
      </c>
      <c r="E2645" s="136" t="s">
        <v>5010</v>
      </c>
      <c r="F2645" s="136" t="s">
        <v>5010</v>
      </c>
      <c r="G2645" s="136" t="s">
        <v>5758</v>
      </c>
      <c r="H2645" s="138" t="s">
        <v>6298</v>
      </c>
      <c r="I2645" s="136">
        <v>961500018</v>
      </c>
      <c r="J2645" s="131" t="s">
        <v>5061</v>
      </c>
      <c r="K2645" s="139">
        <v>170820</v>
      </c>
    </row>
    <row r="2646" spans="1:11">
      <c r="A2646" s="1" t="str">
        <f t="shared" si="41"/>
        <v>15100-40229396-96150001874830</v>
      </c>
      <c r="B2646" s="136" t="s">
        <v>11810</v>
      </c>
      <c r="C2646" s="136" t="s">
        <v>8978</v>
      </c>
      <c r="D2646" s="132" t="s">
        <v>4971</v>
      </c>
      <c r="E2646" s="136" t="s">
        <v>5010</v>
      </c>
      <c r="F2646" s="136" t="s">
        <v>5010</v>
      </c>
      <c r="G2646" s="136" t="s">
        <v>5758</v>
      </c>
      <c r="H2646" s="138" t="s">
        <v>6298</v>
      </c>
      <c r="I2646" s="136">
        <v>961500018</v>
      </c>
      <c r="J2646" s="131" t="s">
        <v>5061</v>
      </c>
      <c r="K2646" s="139">
        <v>74830</v>
      </c>
    </row>
    <row r="2647" spans="1:11">
      <c r="A2647" s="1" t="str">
        <f t="shared" si="41"/>
        <v>15100-40090796-961500006122880</v>
      </c>
      <c r="B2647" s="136" t="s">
        <v>11811</v>
      </c>
      <c r="C2647" s="136" t="s">
        <v>9012</v>
      </c>
      <c r="D2647" s="132" t="s">
        <v>4971</v>
      </c>
      <c r="E2647" s="136" t="s">
        <v>5046</v>
      </c>
      <c r="F2647" s="136" t="s">
        <v>5046</v>
      </c>
      <c r="G2647" s="136" t="s">
        <v>5752</v>
      </c>
      <c r="H2647" s="138" t="s">
        <v>6298</v>
      </c>
      <c r="I2647" s="136">
        <v>961500006</v>
      </c>
      <c r="J2647" s="131" t="s">
        <v>5072</v>
      </c>
      <c r="K2647" s="139">
        <v>122880</v>
      </c>
    </row>
    <row r="2648" spans="1:11">
      <c r="A2648" s="1" t="str">
        <f t="shared" si="41"/>
        <v>15100-39966795-951500608322815</v>
      </c>
      <c r="B2648" s="136" t="s">
        <v>11812</v>
      </c>
      <c r="C2648" s="136" t="s">
        <v>8969</v>
      </c>
      <c r="D2648" s="132" t="s">
        <v>4971</v>
      </c>
      <c r="E2648" s="136" t="s">
        <v>5045</v>
      </c>
      <c r="F2648" s="136" t="s">
        <v>5045</v>
      </c>
      <c r="G2648" s="136" t="s">
        <v>5766</v>
      </c>
      <c r="H2648" s="138" t="s">
        <v>11794</v>
      </c>
      <c r="I2648" s="136">
        <v>951500608</v>
      </c>
      <c r="J2648" s="131" t="s">
        <v>5052</v>
      </c>
      <c r="K2648" s="139">
        <v>322815</v>
      </c>
    </row>
    <row r="2649" spans="1:11">
      <c r="A2649" s="1" t="str">
        <f t="shared" si="41"/>
        <v>15100-40270396-961500018110230</v>
      </c>
      <c r="B2649" s="136" t="s">
        <v>11813</v>
      </c>
      <c r="C2649" s="136" t="s">
        <v>8988</v>
      </c>
      <c r="D2649" s="132" t="s">
        <v>4971</v>
      </c>
      <c r="E2649" s="136" t="s">
        <v>5014</v>
      </c>
      <c r="F2649" s="136" t="s">
        <v>5014</v>
      </c>
      <c r="G2649" s="136" t="s">
        <v>5758</v>
      </c>
      <c r="H2649" s="138" t="s">
        <v>6298</v>
      </c>
      <c r="I2649" s="136">
        <v>961500018</v>
      </c>
      <c r="J2649" s="131" t="s">
        <v>5061</v>
      </c>
      <c r="K2649" s="139">
        <v>110230</v>
      </c>
    </row>
    <row r="2650" spans="1:11">
      <c r="A2650" s="1" t="str">
        <f t="shared" si="41"/>
        <v>15100-39882195-9515005966640</v>
      </c>
      <c r="B2650" s="136" t="s">
        <v>11814</v>
      </c>
      <c r="C2650" s="136" t="s">
        <v>8970</v>
      </c>
      <c r="D2650" s="132" t="s">
        <v>4971</v>
      </c>
      <c r="E2650" s="136" t="s">
        <v>5008</v>
      </c>
      <c r="F2650" s="136" t="s">
        <v>5008</v>
      </c>
      <c r="G2650" s="136" t="s">
        <v>5759</v>
      </c>
      <c r="H2650" s="138" t="s">
        <v>6299</v>
      </c>
      <c r="I2650" s="136">
        <v>951500596</v>
      </c>
      <c r="J2650" s="131" t="s">
        <v>4956</v>
      </c>
      <c r="K2650" s="139">
        <v>6640</v>
      </c>
    </row>
    <row r="2651" spans="1:11">
      <c r="A2651" s="1" t="str">
        <f t="shared" si="41"/>
        <v>15100-40270396-96150001425320</v>
      </c>
      <c r="B2651" s="136" t="s">
        <v>11813</v>
      </c>
      <c r="C2651" s="136" t="s">
        <v>8988</v>
      </c>
      <c r="D2651" s="132" t="s">
        <v>4971</v>
      </c>
      <c r="E2651" s="136" t="s">
        <v>5014</v>
      </c>
      <c r="F2651" s="136" t="s">
        <v>5014</v>
      </c>
      <c r="G2651" s="136" t="s">
        <v>5752</v>
      </c>
      <c r="H2651" s="138" t="s">
        <v>6298</v>
      </c>
      <c r="I2651" s="136">
        <v>961500014</v>
      </c>
      <c r="J2651" s="131" t="s">
        <v>5069</v>
      </c>
      <c r="K2651" s="139">
        <v>25320</v>
      </c>
    </row>
    <row r="2652" spans="1:11">
      <c r="A2652" s="1" t="str">
        <f t="shared" si="41"/>
        <v>15100-40459296-96150002565920</v>
      </c>
      <c r="B2652" s="136" t="s">
        <v>11815</v>
      </c>
      <c r="C2652" s="136" t="s">
        <v>8986</v>
      </c>
      <c r="D2652" s="132" t="s">
        <v>4971</v>
      </c>
      <c r="E2652" s="136" t="s">
        <v>5007</v>
      </c>
      <c r="F2652" s="136" t="s">
        <v>5007</v>
      </c>
      <c r="G2652" s="136" t="s">
        <v>5758</v>
      </c>
      <c r="H2652" s="138" t="s">
        <v>6298</v>
      </c>
      <c r="I2652" s="136">
        <v>961500025</v>
      </c>
      <c r="J2652" s="131" t="s">
        <v>5056</v>
      </c>
      <c r="K2652" s="139">
        <v>65920</v>
      </c>
    </row>
    <row r="2653" spans="1:11">
      <c r="A2653" s="1" t="str">
        <f t="shared" si="41"/>
        <v>15100-39966795-95150060653665</v>
      </c>
      <c r="B2653" s="136" t="s">
        <v>11812</v>
      </c>
      <c r="C2653" s="136" t="s">
        <v>8969</v>
      </c>
      <c r="D2653" s="132" t="s">
        <v>4971</v>
      </c>
      <c r="E2653" s="136" t="s">
        <v>5045</v>
      </c>
      <c r="F2653" s="136" t="s">
        <v>5045</v>
      </c>
      <c r="G2653" s="136" t="s">
        <v>5766</v>
      </c>
      <c r="H2653" s="138" t="s">
        <v>11794</v>
      </c>
      <c r="I2653" s="136">
        <v>951500606</v>
      </c>
      <c r="J2653" s="131" t="s">
        <v>4966</v>
      </c>
      <c r="K2653" s="139">
        <v>53665</v>
      </c>
    </row>
    <row r="2654" spans="1:11">
      <c r="A2654" s="1" t="str">
        <f t="shared" si="41"/>
        <v>15100-40270396-96150002135730</v>
      </c>
      <c r="B2654" s="136" t="s">
        <v>11813</v>
      </c>
      <c r="C2654" s="136" t="s">
        <v>8988</v>
      </c>
      <c r="D2654" s="132" t="s">
        <v>4971</v>
      </c>
      <c r="E2654" s="136" t="s">
        <v>5014</v>
      </c>
      <c r="F2654" s="136" t="s">
        <v>5014</v>
      </c>
      <c r="G2654" s="136" t="s">
        <v>5758</v>
      </c>
      <c r="H2654" s="138" t="s">
        <v>6298</v>
      </c>
      <c r="I2654" s="136">
        <v>961500021</v>
      </c>
      <c r="J2654" s="131" t="s">
        <v>5066</v>
      </c>
      <c r="K2654" s="139">
        <v>35730</v>
      </c>
    </row>
    <row r="2655" spans="1:11">
      <c r="A2655" s="1" t="str">
        <f t="shared" si="41"/>
        <v>15100-39882195-9515006027840</v>
      </c>
      <c r="B2655" s="136" t="s">
        <v>11814</v>
      </c>
      <c r="C2655" s="136" t="s">
        <v>8970</v>
      </c>
      <c r="D2655" s="132" t="s">
        <v>4971</v>
      </c>
      <c r="E2655" s="136" t="s">
        <v>5008</v>
      </c>
      <c r="F2655" s="136" t="s">
        <v>5008</v>
      </c>
      <c r="G2655" s="136" t="s">
        <v>5759</v>
      </c>
      <c r="H2655" s="138" t="s">
        <v>6299</v>
      </c>
      <c r="I2655" s="136">
        <v>951500602</v>
      </c>
      <c r="J2655" s="131" t="s">
        <v>4968</v>
      </c>
      <c r="K2655" s="139">
        <v>7840</v>
      </c>
    </row>
    <row r="2656" spans="1:11">
      <c r="A2656" s="1" t="str">
        <f t="shared" si="41"/>
        <v>15100-40459296-96150006572300</v>
      </c>
      <c r="B2656" s="136" t="s">
        <v>11815</v>
      </c>
      <c r="C2656" s="136" t="s">
        <v>8986</v>
      </c>
      <c r="D2656" s="132" t="s">
        <v>4971</v>
      </c>
      <c r="E2656" s="136" t="s">
        <v>5007</v>
      </c>
      <c r="F2656" s="141" t="s">
        <v>5007</v>
      </c>
      <c r="G2656" s="141" t="s">
        <v>5788</v>
      </c>
      <c r="H2656" s="140" t="s">
        <v>8845</v>
      </c>
      <c r="I2656" s="141">
        <v>961500065</v>
      </c>
      <c r="J2656" s="131" t="s">
        <v>5067</v>
      </c>
      <c r="K2656" s="142">
        <v>72300</v>
      </c>
    </row>
    <row r="2657" spans="1:11">
      <c r="A2657" s="1" t="str">
        <f t="shared" si="41"/>
        <v>15100-40270396-961500031117240</v>
      </c>
      <c r="B2657" s="136" t="s">
        <v>11813</v>
      </c>
      <c r="C2657" s="136" t="s">
        <v>8988</v>
      </c>
      <c r="D2657" s="132" t="s">
        <v>4971</v>
      </c>
      <c r="E2657" s="136" t="s">
        <v>5014</v>
      </c>
      <c r="F2657" s="136" t="s">
        <v>5014</v>
      </c>
      <c r="G2657" s="136" t="s">
        <v>5758</v>
      </c>
      <c r="H2657" s="138" t="s">
        <v>6298</v>
      </c>
      <c r="I2657" s="136">
        <v>961500031</v>
      </c>
      <c r="J2657" s="131" t="s">
        <v>5070</v>
      </c>
      <c r="K2657" s="139">
        <v>117240</v>
      </c>
    </row>
    <row r="2658" spans="1:11">
      <c r="A2658" s="1" t="str">
        <f t="shared" si="41"/>
        <v>15100-40270396-96150001016660</v>
      </c>
      <c r="B2658" s="136" t="s">
        <v>11813</v>
      </c>
      <c r="C2658" s="136" t="s">
        <v>8988</v>
      </c>
      <c r="D2658" s="132" t="s">
        <v>4971</v>
      </c>
      <c r="E2658" s="136" t="s">
        <v>5014</v>
      </c>
      <c r="F2658" s="136" t="s">
        <v>5014</v>
      </c>
      <c r="G2658" s="136" t="s">
        <v>5752</v>
      </c>
      <c r="H2658" s="138" t="s">
        <v>6298</v>
      </c>
      <c r="I2658" s="136">
        <v>961500010</v>
      </c>
      <c r="J2658" s="131" t="s">
        <v>5068</v>
      </c>
      <c r="K2658" s="139">
        <v>16660</v>
      </c>
    </row>
    <row r="2659" spans="1:11">
      <c r="A2659" s="1" t="str">
        <f t="shared" si="41"/>
        <v>15100-39975496-961500016114820</v>
      </c>
      <c r="B2659" s="136" t="s">
        <v>11816</v>
      </c>
      <c r="C2659" s="136" t="s">
        <v>8981</v>
      </c>
      <c r="D2659" s="132" t="s">
        <v>4971</v>
      </c>
      <c r="E2659" s="136" t="s">
        <v>5045</v>
      </c>
      <c r="F2659" s="141" t="s">
        <v>5045</v>
      </c>
      <c r="G2659" s="141" t="s">
        <v>5770</v>
      </c>
      <c r="H2659" s="140" t="s">
        <v>8845</v>
      </c>
      <c r="I2659" s="141">
        <v>961500016</v>
      </c>
      <c r="J2659" s="131" t="s">
        <v>5063</v>
      </c>
      <c r="K2659" s="142">
        <v>114820</v>
      </c>
    </row>
    <row r="2660" spans="1:11">
      <c r="A2660" s="1" t="str">
        <f t="shared" si="41"/>
        <v>15100-40406296-96150006449380</v>
      </c>
      <c r="B2660" s="136" t="s">
        <v>11817</v>
      </c>
      <c r="C2660" s="136" t="s">
        <v>8982</v>
      </c>
      <c r="D2660" s="132" t="s">
        <v>4971</v>
      </c>
      <c r="E2660" s="136" t="s">
        <v>4972</v>
      </c>
      <c r="F2660" s="141" t="s">
        <v>4972</v>
      </c>
      <c r="G2660" s="141" t="s">
        <v>5788</v>
      </c>
      <c r="H2660" s="140" t="s">
        <v>8845</v>
      </c>
      <c r="I2660" s="141">
        <v>961500064</v>
      </c>
      <c r="J2660" s="131" t="s">
        <v>5064</v>
      </c>
      <c r="K2660" s="142">
        <v>49380</v>
      </c>
    </row>
    <row r="2661" spans="1:11">
      <c r="A2661" s="1" t="str">
        <f t="shared" si="41"/>
        <v>15100-40231796-961500021354270</v>
      </c>
      <c r="B2661" s="136" t="s">
        <v>11818</v>
      </c>
      <c r="C2661" s="136" t="s">
        <v>8985</v>
      </c>
      <c r="D2661" s="132" t="s">
        <v>4971</v>
      </c>
      <c r="E2661" s="136" t="s">
        <v>5010</v>
      </c>
      <c r="F2661" s="136" t="s">
        <v>5010</v>
      </c>
      <c r="G2661" s="136" t="s">
        <v>5758</v>
      </c>
      <c r="H2661" s="138" t="s">
        <v>6298</v>
      </c>
      <c r="I2661" s="136">
        <v>961500021</v>
      </c>
      <c r="J2661" s="131" t="s">
        <v>5066</v>
      </c>
      <c r="K2661" s="139">
        <v>354270</v>
      </c>
    </row>
    <row r="2662" spans="1:11">
      <c r="A2662" s="1" t="str">
        <f t="shared" si="41"/>
        <v>15100-39975495-95150054168340</v>
      </c>
      <c r="B2662" s="136" t="s">
        <v>11816</v>
      </c>
      <c r="C2662" s="136" t="s">
        <v>8981</v>
      </c>
      <c r="D2662" s="132" t="s">
        <v>4971</v>
      </c>
      <c r="E2662" s="136" t="s">
        <v>5045</v>
      </c>
      <c r="F2662" s="141" t="s">
        <v>5045</v>
      </c>
      <c r="G2662" s="141" t="s">
        <v>5727</v>
      </c>
      <c r="H2662" s="140" t="s">
        <v>8845</v>
      </c>
      <c r="I2662" s="141">
        <v>951500541</v>
      </c>
      <c r="J2662" s="131" t="s">
        <v>4352</v>
      </c>
      <c r="K2662" s="142">
        <v>68340</v>
      </c>
    </row>
    <row r="2663" spans="1:11">
      <c r="A2663" s="1" t="str">
        <f t="shared" si="41"/>
        <v>15100-40200395-95150060873000</v>
      </c>
      <c r="B2663" s="136" t="s">
        <v>11819</v>
      </c>
      <c r="C2663" s="136" t="s">
        <v>8984</v>
      </c>
      <c r="D2663" s="132" t="s">
        <v>4971</v>
      </c>
      <c r="E2663" s="136" t="s">
        <v>5010</v>
      </c>
      <c r="F2663" s="136" t="s">
        <v>5010</v>
      </c>
      <c r="G2663" s="136" t="s">
        <v>5766</v>
      </c>
      <c r="H2663" s="138" t="s">
        <v>11794</v>
      </c>
      <c r="I2663" s="136">
        <v>951500608</v>
      </c>
      <c r="J2663" s="131" t="s">
        <v>5052</v>
      </c>
      <c r="K2663" s="139">
        <v>73000</v>
      </c>
    </row>
    <row r="2664" spans="1:11">
      <c r="A2664" s="1" t="str">
        <f t="shared" si="41"/>
        <v>15100-39855195-951500520100985</v>
      </c>
      <c r="B2664" s="136" t="s">
        <v>11820</v>
      </c>
      <c r="C2664" s="136" t="s">
        <v>8979</v>
      </c>
      <c r="D2664" s="132" t="s">
        <v>4971</v>
      </c>
      <c r="E2664" s="136" t="s">
        <v>5008</v>
      </c>
      <c r="F2664" s="141" t="s">
        <v>5008</v>
      </c>
      <c r="G2664" s="141" t="s">
        <v>5725</v>
      </c>
      <c r="H2664" s="140" t="s">
        <v>8845</v>
      </c>
      <c r="I2664" s="141">
        <v>951500520</v>
      </c>
      <c r="J2664" s="131" t="s">
        <v>4346</v>
      </c>
      <c r="K2664" s="142">
        <v>100985</v>
      </c>
    </row>
    <row r="2665" spans="1:11">
      <c r="A2665" s="1" t="str">
        <f t="shared" si="41"/>
        <v>15100-40513396-96150004873420</v>
      </c>
      <c r="B2665" s="136" t="s">
        <v>11821</v>
      </c>
      <c r="C2665" s="136" t="s">
        <v>8999</v>
      </c>
      <c r="D2665" s="132" t="s">
        <v>4971</v>
      </c>
      <c r="E2665" s="136" t="s">
        <v>5167</v>
      </c>
      <c r="F2665" s="136" t="s">
        <v>5167</v>
      </c>
      <c r="G2665" s="136" t="s">
        <v>5777</v>
      </c>
      <c r="H2665" s="138" t="s">
        <v>6300</v>
      </c>
      <c r="I2665" s="136">
        <v>961500048</v>
      </c>
      <c r="J2665" s="131" t="s">
        <v>5075</v>
      </c>
      <c r="K2665" s="139">
        <v>73420</v>
      </c>
    </row>
    <row r="2666" spans="1:11">
      <c r="A2666" s="1" t="str">
        <f t="shared" si="41"/>
        <v>15100-40453796-96150004896720</v>
      </c>
      <c r="B2666" s="136" t="s">
        <v>11822</v>
      </c>
      <c r="C2666" s="136" t="s">
        <v>9001</v>
      </c>
      <c r="D2666" s="132" t="s">
        <v>4971</v>
      </c>
      <c r="E2666" s="136" t="s">
        <v>5007</v>
      </c>
      <c r="F2666" s="136" t="s">
        <v>5007</v>
      </c>
      <c r="G2666" s="136" t="s">
        <v>5777</v>
      </c>
      <c r="H2666" s="138" t="s">
        <v>6300</v>
      </c>
      <c r="I2666" s="136">
        <v>961500048</v>
      </c>
      <c r="J2666" s="131" t="s">
        <v>5075</v>
      </c>
      <c r="K2666" s="139">
        <v>96720</v>
      </c>
    </row>
    <row r="2667" spans="1:11">
      <c r="A2667" s="1" t="str">
        <f t="shared" si="41"/>
        <v>15100-40513396-96150002523420</v>
      </c>
      <c r="B2667" s="136" t="s">
        <v>11821</v>
      </c>
      <c r="C2667" s="136" t="s">
        <v>8999</v>
      </c>
      <c r="D2667" s="132" t="s">
        <v>4971</v>
      </c>
      <c r="E2667" s="136" t="s">
        <v>5167</v>
      </c>
      <c r="F2667" s="136" t="s">
        <v>5167</v>
      </c>
      <c r="G2667" s="136" t="s">
        <v>5758</v>
      </c>
      <c r="H2667" s="138" t="s">
        <v>6298</v>
      </c>
      <c r="I2667" s="136">
        <v>961500025</v>
      </c>
      <c r="J2667" s="131" t="s">
        <v>5056</v>
      </c>
      <c r="K2667" s="139">
        <v>23420</v>
      </c>
    </row>
    <row r="2668" spans="1:11">
      <c r="A2668" s="1" t="str">
        <f t="shared" si="41"/>
        <v>15100-40453796-96150002597020</v>
      </c>
      <c r="B2668" s="136" t="s">
        <v>11822</v>
      </c>
      <c r="C2668" s="136" t="s">
        <v>9001</v>
      </c>
      <c r="D2668" s="132" t="s">
        <v>4971</v>
      </c>
      <c r="E2668" s="136" t="s">
        <v>5007</v>
      </c>
      <c r="F2668" s="136" t="s">
        <v>5007</v>
      </c>
      <c r="G2668" s="136" t="s">
        <v>5758</v>
      </c>
      <c r="H2668" s="138" t="s">
        <v>6298</v>
      </c>
      <c r="I2668" s="136">
        <v>961500025</v>
      </c>
      <c r="J2668" s="131" t="s">
        <v>5056</v>
      </c>
      <c r="K2668" s="139">
        <v>97020</v>
      </c>
    </row>
    <row r="2669" spans="1:11">
      <c r="A2669" s="1" t="str">
        <f t="shared" si="41"/>
        <v>15100-40446296-96150003272230</v>
      </c>
      <c r="B2669" s="136" t="s">
        <v>11823</v>
      </c>
      <c r="C2669" s="136" t="s">
        <v>9000</v>
      </c>
      <c r="D2669" s="132" t="s">
        <v>4971</v>
      </c>
      <c r="E2669" s="136" t="s">
        <v>5007</v>
      </c>
      <c r="F2669" s="136" t="s">
        <v>5007</v>
      </c>
      <c r="G2669" s="136" t="s">
        <v>5758</v>
      </c>
      <c r="H2669" s="138" t="s">
        <v>6298</v>
      </c>
      <c r="I2669" s="136">
        <v>961500032</v>
      </c>
      <c r="J2669" s="131" t="s">
        <v>5060</v>
      </c>
      <c r="K2669" s="139">
        <v>72230</v>
      </c>
    </row>
    <row r="2670" spans="1:11">
      <c r="A2670" s="1" t="str">
        <f t="shared" si="41"/>
        <v>15100-39981296-961500006119960</v>
      </c>
      <c r="B2670" s="136" t="s">
        <v>11824</v>
      </c>
      <c r="C2670" s="136" t="s">
        <v>8990</v>
      </c>
      <c r="D2670" s="132" t="s">
        <v>4971</v>
      </c>
      <c r="E2670" s="136" t="s">
        <v>5045</v>
      </c>
      <c r="F2670" s="136" t="s">
        <v>5045</v>
      </c>
      <c r="G2670" s="136" t="s">
        <v>5752</v>
      </c>
      <c r="H2670" s="138" t="s">
        <v>6298</v>
      </c>
      <c r="I2670" s="136">
        <v>961500006</v>
      </c>
      <c r="J2670" s="131" t="s">
        <v>5072</v>
      </c>
      <c r="K2670" s="139">
        <v>119960</v>
      </c>
    </row>
    <row r="2671" spans="1:11">
      <c r="A2671" s="1" t="str">
        <f t="shared" si="41"/>
        <v>15100-40511596-96150006551180</v>
      </c>
      <c r="B2671" s="136" t="s">
        <v>11825</v>
      </c>
      <c r="C2671" s="136" t="s">
        <v>9013</v>
      </c>
      <c r="D2671" s="132" t="s">
        <v>4971</v>
      </c>
      <c r="E2671" s="136" t="s">
        <v>5167</v>
      </c>
      <c r="F2671" s="141" t="s">
        <v>5167</v>
      </c>
      <c r="G2671" s="141" t="s">
        <v>5788</v>
      </c>
      <c r="H2671" s="140" t="s">
        <v>8845</v>
      </c>
      <c r="I2671" s="141">
        <v>961500065</v>
      </c>
      <c r="J2671" s="131" t="s">
        <v>5067</v>
      </c>
      <c r="K2671" s="142">
        <v>51180</v>
      </c>
    </row>
    <row r="2672" spans="1:11">
      <c r="A2672" s="1" t="str">
        <f t="shared" si="41"/>
        <v>15100-40411996-96150006567620</v>
      </c>
      <c r="B2672" s="136" t="s">
        <v>11826</v>
      </c>
      <c r="C2672" s="136" t="s">
        <v>8991</v>
      </c>
      <c r="D2672" s="132" t="s">
        <v>4971</v>
      </c>
      <c r="E2672" s="136" t="s">
        <v>4972</v>
      </c>
      <c r="F2672" s="141" t="s">
        <v>4972</v>
      </c>
      <c r="G2672" s="141" t="s">
        <v>5788</v>
      </c>
      <c r="H2672" s="140" t="s">
        <v>8845</v>
      </c>
      <c r="I2672" s="141">
        <v>961500065</v>
      </c>
      <c r="J2672" s="131" t="s">
        <v>5067</v>
      </c>
      <c r="K2672" s="142">
        <v>67620</v>
      </c>
    </row>
    <row r="2673" spans="1:11">
      <c r="A2673" s="1" t="str">
        <f t="shared" si="41"/>
        <v>15100-40269196-96150001045500</v>
      </c>
      <c r="B2673" s="136" t="s">
        <v>11827</v>
      </c>
      <c r="C2673" s="136" t="s">
        <v>8993</v>
      </c>
      <c r="D2673" s="132" t="s">
        <v>4971</v>
      </c>
      <c r="E2673" s="136" t="s">
        <v>5014</v>
      </c>
      <c r="F2673" s="136" t="s">
        <v>5014</v>
      </c>
      <c r="G2673" s="136" t="s">
        <v>5752</v>
      </c>
      <c r="H2673" s="138" t="s">
        <v>6298</v>
      </c>
      <c r="I2673" s="136">
        <v>961500010</v>
      </c>
      <c r="J2673" s="131" t="s">
        <v>5068</v>
      </c>
      <c r="K2673" s="139">
        <v>45500</v>
      </c>
    </row>
    <row r="2674" spans="1:11">
      <c r="A2674" s="1" t="str">
        <f t="shared" si="41"/>
        <v>15100-40229096-96150002889600</v>
      </c>
      <c r="B2674" s="136" t="s">
        <v>11828</v>
      </c>
      <c r="C2674" s="136" t="s">
        <v>8994</v>
      </c>
      <c r="D2674" s="132" t="s">
        <v>4971</v>
      </c>
      <c r="E2674" s="136" t="s">
        <v>5010</v>
      </c>
      <c r="F2674" s="136" t="s">
        <v>5010</v>
      </c>
      <c r="G2674" s="136" t="s">
        <v>5774</v>
      </c>
      <c r="H2674" s="138" t="s">
        <v>11829</v>
      </c>
      <c r="I2674" s="136">
        <v>961500028</v>
      </c>
      <c r="J2674" s="131" t="s">
        <v>5058</v>
      </c>
      <c r="K2674" s="139">
        <v>89600</v>
      </c>
    </row>
    <row r="2675" spans="1:11">
      <c r="A2675" s="1" t="str">
        <f t="shared" si="41"/>
        <v>15100-40079696-96150001770740</v>
      </c>
      <c r="B2675" s="136" t="s">
        <v>11830</v>
      </c>
      <c r="C2675" s="136" t="s">
        <v>9014</v>
      </c>
      <c r="D2675" s="132" t="s">
        <v>4971</v>
      </c>
      <c r="E2675" s="136" t="s">
        <v>5046</v>
      </c>
      <c r="F2675" s="136" t="s">
        <v>5046</v>
      </c>
      <c r="G2675" s="136" t="s">
        <v>5751</v>
      </c>
      <c r="H2675" s="138" t="s">
        <v>6300</v>
      </c>
      <c r="I2675" s="136">
        <v>961500017</v>
      </c>
      <c r="J2675" s="131" t="s">
        <v>5076</v>
      </c>
      <c r="K2675" s="139">
        <v>70740</v>
      </c>
    </row>
    <row r="2676" spans="1:11">
      <c r="A2676" s="1" t="str">
        <f t="shared" si="41"/>
        <v>15100-40027295-951500608272920</v>
      </c>
      <c r="B2676" s="136" t="s">
        <v>11831</v>
      </c>
      <c r="C2676" s="136" t="s">
        <v>9019</v>
      </c>
      <c r="D2676" s="132" t="s">
        <v>4971</v>
      </c>
      <c r="E2676" s="136" t="s">
        <v>5009</v>
      </c>
      <c r="F2676" s="136" t="s">
        <v>5009</v>
      </c>
      <c r="G2676" s="136" t="s">
        <v>5766</v>
      </c>
      <c r="H2676" s="138" t="s">
        <v>11794</v>
      </c>
      <c r="I2676" s="136">
        <v>951500608</v>
      </c>
      <c r="J2676" s="131" t="s">
        <v>5052</v>
      </c>
      <c r="K2676" s="139">
        <v>272920</v>
      </c>
    </row>
    <row r="2677" spans="1:11">
      <c r="A2677" s="1" t="str">
        <f t="shared" si="41"/>
        <v>15100-40326496-961500023126380</v>
      </c>
      <c r="B2677" s="136" t="s">
        <v>11832</v>
      </c>
      <c r="C2677" s="136" t="s">
        <v>8992</v>
      </c>
      <c r="D2677" s="132" t="s">
        <v>4971</v>
      </c>
      <c r="E2677" s="136" t="s">
        <v>5012</v>
      </c>
      <c r="F2677" s="136" t="s">
        <v>5012</v>
      </c>
      <c r="G2677" s="136" t="s">
        <v>5751</v>
      </c>
      <c r="H2677" s="138" t="s">
        <v>6300</v>
      </c>
      <c r="I2677" s="136">
        <v>961500023</v>
      </c>
      <c r="J2677" s="131" t="s">
        <v>5074</v>
      </c>
      <c r="K2677" s="139">
        <v>126380</v>
      </c>
    </row>
    <row r="2678" spans="1:11">
      <c r="A2678" s="1" t="str">
        <f t="shared" si="41"/>
        <v>15100-40269196-96150000671050</v>
      </c>
      <c r="B2678" s="136" t="s">
        <v>11827</v>
      </c>
      <c r="C2678" s="136" t="s">
        <v>8993</v>
      </c>
      <c r="D2678" s="132" t="s">
        <v>4971</v>
      </c>
      <c r="E2678" s="136" t="s">
        <v>5014</v>
      </c>
      <c r="F2678" s="136" t="s">
        <v>5014</v>
      </c>
      <c r="G2678" s="136" t="s">
        <v>5752</v>
      </c>
      <c r="H2678" s="138" t="s">
        <v>6298</v>
      </c>
      <c r="I2678" s="136">
        <v>961500006</v>
      </c>
      <c r="J2678" s="131" t="s">
        <v>5072</v>
      </c>
      <c r="K2678" s="139">
        <v>71050</v>
      </c>
    </row>
    <row r="2679" spans="1:11">
      <c r="A2679" s="1" t="str">
        <f t="shared" si="41"/>
        <v>15100-40511596-96150002525320</v>
      </c>
      <c r="B2679" s="136" t="s">
        <v>11825</v>
      </c>
      <c r="C2679" s="136" t="s">
        <v>9013</v>
      </c>
      <c r="D2679" s="132" t="s">
        <v>4971</v>
      </c>
      <c r="E2679" s="136" t="s">
        <v>5167</v>
      </c>
      <c r="F2679" s="136" t="s">
        <v>5167</v>
      </c>
      <c r="G2679" s="136" t="s">
        <v>5758</v>
      </c>
      <c r="H2679" s="138" t="s">
        <v>6298</v>
      </c>
      <c r="I2679" s="136">
        <v>961500025</v>
      </c>
      <c r="J2679" s="131" t="s">
        <v>5056</v>
      </c>
      <c r="K2679" s="139">
        <v>25320</v>
      </c>
    </row>
    <row r="2680" spans="1:11">
      <c r="A2680" s="1" t="str">
        <f t="shared" si="41"/>
        <v>15100-40411996-961500025119740</v>
      </c>
      <c r="B2680" s="136" t="s">
        <v>11826</v>
      </c>
      <c r="C2680" s="136" t="s">
        <v>8991</v>
      </c>
      <c r="D2680" s="132" t="s">
        <v>4971</v>
      </c>
      <c r="E2680" s="136" t="s">
        <v>4972</v>
      </c>
      <c r="F2680" s="136" t="s">
        <v>4972</v>
      </c>
      <c r="G2680" s="136" t="s">
        <v>5758</v>
      </c>
      <c r="H2680" s="138" t="s">
        <v>6298</v>
      </c>
      <c r="I2680" s="136">
        <v>961500025</v>
      </c>
      <c r="J2680" s="131" t="s">
        <v>5056</v>
      </c>
      <c r="K2680" s="139">
        <v>119740</v>
      </c>
    </row>
    <row r="2681" spans="1:11">
      <c r="A2681" s="1" t="str">
        <f t="shared" si="41"/>
        <v>15100-40411996-96150004953100</v>
      </c>
      <c r="B2681" s="136" t="s">
        <v>11826</v>
      </c>
      <c r="C2681" s="136" t="s">
        <v>8991</v>
      </c>
      <c r="D2681" s="132" t="s">
        <v>4971</v>
      </c>
      <c r="E2681" s="136" t="s">
        <v>4972</v>
      </c>
      <c r="F2681" s="136" t="s">
        <v>4972</v>
      </c>
      <c r="G2681" s="136" t="s">
        <v>5764</v>
      </c>
      <c r="H2681" s="138" t="s">
        <v>6299</v>
      </c>
      <c r="I2681" s="136">
        <v>961500049</v>
      </c>
      <c r="J2681" s="131" t="s">
        <v>5073</v>
      </c>
      <c r="K2681" s="139">
        <v>53100</v>
      </c>
    </row>
    <row r="2682" spans="1:11">
      <c r="A2682" s="1" t="str">
        <f t="shared" si="41"/>
        <v>15100-40088996-96150000670550</v>
      </c>
      <c r="B2682" s="136" t="s">
        <v>11833</v>
      </c>
      <c r="C2682" s="136" t="s">
        <v>9016</v>
      </c>
      <c r="D2682" s="132" t="s">
        <v>4971</v>
      </c>
      <c r="E2682" s="136" t="s">
        <v>5046</v>
      </c>
      <c r="F2682" s="136" t="s">
        <v>5046</v>
      </c>
      <c r="G2682" s="136" t="s">
        <v>5752</v>
      </c>
      <c r="H2682" s="138" t="s">
        <v>6298</v>
      </c>
      <c r="I2682" s="136">
        <v>961500006</v>
      </c>
      <c r="J2682" s="131" t="s">
        <v>5072</v>
      </c>
      <c r="K2682" s="139">
        <v>70550</v>
      </c>
    </row>
    <row r="2683" spans="1:11">
      <c r="A2683" s="1" t="str">
        <f t="shared" si="41"/>
        <v>15100-40070695-95150060849790</v>
      </c>
      <c r="B2683" s="136" t="s">
        <v>11834</v>
      </c>
      <c r="C2683" s="136" t="s">
        <v>9020</v>
      </c>
      <c r="D2683" s="132" t="s">
        <v>4971</v>
      </c>
      <c r="E2683" s="136" t="s">
        <v>5046</v>
      </c>
      <c r="F2683" s="136" t="s">
        <v>5046</v>
      </c>
      <c r="G2683" s="136" t="s">
        <v>5766</v>
      </c>
      <c r="H2683" s="138" t="s">
        <v>11794</v>
      </c>
      <c r="I2683" s="136">
        <v>951500608</v>
      </c>
      <c r="J2683" s="131" t="s">
        <v>5052</v>
      </c>
      <c r="K2683" s="139">
        <v>49790</v>
      </c>
    </row>
    <row r="2684" spans="1:11">
      <c r="A2684" s="1" t="str">
        <f t="shared" si="41"/>
        <v>15100-40339496-961500049143300</v>
      </c>
      <c r="B2684" s="136" t="s">
        <v>11835</v>
      </c>
      <c r="C2684" s="136" t="s">
        <v>9005</v>
      </c>
      <c r="D2684" s="132" t="s">
        <v>4971</v>
      </c>
      <c r="E2684" s="136" t="s">
        <v>5012</v>
      </c>
      <c r="F2684" s="136" t="s">
        <v>5012</v>
      </c>
      <c r="G2684" s="136" t="s">
        <v>5764</v>
      </c>
      <c r="H2684" s="138" t="s">
        <v>6299</v>
      </c>
      <c r="I2684" s="136">
        <v>961500049</v>
      </c>
      <c r="J2684" s="131" t="s">
        <v>5073</v>
      </c>
      <c r="K2684" s="139">
        <v>143300</v>
      </c>
    </row>
    <row r="2685" spans="1:11">
      <c r="A2685" s="1" t="str">
        <f t="shared" si="41"/>
        <v>15100-40158896-96150001497000</v>
      </c>
      <c r="B2685" s="136" t="s">
        <v>11836</v>
      </c>
      <c r="C2685" s="136" t="s">
        <v>9006</v>
      </c>
      <c r="D2685" s="132" t="s">
        <v>4971</v>
      </c>
      <c r="E2685" s="136" t="s">
        <v>5011</v>
      </c>
      <c r="F2685" s="136" t="s">
        <v>5011</v>
      </c>
      <c r="G2685" s="136" t="s">
        <v>5752</v>
      </c>
      <c r="H2685" s="138" t="s">
        <v>6298</v>
      </c>
      <c r="I2685" s="136">
        <v>961500014</v>
      </c>
      <c r="J2685" s="131" t="s">
        <v>5069</v>
      </c>
      <c r="K2685" s="139">
        <v>97000</v>
      </c>
    </row>
    <row r="2686" spans="1:11">
      <c r="A2686" s="1" t="str">
        <f t="shared" si="41"/>
        <v>15100-40154096-961500014177680</v>
      </c>
      <c r="B2686" s="136" t="s">
        <v>11837</v>
      </c>
      <c r="C2686" s="136" t="s">
        <v>9007</v>
      </c>
      <c r="D2686" s="132" t="s">
        <v>4971</v>
      </c>
      <c r="E2686" s="136" t="s">
        <v>5011</v>
      </c>
      <c r="F2686" s="136" t="s">
        <v>5011</v>
      </c>
      <c r="G2686" s="136" t="s">
        <v>5752</v>
      </c>
      <c r="H2686" s="138" t="s">
        <v>6298</v>
      </c>
      <c r="I2686" s="136">
        <v>961500014</v>
      </c>
      <c r="J2686" s="131" t="s">
        <v>5069</v>
      </c>
      <c r="K2686" s="139">
        <v>177680</v>
      </c>
    </row>
    <row r="2687" spans="1:11">
      <c r="A2687" s="1" t="str">
        <f t="shared" si="41"/>
        <v>15100-40158896-961500010137840</v>
      </c>
      <c r="B2687" s="136" t="s">
        <v>11836</v>
      </c>
      <c r="C2687" s="136" t="s">
        <v>9006</v>
      </c>
      <c r="D2687" s="132" t="s">
        <v>4971</v>
      </c>
      <c r="E2687" s="136" t="s">
        <v>5011</v>
      </c>
      <c r="F2687" s="136" t="s">
        <v>5011</v>
      </c>
      <c r="G2687" s="136" t="s">
        <v>5752</v>
      </c>
      <c r="H2687" s="138" t="s">
        <v>6298</v>
      </c>
      <c r="I2687" s="136">
        <v>961500010</v>
      </c>
      <c r="J2687" s="131" t="s">
        <v>5068</v>
      </c>
      <c r="K2687" s="139">
        <v>137840</v>
      </c>
    </row>
    <row r="2688" spans="1:11">
      <c r="A2688" s="1" t="str">
        <f t="shared" si="41"/>
        <v>15100-40568796-96150006423540</v>
      </c>
      <c r="B2688" s="136" t="s">
        <v>11838</v>
      </c>
      <c r="C2688" s="136" t="s">
        <v>9003</v>
      </c>
      <c r="D2688" s="132" t="s">
        <v>4971</v>
      </c>
      <c r="E2688" s="136" t="s">
        <v>5170</v>
      </c>
      <c r="F2688" s="141" t="s">
        <v>5170</v>
      </c>
      <c r="G2688" s="141" t="s">
        <v>5788</v>
      </c>
      <c r="H2688" s="140" t="s">
        <v>8845</v>
      </c>
      <c r="I2688" s="141">
        <v>961500064</v>
      </c>
      <c r="J2688" s="131" t="s">
        <v>5064</v>
      </c>
      <c r="K2688" s="142">
        <v>23540</v>
      </c>
    </row>
    <row r="2689" spans="1:11">
      <c r="A2689" s="1" t="str">
        <f t="shared" si="41"/>
        <v>15100-40565396-96150003276780</v>
      </c>
      <c r="B2689" s="136" t="s">
        <v>11839</v>
      </c>
      <c r="C2689" s="136" t="s">
        <v>9002</v>
      </c>
      <c r="D2689" s="132" t="s">
        <v>4971</v>
      </c>
      <c r="E2689" s="136" t="s">
        <v>5170</v>
      </c>
      <c r="F2689" s="136" t="s">
        <v>5170</v>
      </c>
      <c r="G2689" s="136" t="s">
        <v>5758</v>
      </c>
      <c r="H2689" s="138" t="s">
        <v>6298</v>
      </c>
      <c r="I2689" s="136">
        <v>961500032</v>
      </c>
      <c r="J2689" s="131" t="s">
        <v>5060</v>
      </c>
      <c r="K2689" s="139">
        <v>76780</v>
      </c>
    </row>
    <row r="2690" spans="1:11">
      <c r="A2690" s="1" t="str">
        <f t="shared" si="41"/>
        <v>15100-40340096-96150002872360</v>
      </c>
      <c r="B2690" s="136" t="s">
        <v>11840</v>
      </c>
      <c r="C2690" s="136" t="s">
        <v>9004</v>
      </c>
      <c r="D2690" s="132" t="s">
        <v>4971</v>
      </c>
      <c r="E2690" s="136" t="s">
        <v>5012</v>
      </c>
      <c r="F2690" s="136" t="s">
        <v>5012</v>
      </c>
      <c r="G2690" s="136" t="s">
        <v>5774</v>
      </c>
      <c r="H2690" s="138" t="s">
        <v>11829</v>
      </c>
      <c r="I2690" s="136">
        <v>961500028</v>
      </c>
      <c r="J2690" s="131" t="s">
        <v>5058</v>
      </c>
      <c r="K2690" s="139">
        <v>72360</v>
      </c>
    </row>
    <row r="2691" spans="1:11">
      <c r="A2691" s="1" t="str">
        <f t="shared" ref="A2691:A2754" si="42">B2691&amp;J2691&amp;K2691</f>
        <v>15100-40149895-951500608272070</v>
      </c>
      <c r="B2691" s="136" t="s">
        <v>11841</v>
      </c>
      <c r="C2691" s="136" t="s">
        <v>8995</v>
      </c>
      <c r="D2691" s="132" t="s">
        <v>4971</v>
      </c>
      <c r="E2691" s="136" t="s">
        <v>5011</v>
      </c>
      <c r="F2691" s="136" t="s">
        <v>5011</v>
      </c>
      <c r="G2691" s="136" t="s">
        <v>5766</v>
      </c>
      <c r="H2691" s="138" t="s">
        <v>11794</v>
      </c>
      <c r="I2691" s="136">
        <v>951500608</v>
      </c>
      <c r="J2691" s="131" t="s">
        <v>5052</v>
      </c>
      <c r="K2691" s="139">
        <v>272070</v>
      </c>
    </row>
    <row r="2692" spans="1:11">
      <c r="A2692" s="1" t="str">
        <f t="shared" si="42"/>
        <v>15100-40580496-96150008190000</v>
      </c>
      <c r="B2692" s="136" t="s">
        <v>11842</v>
      </c>
      <c r="C2692" s="136" t="s">
        <v>8971</v>
      </c>
      <c r="D2692" s="132" t="s">
        <v>4971</v>
      </c>
      <c r="E2692" s="136" t="s">
        <v>5170</v>
      </c>
      <c r="F2692" s="136" t="s">
        <v>5170</v>
      </c>
      <c r="G2692" s="136" t="s">
        <v>5767</v>
      </c>
      <c r="H2692" s="138" t="s">
        <v>6299</v>
      </c>
      <c r="I2692" s="136">
        <v>961500081</v>
      </c>
      <c r="J2692" s="131" t="s">
        <v>5054</v>
      </c>
      <c r="K2692" s="139">
        <v>90000</v>
      </c>
    </row>
    <row r="2693" spans="1:11">
      <c r="A2693" s="1" t="str">
        <f t="shared" si="42"/>
        <v>15100-40580496-96150007968180</v>
      </c>
      <c r="B2693" s="136" t="s">
        <v>11842</v>
      </c>
      <c r="C2693" s="136" t="s">
        <v>8971</v>
      </c>
      <c r="D2693" s="132" t="s">
        <v>4971</v>
      </c>
      <c r="E2693" s="136" t="s">
        <v>5170</v>
      </c>
      <c r="F2693" s="136" t="s">
        <v>5170</v>
      </c>
      <c r="G2693" s="136" t="s">
        <v>5762</v>
      </c>
      <c r="H2693" s="138" t="s">
        <v>6298</v>
      </c>
      <c r="I2693" s="136">
        <v>961500079</v>
      </c>
      <c r="J2693" s="131" t="s">
        <v>5057</v>
      </c>
      <c r="K2693" s="139">
        <v>68180</v>
      </c>
    </row>
    <row r="2694" spans="1:11">
      <c r="A2694" s="1" t="str">
        <f t="shared" si="42"/>
        <v>15100-40580496-96150002598580</v>
      </c>
      <c r="B2694" s="136" t="s">
        <v>11842</v>
      </c>
      <c r="C2694" s="136" t="s">
        <v>8971</v>
      </c>
      <c r="D2694" s="132" t="s">
        <v>4971</v>
      </c>
      <c r="E2694" s="136" t="s">
        <v>5170</v>
      </c>
      <c r="F2694" s="136" t="s">
        <v>5170</v>
      </c>
      <c r="G2694" s="136" t="s">
        <v>5758</v>
      </c>
      <c r="H2694" s="138" t="s">
        <v>6298</v>
      </c>
      <c r="I2694" s="136">
        <v>961500025</v>
      </c>
      <c r="J2694" s="131" t="s">
        <v>5056</v>
      </c>
      <c r="K2694" s="139">
        <v>98580</v>
      </c>
    </row>
    <row r="2695" spans="1:11">
      <c r="A2695" s="1" t="str">
        <f t="shared" si="42"/>
        <v>15100-40086596-96150001844120</v>
      </c>
      <c r="B2695" s="136" t="s">
        <v>11843</v>
      </c>
      <c r="C2695" s="136" t="s">
        <v>9017</v>
      </c>
      <c r="D2695" s="132" t="s">
        <v>4971</v>
      </c>
      <c r="E2695" s="136" t="s">
        <v>5046</v>
      </c>
      <c r="F2695" s="136" t="s">
        <v>5046</v>
      </c>
      <c r="G2695" s="136" t="s">
        <v>5758</v>
      </c>
      <c r="H2695" s="138" t="s">
        <v>6298</v>
      </c>
      <c r="I2695" s="136">
        <v>961500018</v>
      </c>
      <c r="J2695" s="131" t="s">
        <v>5061</v>
      </c>
      <c r="K2695" s="139">
        <v>44120</v>
      </c>
    </row>
    <row r="2696" spans="1:11">
      <c r="A2696" s="1" t="str">
        <f t="shared" si="42"/>
        <v>15100-40272496-961500042188200</v>
      </c>
      <c r="B2696" s="136" t="s">
        <v>11844</v>
      </c>
      <c r="C2696" s="136" t="s">
        <v>8973</v>
      </c>
      <c r="D2696" s="132" t="s">
        <v>4971</v>
      </c>
      <c r="E2696" s="136" t="s">
        <v>5014</v>
      </c>
      <c r="F2696" s="141" t="s">
        <v>5014</v>
      </c>
      <c r="G2696" s="141" t="s">
        <v>5784</v>
      </c>
      <c r="H2696" s="140" t="s">
        <v>8845</v>
      </c>
      <c r="I2696" s="141">
        <v>961500042</v>
      </c>
      <c r="J2696" s="131" t="s">
        <v>5059</v>
      </c>
      <c r="K2696" s="142">
        <v>188200</v>
      </c>
    </row>
    <row r="2697" spans="1:11">
      <c r="A2697" s="1" t="str">
        <f t="shared" si="42"/>
        <v>15100-40271596-96150002844900</v>
      </c>
      <c r="B2697" s="136" t="s">
        <v>11845</v>
      </c>
      <c r="C2697" s="136" t="s">
        <v>8972</v>
      </c>
      <c r="D2697" s="132" t="s">
        <v>4971</v>
      </c>
      <c r="E2697" s="136" t="s">
        <v>5014</v>
      </c>
      <c r="F2697" s="136" t="s">
        <v>5014</v>
      </c>
      <c r="G2697" s="136" t="s">
        <v>5774</v>
      </c>
      <c r="H2697" s="138" t="s">
        <v>11829</v>
      </c>
      <c r="I2697" s="136">
        <v>961500028</v>
      </c>
      <c r="J2697" s="131" t="s">
        <v>5058</v>
      </c>
      <c r="K2697" s="139">
        <v>44900</v>
      </c>
    </row>
    <row r="2698" spans="1:11">
      <c r="A2698" s="1" t="str">
        <f t="shared" si="42"/>
        <v>15100-40024896-961500017116290</v>
      </c>
      <c r="B2698" s="136" t="s">
        <v>11846</v>
      </c>
      <c r="C2698" s="136" t="s">
        <v>9018</v>
      </c>
      <c r="D2698" s="132" t="s">
        <v>4971</v>
      </c>
      <c r="E2698" s="136" t="s">
        <v>5009</v>
      </c>
      <c r="F2698" s="136" t="s">
        <v>5009</v>
      </c>
      <c r="G2698" s="136" t="s">
        <v>5751</v>
      </c>
      <c r="H2698" s="138" t="s">
        <v>6300</v>
      </c>
      <c r="I2698" s="136">
        <v>961500017</v>
      </c>
      <c r="J2698" s="131" t="s">
        <v>5076</v>
      </c>
      <c r="K2698" s="139">
        <v>116290</v>
      </c>
    </row>
    <row r="2699" spans="1:11">
      <c r="A2699" s="1" t="str">
        <f t="shared" si="42"/>
        <v>15100-39882196-961500007269660</v>
      </c>
      <c r="B2699" s="136" t="s">
        <v>11814</v>
      </c>
      <c r="C2699" s="136" t="s">
        <v>8970</v>
      </c>
      <c r="D2699" s="132" t="s">
        <v>4971</v>
      </c>
      <c r="E2699" s="136" t="s">
        <v>5008</v>
      </c>
      <c r="F2699" s="136" t="s">
        <v>5008</v>
      </c>
      <c r="G2699" s="136" t="s">
        <v>5767</v>
      </c>
      <c r="H2699" s="138" t="s">
        <v>6299</v>
      </c>
      <c r="I2699" s="136">
        <v>961500007</v>
      </c>
      <c r="J2699" s="131" t="s">
        <v>5240</v>
      </c>
      <c r="K2699" s="139">
        <v>269660</v>
      </c>
    </row>
    <row r="2700" spans="1:11">
      <c r="A2700" s="1" t="str">
        <f t="shared" si="42"/>
        <v>15100-40328296-96150004195270</v>
      </c>
      <c r="B2700" s="136" t="s">
        <v>11847</v>
      </c>
      <c r="C2700" s="136" t="s">
        <v>8987</v>
      </c>
      <c r="D2700" s="132" t="s">
        <v>4971</v>
      </c>
      <c r="E2700" s="136" t="s">
        <v>5012</v>
      </c>
      <c r="F2700" s="136" t="s">
        <v>5012</v>
      </c>
      <c r="G2700" s="136" t="s">
        <v>5758</v>
      </c>
      <c r="H2700" s="138" t="s">
        <v>6298</v>
      </c>
      <c r="I2700" s="136">
        <v>961500041</v>
      </c>
      <c r="J2700" s="131" t="s">
        <v>5065</v>
      </c>
      <c r="K2700" s="139">
        <v>95270</v>
      </c>
    </row>
    <row r="2701" spans="1:11">
      <c r="A2701" s="1" t="str">
        <f t="shared" si="42"/>
        <v>15100-40395796-961500041142910</v>
      </c>
      <c r="B2701" s="136" t="s">
        <v>11848</v>
      </c>
      <c r="C2701" s="136" t="s">
        <v>8983</v>
      </c>
      <c r="D2701" s="132" t="s">
        <v>4971</v>
      </c>
      <c r="E2701" s="136" t="s">
        <v>4972</v>
      </c>
      <c r="F2701" s="136" t="s">
        <v>4972</v>
      </c>
      <c r="G2701" s="136" t="s">
        <v>5758</v>
      </c>
      <c r="H2701" s="138" t="s">
        <v>6298</v>
      </c>
      <c r="I2701" s="136">
        <v>961500041</v>
      </c>
      <c r="J2701" s="131" t="s">
        <v>5065</v>
      </c>
      <c r="K2701" s="139">
        <v>142910</v>
      </c>
    </row>
    <row r="2702" spans="1:11">
      <c r="A2702" s="1" t="str">
        <f t="shared" si="42"/>
        <v>15100-40446296-96150004150350</v>
      </c>
      <c r="B2702" s="136" t="s">
        <v>11823</v>
      </c>
      <c r="C2702" s="136" t="s">
        <v>9000</v>
      </c>
      <c r="D2702" s="132" t="s">
        <v>4971</v>
      </c>
      <c r="E2702" s="136" t="s">
        <v>5007</v>
      </c>
      <c r="F2702" s="136" t="s">
        <v>5007</v>
      </c>
      <c r="G2702" s="136" t="s">
        <v>5758</v>
      </c>
      <c r="H2702" s="138" t="s">
        <v>6298</v>
      </c>
      <c r="I2702" s="136">
        <v>961500041</v>
      </c>
      <c r="J2702" s="131" t="s">
        <v>5065</v>
      </c>
      <c r="K2702" s="139">
        <v>50350</v>
      </c>
    </row>
    <row r="2703" spans="1:11">
      <c r="A2703" s="1" t="str">
        <f t="shared" si="42"/>
        <v>15100-40269196-96150004198140</v>
      </c>
      <c r="B2703" s="136" t="s">
        <v>11827</v>
      </c>
      <c r="C2703" s="136" t="s">
        <v>8993</v>
      </c>
      <c r="D2703" s="132" t="s">
        <v>4971</v>
      </c>
      <c r="E2703" s="136" t="s">
        <v>5014</v>
      </c>
      <c r="F2703" s="136" t="s">
        <v>5014</v>
      </c>
      <c r="G2703" s="136" t="s">
        <v>5758</v>
      </c>
      <c r="H2703" s="138" t="s">
        <v>6298</v>
      </c>
      <c r="I2703" s="136">
        <v>961500041</v>
      </c>
      <c r="J2703" s="131" t="s">
        <v>5065</v>
      </c>
      <c r="K2703" s="139">
        <v>98140</v>
      </c>
    </row>
    <row r="2704" spans="1:11">
      <c r="A2704" s="1" t="str">
        <f t="shared" si="42"/>
        <v>15100-40580496-96150006390440</v>
      </c>
      <c r="B2704" s="136" t="s">
        <v>11842</v>
      </c>
      <c r="C2704" s="136" t="s">
        <v>8971</v>
      </c>
      <c r="D2704" s="132" t="s">
        <v>4971</v>
      </c>
      <c r="E2704" s="136" t="s">
        <v>5170</v>
      </c>
      <c r="F2704" s="141" t="s">
        <v>5170</v>
      </c>
      <c r="G2704" s="141" t="s">
        <v>5787</v>
      </c>
      <c r="H2704" s="140" t="s">
        <v>8845</v>
      </c>
      <c r="I2704" s="141">
        <v>961500063</v>
      </c>
      <c r="J2704" s="131" t="s">
        <v>5055</v>
      </c>
      <c r="K2704" s="142">
        <v>90440</v>
      </c>
    </row>
    <row r="2705" spans="1:11">
      <c r="A2705" s="1" t="str">
        <f t="shared" si="42"/>
        <v>15100-40580496-96150008727660</v>
      </c>
      <c r="B2705" s="136" t="s">
        <v>11842</v>
      </c>
      <c r="C2705" s="136" t="s">
        <v>8971</v>
      </c>
      <c r="D2705" s="132" t="s">
        <v>4971</v>
      </c>
      <c r="E2705" s="136" t="s">
        <v>5170</v>
      </c>
      <c r="F2705" s="136" t="s">
        <v>5170</v>
      </c>
      <c r="G2705" s="136" t="s">
        <v>5795</v>
      </c>
      <c r="H2705" s="138" t="s">
        <v>6299</v>
      </c>
      <c r="I2705" s="136">
        <v>961500087</v>
      </c>
      <c r="J2705" s="131" t="s">
        <v>5214</v>
      </c>
      <c r="K2705" s="139">
        <v>27660</v>
      </c>
    </row>
    <row r="2706" spans="1:11">
      <c r="A2706" s="1" t="str">
        <f t="shared" si="42"/>
        <v>15100-40459296-96150008372860</v>
      </c>
      <c r="B2706" s="136" t="s">
        <v>11815</v>
      </c>
      <c r="C2706" s="136" t="s">
        <v>8986</v>
      </c>
      <c r="D2706" s="132" t="s">
        <v>4971</v>
      </c>
      <c r="E2706" s="136" t="s">
        <v>5007</v>
      </c>
      <c r="F2706" s="136" t="s">
        <v>5007</v>
      </c>
      <c r="G2706" s="136" t="s">
        <v>5795</v>
      </c>
      <c r="H2706" s="138" t="s">
        <v>6299</v>
      </c>
      <c r="I2706" s="136">
        <v>961500083</v>
      </c>
      <c r="J2706" s="131" t="s">
        <v>5053</v>
      </c>
      <c r="K2706" s="139">
        <v>72860</v>
      </c>
    </row>
    <row r="2707" spans="1:11">
      <c r="A2707" s="1" t="str">
        <f t="shared" si="42"/>
        <v>15100-40631996-96150008726120</v>
      </c>
      <c r="B2707" s="136" t="s">
        <v>5143</v>
      </c>
      <c r="C2707" s="136" t="s">
        <v>9074</v>
      </c>
      <c r="D2707" s="132" t="s">
        <v>4971</v>
      </c>
      <c r="E2707" s="136" t="s">
        <v>5166</v>
      </c>
      <c r="F2707" s="136" t="s">
        <v>5166</v>
      </c>
      <c r="G2707" s="136" t="s">
        <v>5795</v>
      </c>
      <c r="H2707" s="138" t="s">
        <v>6299</v>
      </c>
      <c r="I2707" s="136">
        <v>961500087</v>
      </c>
      <c r="J2707" s="131" t="s">
        <v>5214</v>
      </c>
      <c r="K2707" s="139">
        <v>26120</v>
      </c>
    </row>
    <row r="2708" spans="1:11">
      <c r="A2708" s="1" t="str">
        <f t="shared" si="42"/>
        <v>15100-40631996-9615000838340</v>
      </c>
      <c r="B2708" s="136" t="s">
        <v>5143</v>
      </c>
      <c r="C2708" s="136" t="s">
        <v>9074</v>
      </c>
      <c r="D2708" s="132" t="s">
        <v>4971</v>
      </c>
      <c r="E2708" s="136" t="s">
        <v>5166</v>
      </c>
      <c r="F2708" s="136" t="s">
        <v>5166</v>
      </c>
      <c r="G2708" s="136" t="s">
        <v>5795</v>
      </c>
      <c r="H2708" s="138" t="s">
        <v>6299</v>
      </c>
      <c r="I2708" s="136">
        <v>961500083</v>
      </c>
      <c r="J2708" s="131" t="s">
        <v>5053</v>
      </c>
      <c r="K2708" s="139">
        <v>8340</v>
      </c>
    </row>
    <row r="2709" spans="1:11">
      <c r="A2709" s="1" t="str">
        <f t="shared" si="42"/>
        <v>15100-40511596-96150008399860</v>
      </c>
      <c r="B2709" s="136" t="s">
        <v>11825</v>
      </c>
      <c r="C2709" s="136" t="s">
        <v>9013</v>
      </c>
      <c r="D2709" s="132" t="s">
        <v>4971</v>
      </c>
      <c r="E2709" s="136" t="s">
        <v>5167</v>
      </c>
      <c r="F2709" s="136" t="s">
        <v>5167</v>
      </c>
      <c r="G2709" s="136" t="s">
        <v>5795</v>
      </c>
      <c r="H2709" s="138" t="s">
        <v>6299</v>
      </c>
      <c r="I2709" s="136">
        <v>961500083</v>
      </c>
      <c r="J2709" s="131" t="s">
        <v>5053</v>
      </c>
      <c r="K2709" s="139">
        <v>99860</v>
      </c>
    </row>
    <row r="2710" spans="1:11">
      <c r="A2710" s="1" t="str">
        <f t="shared" si="42"/>
        <v>15100-40768396-96150008365160</v>
      </c>
      <c r="B2710" s="136" t="s">
        <v>5134</v>
      </c>
      <c r="C2710" s="136" t="s">
        <v>9065</v>
      </c>
      <c r="D2710" s="132" t="s">
        <v>4971</v>
      </c>
      <c r="E2710" s="136" t="s">
        <v>5162</v>
      </c>
      <c r="F2710" s="136" t="s">
        <v>5162</v>
      </c>
      <c r="G2710" s="136" t="s">
        <v>5795</v>
      </c>
      <c r="H2710" s="138" t="s">
        <v>6299</v>
      </c>
      <c r="I2710" s="136">
        <v>961500083</v>
      </c>
      <c r="J2710" s="131" t="s">
        <v>5053</v>
      </c>
      <c r="K2710" s="139">
        <v>65160</v>
      </c>
    </row>
    <row r="2711" spans="1:11">
      <c r="A2711" s="1" t="str">
        <f t="shared" si="42"/>
        <v>50100-869066596-96150007475000</v>
      </c>
      <c r="B2711" s="136" t="s">
        <v>5261</v>
      </c>
      <c r="C2711" s="136" t="s">
        <v>9109</v>
      </c>
      <c r="D2711" s="132" t="s">
        <v>4971</v>
      </c>
      <c r="E2711" s="136" t="s">
        <v>5274</v>
      </c>
      <c r="F2711" s="136" t="s">
        <v>5274</v>
      </c>
      <c r="G2711" s="136" t="s">
        <v>5762</v>
      </c>
      <c r="H2711" s="138" t="s">
        <v>6298</v>
      </c>
      <c r="I2711" s="136">
        <v>961500074</v>
      </c>
      <c r="J2711" s="131" t="s">
        <v>5281</v>
      </c>
      <c r="K2711" s="139">
        <v>75000</v>
      </c>
    </row>
    <row r="2712" spans="1:11">
      <c r="A2712" s="1" t="str">
        <f t="shared" si="42"/>
        <v>50100-869066596-96250000691998</v>
      </c>
      <c r="B2712" s="136" t="s">
        <v>5261</v>
      </c>
      <c r="C2712" s="136" t="s">
        <v>9109</v>
      </c>
      <c r="D2712" s="132" t="s">
        <v>4971</v>
      </c>
      <c r="E2712" s="136" t="s">
        <v>5274</v>
      </c>
      <c r="F2712" s="136" t="s">
        <v>5274</v>
      </c>
      <c r="G2712" s="136" t="s">
        <v>5758</v>
      </c>
      <c r="H2712" s="138" t="s">
        <v>6298</v>
      </c>
      <c r="I2712" s="136">
        <v>962500006</v>
      </c>
      <c r="J2712" s="131" t="s">
        <v>5026</v>
      </c>
      <c r="K2712" s="139">
        <v>91998</v>
      </c>
    </row>
    <row r="2713" spans="1:11">
      <c r="A2713" s="1" t="str">
        <f t="shared" si="42"/>
        <v>50100-869066596-961500078142928</v>
      </c>
      <c r="B2713" s="136" t="s">
        <v>5261</v>
      </c>
      <c r="C2713" s="136" t="s">
        <v>9109</v>
      </c>
      <c r="D2713" s="132" t="s">
        <v>4971</v>
      </c>
      <c r="E2713" s="136" t="s">
        <v>5274</v>
      </c>
      <c r="F2713" s="136" t="s">
        <v>5274</v>
      </c>
      <c r="G2713" s="136" t="s">
        <v>5762</v>
      </c>
      <c r="H2713" s="138" t="s">
        <v>6298</v>
      </c>
      <c r="I2713" s="136">
        <v>961500078</v>
      </c>
      <c r="J2713" s="131" t="s">
        <v>5174</v>
      </c>
      <c r="K2713" s="139">
        <v>142928</v>
      </c>
    </row>
    <row r="2714" spans="1:11">
      <c r="A2714" s="1" t="str">
        <f t="shared" si="42"/>
        <v>50100-869066596-96150007747716</v>
      </c>
      <c r="B2714" s="136" t="s">
        <v>5261</v>
      </c>
      <c r="C2714" s="136" t="s">
        <v>9109</v>
      </c>
      <c r="D2714" s="132" t="s">
        <v>4971</v>
      </c>
      <c r="E2714" s="136" t="s">
        <v>5274</v>
      </c>
      <c r="F2714" s="136" t="s">
        <v>5274</v>
      </c>
      <c r="G2714" s="136" t="s">
        <v>5762</v>
      </c>
      <c r="H2714" s="138" t="s">
        <v>6298</v>
      </c>
      <c r="I2714" s="136">
        <v>961500077</v>
      </c>
      <c r="J2714" s="131" t="s">
        <v>5178</v>
      </c>
      <c r="K2714" s="139">
        <v>47716</v>
      </c>
    </row>
    <row r="2715" spans="1:11">
      <c r="A2715" s="1" t="str">
        <f t="shared" si="42"/>
        <v>50100-869066596-961500094435238</v>
      </c>
      <c r="B2715" s="136" t="s">
        <v>5261</v>
      </c>
      <c r="C2715" s="136" t="s">
        <v>9109</v>
      </c>
      <c r="D2715" s="132" t="s">
        <v>4971</v>
      </c>
      <c r="E2715" s="136" t="s">
        <v>5274</v>
      </c>
      <c r="F2715" s="136" t="s">
        <v>5274</v>
      </c>
      <c r="G2715" s="136" t="s">
        <v>5762</v>
      </c>
      <c r="H2715" s="138" t="s">
        <v>6298</v>
      </c>
      <c r="I2715" s="136">
        <v>961500094</v>
      </c>
      <c r="J2715" s="131" t="s">
        <v>5282</v>
      </c>
      <c r="K2715" s="139">
        <v>435238</v>
      </c>
    </row>
    <row r="2716" spans="1:11">
      <c r="A2716" s="1" t="str">
        <f t="shared" si="42"/>
        <v>50100-865698796-961500090800000</v>
      </c>
      <c r="B2716" s="136" t="s">
        <v>5262</v>
      </c>
      <c r="C2716" s="136" t="s">
        <v>9110</v>
      </c>
      <c r="D2716" s="132" t="s">
        <v>4971</v>
      </c>
      <c r="E2716" s="136" t="s">
        <v>5267</v>
      </c>
      <c r="F2716" s="136" t="s">
        <v>5267</v>
      </c>
      <c r="G2716" s="136" t="s">
        <v>5794</v>
      </c>
      <c r="H2716" s="138" t="s">
        <v>10206</v>
      </c>
      <c r="I2716" s="136">
        <v>961500090</v>
      </c>
      <c r="J2716" s="131" t="s">
        <v>5283</v>
      </c>
      <c r="K2716" s="139">
        <v>800000</v>
      </c>
    </row>
    <row r="2717" spans="1:11">
      <c r="A2717" s="1" t="str">
        <f t="shared" si="42"/>
        <v>50100-868025096-96150009833078</v>
      </c>
      <c r="B2717" s="136" t="s">
        <v>5263</v>
      </c>
      <c r="C2717" s="136" t="s">
        <v>9111</v>
      </c>
      <c r="D2717" s="132" t="s">
        <v>4971</v>
      </c>
      <c r="E2717" s="136" t="s">
        <v>5273</v>
      </c>
      <c r="F2717" s="136" t="s">
        <v>5273</v>
      </c>
      <c r="G2717" s="136" t="s">
        <v>5762</v>
      </c>
      <c r="H2717" s="138" t="s">
        <v>6298</v>
      </c>
      <c r="I2717" s="136">
        <v>961500098</v>
      </c>
      <c r="J2717" s="131" t="s">
        <v>5284</v>
      </c>
      <c r="K2717" s="139">
        <v>33078</v>
      </c>
    </row>
    <row r="2718" spans="1:11">
      <c r="A2718" s="1" t="str">
        <f t="shared" si="42"/>
        <v>50100-868025096-96150006163462</v>
      </c>
      <c r="B2718" s="136" t="s">
        <v>5263</v>
      </c>
      <c r="C2718" s="136" t="s">
        <v>9111</v>
      </c>
      <c r="D2718" s="132" t="s">
        <v>4971</v>
      </c>
      <c r="E2718" s="136" t="s">
        <v>5273</v>
      </c>
      <c r="F2718" s="136" t="s">
        <v>5273</v>
      </c>
      <c r="G2718" s="136" t="s">
        <v>5786</v>
      </c>
      <c r="H2718" s="138" t="s">
        <v>10206</v>
      </c>
      <c r="I2718" s="136">
        <v>961500061</v>
      </c>
      <c r="J2718" s="131" t="s">
        <v>5193</v>
      </c>
      <c r="K2718" s="139">
        <v>63462</v>
      </c>
    </row>
    <row r="2719" spans="1:11">
      <c r="A2719" s="1" t="str">
        <f t="shared" si="42"/>
        <v>50100-868025096-961500097398460</v>
      </c>
      <c r="B2719" s="136" t="s">
        <v>5263</v>
      </c>
      <c r="C2719" s="136" t="s">
        <v>9111</v>
      </c>
      <c r="D2719" s="132" t="s">
        <v>4971</v>
      </c>
      <c r="E2719" s="136" t="s">
        <v>5273</v>
      </c>
      <c r="F2719" s="136" t="s">
        <v>5273</v>
      </c>
      <c r="G2719" s="136" t="s">
        <v>5762</v>
      </c>
      <c r="H2719" s="138" t="s">
        <v>6298</v>
      </c>
      <c r="I2719" s="136">
        <v>961500097</v>
      </c>
      <c r="J2719" s="131" t="s">
        <v>5285</v>
      </c>
      <c r="K2719" s="139">
        <v>398460</v>
      </c>
    </row>
    <row r="2720" spans="1:11">
      <c r="A2720" s="1" t="str">
        <f t="shared" si="42"/>
        <v>50100-865720596-961500078306832</v>
      </c>
      <c r="B2720" s="136" t="s">
        <v>5264</v>
      </c>
      <c r="C2720" s="136" t="s">
        <v>9112</v>
      </c>
      <c r="D2720" s="132" t="s">
        <v>4971</v>
      </c>
      <c r="E2720" s="136" t="s">
        <v>5267</v>
      </c>
      <c r="F2720" s="136" t="s">
        <v>5267</v>
      </c>
      <c r="G2720" s="136" t="s">
        <v>5762</v>
      </c>
      <c r="H2720" s="138" t="s">
        <v>6298</v>
      </c>
      <c r="I2720" s="136">
        <v>961500078</v>
      </c>
      <c r="J2720" s="131" t="s">
        <v>5174</v>
      </c>
      <c r="K2720" s="139">
        <v>306832</v>
      </c>
    </row>
    <row r="2721" spans="1:11">
      <c r="A2721" s="1" t="str">
        <f t="shared" si="42"/>
        <v>50100-865720596-961500090249820</v>
      </c>
      <c r="B2721" s="136" t="s">
        <v>5264</v>
      </c>
      <c r="C2721" s="136" t="s">
        <v>9112</v>
      </c>
      <c r="D2721" s="132" t="s">
        <v>4971</v>
      </c>
      <c r="E2721" s="136" t="s">
        <v>5267</v>
      </c>
      <c r="F2721" s="136" t="s">
        <v>5267</v>
      </c>
      <c r="G2721" s="136" t="s">
        <v>5794</v>
      </c>
      <c r="H2721" s="138" t="s">
        <v>10206</v>
      </c>
      <c r="I2721" s="136">
        <v>961500090</v>
      </c>
      <c r="J2721" s="131" t="s">
        <v>5283</v>
      </c>
      <c r="K2721" s="139">
        <v>249820</v>
      </c>
    </row>
    <row r="2722" spans="1:11">
      <c r="A2722" s="1" t="str">
        <f t="shared" si="42"/>
        <v>50100-865720596-962500011296218</v>
      </c>
      <c r="B2722" s="136" t="s">
        <v>5264</v>
      </c>
      <c r="C2722" s="136" t="s">
        <v>9112</v>
      </c>
      <c r="D2722" s="132" t="s">
        <v>4971</v>
      </c>
      <c r="E2722" s="136" t="s">
        <v>5267</v>
      </c>
      <c r="F2722" s="136" t="s">
        <v>5267</v>
      </c>
      <c r="G2722" s="136" t="s">
        <v>5758</v>
      </c>
      <c r="H2722" s="138" t="s">
        <v>6298</v>
      </c>
      <c r="I2722" s="136">
        <v>962500011</v>
      </c>
      <c r="J2722" s="131" t="s">
        <v>5286</v>
      </c>
      <c r="K2722" s="139">
        <v>296218</v>
      </c>
    </row>
    <row r="2723" spans="1:11">
      <c r="A2723" s="1" t="str">
        <f t="shared" si="42"/>
        <v>50100-865720596-96150008254500</v>
      </c>
      <c r="B2723" s="136" t="s">
        <v>5264</v>
      </c>
      <c r="C2723" s="136" t="s">
        <v>9112</v>
      </c>
      <c r="D2723" s="132" t="s">
        <v>4971</v>
      </c>
      <c r="E2723" s="136" t="s">
        <v>5267</v>
      </c>
      <c r="F2723" s="136" t="s">
        <v>5267</v>
      </c>
      <c r="G2723" s="136" t="s">
        <v>5794</v>
      </c>
      <c r="H2723" s="138" t="s">
        <v>10206</v>
      </c>
      <c r="I2723" s="136">
        <v>961500082</v>
      </c>
      <c r="J2723" s="131" t="s">
        <v>5175</v>
      </c>
      <c r="K2723" s="139">
        <v>54500</v>
      </c>
    </row>
    <row r="2724" spans="1:11">
      <c r="A2724" s="1" t="str">
        <f t="shared" si="42"/>
        <v>50100-865720596-96150006195500</v>
      </c>
      <c r="B2724" s="136" t="s">
        <v>5264</v>
      </c>
      <c r="C2724" s="136" t="s">
        <v>9112</v>
      </c>
      <c r="D2724" s="132" t="s">
        <v>4971</v>
      </c>
      <c r="E2724" s="136" t="s">
        <v>5267</v>
      </c>
      <c r="F2724" s="136" t="s">
        <v>5267</v>
      </c>
      <c r="G2724" s="136" t="s">
        <v>5786</v>
      </c>
      <c r="H2724" s="138" t="s">
        <v>10206</v>
      </c>
      <c r="I2724" s="136">
        <v>961500061</v>
      </c>
      <c r="J2724" s="131" t="s">
        <v>5193</v>
      </c>
      <c r="K2724" s="139">
        <v>95500</v>
      </c>
    </row>
    <row r="2725" spans="1:11">
      <c r="A2725" s="1" t="str">
        <f t="shared" si="42"/>
        <v>15100-41371696-96150010748520</v>
      </c>
      <c r="B2725" s="136" t="s">
        <v>5244</v>
      </c>
      <c r="C2725" s="136" t="s">
        <v>9092</v>
      </c>
      <c r="D2725" s="132" t="s">
        <v>4971</v>
      </c>
      <c r="E2725" s="136" t="s">
        <v>5077</v>
      </c>
      <c r="F2725" s="136" t="s">
        <v>5077</v>
      </c>
      <c r="G2725" s="136" t="s">
        <v>5762</v>
      </c>
      <c r="H2725" s="138" t="s">
        <v>6298</v>
      </c>
      <c r="I2725" s="136">
        <v>961500107</v>
      </c>
      <c r="J2725" s="131" t="s">
        <v>5209</v>
      </c>
      <c r="K2725" s="139">
        <v>48520</v>
      </c>
    </row>
    <row r="2726" spans="1:11">
      <c r="A2726" s="1" t="str">
        <f t="shared" si="42"/>
        <v>15100-41878296-96150013157840</v>
      </c>
      <c r="B2726" s="136" t="s">
        <v>5357</v>
      </c>
      <c r="C2726" s="136" t="s">
        <v>9166</v>
      </c>
      <c r="D2726" s="132" t="s">
        <v>4971</v>
      </c>
      <c r="E2726" s="136" t="s">
        <v>5274</v>
      </c>
      <c r="F2726" s="136" t="s">
        <v>5274</v>
      </c>
      <c r="G2726" s="136" t="s">
        <v>5799</v>
      </c>
      <c r="H2726" s="138" t="s">
        <v>6298</v>
      </c>
      <c r="I2726" s="136">
        <v>961500131</v>
      </c>
      <c r="J2726" s="131" t="s">
        <v>5372</v>
      </c>
      <c r="K2726" s="139">
        <v>57840</v>
      </c>
    </row>
    <row r="2727" spans="1:11">
      <c r="A2727" s="1" t="str">
        <f t="shared" si="42"/>
        <v>15100-41878296-96150010719040</v>
      </c>
      <c r="B2727" s="136" t="s">
        <v>5357</v>
      </c>
      <c r="C2727" s="136" t="s">
        <v>9166</v>
      </c>
      <c r="D2727" s="132" t="s">
        <v>4971</v>
      </c>
      <c r="E2727" s="136" t="s">
        <v>5274</v>
      </c>
      <c r="F2727" s="136" t="s">
        <v>5274</v>
      </c>
      <c r="G2727" s="136" t="s">
        <v>5762</v>
      </c>
      <c r="H2727" s="138" t="s">
        <v>6298</v>
      </c>
      <c r="I2727" s="136">
        <v>961500107</v>
      </c>
      <c r="J2727" s="131" t="s">
        <v>5209</v>
      </c>
      <c r="K2727" s="139">
        <v>19040</v>
      </c>
    </row>
    <row r="2728" spans="1:11">
      <c r="A2728" s="1" t="str">
        <f t="shared" si="42"/>
        <v>15100-41878296-96150005818960</v>
      </c>
      <c r="B2728" s="136" t="s">
        <v>5357</v>
      </c>
      <c r="C2728" s="136" t="s">
        <v>9166</v>
      </c>
      <c r="D2728" s="132" t="s">
        <v>4971</v>
      </c>
      <c r="E2728" s="136" t="s">
        <v>5274</v>
      </c>
      <c r="F2728" s="136" t="s">
        <v>5274</v>
      </c>
      <c r="G2728" s="136" t="s">
        <v>5758</v>
      </c>
      <c r="H2728" s="138" t="s">
        <v>6298</v>
      </c>
      <c r="I2728" s="136">
        <v>961500058</v>
      </c>
      <c r="J2728" s="131" t="s">
        <v>5071</v>
      </c>
      <c r="K2728" s="139">
        <v>18960</v>
      </c>
    </row>
    <row r="2729" spans="1:11">
      <c r="A2729" s="1" t="str">
        <f t="shared" si="42"/>
        <v>15100-42206096-96150013069460</v>
      </c>
      <c r="B2729" s="136" t="s">
        <v>5308</v>
      </c>
      <c r="C2729" s="136" t="s">
        <v>9127</v>
      </c>
      <c r="D2729" s="132" t="s">
        <v>4971</v>
      </c>
      <c r="E2729" s="136" t="s">
        <v>5270</v>
      </c>
      <c r="F2729" s="136" t="s">
        <v>5270</v>
      </c>
      <c r="G2729" s="136" t="s">
        <v>5799</v>
      </c>
      <c r="H2729" s="138" t="s">
        <v>6298</v>
      </c>
      <c r="I2729" s="136">
        <v>961500130</v>
      </c>
      <c r="J2729" s="131" t="s">
        <v>5325</v>
      </c>
      <c r="K2729" s="139">
        <v>69460</v>
      </c>
    </row>
    <row r="2730" spans="1:11">
      <c r="A2730" s="1" t="str">
        <f t="shared" si="42"/>
        <v>15100-41617796-96150012248660</v>
      </c>
      <c r="B2730" s="136" t="s">
        <v>5250</v>
      </c>
      <c r="C2730" s="136" t="s">
        <v>9098</v>
      </c>
      <c r="D2730" s="132" t="s">
        <v>4971</v>
      </c>
      <c r="E2730" s="136" t="s">
        <v>5271</v>
      </c>
      <c r="F2730" s="136" t="s">
        <v>5271</v>
      </c>
      <c r="G2730" s="136" t="s">
        <v>5799</v>
      </c>
      <c r="H2730" s="138" t="s">
        <v>6298</v>
      </c>
      <c r="I2730" s="136">
        <v>961500122</v>
      </c>
      <c r="J2730" s="131" t="s">
        <v>5275</v>
      </c>
      <c r="K2730" s="139">
        <v>48660</v>
      </c>
    </row>
    <row r="2731" spans="1:11">
      <c r="A2731" s="1" t="str">
        <f t="shared" si="42"/>
        <v>15100-41504496-96150010734020</v>
      </c>
      <c r="B2731" s="136" t="s">
        <v>5245</v>
      </c>
      <c r="C2731" s="136" t="s">
        <v>9093</v>
      </c>
      <c r="D2731" s="132" t="s">
        <v>4971</v>
      </c>
      <c r="E2731" s="136" t="s">
        <v>5266</v>
      </c>
      <c r="F2731" s="136" t="s">
        <v>5266</v>
      </c>
      <c r="G2731" s="136" t="s">
        <v>5762</v>
      </c>
      <c r="H2731" s="138" t="s">
        <v>6298</v>
      </c>
      <c r="I2731" s="136">
        <v>961500107</v>
      </c>
      <c r="J2731" s="131" t="s">
        <v>5209</v>
      </c>
      <c r="K2731" s="139">
        <v>34020</v>
      </c>
    </row>
    <row r="2732" spans="1:11">
      <c r="A2732" s="1" t="str">
        <f t="shared" si="42"/>
        <v>15100-41692196-96150012272680</v>
      </c>
      <c r="B2732" s="136" t="s">
        <v>5248</v>
      </c>
      <c r="C2732" s="136" t="s">
        <v>9096</v>
      </c>
      <c r="D2732" s="132" t="s">
        <v>4971</v>
      </c>
      <c r="E2732" s="136" t="s">
        <v>5269</v>
      </c>
      <c r="F2732" s="136" t="s">
        <v>5269</v>
      </c>
      <c r="G2732" s="136" t="s">
        <v>5799</v>
      </c>
      <c r="H2732" s="138" t="s">
        <v>6298</v>
      </c>
      <c r="I2732" s="136">
        <v>961500122</v>
      </c>
      <c r="J2732" s="131" t="s">
        <v>5275</v>
      </c>
      <c r="K2732" s="139">
        <v>72680</v>
      </c>
    </row>
    <row r="2733" spans="1:11">
      <c r="A2733" s="1" t="str">
        <f t="shared" si="42"/>
        <v>15100-41504496-96150011836720</v>
      </c>
      <c r="B2733" s="136" t="s">
        <v>5245</v>
      </c>
      <c r="C2733" s="136" t="s">
        <v>9093</v>
      </c>
      <c r="D2733" s="132" t="s">
        <v>4971</v>
      </c>
      <c r="E2733" s="136" t="s">
        <v>5266</v>
      </c>
      <c r="F2733" s="136" t="s">
        <v>5266</v>
      </c>
      <c r="G2733" s="136" t="s">
        <v>5762</v>
      </c>
      <c r="H2733" s="138" t="s">
        <v>6298</v>
      </c>
      <c r="I2733" s="136">
        <v>961500118</v>
      </c>
      <c r="J2733" s="131" t="s">
        <v>5208</v>
      </c>
      <c r="K2733" s="139">
        <v>36720</v>
      </c>
    </row>
    <row r="2734" spans="1:11">
      <c r="A2734" s="1" t="str">
        <f t="shared" si="42"/>
        <v>15100-41566996-96150012247920</v>
      </c>
      <c r="B2734" s="136" t="s">
        <v>5246</v>
      </c>
      <c r="C2734" s="136" t="s">
        <v>9094</v>
      </c>
      <c r="D2734" s="132" t="s">
        <v>4971</v>
      </c>
      <c r="E2734" s="136" t="s">
        <v>5267</v>
      </c>
      <c r="F2734" s="136" t="s">
        <v>5267</v>
      </c>
      <c r="G2734" s="136" t="s">
        <v>5799</v>
      </c>
      <c r="H2734" s="138" t="s">
        <v>6298</v>
      </c>
      <c r="I2734" s="136">
        <v>961500122</v>
      </c>
      <c r="J2734" s="131" t="s">
        <v>5275</v>
      </c>
      <c r="K2734" s="139">
        <v>47920</v>
      </c>
    </row>
    <row r="2735" spans="1:11">
      <c r="A2735" s="1" t="str">
        <f t="shared" si="42"/>
        <v>15100-41748196-96150012270740</v>
      </c>
      <c r="B2735" s="136" t="s">
        <v>5247</v>
      </c>
      <c r="C2735" s="136" t="s">
        <v>9095</v>
      </c>
      <c r="D2735" s="132" t="s">
        <v>4971</v>
      </c>
      <c r="E2735" s="136" t="s">
        <v>5268</v>
      </c>
      <c r="F2735" s="136" t="s">
        <v>5268</v>
      </c>
      <c r="G2735" s="136" t="s">
        <v>5799</v>
      </c>
      <c r="H2735" s="138" t="s">
        <v>6298</v>
      </c>
      <c r="I2735" s="136">
        <v>961500122</v>
      </c>
      <c r="J2735" s="131" t="s">
        <v>5275</v>
      </c>
      <c r="K2735" s="139">
        <v>70740</v>
      </c>
    </row>
    <row r="2736" spans="1:11">
      <c r="A2736" s="1" t="str">
        <f t="shared" si="42"/>
        <v>15100-41748196-96150010726840</v>
      </c>
      <c r="B2736" s="136" t="s">
        <v>5247</v>
      </c>
      <c r="C2736" s="136" t="s">
        <v>9095</v>
      </c>
      <c r="D2736" s="132" t="s">
        <v>4971</v>
      </c>
      <c r="E2736" s="136" t="s">
        <v>5268</v>
      </c>
      <c r="F2736" s="136" t="s">
        <v>5268</v>
      </c>
      <c r="G2736" s="136" t="s">
        <v>5762</v>
      </c>
      <c r="H2736" s="138" t="s">
        <v>6298</v>
      </c>
      <c r="I2736" s="136">
        <v>961500107</v>
      </c>
      <c r="J2736" s="131" t="s">
        <v>5209</v>
      </c>
      <c r="K2736" s="139">
        <v>26840</v>
      </c>
    </row>
    <row r="2737" spans="1:11">
      <c r="A2737" s="1" t="str">
        <f t="shared" si="42"/>
        <v>15100-42067496-9615000897015</v>
      </c>
      <c r="B2737" s="136" t="s">
        <v>5312</v>
      </c>
      <c r="C2737" s="136" t="s">
        <v>9131</v>
      </c>
      <c r="D2737" s="132" t="s">
        <v>4971</v>
      </c>
      <c r="E2737" s="136" t="s">
        <v>5265</v>
      </c>
      <c r="F2737" s="136" t="s">
        <v>5265</v>
      </c>
      <c r="G2737" s="136" t="s">
        <v>5762</v>
      </c>
      <c r="H2737" s="138" t="s">
        <v>6298</v>
      </c>
      <c r="I2737" s="136">
        <v>961500089</v>
      </c>
      <c r="J2737" s="131" t="s">
        <v>5224</v>
      </c>
      <c r="K2737" s="139">
        <v>7015</v>
      </c>
    </row>
    <row r="2738" spans="1:11">
      <c r="A2738" s="1" t="str">
        <f t="shared" si="42"/>
        <v>15100-42067496-961500128467365</v>
      </c>
      <c r="B2738" s="136" t="s">
        <v>5312</v>
      </c>
      <c r="C2738" s="136" t="s">
        <v>9131</v>
      </c>
      <c r="D2738" s="132" t="s">
        <v>4971</v>
      </c>
      <c r="E2738" s="136" t="s">
        <v>5265</v>
      </c>
      <c r="F2738" s="136" t="s">
        <v>5265</v>
      </c>
      <c r="G2738" s="136" t="s">
        <v>5803</v>
      </c>
      <c r="H2738" s="138" t="s">
        <v>6300</v>
      </c>
      <c r="I2738" s="136">
        <v>961500128</v>
      </c>
      <c r="J2738" s="131" t="s">
        <v>5326</v>
      </c>
      <c r="K2738" s="139">
        <v>467365</v>
      </c>
    </row>
    <row r="2739" spans="1:11">
      <c r="A2739" s="1" t="str">
        <f t="shared" si="42"/>
        <v>15100-42070896-96150006441850</v>
      </c>
      <c r="B2739" s="136" t="s">
        <v>5307</v>
      </c>
      <c r="C2739" s="136" t="s">
        <v>9126</v>
      </c>
      <c r="D2739" s="132" t="s">
        <v>4971</v>
      </c>
      <c r="E2739" s="136" t="s">
        <v>5265</v>
      </c>
      <c r="F2739" s="141" t="s">
        <v>5265</v>
      </c>
      <c r="G2739" s="141" t="s">
        <v>5788</v>
      </c>
      <c r="H2739" s="140" t="s">
        <v>8845</v>
      </c>
      <c r="I2739" s="141">
        <v>961500064</v>
      </c>
      <c r="J2739" s="131" t="s">
        <v>5064</v>
      </c>
      <c r="K2739" s="142">
        <v>41850</v>
      </c>
    </row>
    <row r="2740" spans="1:11">
      <c r="A2740" s="1" t="str">
        <f t="shared" si="42"/>
        <v>15100-42002596-96150012868300</v>
      </c>
      <c r="B2740" s="136" t="s">
        <v>5311</v>
      </c>
      <c r="C2740" s="136" t="s">
        <v>9130</v>
      </c>
      <c r="D2740" s="132" t="s">
        <v>4971</v>
      </c>
      <c r="E2740" s="136" t="s">
        <v>5322</v>
      </c>
      <c r="F2740" s="136" t="s">
        <v>5322</v>
      </c>
      <c r="G2740" s="136" t="s">
        <v>5803</v>
      </c>
      <c r="H2740" s="138" t="s">
        <v>6300</v>
      </c>
      <c r="I2740" s="136">
        <v>961500128</v>
      </c>
      <c r="J2740" s="131" t="s">
        <v>5326</v>
      </c>
      <c r="K2740" s="139">
        <v>68300</v>
      </c>
    </row>
    <row r="2741" spans="1:11">
      <c r="A2741" s="1" t="str">
        <f t="shared" si="42"/>
        <v>15100-42069596-96150012848020</v>
      </c>
      <c r="B2741" s="136" t="s">
        <v>5359</v>
      </c>
      <c r="C2741" s="136" t="s">
        <v>9168</v>
      </c>
      <c r="D2741" s="132" t="s">
        <v>4971</v>
      </c>
      <c r="E2741" s="136" t="s">
        <v>5265</v>
      </c>
      <c r="F2741" s="136" t="s">
        <v>5265</v>
      </c>
      <c r="G2741" s="136" t="s">
        <v>5803</v>
      </c>
      <c r="H2741" s="138" t="s">
        <v>6300</v>
      </c>
      <c r="I2741" s="136">
        <v>961500128</v>
      </c>
      <c r="J2741" s="131" t="s">
        <v>5326</v>
      </c>
      <c r="K2741" s="139">
        <v>48020</v>
      </c>
    </row>
    <row r="2742" spans="1:11">
      <c r="A2742" s="1" t="str">
        <f t="shared" si="42"/>
        <v>15100-42125096-96150013444045</v>
      </c>
      <c r="B2742" s="136" t="s">
        <v>5306</v>
      </c>
      <c r="C2742" s="136" t="s">
        <v>9125</v>
      </c>
      <c r="D2742" s="132" t="s">
        <v>4971</v>
      </c>
      <c r="E2742" s="136" t="s">
        <v>5230</v>
      </c>
      <c r="F2742" s="136" t="s">
        <v>5230</v>
      </c>
      <c r="G2742" s="136" t="s">
        <v>5803</v>
      </c>
      <c r="H2742" s="138" t="s">
        <v>6300</v>
      </c>
      <c r="I2742" s="136">
        <v>961500134</v>
      </c>
      <c r="J2742" s="131" t="s">
        <v>5324</v>
      </c>
      <c r="K2742" s="139">
        <v>44045</v>
      </c>
    </row>
    <row r="2743" spans="1:11">
      <c r="A2743" s="1" t="str">
        <f t="shared" si="42"/>
        <v>15100-42125096-9615001284295</v>
      </c>
      <c r="B2743" s="136" t="s">
        <v>5306</v>
      </c>
      <c r="C2743" s="136" t="s">
        <v>9125</v>
      </c>
      <c r="D2743" s="132" t="s">
        <v>4971</v>
      </c>
      <c r="E2743" s="136" t="s">
        <v>5230</v>
      </c>
      <c r="F2743" s="136" t="s">
        <v>5230</v>
      </c>
      <c r="G2743" s="136" t="s">
        <v>5803</v>
      </c>
      <c r="H2743" s="138" t="s">
        <v>6300</v>
      </c>
      <c r="I2743" s="136">
        <v>961500128</v>
      </c>
      <c r="J2743" s="131" t="s">
        <v>5326</v>
      </c>
      <c r="K2743" s="139">
        <v>4295</v>
      </c>
    </row>
    <row r="2744" spans="1:11">
      <c r="A2744" s="1" t="str">
        <f t="shared" si="42"/>
        <v>15100-41489796-96150010482290</v>
      </c>
      <c r="B2744" s="136" t="s">
        <v>5314</v>
      </c>
      <c r="C2744" s="136" t="s">
        <v>9133</v>
      </c>
      <c r="D2744" s="132" t="s">
        <v>4971</v>
      </c>
      <c r="E2744" s="136" t="s">
        <v>5266</v>
      </c>
      <c r="F2744" s="136" t="s">
        <v>5266</v>
      </c>
      <c r="G2744" s="136" t="s">
        <v>5801</v>
      </c>
      <c r="H2744" s="138" t="s">
        <v>6300</v>
      </c>
      <c r="I2744" s="136">
        <v>961500104</v>
      </c>
      <c r="J2744" s="131" t="s">
        <v>5276</v>
      </c>
      <c r="K2744" s="139">
        <v>82290</v>
      </c>
    </row>
    <row r="2745" spans="1:11">
      <c r="A2745" s="1" t="str">
        <f t="shared" si="42"/>
        <v>15100-41429196-961500104145600</v>
      </c>
      <c r="B2745" s="136" t="s">
        <v>5251</v>
      </c>
      <c r="C2745" s="136" t="s">
        <v>9099</v>
      </c>
      <c r="D2745" s="132" t="s">
        <v>4971</v>
      </c>
      <c r="E2745" s="136" t="s">
        <v>5272</v>
      </c>
      <c r="F2745" s="136" t="s">
        <v>5272</v>
      </c>
      <c r="G2745" s="136" t="s">
        <v>5801</v>
      </c>
      <c r="H2745" s="138" t="s">
        <v>6300</v>
      </c>
      <c r="I2745" s="136">
        <v>961500104</v>
      </c>
      <c r="J2745" s="131" t="s">
        <v>5276</v>
      </c>
      <c r="K2745" s="139">
        <v>145600</v>
      </c>
    </row>
    <row r="2746" spans="1:11">
      <c r="A2746" s="1" t="str">
        <f t="shared" si="42"/>
        <v>15100-41801296-96150008466480</v>
      </c>
      <c r="B2746" s="136" t="s">
        <v>5253</v>
      </c>
      <c r="C2746" s="136" t="s">
        <v>9101</v>
      </c>
      <c r="D2746" s="132" t="s">
        <v>4971</v>
      </c>
      <c r="E2746" s="136" t="s">
        <v>5273</v>
      </c>
      <c r="F2746" s="136" t="s">
        <v>5273</v>
      </c>
      <c r="G2746" s="136" t="s">
        <v>5762</v>
      </c>
      <c r="H2746" s="138" t="s">
        <v>6298</v>
      </c>
      <c r="I2746" s="136">
        <v>961500084</v>
      </c>
      <c r="J2746" s="131" t="s">
        <v>5278</v>
      </c>
      <c r="K2746" s="139">
        <v>66480</v>
      </c>
    </row>
    <row r="2747" spans="1:11">
      <c r="A2747" s="1" t="str">
        <f t="shared" si="42"/>
        <v>15100-42067496-96150006651800</v>
      </c>
      <c r="B2747" s="136" t="s">
        <v>5312</v>
      </c>
      <c r="C2747" s="136" t="s">
        <v>9131</v>
      </c>
      <c r="D2747" s="132" t="s">
        <v>4971</v>
      </c>
      <c r="E2747" s="136" t="s">
        <v>5265</v>
      </c>
      <c r="F2747" s="136" t="s">
        <v>5265</v>
      </c>
      <c r="G2747" s="136" t="s">
        <v>5777</v>
      </c>
      <c r="H2747" s="138" t="s">
        <v>6300</v>
      </c>
      <c r="I2747" s="136">
        <v>961500066</v>
      </c>
      <c r="J2747" s="131" t="s">
        <v>5219</v>
      </c>
      <c r="K2747" s="139">
        <v>51800</v>
      </c>
    </row>
    <row r="2748" spans="1:11">
      <c r="A2748" s="1" t="str">
        <f t="shared" si="42"/>
        <v>15100-41438296-961500038174800</v>
      </c>
      <c r="B2748" s="136" t="s">
        <v>5255</v>
      </c>
      <c r="C2748" s="136" t="s">
        <v>9103</v>
      </c>
      <c r="D2748" s="132" t="s">
        <v>4971</v>
      </c>
      <c r="E2748" s="136" t="s">
        <v>5272</v>
      </c>
      <c r="F2748" s="136" t="s">
        <v>5272</v>
      </c>
      <c r="G2748" s="136" t="s">
        <v>5758</v>
      </c>
      <c r="H2748" s="138" t="s">
        <v>6298</v>
      </c>
      <c r="I2748" s="136">
        <v>961500038</v>
      </c>
      <c r="J2748" s="131" t="s">
        <v>5279</v>
      </c>
      <c r="K2748" s="139">
        <v>174800</v>
      </c>
    </row>
    <row r="2749" spans="1:11">
      <c r="A2749" s="1" t="str">
        <f t="shared" si="42"/>
        <v>15100-41750896-96150003872050</v>
      </c>
      <c r="B2749" s="136" t="s">
        <v>5360</v>
      </c>
      <c r="C2749" s="136" t="s">
        <v>9169</v>
      </c>
      <c r="D2749" s="132" t="s">
        <v>4971</v>
      </c>
      <c r="E2749" s="136" t="s">
        <v>5268</v>
      </c>
      <c r="F2749" s="136" t="s">
        <v>5268</v>
      </c>
      <c r="G2749" s="136" t="s">
        <v>5758</v>
      </c>
      <c r="H2749" s="138" t="s">
        <v>6298</v>
      </c>
      <c r="I2749" s="136">
        <v>961500038</v>
      </c>
      <c r="J2749" s="131" t="s">
        <v>5279</v>
      </c>
      <c r="K2749" s="139">
        <v>72050</v>
      </c>
    </row>
    <row r="2750" spans="1:11">
      <c r="A2750" s="1" t="str">
        <f t="shared" si="42"/>
        <v>15100-41801296-9615000917860</v>
      </c>
      <c r="B2750" s="136" t="s">
        <v>5253</v>
      </c>
      <c r="C2750" s="136" t="s">
        <v>9101</v>
      </c>
      <c r="D2750" s="132" t="s">
        <v>4971</v>
      </c>
      <c r="E2750" s="136" t="s">
        <v>5273</v>
      </c>
      <c r="F2750" s="136" t="s">
        <v>5273</v>
      </c>
      <c r="G2750" s="136" t="s">
        <v>5762</v>
      </c>
      <c r="H2750" s="138" t="s">
        <v>6298</v>
      </c>
      <c r="I2750" s="136">
        <v>961500091</v>
      </c>
      <c r="J2750" s="131" t="s">
        <v>5220</v>
      </c>
      <c r="K2750" s="139">
        <v>7860</v>
      </c>
    </row>
    <row r="2751" spans="1:11">
      <c r="A2751" s="1" t="str">
        <f t="shared" si="42"/>
        <v>15100-41429196-96150004794520</v>
      </c>
      <c r="B2751" s="136" t="s">
        <v>5251</v>
      </c>
      <c r="C2751" s="136" t="s">
        <v>9099</v>
      </c>
      <c r="D2751" s="132" t="s">
        <v>4971</v>
      </c>
      <c r="E2751" s="136" t="s">
        <v>5272</v>
      </c>
      <c r="F2751" s="141" t="s">
        <v>5272</v>
      </c>
      <c r="G2751" s="141" t="s">
        <v>5772</v>
      </c>
      <c r="H2751" s="140" t="s">
        <v>6454</v>
      </c>
      <c r="I2751" s="141">
        <v>961500047</v>
      </c>
      <c r="J2751" s="131" t="s">
        <v>5229</v>
      </c>
      <c r="K2751" s="142">
        <v>94520</v>
      </c>
    </row>
    <row r="2752" spans="1:11">
      <c r="A2752" s="1" t="str">
        <f t="shared" si="42"/>
        <v>15100-41570596-96150005470000</v>
      </c>
      <c r="B2752" s="136" t="s">
        <v>5361</v>
      </c>
      <c r="C2752" s="136" t="s">
        <v>9170</v>
      </c>
      <c r="D2752" s="132" t="s">
        <v>4971</v>
      </c>
      <c r="E2752" s="136" t="s">
        <v>5267</v>
      </c>
      <c r="F2752" s="136" t="s">
        <v>5267</v>
      </c>
      <c r="G2752" s="136" t="s">
        <v>5758</v>
      </c>
      <c r="H2752" s="138" t="s">
        <v>6298</v>
      </c>
      <c r="I2752" s="136">
        <v>961500054</v>
      </c>
      <c r="J2752" s="131" t="s">
        <v>5377</v>
      </c>
      <c r="K2752" s="139">
        <v>70000</v>
      </c>
    </row>
    <row r="2753" spans="1:11">
      <c r="A2753" s="1" t="str">
        <f t="shared" si="42"/>
        <v>15100-41867196-96150004725740</v>
      </c>
      <c r="B2753" s="136" t="s">
        <v>5317</v>
      </c>
      <c r="C2753" s="136" t="s">
        <v>9136</v>
      </c>
      <c r="D2753" s="132" t="s">
        <v>4971</v>
      </c>
      <c r="E2753" s="136" t="s">
        <v>5274</v>
      </c>
      <c r="F2753" s="141" t="s">
        <v>5274</v>
      </c>
      <c r="G2753" s="141" t="s">
        <v>5772</v>
      </c>
      <c r="H2753" s="140" t="s">
        <v>6454</v>
      </c>
      <c r="I2753" s="141">
        <v>961500047</v>
      </c>
      <c r="J2753" s="131" t="s">
        <v>5229</v>
      </c>
      <c r="K2753" s="142">
        <v>25740</v>
      </c>
    </row>
    <row r="2754" spans="1:11">
      <c r="A2754" s="1" t="str">
        <f t="shared" si="42"/>
        <v>15100-41570596-96150012150070</v>
      </c>
      <c r="B2754" s="136" t="s">
        <v>5361</v>
      </c>
      <c r="C2754" s="136" t="s">
        <v>9170</v>
      </c>
      <c r="D2754" s="132" t="s">
        <v>4971</v>
      </c>
      <c r="E2754" s="136" t="s">
        <v>5267</v>
      </c>
      <c r="F2754" s="136" t="s">
        <v>5267</v>
      </c>
      <c r="G2754" s="136" t="s">
        <v>5799</v>
      </c>
      <c r="H2754" s="138" t="s">
        <v>6298</v>
      </c>
      <c r="I2754" s="136">
        <v>961500121</v>
      </c>
      <c r="J2754" s="131" t="s">
        <v>5280</v>
      </c>
      <c r="K2754" s="139">
        <v>50070</v>
      </c>
    </row>
    <row r="2755" spans="1:11">
      <c r="A2755" s="1" t="str">
        <f t="shared" ref="A2755:A2818" si="43">B2755&amp;J2755&amp;K2755</f>
        <v>15100-41867196-96150003847260</v>
      </c>
      <c r="B2755" s="136" t="s">
        <v>5317</v>
      </c>
      <c r="C2755" s="136" t="s">
        <v>9136</v>
      </c>
      <c r="D2755" s="132" t="s">
        <v>4971</v>
      </c>
      <c r="E2755" s="136" t="s">
        <v>5274</v>
      </c>
      <c r="F2755" s="136" t="s">
        <v>5274</v>
      </c>
      <c r="G2755" s="136" t="s">
        <v>5758</v>
      </c>
      <c r="H2755" s="138" t="s">
        <v>6298</v>
      </c>
      <c r="I2755" s="136">
        <v>961500038</v>
      </c>
      <c r="J2755" s="131" t="s">
        <v>5279</v>
      </c>
      <c r="K2755" s="139">
        <v>47260</v>
      </c>
    </row>
    <row r="2756" spans="1:11">
      <c r="A2756" s="1" t="str">
        <f t="shared" si="43"/>
        <v>15100-42070896-96150004251800</v>
      </c>
      <c r="B2756" s="136" t="s">
        <v>5307</v>
      </c>
      <c r="C2756" s="136" t="s">
        <v>9126</v>
      </c>
      <c r="D2756" s="132" t="s">
        <v>4971</v>
      </c>
      <c r="E2756" s="136" t="s">
        <v>5265</v>
      </c>
      <c r="F2756" s="141" t="s">
        <v>5265</v>
      </c>
      <c r="G2756" s="141" t="s">
        <v>5784</v>
      </c>
      <c r="H2756" s="140" t="s">
        <v>8845</v>
      </c>
      <c r="I2756" s="141">
        <v>961500042</v>
      </c>
      <c r="J2756" s="131" t="s">
        <v>5059</v>
      </c>
      <c r="K2756" s="142">
        <v>51800</v>
      </c>
    </row>
    <row r="2757" spans="1:11">
      <c r="A2757" s="1" t="str">
        <f t="shared" si="43"/>
        <v>15100-42200396-961500134149000</v>
      </c>
      <c r="B2757" s="136" t="s">
        <v>5310</v>
      </c>
      <c r="C2757" s="136" t="s">
        <v>9129</v>
      </c>
      <c r="D2757" s="132" t="s">
        <v>4971</v>
      </c>
      <c r="E2757" s="136" t="s">
        <v>5270</v>
      </c>
      <c r="F2757" s="136" t="s">
        <v>5270</v>
      </c>
      <c r="G2757" s="136" t="s">
        <v>5803</v>
      </c>
      <c r="H2757" s="138" t="s">
        <v>6300</v>
      </c>
      <c r="I2757" s="136">
        <v>961500134</v>
      </c>
      <c r="J2757" s="131" t="s">
        <v>5324</v>
      </c>
      <c r="K2757" s="139">
        <v>149000</v>
      </c>
    </row>
    <row r="2758" spans="1:11">
      <c r="A2758" s="1" t="str">
        <f t="shared" si="43"/>
        <v>15100-41558196-961500117186320</v>
      </c>
      <c r="B2758" s="136" t="s">
        <v>5257</v>
      </c>
      <c r="C2758" s="136" t="s">
        <v>9105</v>
      </c>
      <c r="D2758" s="132" t="s">
        <v>4971</v>
      </c>
      <c r="E2758" s="136" t="s">
        <v>5267</v>
      </c>
      <c r="F2758" s="136" t="s">
        <v>5267</v>
      </c>
      <c r="G2758" s="136" t="s">
        <v>5762</v>
      </c>
      <c r="H2758" s="138" t="s">
        <v>6298</v>
      </c>
      <c r="I2758" s="136">
        <v>961500117</v>
      </c>
      <c r="J2758" s="131" t="s">
        <v>5226</v>
      </c>
      <c r="K2758" s="139">
        <v>186320</v>
      </c>
    </row>
    <row r="2759" spans="1:11">
      <c r="A2759" s="1" t="str">
        <f t="shared" si="43"/>
        <v>15100-41689796-96150011370400</v>
      </c>
      <c r="B2759" s="136" t="s">
        <v>5319</v>
      </c>
      <c r="C2759" s="136" t="s">
        <v>9138</v>
      </c>
      <c r="D2759" s="132" t="s">
        <v>4971</v>
      </c>
      <c r="E2759" s="136" t="s">
        <v>5269</v>
      </c>
      <c r="F2759" s="136" t="s">
        <v>5269</v>
      </c>
      <c r="G2759" s="136" t="s">
        <v>5805</v>
      </c>
      <c r="H2759" s="138" t="s">
        <v>6299</v>
      </c>
      <c r="I2759" s="136">
        <v>961500113</v>
      </c>
      <c r="J2759" s="131" t="s">
        <v>5328</v>
      </c>
      <c r="K2759" s="139">
        <v>70400</v>
      </c>
    </row>
    <row r="2760" spans="1:11">
      <c r="A2760" s="1" t="str">
        <f t="shared" si="43"/>
        <v>15100-41622896-96150012125100</v>
      </c>
      <c r="B2760" s="136" t="s">
        <v>5252</v>
      </c>
      <c r="C2760" s="136" t="s">
        <v>9100</v>
      </c>
      <c r="D2760" s="132" t="s">
        <v>4971</v>
      </c>
      <c r="E2760" s="136" t="s">
        <v>5271</v>
      </c>
      <c r="F2760" s="136" t="s">
        <v>5271</v>
      </c>
      <c r="G2760" s="136" t="s">
        <v>5799</v>
      </c>
      <c r="H2760" s="138" t="s">
        <v>6298</v>
      </c>
      <c r="I2760" s="136">
        <v>961500121</v>
      </c>
      <c r="J2760" s="131" t="s">
        <v>5280</v>
      </c>
      <c r="K2760" s="139">
        <v>25100</v>
      </c>
    </row>
    <row r="2761" spans="1:11">
      <c r="A2761" s="1" t="str">
        <f t="shared" si="43"/>
        <v>15100-41691296-96150004793380</v>
      </c>
      <c r="B2761" s="136" t="s">
        <v>5316</v>
      </c>
      <c r="C2761" s="136" t="s">
        <v>9135</v>
      </c>
      <c r="D2761" s="132" t="s">
        <v>4971</v>
      </c>
      <c r="E2761" s="136" t="s">
        <v>5269</v>
      </c>
      <c r="F2761" s="141" t="s">
        <v>5269</v>
      </c>
      <c r="G2761" s="141" t="s">
        <v>5772</v>
      </c>
      <c r="H2761" s="140" t="s">
        <v>6454</v>
      </c>
      <c r="I2761" s="141">
        <v>961500047</v>
      </c>
      <c r="J2761" s="131" t="s">
        <v>5229</v>
      </c>
      <c r="K2761" s="142">
        <v>93380</v>
      </c>
    </row>
    <row r="2762" spans="1:11">
      <c r="A2762" s="1" t="str">
        <f t="shared" si="43"/>
        <v>15100-41489796-96150009958330</v>
      </c>
      <c r="B2762" s="136" t="s">
        <v>5314</v>
      </c>
      <c r="C2762" s="136" t="s">
        <v>9133</v>
      </c>
      <c r="D2762" s="132" t="s">
        <v>4971</v>
      </c>
      <c r="E2762" s="136" t="s">
        <v>5266</v>
      </c>
      <c r="F2762" s="136" t="s">
        <v>5266</v>
      </c>
      <c r="G2762" s="136" t="s">
        <v>5762</v>
      </c>
      <c r="H2762" s="138" t="s">
        <v>6298</v>
      </c>
      <c r="I2762" s="136">
        <v>961500099</v>
      </c>
      <c r="J2762" s="131" t="s">
        <v>5227</v>
      </c>
      <c r="K2762" s="139">
        <v>58330</v>
      </c>
    </row>
    <row r="2763" spans="1:11">
      <c r="A2763" s="1" t="str">
        <f t="shared" si="43"/>
        <v>15100-42070196-96150005220690</v>
      </c>
      <c r="B2763" s="136" t="s">
        <v>5243</v>
      </c>
      <c r="C2763" s="136" t="s">
        <v>9091</v>
      </c>
      <c r="D2763" s="132" t="s">
        <v>4971</v>
      </c>
      <c r="E2763" s="136" t="s">
        <v>5265</v>
      </c>
      <c r="F2763" s="136" t="s">
        <v>5265</v>
      </c>
      <c r="G2763" s="136" t="s">
        <v>5758</v>
      </c>
      <c r="H2763" s="138" t="s">
        <v>6298</v>
      </c>
      <c r="I2763" s="136">
        <v>961500052</v>
      </c>
      <c r="J2763" s="131" t="s">
        <v>5225</v>
      </c>
      <c r="K2763" s="139">
        <v>20690</v>
      </c>
    </row>
    <row r="2764" spans="1:11">
      <c r="A2764" s="1" t="str">
        <f t="shared" si="43"/>
        <v>15100-41558196-96150012124830</v>
      </c>
      <c r="B2764" s="136" t="s">
        <v>5257</v>
      </c>
      <c r="C2764" s="136" t="s">
        <v>9105</v>
      </c>
      <c r="D2764" s="132" t="s">
        <v>4971</v>
      </c>
      <c r="E2764" s="136" t="s">
        <v>5267</v>
      </c>
      <c r="F2764" s="136" t="s">
        <v>5267</v>
      </c>
      <c r="G2764" s="136" t="s">
        <v>5799</v>
      </c>
      <c r="H2764" s="138" t="s">
        <v>6298</v>
      </c>
      <c r="I2764" s="136">
        <v>961500121</v>
      </c>
      <c r="J2764" s="131" t="s">
        <v>5280</v>
      </c>
      <c r="K2764" s="139">
        <v>24830</v>
      </c>
    </row>
    <row r="2765" spans="1:11">
      <c r="A2765" s="1" t="str">
        <f t="shared" si="43"/>
        <v>15100-41750896-96150012440385</v>
      </c>
      <c r="B2765" s="136" t="s">
        <v>5360</v>
      </c>
      <c r="C2765" s="136" t="s">
        <v>9169</v>
      </c>
      <c r="D2765" s="132" t="s">
        <v>4971</v>
      </c>
      <c r="E2765" s="136" t="s">
        <v>5268</v>
      </c>
      <c r="F2765" s="136" t="s">
        <v>5268</v>
      </c>
      <c r="G2765" s="136" t="s">
        <v>5799</v>
      </c>
      <c r="H2765" s="138" t="s">
        <v>6298</v>
      </c>
      <c r="I2765" s="136">
        <v>961500124</v>
      </c>
      <c r="J2765" s="131" t="s">
        <v>5327</v>
      </c>
      <c r="K2765" s="139">
        <v>40385</v>
      </c>
    </row>
    <row r="2766" spans="1:11">
      <c r="A2766" s="1" t="str">
        <f t="shared" si="43"/>
        <v>15100-41749996-961500124213240</v>
      </c>
      <c r="B2766" s="136" t="s">
        <v>5315</v>
      </c>
      <c r="C2766" s="136" t="s">
        <v>9134</v>
      </c>
      <c r="D2766" s="132" t="s">
        <v>4971</v>
      </c>
      <c r="E2766" s="136" t="s">
        <v>5268</v>
      </c>
      <c r="F2766" s="136" t="s">
        <v>5268</v>
      </c>
      <c r="G2766" s="136" t="s">
        <v>5799</v>
      </c>
      <c r="H2766" s="138" t="s">
        <v>6298</v>
      </c>
      <c r="I2766" s="136">
        <v>961500124</v>
      </c>
      <c r="J2766" s="131" t="s">
        <v>5327</v>
      </c>
      <c r="K2766" s="139">
        <v>213240</v>
      </c>
    </row>
    <row r="2767" spans="1:11">
      <c r="A2767" s="1" t="str">
        <f t="shared" si="43"/>
        <v>15100-41622896-96150012368000</v>
      </c>
      <c r="B2767" s="136" t="s">
        <v>5252</v>
      </c>
      <c r="C2767" s="136" t="s">
        <v>9100</v>
      </c>
      <c r="D2767" s="132" t="s">
        <v>4971</v>
      </c>
      <c r="E2767" s="136" t="s">
        <v>5271</v>
      </c>
      <c r="F2767" s="136" t="s">
        <v>5271</v>
      </c>
      <c r="G2767" s="136" t="s">
        <v>5799</v>
      </c>
      <c r="H2767" s="138" t="s">
        <v>6298</v>
      </c>
      <c r="I2767" s="136">
        <v>961500123</v>
      </c>
      <c r="J2767" s="131" t="s">
        <v>5277</v>
      </c>
      <c r="K2767" s="139">
        <v>68000</v>
      </c>
    </row>
    <row r="2768" spans="1:11">
      <c r="A2768" s="1" t="str">
        <f t="shared" si="43"/>
        <v>15100-41689796-96150012332000</v>
      </c>
      <c r="B2768" s="136" t="s">
        <v>5319</v>
      </c>
      <c r="C2768" s="136" t="s">
        <v>9138</v>
      </c>
      <c r="D2768" s="132" t="s">
        <v>4971</v>
      </c>
      <c r="E2768" s="136" t="s">
        <v>5269</v>
      </c>
      <c r="F2768" s="136" t="s">
        <v>5269</v>
      </c>
      <c r="G2768" s="136" t="s">
        <v>5799</v>
      </c>
      <c r="H2768" s="138" t="s">
        <v>6298</v>
      </c>
      <c r="I2768" s="136">
        <v>961500123</v>
      </c>
      <c r="J2768" s="131" t="s">
        <v>5277</v>
      </c>
      <c r="K2768" s="139">
        <v>32000</v>
      </c>
    </row>
    <row r="2769" spans="1:11">
      <c r="A2769" s="1" t="str">
        <f t="shared" si="43"/>
        <v>15100-41689796-961500119181540</v>
      </c>
      <c r="B2769" s="136" t="s">
        <v>5319</v>
      </c>
      <c r="C2769" s="136" t="s">
        <v>9138</v>
      </c>
      <c r="D2769" s="132" t="s">
        <v>4971</v>
      </c>
      <c r="E2769" s="136" t="s">
        <v>5269</v>
      </c>
      <c r="F2769" s="136" t="s">
        <v>5269</v>
      </c>
      <c r="G2769" s="136" t="s">
        <v>5799</v>
      </c>
      <c r="H2769" s="138" t="s">
        <v>6298</v>
      </c>
      <c r="I2769" s="136">
        <v>961500119</v>
      </c>
      <c r="J2769" s="131" t="s">
        <v>5329</v>
      </c>
      <c r="K2769" s="139">
        <v>181540</v>
      </c>
    </row>
    <row r="2770" spans="1:11">
      <c r="A2770" s="1" t="str">
        <f t="shared" si="43"/>
        <v>15100-42070196-96150004075270</v>
      </c>
      <c r="B2770" s="136" t="s">
        <v>5243</v>
      </c>
      <c r="C2770" s="136" t="s">
        <v>9091</v>
      </c>
      <c r="D2770" s="132" t="s">
        <v>4971</v>
      </c>
      <c r="E2770" s="136" t="s">
        <v>5265</v>
      </c>
      <c r="F2770" s="136" t="s">
        <v>5265</v>
      </c>
      <c r="G2770" s="136" t="s">
        <v>5777</v>
      </c>
      <c r="H2770" s="138" t="s">
        <v>6300</v>
      </c>
      <c r="I2770" s="136">
        <v>961500040</v>
      </c>
      <c r="J2770" s="131" t="s">
        <v>5211</v>
      </c>
      <c r="K2770" s="139">
        <v>75270</v>
      </c>
    </row>
    <row r="2771" spans="1:11">
      <c r="A2771" s="1" t="str">
        <f t="shared" si="43"/>
        <v>15100-41867496-96150005273900</v>
      </c>
      <c r="B2771" s="136" t="s">
        <v>5256</v>
      </c>
      <c r="C2771" s="136" t="s">
        <v>9104</v>
      </c>
      <c r="D2771" s="132" t="s">
        <v>4971</v>
      </c>
      <c r="E2771" s="136" t="s">
        <v>5274</v>
      </c>
      <c r="F2771" s="136" t="s">
        <v>5274</v>
      </c>
      <c r="G2771" s="136" t="s">
        <v>5758</v>
      </c>
      <c r="H2771" s="138" t="s">
        <v>6298</v>
      </c>
      <c r="I2771" s="136">
        <v>961500052</v>
      </c>
      <c r="J2771" s="131" t="s">
        <v>5225</v>
      </c>
      <c r="K2771" s="139">
        <v>73900</v>
      </c>
    </row>
    <row r="2772" spans="1:11">
      <c r="A2772" s="1" t="str">
        <f t="shared" si="43"/>
        <v>15100-42122696-96150012872020</v>
      </c>
      <c r="B2772" s="136" t="s">
        <v>5358</v>
      </c>
      <c r="C2772" s="136" t="s">
        <v>9167</v>
      </c>
      <c r="D2772" s="132" t="s">
        <v>4971</v>
      </c>
      <c r="E2772" s="136" t="s">
        <v>5230</v>
      </c>
      <c r="F2772" s="136" t="s">
        <v>5230</v>
      </c>
      <c r="G2772" s="136" t="s">
        <v>5803</v>
      </c>
      <c r="H2772" s="138" t="s">
        <v>6300</v>
      </c>
      <c r="I2772" s="136">
        <v>961500128</v>
      </c>
      <c r="J2772" s="131" t="s">
        <v>5326</v>
      </c>
      <c r="K2772" s="139">
        <v>72020</v>
      </c>
    </row>
    <row r="2773" spans="1:11">
      <c r="A2773" s="1" t="str">
        <f t="shared" si="43"/>
        <v>15100-41440096-96150010447100</v>
      </c>
      <c r="B2773" s="136" t="s">
        <v>5254</v>
      </c>
      <c r="C2773" s="136" t="s">
        <v>9102</v>
      </c>
      <c r="D2773" s="132" t="s">
        <v>4971</v>
      </c>
      <c r="E2773" s="136" t="s">
        <v>5272</v>
      </c>
      <c r="F2773" s="136" t="s">
        <v>5272</v>
      </c>
      <c r="G2773" s="136" t="s">
        <v>5801</v>
      </c>
      <c r="H2773" s="138" t="s">
        <v>6300</v>
      </c>
      <c r="I2773" s="136">
        <v>961500104</v>
      </c>
      <c r="J2773" s="131" t="s">
        <v>5276</v>
      </c>
      <c r="K2773" s="139">
        <v>47100</v>
      </c>
    </row>
    <row r="2774" spans="1:11">
      <c r="A2774" s="1" t="str">
        <f t="shared" si="43"/>
        <v>15100-41558196-96150009992390</v>
      </c>
      <c r="B2774" s="136" t="s">
        <v>5257</v>
      </c>
      <c r="C2774" s="136" t="s">
        <v>9105</v>
      </c>
      <c r="D2774" s="132" t="s">
        <v>4971</v>
      </c>
      <c r="E2774" s="136" t="s">
        <v>5267</v>
      </c>
      <c r="F2774" s="136" t="s">
        <v>5267</v>
      </c>
      <c r="G2774" s="136" t="s">
        <v>5762</v>
      </c>
      <c r="H2774" s="138" t="s">
        <v>6298</v>
      </c>
      <c r="I2774" s="136">
        <v>961500099</v>
      </c>
      <c r="J2774" s="131" t="s">
        <v>5227</v>
      </c>
      <c r="K2774" s="139">
        <v>92390</v>
      </c>
    </row>
    <row r="2775" spans="1:11">
      <c r="A2775" s="1" t="str">
        <f t="shared" si="43"/>
        <v>15100-42070196-96150004829300</v>
      </c>
      <c r="B2775" s="136" t="s">
        <v>5243</v>
      </c>
      <c r="C2775" s="136" t="s">
        <v>9091</v>
      </c>
      <c r="D2775" s="132" t="s">
        <v>4971</v>
      </c>
      <c r="E2775" s="136" t="s">
        <v>5265</v>
      </c>
      <c r="F2775" s="136" t="s">
        <v>5265</v>
      </c>
      <c r="G2775" s="136" t="s">
        <v>5777</v>
      </c>
      <c r="H2775" s="138" t="s">
        <v>6300</v>
      </c>
      <c r="I2775" s="136">
        <v>961500048</v>
      </c>
      <c r="J2775" s="131" t="s">
        <v>5075</v>
      </c>
      <c r="K2775" s="139">
        <v>29300</v>
      </c>
    </row>
    <row r="2776" spans="1:11">
      <c r="A2776" s="1" t="str">
        <f t="shared" si="43"/>
        <v>15100-41908696-96150008951485</v>
      </c>
      <c r="B2776" s="136" t="s">
        <v>5318</v>
      </c>
      <c r="C2776" s="136" t="s">
        <v>9137</v>
      </c>
      <c r="D2776" s="132" t="s">
        <v>4971</v>
      </c>
      <c r="E2776" s="136" t="s">
        <v>5274</v>
      </c>
      <c r="F2776" s="136" t="s">
        <v>5274</v>
      </c>
      <c r="G2776" s="136" t="s">
        <v>5762</v>
      </c>
      <c r="H2776" s="138" t="s">
        <v>6298</v>
      </c>
      <c r="I2776" s="136">
        <v>961500089</v>
      </c>
      <c r="J2776" s="131" t="s">
        <v>5224</v>
      </c>
      <c r="K2776" s="139">
        <v>51485</v>
      </c>
    </row>
    <row r="2777" spans="1:11">
      <c r="A2777" s="1" t="str">
        <f t="shared" si="43"/>
        <v>15100-41358496-961500019234220</v>
      </c>
      <c r="B2777" s="136" t="s">
        <v>6126</v>
      </c>
      <c r="C2777" s="136" t="s">
        <v>9350</v>
      </c>
      <c r="D2777" s="132" t="s">
        <v>4971</v>
      </c>
      <c r="E2777" s="136" t="s">
        <v>5077</v>
      </c>
      <c r="F2777" s="136" t="s">
        <v>5077</v>
      </c>
      <c r="G2777" s="136" t="s">
        <v>5758</v>
      </c>
      <c r="H2777" s="138" t="s">
        <v>6298</v>
      </c>
      <c r="I2777" s="136">
        <v>961500019</v>
      </c>
      <c r="J2777" s="131" t="s">
        <v>5222</v>
      </c>
      <c r="K2777" s="139">
        <v>234220</v>
      </c>
    </row>
    <row r="2778" spans="1:11">
      <c r="A2778" s="1" t="str">
        <f t="shared" si="43"/>
        <v>15100-41486496-96150010448420</v>
      </c>
      <c r="B2778" s="136" t="s">
        <v>5362</v>
      </c>
      <c r="C2778" s="136" t="s">
        <v>9171</v>
      </c>
      <c r="D2778" s="132" t="s">
        <v>4971</v>
      </c>
      <c r="E2778" s="136" t="s">
        <v>5266</v>
      </c>
      <c r="F2778" s="136" t="s">
        <v>5266</v>
      </c>
      <c r="G2778" s="136" t="s">
        <v>5801</v>
      </c>
      <c r="H2778" s="138" t="s">
        <v>6300</v>
      </c>
      <c r="I2778" s="136">
        <v>961500104</v>
      </c>
      <c r="J2778" s="131" t="s">
        <v>5276</v>
      </c>
      <c r="K2778" s="139">
        <v>48420</v>
      </c>
    </row>
    <row r="2779" spans="1:11">
      <c r="A2779" s="1" t="str">
        <f t="shared" si="43"/>
        <v>15100-41806296-9615001139180</v>
      </c>
      <c r="B2779" s="136" t="s">
        <v>6295</v>
      </c>
      <c r="C2779" s="136" t="s">
        <v>9469</v>
      </c>
      <c r="D2779" s="132" t="s">
        <v>4971</v>
      </c>
      <c r="E2779" s="136" t="s">
        <v>5273</v>
      </c>
      <c r="F2779" s="136" t="s">
        <v>5273</v>
      </c>
      <c r="G2779" s="136" t="s">
        <v>5805</v>
      </c>
      <c r="H2779" s="138" t="s">
        <v>6299</v>
      </c>
      <c r="I2779" s="136">
        <v>961500113</v>
      </c>
      <c r="J2779" s="131" t="s">
        <v>5328</v>
      </c>
      <c r="K2779" s="139">
        <v>9180</v>
      </c>
    </row>
    <row r="2780" spans="1:11">
      <c r="A2780" s="1" t="str">
        <f t="shared" si="43"/>
        <v>15100-41805996-961500113170420</v>
      </c>
      <c r="B2780" s="136" t="s">
        <v>5320</v>
      </c>
      <c r="C2780" s="136" t="s">
        <v>9139</v>
      </c>
      <c r="D2780" s="132" t="s">
        <v>4971</v>
      </c>
      <c r="E2780" s="136" t="s">
        <v>5273</v>
      </c>
      <c r="F2780" s="136" t="s">
        <v>5273</v>
      </c>
      <c r="G2780" s="136" t="s">
        <v>5805</v>
      </c>
      <c r="H2780" s="138" t="s">
        <v>6299</v>
      </c>
      <c r="I2780" s="136">
        <v>961500113</v>
      </c>
      <c r="J2780" s="131" t="s">
        <v>5328</v>
      </c>
      <c r="K2780" s="139">
        <v>170420</v>
      </c>
    </row>
    <row r="2781" spans="1:11">
      <c r="A2781" s="1" t="str">
        <f t="shared" si="43"/>
        <v>15100-41358496-961500104176590</v>
      </c>
      <c r="B2781" s="136" t="s">
        <v>6126</v>
      </c>
      <c r="C2781" s="136" t="s">
        <v>9350</v>
      </c>
      <c r="D2781" s="132" t="s">
        <v>4971</v>
      </c>
      <c r="E2781" s="136" t="s">
        <v>5077</v>
      </c>
      <c r="F2781" s="136" t="s">
        <v>5077</v>
      </c>
      <c r="G2781" s="136" t="s">
        <v>5801</v>
      </c>
      <c r="H2781" s="138" t="s">
        <v>6300</v>
      </c>
      <c r="I2781" s="136">
        <v>961500104</v>
      </c>
      <c r="J2781" s="131" t="s">
        <v>5276</v>
      </c>
      <c r="K2781" s="139">
        <v>176590</v>
      </c>
    </row>
    <row r="2782" spans="1:11">
      <c r="A2782" s="1" t="str">
        <f t="shared" si="43"/>
        <v>15100-41806296-961500124146375</v>
      </c>
      <c r="B2782" s="136" t="s">
        <v>6295</v>
      </c>
      <c r="C2782" s="136" t="s">
        <v>9469</v>
      </c>
      <c r="D2782" s="132" t="s">
        <v>4971</v>
      </c>
      <c r="E2782" s="136" t="s">
        <v>5273</v>
      </c>
      <c r="F2782" s="136" t="s">
        <v>5273</v>
      </c>
      <c r="G2782" s="136" t="s">
        <v>5799</v>
      </c>
      <c r="H2782" s="138" t="s">
        <v>6298</v>
      </c>
      <c r="I2782" s="136">
        <v>961500124</v>
      </c>
      <c r="J2782" s="131" t="s">
        <v>5327</v>
      </c>
      <c r="K2782" s="139">
        <v>146375</v>
      </c>
    </row>
    <row r="2783" spans="1:11">
      <c r="A2783" s="1" t="str">
        <f t="shared" si="43"/>
        <v>15100-42140696-961500062197560</v>
      </c>
      <c r="B2783" s="136" t="s">
        <v>5309</v>
      </c>
      <c r="C2783" s="136" t="s">
        <v>9128</v>
      </c>
      <c r="D2783" s="132" t="s">
        <v>4971</v>
      </c>
      <c r="E2783" s="136" t="s">
        <v>5230</v>
      </c>
      <c r="F2783" s="141" t="s">
        <v>5230</v>
      </c>
      <c r="G2783" s="141" t="s">
        <v>5787</v>
      </c>
      <c r="H2783" s="140" t="s">
        <v>8845</v>
      </c>
      <c r="I2783" s="141">
        <v>961500062</v>
      </c>
      <c r="J2783" s="131" t="s">
        <v>5086</v>
      </c>
      <c r="K2783" s="142">
        <v>197560</v>
      </c>
    </row>
    <row r="2784" spans="1:11">
      <c r="A2784" s="1" t="str">
        <f t="shared" si="43"/>
        <v>15100-41358496-96150002925430</v>
      </c>
      <c r="B2784" s="136" t="s">
        <v>6126</v>
      </c>
      <c r="C2784" s="136" t="s">
        <v>9350</v>
      </c>
      <c r="D2784" s="132" t="s">
        <v>4971</v>
      </c>
      <c r="E2784" s="136" t="s">
        <v>5077</v>
      </c>
      <c r="F2784" s="136" t="s">
        <v>5077</v>
      </c>
      <c r="G2784" s="136" t="s">
        <v>5775</v>
      </c>
      <c r="H2784" s="138" t="s">
        <v>6300</v>
      </c>
      <c r="I2784" s="136">
        <v>961500029</v>
      </c>
      <c r="J2784" s="131" t="s">
        <v>5217</v>
      </c>
      <c r="K2784" s="139">
        <v>25430</v>
      </c>
    </row>
    <row r="2785" spans="1:11">
      <c r="A2785" s="1" t="str">
        <f t="shared" si="43"/>
        <v>15100-41370496-96150003810530</v>
      </c>
      <c r="B2785" s="136" t="s">
        <v>5258</v>
      </c>
      <c r="C2785" s="136" t="s">
        <v>9106</v>
      </c>
      <c r="D2785" s="132" t="s">
        <v>4971</v>
      </c>
      <c r="E2785" s="136" t="s">
        <v>5077</v>
      </c>
      <c r="F2785" s="136" t="s">
        <v>5077</v>
      </c>
      <c r="G2785" s="136" t="s">
        <v>5758</v>
      </c>
      <c r="H2785" s="138" t="s">
        <v>6298</v>
      </c>
      <c r="I2785" s="136">
        <v>961500038</v>
      </c>
      <c r="J2785" s="131" t="s">
        <v>5279</v>
      </c>
      <c r="K2785" s="139">
        <v>10530</v>
      </c>
    </row>
    <row r="2786" spans="1:11">
      <c r="A2786" s="1" t="str">
        <f t="shared" si="43"/>
        <v>15100-41752096-961500091150940</v>
      </c>
      <c r="B2786" s="136" t="s">
        <v>5260</v>
      </c>
      <c r="C2786" s="136" t="s">
        <v>9108</v>
      </c>
      <c r="D2786" s="132" t="s">
        <v>4971</v>
      </c>
      <c r="E2786" s="136" t="s">
        <v>5268</v>
      </c>
      <c r="F2786" s="136" t="s">
        <v>5268</v>
      </c>
      <c r="G2786" s="136" t="s">
        <v>5762</v>
      </c>
      <c r="H2786" s="138" t="s">
        <v>6298</v>
      </c>
      <c r="I2786" s="136">
        <v>961500091</v>
      </c>
      <c r="J2786" s="131" t="s">
        <v>5220</v>
      </c>
      <c r="K2786" s="139">
        <v>150940</v>
      </c>
    </row>
    <row r="2787" spans="1:11">
      <c r="A2787" s="1" t="str">
        <f t="shared" si="43"/>
        <v>15100-41911996-96150008991520</v>
      </c>
      <c r="B2787" s="136" t="s">
        <v>5321</v>
      </c>
      <c r="C2787" s="136" t="s">
        <v>9140</v>
      </c>
      <c r="D2787" s="132" t="s">
        <v>4971</v>
      </c>
      <c r="E2787" s="136" t="s">
        <v>5274</v>
      </c>
      <c r="F2787" s="136" t="s">
        <v>5274</v>
      </c>
      <c r="G2787" s="136" t="s">
        <v>5762</v>
      </c>
      <c r="H2787" s="138" t="s">
        <v>6298</v>
      </c>
      <c r="I2787" s="136">
        <v>961500089</v>
      </c>
      <c r="J2787" s="131" t="s">
        <v>5224</v>
      </c>
      <c r="K2787" s="139">
        <v>91520</v>
      </c>
    </row>
    <row r="2788" spans="1:11">
      <c r="A2788" s="1" t="str">
        <f t="shared" si="43"/>
        <v>15100-41370496-96150001961440</v>
      </c>
      <c r="B2788" s="136" t="s">
        <v>5258</v>
      </c>
      <c r="C2788" s="136" t="s">
        <v>9106</v>
      </c>
      <c r="D2788" s="132" t="s">
        <v>4971</v>
      </c>
      <c r="E2788" s="136" t="s">
        <v>5077</v>
      </c>
      <c r="F2788" s="136" t="s">
        <v>5077</v>
      </c>
      <c r="G2788" s="136" t="s">
        <v>5758</v>
      </c>
      <c r="H2788" s="138" t="s">
        <v>6298</v>
      </c>
      <c r="I2788" s="136">
        <v>961500019</v>
      </c>
      <c r="J2788" s="131" t="s">
        <v>5222</v>
      </c>
      <c r="K2788" s="139">
        <v>61440</v>
      </c>
    </row>
    <row r="2789" spans="1:11">
      <c r="A2789" s="1" t="str">
        <f t="shared" si="43"/>
        <v>15100-41559996-96150004771650</v>
      </c>
      <c r="B2789" s="136" t="s">
        <v>5259</v>
      </c>
      <c r="C2789" s="136" t="s">
        <v>9107</v>
      </c>
      <c r="D2789" s="132" t="s">
        <v>4971</v>
      </c>
      <c r="E2789" s="136" t="s">
        <v>5267</v>
      </c>
      <c r="F2789" s="141" t="s">
        <v>5267</v>
      </c>
      <c r="G2789" s="141" t="s">
        <v>5772</v>
      </c>
      <c r="H2789" s="140" t="s">
        <v>6454</v>
      </c>
      <c r="I2789" s="141">
        <v>961500047</v>
      </c>
      <c r="J2789" s="131" t="s">
        <v>5229</v>
      </c>
      <c r="K2789" s="142">
        <v>71650</v>
      </c>
    </row>
    <row r="2790" spans="1:11">
      <c r="A2790" s="1" t="str">
        <f t="shared" si="43"/>
        <v>15100-42125096-961500132140000</v>
      </c>
      <c r="B2790" s="136" t="s">
        <v>5306</v>
      </c>
      <c r="C2790" s="136" t="s">
        <v>9125</v>
      </c>
      <c r="D2790" s="132" t="s">
        <v>4971</v>
      </c>
      <c r="E2790" s="136" t="s">
        <v>5230</v>
      </c>
      <c r="F2790" s="136" t="s">
        <v>5230</v>
      </c>
      <c r="G2790" s="136" t="s">
        <v>5803</v>
      </c>
      <c r="H2790" s="138" t="s">
        <v>6300</v>
      </c>
      <c r="I2790" s="136">
        <v>961500132</v>
      </c>
      <c r="J2790" s="131" t="s">
        <v>5323</v>
      </c>
      <c r="K2790" s="139">
        <v>140000</v>
      </c>
    </row>
    <row r="2791" spans="1:11">
      <c r="A2791" s="1" t="str">
        <f t="shared" si="43"/>
        <v>15100-42208496-961500109179650</v>
      </c>
      <c r="B2791" s="136" t="s">
        <v>5249</v>
      </c>
      <c r="C2791" s="136" t="s">
        <v>9097</v>
      </c>
      <c r="D2791" s="132" t="s">
        <v>4971</v>
      </c>
      <c r="E2791" s="136" t="s">
        <v>5270</v>
      </c>
      <c r="F2791" s="136" t="s">
        <v>5270</v>
      </c>
      <c r="G2791" s="136" t="s">
        <v>5801</v>
      </c>
      <c r="H2791" s="138" t="s">
        <v>6300</v>
      </c>
      <c r="I2791" s="136">
        <v>961500109</v>
      </c>
      <c r="J2791" s="131" t="s">
        <v>5228</v>
      </c>
      <c r="K2791" s="139">
        <v>179650</v>
      </c>
    </row>
    <row r="2792" spans="1:11">
      <c r="A2792" s="1" t="str">
        <f t="shared" si="43"/>
        <v>15100-41750895-9515006087985</v>
      </c>
      <c r="B2792" s="136" t="s">
        <v>5360</v>
      </c>
      <c r="C2792" s="136" t="s">
        <v>9169</v>
      </c>
      <c r="D2792" s="132" t="s">
        <v>4971</v>
      </c>
      <c r="E2792" s="136" t="s">
        <v>5268</v>
      </c>
      <c r="F2792" s="136" t="s">
        <v>5268</v>
      </c>
      <c r="G2792" s="136" t="s">
        <v>5766</v>
      </c>
      <c r="H2792" s="138" t="s">
        <v>11794</v>
      </c>
      <c r="I2792" s="136">
        <v>951500608</v>
      </c>
      <c r="J2792" s="131" t="s">
        <v>5052</v>
      </c>
      <c r="K2792" s="139">
        <v>7985</v>
      </c>
    </row>
    <row r="2793" spans="1:11">
      <c r="A2793" s="1" t="str">
        <f t="shared" si="43"/>
        <v>15100-41867196-961500127196520</v>
      </c>
      <c r="B2793" s="136" t="s">
        <v>5317</v>
      </c>
      <c r="C2793" s="136" t="s">
        <v>9136</v>
      </c>
      <c r="D2793" s="132" t="s">
        <v>4971</v>
      </c>
      <c r="E2793" s="136" t="s">
        <v>5274</v>
      </c>
      <c r="F2793" s="136" t="s">
        <v>5274</v>
      </c>
      <c r="G2793" s="136" t="s">
        <v>5799</v>
      </c>
      <c r="H2793" s="138" t="s">
        <v>6298</v>
      </c>
      <c r="I2793" s="136">
        <v>961500127</v>
      </c>
      <c r="J2793" s="131" t="s">
        <v>5330</v>
      </c>
      <c r="K2793" s="139">
        <v>196520</v>
      </c>
    </row>
    <row r="2794" spans="1:11">
      <c r="A2794" s="1" t="str">
        <f t="shared" si="43"/>
        <v>15100-42070896-961500109173210</v>
      </c>
      <c r="B2794" s="136" t="s">
        <v>5307</v>
      </c>
      <c r="C2794" s="136" t="s">
        <v>9126</v>
      </c>
      <c r="D2794" s="132" t="s">
        <v>4971</v>
      </c>
      <c r="E2794" s="136" t="s">
        <v>5265</v>
      </c>
      <c r="F2794" s="136" t="s">
        <v>5265</v>
      </c>
      <c r="G2794" s="136" t="s">
        <v>5801</v>
      </c>
      <c r="H2794" s="138" t="s">
        <v>6300</v>
      </c>
      <c r="I2794" s="136">
        <v>961500109</v>
      </c>
      <c r="J2794" s="131" t="s">
        <v>5228</v>
      </c>
      <c r="K2794" s="139">
        <v>173210</v>
      </c>
    </row>
    <row r="2795" spans="1:11">
      <c r="A2795" s="1" t="str">
        <f t="shared" si="43"/>
        <v>15100-41908696-96150012719545</v>
      </c>
      <c r="B2795" s="136" t="s">
        <v>5318</v>
      </c>
      <c r="C2795" s="136" t="s">
        <v>9137</v>
      </c>
      <c r="D2795" s="132" t="s">
        <v>4971</v>
      </c>
      <c r="E2795" s="136" t="s">
        <v>5274</v>
      </c>
      <c r="F2795" s="136" t="s">
        <v>5274</v>
      </c>
      <c r="G2795" s="136" t="s">
        <v>5799</v>
      </c>
      <c r="H2795" s="138" t="s">
        <v>6298</v>
      </c>
      <c r="I2795" s="136">
        <v>961500127</v>
      </c>
      <c r="J2795" s="131" t="s">
        <v>5330</v>
      </c>
      <c r="K2795" s="139">
        <v>19545</v>
      </c>
    </row>
    <row r="2796" spans="1:11">
      <c r="A2796" s="1" t="str">
        <f t="shared" si="43"/>
        <v>15100-41908696-96150010947060</v>
      </c>
      <c r="B2796" s="136" t="s">
        <v>5318</v>
      </c>
      <c r="C2796" s="136" t="s">
        <v>9137</v>
      </c>
      <c r="D2796" s="132" t="s">
        <v>4971</v>
      </c>
      <c r="E2796" s="136" t="s">
        <v>5274</v>
      </c>
      <c r="F2796" s="136" t="s">
        <v>5274</v>
      </c>
      <c r="G2796" s="136" t="s">
        <v>5801</v>
      </c>
      <c r="H2796" s="138" t="s">
        <v>6300</v>
      </c>
      <c r="I2796" s="136">
        <v>961500109</v>
      </c>
      <c r="J2796" s="131" t="s">
        <v>5228</v>
      </c>
      <c r="K2796" s="139">
        <v>47060</v>
      </c>
    </row>
    <row r="2797" spans="1:11">
      <c r="A2797" s="1" t="str">
        <f t="shared" si="43"/>
        <v>15100-41806296-96150012733935</v>
      </c>
      <c r="B2797" s="136" t="s">
        <v>6295</v>
      </c>
      <c r="C2797" s="136" t="s">
        <v>9469</v>
      </c>
      <c r="D2797" s="132" t="s">
        <v>4971</v>
      </c>
      <c r="E2797" s="136" t="s">
        <v>5273</v>
      </c>
      <c r="F2797" s="136" t="s">
        <v>5273</v>
      </c>
      <c r="G2797" s="136" t="s">
        <v>5799</v>
      </c>
      <c r="H2797" s="138" t="s">
        <v>6298</v>
      </c>
      <c r="I2797" s="136">
        <v>961500127</v>
      </c>
      <c r="J2797" s="131" t="s">
        <v>5330</v>
      </c>
      <c r="K2797" s="139">
        <v>33935</v>
      </c>
    </row>
    <row r="2798" spans="1:11">
      <c r="A2798" s="1" t="str">
        <f t="shared" si="43"/>
        <v>15100-41358496-961500109103080</v>
      </c>
      <c r="B2798" s="136" t="s">
        <v>6126</v>
      </c>
      <c r="C2798" s="136" t="s">
        <v>9350</v>
      </c>
      <c r="D2798" s="132" t="s">
        <v>4971</v>
      </c>
      <c r="E2798" s="136" t="s">
        <v>5077</v>
      </c>
      <c r="F2798" s="136" t="s">
        <v>5077</v>
      </c>
      <c r="G2798" s="136" t="s">
        <v>5801</v>
      </c>
      <c r="H2798" s="138" t="s">
        <v>6300</v>
      </c>
      <c r="I2798" s="136">
        <v>961500109</v>
      </c>
      <c r="J2798" s="131" t="s">
        <v>5228</v>
      </c>
      <c r="K2798" s="139">
        <v>103080</v>
      </c>
    </row>
    <row r="2799" spans="1:11">
      <c r="A2799" s="1" t="str">
        <f t="shared" si="43"/>
        <v>15100-41625896-96150006749410</v>
      </c>
      <c r="B2799" s="136" t="s">
        <v>5363</v>
      </c>
      <c r="C2799" s="136" t="s">
        <v>9172</v>
      </c>
      <c r="D2799" s="132" t="s">
        <v>4971</v>
      </c>
      <c r="E2799" s="136" t="s">
        <v>5271</v>
      </c>
      <c r="F2799" s="136" t="s">
        <v>5271</v>
      </c>
      <c r="G2799" s="136" t="s">
        <v>5758</v>
      </c>
      <c r="H2799" s="138" t="s">
        <v>6298</v>
      </c>
      <c r="I2799" s="136">
        <v>961500067</v>
      </c>
      <c r="J2799" s="131" t="s">
        <v>5378</v>
      </c>
      <c r="K2799" s="139">
        <v>49410</v>
      </c>
    </row>
    <row r="2800" spans="1:11">
      <c r="A2800" s="1" t="str">
        <f t="shared" si="43"/>
        <v>15100-42126896-961500109142730</v>
      </c>
      <c r="B2800" s="136" t="s">
        <v>5313</v>
      </c>
      <c r="C2800" s="136" t="s">
        <v>9132</v>
      </c>
      <c r="D2800" s="132" t="s">
        <v>4971</v>
      </c>
      <c r="E2800" s="136" t="s">
        <v>5230</v>
      </c>
      <c r="F2800" s="136" t="s">
        <v>5230</v>
      </c>
      <c r="G2800" s="136" t="s">
        <v>5801</v>
      </c>
      <c r="H2800" s="138" t="s">
        <v>6300</v>
      </c>
      <c r="I2800" s="136">
        <v>961500109</v>
      </c>
      <c r="J2800" s="131" t="s">
        <v>5228</v>
      </c>
      <c r="K2800" s="139">
        <v>142730</v>
      </c>
    </row>
    <row r="2801" spans="1:11">
      <c r="A2801" s="1" t="str">
        <f t="shared" si="43"/>
        <v>50100-854565496-964100012947025</v>
      </c>
      <c r="B2801" s="136" t="s">
        <v>4987</v>
      </c>
      <c r="C2801" s="136" t="s">
        <v>8949</v>
      </c>
      <c r="D2801" s="132" t="s">
        <v>4971</v>
      </c>
      <c r="E2801" s="136" t="s">
        <v>5012</v>
      </c>
      <c r="F2801" s="136" t="s">
        <v>5012</v>
      </c>
      <c r="G2801" s="136" t="s">
        <v>5797</v>
      </c>
      <c r="H2801" s="138" t="s">
        <v>6452</v>
      </c>
      <c r="I2801" s="136">
        <v>964100012</v>
      </c>
      <c r="J2801" s="131" t="s">
        <v>12177</v>
      </c>
      <c r="K2801" s="136">
        <v>947025</v>
      </c>
    </row>
    <row r="2802" spans="1:11">
      <c r="A2802" s="1" t="str">
        <f t="shared" si="43"/>
        <v>50100-874088695-95150060788380</v>
      </c>
      <c r="B2802" s="136" t="s">
        <v>11849</v>
      </c>
      <c r="C2802" s="136" t="s">
        <v>9113</v>
      </c>
      <c r="D2802" s="132" t="s">
        <v>4971</v>
      </c>
      <c r="E2802" s="136" t="s">
        <v>5367</v>
      </c>
      <c r="F2802" s="136" t="s">
        <v>5367</v>
      </c>
      <c r="G2802" s="143" t="s">
        <v>5752</v>
      </c>
      <c r="H2802" s="138" t="s">
        <v>6298</v>
      </c>
      <c r="I2802" s="136">
        <v>951500607</v>
      </c>
      <c r="J2802" s="131" t="s">
        <v>5289</v>
      </c>
      <c r="K2802" s="139">
        <v>88380</v>
      </c>
    </row>
    <row r="2803" spans="1:11">
      <c r="A2803" s="1" t="str">
        <f t="shared" si="43"/>
        <v>50100-875858996-96150009457282</v>
      </c>
      <c r="B2803" s="136" t="s">
        <v>11850</v>
      </c>
      <c r="C2803" s="136" t="s">
        <v>9114</v>
      </c>
      <c r="D2803" s="132" t="s">
        <v>4971</v>
      </c>
      <c r="E2803" s="136" t="s">
        <v>5379</v>
      </c>
      <c r="F2803" s="136" t="s">
        <v>5379</v>
      </c>
      <c r="G2803" s="143" t="s">
        <v>5762</v>
      </c>
      <c r="H2803" s="138" t="s">
        <v>6298</v>
      </c>
      <c r="I2803" s="136">
        <v>961500094</v>
      </c>
      <c r="J2803" s="131" t="s">
        <v>5282</v>
      </c>
      <c r="K2803" s="139">
        <v>57282</v>
      </c>
    </row>
    <row r="2804" spans="1:11">
      <c r="A2804" s="1" t="str">
        <f t="shared" si="43"/>
        <v>50100-874088696-961500092410620</v>
      </c>
      <c r="B2804" s="136" t="s">
        <v>11849</v>
      </c>
      <c r="C2804" s="136" t="s">
        <v>9113</v>
      </c>
      <c r="D2804" s="132" t="s">
        <v>4971</v>
      </c>
      <c r="E2804" s="136" t="s">
        <v>5367</v>
      </c>
      <c r="F2804" s="136" t="s">
        <v>5367</v>
      </c>
      <c r="G2804" s="143" t="s">
        <v>5762</v>
      </c>
      <c r="H2804" s="138" t="s">
        <v>6298</v>
      </c>
      <c r="I2804" s="136">
        <v>961500092</v>
      </c>
      <c r="J2804" s="131" t="s">
        <v>5290</v>
      </c>
      <c r="K2804" s="139">
        <v>410620</v>
      </c>
    </row>
    <row r="2805" spans="1:11">
      <c r="A2805" s="1" t="str">
        <f t="shared" si="43"/>
        <v>50100-875858996-96150001332190</v>
      </c>
      <c r="B2805" s="136" t="s">
        <v>11850</v>
      </c>
      <c r="C2805" s="136" t="s">
        <v>9114</v>
      </c>
      <c r="D2805" s="132" t="s">
        <v>4971</v>
      </c>
      <c r="E2805" s="136" t="s">
        <v>5379</v>
      </c>
      <c r="F2805" s="136" t="s">
        <v>5379</v>
      </c>
      <c r="G2805" s="143" t="s">
        <v>5752</v>
      </c>
      <c r="H2805" s="138" t="s">
        <v>6298</v>
      </c>
      <c r="I2805" s="136">
        <v>961500013</v>
      </c>
      <c r="J2805" s="131" t="s">
        <v>5187</v>
      </c>
      <c r="K2805" s="139">
        <v>32190</v>
      </c>
    </row>
    <row r="2806" spans="1:11">
      <c r="A2806" s="1" t="str">
        <f t="shared" si="43"/>
        <v>50100-875858996-96150009337878</v>
      </c>
      <c r="B2806" s="136" t="s">
        <v>11850</v>
      </c>
      <c r="C2806" s="136" t="s">
        <v>9114</v>
      </c>
      <c r="D2806" s="132" t="s">
        <v>4971</v>
      </c>
      <c r="E2806" s="136" t="s">
        <v>5379</v>
      </c>
      <c r="F2806" s="136" t="s">
        <v>5379</v>
      </c>
      <c r="G2806" s="143" t="s">
        <v>5762</v>
      </c>
      <c r="H2806" s="138" t="s">
        <v>6298</v>
      </c>
      <c r="I2806" s="136">
        <v>961500093</v>
      </c>
      <c r="J2806" s="131" t="s">
        <v>5291</v>
      </c>
      <c r="K2806" s="139">
        <v>37878</v>
      </c>
    </row>
    <row r="2807" spans="1:11">
      <c r="A2807" s="1" t="str">
        <f t="shared" si="43"/>
        <v>50100-875858996-96150009286680</v>
      </c>
      <c r="B2807" s="136" t="s">
        <v>11850</v>
      </c>
      <c r="C2807" s="136" t="s">
        <v>9114</v>
      </c>
      <c r="D2807" s="132" t="s">
        <v>4971</v>
      </c>
      <c r="E2807" s="136" t="s">
        <v>5379</v>
      </c>
      <c r="F2807" s="136" t="s">
        <v>5379</v>
      </c>
      <c r="G2807" s="143" t="s">
        <v>5762</v>
      </c>
      <c r="H2807" s="138" t="s">
        <v>6298</v>
      </c>
      <c r="I2807" s="136">
        <v>961500092</v>
      </c>
      <c r="J2807" s="131" t="s">
        <v>5290</v>
      </c>
      <c r="K2807" s="139">
        <v>86680</v>
      </c>
    </row>
    <row r="2808" spans="1:11">
      <c r="A2808" s="1" t="str">
        <f t="shared" si="43"/>
        <v>50100-876001196-9641000201402644</v>
      </c>
      <c r="B2808" s="136" t="s">
        <v>11851</v>
      </c>
      <c r="C2808" s="136" t="s">
        <v>9115</v>
      </c>
      <c r="D2808" s="132" t="s">
        <v>4971</v>
      </c>
      <c r="E2808" s="136" t="s">
        <v>5299</v>
      </c>
      <c r="F2808" s="136" t="s">
        <v>5299</v>
      </c>
      <c r="G2808" s="143" t="s">
        <v>5809</v>
      </c>
      <c r="H2808" s="138" t="s">
        <v>6452</v>
      </c>
      <c r="I2808" s="136">
        <v>964100020</v>
      </c>
      <c r="J2808" s="131" t="s">
        <v>5292</v>
      </c>
      <c r="K2808" s="139">
        <v>1402644</v>
      </c>
    </row>
    <row r="2809" spans="1:11">
      <c r="A2809" s="1" t="str">
        <f t="shared" si="43"/>
        <v>50100-877303096-96250000369304</v>
      </c>
      <c r="B2809" s="136" t="s">
        <v>11852</v>
      </c>
      <c r="C2809" s="136" t="s">
        <v>9116</v>
      </c>
      <c r="D2809" s="132" t="s">
        <v>4971</v>
      </c>
      <c r="E2809" s="136" t="s">
        <v>5364</v>
      </c>
      <c r="F2809" s="136" t="s">
        <v>5364</v>
      </c>
      <c r="G2809" s="143" t="s">
        <v>5710</v>
      </c>
      <c r="H2809" s="138" t="s">
        <v>10183</v>
      </c>
      <c r="I2809" s="136">
        <v>962500003</v>
      </c>
      <c r="J2809" s="131" t="s">
        <v>5028</v>
      </c>
      <c r="K2809" s="139">
        <v>69304</v>
      </c>
    </row>
    <row r="2810" spans="1:11">
      <c r="A2810" s="1" t="str">
        <f t="shared" si="43"/>
        <v>50100-877303096-962500023229696</v>
      </c>
      <c r="B2810" s="136" t="s">
        <v>11852</v>
      </c>
      <c r="C2810" s="136" t="s">
        <v>9116</v>
      </c>
      <c r="D2810" s="132" t="s">
        <v>4971</v>
      </c>
      <c r="E2810" s="136" t="s">
        <v>5364</v>
      </c>
      <c r="F2810" s="136" t="s">
        <v>5364</v>
      </c>
      <c r="G2810" s="137">
        <v>1396472577001</v>
      </c>
      <c r="H2810" s="140" t="s">
        <v>6452</v>
      </c>
      <c r="I2810" s="141">
        <v>962500023</v>
      </c>
      <c r="J2810" s="131" t="s">
        <v>5293</v>
      </c>
      <c r="K2810" s="139">
        <v>229696</v>
      </c>
    </row>
    <row r="2811" spans="1:11">
      <c r="A2811" s="1" t="str">
        <f t="shared" si="43"/>
        <v>50100-872583495-951500607210980</v>
      </c>
      <c r="B2811" s="136" t="s">
        <v>11853</v>
      </c>
      <c r="C2811" s="136" t="s">
        <v>9117</v>
      </c>
      <c r="D2811" s="132" t="s">
        <v>4971</v>
      </c>
      <c r="E2811" s="136" t="s">
        <v>5231</v>
      </c>
      <c r="F2811" s="136" t="s">
        <v>5231</v>
      </c>
      <c r="G2811" s="143" t="s">
        <v>5752</v>
      </c>
      <c r="H2811" s="138" t="s">
        <v>6298</v>
      </c>
      <c r="I2811" s="136">
        <v>951500607</v>
      </c>
      <c r="J2811" s="131" t="s">
        <v>5289</v>
      </c>
      <c r="K2811" s="139">
        <v>210980</v>
      </c>
    </row>
    <row r="2812" spans="1:11">
      <c r="A2812" s="1" t="str">
        <f t="shared" si="43"/>
        <v>50100-875858996-96150005180000</v>
      </c>
      <c r="B2812" s="136" t="s">
        <v>11850</v>
      </c>
      <c r="C2812" s="136" t="s">
        <v>9114</v>
      </c>
      <c r="D2812" s="132" t="s">
        <v>4971</v>
      </c>
      <c r="E2812" s="136" t="s">
        <v>5379</v>
      </c>
      <c r="F2812" s="136" t="s">
        <v>5379</v>
      </c>
      <c r="G2812" s="143" t="s">
        <v>5758</v>
      </c>
      <c r="H2812" s="138" t="s">
        <v>6298</v>
      </c>
      <c r="I2812" s="136">
        <v>961500051</v>
      </c>
      <c r="J2812" s="131" t="s">
        <v>5016</v>
      </c>
      <c r="K2812" s="139">
        <v>80000</v>
      </c>
    </row>
    <row r="2813" spans="1:11">
      <c r="A2813" s="1" t="str">
        <f t="shared" si="43"/>
        <v>50100-877028396-962500021494228</v>
      </c>
      <c r="B2813" s="136" t="s">
        <v>11854</v>
      </c>
      <c r="C2813" s="136" t="s">
        <v>9118</v>
      </c>
      <c r="D2813" s="132" t="s">
        <v>4971</v>
      </c>
      <c r="E2813" s="136" t="s">
        <v>5364</v>
      </c>
      <c r="F2813" s="136" t="s">
        <v>5364</v>
      </c>
      <c r="G2813" s="137">
        <v>1396472577001</v>
      </c>
      <c r="H2813" s="140" t="s">
        <v>6452</v>
      </c>
      <c r="I2813" s="141">
        <v>962500021</v>
      </c>
      <c r="J2813" s="131" t="s">
        <v>5294</v>
      </c>
      <c r="K2813" s="139">
        <v>494228</v>
      </c>
    </row>
    <row r="2814" spans="1:11">
      <c r="A2814" s="1" t="str">
        <f t="shared" si="43"/>
        <v>50100-877090296-961500098104500</v>
      </c>
      <c r="B2814" s="136" t="s">
        <v>11855</v>
      </c>
      <c r="C2814" s="136" t="s">
        <v>9119</v>
      </c>
      <c r="D2814" s="132" t="s">
        <v>4971</v>
      </c>
      <c r="E2814" s="136" t="s">
        <v>5364</v>
      </c>
      <c r="F2814" s="136" t="s">
        <v>5364</v>
      </c>
      <c r="G2814" s="143" t="s">
        <v>5762</v>
      </c>
      <c r="H2814" s="138" t="s">
        <v>6298</v>
      </c>
      <c r="I2814" s="136">
        <v>961500098</v>
      </c>
      <c r="J2814" s="131" t="s">
        <v>5284</v>
      </c>
      <c r="K2814" s="139">
        <v>104500</v>
      </c>
    </row>
    <row r="2815" spans="1:11">
      <c r="A2815" s="1" t="str">
        <f t="shared" si="43"/>
        <v>50100-875213296-9641000192755317</v>
      </c>
      <c r="B2815" s="136" t="s">
        <v>11856</v>
      </c>
      <c r="C2815" s="136" t="s">
        <v>9120</v>
      </c>
      <c r="D2815" s="132" t="s">
        <v>4971</v>
      </c>
      <c r="E2815" s="136" t="s">
        <v>5301</v>
      </c>
      <c r="F2815" s="136" t="s">
        <v>11857</v>
      </c>
      <c r="G2815" s="143" t="s">
        <v>5804</v>
      </c>
      <c r="H2815" s="138" t="s">
        <v>6452</v>
      </c>
      <c r="I2815" s="136">
        <v>964100019</v>
      </c>
      <c r="J2815" s="131" t="s">
        <v>5295</v>
      </c>
      <c r="K2815" s="139">
        <v>2755317</v>
      </c>
    </row>
    <row r="2816" spans="1:11">
      <c r="A2816" s="1" t="str">
        <f t="shared" si="43"/>
        <v>50100-877053196-962500021424190</v>
      </c>
      <c r="B2816" s="136" t="s">
        <v>11858</v>
      </c>
      <c r="C2816" s="136" t="s">
        <v>9121</v>
      </c>
      <c r="D2816" s="132" t="s">
        <v>4971</v>
      </c>
      <c r="E2816" s="136" t="s">
        <v>5364</v>
      </c>
      <c r="F2816" s="136" t="s">
        <v>5364</v>
      </c>
      <c r="G2816" s="137">
        <v>1396472577001</v>
      </c>
      <c r="H2816" s="140" t="s">
        <v>6452</v>
      </c>
      <c r="I2816" s="141">
        <v>962500021</v>
      </c>
      <c r="J2816" s="131" t="s">
        <v>5294</v>
      </c>
      <c r="K2816" s="139">
        <v>424190</v>
      </c>
    </row>
    <row r="2817" spans="1:11">
      <c r="A2817" s="1" t="str">
        <f t="shared" si="43"/>
        <v>50100-877053196-96250002370052</v>
      </c>
      <c r="B2817" s="136" t="s">
        <v>11858</v>
      </c>
      <c r="C2817" s="136" t="s">
        <v>9121</v>
      </c>
      <c r="D2817" s="132" t="s">
        <v>4971</v>
      </c>
      <c r="E2817" s="136" t="s">
        <v>5364</v>
      </c>
      <c r="F2817" s="136" t="s">
        <v>5364</v>
      </c>
      <c r="G2817" s="137">
        <v>1396472577001</v>
      </c>
      <c r="H2817" s="140" t="s">
        <v>6452</v>
      </c>
      <c r="I2817" s="141">
        <v>962500023</v>
      </c>
      <c r="J2817" s="131" t="s">
        <v>5293</v>
      </c>
      <c r="K2817" s="139">
        <v>70052</v>
      </c>
    </row>
    <row r="2818" spans="1:11">
      <c r="A2818" s="1" t="str">
        <f t="shared" si="43"/>
        <v>50100-875072396-9625000201096480</v>
      </c>
      <c r="B2818" s="136" t="s">
        <v>11859</v>
      </c>
      <c r="C2818" s="136" t="s">
        <v>9122</v>
      </c>
      <c r="D2818" s="132" t="s">
        <v>4971</v>
      </c>
      <c r="E2818" s="136" t="s">
        <v>5301</v>
      </c>
      <c r="F2818" s="136" t="s">
        <v>5301</v>
      </c>
      <c r="G2818" s="137" t="s">
        <v>5781</v>
      </c>
      <c r="H2818" s="140" t="s">
        <v>6456</v>
      </c>
      <c r="I2818" s="141">
        <v>962500020</v>
      </c>
      <c r="J2818" s="131" t="s">
        <v>5296</v>
      </c>
      <c r="K2818" s="142">
        <v>1096480</v>
      </c>
    </row>
    <row r="2819" spans="1:11">
      <c r="A2819" s="1" t="str">
        <f t="shared" ref="A2819:A2882" si="44">B2819&amp;J2819&amp;K2819</f>
        <v>50100-871224596-9641000172834136</v>
      </c>
      <c r="B2819" s="136" t="s">
        <v>11860</v>
      </c>
      <c r="C2819" s="136" t="s">
        <v>9123</v>
      </c>
      <c r="D2819" s="132" t="s">
        <v>4971</v>
      </c>
      <c r="E2819" s="136" t="s">
        <v>5270</v>
      </c>
      <c r="F2819" s="136" t="s">
        <v>5270</v>
      </c>
      <c r="G2819" s="143" t="s">
        <v>5804</v>
      </c>
      <c r="H2819" s="138" t="s">
        <v>6452</v>
      </c>
      <c r="I2819" s="136">
        <v>964100017</v>
      </c>
      <c r="J2819" s="131" t="s">
        <v>5297</v>
      </c>
      <c r="K2819" s="139">
        <v>2834136</v>
      </c>
    </row>
    <row r="2820" spans="1:11">
      <c r="A2820" s="1" t="str">
        <f t="shared" si="44"/>
        <v>50100-871948096-9641000181493008</v>
      </c>
      <c r="B2820" s="136" t="s">
        <v>11861</v>
      </c>
      <c r="C2820" s="136" t="s">
        <v>9124</v>
      </c>
      <c r="D2820" s="132" t="s">
        <v>4971</v>
      </c>
      <c r="E2820" s="136" t="s">
        <v>5302</v>
      </c>
      <c r="F2820" s="136" t="s">
        <v>5302</v>
      </c>
      <c r="G2820" s="143" t="s">
        <v>5804</v>
      </c>
      <c r="H2820" s="138" t="s">
        <v>6452</v>
      </c>
      <c r="I2820" s="136">
        <v>964100018</v>
      </c>
      <c r="J2820" s="131" t="s">
        <v>5298</v>
      </c>
      <c r="K2820" s="139">
        <v>1493008</v>
      </c>
    </row>
    <row r="2821" spans="1:11">
      <c r="A2821" s="1" t="str">
        <f t="shared" si="44"/>
        <v>15100-42924495-951500524102820</v>
      </c>
      <c r="B2821" s="136" t="s">
        <v>5332</v>
      </c>
      <c r="C2821" s="136" t="s">
        <v>9141</v>
      </c>
      <c r="D2821" s="132" t="s">
        <v>4971</v>
      </c>
      <c r="E2821" s="136" t="s">
        <v>5364</v>
      </c>
      <c r="F2821" s="136" t="s">
        <v>5364</v>
      </c>
      <c r="G2821" s="136" t="s">
        <v>5715</v>
      </c>
      <c r="H2821" s="138" t="s">
        <v>6301</v>
      </c>
      <c r="I2821" s="136">
        <v>951500524</v>
      </c>
      <c r="J2821" s="131" t="s">
        <v>4509</v>
      </c>
      <c r="K2821" s="139">
        <v>102820</v>
      </c>
    </row>
    <row r="2822" spans="1:11">
      <c r="A2822" s="1" t="str">
        <f t="shared" si="44"/>
        <v>15100-42652596-96150014246350</v>
      </c>
      <c r="B2822" s="136" t="s">
        <v>5333</v>
      </c>
      <c r="C2822" s="136" t="s">
        <v>9142</v>
      </c>
      <c r="D2822" s="132" t="s">
        <v>4971</v>
      </c>
      <c r="E2822" s="136" t="s">
        <v>5301</v>
      </c>
      <c r="F2822" s="136" t="s">
        <v>5301</v>
      </c>
      <c r="G2822" s="136" t="s">
        <v>5803</v>
      </c>
      <c r="H2822" s="138" t="s">
        <v>6300</v>
      </c>
      <c r="I2822" s="136">
        <v>961500142</v>
      </c>
      <c r="J2822" s="131" t="s">
        <v>5369</v>
      </c>
      <c r="K2822" s="139">
        <v>46350</v>
      </c>
    </row>
    <row r="2823" spans="1:11">
      <c r="A2823" s="1" t="str">
        <f t="shared" si="44"/>
        <v>15100-42652596-96150010948780</v>
      </c>
      <c r="B2823" s="136" t="s">
        <v>5333</v>
      </c>
      <c r="C2823" s="136" t="s">
        <v>9142</v>
      </c>
      <c r="D2823" s="132" t="s">
        <v>4971</v>
      </c>
      <c r="E2823" s="136" t="s">
        <v>5301</v>
      </c>
      <c r="F2823" s="136" t="s">
        <v>5301</v>
      </c>
      <c r="G2823" s="136" t="s">
        <v>5801</v>
      </c>
      <c r="H2823" s="138" t="s">
        <v>6300</v>
      </c>
      <c r="I2823" s="136">
        <v>961500109</v>
      </c>
      <c r="J2823" s="131" t="s">
        <v>5228</v>
      </c>
      <c r="K2823" s="139">
        <v>48780</v>
      </c>
    </row>
    <row r="2824" spans="1:11">
      <c r="A2824" s="1" t="str">
        <f t="shared" si="44"/>
        <v>15100-42867296-96150015295540</v>
      </c>
      <c r="B2824" s="136" t="s">
        <v>5334</v>
      </c>
      <c r="C2824" s="136" t="s">
        <v>9143</v>
      </c>
      <c r="D2824" s="132" t="s">
        <v>4971</v>
      </c>
      <c r="E2824" s="136" t="s">
        <v>5365</v>
      </c>
      <c r="F2824" s="136" t="s">
        <v>5365</v>
      </c>
      <c r="G2824" s="136" t="s">
        <v>5799</v>
      </c>
      <c r="H2824" s="138" t="s">
        <v>6298</v>
      </c>
      <c r="I2824" s="136">
        <v>961500152</v>
      </c>
      <c r="J2824" s="131" t="s">
        <v>5370</v>
      </c>
      <c r="K2824" s="139">
        <v>95540</v>
      </c>
    </row>
    <row r="2825" spans="1:11">
      <c r="A2825" s="1" t="str">
        <f t="shared" si="44"/>
        <v>15100-42937096-96150015250620</v>
      </c>
      <c r="B2825" s="136" t="s">
        <v>5335</v>
      </c>
      <c r="C2825" s="136" t="s">
        <v>9144</v>
      </c>
      <c r="D2825" s="132" t="s">
        <v>4971</v>
      </c>
      <c r="E2825" s="136" t="s">
        <v>5364</v>
      </c>
      <c r="F2825" s="136" t="s">
        <v>5364</v>
      </c>
      <c r="G2825" s="136" t="s">
        <v>5799</v>
      </c>
      <c r="H2825" s="138" t="s">
        <v>6298</v>
      </c>
      <c r="I2825" s="136">
        <v>961500152</v>
      </c>
      <c r="J2825" s="131" t="s">
        <v>5370</v>
      </c>
      <c r="K2825" s="139">
        <v>50620</v>
      </c>
    </row>
    <row r="2826" spans="1:11">
      <c r="A2826" s="1" t="str">
        <f t="shared" si="44"/>
        <v>15100-42653495-9515005778920</v>
      </c>
      <c r="B2826" s="136" t="s">
        <v>5336</v>
      </c>
      <c r="C2826" s="136" t="s">
        <v>9145</v>
      </c>
      <c r="D2826" s="132" t="s">
        <v>4971</v>
      </c>
      <c r="E2826" s="136" t="s">
        <v>5301</v>
      </c>
      <c r="F2826" s="136" t="s">
        <v>5301</v>
      </c>
      <c r="G2826" s="136" t="s">
        <v>5733</v>
      </c>
      <c r="H2826" s="138" t="s">
        <v>6298</v>
      </c>
      <c r="I2826" s="136">
        <v>951500577</v>
      </c>
      <c r="J2826" s="131" t="s">
        <v>4890</v>
      </c>
      <c r="K2826" s="139">
        <v>8920</v>
      </c>
    </row>
    <row r="2827" spans="1:11">
      <c r="A2827" s="1" t="str">
        <f t="shared" si="44"/>
        <v>15100-42721396-96150014932890</v>
      </c>
      <c r="B2827" s="136" t="s">
        <v>6173</v>
      </c>
      <c r="C2827" s="141" t="s">
        <v>9393</v>
      </c>
      <c r="D2827" s="132" t="s">
        <v>4971</v>
      </c>
      <c r="E2827" s="136" t="s">
        <v>5379</v>
      </c>
      <c r="F2827" s="136" t="s">
        <v>5379</v>
      </c>
      <c r="G2827" s="136" t="s">
        <v>5789</v>
      </c>
      <c r="H2827" s="138" t="s">
        <v>6300</v>
      </c>
      <c r="I2827" s="136">
        <v>961500149</v>
      </c>
      <c r="J2827" s="131" t="s">
        <v>5373</v>
      </c>
      <c r="K2827" s="139">
        <v>32890</v>
      </c>
    </row>
    <row r="2828" spans="1:11">
      <c r="A2828" s="1" t="str">
        <f t="shared" si="44"/>
        <v>15100-42782296-96150014969860</v>
      </c>
      <c r="B2828" s="136" t="s">
        <v>6175</v>
      </c>
      <c r="C2828" s="141" t="s">
        <v>9395</v>
      </c>
      <c r="D2828" s="132" t="s">
        <v>4971</v>
      </c>
      <c r="E2828" s="136" t="s">
        <v>5299</v>
      </c>
      <c r="F2828" s="136" t="s">
        <v>5299</v>
      </c>
      <c r="G2828" s="136" t="s">
        <v>5789</v>
      </c>
      <c r="H2828" s="138" t="s">
        <v>6300</v>
      </c>
      <c r="I2828" s="136">
        <v>961500149</v>
      </c>
      <c r="J2828" s="131" t="s">
        <v>5373</v>
      </c>
      <c r="K2828" s="139">
        <v>69860</v>
      </c>
    </row>
    <row r="2829" spans="1:11">
      <c r="A2829" s="1" t="str">
        <f t="shared" si="44"/>
        <v>15100-42924496-961500038101760</v>
      </c>
      <c r="B2829" s="136" t="s">
        <v>5332</v>
      </c>
      <c r="C2829" s="136" t="s">
        <v>9141</v>
      </c>
      <c r="D2829" s="132" t="s">
        <v>4971</v>
      </c>
      <c r="E2829" s="136" t="s">
        <v>5364</v>
      </c>
      <c r="F2829" s="136" t="s">
        <v>5364</v>
      </c>
      <c r="G2829" s="136" t="s">
        <v>5758</v>
      </c>
      <c r="H2829" s="138" t="s">
        <v>6298</v>
      </c>
      <c r="I2829" s="136">
        <v>961500038</v>
      </c>
      <c r="J2829" s="131" t="s">
        <v>5279</v>
      </c>
      <c r="K2829" s="139">
        <v>101760</v>
      </c>
    </row>
    <row r="2830" spans="1:11">
      <c r="A2830" s="1" t="str">
        <f t="shared" si="44"/>
        <v>15100-42721396-96150014235730</v>
      </c>
      <c r="B2830" s="136" t="s">
        <v>6173</v>
      </c>
      <c r="C2830" s="141" t="s">
        <v>9393</v>
      </c>
      <c r="D2830" s="132" t="s">
        <v>4971</v>
      </c>
      <c r="E2830" s="136" t="s">
        <v>5379</v>
      </c>
      <c r="F2830" s="136" t="s">
        <v>5379</v>
      </c>
      <c r="G2830" s="136" t="s">
        <v>5803</v>
      </c>
      <c r="H2830" s="138" t="s">
        <v>6300</v>
      </c>
      <c r="I2830" s="136">
        <v>961500142</v>
      </c>
      <c r="J2830" s="131" t="s">
        <v>5369</v>
      </c>
      <c r="K2830" s="139">
        <v>35730</v>
      </c>
    </row>
    <row r="2831" spans="1:11">
      <c r="A2831" s="1" t="str">
        <f t="shared" si="44"/>
        <v>15100-42916896-96150014951720</v>
      </c>
      <c r="B2831" s="136" t="s">
        <v>6176</v>
      </c>
      <c r="C2831" s="141" t="s">
        <v>9396</v>
      </c>
      <c r="D2831" s="132" t="s">
        <v>4971</v>
      </c>
      <c r="E2831" s="136" t="s">
        <v>5364</v>
      </c>
      <c r="F2831" s="136" t="s">
        <v>5364</v>
      </c>
      <c r="G2831" s="136" t="s">
        <v>5789</v>
      </c>
      <c r="H2831" s="138" t="s">
        <v>6300</v>
      </c>
      <c r="I2831" s="136">
        <v>961500149</v>
      </c>
      <c r="J2831" s="131" t="s">
        <v>5373</v>
      </c>
      <c r="K2831" s="139">
        <v>51720</v>
      </c>
    </row>
    <row r="2832" spans="1:11">
      <c r="A2832" s="1" t="str">
        <f t="shared" si="44"/>
        <v>15100-42918396-96150014775090</v>
      </c>
      <c r="B2832" s="136" t="s">
        <v>6177</v>
      </c>
      <c r="C2832" s="141" t="s">
        <v>9397</v>
      </c>
      <c r="D2832" s="132" t="s">
        <v>4971</v>
      </c>
      <c r="E2832" s="136" t="s">
        <v>5364</v>
      </c>
      <c r="F2832" s="136" t="s">
        <v>5364</v>
      </c>
      <c r="G2832" s="136" t="s">
        <v>5799</v>
      </c>
      <c r="H2832" s="138" t="s">
        <v>6298</v>
      </c>
      <c r="I2832" s="136">
        <v>961500147</v>
      </c>
      <c r="J2832" s="131" t="s">
        <v>5435</v>
      </c>
      <c r="K2832" s="139">
        <v>75090</v>
      </c>
    </row>
    <row r="2833" spans="1:11">
      <c r="A2833" s="1" t="str">
        <f t="shared" si="44"/>
        <v>15100-42787996-961500038101110</v>
      </c>
      <c r="B2833" s="136" t="s">
        <v>5337</v>
      </c>
      <c r="C2833" s="136" t="s">
        <v>9146</v>
      </c>
      <c r="D2833" s="132" t="s">
        <v>4971</v>
      </c>
      <c r="E2833" s="136" t="s">
        <v>5299</v>
      </c>
      <c r="F2833" s="136" t="s">
        <v>5299</v>
      </c>
      <c r="G2833" s="136" t="s">
        <v>5758</v>
      </c>
      <c r="H2833" s="138" t="s">
        <v>6298</v>
      </c>
      <c r="I2833" s="136">
        <v>961500038</v>
      </c>
      <c r="J2833" s="131" t="s">
        <v>5279</v>
      </c>
      <c r="K2833" s="139">
        <v>101110</v>
      </c>
    </row>
    <row r="2834" spans="1:11">
      <c r="A2834" s="1" t="str">
        <f t="shared" si="44"/>
        <v>15100-42721996-96150014969830</v>
      </c>
      <c r="B2834" s="136" t="s">
        <v>6174</v>
      </c>
      <c r="C2834" s="141" t="s">
        <v>9394</v>
      </c>
      <c r="D2834" s="132" t="s">
        <v>4971</v>
      </c>
      <c r="E2834" s="136" t="s">
        <v>5379</v>
      </c>
      <c r="F2834" s="136" t="s">
        <v>5379</v>
      </c>
      <c r="G2834" s="136" t="s">
        <v>5789</v>
      </c>
      <c r="H2834" s="138" t="s">
        <v>6300</v>
      </c>
      <c r="I2834" s="136">
        <v>961500149</v>
      </c>
      <c r="J2834" s="131" t="s">
        <v>5373</v>
      </c>
      <c r="K2834" s="139">
        <v>69830</v>
      </c>
    </row>
    <row r="2835" spans="1:11">
      <c r="A2835" s="1" t="str">
        <f t="shared" si="44"/>
        <v>15100-42867296-96150014450940</v>
      </c>
      <c r="B2835" s="136" t="s">
        <v>5334</v>
      </c>
      <c r="C2835" s="136" t="s">
        <v>9143</v>
      </c>
      <c r="D2835" s="132" t="s">
        <v>4971</v>
      </c>
      <c r="E2835" s="136" t="s">
        <v>5365</v>
      </c>
      <c r="F2835" s="136" t="s">
        <v>5365</v>
      </c>
      <c r="G2835" s="136" t="s">
        <v>5799</v>
      </c>
      <c r="H2835" s="138" t="s">
        <v>6298</v>
      </c>
      <c r="I2835" s="136">
        <v>961500144</v>
      </c>
      <c r="J2835" s="131" t="s">
        <v>5371</v>
      </c>
      <c r="K2835" s="139">
        <v>50940</v>
      </c>
    </row>
    <row r="2836" spans="1:11">
      <c r="A2836" s="1" t="str">
        <f t="shared" si="44"/>
        <v>15100-42653496-96150014486920</v>
      </c>
      <c r="B2836" s="136" t="s">
        <v>5336</v>
      </c>
      <c r="C2836" s="136" t="s">
        <v>9145</v>
      </c>
      <c r="D2836" s="132" t="s">
        <v>4971</v>
      </c>
      <c r="E2836" s="136" t="s">
        <v>5301</v>
      </c>
      <c r="F2836" s="136" t="s">
        <v>5301</v>
      </c>
      <c r="G2836" s="136" t="s">
        <v>5799</v>
      </c>
      <c r="H2836" s="138" t="s">
        <v>6298</v>
      </c>
      <c r="I2836" s="136">
        <v>961500144</v>
      </c>
      <c r="J2836" s="131" t="s">
        <v>5371</v>
      </c>
      <c r="K2836" s="139">
        <v>86920</v>
      </c>
    </row>
    <row r="2837" spans="1:11">
      <c r="A2837" s="1" t="str">
        <f t="shared" si="44"/>
        <v>15100-42587396-96150014497140</v>
      </c>
      <c r="B2837" s="136" t="s">
        <v>5338</v>
      </c>
      <c r="C2837" s="136" t="s">
        <v>9147</v>
      </c>
      <c r="D2837" s="132" t="s">
        <v>4971</v>
      </c>
      <c r="E2837" s="136" t="s">
        <v>5300</v>
      </c>
      <c r="F2837" s="136" t="s">
        <v>5300</v>
      </c>
      <c r="G2837" s="136" t="s">
        <v>5799</v>
      </c>
      <c r="H2837" s="138" t="s">
        <v>6298</v>
      </c>
      <c r="I2837" s="136">
        <v>961500144</v>
      </c>
      <c r="J2837" s="131" t="s">
        <v>5371</v>
      </c>
      <c r="K2837" s="139">
        <v>97140</v>
      </c>
    </row>
    <row r="2838" spans="1:11">
      <c r="A2838" s="1" t="str">
        <f t="shared" si="44"/>
        <v>15100-42916896-961500143100000</v>
      </c>
      <c r="B2838" s="136" t="s">
        <v>6176</v>
      </c>
      <c r="C2838" s="141" t="s">
        <v>9396</v>
      </c>
      <c r="D2838" s="132" t="s">
        <v>4971</v>
      </c>
      <c r="E2838" s="136" t="s">
        <v>5364</v>
      </c>
      <c r="F2838" s="136" t="s">
        <v>5364</v>
      </c>
      <c r="G2838" s="136" t="s">
        <v>5807</v>
      </c>
      <c r="H2838" s="138" t="s">
        <v>6300</v>
      </c>
      <c r="I2838" s="136">
        <v>961500143</v>
      </c>
      <c r="J2838" s="131" t="s">
        <v>5872</v>
      </c>
      <c r="K2838" s="139">
        <v>100000</v>
      </c>
    </row>
    <row r="2839" spans="1:11">
      <c r="A2839" s="1" t="str">
        <f t="shared" si="44"/>
        <v>15100-42451996-96150013145400</v>
      </c>
      <c r="B2839" s="136" t="s">
        <v>5339</v>
      </c>
      <c r="C2839" s="136" t="s">
        <v>9148</v>
      </c>
      <c r="D2839" s="132" t="s">
        <v>4971</v>
      </c>
      <c r="E2839" s="136" t="s">
        <v>5366</v>
      </c>
      <c r="F2839" s="136" t="s">
        <v>5366</v>
      </c>
      <c r="G2839" s="136" t="s">
        <v>5799</v>
      </c>
      <c r="H2839" s="138" t="s">
        <v>6298</v>
      </c>
      <c r="I2839" s="136">
        <v>961500131</v>
      </c>
      <c r="J2839" s="131" t="s">
        <v>5372</v>
      </c>
      <c r="K2839" s="139">
        <v>45400</v>
      </c>
    </row>
    <row r="2840" spans="1:11">
      <c r="A2840" s="1" t="str">
        <f t="shared" si="44"/>
        <v>15100-42639996-96150014222540</v>
      </c>
      <c r="B2840" s="136" t="s">
        <v>5340</v>
      </c>
      <c r="C2840" s="136" t="s">
        <v>9149</v>
      </c>
      <c r="D2840" s="132" t="s">
        <v>4971</v>
      </c>
      <c r="E2840" s="136" t="s">
        <v>5301</v>
      </c>
      <c r="F2840" s="136" t="s">
        <v>5301</v>
      </c>
      <c r="G2840" s="136" t="s">
        <v>5803</v>
      </c>
      <c r="H2840" s="138" t="s">
        <v>6300</v>
      </c>
      <c r="I2840" s="136">
        <v>961500142</v>
      </c>
      <c r="J2840" s="131" t="s">
        <v>5369</v>
      </c>
      <c r="K2840" s="139">
        <v>22540</v>
      </c>
    </row>
    <row r="2841" spans="1:11">
      <c r="A2841" s="1" t="str">
        <f t="shared" si="44"/>
        <v>15100-42788996-96150014446800</v>
      </c>
      <c r="B2841" s="136" t="s">
        <v>5341</v>
      </c>
      <c r="C2841" s="136" t="s">
        <v>9150</v>
      </c>
      <c r="D2841" s="132" t="s">
        <v>4971</v>
      </c>
      <c r="E2841" s="136" t="s">
        <v>5299</v>
      </c>
      <c r="F2841" s="136" t="s">
        <v>5299</v>
      </c>
      <c r="G2841" s="136" t="s">
        <v>5799</v>
      </c>
      <c r="H2841" s="138" t="s">
        <v>6298</v>
      </c>
      <c r="I2841" s="136">
        <v>961500144</v>
      </c>
      <c r="J2841" s="131" t="s">
        <v>5371</v>
      </c>
      <c r="K2841" s="139">
        <v>46800</v>
      </c>
    </row>
    <row r="2842" spans="1:11">
      <c r="A2842" s="1" t="str">
        <f t="shared" si="44"/>
        <v>15100-42519596-96150014448200</v>
      </c>
      <c r="B2842" s="136" t="s">
        <v>5342</v>
      </c>
      <c r="C2842" s="136" t="s">
        <v>9151</v>
      </c>
      <c r="D2842" s="132" t="s">
        <v>4971</v>
      </c>
      <c r="E2842" s="136" t="s">
        <v>5367</v>
      </c>
      <c r="F2842" s="136" t="s">
        <v>5367</v>
      </c>
      <c r="G2842" s="136" t="s">
        <v>5799</v>
      </c>
      <c r="H2842" s="138" t="s">
        <v>6298</v>
      </c>
      <c r="I2842" s="136">
        <v>961500144</v>
      </c>
      <c r="J2842" s="131" t="s">
        <v>5371</v>
      </c>
      <c r="K2842" s="139">
        <v>48200</v>
      </c>
    </row>
    <row r="2843" spans="1:11">
      <c r="A2843" s="1" t="str">
        <f t="shared" si="44"/>
        <v>15100-42851596-96150014970640</v>
      </c>
      <c r="B2843" s="136" t="s">
        <v>5343</v>
      </c>
      <c r="C2843" s="136" t="s">
        <v>9152</v>
      </c>
      <c r="D2843" s="132" t="s">
        <v>4971</v>
      </c>
      <c r="E2843" s="136" t="s">
        <v>5365</v>
      </c>
      <c r="F2843" s="136" t="s">
        <v>5365</v>
      </c>
      <c r="G2843" s="136" t="s">
        <v>5789</v>
      </c>
      <c r="H2843" s="138" t="s">
        <v>6300</v>
      </c>
      <c r="I2843" s="136">
        <v>961500149</v>
      </c>
      <c r="J2843" s="131" t="s">
        <v>5373</v>
      </c>
      <c r="K2843" s="139">
        <v>70640</v>
      </c>
    </row>
    <row r="2844" spans="1:11">
      <c r="A2844" s="1" t="str">
        <f t="shared" si="44"/>
        <v>15100-42918396-961500145161500</v>
      </c>
      <c r="B2844" s="136" t="s">
        <v>6177</v>
      </c>
      <c r="C2844" s="141" t="s">
        <v>9397</v>
      </c>
      <c r="D2844" s="132" t="s">
        <v>4971</v>
      </c>
      <c r="E2844" s="136" t="s">
        <v>5364</v>
      </c>
      <c r="F2844" s="136" t="s">
        <v>5364</v>
      </c>
      <c r="G2844" s="136" t="s">
        <v>5807</v>
      </c>
      <c r="H2844" s="138" t="s">
        <v>6300</v>
      </c>
      <c r="I2844" s="136">
        <v>961500145</v>
      </c>
      <c r="J2844" s="131" t="s">
        <v>5873</v>
      </c>
      <c r="K2844" s="139">
        <v>161500</v>
      </c>
    </row>
    <row r="2845" spans="1:11">
      <c r="A2845" s="1" t="str">
        <f t="shared" si="44"/>
        <v>15100-42515996-96150011910460</v>
      </c>
      <c r="B2845" s="136" t="s">
        <v>5344</v>
      </c>
      <c r="C2845" s="136" t="s">
        <v>9153</v>
      </c>
      <c r="D2845" s="132" t="s">
        <v>4971</v>
      </c>
      <c r="E2845" s="136" t="s">
        <v>5367</v>
      </c>
      <c r="F2845" s="136" t="s">
        <v>5367</v>
      </c>
      <c r="G2845" s="136" t="s">
        <v>5799</v>
      </c>
      <c r="H2845" s="138" t="s">
        <v>6298</v>
      </c>
      <c r="I2845" s="136">
        <v>961500119</v>
      </c>
      <c r="J2845" s="131" t="s">
        <v>5329</v>
      </c>
      <c r="K2845" s="139">
        <v>10460</v>
      </c>
    </row>
    <row r="2846" spans="1:11">
      <c r="A2846" s="1" t="str">
        <f t="shared" si="44"/>
        <v>15100-42515996-96150012942600</v>
      </c>
      <c r="B2846" s="136" t="s">
        <v>5344</v>
      </c>
      <c r="C2846" s="136" t="s">
        <v>9153</v>
      </c>
      <c r="D2846" s="132" t="s">
        <v>4971</v>
      </c>
      <c r="E2846" s="136" t="s">
        <v>5367</v>
      </c>
      <c r="F2846" s="136" t="s">
        <v>5367</v>
      </c>
      <c r="G2846" s="136" t="s">
        <v>5799</v>
      </c>
      <c r="H2846" s="138" t="s">
        <v>6298</v>
      </c>
      <c r="I2846" s="136">
        <v>961500129</v>
      </c>
      <c r="J2846" s="131" t="s">
        <v>5374</v>
      </c>
      <c r="K2846" s="139">
        <v>42600</v>
      </c>
    </row>
    <row r="2847" spans="1:11">
      <c r="A2847" s="1" t="str">
        <f t="shared" si="44"/>
        <v>15100-42925395-95150052450360</v>
      </c>
      <c r="B2847" s="136" t="s">
        <v>5345</v>
      </c>
      <c r="C2847" s="136" t="s">
        <v>9154</v>
      </c>
      <c r="D2847" s="132" t="s">
        <v>4971</v>
      </c>
      <c r="E2847" s="136" t="s">
        <v>5364</v>
      </c>
      <c r="F2847" s="136" t="s">
        <v>5364</v>
      </c>
      <c r="G2847" s="136" t="s">
        <v>5715</v>
      </c>
      <c r="H2847" s="138" t="s">
        <v>6301</v>
      </c>
      <c r="I2847" s="136">
        <v>951500524</v>
      </c>
      <c r="J2847" s="131" t="s">
        <v>4509</v>
      </c>
      <c r="K2847" s="139">
        <v>50360</v>
      </c>
    </row>
    <row r="2848" spans="1:11">
      <c r="A2848" s="1" t="str">
        <f t="shared" si="44"/>
        <v>15100-42916896-961500145203500</v>
      </c>
      <c r="B2848" s="136" t="s">
        <v>6176</v>
      </c>
      <c r="C2848" s="141" t="s">
        <v>9396</v>
      </c>
      <c r="D2848" s="132" t="s">
        <v>4971</v>
      </c>
      <c r="E2848" s="136" t="s">
        <v>5364</v>
      </c>
      <c r="F2848" s="136" t="s">
        <v>5364</v>
      </c>
      <c r="G2848" s="136" t="s">
        <v>5807</v>
      </c>
      <c r="H2848" s="138" t="s">
        <v>6300</v>
      </c>
      <c r="I2848" s="136">
        <v>961500145</v>
      </c>
      <c r="J2848" s="131" t="s">
        <v>5873</v>
      </c>
      <c r="K2848" s="139">
        <v>203500</v>
      </c>
    </row>
    <row r="2849" spans="1:11">
      <c r="A2849" s="1" t="str">
        <f t="shared" si="44"/>
        <v>15100-42515996-96150000722540</v>
      </c>
      <c r="B2849" s="136" t="s">
        <v>5344</v>
      </c>
      <c r="C2849" s="136" t="s">
        <v>9153</v>
      </c>
      <c r="D2849" s="132" t="s">
        <v>4971</v>
      </c>
      <c r="E2849" s="136" t="s">
        <v>5367</v>
      </c>
      <c r="F2849" s="136" t="s">
        <v>5367</v>
      </c>
      <c r="G2849" s="136" t="s">
        <v>5767</v>
      </c>
      <c r="H2849" s="138" t="s">
        <v>6299</v>
      </c>
      <c r="I2849" s="136">
        <v>961500007</v>
      </c>
      <c r="J2849" s="131" t="s">
        <v>5240</v>
      </c>
      <c r="K2849" s="139">
        <v>22540</v>
      </c>
    </row>
    <row r="2850" spans="1:11">
      <c r="A2850" s="1" t="str">
        <f t="shared" si="44"/>
        <v>15100-42583796-96150014246300</v>
      </c>
      <c r="B2850" s="136" t="s">
        <v>5346</v>
      </c>
      <c r="C2850" s="136" t="s">
        <v>9155</v>
      </c>
      <c r="D2850" s="132" t="s">
        <v>4971</v>
      </c>
      <c r="E2850" s="136" t="s">
        <v>5300</v>
      </c>
      <c r="F2850" s="136" t="s">
        <v>5300</v>
      </c>
      <c r="G2850" s="136" t="s">
        <v>5803</v>
      </c>
      <c r="H2850" s="138" t="s">
        <v>6300</v>
      </c>
      <c r="I2850" s="136">
        <v>961500142</v>
      </c>
      <c r="J2850" s="131" t="s">
        <v>5369</v>
      </c>
      <c r="K2850" s="139">
        <v>46300</v>
      </c>
    </row>
    <row r="2851" spans="1:11">
      <c r="A2851" s="1" t="str">
        <f t="shared" si="44"/>
        <v>15100-42582896-961500142245420</v>
      </c>
      <c r="B2851" s="136" t="s">
        <v>6171</v>
      </c>
      <c r="C2851" s="141" t="s">
        <v>9391</v>
      </c>
      <c r="D2851" s="132" t="s">
        <v>4971</v>
      </c>
      <c r="E2851" s="136" t="s">
        <v>5300</v>
      </c>
      <c r="F2851" s="136" t="s">
        <v>5300</v>
      </c>
      <c r="G2851" s="136" t="s">
        <v>5803</v>
      </c>
      <c r="H2851" s="138" t="s">
        <v>6300</v>
      </c>
      <c r="I2851" s="136">
        <v>961500142</v>
      </c>
      <c r="J2851" s="131" t="s">
        <v>5369</v>
      </c>
      <c r="K2851" s="139">
        <v>245420</v>
      </c>
    </row>
    <row r="2852" spans="1:11">
      <c r="A2852" s="1" t="str">
        <f t="shared" si="44"/>
        <v>15100-42854596-961500038318965</v>
      </c>
      <c r="B2852" s="136" t="s">
        <v>5347</v>
      </c>
      <c r="C2852" s="136" t="s">
        <v>9156</v>
      </c>
      <c r="D2852" s="132" t="s">
        <v>4971</v>
      </c>
      <c r="E2852" s="136" t="s">
        <v>5365</v>
      </c>
      <c r="F2852" s="136" t="s">
        <v>5365</v>
      </c>
      <c r="G2852" s="136" t="s">
        <v>5758</v>
      </c>
      <c r="H2852" s="138" t="s">
        <v>6298</v>
      </c>
      <c r="I2852" s="136">
        <v>961500038</v>
      </c>
      <c r="J2852" s="131" t="s">
        <v>5279</v>
      </c>
      <c r="K2852" s="139">
        <v>318965</v>
      </c>
    </row>
    <row r="2853" spans="1:11">
      <c r="A2853" s="1" t="str">
        <f t="shared" si="44"/>
        <v>15100-42584396-96150008476430</v>
      </c>
      <c r="B2853" s="136" t="s">
        <v>5348</v>
      </c>
      <c r="C2853" s="136" t="s">
        <v>9157</v>
      </c>
      <c r="D2853" s="132" t="s">
        <v>4971</v>
      </c>
      <c r="E2853" s="136" t="s">
        <v>5300</v>
      </c>
      <c r="F2853" s="136" t="s">
        <v>5300</v>
      </c>
      <c r="G2853" s="136" t="s">
        <v>5762</v>
      </c>
      <c r="H2853" s="138" t="s">
        <v>6298</v>
      </c>
      <c r="I2853" s="136">
        <v>961500084</v>
      </c>
      <c r="J2853" s="131" t="s">
        <v>5278</v>
      </c>
      <c r="K2853" s="139">
        <v>76430</v>
      </c>
    </row>
    <row r="2854" spans="1:11">
      <c r="A2854" s="1" t="str">
        <f t="shared" si="44"/>
        <v>15100-42453796-961500047169720</v>
      </c>
      <c r="B2854" s="136" t="s">
        <v>5349</v>
      </c>
      <c r="C2854" s="136" t="s">
        <v>9158</v>
      </c>
      <c r="D2854" s="132" t="s">
        <v>4971</v>
      </c>
      <c r="E2854" s="136" t="s">
        <v>5366</v>
      </c>
      <c r="F2854" s="141" t="s">
        <v>5366</v>
      </c>
      <c r="G2854" s="141" t="s">
        <v>5772</v>
      </c>
      <c r="H2854" s="140" t="s">
        <v>6454</v>
      </c>
      <c r="I2854" s="141">
        <v>961500047</v>
      </c>
      <c r="J2854" s="131" t="s">
        <v>5229</v>
      </c>
      <c r="K2854" s="142">
        <v>169720</v>
      </c>
    </row>
    <row r="2855" spans="1:11">
      <c r="A2855" s="1" t="str">
        <f t="shared" si="44"/>
        <v>15100-42453796-961500137318855</v>
      </c>
      <c r="B2855" s="136" t="s">
        <v>5349</v>
      </c>
      <c r="C2855" s="136" t="s">
        <v>9158</v>
      </c>
      <c r="D2855" s="132" t="s">
        <v>4971</v>
      </c>
      <c r="E2855" s="136" t="s">
        <v>5366</v>
      </c>
      <c r="F2855" s="136" t="s">
        <v>5366</v>
      </c>
      <c r="G2855" s="136" t="s">
        <v>5803</v>
      </c>
      <c r="H2855" s="138" t="s">
        <v>6300</v>
      </c>
      <c r="I2855" s="136">
        <v>961500137</v>
      </c>
      <c r="J2855" s="131" t="s">
        <v>5375</v>
      </c>
      <c r="K2855" s="139">
        <v>318855</v>
      </c>
    </row>
    <row r="2856" spans="1:11">
      <c r="A2856" s="1" t="str">
        <f t="shared" si="44"/>
        <v>15100-42452596-9615000483520</v>
      </c>
      <c r="B2856" s="136" t="s">
        <v>5350</v>
      </c>
      <c r="C2856" s="136" t="s">
        <v>9159</v>
      </c>
      <c r="D2856" s="132" t="s">
        <v>4971</v>
      </c>
      <c r="E2856" s="136" t="s">
        <v>5366</v>
      </c>
      <c r="F2856" s="136" t="s">
        <v>5366</v>
      </c>
      <c r="G2856" s="136" t="s">
        <v>5777</v>
      </c>
      <c r="H2856" s="138" t="s">
        <v>6300</v>
      </c>
      <c r="I2856" s="136">
        <v>961500048</v>
      </c>
      <c r="J2856" s="131" t="s">
        <v>5075</v>
      </c>
      <c r="K2856" s="139">
        <v>3520</v>
      </c>
    </row>
    <row r="2857" spans="1:11">
      <c r="A2857" s="1" t="str">
        <f t="shared" si="44"/>
        <v>15100-42394296-96150003875620</v>
      </c>
      <c r="B2857" s="136" t="s">
        <v>5351</v>
      </c>
      <c r="C2857" s="136" t="s">
        <v>9160</v>
      </c>
      <c r="D2857" s="132" t="s">
        <v>4971</v>
      </c>
      <c r="E2857" s="136" t="s">
        <v>5368</v>
      </c>
      <c r="F2857" s="136" t="s">
        <v>5368</v>
      </c>
      <c r="G2857" s="136" t="s">
        <v>5758</v>
      </c>
      <c r="H2857" s="138" t="s">
        <v>6298</v>
      </c>
      <c r="I2857" s="136">
        <v>961500038</v>
      </c>
      <c r="J2857" s="131" t="s">
        <v>5279</v>
      </c>
      <c r="K2857" s="139">
        <v>75620</v>
      </c>
    </row>
    <row r="2858" spans="1:11">
      <c r="A2858" s="1" t="str">
        <f t="shared" si="44"/>
        <v>15100-42259896-96150003871710</v>
      </c>
      <c r="B2858" s="136" t="s">
        <v>5352</v>
      </c>
      <c r="C2858" s="136" t="s">
        <v>9161</v>
      </c>
      <c r="D2858" s="132" t="s">
        <v>4971</v>
      </c>
      <c r="E2858" s="136" t="s">
        <v>5302</v>
      </c>
      <c r="F2858" s="136" t="s">
        <v>5302</v>
      </c>
      <c r="G2858" s="136" t="s">
        <v>5758</v>
      </c>
      <c r="H2858" s="138" t="s">
        <v>6298</v>
      </c>
      <c r="I2858" s="136">
        <v>961500038</v>
      </c>
      <c r="J2858" s="131" t="s">
        <v>5279</v>
      </c>
      <c r="K2858" s="139">
        <v>71710</v>
      </c>
    </row>
    <row r="2859" spans="1:11">
      <c r="A2859" s="1" t="str">
        <f t="shared" si="44"/>
        <v>15100-42452596-961500038245665</v>
      </c>
      <c r="B2859" s="136" t="s">
        <v>5350</v>
      </c>
      <c r="C2859" s="136" t="s">
        <v>9159</v>
      </c>
      <c r="D2859" s="132" t="s">
        <v>4971</v>
      </c>
      <c r="E2859" s="136" t="s">
        <v>5366</v>
      </c>
      <c r="F2859" s="136" t="s">
        <v>5366</v>
      </c>
      <c r="G2859" s="136" t="s">
        <v>5758</v>
      </c>
      <c r="H2859" s="138" t="s">
        <v>6298</v>
      </c>
      <c r="I2859" s="136">
        <v>961500038</v>
      </c>
      <c r="J2859" s="131" t="s">
        <v>5279</v>
      </c>
      <c r="K2859" s="139">
        <v>245665</v>
      </c>
    </row>
    <row r="2860" spans="1:11">
      <c r="A2860" s="1" t="str">
        <f t="shared" si="44"/>
        <v>15100-42638796-961500142303660</v>
      </c>
      <c r="B2860" s="136" t="s">
        <v>5353</v>
      </c>
      <c r="C2860" s="136" t="s">
        <v>9162</v>
      </c>
      <c r="D2860" s="132" t="s">
        <v>4971</v>
      </c>
      <c r="E2860" s="136" t="s">
        <v>5301</v>
      </c>
      <c r="F2860" s="136" t="s">
        <v>5301</v>
      </c>
      <c r="G2860" s="136" t="s">
        <v>5803</v>
      </c>
      <c r="H2860" s="138" t="s">
        <v>6300</v>
      </c>
      <c r="I2860" s="136">
        <v>961500142</v>
      </c>
      <c r="J2860" s="131" t="s">
        <v>5369</v>
      </c>
      <c r="K2860" s="139">
        <v>303660</v>
      </c>
    </row>
    <row r="2861" spans="1:11">
      <c r="A2861" s="1" t="str">
        <f t="shared" si="44"/>
        <v>15100-42453796-96150013886645</v>
      </c>
      <c r="B2861" s="136" t="s">
        <v>5349</v>
      </c>
      <c r="C2861" s="136" t="s">
        <v>9158</v>
      </c>
      <c r="D2861" s="132" t="s">
        <v>4971</v>
      </c>
      <c r="E2861" s="136" t="s">
        <v>5366</v>
      </c>
      <c r="F2861" s="136" t="s">
        <v>5366</v>
      </c>
      <c r="G2861" s="136" t="s">
        <v>5803</v>
      </c>
      <c r="H2861" s="138" t="s">
        <v>6300</v>
      </c>
      <c r="I2861" s="136">
        <v>961500138</v>
      </c>
      <c r="J2861" s="131" t="s">
        <v>5376</v>
      </c>
      <c r="K2861" s="139">
        <v>86645</v>
      </c>
    </row>
    <row r="2862" spans="1:11">
      <c r="A2862" s="1" t="str">
        <f t="shared" si="44"/>
        <v>15100-42257196-96150013473340</v>
      </c>
      <c r="B2862" s="136" t="s">
        <v>6169</v>
      </c>
      <c r="C2862" s="141" t="s">
        <v>9389</v>
      </c>
      <c r="D2862" s="132" t="s">
        <v>4971</v>
      </c>
      <c r="E2862" s="136" t="s">
        <v>5302</v>
      </c>
      <c r="F2862" s="136" t="s">
        <v>5302</v>
      </c>
      <c r="G2862" s="136" t="s">
        <v>5803</v>
      </c>
      <c r="H2862" s="138" t="s">
        <v>6300</v>
      </c>
      <c r="I2862" s="136">
        <v>961500134</v>
      </c>
      <c r="J2862" s="131" t="s">
        <v>5324</v>
      </c>
      <c r="K2862" s="139">
        <v>73340</v>
      </c>
    </row>
    <row r="2863" spans="1:11">
      <c r="A2863" s="1" t="str">
        <f t="shared" si="44"/>
        <v>15100-42259896-96150004829300</v>
      </c>
      <c r="B2863" s="136" t="s">
        <v>5352</v>
      </c>
      <c r="C2863" s="136" t="s">
        <v>9161</v>
      </c>
      <c r="D2863" s="132" t="s">
        <v>4971</v>
      </c>
      <c r="E2863" s="136" t="s">
        <v>5302</v>
      </c>
      <c r="F2863" s="136" t="s">
        <v>5302</v>
      </c>
      <c r="G2863" s="136" t="s">
        <v>5777</v>
      </c>
      <c r="H2863" s="138" t="s">
        <v>6300</v>
      </c>
      <c r="I2863" s="136">
        <v>961500048</v>
      </c>
      <c r="J2863" s="131" t="s">
        <v>5075</v>
      </c>
      <c r="K2863" s="139">
        <v>29300</v>
      </c>
    </row>
    <row r="2864" spans="1:11">
      <c r="A2864" s="1" t="str">
        <f t="shared" si="44"/>
        <v>15100-42586196-96150004771525</v>
      </c>
      <c r="B2864" s="136" t="s">
        <v>6172</v>
      </c>
      <c r="C2864" s="141" t="s">
        <v>9392</v>
      </c>
      <c r="D2864" s="132" t="s">
        <v>4971</v>
      </c>
      <c r="E2864" s="136" t="s">
        <v>5300</v>
      </c>
      <c r="F2864" s="141" t="s">
        <v>5300</v>
      </c>
      <c r="G2864" s="141" t="s">
        <v>5772</v>
      </c>
      <c r="H2864" s="140" t="s">
        <v>6454</v>
      </c>
      <c r="I2864" s="141">
        <v>961500047</v>
      </c>
      <c r="J2864" s="131" t="s">
        <v>5229</v>
      </c>
      <c r="K2864" s="142">
        <v>71525</v>
      </c>
    </row>
    <row r="2865" spans="1:11">
      <c r="A2865" s="1" t="str">
        <f t="shared" si="44"/>
        <v>15100-42255696-96150013496400</v>
      </c>
      <c r="B2865" s="136" t="s">
        <v>5354</v>
      </c>
      <c r="C2865" s="136" t="s">
        <v>9163</v>
      </c>
      <c r="D2865" s="132" t="s">
        <v>4971</v>
      </c>
      <c r="E2865" s="136" t="s">
        <v>5302</v>
      </c>
      <c r="F2865" s="136" t="s">
        <v>5302</v>
      </c>
      <c r="G2865" s="136" t="s">
        <v>5803</v>
      </c>
      <c r="H2865" s="138" t="s">
        <v>6300</v>
      </c>
      <c r="I2865" s="136">
        <v>961500134</v>
      </c>
      <c r="J2865" s="131" t="s">
        <v>5324</v>
      </c>
      <c r="K2865" s="139">
        <v>96400</v>
      </c>
    </row>
    <row r="2866" spans="1:11">
      <c r="A2866" s="1" t="str">
        <f t="shared" si="44"/>
        <v>15100-42255696-96150004768880</v>
      </c>
      <c r="B2866" s="136" t="s">
        <v>5354</v>
      </c>
      <c r="C2866" s="136" t="s">
        <v>9163</v>
      </c>
      <c r="D2866" s="132" t="s">
        <v>4971</v>
      </c>
      <c r="E2866" s="136" t="s">
        <v>5302</v>
      </c>
      <c r="F2866" s="141" t="s">
        <v>5302</v>
      </c>
      <c r="G2866" s="141" t="s">
        <v>5772</v>
      </c>
      <c r="H2866" s="140" t="s">
        <v>6454</v>
      </c>
      <c r="I2866" s="141">
        <v>961500047</v>
      </c>
      <c r="J2866" s="131" t="s">
        <v>5229</v>
      </c>
      <c r="K2866" s="142">
        <v>68880</v>
      </c>
    </row>
    <row r="2867" spans="1:11">
      <c r="A2867" s="1" t="str">
        <f t="shared" si="44"/>
        <v>15100-42517496-96150012657960</v>
      </c>
      <c r="B2867" s="136" t="s">
        <v>6170</v>
      </c>
      <c r="C2867" s="141" t="s">
        <v>9390</v>
      </c>
      <c r="D2867" s="132" t="s">
        <v>4971</v>
      </c>
      <c r="E2867" s="136" t="s">
        <v>5367</v>
      </c>
      <c r="F2867" s="136" t="s">
        <v>5367</v>
      </c>
      <c r="G2867" s="136" t="s">
        <v>5806</v>
      </c>
      <c r="H2867" s="138" t="s">
        <v>6299</v>
      </c>
      <c r="I2867" s="136">
        <v>961500126</v>
      </c>
      <c r="J2867" s="131" t="s">
        <v>5867</v>
      </c>
      <c r="K2867" s="139">
        <v>57960</v>
      </c>
    </row>
    <row r="2868" spans="1:11">
      <c r="A2868" s="1" t="str">
        <f t="shared" si="44"/>
        <v>15100-42517496-96150013992265</v>
      </c>
      <c r="B2868" s="136" t="s">
        <v>6170</v>
      </c>
      <c r="C2868" s="141" t="s">
        <v>9390</v>
      </c>
      <c r="D2868" s="132" t="s">
        <v>4971</v>
      </c>
      <c r="E2868" s="136" t="s">
        <v>5367</v>
      </c>
      <c r="F2868" s="136" t="s">
        <v>5367</v>
      </c>
      <c r="G2868" s="136" t="s">
        <v>5799</v>
      </c>
      <c r="H2868" s="138" t="s">
        <v>6298</v>
      </c>
      <c r="I2868" s="136">
        <v>961500139</v>
      </c>
      <c r="J2868" s="131" t="s">
        <v>5428</v>
      </c>
      <c r="K2868" s="139">
        <v>92265</v>
      </c>
    </row>
    <row r="2869" spans="1:11">
      <c r="A2869" s="1" t="str">
        <f t="shared" si="44"/>
        <v>15100-42393396-96150013437215</v>
      </c>
      <c r="B2869" s="136" t="s">
        <v>5355</v>
      </c>
      <c r="C2869" s="136" t="s">
        <v>9164</v>
      </c>
      <c r="D2869" s="132" t="s">
        <v>4971</v>
      </c>
      <c r="E2869" s="136" t="s">
        <v>5368</v>
      </c>
      <c r="F2869" s="136" t="s">
        <v>5368</v>
      </c>
      <c r="G2869" s="136" t="s">
        <v>5803</v>
      </c>
      <c r="H2869" s="138" t="s">
        <v>6300</v>
      </c>
      <c r="I2869" s="136">
        <v>961500134</v>
      </c>
      <c r="J2869" s="131" t="s">
        <v>5324</v>
      </c>
      <c r="K2869" s="139">
        <v>37215</v>
      </c>
    </row>
    <row r="2870" spans="1:11">
      <c r="A2870" s="1" t="str">
        <f t="shared" si="44"/>
        <v>15100-42517496-961500138211915</v>
      </c>
      <c r="B2870" s="136" t="s">
        <v>6170</v>
      </c>
      <c r="C2870" s="141" t="s">
        <v>9390</v>
      </c>
      <c r="D2870" s="132" t="s">
        <v>4971</v>
      </c>
      <c r="E2870" s="136" t="s">
        <v>5367</v>
      </c>
      <c r="F2870" s="136" t="s">
        <v>5367</v>
      </c>
      <c r="G2870" s="136" t="s">
        <v>5803</v>
      </c>
      <c r="H2870" s="138" t="s">
        <v>6300</v>
      </c>
      <c r="I2870" s="136">
        <v>961500138</v>
      </c>
      <c r="J2870" s="131" t="s">
        <v>5376</v>
      </c>
      <c r="K2870" s="139">
        <v>211915</v>
      </c>
    </row>
    <row r="2871" spans="1:11">
      <c r="A2871" s="1" t="str">
        <f t="shared" si="44"/>
        <v>15100-42651696-96150003850110</v>
      </c>
      <c r="B2871" s="136" t="s">
        <v>5356</v>
      </c>
      <c r="C2871" s="136" t="s">
        <v>9165</v>
      </c>
      <c r="D2871" s="132" t="s">
        <v>4971</v>
      </c>
      <c r="E2871" s="136" t="s">
        <v>5301</v>
      </c>
      <c r="F2871" s="136" t="s">
        <v>5301</v>
      </c>
      <c r="G2871" s="136" t="s">
        <v>5758</v>
      </c>
      <c r="H2871" s="138" t="s">
        <v>6298</v>
      </c>
      <c r="I2871" s="136">
        <v>961500038</v>
      </c>
      <c r="J2871" s="131" t="s">
        <v>5279</v>
      </c>
      <c r="K2871" s="139">
        <v>50110</v>
      </c>
    </row>
    <row r="2872" spans="1:11">
      <c r="A2872" s="1" t="str">
        <f t="shared" si="44"/>
        <v>15100-42393396-96150013781145</v>
      </c>
      <c r="B2872" s="136" t="s">
        <v>5355</v>
      </c>
      <c r="C2872" s="136" t="s">
        <v>9164</v>
      </c>
      <c r="D2872" s="132" t="s">
        <v>4971</v>
      </c>
      <c r="E2872" s="136" t="s">
        <v>5368</v>
      </c>
      <c r="F2872" s="136" t="s">
        <v>5368</v>
      </c>
      <c r="G2872" s="136" t="s">
        <v>5803</v>
      </c>
      <c r="H2872" s="138" t="s">
        <v>6300</v>
      </c>
      <c r="I2872" s="136">
        <v>961500137</v>
      </c>
      <c r="J2872" s="131" t="s">
        <v>5375</v>
      </c>
      <c r="K2872" s="139">
        <v>81145</v>
      </c>
    </row>
    <row r="2873" spans="1:11">
      <c r="A2873" s="1" t="str">
        <f t="shared" si="44"/>
        <v>15100-42393396-961500047165580</v>
      </c>
      <c r="B2873" s="136" t="s">
        <v>5355</v>
      </c>
      <c r="C2873" s="136" t="s">
        <v>9164</v>
      </c>
      <c r="D2873" s="132" t="s">
        <v>4971</v>
      </c>
      <c r="E2873" s="136" t="s">
        <v>5368</v>
      </c>
      <c r="F2873" s="141" t="s">
        <v>5368</v>
      </c>
      <c r="G2873" s="141" t="s">
        <v>5772</v>
      </c>
      <c r="H2873" s="140" t="s">
        <v>6454</v>
      </c>
      <c r="I2873" s="141">
        <v>961500047</v>
      </c>
      <c r="J2873" s="131" t="s">
        <v>5229</v>
      </c>
      <c r="K2873" s="142">
        <v>165580</v>
      </c>
    </row>
    <row r="2874" spans="1:11">
      <c r="A2874" s="1" t="str">
        <f t="shared" si="44"/>
        <v>15100-42517496-96150012915400</v>
      </c>
      <c r="B2874" s="136" t="s">
        <v>6170</v>
      </c>
      <c r="C2874" s="141" t="s">
        <v>9390</v>
      </c>
      <c r="D2874" s="132" t="s">
        <v>4971</v>
      </c>
      <c r="E2874" s="136" t="s">
        <v>5367</v>
      </c>
      <c r="F2874" s="136" t="s">
        <v>5367</v>
      </c>
      <c r="G2874" s="136" t="s">
        <v>5799</v>
      </c>
      <c r="H2874" s="138" t="s">
        <v>6298</v>
      </c>
      <c r="I2874" s="136">
        <v>961500129</v>
      </c>
      <c r="J2874" s="131" t="s">
        <v>5374</v>
      </c>
      <c r="K2874" s="139">
        <v>15400</v>
      </c>
    </row>
    <row r="2875" spans="1:11">
      <c r="A2875" s="1" t="str">
        <f t="shared" si="44"/>
        <v>15100-42517496-96150004724620</v>
      </c>
      <c r="B2875" s="136" t="s">
        <v>6170</v>
      </c>
      <c r="C2875" s="141" t="s">
        <v>9390</v>
      </c>
      <c r="D2875" s="132" t="s">
        <v>4971</v>
      </c>
      <c r="E2875" s="136" t="s">
        <v>5367</v>
      </c>
      <c r="F2875" s="141" t="s">
        <v>5367</v>
      </c>
      <c r="G2875" s="141" t="s">
        <v>5772</v>
      </c>
      <c r="H2875" s="140" t="s">
        <v>6454</v>
      </c>
      <c r="I2875" s="141">
        <v>961500047</v>
      </c>
      <c r="J2875" s="131" t="s">
        <v>5229</v>
      </c>
      <c r="K2875" s="142">
        <v>24620</v>
      </c>
    </row>
    <row r="2876" spans="1:11">
      <c r="A2876" s="1" t="str">
        <f t="shared" si="44"/>
        <v>15100-42259896-96150001712970</v>
      </c>
      <c r="B2876" s="136" t="s">
        <v>5352</v>
      </c>
      <c r="C2876" s="136" t="s">
        <v>9161</v>
      </c>
      <c r="D2876" s="132" t="s">
        <v>4971</v>
      </c>
      <c r="E2876" s="136" t="s">
        <v>5302</v>
      </c>
      <c r="F2876" s="136" t="s">
        <v>5302</v>
      </c>
      <c r="G2876" s="136" t="s">
        <v>5751</v>
      </c>
      <c r="H2876" s="138" t="s">
        <v>6300</v>
      </c>
      <c r="I2876" s="136">
        <v>961500017</v>
      </c>
      <c r="J2876" s="131" t="s">
        <v>5076</v>
      </c>
      <c r="K2876" s="139">
        <v>12970</v>
      </c>
    </row>
    <row r="2877" spans="1:11">
      <c r="A2877" s="1" t="str">
        <f t="shared" si="44"/>
        <v>15100-42259896-96150010936030</v>
      </c>
      <c r="B2877" s="136" t="s">
        <v>5352</v>
      </c>
      <c r="C2877" s="136" t="s">
        <v>9161</v>
      </c>
      <c r="D2877" s="132" t="s">
        <v>4971</v>
      </c>
      <c r="E2877" s="136" t="s">
        <v>5302</v>
      </c>
      <c r="F2877" s="136" t="s">
        <v>5302</v>
      </c>
      <c r="G2877" s="136" t="s">
        <v>5801</v>
      </c>
      <c r="H2877" s="138" t="s">
        <v>6300</v>
      </c>
      <c r="I2877" s="136">
        <v>961500109</v>
      </c>
      <c r="J2877" s="131" t="s">
        <v>5228</v>
      </c>
      <c r="K2877" s="139">
        <v>36030</v>
      </c>
    </row>
    <row r="2878" spans="1:11">
      <c r="A2878" s="1" t="str">
        <f t="shared" si="44"/>
        <v>15100-42517496-96150005729340</v>
      </c>
      <c r="B2878" s="136" t="s">
        <v>6170</v>
      </c>
      <c r="C2878" s="141" t="s">
        <v>9390</v>
      </c>
      <c r="D2878" s="132" t="s">
        <v>4971</v>
      </c>
      <c r="E2878" s="136" t="s">
        <v>5367</v>
      </c>
      <c r="F2878" s="136" t="s">
        <v>5367</v>
      </c>
      <c r="G2878" s="136" t="s">
        <v>5758</v>
      </c>
      <c r="H2878" s="138" t="s">
        <v>6298</v>
      </c>
      <c r="I2878" s="136">
        <v>961500057</v>
      </c>
      <c r="J2878" s="131" t="s">
        <v>5223</v>
      </c>
      <c r="K2878" s="139">
        <v>29340</v>
      </c>
    </row>
    <row r="2879" spans="1:11">
      <c r="A2879" s="1" t="str">
        <f t="shared" si="44"/>
        <v>50100-880182996-962500024992880</v>
      </c>
      <c r="B2879" s="136" t="s">
        <v>11862</v>
      </c>
      <c r="C2879" s="136" t="s">
        <v>9201</v>
      </c>
      <c r="D2879" s="132" t="s">
        <v>4971</v>
      </c>
      <c r="E2879" s="136" t="s">
        <v>5419</v>
      </c>
      <c r="F2879" s="136" t="s">
        <v>5419</v>
      </c>
      <c r="G2879" s="141" t="s">
        <v>5780</v>
      </c>
      <c r="H2879" s="140" t="s">
        <v>6452</v>
      </c>
      <c r="I2879" s="141">
        <v>962500024</v>
      </c>
      <c r="J2879" s="131" t="s">
        <v>5438</v>
      </c>
      <c r="K2879" s="139">
        <v>992880</v>
      </c>
    </row>
    <row r="2880" spans="1:11">
      <c r="A2880" s="1" t="str">
        <f t="shared" si="44"/>
        <v>50100-884470396-961500027500000</v>
      </c>
      <c r="B2880" s="136" t="s">
        <v>11863</v>
      </c>
      <c r="C2880" s="136" t="s">
        <v>9202</v>
      </c>
      <c r="D2880" s="132" t="s">
        <v>4971</v>
      </c>
      <c r="E2880" s="136" t="s">
        <v>5416</v>
      </c>
      <c r="F2880" s="141" t="s">
        <v>5416</v>
      </c>
      <c r="G2880" s="141" t="s">
        <v>5772</v>
      </c>
      <c r="H2880" s="140" t="s">
        <v>6454</v>
      </c>
      <c r="I2880" s="141">
        <v>961500027</v>
      </c>
      <c r="J2880" s="131" t="s">
        <v>5439</v>
      </c>
      <c r="K2880" s="142">
        <v>500000</v>
      </c>
    </row>
    <row r="2881" spans="1:11">
      <c r="A2881" s="1" t="str">
        <f t="shared" si="44"/>
        <v>50100-882784395-951500566100000</v>
      </c>
      <c r="B2881" s="136" t="s">
        <v>11864</v>
      </c>
      <c r="C2881" s="136" t="s">
        <v>9203</v>
      </c>
      <c r="D2881" s="132" t="s">
        <v>4971</v>
      </c>
      <c r="E2881" s="136" t="s">
        <v>5418</v>
      </c>
      <c r="F2881" s="136" t="s">
        <v>5418</v>
      </c>
      <c r="G2881" s="136" t="s">
        <v>5723</v>
      </c>
      <c r="H2881" s="138" t="s">
        <v>6454</v>
      </c>
      <c r="I2881" s="136">
        <v>951500566</v>
      </c>
      <c r="J2881" s="131" t="s">
        <v>4934</v>
      </c>
      <c r="K2881" s="139">
        <v>100000</v>
      </c>
    </row>
    <row r="2882" spans="1:11">
      <c r="A2882" s="1" t="str">
        <f t="shared" si="44"/>
        <v>50100-882784396-961500035401485</v>
      </c>
      <c r="B2882" s="136" t="s">
        <v>11864</v>
      </c>
      <c r="C2882" s="136" t="s">
        <v>9203</v>
      </c>
      <c r="D2882" s="132" t="s">
        <v>4971</v>
      </c>
      <c r="E2882" s="136" t="s">
        <v>5418</v>
      </c>
      <c r="F2882" s="141" t="s">
        <v>5418</v>
      </c>
      <c r="G2882" s="141" t="s">
        <v>5772</v>
      </c>
      <c r="H2882" s="140" t="s">
        <v>6454</v>
      </c>
      <c r="I2882" s="141">
        <v>961500035</v>
      </c>
      <c r="J2882" s="131" t="s">
        <v>5440</v>
      </c>
      <c r="K2882" s="142">
        <v>401485</v>
      </c>
    </row>
    <row r="2883" spans="1:11">
      <c r="A2883" s="1" t="str">
        <f t="shared" ref="A2883:A2946" si="45">B2883&amp;J2883&amp;K2883</f>
        <v>50100-882748596-96250002719633</v>
      </c>
      <c r="B2883" s="136" t="s">
        <v>11865</v>
      </c>
      <c r="C2883" s="136" t="s">
        <v>9204</v>
      </c>
      <c r="D2883" s="132" t="s">
        <v>4971</v>
      </c>
      <c r="E2883" s="136" t="s">
        <v>5418</v>
      </c>
      <c r="F2883" s="136" t="s">
        <v>5418</v>
      </c>
      <c r="G2883" s="141" t="s">
        <v>5780</v>
      </c>
      <c r="H2883" s="140" t="s">
        <v>6452</v>
      </c>
      <c r="I2883" s="141">
        <v>962500027</v>
      </c>
      <c r="J2883" s="131" t="s">
        <v>5441</v>
      </c>
      <c r="K2883" s="139">
        <v>19633</v>
      </c>
    </row>
    <row r="2884" spans="1:11">
      <c r="A2884" s="1" t="str">
        <f t="shared" si="45"/>
        <v>50100-881595196-961500096103400</v>
      </c>
      <c r="B2884" s="136" t="s">
        <v>11866</v>
      </c>
      <c r="C2884" s="136" t="s">
        <v>9205</v>
      </c>
      <c r="D2884" s="132" t="s">
        <v>4971</v>
      </c>
      <c r="E2884" s="136" t="s">
        <v>5412</v>
      </c>
      <c r="F2884" s="136" t="s">
        <v>5412</v>
      </c>
      <c r="G2884" s="136" t="s">
        <v>5762</v>
      </c>
      <c r="H2884" s="138" t="s">
        <v>6298</v>
      </c>
      <c r="I2884" s="136">
        <v>961500096</v>
      </c>
      <c r="J2884" s="131" t="s">
        <v>5442</v>
      </c>
      <c r="K2884" s="139">
        <v>103400</v>
      </c>
    </row>
    <row r="2885" spans="1:11">
      <c r="A2885" s="1" t="str">
        <f t="shared" si="45"/>
        <v>50100-884029296-962500026291889</v>
      </c>
      <c r="B2885" s="136" t="s">
        <v>11867</v>
      </c>
      <c r="C2885" s="136" t="s">
        <v>9206</v>
      </c>
      <c r="D2885" s="132" t="s">
        <v>4971</v>
      </c>
      <c r="E2885" s="136" t="s">
        <v>5331</v>
      </c>
      <c r="F2885" s="136" t="s">
        <v>5331</v>
      </c>
      <c r="G2885" s="141" t="s">
        <v>5780</v>
      </c>
      <c r="H2885" s="140" t="s">
        <v>6452</v>
      </c>
      <c r="I2885" s="141">
        <v>962500026</v>
      </c>
      <c r="J2885" s="131" t="s">
        <v>5443</v>
      </c>
      <c r="K2885" s="139">
        <v>291889</v>
      </c>
    </row>
    <row r="2886" spans="1:11">
      <c r="A2886" s="1" t="str">
        <f t="shared" si="45"/>
        <v>50100-877716196-961500093111942</v>
      </c>
      <c r="B2886" s="136" t="s">
        <v>11868</v>
      </c>
      <c r="C2886" s="136" t="s">
        <v>9207</v>
      </c>
      <c r="D2886" s="132" t="s">
        <v>4971</v>
      </c>
      <c r="E2886" s="136" t="s">
        <v>5420</v>
      </c>
      <c r="F2886" s="136" t="s">
        <v>5420</v>
      </c>
      <c r="G2886" s="136" t="s">
        <v>5762</v>
      </c>
      <c r="H2886" s="138" t="s">
        <v>6298</v>
      </c>
      <c r="I2886" s="136">
        <v>961500093</v>
      </c>
      <c r="J2886" s="131" t="s">
        <v>5291</v>
      </c>
      <c r="K2886" s="139">
        <v>111942</v>
      </c>
    </row>
    <row r="2887" spans="1:11">
      <c r="A2887" s="1" t="str">
        <f t="shared" si="45"/>
        <v>50100-877716196-96150009634358</v>
      </c>
      <c r="B2887" s="136" t="s">
        <v>11868</v>
      </c>
      <c r="C2887" s="136" t="s">
        <v>9207</v>
      </c>
      <c r="D2887" s="132" t="s">
        <v>4971</v>
      </c>
      <c r="E2887" s="136" t="s">
        <v>5420</v>
      </c>
      <c r="F2887" s="136" t="s">
        <v>5420</v>
      </c>
      <c r="G2887" s="136" t="s">
        <v>5762</v>
      </c>
      <c r="H2887" s="138" t="s">
        <v>6298</v>
      </c>
      <c r="I2887" s="136">
        <v>961500096</v>
      </c>
      <c r="J2887" s="131" t="s">
        <v>5442</v>
      </c>
      <c r="K2887" s="139">
        <v>34358</v>
      </c>
    </row>
    <row r="2888" spans="1:11">
      <c r="A2888" s="1" t="str">
        <f t="shared" si="45"/>
        <v>50100-877802496-962500022499838</v>
      </c>
      <c r="B2888" s="136" t="s">
        <v>11869</v>
      </c>
      <c r="C2888" s="136" t="s">
        <v>9208</v>
      </c>
      <c r="D2888" s="132" t="s">
        <v>4971</v>
      </c>
      <c r="E2888" s="136" t="s">
        <v>5420</v>
      </c>
      <c r="F2888" s="136" t="s">
        <v>5420</v>
      </c>
      <c r="G2888" s="141" t="s">
        <v>5808</v>
      </c>
      <c r="H2888" s="140" t="s">
        <v>11061</v>
      </c>
      <c r="I2888" s="141">
        <v>962500022</v>
      </c>
      <c r="J2888" s="131" t="s">
        <v>5444</v>
      </c>
      <c r="K2888" s="142">
        <v>499838</v>
      </c>
    </row>
    <row r="2889" spans="1:11">
      <c r="A2889" s="1" t="str">
        <f t="shared" si="45"/>
        <v>50100-879176196-9641000221064261</v>
      </c>
      <c r="B2889" s="136" t="s">
        <v>11870</v>
      </c>
      <c r="C2889" s="136" t="s">
        <v>9209</v>
      </c>
      <c r="D2889" s="132" t="s">
        <v>4971</v>
      </c>
      <c r="E2889" s="136" t="s">
        <v>5287</v>
      </c>
      <c r="F2889" s="136" t="s">
        <v>5287</v>
      </c>
      <c r="G2889" s="136" t="s">
        <v>5783</v>
      </c>
      <c r="H2889" s="138" t="s">
        <v>6452</v>
      </c>
      <c r="I2889" s="136">
        <v>964100022</v>
      </c>
      <c r="J2889" s="131" t="s">
        <v>5445</v>
      </c>
      <c r="K2889" s="139">
        <v>1064261</v>
      </c>
    </row>
    <row r="2890" spans="1:11">
      <c r="A2890" s="1" t="str">
        <f t="shared" si="45"/>
        <v>50100-884047296-962500028295547</v>
      </c>
      <c r="B2890" s="136" t="s">
        <v>11871</v>
      </c>
      <c r="C2890" s="136" t="s">
        <v>9210</v>
      </c>
      <c r="D2890" s="132" t="s">
        <v>4971</v>
      </c>
      <c r="E2890" s="136" t="s">
        <v>5331</v>
      </c>
      <c r="F2890" s="136" t="s">
        <v>5416</v>
      </c>
      <c r="G2890" s="141" t="s">
        <v>5780</v>
      </c>
      <c r="H2890" s="140" t="s">
        <v>6452</v>
      </c>
      <c r="I2890" s="141">
        <v>962500028</v>
      </c>
      <c r="J2890" s="131" t="s">
        <v>5446</v>
      </c>
      <c r="K2890" s="139">
        <v>295547</v>
      </c>
    </row>
    <row r="2891" spans="1:11">
      <c r="A2891" s="1" t="str">
        <f t="shared" si="45"/>
        <v>15100-43359496-96150015039000</v>
      </c>
      <c r="B2891" s="136" t="s">
        <v>5384</v>
      </c>
      <c r="C2891" s="136" t="s">
        <v>9173</v>
      </c>
      <c r="D2891" s="132" t="s">
        <v>4971</v>
      </c>
      <c r="E2891" s="136" t="s">
        <v>5412</v>
      </c>
      <c r="F2891" s="136" t="s">
        <v>5412</v>
      </c>
      <c r="G2891" s="136" t="s">
        <v>5799</v>
      </c>
      <c r="H2891" s="138" t="s">
        <v>6298</v>
      </c>
      <c r="I2891" s="136">
        <v>961500150</v>
      </c>
      <c r="J2891" s="131" t="s">
        <v>5421</v>
      </c>
      <c r="K2891" s="139">
        <v>39000</v>
      </c>
    </row>
    <row r="2892" spans="1:11">
      <c r="A2892" s="1" t="str">
        <f t="shared" si="45"/>
        <v>15100-43359496-96150015727920</v>
      </c>
      <c r="B2892" s="136" t="s">
        <v>5384</v>
      </c>
      <c r="C2892" s="136" t="s">
        <v>9173</v>
      </c>
      <c r="D2892" s="132" t="s">
        <v>4971</v>
      </c>
      <c r="E2892" s="136" t="s">
        <v>5412</v>
      </c>
      <c r="F2892" s="136" t="s">
        <v>5412</v>
      </c>
      <c r="G2892" s="136" t="s">
        <v>5810</v>
      </c>
      <c r="H2892" s="138" t="s">
        <v>6298</v>
      </c>
      <c r="I2892" s="136">
        <v>961500157</v>
      </c>
      <c r="J2892" s="131" t="s">
        <v>5422</v>
      </c>
      <c r="K2892" s="139">
        <v>27920</v>
      </c>
    </row>
    <row r="2893" spans="1:11">
      <c r="A2893" s="1" t="str">
        <f t="shared" si="45"/>
        <v>15100-43311496-96150003823940</v>
      </c>
      <c r="B2893" s="136" t="s">
        <v>5385</v>
      </c>
      <c r="C2893" s="136" t="s">
        <v>9174</v>
      </c>
      <c r="D2893" s="132" t="s">
        <v>4971</v>
      </c>
      <c r="E2893" s="136" t="s">
        <v>5413</v>
      </c>
      <c r="F2893" s="136" t="s">
        <v>5413</v>
      </c>
      <c r="G2893" s="136" t="s">
        <v>5758</v>
      </c>
      <c r="H2893" s="138" t="s">
        <v>6298</v>
      </c>
      <c r="I2893" s="136">
        <v>961500038</v>
      </c>
      <c r="J2893" s="131" t="s">
        <v>5279</v>
      </c>
      <c r="K2893" s="139">
        <v>23940</v>
      </c>
    </row>
    <row r="2894" spans="1:11">
      <c r="A2894" s="1" t="str">
        <f t="shared" si="45"/>
        <v>15100-43596196-96150004653290</v>
      </c>
      <c r="B2894" s="136" t="s">
        <v>5386</v>
      </c>
      <c r="C2894" s="136" t="s">
        <v>11872</v>
      </c>
      <c r="D2894" s="132" t="s">
        <v>4971</v>
      </c>
      <c r="E2894" s="136" t="s">
        <v>5414</v>
      </c>
      <c r="F2894" s="136" t="s">
        <v>5414</v>
      </c>
      <c r="G2894" s="136" t="s">
        <v>5776</v>
      </c>
      <c r="H2894" s="138" t="s">
        <v>6301</v>
      </c>
      <c r="I2894" s="136">
        <v>961500046</v>
      </c>
      <c r="J2894" s="131" t="s">
        <v>5423</v>
      </c>
      <c r="K2894" s="139">
        <v>53290</v>
      </c>
    </row>
    <row r="2895" spans="1:11">
      <c r="A2895" s="1" t="str">
        <f t="shared" si="45"/>
        <v>15100-43359496-96150013648700</v>
      </c>
      <c r="B2895" s="136" t="s">
        <v>5384</v>
      </c>
      <c r="C2895" s="136" t="s">
        <v>9173</v>
      </c>
      <c r="D2895" s="132" t="s">
        <v>4971</v>
      </c>
      <c r="E2895" s="136" t="s">
        <v>5412</v>
      </c>
      <c r="F2895" s="136" t="s">
        <v>5412</v>
      </c>
      <c r="G2895" s="136" t="s">
        <v>5799</v>
      </c>
      <c r="H2895" s="138" t="s">
        <v>6298</v>
      </c>
      <c r="I2895" s="136">
        <v>961500136</v>
      </c>
      <c r="J2895" s="131" t="s">
        <v>5424</v>
      </c>
      <c r="K2895" s="139">
        <v>48700</v>
      </c>
    </row>
    <row r="2896" spans="1:11">
      <c r="A2896" s="1" t="str">
        <f t="shared" si="45"/>
        <v>15100-43181896-9615001316760</v>
      </c>
      <c r="B2896" s="136" t="s">
        <v>5387</v>
      </c>
      <c r="C2896" s="136" t="s">
        <v>9176</v>
      </c>
      <c r="D2896" s="132" t="s">
        <v>4971</v>
      </c>
      <c r="E2896" s="136" t="s">
        <v>5303</v>
      </c>
      <c r="F2896" s="136" t="s">
        <v>5303</v>
      </c>
      <c r="G2896" s="136" t="s">
        <v>5799</v>
      </c>
      <c r="H2896" s="138" t="s">
        <v>6298</v>
      </c>
      <c r="I2896" s="136">
        <v>961500131</v>
      </c>
      <c r="J2896" s="131" t="s">
        <v>5372</v>
      </c>
      <c r="K2896" s="139">
        <v>6760</v>
      </c>
    </row>
    <row r="2897" spans="1:11">
      <c r="A2897" s="1" t="str">
        <f t="shared" si="45"/>
        <v>15100-43181896-96150013010540</v>
      </c>
      <c r="B2897" s="136" t="s">
        <v>5387</v>
      </c>
      <c r="C2897" s="136" t="s">
        <v>9176</v>
      </c>
      <c r="D2897" s="132" t="s">
        <v>4971</v>
      </c>
      <c r="E2897" s="136" t="s">
        <v>5303</v>
      </c>
      <c r="F2897" s="136" t="s">
        <v>5303</v>
      </c>
      <c r="G2897" s="136" t="s">
        <v>5799</v>
      </c>
      <c r="H2897" s="138" t="s">
        <v>6298</v>
      </c>
      <c r="I2897" s="136">
        <v>961500130</v>
      </c>
      <c r="J2897" s="131" t="s">
        <v>5325</v>
      </c>
      <c r="K2897" s="139">
        <v>10540</v>
      </c>
    </row>
    <row r="2898" spans="1:11">
      <c r="A2898" s="1" t="str">
        <f t="shared" si="45"/>
        <v>15100-43068096-96150015024440</v>
      </c>
      <c r="B2898" s="136" t="s">
        <v>5388</v>
      </c>
      <c r="C2898" s="136" t="s">
        <v>9177</v>
      </c>
      <c r="D2898" s="132" t="s">
        <v>4971</v>
      </c>
      <c r="E2898" s="136" t="s">
        <v>5415</v>
      </c>
      <c r="F2898" s="136" t="s">
        <v>5415</v>
      </c>
      <c r="G2898" s="136" t="s">
        <v>5799</v>
      </c>
      <c r="H2898" s="138" t="s">
        <v>6298</v>
      </c>
      <c r="I2898" s="136">
        <v>961500150</v>
      </c>
      <c r="J2898" s="131" t="s">
        <v>5421</v>
      </c>
      <c r="K2898" s="139">
        <v>24440</v>
      </c>
    </row>
    <row r="2899" spans="1:11">
      <c r="A2899" s="1" t="str">
        <f t="shared" si="45"/>
        <v>15100-43301296-96150015120145</v>
      </c>
      <c r="B2899" s="136" t="s">
        <v>5389</v>
      </c>
      <c r="C2899" s="136" t="s">
        <v>9178</v>
      </c>
      <c r="D2899" s="132" t="s">
        <v>4971</v>
      </c>
      <c r="E2899" s="136" t="s">
        <v>5413</v>
      </c>
      <c r="F2899" s="136" t="s">
        <v>5413</v>
      </c>
      <c r="G2899" s="136" t="s">
        <v>5789</v>
      </c>
      <c r="H2899" s="138" t="s">
        <v>6300</v>
      </c>
      <c r="I2899" s="136">
        <v>961500151</v>
      </c>
      <c r="J2899" s="131" t="s">
        <v>5425</v>
      </c>
      <c r="K2899" s="139">
        <v>20145</v>
      </c>
    </row>
    <row r="2900" spans="1:11">
      <c r="A2900" s="1" t="str">
        <f t="shared" si="45"/>
        <v>15100-43181896-96150015016560</v>
      </c>
      <c r="B2900" s="136" t="s">
        <v>5387</v>
      </c>
      <c r="C2900" s="136" t="s">
        <v>9176</v>
      </c>
      <c r="D2900" s="132" t="s">
        <v>4971</v>
      </c>
      <c r="E2900" s="136" t="s">
        <v>5303</v>
      </c>
      <c r="F2900" s="136" t="s">
        <v>5303</v>
      </c>
      <c r="G2900" s="136" t="s">
        <v>5799</v>
      </c>
      <c r="H2900" s="138" t="s">
        <v>6298</v>
      </c>
      <c r="I2900" s="136">
        <v>961500150</v>
      </c>
      <c r="J2900" s="131" t="s">
        <v>5421</v>
      </c>
      <c r="K2900" s="139">
        <v>16560</v>
      </c>
    </row>
    <row r="2901" spans="1:11">
      <c r="A2901" s="1" t="str">
        <f t="shared" si="45"/>
        <v>15100-43716396-961500161105079</v>
      </c>
      <c r="B2901" s="136" t="s">
        <v>5390</v>
      </c>
      <c r="C2901" s="136" t="s">
        <v>9179</v>
      </c>
      <c r="D2901" s="132" t="s">
        <v>4971</v>
      </c>
      <c r="E2901" s="136" t="s">
        <v>5416</v>
      </c>
      <c r="F2901" s="136" t="s">
        <v>5416</v>
      </c>
      <c r="G2901" s="136" t="s">
        <v>5810</v>
      </c>
      <c r="H2901" s="138" t="s">
        <v>6298</v>
      </c>
      <c r="I2901" s="136">
        <v>961500161</v>
      </c>
      <c r="J2901" s="131" t="s">
        <v>5426</v>
      </c>
      <c r="K2901" s="139">
        <v>105079</v>
      </c>
    </row>
    <row r="2902" spans="1:11">
      <c r="A2902" s="1" t="str">
        <f t="shared" si="45"/>
        <v>15100-43422096-961500159142460</v>
      </c>
      <c r="B2902" s="136" t="s">
        <v>5391</v>
      </c>
      <c r="C2902" s="136" t="s">
        <v>9180</v>
      </c>
      <c r="D2902" s="132" t="s">
        <v>4971</v>
      </c>
      <c r="E2902" s="136" t="s">
        <v>5417</v>
      </c>
      <c r="F2902" s="136" t="s">
        <v>5417</v>
      </c>
      <c r="G2902" s="136" t="s">
        <v>5806</v>
      </c>
      <c r="H2902" s="138" t="s">
        <v>6299</v>
      </c>
      <c r="I2902" s="136">
        <v>961500159</v>
      </c>
      <c r="J2902" s="131" t="s">
        <v>5427</v>
      </c>
      <c r="K2902" s="139">
        <v>142460</v>
      </c>
    </row>
    <row r="2903" spans="1:11">
      <c r="A2903" s="1" t="str">
        <f t="shared" si="45"/>
        <v>15100-43301296-96150013927935</v>
      </c>
      <c r="B2903" s="136" t="s">
        <v>5389</v>
      </c>
      <c r="C2903" s="136" t="s">
        <v>9178</v>
      </c>
      <c r="D2903" s="132" t="s">
        <v>4971</v>
      </c>
      <c r="E2903" s="136" t="s">
        <v>5413</v>
      </c>
      <c r="F2903" s="136" t="s">
        <v>5413</v>
      </c>
      <c r="G2903" s="136" t="s">
        <v>5799</v>
      </c>
      <c r="H2903" s="138" t="s">
        <v>6298</v>
      </c>
      <c r="I2903" s="136">
        <v>961500139</v>
      </c>
      <c r="J2903" s="131" t="s">
        <v>5428</v>
      </c>
      <c r="K2903" s="139">
        <v>27935</v>
      </c>
    </row>
    <row r="2904" spans="1:11">
      <c r="A2904" s="1" t="str">
        <f t="shared" si="45"/>
        <v>15100-43181896-96150015213360</v>
      </c>
      <c r="B2904" s="136" t="s">
        <v>5387</v>
      </c>
      <c r="C2904" s="136" t="s">
        <v>9176</v>
      </c>
      <c r="D2904" s="132" t="s">
        <v>4971</v>
      </c>
      <c r="E2904" s="136" t="s">
        <v>5303</v>
      </c>
      <c r="F2904" s="136" t="s">
        <v>5303</v>
      </c>
      <c r="G2904" s="136" t="s">
        <v>5799</v>
      </c>
      <c r="H2904" s="138" t="s">
        <v>6298</v>
      </c>
      <c r="I2904" s="136">
        <v>961500152</v>
      </c>
      <c r="J2904" s="131" t="s">
        <v>5370</v>
      </c>
      <c r="K2904" s="139">
        <v>13360</v>
      </c>
    </row>
    <row r="2905" spans="1:11">
      <c r="A2905" s="1" t="str">
        <f t="shared" si="45"/>
        <v>15100-43596196-96150011498610</v>
      </c>
      <c r="B2905" s="136" t="s">
        <v>5386</v>
      </c>
      <c r="C2905" s="136" t="s">
        <v>11872</v>
      </c>
      <c r="D2905" s="132" t="s">
        <v>4971</v>
      </c>
      <c r="E2905" s="136" t="s">
        <v>5414</v>
      </c>
      <c r="F2905" s="136" t="s">
        <v>5414</v>
      </c>
      <c r="G2905" s="136" t="s">
        <v>5762</v>
      </c>
      <c r="H2905" s="138" t="s">
        <v>6298</v>
      </c>
      <c r="I2905" s="136">
        <v>961500114</v>
      </c>
      <c r="J2905" s="131" t="s">
        <v>5429</v>
      </c>
      <c r="K2905" s="139">
        <v>98610</v>
      </c>
    </row>
    <row r="2906" spans="1:11">
      <c r="A2906" s="1" t="str">
        <f t="shared" si="45"/>
        <v>15100-43534296-96150003351990</v>
      </c>
      <c r="B2906" s="136" t="s">
        <v>5392</v>
      </c>
      <c r="C2906" s="136" t="s">
        <v>9181</v>
      </c>
      <c r="D2906" s="132" t="s">
        <v>4971</v>
      </c>
      <c r="E2906" s="136" t="s">
        <v>5418</v>
      </c>
      <c r="F2906" s="136" t="s">
        <v>5418</v>
      </c>
      <c r="G2906" s="136" t="s">
        <v>5776</v>
      </c>
      <c r="H2906" s="138" t="s">
        <v>6301</v>
      </c>
      <c r="I2906" s="136">
        <v>961500033</v>
      </c>
      <c r="J2906" s="131" t="s">
        <v>5430</v>
      </c>
      <c r="K2906" s="139">
        <v>51990</v>
      </c>
    </row>
    <row r="2907" spans="1:11">
      <c r="A2907" s="1" t="str">
        <f t="shared" si="45"/>
        <v>15100-43534296-961500114200970</v>
      </c>
      <c r="B2907" s="136" t="s">
        <v>5392</v>
      </c>
      <c r="C2907" s="136" t="s">
        <v>9181</v>
      </c>
      <c r="D2907" s="132" t="s">
        <v>4971</v>
      </c>
      <c r="E2907" s="136" t="s">
        <v>5418</v>
      </c>
      <c r="F2907" s="136" t="s">
        <v>5418</v>
      </c>
      <c r="G2907" s="136" t="s">
        <v>5762</v>
      </c>
      <c r="H2907" s="138" t="s">
        <v>6298</v>
      </c>
      <c r="I2907" s="136">
        <v>961500114</v>
      </c>
      <c r="J2907" s="131" t="s">
        <v>5429</v>
      </c>
      <c r="K2907" s="139">
        <v>200970</v>
      </c>
    </row>
    <row r="2908" spans="1:11">
      <c r="A2908" s="1" t="str">
        <f t="shared" si="45"/>
        <v>15100-43422096-96150003331460</v>
      </c>
      <c r="B2908" s="136" t="s">
        <v>5391</v>
      </c>
      <c r="C2908" s="136" t="s">
        <v>9180</v>
      </c>
      <c r="D2908" s="132" t="s">
        <v>4971</v>
      </c>
      <c r="E2908" s="136" t="s">
        <v>5417</v>
      </c>
      <c r="F2908" s="136" t="s">
        <v>5417</v>
      </c>
      <c r="G2908" s="136" t="s">
        <v>5776</v>
      </c>
      <c r="H2908" s="138" t="s">
        <v>6301</v>
      </c>
      <c r="I2908" s="136">
        <v>961500033</v>
      </c>
      <c r="J2908" s="131" t="s">
        <v>5430</v>
      </c>
      <c r="K2908" s="139">
        <v>31460</v>
      </c>
    </row>
    <row r="2909" spans="1:11">
      <c r="A2909" s="1" t="str">
        <f t="shared" si="45"/>
        <v>15100-43359496-96150003834680</v>
      </c>
      <c r="B2909" s="136" t="s">
        <v>5384</v>
      </c>
      <c r="C2909" s="136" t="s">
        <v>9173</v>
      </c>
      <c r="D2909" s="132" t="s">
        <v>4971</v>
      </c>
      <c r="E2909" s="136" t="s">
        <v>5412</v>
      </c>
      <c r="F2909" s="136" t="s">
        <v>5412</v>
      </c>
      <c r="G2909" s="136" t="s">
        <v>5758</v>
      </c>
      <c r="H2909" s="138" t="s">
        <v>6298</v>
      </c>
      <c r="I2909" s="136">
        <v>961500038</v>
      </c>
      <c r="J2909" s="131" t="s">
        <v>5279</v>
      </c>
      <c r="K2909" s="139">
        <v>34680</v>
      </c>
    </row>
    <row r="2910" spans="1:11">
      <c r="A2910" s="1" t="str">
        <f t="shared" si="45"/>
        <v>15100-43716396-96150015817661</v>
      </c>
      <c r="B2910" s="136" t="s">
        <v>5390</v>
      </c>
      <c r="C2910" s="136" t="s">
        <v>9179</v>
      </c>
      <c r="D2910" s="132" t="s">
        <v>4971</v>
      </c>
      <c r="E2910" s="136" t="s">
        <v>5416</v>
      </c>
      <c r="F2910" s="136" t="s">
        <v>5416</v>
      </c>
      <c r="G2910" s="136" t="s">
        <v>5810</v>
      </c>
      <c r="H2910" s="138" t="s">
        <v>6298</v>
      </c>
      <c r="I2910" s="136">
        <v>961500158</v>
      </c>
      <c r="J2910" s="131" t="s">
        <v>5431</v>
      </c>
      <c r="K2910" s="139">
        <v>17661</v>
      </c>
    </row>
    <row r="2911" spans="1:11">
      <c r="A2911" s="1" t="str">
        <f t="shared" si="45"/>
        <v>15100-43602196-961500033117120</v>
      </c>
      <c r="B2911" s="136" t="s">
        <v>5393</v>
      </c>
      <c r="C2911" s="136" t="s">
        <v>9182</v>
      </c>
      <c r="D2911" s="132" t="s">
        <v>4971</v>
      </c>
      <c r="E2911" s="136" t="s">
        <v>5414</v>
      </c>
      <c r="F2911" s="136" t="s">
        <v>5414</v>
      </c>
      <c r="G2911" s="136" t="s">
        <v>5776</v>
      </c>
      <c r="H2911" s="138" t="s">
        <v>6301</v>
      </c>
      <c r="I2911" s="136">
        <v>961500033</v>
      </c>
      <c r="J2911" s="131" t="s">
        <v>5430</v>
      </c>
      <c r="K2911" s="139">
        <v>117120</v>
      </c>
    </row>
    <row r="2912" spans="1:11">
      <c r="A2912" s="1" t="str">
        <f t="shared" si="45"/>
        <v>15100-43534295-95150052450000</v>
      </c>
      <c r="B2912" s="136" t="s">
        <v>5392</v>
      </c>
      <c r="C2912" s="136" t="s">
        <v>9181</v>
      </c>
      <c r="D2912" s="132" t="s">
        <v>4971</v>
      </c>
      <c r="E2912" s="136" t="s">
        <v>5418</v>
      </c>
      <c r="F2912" s="136" t="s">
        <v>5418</v>
      </c>
      <c r="G2912" s="136" t="s">
        <v>5715</v>
      </c>
      <c r="H2912" s="138" t="s">
        <v>6301</v>
      </c>
      <c r="I2912" s="136">
        <v>951500524</v>
      </c>
      <c r="J2912" s="131" t="s">
        <v>4509</v>
      </c>
      <c r="K2912" s="139">
        <v>50000</v>
      </c>
    </row>
    <row r="2913" spans="1:11">
      <c r="A2913" s="1" t="str">
        <f t="shared" si="45"/>
        <v>15100-43602196-961500155113850</v>
      </c>
      <c r="B2913" s="136" t="s">
        <v>5393</v>
      </c>
      <c r="C2913" s="136" t="s">
        <v>9182</v>
      </c>
      <c r="D2913" s="132" t="s">
        <v>4971</v>
      </c>
      <c r="E2913" s="136" t="s">
        <v>5414</v>
      </c>
      <c r="F2913" s="136" t="s">
        <v>5414</v>
      </c>
      <c r="G2913" s="136" t="s">
        <v>5810</v>
      </c>
      <c r="H2913" s="138" t="s">
        <v>6298</v>
      </c>
      <c r="I2913" s="136">
        <v>961500155</v>
      </c>
      <c r="J2913" s="131" t="s">
        <v>5432</v>
      </c>
      <c r="K2913" s="139">
        <v>113850</v>
      </c>
    </row>
    <row r="2914" spans="1:11">
      <c r="A2914" s="1" t="str">
        <f t="shared" si="45"/>
        <v>15100-43602196-96150004524320</v>
      </c>
      <c r="B2914" s="136" t="s">
        <v>5393</v>
      </c>
      <c r="C2914" s="136" t="s">
        <v>9182</v>
      </c>
      <c r="D2914" s="132" t="s">
        <v>4971</v>
      </c>
      <c r="E2914" s="136" t="s">
        <v>5414</v>
      </c>
      <c r="F2914" s="136" t="s">
        <v>5414</v>
      </c>
      <c r="G2914" s="136" t="s">
        <v>5776</v>
      </c>
      <c r="H2914" s="138" t="s">
        <v>6301</v>
      </c>
      <c r="I2914" s="136">
        <v>961500045</v>
      </c>
      <c r="J2914" s="131" t="s">
        <v>5433</v>
      </c>
      <c r="K2914" s="139">
        <v>24320</v>
      </c>
    </row>
    <row r="2915" spans="1:11">
      <c r="A2915" s="1" t="str">
        <f t="shared" si="45"/>
        <v>15100-43065396-961500038151190</v>
      </c>
      <c r="B2915" s="136" t="s">
        <v>5394</v>
      </c>
      <c r="C2915" s="136" t="s">
        <v>9183</v>
      </c>
      <c r="D2915" s="132" t="s">
        <v>4971</v>
      </c>
      <c r="E2915" s="136" t="s">
        <v>5415</v>
      </c>
      <c r="F2915" s="136" t="s">
        <v>5415</v>
      </c>
      <c r="G2915" s="136" t="s">
        <v>5758</v>
      </c>
      <c r="H2915" s="138" t="s">
        <v>6298</v>
      </c>
      <c r="I2915" s="136">
        <v>961500038</v>
      </c>
      <c r="J2915" s="131" t="s">
        <v>5279</v>
      </c>
      <c r="K2915" s="139">
        <v>151190</v>
      </c>
    </row>
    <row r="2916" spans="1:11">
      <c r="A2916" s="1" t="str">
        <f t="shared" si="45"/>
        <v>15100-43725096-96150004548220</v>
      </c>
      <c r="B2916" s="136" t="s">
        <v>5395</v>
      </c>
      <c r="C2916" s="136" t="s">
        <v>9184</v>
      </c>
      <c r="D2916" s="132" t="s">
        <v>4971</v>
      </c>
      <c r="E2916" s="136" t="s">
        <v>5416</v>
      </c>
      <c r="F2916" s="136" t="s">
        <v>5416</v>
      </c>
      <c r="G2916" s="136" t="s">
        <v>5776</v>
      </c>
      <c r="H2916" s="138" t="s">
        <v>6301</v>
      </c>
      <c r="I2916" s="136">
        <v>961500045</v>
      </c>
      <c r="J2916" s="131" t="s">
        <v>5433</v>
      </c>
      <c r="K2916" s="139">
        <v>48220</v>
      </c>
    </row>
    <row r="2917" spans="1:11">
      <c r="A2917" s="1" t="str">
        <f t="shared" si="45"/>
        <v>15100-43240196-96150003824030</v>
      </c>
      <c r="B2917" s="136" t="s">
        <v>5396</v>
      </c>
      <c r="C2917" s="136" t="s">
        <v>9185</v>
      </c>
      <c r="D2917" s="132" t="s">
        <v>4971</v>
      </c>
      <c r="E2917" s="136" t="s">
        <v>5419</v>
      </c>
      <c r="F2917" s="136" t="s">
        <v>5419</v>
      </c>
      <c r="G2917" s="136" t="s">
        <v>5758</v>
      </c>
      <c r="H2917" s="138" t="s">
        <v>6298</v>
      </c>
      <c r="I2917" s="136">
        <v>961500038</v>
      </c>
      <c r="J2917" s="131" t="s">
        <v>5279</v>
      </c>
      <c r="K2917" s="139">
        <v>24030</v>
      </c>
    </row>
    <row r="2918" spans="1:11">
      <c r="A2918" s="1" t="str">
        <f t="shared" si="45"/>
        <v>15100-43187696-961500022100340</v>
      </c>
      <c r="B2918" s="136" t="s">
        <v>5397</v>
      </c>
      <c r="C2918" s="136" t="s">
        <v>9186</v>
      </c>
      <c r="D2918" s="132" t="s">
        <v>4971</v>
      </c>
      <c r="E2918" s="136" t="s">
        <v>5303</v>
      </c>
      <c r="F2918" s="141" t="s">
        <v>5303</v>
      </c>
      <c r="G2918" s="141" t="s">
        <v>5772</v>
      </c>
      <c r="H2918" s="140" t="s">
        <v>6454</v>
      </c>
      <c r="I2918" s="141">
        <v>961500022</v>
      </c>
      <c r="J2918" s="131" t="s">
        <v>5434</v>
      </c>
      <c r="K2918" s="142">
        <v>100340</v>
      </c>
    </row>
    <row r="2919" spans="1:11">
      <c r="A2919" s="1" t="str">
        <f t="shared" si="45"/>
        <v>15100-43187696-961500038401350</v>
      </c>
      <c r="B2919" s="136" t="s">
        <v>5397</v>
      </c>
      <c r="C2919" s="136" t="s">
        <v>9186</v>
      </c>
      <c r="D2919" s="132" t="s">
        <v>4971</v>
      </c>
      <c r="E2919" s="136" t="s">
        <v>5303</v>
      </c>
      <c r="F2919" s="136" t="s">
        <v>5303</v>
      </c>
      <c r="G2919" s="136" t="s">
        <v>5758</v>
      </c>
      <c r="H2919" s="138" t="s">
        <v>6298</v>
      </c>
      <c r="I2919" s="136">
        <v>961500038</v>
      </c>
      <c r="J2919" s="131" t="s">
        <v>5279</v>
      </c>
      <c r="K2919" s="139">
        <v>401350</v>
      </c>
    </row>
    <row r="2920" spans="1:11">
      <c r="A2920" s="1" t="str">
        <f t="shared" si="45"/>
        <v>15100-43185596-961500151236440</v>
      </c>
      <c r="B2920" s="136" t="s">
        <v>5398</v>
      </c>
      <c r="C2920" s="136" t="s">
        <v>9187</v>
      </c>
      <c r="D2920" s="132" t="s">
        <v>4971</v>
      </c>
      <c r="E2920" s="136" t="s">
        <v>5303</v>
      </c>
      <c r="F2920" s="136" t="s">
        <v>5303</v>
      </c>
      <c r="G2920" s="136" t="s">
        <v>5789</v>
      </c>
      <c r="H2920" s="138" t="s">
        <v>6300</v>
      </c>
      <c r="I2920" s="136">
        <v>961500151</v>
      </c>
      <c r="J2920" s="131" t="s">
        <v>5425</v>
      </c>
      <c r="K2920" s="139">
        <v>236440</v>
      </c>
    </row>
    <row r="2921" spans="1:11">
      <c r="A2921" s="1" t="str">
        <f t="shared" si="45"/>
        <v>15100-43120396-961500038174620</v>
      </c>
      <c r="B2921" s="136" t="s">
        <v>5399</v>
      </c>
      <c r="C2921" s="136" t="s">
        <v>9188</v>
      </c>
      <c r="D2921" s="132" t="s">
        <v>4971</v>
      </c>
      <c r="E2921" s="136" t="s">
        <v>5287</v>
      </c>
      <c r="F2921" s="136" t="s">
        <v>5287</v>
      </c>
      <c r="G2921" s="136" t="s">
        <v>5758</v>
      </c>
      <c r="H2921" s="138" t="s">
        <v>6298</v>
      </c>
      <c r="I2921" s="136">
        <v>961500038</v>
      </c>
      <c r="J2921" s="131" t="s">
        <v>5279</v>
      </c>
      <c r="K2921" s="139">
        <v>174620</v>
      </c>
    </row>
    <row r="2922" spans="1:11">
      <c r="A2922" s="1" t="str">
        <f t="shared" si="45"/>
        <v>15100-42990896-961500038201230</v>
      </c>
      <c r="B2922" s="136" t="s">
        <v>5400</v>
      </c>
      <c r="C2922" s="136" t="s">
        <v>9189</v>
      </c>
      <c r="D2922" s="132" t="s">
        <v>4971</v>
      </c>
      <c r="E2922" s="136" t="s">
        <v>5420</v>
      </c>
      <c r="F2922" s="136" t="s">
        <v>5420</v>
      </c>
      <c r="G2922" s="136" t="s">
        <v>5758</v>
      </c>
      <c r="H2922" s="138" t="s">
        <v>6298</v>
      </c>
      <c r="I2922" s="136">
        <v>961500038</v>
      </c>
      <c r="J2922" s="131" t="s">
        <v>5279</v>
      </c>
      <c r="K2922" s="139">
        <v>201230</v>
      </c>
    </row>
    <row r="2923" spans="1:11">
      <c r="A2923" s="1" t="str">
        <f t="shared" si="45"/>
        <v>15100-43120396-96150002250600</v>
      </c>
      <c r="B2923" s="136" t="s">
        <v>5399</v>
      </c>
      <c r="C2923" s="136" t="s">
        <v>9188</v>
      </c>
      <c r="D2923" s="132" t="s">
        <v>4971</v>
      </c>
      <c r="E2923" s="136" t="s">
        <v>5287</v>
      </c>
      <c r="F2923" s="141" t="s">
        <v>5287</v>
      </c>
      <c r="G2923" s="141" t="s">
        <v>5772</v>
      </c>
      <c r="H2923" s="140" t="s">
        <v>6454</v>
      </c>
      <c r="I2923" s="141">
        <v>961500022</v>
      </c>
      <c r="J2923" s="131" t="s">
        <v>5434</v>
      </c>
      <c r="K2923" s="142">
        <v>50600</v>
      </c>
    </row>
    <row r="2924" spans="1:11">
      <c r="A2924" s="1" t="str">
        <f t="shared" si="45"/>
        <v>15100-42990896-961500022351390</v>
      </c>
      <c r="B2924" s="136" t="s">
        <v>5400</v>
      </c>
      <c r="C2924" s="136" t="s">
        <v>9189</v>
      </c>
      <c r="D2924" s="132" t="s">
        <v>4971</v>
      </c>
      <c r="E2924" s="136" t="s">
        <v>5420</v>
      </c>
      <c r="F2924" s="141" t="s">
        <v>5420</v>
      </c>
      <c r="G2924" s="141" t="s">
        <v>5772</v>
      </c>
      <c r="H2924" s="140" t="s">
        <v>6454</v>
      </c>
      <c r="I2924" s="141">
        <v>961500022</v>
      </c>
      <c r="J2924" s="131" t="s">
        <v>5434</v>
      </c>
      <c r="K2924" s="142">
        <v>351390</v>
      </c>
    </row>
    <row r="2925" spans="1:11">
      <c r="A2925" s="1" t="str">
        <f t="shared" si="45"/>
        <v>15100-43240196-96150010916520</v>
      </c>
      <c r="B2925" s="136" t="s">
        <v>5396</v>
      </c>
      <c r="C2925" s="136" t="s">
        <v>9185</v>
      </c>
      <c r="D2925" s="132" t="s">
        <v>4971</v>
      </c>
      <c r="E2925" s="136" t="s">
        <v>5419</v>
      </c>
      <c r="F2925" s="136" t="s">
        <v>5419</v>
      </c>
      <c r="G2925" s="136" t="s">
        <v>5801</v>
      </c>
      <c r="H2925" s="138" t="s">
        <v>6300</v>
      </c>
      <c r="I2925" s="136">
        <v>961500109</v>
      </c>
      <c r="J2925" s="131" t="s">
        <v>5228</v>
      </c>
      <c r="K2925" s="139">
        <v>16520</v>
      </c>
    </row>
    <row r="2926" spans="1:11">
      <c r="A2926" s="1" t="str">
        <f t="shared" si="45"/>
        <v>15100-43240195-951500524133080</v>
      </c>
      <c r="B2926" s="136" t="s">
        <v>5396</v>
      </c>
      <c r="C2926" s="136" t="s">
        <v>9185</v>
      </c>
      <c r="D2926" s="132" t="s">
        <v>4971</v>
      </c>
      <c r="E2926" s="136" t="s">
        <v>5419</v>
      </c>
      <c r="F2926" s="136" t="s">
        <v>5419</v>
      </c>
      <c r="G2926" s="136" t="s">
        <v>5715</v>
      </c>
      <c r="H2926" s="138" t="s">
        <v>6301</v>
      </c>
      <c r="I2926" s="136">
        <v>951500524</v>
      </c>
      <c r="J2926" s="131" t="s">
        <v>4509</v>
      </c>
      <c r="K2926" s="139">
        <v>133080</v>
      </c>
    </row>
    <row r="2927" spans="1:11">
      <c r="A2927" s="1" t="str">
        <f t="shared" si="45"/>
        <v>15100-43066895-95150052426340</v>
      </c>
      <c r="B2927" s="136" t="s">
        <v>5401</v>
      </c>
      <c r="C2927" s="136" t="s">
        <v>9190</v>
      </c>
      <c r="D2927" s="132" t="s">
        <v>4971</v>
      </c>
      <c r="E2927" s="136" t="s">
        <v>5415</v>
      </c>
      <c r="F2927" s="136" t="s">
        <v>5415</v>
      </c>
      <c r="G2927" s="136" t="s">
        <v>5715</v>
      </c>
      <c r="H2927" s="138" t="s">
        <v>6301</v>
      </c>
      <c r="I2927" s="136">
        <v>951500524</v>
      </c>
      <c r="J2927" s="131" t="s">
        <v>4509</v>
      </c>
      <c r="K2927" s="139">
        <v>26340</v>
      </c>
    </row>
    <row r="2928" spans="1:11">
      <c r="A2928" s="1" t="str">
        <f t="shared" si="45"/>
        <v>15100-42990896-961500109124930</v>
      </c>
      <c r="B2928" s="136" t="s">
        <v>5400</v>
      </c>
      <c r="C2928" s="136" t="s">
        <v>9189</v>
      </c>
      <c r="D2928" s="132" t="s">
        <v>4971</v>
      </c>
      <c r="E2928" s="136" t="s">
        <v>5420</v>
      </c>
      <c r="F2928" s="136" t="s">
        <v>5420</v>
      </c>
      <c r="G2928" s="136" t="s">
        <v>5801</v>
      </c>
      <c r="H2928" s="138" t="s">
        <v>6300</v>
      </c>
      <c r="I2928" s="136">
        <v>961500109</v>
      </c>
      <c r="J2928" s="131" t="s">
        <v>5228</v>
      </c>
      <c r="K2928" s="139">
        <v>124930</v>
      </c>
    </row>
    <row r="2929" spans="1:11">
      <c r="A2929" s="1" t="str">
        <f t="shared" si="45"/>
        <v>15100-43107295-95150052475920</v>
      </c>
      <c r="B2929" s="136" t="s">
        <v>5402</v>
      </c>
      <c r="C2929" s="136" t="s">
        <v>9191</v>
      </c>
      <c r="D2929" s="132" t="s">
        <v>4971</v>
      </c>
      <c r="E2929" s="136" t="s">
        <v>5287</v>
      </c>
      <c r="F2929" s="136" t="s">
        <v>5287</v>
      </c>
      <c r="G2929" s="136" t="s">
        <v>5715</v>
      </c>
      <c r="H2929" s="138" t="s">
        <v>6301</v>
      </c>
      <c r="I2929" s="136">
        <v>951500524</v>
      </c>
      <c r="J2929" s="131" t="s">
        <v>4509</v>
      </c>
      <c r="K2929" s="139">
        <v>75920</v>
      </c>
    </row>
    <row r="2930" spans="1:11">
      <c r="A2930" s="1" t="str">
        <f t="shared" si="45"/>
        <v>15100-43432396-96150015922180</v>
      </c>
      <c r="B2930" s="136" t="s">
        <v>5403</v>
      </c>
      <c r="C2930" s="136" t="s">
        <v>9192</v>
      </c>
      <c r="D2930" s="132" t="s">
        <v>4971</v>
      </c>
      <c r="E2930" s="136" t="s">
        <v>5417</v>
      </c>
      <c r="F2930" s="136" t="s">
        <v>5417</v>
      </c>
      <c r="G2930" s="136" t="s">
        <v>5806</v>
      </c>
      <c r="H2930" s="138" t="s">
        <v>6299</v>
      </c>
      <c r="I2930" s="136">
        <v>961500159</v>
      </c>
      <c r="J2930" s="131" t="s">
        <v>5427</v>
      </c>
      <c r="K2930" s="139">
        <v>22180</v>
      </c>
    </row>
    <row r="2931" spans="1:11">
      <c r="A2931" s="1" t="str">
        <f t="shared" si="45"/>
        <v>15100-43781096-96150016111921</v>
      </c>
      <c r="B2931" s="136" t="s">
        <v>5404</v>
      </c>
      <c r="C2931" s="136" t="s">
        <v>9193</v>
      </c>
      <c r="D2931" s="132" t="s">
        <v>4971</v>
      </c>
      <c r="E2931" s="136" t="s">
        <v>5380</v>
      </c>
      <c r="F2931" s="136" t="s">
        <v>5380</v>
      </c>
      <c r="G2931" s="136" t="s">
        <v>5810</v>
      </c>
      <c r="H2931" s="138" t="s">
        <v>6298</v>
      </c>
      <c r="I2931" s="136">
        <v>961500161</v>
      </c>
      <c r="J2931" s="131" t="s">
        <v>5426</v>
      </c>
      <c r="K2931" s="139">
        <v>11921</v>
      </c>
    </row>
    <row r="2932" spans="1:11">
      <c r="A2932" s="1" t="str">
        <f t="shared" si="45"/>
        <v>15100-43711396-961500158170740</v>
      </c>
      <c r="B2932" s="136" t="s">
        <v>5405</v>
      </c>
      <c r="C2932" s="136" t="s">
        <v>9194</v>
      </c>
      <c r="D2932" s="132" t="s">
        <v>4971</v>
      </c>
      <c r="E2932" s="136" t="s">
        <v>5416</v>
      </c>
      <c r="F2932" s="136" t="s">
        <v>5416</v>
      </c>
      <c r="G2932" s="136" t="s">
        <v>5810</v>
      </c>
      <c r="H2932" s="138" t="s">
        <v>6298</v>
      </c>
      <c r="I2932" s="136">
        <v>961500158</v>
      </c>
      <c r="J2932" s="131" t="s">
        <v>5431</v>
      </c>
      <c r="K2932" s="139">
        <v>170740</v>
      </c>
    </row>
    <row r="2933" spans="1:11">
      <c r="A2933" s="1" t="str">
        <f t="shared" si="45"/>
        <v>15100-43669296-96150015871599</v>
      </c>
      <c r="B2933" s="136" t="s">
        <v>5406</v>
      </c>
      <c r="C2933" s="136" t="s">
        <v>9195</v>
      </c>
      <c r="D2933" s="132" t="s">
        <v>4971</v>
      </c>
      <c r="E2933" s="136" t="s">
        <v>5331</v>
      </c>
      <c r="F2933" s="136" t="s">
        <v>5331</v>
      </c>
      <c r="G2933" s="136" t="s">
        <v>5810</v>
      </c>
      <c r="H2933" s="138" t="s">
        <v>6298</v>
      </c>
      <c r="I2933" s="136">
        <v>961500158</v>
      </c>
      <c r="J2933" s="131" t="s">
        <v>5431</v>
      </c>
      <c r="K2933" s="139">
        <v>71599</v>
      </c>
    </row>
    <row r="2934" spans="1:11">
      <c r="A2934" s="1" t="str">
        <f t="shared" si="45"/>
        <v>15100-43670196-96150014733950</v>
      </c>
      <c r="B2934" s="136" t="s">
        <v>5407</v>
      </c>
      <c r="C2934" s="136" t="s">
        <v>9196</v>
      </c>
      <c r="D2934" s="132" t="s">
        <v>4971</v>
      </c>
      <c r="E2934" s="136" t="s">
        <v>5331</v>
      </c>
      <c r="F2934" s="136" t="s">
        <v>5331</v>
      </c>
      <c r="G2934" s="136" t="s">
        <v>5799</v>
      </c>
      <c r="H2934" s="138" t="s">
        <v>6298</v>
      </c>
      <c r="I2934" s="136">
        <v>961500147</v>
      </c>
      <c r="J2934" s="131" t="s">
        <v>5435</v>
      </c>
      <c r="K2934" s="139">
        <v>33950</v>
      </c>
    </row>
    <row r="2935" spans="1:11">
      <c r="A2935" s="1" t="str">
        <f t="shared" si="45"/>
        <v>15100-43711396-96150003370910</v>
      </c>
      <c r="B2935" s="136" t="s">
        <v>5405</v>
      </c>
      <c r="C2935" s="136" t="s">
        <v>9194</v>
      </c>
      <c r="D2935" s="132" t="s">
        <v>4971</v>
      </c>
      <c r="E2935" s="136" t="s">
        <v>5416</v>
      </c>
      <c r="F2935" s="136" t="s">
        <v>5416</v>
      </c>
      <c r="G2935" s="136" t="s">
        <v>5776</v>
      </c>
      <c r="H2935" s="138" t="s">
        <v>6301</v>
      </c>
      <c r="I2935" s="136">
        <v>961500033</v>
      </c>
      <c r="J2935" s="131" t="s">
        <v>5430</v>
      </c>
      <c r="K2935" s="139">
        <v>70910</v>
      </c>
    </row>
    <row r="2936" spans="1:11">
      <c r="A2936" s="1" t="str">
        <f t="shared" si="45"/>
        <v>15100-43357996-96150003370660</v>
      </c>
      <c r="B2936" s="136" t="s">
        <v>5408</v>
      </c>
      <c r="C2936" s="136" t="s">
        <v>9197</v>
      </c>
      <c r="D2936" s="132" t="s">
        <v>4971</v>
      </c>
      <c r="E2936" s="136" t="s">
        <v>5412</v>
      </c>
      <c r="F2936" s="136" t="s">
        <v>5412</v>
      </c>
      <c r="G2936" s="136" t="s">
        <v>5776</v>
      </c>
      <c r="H2936" s="138" t="s">
        <v>6301</v>
      </c>
      <c r="I2936" s="136">
        <v>961500033</v>
      </c>
      <c r="J2936" s="131" t="s">
        <v>5430</v>
      </c>
      <c r="K2936" s="139">
        <v>70660</v>
      </c>
    </row>
    <row r="2937" spans="1:11">
      <c r="A2937" s="1" t="str">
        <f t="shared" si="45"/>
        <v>15100-43555596-96150015949720</v>
      </c>
      <c r="B2937" s="136" t="s">
        <v>5409</v>
      </c>
      <c r="C2937" s="136" t="s">
        <v>9198</v>
      </c>
      <c r="D2937" s="132" t="s">
        <v>4971</v>
      </c>
      <c r="E2937" s="136" t="s">
        <v>5418</v>
      </c>
      <c r="F2937" s="136" t="s">
        <v>5418</v>
      </c>
      <c r="G2937" s="136" t="s">
        <v>5806</v>
      </c>
      <c r="H2937" s="138" t="s">
        <v>6299</v>
      </c>
      <c r="I2937" s="136">
        <v>961500159</v>
      </c>
      <c r="J2937" s="131" t="s">
        <v>5427</v>
      </c>
      <c r="K2937" s="139">
        <v>49720</v>
      </c>
    </row>
    <row r="2938" spans="1:11">
      <c r="A2938" s="1" t="str">
        <f t="shared" si="45"/>
        <v>15100-43253796-96150015645540</v>
      </c>
      <c r="B2938" s="136" t="s">
        <v>5410</v>
      </c>
      <c r="C2938" s="136" t="s">
        <v>9199</v>
      </c>
      <c r="D2938" s="132" t="s">
        <v>4971</v>
      </c>
      <c r="E2938" s="136" t="s">
        <v>5419</v>
      </c>
      <c r="F2938" s="136" t="s">
        <v>5419</v>
      </c>
      <c r="G2938" s="136" t="s">
        <v>5806</v>
      </c>
      <c r="H2938" s="138" t="s">
        <v>6299</v>
      </c>
      <c r="I2938" s="136">
        <v>961500156</v>
      </c>
      <c r="J2938" s="131" t="s">
        <v>5436</v>
      </c>
      <c r="K2938" s="139">
        <v>45540</v>
      </c>
    </row>
    <row r="2939" spans="1:11">
      <c r="A2939" s="1" t="str">
        <f t="shared" si="45"/>
        <v>15100-43670196-961500155971</v>
      </c>
      <c r="B2939" s="136" t="s">
        <v>5407</v>
      </c>
      <c r="C2939" s="136" t="s">
        <v>9196</v>
      </c>
      <c r="D2939" s="132" t="s">
        <v>4971</v>
      </c>
      <c r="E2939" s="136" t="s">
        <v>5331</v>
      </c>
      <c r="F2939" s="136" t="s">
        <v>5331</v>
      </c>
      <c r="G2939" s="136" t="s">
        <v>5810</v>
      </c>
      <c r="H2939" s="138" t="s">
        <v>6298</v>
      </c>
      <c r="I2939" s="136">
        <v>961500155</v>
      </c>
      <c r="J2939" s="131" t="s">
        <v>5432</v>
      </c>
      <c r="K2939" s="139">
        <v>971</v>
      </c>
    </row>
    <row r="2940" spans="1:11">
      <c r="A2940" s="1" t="str">
        <f t="shared" si="45"/>
        <v>15100-43711396-96150004546590</v>
      </c>
      <c r="B2940" s="136" t="s">
        <v>5405</v>
      </c>
      <c r="C2940" s="136" t="s">
        <v>9194</v>
      </c>
      <c r="D2940" s="132" t="s">
        <v>4971</v>
      </c>
      <c r="E2940" s="136" t="s">
        <v>5416</v>
      </c>
      <c r="F2940" s="136" t="s">
        <v>5416</v>
      </c>
      <c r="G2940" s="136" t="s">
        <v>5776</v>
      </c>
      <c r="H2940" s="138" t="s">
        <v>6301</v>
      </c>
      <c r="I2940" s="136">
        <v>961500045</v>
      </c>
      <c r="J2940" s="131" t="s">
        <v>5433</v>
      </c>
      <c r="K2940" s="139">
        <v>46590</v>
      </c>
    </row>
    <row r="2941" spans="1:11">
      <c r="A2941" s="1" t="str">
        <f t="shared" si="45"/>
        <v>15100-43781096-96150004582629</v>
      </c>
      <c r="B2941" s="136" t="s">
        <v>5404</v>
      </c>
      <c r="C2941" s="136" t="s">
        <v>9193</v>
      </c>
      <c r="D2941" s="132" t="s">
        <v>4971</v>
      </c>
      <c r="E2941" s="136" t="s">
        <v>5380</v>
      </c>
      <c r="F2941" s="136" t="s">
        <v>5380</v>
      </c>
      <c r="G2941" s="136" t="s">
        <v>5776</v>
      </c>
      <c r="H2941" s="138" t="s">
        <v>6301</v>
      </c>
      <c r="I2941" s="136">
        <v>961500045</v>
      </c>
      <c r="J2941" s="131" t="s">
        <v>5433</v>
      </c>
      <c r="K2941" s="139">
        <v>82629</v>
      </c>
    </row>
    <row r="2942" spans="1:11">
      <c r="A2942" s="1" t="str">
        <f t="shared" si="45"/>
        <v>15100-43669296-96150016050041</v>
      </c>
      <c r="B2942" s="136" t="s">
        <v>5406</v>
      </c>
      <c r="C2942" s="136" t="s">
        <v>9195</v>
      </c>
      <c r="D2942" s="132" t="s">
        <v>4971</v>
      </c>
      <c r="E2942" s="136" t="s">
        <v>5331</v>
      </c>
      <c r="F2942" s="136" t="s">
        <v>5331</v>
      </c>
      <c r="G2942" s="136" t="s">
        <v>5810</v>
      </c>
      <c r="H2942" s="138" t="s">
        <v>6298</v>
      </c>
      <c r="I2942" s="136">
        <v>961500160</v>
      </c>
      <c r="J2942" s="131" t="s">
        <v>5437</v>
      </c>
      <c r="K2942" s="139">
        <v>50041</v>
      </c>
    </row>
    <row r="2943" spans="1:11">
      <c r="A2943" s="1" t="str">
        <f t="shared" si="45"/>
        <v>15100-43669296-961500033147020</v>
      </c>
      <c r="B2943" s="136" t="s">
        <v>5406</v>
      </c>
      <c r="C2943" s="136" t="s">
        <v>9195</v>
      </c>
      <c r="D2943" s="132" t="s">
        <v>4971</v>
      </c>
      <c r="E2943" s="136" t="s">
        <v>5331</v>
      </c>
      <c r="F2943" s="136" t="s">
        <v>5331</v>
      </c>
      <c r="G2943" s="136" t="s">
        <v>5776</v>
      </c>
      <c r="H2943" s="138" t="s">
        <v>6301</v>
      </c>
      <c r="I2943" s="136">
        <v>961500033</v>
      </c>
      <c r="J2943" s="131" t="s">
        <v>5430</v>
      </c>
      <c r="K2943" s="139">
        <v>147020</v>
      </c>
    </row>
    <row r="2944" spans="1:11">
      <c r="A2944" s="1" t="str">
        <f t="shared" si="45"/>
        <v>15100-43670196-96150016032239</v>
      </c>
      <c r="B2944" s="136" t="s">
        <v>5407</v>
      </c>
      <c r="C2944" s="136" t="s">
        <v>9196</v>
      </c>
      <c r="D2944" s="132" t="s">
        <v>4971</v>
      </c>
      <c r="E2944" s="136" t="s">
        <v>5331</v>
      </c>
      <c r="F2944" s="136" t="s">
        <v>5331</v>
      </c>
      <c r="G2944" s="136" t="s">
        <v>5810</v>
      </c>
      <c r="H2944" s="138" t="s">
        <v>6298</v>
      </c>
      <c r="I2944" s="136">
        <v>961500160</v>
      </c>
      <c r="J2944" s="131" t="s">
        <v>5437</v>
      </c>
      <c r="K2944" s="139">
        <v>32239</v>
      </c>
    </row>
    <row r="2945" spans="1:11">
      <c r="A2945" s="1" t="str">
        <f t="shared" si="45"/>
        <v>15100-43543696-961500033184750</v>
      </c>
      <c r="B2945" s="136" t="s">
        <v>5411</v>
      </c>
      <c r="C2945" s="136" t="s">
        <v>9200</v>
      </c>
      <c r="D2945" s="132" t="s">
        <v>4971</v>
      </c>
      <c r="E2945" s="136" t="s">
        <v>5418</v>
      </c>
      <c r="F2945" s="136" t="s">
        <v>5418</v>
      </c>
      <c r="G2945" s="136" t="s">
        <v>5776</v>
      </c>
      <c r="H2945" s="138" t="s">
        <v>6301</v>
      </c>
      <c r="I2945" s="136">
        <v>961500033</v>
      </c>
      <c r="J2945" s="131" t="s">
        <v>5430</v>
      </c>
      <c r="K2945" s="139">
        <v>184750</v>
      </c>
    </row>
    <row r="2946" spans="1:11">
      <c r="A2946" s="1" t="str">
        <f t="shared" si="45"/>
        <v>15100-43543695-9515003582000</v>
      </c>
      <c r="B2946" s="136" t="s">
        <v>5411</v>
      </c>
      <c r="C2946" s="136" t="s">
        <v>9200</v>
      </c>
      <c r="D2946" s="132" t="s">
        <v>4971</v>
      </c>
      <c r="E2946" s="136" t="s">
        <v>5418</v>
      </c>
      <c r="F2946" s="136" t="s">
        <v>5418</v>
      </c>
      <c r="G2946" s="136" t="s">
        <v>5674</v>
      </c>
      <c r="H2946" s="138" t="s">
        <v>6454</v>
      </c>
      <c r="I2946" s="136">
        <v>951500358</v>
      </c>
      <c r="J2946" s="131" t="s">
        <v>4306</v>
      </c>
      <c r="K2946" s="139">
        <v>2000</v>
      </c>
    </row>
    <row r="2947" spans="1:11">
      <c r="A2947" s="1" t="str">
        <f t="shared" ref="A2947:A3010" si="46">B2947&amp;J2947&amp;K2947</f>
        <v>50100-887094296-961500096164560</v>
      </c>
      <c r="B2947" s="136" t="s">
        <v>11873</v>
      </c>
      <c r="C2947" s="136" t="s">
        <v>9211</v>
      </c>
      <c r="D2947" s="132" t="s">
        <v>4971</v>
      </c>
      <c r="E2947" s="136" t="s">
        <v>5458</v>
      </c>
      <c r="F2947" s="136" t="s">
        <v>5458</v>
      </c>
      <c r="G2947" s="136" t="s">
        <v>5762</v>
      </c>
      <c r="H2947" s="138" t="s">
        <v>6298</v>
      </c>
      <c r="I2947" s="136">
        <v>961500096</v>
      </c>
      <c r="J2947" s="131" t="s">
        <v>5442</v>
      </c>
      <c r="K2947" s="139">
        <v>164560</v>
      </c>
    </row>
    <row r="2948" spans="1:11">
      <c r="A2948" s="1" t="str">
        <f t="shared" si="46"/>
        <v>50100-885710996-9641000251050067</v>
      </c>
      <c r="B2948" s="136" t="s">
        <v>11874</v>
      </c>
      <c r="C2948" s="136" t="s">
        <v>9212</v>
      </c>
      <c r="D2948" s="132" t="s">
        <v>4971</v>
      </c>
      <c r="E2948" s="136" t="s">
        <v>5457</v>
      </c>
      <c r="F2948" s="136" t="s">
        <v>5457</v>
      </c>
      <c r="G2948" s="136" t="s">
        <v>5809</v>
      </c>
      <c r="H2948" s="138" t="s">
        <v>6452</v>
      </c>
      <c r="I2948" s="136">
        <v>964100025</v>
      </c>
      <c r="J2948" s="131" t="s">
        <v>5448</v>
      </c>
      <c r="K2948" s="139">
        <v>1050067</v>
      </c>
    </row>
    <row r="2949" spans="1:11">
      <c r="A2949" s="1" t="str">
        <f t="shared" si="46"/>
        <v>50100-888294896-9615000987858</v>
      </c>
      <c r="B2949" s="136" t="s">
        <v>11875</v>
      </c>
      <c r="C2949" s="136" t="s">
        <v>9213</v>
      </c>
      <c r="D2949" s="132" t="s">
        <v>4971</v>
      </c>
      <c r="E2949" s="136" t="s">
        <v>5565</v>
      </c>
      <c r="F2949" s="136" t="s">
        <v>5565</v>
      </c>
      <c r="G2949" s="136" t="s">
        <v>5762</v>
      </c>
      <c r="H2949" s="138" t="s">
        <v>6298</v>
      </c>
      <c r="I2949" s="136">
        <v>961500098</v>
      </c>
      <c r="J2949" s="131" t="s">
        <v>5284</v>
      </c>
      <c r="K2949" s="139">
        <v>7858</v>
      </c>
    </row>
    <row r="2950" spans="1:11">
      <c r="A2950" s="1" t="str">
        <f t="shared" si="46"/>
        <v>50100-888294896-962500029500000</v>
      </c>
      <c r="B2950" s="136" t="s">
        <v>11875</v>
      </c>
      <c r="C2950" s="136" t="s">
        <v>9213</v>
      </c>
      <c r="D2950" s="132" t="s">
        <v>4971</v>
      </c>
      <c r="E2950" s="136" t="s">
        <v>5565</v>
      </c>
      <c r="F2950" s="136" t="s">
        <v>5565</v>
      </c>
      <c r="G2950" s="141" t="s">
        <v>5812</v>
      </c>
      <c r="H2950" s="140" t="s">
        <v>11061</v>
      </c>
      <c r="I2950" s="141">
        <v>962500029</v>
      </c>
      <c r="J2950" s="131" t="s">
        <v>5449</v>
      </c>
      <c r="K2950" s="142">
        <v>500000</v>
      </c>
    </row>
    <row r="2951" spans="1:11">
      <c r="A2951" s="1" t="str">
        <f t="shared" si="46"/>
        <v>50100-885735896-9641000244097271</v>
      </c>
      <c r="B2951" s="136" t="s">
        <v>11876</v>
      </c>
      <c r="C2951" s="136" t="s">
        <v>9214</v>
      </c>
      <c r="D2951" s="132" t="s">
        <v>4971</v>
      </c>
      <c r="E2951" s="136" t="s">
        <v>5457</v>
      </c>
      <c r="F2951" s="136" t="s">
        <v>5457</v>
      </c>
      <c r="G2951" s="136" t="s">
        <v>5809</v>
      </c>
      <c r="H2951" s="138" t="s">
        <v>6452</v>
      </c>
      <c r="I2951" s="136">
        <v>964100024</v>
      </c>
      <c r="J2951" s="131" t="s">
        <v>5450</v>
      </c>
      <c r="K2951" s="139">
        <v>4097271</v>
      </c>
    </row>
    <row r="2952" spans="1:11">
      <c r="A2952" s="1" t="str">
        <f t="shared" si="46"/>
        <v>50100-887271296-9641000262498556</v>
      </c>
      <c r="B2952" s="136" t="s">
        <v>11877</v>
      </c>
      <c r="C2952" s="136" t="s">
        <v>9215</v>
      </c>
      <c r="D2952" s="132" t="s">
        <v>4971</v>
      </c>
      <c r="E2952" s="136" t="s">
        <v>5458</v>
      </c>
      <c r="F2952" s="136" t="s">
        <v>5458</v>
      </c>
      <c r="G2952" s="136" t="s">
        <v>5809</v>
      </c>
      <c r="H2952" s="138" t="s">
        <v>6452</v>
      </c>
      <c r="I2952" s="136">
        <v>964100026</v>
      </c>
      <c r="J2952" s="131" t="s">
        <v>5451</v>
      </c>
      <c r="K2952" s="139">
        <v>2498556</v>
      </c>
    </row>
    <row r="2953" spans="1:11">
      <c r="A2953" s="1" t="str">
        <f t="shared" si="46"/>
        <v>50100-887262796-964100027900000</v>
      </c>
      <c r="B2953" s="136" t="s">
        <v>11878</v>
      </c>
      <c r="C2953" s="136" t="s">
        <v>9216</v>
      </c>
      <c r="D2953" s="132" t="s">
        <v>4971</v>
      </c>
      <c r="E2953" s="136" t="s">
        <v>5458</v>
      </c>
      <c r="F2953" s="136" t="s">
        <v>5458</v>
      </c>
      <c r="G2953" s="136" t="s">
        <v>5809</v>
      </c>
      <c r="H2953" s="138" t="s">
        <v>6452</v>
      </c>
      <c r="I2953" s="136">
        <v>964100027</v>
      </c>
      <c r="J2953" s="131" t="s">
        <v>5452</v>
      </c>
      <c r="K2953" s="139">
        <v>900000</v>
      </c>
    </row>
    <row r="2954" spans="1:11">
      <c r="A2954" s="1" t="str">
        <f t="shared" si="46"/>
        <v>50100-886170896-962500025989022</v>
      </c>
      <c r="B2954" s="136" t="s">
        <v>11879</v>
      </c>
      <c r="C2954" s="136" t="s">
        <v>9217</v>
      </c>
      <c r="D2954" s="132" t="s">
        <v>4971</v>
      </c>
      <c r="E2954" s="136" t="s">
        <v>5457</v>
      </c>
      <c r="F2954" s="136" t="s">
        <v>5457</v>
      </c>
      <c r="G2954" s="141" t="s">
        <v>5811</v>
      </c>
      <c r="H2954" s="140" t="s">
        <v>11061</v>
      </c>
      <c r="I2954" s="141">
        <v>962500025</v>
      </c>
      <c r="J2954" s="131" t="s">
        <v>5453</v>
      </c>
      <c r="K2954" s="142">
        <v>989022</v>
      </c>
    </row>
    <row r="2955" spans="1:11">
      <c r="A2955" s="1" t="str">
        <f t="shared" si="46"/>
        <v>50100-890606096-961500037975180</v>
      </c>
      <c r="B2955" s="136" t="s">
        <v>11880</v>
      </c>
      <c r="C2955" s="136" t="s">
        <v>9218</v>
      </c>
      <c r="D2955" s="132" t="s">
        <v>4971</v>
      </c>
      <c r="E2955" s="136" t="s">
        <v>5459</v>
      </c>
      <c r="F2955" s="136" t="s">
        <v>5459</v>
      </c>
      <c r="G2955" s="136" t="s">
        <v>5758</v>
      </c>
      <c r="H2955" s="138" t="s">
        <v>6298</v>
      </c>
      <c r="I2955" s="136">
        <v>961500037</v>
      </c>
      <c r="J2955" s="131" t="s">
        <v>5454</v>
      </c>
      <c r="K2955" s="139">
        <v>975180</v>
      </c>
    </row>
    <row r="2956" spans="1:11">
      <c r="A2956" s="1" t="str">
        <f t="shared" si="46"/>
        <v>50100-890525196-964100029975499</v>
      </c>
      <c r="B2956" s="136" t="s">
        <v>11881</v>
      </c>
      <c r="C2956" s="136" t="s">
        <v>9219</v>
      </c>
      <c r="D2956" s="132" t="s">
        <v>4971</v>
      </c>
      <c r="E2956" s="136" t="s">
        <v>5459</v>
      </c>
      <c r="F2956" s="136" t="s">
        <v>5459</v>
      </c>
      <c r="G2956" s="136" t="s">
        <v>5817</v>
      </c>
      <c r="H2956" s="138" t="s">
        <v>6452</v>
      </c>
      <c r="I2956" s="136">
        <v>964100029</v>
      </c>
      <c r="J2956" s="131" t="s">
        <v>5455</v>
      </c>
      <c r="K2956" s="139">
        <v>975499</v>
      </c>
    </row>
    <row r="2957" spans="1:11">
      <c r="A2957" s="1" t="str">
        <f t="shared" si="46"/>
        <v>50100-887262796-964100028171326</v>
      </c>
      <c r="B2957" s="136" t="s">
        <v>11878</v>
      </c>
      <c r="C2957" s="136" t="s">
        <v>9216</v>
      </c>
      <c r="D2957" s="132" t="s">
        <v>4971</v>
      </c>
      <c r="E2957" s="136" t="s">
        <v>5458</v>
      </c>
      <c r="F2957" s="136" t="s">
        <v>5458</v>
      </c>
      <c r="G2957" s="136" t="s">
        <v>5782</v>
      </c>
      <c r="H2957" s="138" t="s">
        <v>6452</v>
      </c>
      <c r="I2957" s="136">
        <v>964100028</v>
      </c>
      <c r="J2957" s="131" t="s">
        <v>5456</v>
      </c>
      <c r="K2957" s="139">
        <v>171326</v>
      </c>
    </row>
    <row r="2958" spans="1:11">
      <c r="A2958" s="1" t="str">
        <f t="shared" si="46"/>
        <v>50100-892046996-9641000321045742</v>
      </c>
      <c r="B2958" s="136" t="s">
        <v>5465</v>
      </c>
      <c r="C2958" s="136" t="s">
        <v>9220</v>
      </c>
      <c r="D2958" s="132" t="s">
        <v>4971</v>
      </c>
      <c r="E2958" s="136" t="s">
        <v>5478</v>
      </c>
      <c r="F2958" s="136" t="s">
        <v>5478</v>
      </c>
      <c r="G2958" s="136" t="s">
        <v>5817</v>
      </c>
      <c r="H2958" s="138" t="s">
        <v>6452</v>
      </c>
      <c r="I2958" s="136">
        <v>964100032</v>
      </c>
      <c r="J2958" s="131" t="s">
        <v>5484</v>
      </c>
      <c r="K2958" s="139">
        <v>1045742</v>
      </c>
    </row>
    <row r="2959" spans="1:11">
      <c r="A2959" s="1" t="str">
        <f t="shared" si="46"/>
        <v>50100-895659496-961500037492860</v>
      </c>
      <c r="B2959" s="136" t="s">
        <v>5466</v>
      </c>
      <c r="C2959" s="136" t="s">
        <v>9221</v>
      </c>
      <c r="D2959" s="132" t="s">
        <v>4971</v>
      </c>
      <c r="E2959" s="136" t="s">
        <v>5479</v>
      </c>
      <c r="F2959" s="136" t="s">
        <v>5479</v>
      </c>
      <c r="G2959" s="136" t="s">
        <v>5758</v>
      </c>
      <c r="H2959" s="138" t="s">
        <v>6298</v>
      </c>
      <c r="I2959" s="136">
        <v>961500037</v>
      </c>
      <c r="J2959" s="131" t="s">
        <v>5454</v>
      </c>
      <c r="K2959" s="139">
        <v>492860</v>
      </c>
    </row>
    <row r="2960" spans="1:11">
      <c r="A2960" s="1" t="str">
        <f t="shared" si="46"/>
        <v>50100-897287596-961500112100000</v>
      </c>
      <c r="B2960" s="136" t="s">
        <v>5467</v>
      </c>
      <c r="C2960" s="136" t="s">
        <v>9222</v>
      </c>
      <c r="D2960" s="132" t="s">
        <v>4971</v>
      </c>
      <c r="E2960" s="136" t="s">
        <v>5480</v>
      </c>
      <c r="F2960" s="136" t="s">
        <v>5480</v>
      </c>
      <c r="G2960" s="136" t="s">
        <v>5793</v>
      </c>
      <c r="H2960" s="138" t="s">
        <v>6454</v>
      </c>
      <c r="I2960" s="136">
        <v>961500112</v>
      </c>
      <c r="J2960" s="131" t="s">
        <v>5485</v>
      </c>
      <c r="K2960" s="139">
        <v>100000</v>
      </c>
    </row>
    <row r="2961" spans="1:11">
      <c r="A2961" s="1" t="str">
        <f t="shared" si="46"/>
        <v>50100-896707696-96410003793637</v>
      </c>
      <c r="B2961" s="136" t="s">
        <v>5468</v>
      </c>
      <c r="C2961" s="136" t="s">
        <v>9223</v>
      </c>
      <c r="D2961" s="132" t="s">
        <v>4971</v>
      </c>
      <c r="E2961" s="136" t="s">
        <v>5481</v>
      </c>
      <c r="F2961" s="136" t="s">
        <v>5481</v>
      </c>
      <c r="G2961" s="136" t="s">
        <v>5783</v>
      </c>
      <c r="H2961" s="138" t="s">
        <v>6452</v>
      </c>
      <c r="I2961" s="136">
        <v>964100037</v>
      </c>
      <c r="J2961" s="131" t="s">
        <v>5486</v>
      </c>
      <c r="K2961" s="139">
        <v>93637</v>
      </c>
    </row>
    <row r="2962" spans="1:11">
      <c r="A2962" s="1" t="str">
        <f t="shared" si="46"/>
        <v>50100-896707696-9641000364000000</v>
      </c>
      <c r="B2962" s="136" t="s">
        <v>5468</v>
      </c>
      <c r="C2962" s="136" t="s">
        <v>9223</v>
      </c>
      <c r="D2962" s="132" t="s">
        <v>4971</v>
      </c>
      <c r="E2962" s="136" t="s">
        <v>5481</v>
      </c>
      <c r="F2962" s="136" t="s">
        <v>5481</v>
      </c>
      <c r="G2962" s="136" t="s">
        <v>5824</v>
      </c>
      <c r="H2962" s="138" t="s">
        <v>10183</v>
      </c>
      <c r="I2962" s="136">
        <v>964100036</v>
      </c>
      <c r="J2962" s="131" t="s">
        <v>5487</v>
      </c>
      <c r="K2962" s="139">
        <v>4000000</v>
      </c>
    </row>
    <row r="2963" spans="1:11">
      <c r="A2963" s="1" t="str">
        <f t="shared" si="46"/>
        <v>50100-893028896-9615000341497225</v>
      </c>
      <c r="B2963" s="136" t="s">
        <v>5469</v>
      </c>
      <c r="C2963" s="136" t="s">
        <v>9224</v>
      </c>
      <c r="D2963" s="132" t="s">
        <v>4971</v>
      </c>
      <c r="E2963" s="136" t="s">
        <v>5482</v>
      </c>
      <c r="F2963" s="141" t="s">
        <v>5482</v>
      </c>
      <c r="G2963" s="141" t="s">
        <v>5772</v>
      </c>
      <c r="H2963" s="140" t="s">
        <v>6454</v>
      </c>
      <c r="I2963" s="141">
        <v>961500034</v>
      </c>
      <c r="J2963" s="131" t="s">
        <v>5488</v>
      </c>
      <c r="K2963" s="142">
        <v>1497225</v>
      </c>
    </row>
    <row r="2964" spans="1:11">
      <c r="A2964" s="1" t="str">
        <f t="shared" si="46"/>
        <v>50100-895977296-961500080499725</v>
      </c>
      <c r="B2964" s="136" t="s">
        <v>5470</v>
      </c>
      <c r="C2964" s="136" t="s">
        <v>9225</v>
      </c>
      <c r="D2964" s="132" t="s">
        <v>4971</v>
      </c>
      <c r="E2964" s="136" t="s">
        <v>5460</v>
      </c>
      <c r="F2964" s="136" t="s">
        <v>5460</v>
      </c>
      <c r="G2964" s="136" t="s">
        <v>5793</v>
      </c>
      <c r="H2964" s="138" t="s">
        <v>6454</v>
      </c>
      <c r="I2964" s="136">
        <v>961500080</v>
      </c>
      <c r="J2964" s="131" t="s">
        <v>5489</v>
      </c>
      <c r="K2964" s="139">
        <v>499725</v>
      </c>
    </row>
    <row r="2965" spans="1:11">
      <c r="A2965" s="1" t="str">
        <f t="shared" si="46"/>
        <v>50100-892078396-9641000302487017</v>
      </c>
      <c r="B2965" s="136" t="s">
        <v>5471</v>
      </c>
      <c r="C2965" s="136" t="s">
        <v>9226</v>
      </c>
      <c r="D2965" s="132" t="s">
        <v>4971</v>
      </c>
      <c r="E2965" s="136" t="s">
        <v>5478</v>
      </c>
      <c r="F2965" s="136" t="s">
        <v>5478</v>
      </c>
      <c r="G2965" s="136" t="s">
        <v>5817</v>
      </c>
      <c r="H2965" s="138" t="s">
        <v>6452</v>
      </c>
      <c r="I2965" s="136">
        <v>964100030</v>
      </c>
      <c r="J2965" s="131" t="s">
        <v>5490</v>
      </c>
      <c r="K2965" s="139">
        <v>2487017</v>
      </c>
    </row>
    <row r="2966" spans="1:11">
      <c r="A2966" s="1" t="str">
        <f t="shared" si="46"/>
        <v>50100-894223196-961500035294278</v>
      </c>
      <c r="B2966" s="136" t="s">
        <v>5472</v>
      </c>
      <c r="C2966" s="136" t="s">
        <v>9227</v>
      </c>
      <c r="D2966" s="132" t="s">
        <v>4971</v>
      </c>
      <c r="E2966" s="136" t="s">
        <v>5483</v>
      </c>
      <c r="F2966" s="141" t="s">
        <v>5483</v>
      </c>
      <c r="G2966" s="141" t="s">
        <v>5772</v>
      </c>
      <c r="H2966" s="140" t="s">
        <v>6454</v>
      </c>
      <c r="I2966" s="141">
        <v>961500035</v>
      </c>
      <c r="J2966" s="131" t="s">
        <v>5440</v>
      </c>
      <c r="K2966" s="142">
        <v>294278</v>
      </c>
    </row>
    <row r="2967" spans="1:11">
      <c r="A2967" s="1" t="str">
        <f t="shared" si="46"/>
        <v>50100-892062396-9641000311424581</v>
      </c>
      <c r="B2967" s="136" t="s">
        <v>5473</v>
      </c>
      <c r="C2967" s="136" t="s">
        <v>9228</v>
      </c>
      <c r="D2967" s="132" t="s">
        <v>4971</v>
      </c>
      <c r="E2967" s="136" t="s">
        <v>5478</v>
      </c>
      <c r="F2967" s="136" t="s">
        <v>5478</v>
      </c>
      <c r="G2967" s="136" t="s">
        <v>5817</v>
      </c>
      <c r="H2967" s="138" t="s">
        <v>6452</v>
      </c>
      <c r="I2967" s="136">
        <v>964100031</v>
      </c>
      <c r="J2967" s="131" t="s">
        <v>5491</v>
      </c>
      <c r="K2967" s="139">
        <v>1424581</v>
      </c>
    </row>
    <row r="2968" spans="1:11">
      <c r="A2968" s="1" t="str">
        <f t="shared" si="46"/>
        <v>50100-897287596-961500035376650</v>
      </c>
      <c r="B2968" s="136" t="s">
        <v>5467</v>
      </c>
      <c r="C2968" s="136" t="s">
        <v>9222</v>
      </c>
      <c r="D2968" s="132" t="s">
        <v>4971</v>
      </c>
      <c r="E2968" s="136" t="s">
        <v>5480</v>
      </c>
      <c r="F2968" s="141" t="s">
        <v>5480</v>
      </c>
      <c r="G2968" s="141" t="s">
        <v>5772</v>
      </c>
      <c r="H2968" s="140" t="s">
        <v>6454</v>
      </c>
      <c r="I2968" s="141">
        <v>961500035</v>
      </c>
      <c r="J2968" s="131" t="s">
        <v>5440</v>
      </c>
      <c r="K2968" s="142">
        <v>376650</v>
      </c>
    </row>
    <row r="2969" spans="1:11">
      <c r="A2969" s="1" t="str">
        <f t="shared" si="46"/>
        <v>50100-897287596-96150011620000</v>
      </c>
      <c r="B2969" s="136" t="s">
        <v>5467</v>
      </c>
      <c r="C2969" s="136" t="s">
        <v>9222</v>
      </c>
      <c r="D2969" s="132" t="s">
        <v>4971</v>
      </c>
      <c r="E2969" s="136" t="s">
        <v>5480</v>
      </c>
      <c r="F2969" s="136" t="s">
        <v>5480</v>
      </c>
      <c r="G2969" s="136" t="s">
        <v>5793</v>
      </c>
      <c r="H2969" s="138" t="s">
        <v>6454</v>
      </c>
      <c r="I2969" s="136">
        <v>961500116</v>
      </c>
      <c r="J2969" s="131" t="s">
        <v>5492</v>
      </c>
      <c r="K2969" s="139">
        <v>20000</v>
      </c>
    </row>
    <row r="2970" spans="1:11">
      <c r="A2970" s="1" t="str">
        <f t="shared" si="46"/>
        <v>50100-896232196-964100034641247</v>
      </c>
      <c r="B2970" s="136" t="s">
        <v>5474</v>
      </c>
      <c r="C2970" s="136" t="s">
        <v>9229</v>
      </c>
      <c r="D2970" s="132" t="s">
        <v>4971</v>
      </c>
      <c r="E2970" s="136" t="s">
        <v>5460</v>
      </c>
      <c r="F2970" s="136" t="s">
        <v>5460</v>
      </c>
      <c r="G2970" s="136" t="s">
        <v>5817</v>
      </c>
      <c r="H2970" s="138" t="s">
        <v>6452</v>
      </c>
      <c r="I2970" s="136">
        <v>964100034</v>
      </c>
      <c r="J2970" s="131" t="s">
        <v>5493</v>
      </c>
      <c r="K2970" s="139">
        <v>641247</v>
      </c>
    </row>
    <row r="2971" spans="1:11">
      <c r="A2971" s="1" t="str">
        <f t="shared" si="46"/>
        <v>50100-896824596-961500080499825</v>
      </c>
      <c r="B2971" s="136" t="s">
        <v>5475</v>
      </c>
      <c r="C2971" s="136" t="s">
        <v>9230</v>
      </c>
      <c r="D2971" s="132" t="s">
        <v>4971</v>
      </c>
      <c r="E2971" s="136" t="s">
        <v>5481</v>
      </c>
      <c r="F2971" s="136" t="s">
        <v>5481</v>
      </c>
      <c r="G2971" s="136" t="s">
        <v>5793</v>
      </c>
      <c r="H2971" s="138" t="s">
        <v>6454</v>
      </c>
      <c r="I2971" s="136">
        <v>961500080</v>
      </c>
      <c r="J2971" s="131" t="s">
        <v>5489</v>
      </c>
      <c r="K2971" s="139">
        <v>499825</v>
      </c>
    </row>
    <row r="2972" spans="1:11">
      <c r="A2972" s="1" t="str">
        <f t="shared" si="46"/>
        <v>50100-896687496-9641000351991172</v>
      </c>
      <c r="B2972" s="136" t="s">
        <v>5476</v>
      </c>
      <c r="C2972" s="136" t="s">
        <v>9231</v>
      </c>
      <c r="D2972" s="132" t="s">
        <v>4971</v>
      </c>
      <c r="E2972" s="136" t="s">
        <v>5481</v>
      </c>
      <c r="F2972" s="136" t="s">
        <v>5481</v>
      </c>
      <c r="G2972" s="143">
        <v>1396497353001</v>
      </c>
      <c r="H2972" s="138" t="s">
        <v>10183</v>
      </c>
      <c r="I2972" s="136">
        <v>964100035</v>
      </c>
      <c r="J2972" s="131" t="s">
        <v>5494</v>
      </c>
      <c r="K2972" s="139">
        <v>1991172</v>
      </c>
    </row>
    <row r="2973" spans="1:11">
      <c r="A2973" s="1" t="str">
        <f t="shared" si="46"/>
        <v>50100-895585496-964100033983190</v>
      </c>
      <c r="B2973" s="136" t="s">
        <v>5477</v>
      </c>
      <c r="C2973" s="136" t="s">
        <v>9232</v>
      </c>
      <c r="D2973" s="132" t="s">
        <v>4971</v>
      </c>
      <c r="E2973" s="136" t="s">
        <v>5479</v>
      </c>
      <c r="F2973" s="136" t="s">
        <v>5479</v>
      </c>
      <c r="G2973" s="136" t="s">
        <v>5817</v>
      </c>
      <c r="H2973" s="138" t="s">
        <v>6452</v>
      </c>
      <c r="I2973" s="136">
        <v>964100033</v>
      </c>
      <c r="J2973" s="131" t="s">
        <v>5495</v>
      </c>
      <c r="K2973" s="139">
        <v>983190</v>
      </c>
    </row>
    <row r="2974" spans="1:11">
      <c r="A2974" s="1" t="str">
        <f t="shared" si="46"/>
        <v>15100-44894396-96150017926580</v>
      </c>
      <c r="B2974" s="144" t="s">
        <v>5498</v>
      </c>
      <c r="C2974" s="144" t="s">
        <v>9233</v>
      </c>
      <c r="D2974" s="132" t="s">
        <v>4971</v>
      </c>
      <c r="E2974" s="144" t="s">
        <v>5480</v>
      </c>
      <c r="F2974" s="144" t="s">
        <v>5480</v>
      </c>
      <c r="G2974" s="144" t="s">
        <v>5813</v>
      </c>
      <c r="H2974" s="145" t="s">
        <v>6298</v>
      </c>
      <c r="I2974" s="144">
        <v>961500179</v>
      </c>
      <c r="J2974" s="131" t="s">
        <v>5567</v>
      </c>
      <c r="K2974" s="146">
        <v>26580</v>
      </c>
    </row>
    <row r="2975" spans="1:11">
      <c r="A2975" s="1" t="str">
        <f t="shared" si="46"/>
        <v>15100-44904796-96150024749200</v>
      </c>
      <c r="B2975" s="141" t="s">
        <v>5499</v>
      </c>
      <c r="C2975" s="141" t="s">
        <v>9234</v>
      </c>
      <c r="D2975" s="132" t="s">
        <v>4971</v>
      </c>
      <c r="E2975" s="141" t="s">
        <v>5480</v>
      </c>
      <c r="F2975" s="141" t="s">
        <v>5480</v>
      </c>
      <c r="G2975" s="141" t="s">
        <v>5814</v>
      </c>
      <c r="H2975" s="140" t="s">
        <v>6298</v>
      </c>
      <c r="I2975" s="141">
        <v>961500247</v>
      </c>
      <c r="J2975" s="131" t="s">
        <v>5568</v>
      </c>
      <c r="K2975" s="142">
        <v>49200</v>
      </c>
    </row>
    <row r="2976" spans="1:11">
      <c r="A2976" s="1" t="str">
        <f t="shared" si="46"/>
        <v>15100-43999296-96150004646700</v>
      </c>
      <c r="B2976" s="131" t="s">
        <v>5500</v>
      </c>
      <c r="C2976" s="131" t="s">
        <v>9235</v>
      </c>
      <c r="D2976" s="132" t="s">
        <v>4971</v>
      </c>
      <c r="E2976" s="131" t="s">
        <v>5555</v>
      </c>
      <c r="F2976" s="131" t="s">
        <v>5555</v>
      </c>
      <c r="G2976" s="131" t="s">
        <v>5776</v>
      </c>
      <c r="H2976" s="134" t="s">
        <v>6301</v>
      </c>
      <c r="I2976" s="131">
        <v>961500046</v>
      </c>
      <c r="J2976" s="131" t="s">
        <v>5423</v>
      </c>
      <c r="K2976" s="135">
        <v>46700</v>
      </c>
    </row>
    <row r="2977" spans="1:11">
      <c r="A2977" s="1" t="str">
        <f t="shared" si="46"/>
        <v>15100-44894396-96150019218660</v>
      </c>
      <c r="B2977" s="136" t="s">
        <v>5498</v>
      </c>
      <c r="C2977" s="136" t="s">
        <v>9233</v>
      </c>
      <c r="D2977" s="132" t="s">
        <v>4971</v>
      </c>
      <c r="E2977" s="136" t="s">
        <v>5480</v>
      </c>
      <c r="F2977" s="136" t="s">
        <v>5480</v>
      </c>
      <c r="G2977" s="136" t="s">
        <v>5813</v>
      </c>
      <c r="H2977" s="138" t="s">
        <v>6298</v>
      </c>
      <c r="I2977" s="136">
        <v>961500192</v>
      </c>
      <c r="J2977" s="131" t="s">
        <v>5569</v>
      </c>
      <c r="K2977" s="139">
        <v>18660</v>
      </c>
    </row>
    <row r="2978" spans="1:11">
      <c r="A2978" s="1" t="str">
        <f t="shared" si="46"/>
        <v>15100-44839496-96150015719300</v>
      </c>
      <c r="B2978" s="136" t="s">
        <v>5501</v>
      </c>
      <c r="C2978" s="136" t="s">
        <v>9236</v>
      </c>
      <c r="D2978" s="132" t="s">
        <v>4971</v>
      </c>
      <c r="E2978" s="136" t="s">
        <v>5481</v>
      </c>
      <c r="F2978" s="136" t="s">
        <v>5481</v>
      </c>
      <c r="G2978" s="136" t="s">
        <v>5810</v>
      </c>
      <c r="H2978" s="138" t="s">
        <v>6298</v>
      </c>
      <c r="I2978" s="136">
        <v>961500157</v>
      </c>
      <c r="J2978" s="131" t="s">
        <v>5422</v>
      </c>
      <c r="K2978" s="139">
        <v>19300</v>
      </c>
    </row>
    <row r="2979" spans="1:11">
      <c r="A2979" s="1" t="str">
        <f t="shared" si="46"/>
        <v>15100-44839496-9615001923340</v>
      </c>
      <c r="B2979" s="136" t="s">
        <v>5501</v>
      </c>
      <c r="C2979" s="136" t="s">
        <v>9236</v>
      </c>
      <c r="D2979" s="132" t="s">
        <v>4971</v>
      </c>
      <c r="E2979" s="136" t="s">
        <v>5481</v>
      </c>
      <c r="F2979" s="136" t="s">
        <v>5481</v>
      </c>
      <c r="G2979" s="136" t="s">
        <v>5813</v>
      </c>
      <c r="H2979" s="138" t="s">
        <v>6298</v>
      </c>
      <c r="I2979" s="136">
        <v>961500192</v>
      </c>
      <c r="J2979" s="131" t="s">
        <v>5569</v>
      </c>
      <c r="K2979" s="139">
        <v>3340</v>
      </c>
    </row>
    <row r="2980" spans="1:11">
      <c r="A2980" s="1" t="str">
        <f t="shared" si="46"/>
        <v>15100-43834896-96150004524540</v>
      </c>
      <c r="B2980" s="136" t="s">
        <v>5502</v>
      </c>
      <c r="C2980" s="136" t="s">
        <v>9237</v>
      </c>
      <c r="D2980" s="132" t="s">
        <v>4971</v>
      </c>
      <c r="E2980" s="136" t="s">
        <v>5556</v>
      </c>
      <c r="F2980" s="136" t="s">
        <v>5556</v>
      </c>
      <c r="G2980" s="136" t="s">
        <v>5776</v>
      </c>
      <c r="H2980" s="138" t="s">
        <v>6301</v>
      </c>
      <c r="I2980" s="136">
        <v>961500045</v>
      </c>
      <c r="J2980" s="131" t="s">
        <v>5433</v>
      </c>
      <c r="K2980" s="139">
        <v>24540</v>
      </c>
    </row>
    <row r="2981" spans="1:11">
      <c r="A2981" s="1" t="str">
        <f t="shared" si="46"/>
        <v>15100-44262396-96150018743960</v>
      </c>
      <c r="B2981" s="136" t="s">
        <v>5503</v>
      </c>
      <c r="C2981" s="136" t="s">
        <v>9238</v>
      </c>
      <c r="D2981" s="132" t="s">
        <v>4971</v>
      </c>
      <c r="E2981" s="136" t="s">
        <v>5459</v>
      </c>
      <c r="F2981" s="136" t="s">
        <v>5459</v>
      </c>
      <c r="G2981" s="136" t="s">
        <v>5813</v>
      </c>
      <c r="H2981" s="138" t="s">
        <v>6298</v>
      </c>
      <c r="I2981" s="136">
        <v>961500187</v>
      </c>
      <c r="J2981" s="131" t="s">
        <v>5570</v>
      </c>
      <c r="K2981" s="139">
        <v>43960</v>
      </c>
    </row>
    <row r="2982" spans="1:11">
      <c r="A2982" s="1" t="str">
        <f t="shared" si="46"/>
        <v>15100-43918396-96150004592880</v>
      </c>
      <c r="B2982" s="136" t="s">
        <v>5504</v>
      </c>
      <c r="C2982" s="136" t="s">
        <v>9239</v>
      </c>
      <c r="D2982" s="132" t="s">
        <v>4971</v>
      </c>
      <c r="E2982" s="136" t="s">
        <v>5557</v>
      </c>
      <c r="F2982" s="136" t="s">
        <v>5557</v>
      </c>
      <c r="G2982" s="136" t="s">
        <v>5776</v>
      </c>
      <c r="H2982" s="138" t="s">
        <v>6301</v>
      </c>
      <c r="I2982" s="136">
        <v>961500045</v>
      </c>
      <c r="J2982" s="131" t="s">
        <v>5433</v>
      </c>
      <c r="K2982" s="139">
        <v>92880</v>
      </c>
    </row>
    <row r="2983" spans="1:11">
      <c r="A2983" s="1" t="str">
        <f t="shared" si="46"/>
        <v>15100-44839496-96150018748040</v>
      </c>
      <c r="B2983" s="136" t="s">
        <v>5501</v>
      </c>
      <c r="C2983" s="136" t="s">
        <v>9236</v>
      </c>
      <c r="D2983" s="132" t="s">
        <v>4971</v>
      </c>
      <c r="E2983" s="136" t="s">
        <v>5481</v>
      </c>
      <c r="F2983" s="136" t="s">
        <v>5481</v>
      </c>
      <c r="G2983" s="136" t="s">
        <v>5813</v>
      </c>
      <c r="H2983" s="138" t="s">
        <v>6298</v>
      </c>
      <c r="I2983" s="136">
        <v>961500187</v>
      </c>
      <c r="J2983" s="131" t="s">
        <v>5570</v>
      </c>
      <c r="K2983" s="139">
        <v>48040</v>
      </c>
    </row>
    <row r="2984" spans="1:11">
      <c r="A2984" s="1" t="str">
        <f t="shared" si="46"/>
        <v>15100-44154696-96150004545360</v>
      </c>
      <c r="B2984" s="136" t="s">
        <v>5505</v>
      </c>
      <c r="C2984" s="136" t="s">
        <v>9240</v>
      </c>
      <c r="D2984" s="132" t="s">
        <v>4971</v>
      </c>
      <c r="E2984" s="136" t="s">
        <v>5558</v>
      </c>
      <c r="F2984" s="136" t="s">
        <v>5558</v>
      </c>
      <c r="G2984" s="136" t="s">
        <v>5776</v>
      </c>
      <c r="H2984" s="138" t="s">
        <v>6301</v>
      </c>
      <c r="I2984" s="136">
        <v>961500045</v>
      </c>
      <c r="J2984" s="131" t="s">
        <v>5433</v>
      </c>
      <c r="K2984" s="139">
        <v>45360</v>
      </c>
    </row>
    <row r="2985" spans="1:11">
      <c r="A2985" s="1" t="str">
        <f t="shared" si="46"/>
        <v>15100-44792296-961500199127200</v>
      </c>
      <c r="B2985" s="136" t="s">
        <v>5506</v>
      </c>
      <c r="C2985" s="136" t="s">
        <v>9241</v>
      </c>
      <c r="D2985" s="132" t="s">
        <v>4971</v>
      </c>
      <c r="E2985" s="136" t="s">
        <v>5460</v>
      </c>
      <c r="F2985" s="136" t="s">
        <v>5460</v>
      </c>
      <c r="G2985" s="136" t="s">
        <v>5815</v>
      </c>
      <c r="H2985" s="138" t="s">
        <v>6298</v>
      </c>
      <c r="I2985" s="136">
        <v>961500199</v>
      </c>
      <c r="J2985" s="131" t="s">
        <v>5571</v>
      </c>
      <c r="K2985" s="139">
        <v>127200</v>
      </c>
    </row>
    <row r="2986" spans="1:11">
      <c r="A2986" s="1" t="str">
        <f t="shared" si="46"/>
        <v>15100-44408896-96150018816086</v>
      </c>
      <c r="B2986" s="136" t="s">
        <v>5507</v>
      </c>
      <c r="C2986" s="136" t="s">
        <v>9242</v>
      </c>
      <c r="D2986" s="132" t="s">
        <v>4971</v>
      </c>
      <c r="E2986" s="136" t="s">
        <v>5478</v>
      </c>
      <c r="F2986" s="136" t="s">
        <v>5478</v>
      </c>
      <c r="G2986" s="136" t="s">
        <v>5813</v>
      </c>
      <c r="H2986" s="138" t="s">
        <v>6298</v>
      </c>
      <c r="I2986" s="136">
        <v>961500188</v>
      </c>
      <c r="J2986" s="131" t="s">
        <v>5572</v>
      </c>
      <c r="K2986" s="139">
        <v>16086</v>
      </c>
    </row>
    <row r="2987" spans="1:11">
      <c r="A2987" s="1" t="str">
        <f t="shared" si="46"/>
        <v>15100-44314096-961500169264470</v>
      </c>
      <c r="B2987" s="136" t="s">
        <v>5508</v>
      </c>
      <c r="C2987" s="136" t="s">
        <v>9243</v>
      </c>
      <c r="D2987" s="132" t="s">
        <v>4971</v>
      </c>
      <c r="E2987" s="136" t="s">
        <v>5559</v>
      </c>
      <c r="F2987" s="136" t="s">
        <v>5559</v>
      </c>
      <c r="G2987" s="136" t="s">
        <v>5810</v>
      </c>
      <c r="H2987" s="138" t="s">
        <v>6298</v>
      </c>
      <c r="I2987" s="136">
        <v>961500169</v>
      </c>
      <c r="J2987" s="131" t="s">
        <v>5573</v>
      </c>
      <c r="K2987" s="139">
        <v>264470</v>
      </c>
    </row>
    <row r="2988" spans="1:11">
      <c r="A2988" s="1" t="str">
        <f t="shared" si="46"/>
        <v>15100-44408896-96150018932354</v>
      </c>
      <c r="B2988" s="136" t="s">
        <v>5507</v>
      </c>
      <c r="C2988" s="136" t="s">
        <v>9242</v>
      </c>
      <c r="D2988" s="132" t="s">
        <v>4971</v>
      </c>
      <c r="E2988" s="136" t="s">
        <v>5478</v>
      </c>
      <c r="F2988" s="136" t="s">
        <v>5478</v>
      </c>
      <c r="G2988" s="136" t="s">
        <v>5813</v>
      </c>
      <c r="H2988" s="138" t="s">
        <v>6298</v>
      </c>
      <c r="I2988" s="136">
        <v>961500189</v>
      </c>
      <c r="J2988" s="131" t="s">
        <v>5574</v>
      </c>
      <c r="K2988" s="139">
        <v>32354</v>
      </c>
    </row>
    <row r="2989" spans="1:11">
      <c r="A2989" s="1" t="str">
        <f t="shared" si="46"/>
        <v>15100-44523996-96150018972320</v>
      </c>
      <c r="B2989" s="136" t="s">
        <v>5509</v>
      </c>
      <c r="C2989" s="136" t="s">
        <v>9244</v>
      </c>
      <c r="D2989" s="132" t="s">
        <v>4971</v>
      </c>
      <c r="E2989" s="136" t="s">
        <v>5560</v>
      </c>
      <c r="F2989" s="136" t="s">
        <v>5560</v>
      </c>
      <c r="G2989" s="136" t="s">
        <v>5813</v>
      </c>
      <c r="H2989" s="138" t="s">
        <v>6298</v>
      </c>
      <c r="I2989" s="136">
        <v>961500189</v>
      </c>
      <c r="J2989" s="131" t="s">
        <v>5574</v>
      </c>
      <c r="K2989" s="139">
        <v>72320</v>
      </c>
    </row>
    <row r="2990" spans="1:11">
      <c r="A2990" s="1" t="str">
        <f t="shared" si="46"/>
        <v>15100-44312596-96150016918809</v>
      </c>
      <c r="B2990" s="136" t="s">
        <v>5510</v>
      </c>
      <c r="C2990" s="136" t="s">
        <v>9245</v>
      </c>
      <c r="D2990" s="132" t="s">
        <v>4971</v>
      </c>
      <c r="E2990" s="136" t="s">
        <v>5559</v>
      </c>
      <c r="F2990" s="136" t="s">
        <v>5559</v>
      </c>
      <c r="G2990" s="136" t="s">
        <v>5810</v>
      </c>
      <c r="H2990" s="138" t="s">
        <v>6298</v>
      </c>
      <c r="I2990" s="136">
        <v>961500169</v>
      </c>
      <c r="J2990" s="131" t="s">
        <v>5573</v>
      </c>
      <c r="K2990" s="139">
        <v>18809</v>
      </c>
    </row>
    <row r="2991" spans="1:11">
      <c r="A2991" s="1" t="str">
        <f t="shared" si="46"/>
        <v>15100-44357296-96150010814820</v>
      </c>
      <c r="B2991" s="136" t="s">
        <v>5511</v>
      </c>
      <c r="C2991" s="136" t="s">
        <v>9246</v>
      </c>
      <c r="D2991" s="132" t="s">
        <v>4971</v>
      </c>
      <c r="E2991" s="136" t="s">
        <v>5561</v>
      </c>
      <c r="F2991" s="136" t="s">
        <v>5561</v>
      </c>
      <c r="G2991" s="136" t="s">
        <v>5762</v>
      </c>
      <c r="H2991" s="138" t="s">
        <v>6298</v>
      </c>
      <c r="I2991" s="136">
        <v>961500108</v>
      </c>
      <c r="J2991" s="131" t="s">
        <v>5207</v>
      </c>
      <c r="K2991" s="139">
        <v>14820</v>
      </c>
    </row>
    <row r="2992" spans="1:11">
      <c r="A2992" s="1" t="str">
        <f t="shared" si="46"/>
        <v>15100-44357296-96150016942431</v>
      </c>
      <c r="B2992" s="136" t="s">
        <v>5511</v>
      </c>
      <c r="C2992" s="136" t="s">
        <v>9246</v>
      </c>
      <c r="D2992" s="132" t="s">
        <v>4971</v>
      </c>
      <c r="E2992" s="136" t="s">
        <v>5561</v>
      </c>
      <c r="F2992" s="136" t="s">
        <v>5561</v>
      </c>
      <c r="G2992" s="136" t="s">
        <v>5810</v>
      </c>
      <c r="H2992" s="138" t="s">
        <v>6298</v>
      </c>
      <c r="I2992" s="136">
        <v>961500169</v>
      </c>
      <c r="J2992" s="131" t="s">
        <v>5573</v>
      </c>
      <c r="K2992" s="139">
        <v>42431</v>
      </c>
    </row>
    <row r="2993" spans="1:11">
      <c r="A2993" s="1" t="str">
        <f t="shared" si="46"/>
        <v>15100-44314396-96150016974290</v>
      </c>
      <c r="B2993" s="136" t="s">
        <v>5512</v>
      </c>
      <c r="C2993" s="136" t="s">
        <v>9247</v>
      </c>
      <c r="D2993" s="132" t="s">
        <v>4971</v>
      </c>
      <c r="E2993" s="136" t="s">
        <v>5559</v>
      </c>
      <c r="F2993" s="136" t="s">
        <v>5559</v>
      </c>
      <c r="G2993" s="136" t="s">
        <v>5810</v>
      </c>
      <c r="H2993" s="138" t="s">
        <v>6298</v>
      </c>
      <c r="I2993" s="136">
        <v>961500169</v>
      </c>
      <c r="J2993" s="131" t="s">
        <v>5573</v>
      </c>
      <c r="K2993" s="139">
        <v>74290</v>
      </c>
    </row>
    <row r="2994" spans="1:11">
      <c r="A2994" s="1" t="str">
        <f t="shared" si="46"/>
        <v>15100-44314096-96150001294180</v>
      </c>
      <c r="B2994" s="136" t="s">
        <v>5508</v>
      </c>
      <c r="C2994" s="136" t="s">
        <v>9243</v>
      </c>
      <c r="D2994" s="132" t="s">
        <v>4971</v>
      </c>
      <c r="E2994" s="136" t="s">
        <v>5559</v>
      </c>
      <c r="F2994" s="136" t="s">
        <v>5559</v>
      </c>
      <c r="G2994" s="136" t="s">
        <v>5768</v>
      </c>
      <c r="H2994" s="138" t="s">
        <v>6454</v>
      </c>
      <c r="I2994" s="136">
        <v>961500012</v>
      </c>
      <c r="J2994" s="131" t="s">
        <v>5575</v>
      </c>
      <c r="K2994" s="139">
        <v>94180</v>
      </c>
    </row>
    <row r="2995" spans="1:11">
      <c r="A2995" s="1" t="str">
        <f t="shared" si="46"/>
        <v>15100-44693296-96150020273100</v>
      </c>
      <c r="B2995" s="136" t="s">
        <v>5513</v>
      </c>
      <c r="C2995" s="136" t="s">
        <v>9248</v>
      </c>
      <c r="D2995" s="132" t="s">
        <v>4971</v>
      </c>
      <c r="E2995" s="136" t="s">
        <v>5562</v>
      </c>
      <c r="F2995" s="136" t="s">
        <v>5562</v>
      </c>
      <c r="G2995" s="136" t="s">
        <v>5815</v>
      </c>
      <c r="H2995" s="138" t="s">
        <v>6298</v>
      </c>
      <c r="I2995" s="136">
        <v>961500202</v>
      </c>
      <c r="J2995" s="131" t="s">
        <v>5576</v>
      </c>
      <c r="K2995" s="139">
        <v>73100</v>
      </c>
    </row>
    <row r="2996" spans="1:11">
      <c r="A2996" s="1" t="str">
        <f t="shared" si="46"/>
        <v>15100-44312596-96150001248760</v>
      </c>
      <c r="B2996" s="136" t="s">
        <v>5510</v>
      </c>
      <c r="C2996" s="136" t="s">
        <v>9245</v>
      </c>
      <c r="D2996" s="132" t="s">
        <v>4971</v>
      </c>
      <c r="E2996" s="136" t="s">
        <v>5559</v>
      </c>
      <c r="F2996" s="136" t="s">
        <v>5559</v>
      </c>
      <c r="G2996" s="136" t="s">
        <v>5768</v>
      </c>
      <c r="H2996" s="138" t="s">
        <v>6454</v>
      </c>
      <c r="I2996" s="136">
        <v>961500012</v>
      </c>
      <c r="J2996" s="131" t="s">
        <v>5575</v>
      </c>
      <c r="K2996" s="139">
        <v>48760</v>
      </c>
    </row>
    <row r="2997" spans="1:11">
      <c r="A2997" s="1" t="str">
        <f t="shared" si="46"/>
        <v>15100-44415196-96150019189920</v>
      </c>
      <c r="B2997" s="136" t="s">
        <v>5514</v>
      </c>
      <c r="C2997" s="136" t="s">
        <v>9249</v>
      </c>
      <c r="D2997" s="132" t="s">
        <v>4971</v>
      </c>
      <c r="E2997" s="136" t="s">
        <v>5478</v>
      </c>
      <c r="F2997" s="136" t="s">
        <v>5478</v>
      </c>
      <c r="G2997" s="136" t="s">
        <v>5807</v>
      </c>
      <c r="H2997" s="138" t="s">
        <v>6300</v>
      </c>
      <c r="I2997" s="136">
        <v>961500191</v>
      </c>
      <c r="J2997" s="131" t="s">
        <v>5577</v>
      </c>
      <c r="K2997" s="139">
        <v>89920</v>
      </c>
    </row>
    <row r="2998" spans="1:11">
      <c r="A2998" s="1" t="str">
        <f t="shared" si="46"/>
        <v>15100-44415196-961500189235160</v>
      </c>
      <c r="B2998" s="136" t="s">
        <v>5514</v>
      </c>
      <c r="C2998" s="136" t="s">
        <v>9249</v>
      </c>
      <c r="D2998" s="132" t="s">
        <v>4971</v>
      </c>
      <c r="E2998" s="136" t="s">
        <v>5478</v>
      </c>
      <c r="F2998" s="136" t="s">
        <v>5478</v>
      </c>
      <c r="G2998" s="136" t="s">
        <v>5813</v>
      </c>
      <c r="H2998" s="138" t="s">
        <v>6298</v>
      </c>
      <c r="I2998" s="136">
        <v>961500189</v>
      </c>
      <c r="J2998" s="131" t="s">
        <v>5574</v>
      </c>
      <c r="K2998" s="139">
        <v>235160</v>
      </c>
    </row>
    <row r="2999" spans="1:11">
      <c r="A2999" s="1" t="str">
        <f t="shared" si="46"/>
        <v>15100-44528196-961500209177450</v>
      </c>
      <c r="B2999" s="136" t="s">
        <v>5515</v>
      </c>
      <c r="C2999" s="136" t="s">
        <v>9250</v>
      </c>
      <c r="D2999" s="132" t="s">
        <v>4971</v>
      </c>
      <c r="E2999" s="136" t="s">
        <v>5560</v>
      </c>
      <c r="F2999" s="136" t="s">
        <v>5560</v>
      </c>
      <c r="G2999" s="136" t="s">
        <v>5813</v>
      </c>
      <c r="H2999" s="138" t="s">
        <v>6298</v>
      </c>
      <c r="I2999" s="136">
        <v>961500209</v>
      </c>
      <c r="J2999" s="131" t="s">
        <v>5578</v>
      </c>
      <c r="K2999" s="139">
        <v>177450</v>
      </c>
    </row>
    <row r="3000" spans="1:11">
      <c r="A3000" s="1" t="str">
        <f t="shared" si="46"/>
        <v>15100-44528196-96150018948730</v>
      </c>
      <c r="B3000" s="136" t="s">
        <v>5515</v>
      </c>
      <c r="C3000" s="136" t="s">
        <v>9250</v>
      </c>
      <c r="D3000" s="132" t="s">
        <v>4971</v>
      </c>
      <c r="E3000" s="136" t="s">
        <v>5560</v>
      </c>
      <c r="F3000" s="136" t="s">
        <v>5560</v>
      </c>
      <c r="G3000" s="136" t="s">
        <v>5813</v>
      </c>
      <c r="H3000" s="138" t="s">
        <v>6298</v>
      </c>
      <c r="I3000" s="136">
        <v>961500189</v>
      </c>
      <c r="J3000" s="131" t="s">
        <v>5574</v>
      </c>
      <c r="K3000" s="139">
        <v>48730</v>
      </c>
    </row>
    <row r="3001" spans="1:11">
      <c r="A3001" s="1" t="str">
        <f t="shared" si="46"/>
        <v>15100-44631396-96150019446855</v>
      </c>
      <c r="B3001" s="136" t="s">
        <v>5516</v>
      </c>
      <c r="C3001" s="136" t="s">
        <v>9251</v>
      </c>
      <c r="D3001" s="132" t="s">
        <v>4971</v>
      </c>
      <c r="E3001" s="136" t="s">
        <v>5483</v>
      </c>
      <c r="F3001" s="136" t="s">
        <v>5483</v>
      </c>
      <c r="G3001" s="136" t="s">
        <v>5813</v>
      </c>
      <c r="H3001" s="138" t="s">
        <v>6298</v>
      </c>
      <c r="I3001" s="136">
        <v>961500194</v>
      </c>
      <c r="J3001" s="131" t="s">
        <v>5579</v>
      </c>
      <c r="K3001" s="139">
        <v>46855</v>
      </c>
    </row>
    <row r="3002" spans="1:11">
      <c r="A3002" s="1" t="str">
        <f t="shared" si="46"/>
        <v>15100-44357296-96150001249400</v>
      </c>
      <c r="B3002" s="136" t="s">
        <v>5511</v>
      </c>
      <c r="C3002" s="136" t="s">
        <v>9246</v>
      </c>
      <c r="D3002" s="132" t="s">
        <v>4971</v>
      </c>
      <c r="E3002" s="136" t="s">
        <v>5561</v>
      </c>
      <c r="F3002" s="136" t="s">
        <v>5561</v>
      </c>
      <c r="G3002" s="136" t="s">
        <v>5768</v>
      </c>
      <c r="H3002" s="138" t="s">
        <v>6454</v>
      </c>
      <c r="I3002" s="136">
        <v>961500012</v>
      </c>
      <c r="J3002" s="131" t="s">
        <v>5575</v>
      </c>
      <c r="K3002" s="139">
        <v>49400</v>
      </c>
    </row>
    <row r="3003" spans="1:11">
      <c r="A3003" s="1" t="str">
        <f t="shared" si="46"/>
        <v>15100-44199896-96150000932240</v>
      </c>
      <c r="B3003" s="136" t="s">
        <v>5517</v>
      </c>
      <c r="C3003" s="136" t="s">
        <v>9252</v>
      </c>
      <c r="D3003" s="132" t="s">
        <v>4971</v>
      </c>
      <c r="E3003" s="136" t="s">
        <v>5563</v>
      </c>
      <c r="F3003" s="136" t="s">
        <v>5563</v>
      </c>
      <c r="G3003" s="136" t="s">
        <v>5752</v>
      </c>
      <c r="H3003" s="138" t="s">
        <v>6298</v>
      </c>
      <c r="I3003" s="136">
        <v>961500009</v>
      </c>
      <c r="J3003" s="131" t="s">
        <v>5215</v>
      </c>
      <c r="K3003" s="139">
        <v>32240</v>
      </c>
    </row>
    <row r="3004" spans="1:11">
      <c r="A3004" s="1" t="str">
        <f t="shared" si="46"/>
        <v>15100-44312596-961500168393631</v>
      </c>
      <c r="B3004" s="136" t="s">
        <v>5510</v>
      </c>
      <c r="C3004" s="136" t="s">
        <v>9245</v>
      </c>
      <c r="D3004" s="132" t="s">
        <v>4971</v>
      </c>
      <c r="E3004" s="136" t="s">
        <v>5559</v>
      </c>
      <c r="F3004" s="136" t="s">
        <v>5559</v>
      </c>
      <c r="G3004" s="136" t="s">
        <v>5789</v>
      </c>
      <c r="H3004" s="138" t="s">
        <v>6300</v>
      </c>
      <c r="I3004" s="136">
        <v>961500168</v>
      </c>
      <c r="J3004" s="131" t="s">
        <v>5580</v>
      </c>
      <c r="K3004" s="139">
        <v>393631</v>
      </c>
    </row>
    <row r="3005" spans="1:11">
      <c r="A3005" s="1" t="str">
        <f t="shared" si="46"/>
        <v>15100-44357296-96150015121895</v>
      </c>
      <c r="B3005" s="136" t="s">
        <v>5511</v>
      </c>
      <c r="C3005" s="136" t="s">
        <v>9246</v>
      </c>
      <c r="D3005" s="132" t="s">
        <v>4971</v>
      </c>
      <c r="E3005" s="136" t="s">
        <v>5561</v>
      </c>
      <c r="F3005" s="136" t="s">
        <v>5561</v>
      </c>
      <c r="G3005" s="136" t="s">
        <v>5789</v>
      </c>
      <c r="H3005" s="138" t="s">
        <v>6300</v>
      </c>
      <c r="I3005" s="136">
        <v>961500151</v>
      </c>
      <c r="J3005" s="131" t="s">
        <v>5425</v>
      </c>
      <c r="K3005" s="139">
        <v>21895</v>
      </c>
    </row>
    <row r="3006" spans="1:11">
      <c r="A3006" s="1" t="str">
        <f t="shared" si="46"/>
        <v>15100-44357296-961500175132454</v>
      </c>
      <c r="B3006" s="136" t="s">
        <v>5511</v>
      </c>
      <c r="C3006" s="136" t="s">
        <v>9246</v>
      </c>
      <c r="D3006" s="132" t="s">
        <v>4971</v>
      </c>
      <c r="E3006" s="136" t="s">
        <v>5561</v>
      </c>
      <c r="F3006" s="136" t="s">
        <v>5561</v>
      </c>
      <c r="G3006" s="136" t="s">
        <v>5810</v>
      </c>
      <c r="H3006" s="138" t="s">
        <v>6298</v>
      </c>
      <c r="I3006" s="136">
        <v>961500175</v>
      </c>
      <c r="J3006" s="131" t="s">
        <v>5581</v>
      </c>
      <c r="K3006" s="139">
        <v>132454</v>
      </c>
    </row>
    <row r="3007" spans="1:11">
      <c r="A3007" s="1" t="str">
        <f t="shared" si="46"/>
        <v>15100-44259696-961500168132369</v>
      </c>
      <c r="B3007" s="136" t="s">
        <v>5518</v>
      </c>
      <c r="C3007" s="136" t="s">
        <v>9253</v>
      </c>
      <c r="D3007" s="132" t="s">
        <v>4971</v>
      </c>
      <c r="E3007" s="136" t="s">
        <v>5459</v>
      </c>
      <c r="F3007" s="136" t="s">
        <v>5459</v>
      </c>
      <c r="G3007" s="136" t="s">
        <v>5789</v>
      </c>
      <c r="H3007" s="138" t="s">
        <v>6300</v>
      </c>
      <c r="I3007" s="136">
        <v>961500168</v>
      </c>
      <c r="J3007" s="131" t="s">
        <v>5580</v>
      </c>
      <c r="K3007" s="139">
        <v>132369</v>
      </c>
    </row>
    <row r="3008" spans="1:11">
      <c r="A3008" s="1" t="str">
        <f t="shared" si="46"/>
        <v>15100-44748796-96150008570120</v>
      </c>
      <c r="B3008" s="136" t="s">
        <v>5519</v>
      </c>
      <c r="C3008" s="136" t="s">
        <v>9254</v>
      </c>
      <c r="D3008" s="132" t="s">
        <v>4971</v>
      </c>
      <c r="E3008" s="136" t="s">
        <v>5479</v>
      </c>
      <c r="F3008" s="136" t="s">
        <v>5479</v>
      </c>
      <c r="G3008" s="136" t="s">
        <v>5796</v>
      </c>
      <c r="H3008" s="138" t="s">
        <v>11829</v>
      </c>
      <c r="I3008" s="136">
        <v>961500085</v>
      </c>
      <c r="J3008" s="131" t="s">
        <v>5582</v>
      </c>
      <c r="K3008" s="139">
        <v>70120</v>
      </c>
    </row>
    <row r="3009" spans="1:11">
      <c r="A3009" s="1" t="str">
        <f t="shared" si="46"/>
        <v>15100-44407696-961500188221120</v>
      </c>
      <c r="B3009" s="136" t="s">
        <v>5520</v>
      </c>
      <c r="C3009" s="136" t="s">
        <v>9255</v>
      </c>
      <c r="D3009" s="132" t="s">
        <v>4971</v>
      </c>
      <c r="E3009" s="136" t="s">
        <v>5478</v>
      </c>
      <c r="F3009" s="136" t="s">
        <v>5478</v>
      </c>
      <c r="G3009" s="136" t="s">
        <v>5813</v>
      </c>
      <c r="H3009" s="138" t="s">
        <v>6298</v>
      </c>
      <c r="I3009" s="136">
        <v>961500188</v>
      </c>
      <c r="J3009" s="131" t="s">
        <v>5572</v>
      </c>
      <c r="K3009" s="139">
        <v>221120</v>
      </c>
    </row>
    <row r="3010" spans="1:11">
      <c r="A3010" s="1" t="str">
        <f t="shared" si="46"/>
        <v>15100-44009196-961500022122060</v>
      </c>
      <c r="B3010" s="136" t="s">
        <v>5521</v>
      </c>
      <c r="C3010" s="136" t="s">
        <v>9256</v>
      </c>
      <c r="D3010" s="132" t="s">
        <v>4971</v>
      </c>
      <c r="E3010" s="136" t="s">
        <v>5555</v>
      </c>
      <c r="F3010" s="141" t="s">
        <v>5555</v>
      </c>
      <c r="G3010" s="141" t="s">
        <v>5772</v>
      </c>
      <c r="H3010" s="140" t="s">
        <v>6454</v>
      </c>
      <c r="I3010" s="141">
        <v>961500022</v>
      </c>
      <c r="J3010" s="131" t="s">
        <v>5434</v>
      </c>
      <c r="K3010" s="142">
        <v>122060</v>
      </c>
    </row>
    <row r="3011" spans="1:11">
      <c r="A3011" s="1" t="str">
        <f t="shared" ref="A3011:A3074" si="47">B3011&amp;J3011&amp;K3011</f>
        <v>15100-44693296-961500212326640</v>
      </c>
      <c r="B3011" s="136" t="s">
        <v>5513</v>
      </c>
      <c r="C3011" s="136" t="s">
        <v>9248</v>
      </c>
      <c r="D3011" s="132" t="s">
        <v>4971</v>
      </c>
      <c r="E3011" s="136" t="s">
        <v>5562</v>
      </c>
      <c r="F3011" s="136" t="s">
        <v>5562</v>
      </c>
      <c r="G3011" s="136" t="s">
        <v>5813</v>
      </c>
      <c r="H3011" s="138" t="s">
        <v>6298</v>
      </c>
      <c r="I3011" s="136">
        <v>961500212</v>
      </c>
      <c r="J3011" s="131" t="s">
        <v>5583</v>
      </c>
      <c r="K3011" s="139">
        <v>326640</v>
      </c>
    </row>
    <row r="3012" spans="1:11">
      <c r="A3012" s="1" t="str">
        <f t="shared" si="47"/>
        <v>15100-44104496-96150016713420</v>
      </c>
      <c r="B3012" s="136" t="s">
        <v>5522</v>
      </c>
      <c r="C3012" s="136" t="s">
        <v>9257</v>
      </c>
      <c r="D3012" s="132" t="s">
        <v>4971</v>
      </c>
      <c r="E3012" s="136" t="s">
        <v>5564</v>
      </c>
      <c r="F3012" s="136" t="s">
        <v>5564</v>
      </c>
      <c r="G3012" s="136" t="s">
        <v>5789</v>
      </c>
      <c r="H3012" s="138" t="s">
        <v>6300</v>
      </c>
      <c r="I3012" s="136">
        <v>961500167</v>
      </c>
      <c r="J3012" s="131" t="s">
        <v>5584</v>
      </c>
      <c r="K3012" s="139">
        <v>13420</v>
      </c>
    </row>
    <row r="3013" spans="1:11">
      <c r="A3013" s="1" t="str">
        <f t="shared" si="47"/>
        <v>15100-44468496-96150001298960</v>
      </c>
      <c r="B3013" s="136" t="s">
        <v>5523</v>
      </c>
      <c r="C3013" s="136" t="s">
        <v>9258</v>
      </c>
      <c r="D3013" s="132" t="s">
        <v>4971</v>
      </c>
      <c r="E3013" s="136" t="s">
        <v>5482</v>
      </c>
      <c r="F3013" s="136" t="s">
        <v>5482</v>
      </c>
      <c r="G3013" s="136" t="s">
        <v>5768</v>
      </c>
      <c r="H3013" s="138" t="s">
        <v>6454</v>
      </c>
      <c r="I3013" s="136">
        <v>961500012</v>
      </c>
      <c r="J3013" s="131" t="s">
        <v>5575</v>
      </c>
      <c r="K3013" s="139">
        <v>98960</v>
      </c>
    </row>
    <row r="3014" spans="1:11">
      <c r="A3014" s="1" t="str">
        <f t="shared" si="47"/>
        <v>15100-44693296-96150017798400</v>
      </c>
      <c r="B3014" s="136" t="s">
        <v>5513</v>
      </c>
      <c r="C3014" s="136" t="s">
        <v>9248</v>
      </c>
      <c r="D3014" s="132" t="s">
        <v>4971</v>
      </c>
      <c r="E3014" s="136" t="s">
        <v>5562</v>
      </c>
      <c r="F3014" s="136" t="s">
        <v>5562</v>
      </c>
      <c r="G3014" s="136" t="s">
        <v>5807</v>
      </c>
      <c r="H3014" s="138" t="s">
        <v>6300</v>
      </c>
      <c r="I3014" s="136">
        <v>961500177</v>
      </c>
      <c r="J3014" s="131" t="s">
        <v>5585</v>
      </c>
      <c r="K3014" s="139">
        <v>98400</v>
      </c>
    </row>
    <row r="3015" spans="1:11">
      <c r="A3015" s="1" t="str">
        <f t="shared" si="47"/>
        <v>15100-44105396-96150004648610</v>
      </c>
      <c r="B3015" s="136" t="s">
        <v>5524</v>
      </c>
      <c r="C3015" s="136" t="s">
        <v>9259</v>
      </c>
      <c r="D3015" s="132" t="s">
        <v>4971</v>
      </c>
      <c r="E3015" s="136" t="s">
        <v>5564</v>
      </c>
      <c r="F3015" s="136" t="s">
        <v>5564</v>
      </c>
      <c r="G3015" s="136" t="s">
        <v>5776</v>
      </c>
      <c r="H3015" s="138" t="s">
        <v>6301</v>
      </c>
      <c r="I3015" s="136">
        <v>961500046</v>
      </c>
      <c r="J3015" s="131" t="s">
        <v>5423</v>
      </c>
      <c r="K3015" s="139">
        <v>48610</v>
      </c>
    </row>
    <row r="3016" spans="1:11">
      <c r="A3016" s="1" t="str">
        <f t="shared" si="47"/>
        <v>15100-44910196-96150019676310</v>
      </c>
      <c r="B3016" s="136" t="s">
        <v>5525</v>
      </c>
      <c r="C3016" s="136" t="s">
        <v>9260</v>
      </c>
      <c r="D3016" s="132" t="s">
        <v>4971</v>
      </c>
      <c r="E3016" s="136" t="s">
        <v>5480</v>
      </c>
      <c r="F3016" s="136" t="s">
        <v>5480</v>
      </c>
      <c r="G3016" s="136" t="s">
        <v>5813</v>
      </c>
      <c r="H3016" s="138" t="s">
        <v>6298</v>
      </c>
      <c r="I3016" s="136">
        <v>961500196</v>
      </c>
      <c r="J3016" s="131" t="s">
        <v>5586</v>
      </c>
      <c r="K3016" s="139">
        <v>76310</v>
      </c>
    </row>
    <row r="3017" spans="1:11">
      <c r="A3017" s="1" t="str">
        <f t="shared" si="47"/>
        <v>15100-44629596-961500085218910</v>
      </c>
      <c r="B3017" s="136" t="s">
        <v>5526</v>
      </c>
      <c r="C3017" s="136" t="s">
        <v>9261</v>
      </c>
      <c r="D3017" s="132" t="s">
        <v>4971</v>
      </c>
      <c r="E3017" s="136" t="s">
        <v>5483</v>
      </c>
      <c r="F3017" s="136" t="s">
        <v>5483</v>
      </c>
      <c r="G3017" s="136" t="s">
        <v>5796</v>
      </c>
      <c r="H3017" s="138" t="s">
        <v>11829</v>
      </c>
      <c r="I3017" s="136">
        <v>961500085</v>
      </c>
      <c r="J3017" s="131" t="s">
        <v>5582</v>
      </c>
      <c r="K3017" s="139">
        <v>218910</v>
      </c>
    </row>
    <row r="3018" spans="1:11">
      <c r="A3018" s="1" t="str">
        <f t="shared" si="47"/>
        <v>15100-44693296-961500085253270</v>
      </c>
      <c r="B3018" s="136" t="s">
        <v>5513</v>
      </c>
      <c r="C3018" s="136" t="s">
        <v>9248</v>
      </c>
      <c r="D3018" s="132" t="s">
        <v>4971</v>
      </c>
      <c r="E3018" s="136" t="s">
        <v>5562</v>
      </c>
      <c r="F3018" s="136" t="s">
        <v>5562</v>
      </c>
      <c r="G3018" s="136" t="s">
        <v>5796</v>
      </c>
      <c r="H3018" s="138" t="s">
        <v>11829</v>
      </c>
      <c r="I3018" s="136">
        <v>961500085</v>
      </c>
      <c r="J3018" s="131" t="s">
        <v>5582</v>
      </c>
      <c r="K3018" s="139">
        <v>253270</v>
      </c>
    </row>
    <row r="3019" spans="1:11">
      <c r="A3019" s="1" t="str">
        <f t="shared" si="47"/>
        <v>15100-44910196-961500195146960</v>
      </c>
      <c r="B3019" s="136" t="s">
        <v>5525</v>
      </c>
      <c r="C3019" s="136" t="s">
        <v>9260</v>
      </c>
      <c r="D3019" s="132" t="s">
        <v>4971</v>
      </c>
      <c r="E3019" s="136" t="s">
        <v>5480</v>
      </c>
      <c r="F3019" s="136" t="s">
        <v>5480</v>
      </c>
      <c r="G3019" s="136" t="s">
        <v>5813</v>
      </c>
      <c r="H3019" s="138" t="s">
        <v>6298</v>
      </c>
      <c r="I3019" s="136">
        <v>961500195</v>
      </c>
      <c r="J3019" s="131" t="s">
        <v>5587</v>
      </c>
      <c r="K3019" s="139">
        <v>146960</v>
      </c>
    </row>
    <row r="3020" spans="1:11">
      <c r="A3020" s="1" t="str">
        <f t="shared" si="47"/>
        <v>15100-44151396-96150003375250</v>
      </c>
      <c r="B3020" s="136" t="s">
        <v>5527</v>
      </c>
      <c r="C3020" s="136" t="s">
        <v>9262</v>
      </c>
      <c r="D3020" s="132" t="s">
        <v>4971</v>
      </c>
      <c r="E3020" s="136" t="s">
        <v>5558</v>
      </c>
      <c r="F3020" s="136" t="s">
        <v>5558</v>
      </c>
      <c r="G3020" s="136" t="s">
        <v>5776</v>
      </c>
      <c r="H3020" s="138" t="s">
        <v>6301</v>
      </c>
      <c r="I3020" s="136">
        <v>961500033</v>
      </c>
      <c r="J3020" s="131" t="s">
        <v>5430</v>
      </c>
      <c r="K3020" s="139">
        <v>75250</v>
      </c>
    </row>
    <row r="3021" spans="1:11">
      <c r="A3021" s="1" t="str">
        <f t="shared" si="47"/>
        <v>15100-43880096-96150003320560</v>
      </c>
      <c r="B3021" s="136" t="s">
        <v>5528</v>
      </c>
      <c r="C3021" s="136" t="s">
        <v>9263</v>
      </c>
      <c r="D3021" s="132" t="s">
        <v>4971</v>
      </c>
      <c r="E3021" s="136" t="s">
        <v>5457</v>
      </c>
      <c r="F3021" s="136" t="s">
        <v>5457</v>
      </c>
      <c r="G3021" s="136" t="s">
        <v>5776</v>
      </c>
      <c r="H3021" s="138" t="s">
        <v>6301</v>
      </c>
      <c r="I3021" s="136">
        <v>961500033</v>
      </c>
      <c r="J3021" s="131" t="s">
        <v>5430</v>
      </c>
      <c r="K3021" s="139">
        <v>20560</v>
      </c>
    </row>
    <row r="3022" spans="1:11">
      <c r="A3022" s="1" t="str">
        <f t="shared" si="47"/>
        <v>15100-44009196-961500033149730</v>
      </c>
      <c r="B3022" s="136" t="s">
        <v>5521</v>
      </c>
      <c r="C3022" s="136" t="s">
        <v>9256</v>
      </c>
      <c r="D3022" s="132" t="s">
        <v>4971</v>
      </c>
      <c r="E3022" s="136" t="s">
        <v>5555</v>
      </c>
      <c r="F3022" s="136" t="s">
        <v>5555</v>
      </c>
      <c r="G3022" s="136" t="s">
        <v>5776</v>
      </c>
      <c r="H3022" s="138" t="s">
        <v>6301</v>
      </c>
      <c r="I3022" s="136">
        <v>961500033</v>
      </c>
      <c r="J3022" s="131" t="s">
        <v>5430</v>
      </c>
      <c r="K3022" s="139">
        <v>149730</v>
      </c>
    </row>
    <row r="3023" spans="1:11">
      <c r="A3023" s="1" t="str">
        <f t="shared" si="47"/>
        <v>15100-44058296-96150004649020</v>
      </c>
      <c r="B3023" s="136" t="s">
        <v>5529</v>
      </c>
      <c r="C3023" s="136" t="s">
        <v>9264</v>
      </c>
      <c r="D3023" s="132" t="s">
        <v>4971</v>
      </c>
      <c r="E3023" s="136" t="s">
        <v>5565</v>
      </c>
      <c r="F3023" s="136" t="s">
        <v>5565</v>
      </c>
      <c r="G3023" s="136" t="s">
        <v>5776</v>
      </c>
      <c r="H3023" s="138" t="s">
        <v>6301</v>
      </c>
      <c r="I3023" s="136">
        <v>961500046</v>
      </c>
      <c r="J3023" s="131" t="s">
        <v>5423</v>
      </c>
      <c r="K3023" s="139">
        <v>49020</v>
      </c>
    </row>
    <row r="3024" spans="1:11">
      <c r="A3024" s="1" t="str">
        <f t="shared" si="47"/>
        <v>15100-44104496-96150004655670</v>
      </c>
      <c r="B3024" s="136" t="s">
        <v>5522</v>
      </c>
      <c r="C3024" s="136" t="s">
        <v>9257</v>
      </c>
      <c r="D3024" s="132" t="s">
        <v>4971</v>
      </c>
      <c r="E3024" s="136" t="s">
        <v>5564</v>
      </c>
      <c r="F3024" s="136" t="s">
        <v>5564</v>
      </c>
      <c r="G3024" s="136" t="s">
        <v>5776</v>
      </c>
      <c r="H3024" s="138" t="s">
        <v>6301</v>
      </c>
      <c r="I3024" s="136">
        <v>961500046</v>
      </c>
      <c r="J3024" s="131" t="s">
        <v>5423</v>
      </c>
      <c r="K3024" s="139">
        <v>55670</v>
      </c>
    </row>
    <row r="3025" spans="1:11">
      <c r="A3025" s="1" t="str">
        <f t="shared" si="47"/>
        <v>15100-44910196-96150022599980</v>
      </c>
      <c r="B3025" s="136" t="s">
        <v>5525</v>
      </c>
      <c r="C3025" s="136" t="s">
        <v>9260</v>
      </c>
      <c r="D3025" s="132" t="s">
        <v>4971</v>
      </c>
      <c r="E3025" s="136" t="s">
        <v>5480</v>
      </c>
      <c r="F3025" s="136" t="s">
        <v>5480</v>
      </c>
      <c r="G3025" s="136" t="s">
        <v>5813</v>
      </c>
      <c r="H3025" s="138" t="s">
        <v>6298</v>
      </c>
      <c r="I3025" s="136">
        <v>961500225</v>
      </c>
      <c r="J3025" s="131" t="s">
        <v>5588</v>
      </c>
      <c r="K3025" s="139">
        <v>99980</v>
      </c>
    </row>
    <row r="3026" spans="1:11">
      <c r="A3026" s="1" t="str">
        <f t="shared" si="47"/>
        <v>15100-44528196-961500085251690</v>
      </c>
      <c r="B3026" s="144" t="s">
        <v>5515</v>
      </c>
      <c r="C3026" s="144" t="s">
        <v>9250</v>
      </c>
      <c r="D3026" s="132" t="s">
        <v>4971</v>
      </c>
      <c r="E3026" s="144" t="s">
        <v>5560</v>
      </c>
      <c r="F3026" s="144" t="s">
        <v>5560</v>
      </c>
      <c r="G3026" s="144" t="s">
        <v>5796</v>
      </c>
      <c r="H3026" s="145" t="s">
        <v>11829</v>
      </c>
      <c r="I3026" s="144">
        <v>961500085</v>
      </c>
      <c r="J3026" s="131" t="s">
        <v>5582</v>
      </c>
      <c r="K3026" s="146">
        <v>251690</v>
      </c>
    </row>
    <row r="3027" spans="1:11">
      <c r="A3027" s="1" t="str">
        <f t="shared" si="47"/>
        <v>15100-43920196-96150004548280</v>
      </c>
      <c r="B3027" s="141" t="s">
        <v>5530</v>
      </c>
      <c r="C3027" s="141" t="s">
        <v>9265</v>
      </c>
      <c r="D3027" s="132" t="s">
        <v>4971</v>
      </c>
      <c r="E3027" s="141" t="s">
        <v>5557</v>
      </c>
      <c r="F3027" s="141" t="s">
        <v>5557</v>
      </c>
      <c r="G3027" s="141" t="s">
        <v>5776</v>
      </c>
      <c r="H3027" s="140" t="s">
        <v>6301</v>
      </c>
      <c r="I3027" s="141">
        <v>961500045</v>
      </c>
      <c r="J3027" s="131" t="s">
        <v>5433</v>
      </c>
      <c r="K3027" s="142">
        <v>48280</v>
      </c>
    </row>
    <row r="3028" spans="1:11">
      <c r="A3028" s="1" t="str">
        <f t="shared" si="47"/>
        <v>15100-44198996-96150003319900</v>
      </c>
      <c r="B3028" s="131" t="s">
        <v>5531</v>
      </c>
      <c r="C3028" s="131" t="s">
        <v>9266</v>
      </c>
      <c r="D3028" s="132" t="s">
        <v>4971</v>
      </c>
      <c r="E3028" s="131" t="s">
        <v>5563</v>
      </c>
      <c r="F3028" s="131" t="s">
        <v>5563</v>
      </c>
      <c r="G3028" s="131" t="s">
        <v>5776</v>
      </c>
      <c r="H3028" s="134" t="s">
        <v>6301</v>
      </c>
      <c r="I3028" s="131">
        <v>961500033</v>
      </c>
      <c r="J3028" s="131" t="s">
        <v>5430</v>
      </c>
      <c r="K3028" s="135">
        <v>19900</v>
      </c>
    </row>
    <row r="3029" spans="1:11">
      <c r="A3029" s="1" t="str">
        <f t="shared" si="47"/>
        <v>15100-44469996-96150018948980</v>
      </c>
      <c r="B3029" s="136" t="s">
        <v>5532</v>
      </c>
      <c r="C3029" s="136" t="s">
        <v>9267</v>
      </c>
      <c r="D3029" s="132" t="s">
        <v>4971</v>
      </c>
      <c r="E3029" s="136" t="s">
        <v>5482</v>
      </c>
      <c r="F3029" s="136" t="s">
        <v>5482</v>
      </c>
      <c r="G3029" s="136" t="s">
        <v>5813</v>
      </c>
      <c r="H3029" s="138" t="s">
        <v>6298</v>
      </c>
      <c r="I3029" s="136">
        <v>961500189</v>
      </c>
      <c r="J3029" s="131" t="s">
        <v>5574</v>
      </c>
      <c r="K3029" s="139">
        <v>48980</v>
      </c>
    </row>
    <row r="3030" spans="1:11">
      <c r="A3030" s="1" t="str">
        <f t="shared" si="47"/>
        <v>15100-44468496-961500189196020</v>
      </c>
      <c r="B3030" s="136" t="s">
        <v>5523</v>
      </c>
      <c r="C3030" s="136" t="s">
        <v>9258</v>
      </c>
      <c r="D3030" s="132" t="s">
        <v>4971</v>
      </c>
      <c r="E3030" s="136" t="s">
        <v>5482</v>
      </c>
      <c r="F3030" s="136" t="s">
        <v>5482</v>
      </c>
      <c r="G3030" s="136" t="s">
        <v>5813</v>
      </c>
      <c r="H3030" s="138" t="s">
        <v>6298</v>
      </c>
      <c r="I3030" s="136">
        <v>961500189</v>
      </c>
      <c r="J3030" s="131" t="s">
        <v>5574</v>
      </c>
      <c r="K3030" s="139">
        <v>196020</v>
      </c>
    </row>
    <row r="3031" spans="1:11">
      <c r="A3031" s="1" t="str">
        <f t="shared" si="47"/>
        <v>15100-44473096-96150018971740</v>
      </c>
      <c r="B3031" s="136" t="s">
        <v>5533</v>
      </c>
      <c r="C3031" s="136" t="s">
        <v>9268</v>
      </c>
      <c r="D3031" s="132" t="s">
        <v>4971</v>
      </c>
      <c r="E3031" s="136" t="s">
        <v>5482</v>
      </c>
      <c r="F3031" s="136" t="s">
        <v>5482</v>
      </c>
      <c r="G3031" s="136" t="s">
        <v>5813</v>
      </c>
      <c r="H3031" s="138" t="s">
        <v>6298</v>
      </c>
      <c r="I3031" s="136">
        <v>961500189</v>
      </c>
      <c r="J3031" s="131" t="s">
        <v>5574</v>
      </c>
      <c r="K3031" s="139">
        <v>71740</v>
      </c>
    </row>
    <row r="3032" spans="1:11">
      <c r="A3032" s="1" t="str">
        <f t="shared" si="47"/>
        <v>15100-44468796-96150019124440</v>
      </c>
      <c r="B3032" s="136" t="s">
        <v>5534</v>
      </c>
      <c r="C3032" s="136" t="s">
        <v>9269</v>
      </c>
      <c r="D3032" s="132" t="s">
        <v>4971</v>
      </c>
      <c r="E3032" s="136" t="s">
        <v>5482</v>
      </c>
      <c r="F3032" s="136" t="s">
        <v>5482</v>
      </c>
      <c r="G3032" s="136" t="s">
        <v>5807</v>
      </c>
      <c r="H3032" s="138" t="s">
        <v>6300</v>
      </c>
      <c r="I3032" s="136">
        <v>961500191</v>
      </c>
      <c r="J3032" s="131" t="s">
        <v>5577</v>
      </c>
      <c r="K3032" s="139">
        <v>24440</v>
      </c>
    </row>
    <row r="3033" spans="1:11">
      <c r="A3033" s="1" t="str">
        <f t="shared" si="47"/>
        <v>15100-44505396-96150008573170</v>
      </c>
      <c r="B3033" s="136" t="s">
        <v>5535</v>
      </c>
      <c r="C3033" s="136" t="s">
        <v>9270</v>
      </c>
      <c r="D3033" s="132" t="s">
        <v>4971</v>
      </c>
      <c r="E3033" s="136" t="s">
        <v>5560</v>
      </c>
      <c r="F3033" s="136" t="s">
        <v>5560</v>
      </c>
      <c r="G3033" s="136" t="s">
        <v>5796</v>
      </c>
      <c r="H3033" s="138" t="s">
        <v>11829</v>
      </c>
      <c r="I3033" s="136">
        <v>961500085</v>
      </c>
      <c r="J3033" s="131" t="s">
        <v>5582</v>
      </c>
      <c r="K3033" s="139">
        <v>73170</v>
      </c>
    </row>
    <row r="3034" spans="1:11">
      <c r="A3034" s="1" t="str">
        <f t="shared" si="47"/>
        <v>15100-43960896-96150004727585</v>
      </c>
      <c r="B3034" s="136" t="s">
        <v>5536</v>
      </c>
      <c r="C3034" s="136" t="s">
        <v>9271</v>
      </c>
      <c r="D3034" s="132" t="s">
        <v>4971</v>
      </c>
      <c r="E3034" s="136" t="s">
        <v>5458</v>
      </c>
      <c r="F3034" s="141" t="s">
        <v>5458</v>
      </c>
      <c r="G3034" s="141" t="s">
        <v>5772</v>
      </c>
      <c r="H3034" s="140" t="s">
        <v>6454</v>
      </c>
      <c r="I3034" s="141">
        <v>961500047</v>
      </c>
      <c r="J3034" s="131" t="s">
        <v>5229</v>
      </c>
      <c r="K3034" s="142">
        <v>27585</v>
      </c>
    </row>
    <row r="3035" spans="1:11">
      <c r="A3035" s="1" t="str">
        <f t="shared" si="47"/>
        <v>15100-44835796-96150008571880</v>
      </c>
      <c r="B3035" s="136" t="s">
        <v>5537</v>
      </c>
      <c r="C3035" s="136" t="s">
        <v>9272</v>
      </c>
      <c r="D3035" s="132" t="s">
        <v>4971</v>
      </c>
      <c r="E3035" s="136" t="s">
        <v>5481</v>
      </c>
      <c r="F3035" s="136" t="s">
        <v>5481</v>
      </c>
      <c r="G3035" s="136" t="s">
        <v>5796</v>
      </c>
      <c r="H3035" s="138" t="s">
        <v>11829</v>
      </c>
      <c r="I3035" s="136">
        <v>961500085</v>
      </c>
      <c r="J3035" s="131" t="s">
        <v>5582</v>
      </c>
      <c r="K3035" s="139">
        <v>71880</v>
      </c>
    </row>
    <row r="3036" spans="1:11">
      <c r="A3036" s="1" t="str">
        <f t="shared" si="47"/>
        <v>15100-44632296-96150008598740</v>
      </c>
      <c r="B3036" s="136" t="s">
        <v>5538</v>
      </c>
      <c r="C3036" s="136" t="s">
        <v>9273</v>
      </c>
      <c r="D3036" s="132" t="s">
        <v>4971</v>
      </c>
      <c r="E3036" s="136" t="s">
        <v>5483</v>
      </c>
      <c r="F3036" s="136" t="s">
        <v>5483</v>
      </c>
      <c r="G3036" s="136" t="s">
        <v>5796</v>
      </c>
      <c r="H3036" s="138" t="s">
        <v>11829</v>
      </c>
      <c r="I3036" s="136">
        <v>961500085</v>
      </c>
      <c r="J3036" s="131" t="s">
        <v>5582</v>
      </c>
      <c r="K3036" s="139">
        <v>98740</v>
      </c>
    </row>
    <row r="3037" spans="1:11">
      <c r="A3037" s="1" t="str">
        <f t="shared" si="47"/>
        <v>15100-43960896-9615001001690</v>
      </c>
      <c r="B3037" s="136" t="s">
        <v>5536</v>
      </c>
      <c r="C3037" s="136" t="s">
        <v>9271</v>
      </c>
      <c r="D3037" s="132" t="s">
        <v>4971</v>
      </c>
      <c r="E3037" s="136" t="s">
        <v>5458</v>
      </c>
      <c r="F3037" s="136" t="s">
        <v>5458</v>
      </c>
      <c r="G3037" s="136" t="s">
        <v>5793</v>
      </c>
      <c r="H3037" s="138" t="s">
        <v>6454</v>
      </c>
      <c r="I3037" s="136">
        <v>961500100</v>
      </c>
      <c r="J3037" s="131" t="s">
        <v>5589</v>
      </c>
      <c r="K3037" s="139">
        <v>1690</v>
      </c>
    </row>
    <row r="3038" spans="1:11">
      <c r="A3038" s="1" t="str">
        <f t="shared" si="47"/>
        <v>15100-43960896-96150002271145</v>
      </c>
      <c r="B3038" s="136" t="s">
        <v>5536</v>
      </c>
      <c r="C3038" s="136" t="s">
        <v>9271</v>
      </c>
      <c r="D3038" s="132" t="s">
        <v>4971</v>
      </c>
      <c r="E3038" s="136" t="s">
        <v>5458</v>
      </c>
      <c r="F3038" s="141" t="s">
        <v>5458</v>
      </c>
      <c r="G3038" s="141" t="s">
        <v>5772</v>
      </c>
      <c r="H3038" s="140" t="s">
        <v>6454</v>
      </c>
      <c r="I3038" s="141">
        <v>961500022</v>
      </c>
      <c r="J3038" s="131" t="s">
        <v>5434</v>
      </c>
      <c r="K3038" s="142">
        <v>71145</v>
      </c>
    </row>
    <row r="3039" spans="1:11">
      <c r="A3039" s="1" t="str">
        <f t="shared" si="47"/>
        <v>15100-44842096-96150018650000</v>
      </c>
      <c r="B3039" s="136" t="s">
        <v>5539</v>
      </c>
      <c r="C3039" s="136" t="s">
        <v>9274</v>
      </c>
      <c r="D3039" s="132" t="s">
        <v>4971</v>
      </c>
      <c r="E3039" s="136" t="s">
        <v>5481</v>
      </c>
      <c r="F3039" s="136" t="s">
        <v>5481</v>
      </c>
      <c r="G3039" s="136" t="s">
        <v>5813</v>
      </c>
      <c r="H3039" s="138" t="s">
        <v>6298</v>
      </c>
      <c r="I3039" s="136">
        <v>961500186</v>
      </c>
      <c r="J3039" s="131" t="s">
        <v>5590</v>
      </c>
      <c r="K3039" s="139">
        <v>50000</v>
      </c>
    </row>
    <row r="3040" spans="1:11">
      <c r="A3040" s="1" t="str">
        <f t="shared" si="47"/>
        <v>15100-44468796-96150018571580</v>
      </c>
      <c r="B3040" s="136" t="s">
        <v>5534</v>
      </c>
      <c r="C3040" s="136" t="s">
        <v>9269</v>
      </c>
      <c r="D3040" s="132" t="s">
        <v>4971</v>
      </c>
      <c r="E3040" s="136" t="s">
        <v>5482</v>
      </c>
      <c r="F3040" s="136" t="s">
        <v>5482</v>
      </c>
      <c r="G3040" s="136" t="s">
        <v>5813</v>
      </c>
      <c r="H3040" s="138" t="s">
        <v>6298</v>
      </c>
      <c r="I3040" s="136">
        <v>961500185</v>
      </c>
      <c r="J3040" s="131" t="s">
        <v>5591</v>
      </c>
      <c r="K3040" s="139">
        <v>71580</v>
      </c>
    </row>
    <row r="3041" spans="1:11">
      <c r="A3041" s="1" t="str">
        <f t="shared" si="47"/>
        <v>15100-44842096-96150019923690</v>
      </c>
      <c r="B3041" s="136" t="s">
        <v>5539</v>
      </c>
      <c r="C3041" s="136" t="s">
        <v>9274</v>
      </c>
      <c r="D3041" s="132" t="s">
        <v>4971</v>
      </c>
      <c r="E3041" s="136" t="s">
        <v>5481</v>
      </c>
      <c r="F3041" s="136" t="s">
        <v>5481</v>
      </c>
      <c r="G3041" s="136" t="s">
        <v>5815</v>
      </c>
      <c r="H3041" s="138" t="s">
        <v>6298</v>
      </c>
      <c r="I3041" s="136">
        <v>961500199</v>
      </c>
      <c r="J3041" s="131" t="s">
        <v>5571</v>
      </c>
      <c r="K3041" s="139">
        <v>23690</v>
      </c>
    </row>
    <row r="3042" spans="1:11">
      <c r="A3042" s="1" t="str">
        <f t="shared" si="47"/>
        <v>15100-44153196-96150004645930</v>
      </c>
      <c r="B3042" s="136" t="s">
        <v>5540</v>
      </c>
      <c r="C3042" s="136" t="s">
        <v>9275</v>
      </c>
      <c r="D3042" s="132" t="s">
        <v>4971</v>
      </c>
      <c r="E3042" s="136" t="s">
        <v>5558</v>
      </c>
      <c r="F3042" s="136" t="s">
        <v>5558</v>
      </c>
      <c r="G3042" s="136" t="s">
        <v>5776</v>
      </c>
      <c r="H3042" s="138" t="s">
        <v>6301</v>
      </c>
      <c r="I3042" s="136">
        <v>961500046</v>
      </c>
      <c r="J3042" s="131" t="s">
        <v>5423</v>
      </c>
      <c r="K3042" s="139">
        <v>45930</v>
      </c>
    </row>
    <row r="3043" spans="1:11">
      <c r="A3043" s="1" t="str">
        <f t="shared" si="47"/>
        <v>15100-44632296-961500022104465</v>
      </c>
      <c r="B3043" s="136" t="s">
        <v>5538</v>
      </c>
      <c r="C3043" s="136" t="s">
        <v>9273</v>
      </c>
      <c r="D3043" s="132" t="s">
        <v>4971</v>
      </c>
      <c r="E3043" s="136" t="s">
        <v>5483</v>
      </c>
      <c r="F3043" s="141" t="s">
        <v>5483</v>
      </c>
      <c r="G3043" s="141" t="s">
        <v>5772</v>
      </c>
      <c r="H3043" s="140" t="s">
        <v>6454</v>
      </c>
      <c r="I3043" s="141">
        <v>961500022</v>
      </c>
      <c r="J3043" s="131" t="s">
        <v>5434</v>
      </c>
      <c r="K3043" s="142">
        <v>104465</v>
      </c>
    </row>
    <row r="3044" spans="1:11">
      <c r="A3044" s="1" t="str">
        <f t="shared" si="47"/>
        <v>15100-44359696-961500188112794</v>
      </c>
      <c r="B3044" s="136" t="s">
        <v>5541</v>
      </c>
      <c r="C3044" s="136" t="s">
        <v>9276</v>
      </c>
      <c r="D3044" s="132" t="s">
        <v>4971</v>
      </c>
      <c r="E3044" s="136" t="s">
        <v>5561</v>
      </c>
      <c r="F3044" s="136" t="s">
        <v>5561</v>
      </c>
      <c r="G3044" s="136" t="s">
        <v>5813</v>
      </c>
      <c r="H3044" s="138" t="s">
        <v>6298</v>
      </c>
      <c r="I3044" s="136">
        <v>961500188</v>
      </c>
      <c r="J3044" s="131" t="s">
        <v>5572</v>
      </c>
      <c r="K3044" s="139">
        <v>112794</v>
      </c>
    </row>
    <row r="3045" spans="1:11">
      <c r="A3045" s="1" t="str">
        <f t="shared" si="47"/>
        <v>15100-44748496-96150018650000</v>
      </c>
      <c r="B3045" s="136" t="s">
        <v>5542</v>
      </c>
      <c r="C3045" s="136" t="s">
        <v>9277</v>
      </c>
      <c r="D3045" s="132" t="s">
        <v>4971</v>
      </c>
      <c r="E3045" s="136" t="s">
        <v>5479</v>
      </c>
      <c r="F3045" s="136" t="s">
        <v>5479</v>
      </c>
      <c r="G3045" s="136" t="s">
        <v>5813</v>
      </c>
      <c r="H3045" s="138" t="s">
        <v>6298</v>
      </c>
      <c r="I3045" s="136">
        <v>961500186</v>
      </c>
      <c r="J3045" s="131" t="s">
        <v>5590</v>
      </c>
      <c r="K3045" s="139">
        <v>50000</v>
      </c>
    </row>
    <row r="3046" spans="1:11">
      <c r="A3046" s="1" t="str">
        <f t="shared" si="47"/>
        <v>15100-44748496-961500180125990</v>
      </c>
      <c r="B3046" s="136" t="s">
        <v>5542</v>
      </c>
      <c r="C3046" s="136" t="s">
        <v>9277</v>
      </c>
      <c r="D3046" s="132" t="s">
        <v>4971</v>
      </c>
      <c r="E3046" s="136" t="s">
        <v>5479</v>
      </c>
      <c r="F3046" s="141" t="s">
        <v>5479</v>
      </c>
      <c r="G3046" s="141" t="s">
        <v>5814</v>
      </c>
      <c r="H3046" s="140" t="s">
        <v>6298</v>
      </c>
      <c r="I3046" s="141">
        <v>961500180</v>
      </c>
      <c r="J3046" s="131" t="s">
        <v>5592</v>
      </c>
      <c r="K3046" s="142">
        <v>125990</v>
      </c>
    </row>
    <row r="3047" spans="1:11">
      <c r="A3047" s="1" t="str">
        <f t="shared" si="47"/>
        <v>15100-44632296-96150020218170</v>
      </c>
      <c r="B3047" s="136" t="s">
        <v>5538</v>
      </c>
      <c r="C3047" s="136" t="s">
        <v>9273</v>
      </c>
      <c r="D3047" s="132" t="s">
        <v>4971</v>
      </c>
      <c r="E3047" s="136" t="s">
        <v>5483</v>
      </c>
      <c r="F3047" s="136" t="s">
        <v>5483</v>
      </c>
      <c r="G3047" s="136" t="s">
        <v>5815</v>
      </c>
      <c r="H3047" s="138" t="s">
        <v>6298</v>
      </c>
      <c r="I3047" s="136">
        <v>961500202</v>
      </c>
      <c r="J3047" s="131" t="s">
        <v>5576</v>
      </c>
      <c r="K3047" s="139">
        <v>18170</v>
      </c>
    </row>
    <row r="3048" spans="1:11">
      <c r="A3048" s="1" t="str">
        <f t="shared" si="47"/>
        <v>15100-44359696-96150001274330</v>
      </c>
      <c r="B3048" s="136" t="s">
        <v>5541</v>
      </c>
      <c r="C3048" s="136" t="s">
        <v>9276</v>
      </c>
      <c r="D3048" s="132" t="s">
        <v>4971</v>
      </c>
      <c r="E3048" s="136" t="s">
        <v>5561</v>
      </c>
      <c r="F3048" s="136" t="s">
        <v>5561</v>
      </c>
      <c r="G3048" s="136" t="s">
        <v>5768</v>
      </c>
      <c r="H3048" s="138" t="s">
        <v>6454</v>
      </c>
      <c r="I3048" s="136">
        <v>961500012</v>
      </c>
      <c r="J3048" s="131" t="s">
        <v>5575</v>
      </c>
      <c r="K3048" s="139">
        <v>74330</v>
      </c>
    </row>
    <row r="3049" spans="1:11">
      <c r="A3049" s="1" t="str">
        <f t="shared" si="47"/>
        <v>15100-44359996-96150017575310</v>
      </c>
      <c r="B3049" s="136" t="s">
        <v>5543</v>
      </c>
      <c r="C3049" s="136" t="s">
        <v>9278</v>
      </c>
      <c r="D3049" s="132" t="s">
        <v>4971</v>
      </c>
      <c r="E3049" s="136" t="s">
        <v>5561</v>
      </c>
      <c r="F3049" s="136" t="s">
        <v>5561</v>
      </c>
      <c r="G3049" s="136" t="s">
        <v>5810</v>
      </c>
      <c r="H3049" s="138" t="s">
        <v>6298</v>
      </c>
      <c r="I3049" s="136">
        <v>961500175</v>
      </c>
      <c r="J3049" s="131" t="s">
        <v>5581</v>
      </c>
      <c r="K3049" s="139">
        <v>75310</v>
      </c>
    </row>
    <row r="3050" spans="1:11">
      <c r="A3050" s="1" t="str">
        <f t="shared" si="47"/>
        <v>15100-44359696-96150017552236</v>
      </c>
      <c r="B3050" s="136" t="s">
        <v>5541</v>
      </c>
      <c r="C3050" s="136" t="s">
        <v>9276</v>
      </c>
      <c r="D3050" s="132" t="s">
        <v>4971</v>
      </c>
      <c r="E3050" s="136" t="s">
        <v>5561</v>
      </c>
      <c r="F3050" s="136" t="s">
        <v>5561</v>
      </c>
      <c r="G3050" s="136" t="s">
        <v>5810</v>
      </c>
      <c r="H3050" s="138" t="s">
        <v>6298</v>
      </c>
      <c r="I3050" s="136">
        <v>961500175</v>
      </c>
      <c r="J3050" s="131" t="s">
        <v>5581</v>
      </c>
      <c r="K3050" s="139">
        <v>52236</v>
      </c>
    </row>
    <row r="3051" spans="1:11">
      <c r="A3051" s="1" t="str">
        <f t="shared" si="47"/>
        <v>15100-44590296-96150008599110</v>
      </c>
      <c r="B3051" s="136" t="s">
        <v>5544</v>
      </c>
      <c r="C3051" s="136" t="s">
        <v>9279</v>
      </c>
      <c r="D3051" s="132" t="s">
        <v>4971</v>
      </c>
      <c r="E3051" s="136" t="s">
        <v>5447</v>
      </c>
      <c r="F3051" s="136" t="s">
        <v>5447</v>
      </c>
      <c r="G3051" s="136" t="s">
        <v>5796</v>
      </c>
      <c r="H3051" s="138" t="s">
        <v>11829</v>
      </c>
      <c r="I3051" s="136">
        <v>961500085</v>
      </c>
      <c r="J3051" s="131" t="s">
        <v>5582</v>
      </c>
      <c r="K3051" s="139">
        <v>99110</v>
      </c>
    </row>
    <row r="3052" spans="1:11">
      <c r="A3052" s="1" t="str">
        <f t="shared" si="47"/>
        <v>15100-44791096-96150008573770</v>
      </c>
      <c r="B3052" s="136" t="s">
        <v>5545</v>
      </c>
      <c r="C3052" s="136" t="s">
        <v>9280</v>
      </c>
      <c r="D3052" s="132" t="s">
        <v>4971</v>
      </c>
      <c r="E3052" s="136" t="s">
        <v>5460</v>
      </c>
      <c r="F3052" s="136" t="s">
        <v>5460</v>
      </c>
      <c r="G3052" s="136" t="s">
        <v>5796</v>
      </c>
      <c r="H3052" s="138" t="s">
        <v>11829</v>
      </c>
      <c r="I3052" s="136">
        <v>961500085</v>
      </c>
      <c r="J3052" s="131" t="s">
        <v>5582</v>
      </c>
      <c r="K3052" s="139">
        <v>73770</v>
      </c>
    </row>
    <row r="3053" spans="1:11">
      <c r="A3053" s="1" t="str">
        <f t="shared" si="47"/>
        <v>15100-44974596-96150017888270</v>
      </c>
      <c r="B3053" s="136" t="s">
        <v>5546</v>
      </c>
      <c r="C3053" s="136" t="s">
        <v>9281</v>
      </c>
      <c r="D3053" s="132" t="s">
        <v>4971</v>
      </c>
      <c r="E3053" s="136" t="s">
        <v>5566</v>
      </c>
      <c r="F3053" s="136" t="s">
        <v>5566</v>
      </c>
      <c r="G3053" s="136" t="s">
        <v>5810</v>
      </c>
      <c r="H3053" s="138" t="s">
        <v>6298</v>
      </c>
      <c r="I3053" s="136">
        <v>961500178</v>
      </c>
      <c r="J3053" s="131" t="s">
        <v>5593</v>
      </c>
      <c r="K3053" s="139">
        <v>88270</v>
      </c>
    </row>
    <row r="3054" spans="1:11">
      <c r="A3054" s="1" t="str">
        <f t="shared" si="47"/>
        <v>15100-44974596-96150019517690</v>
      </c>
      <c r="B3054" s="136" t="s">
        <v>5546</v>
      </c>
      <c r="C3054" s="136" t="s">
        <v>9281</v>
      </c>
      <c r="D3054" s="132" t="s">
        <v>4971</v>
      </c>
      <c r="E3054" s="136" t="s">
        <v>5566</v>
      </c>
      <c r="F3054" s="136" t="s">
        <v>5566</v>
      </c>
      <c r="G3054" s="136" t="s">
        <v>5813</v>
      </c>
      <c r="H3054" s="138" t="s">
        <v>6298</v>
      </c>
      <c r="I3054" s="136">
        <v>961500195</v>
      </c>
      <c r="J3054" s="131" t="s">
        <v>5587</v>
      </c>
      <c r="K3054" s="139">
        <v>17690</v>
      </c>
    </row>
    <row r="3055" spans="1:11">
      <c r="A3055" s="1" t="str">
        <f t="shared" si="47"/>
        <v>15100-44001096-96150004698520</v>
      </c>
      <c r="B3055" s="136" t="s">
        <v>5547</v>
      </c>
      <c r="C3055" s="136" t="s">
        <v>9282</v>
      </c>
      <c r="D3055" s="132" t="s">
        <v>4971</v>
      </c>
      <c r="E3055" s="136" t="s">
        <v>5555</v>
      </c>
      <c r="F3055" s="136" t="s">
        <v>5555</v>
      </c>
      <c r="G3055" s="136" t="s">
        <v>5776</v>
      </c>
      <c r="H3055" s="138" t="s">
        <v>6301</v>
      </c>
      <c r="I3055" s="136">
        <v>961500046</v>
      </c>
      <c r="J3055" s="131" t="s">
        <v>5423</v>
      </c>
      <c r="K3055" s="139">
        <v>98520</v>
      </c>
    </row>
    <row r="3056" spans="1:11">
      <c r="A3056" s="1" t="str">
        <f t="shared" si="47"/>
        <v>15100-44261496-96150017349400</v>
      </c>
      <c r="B3056" s="136" t="s">
        <v>5548</v>
      </c>
      <c r="C3056" s="136" t="s">
        <v>9283</v>
      </c>
      <c r="D3056" s="132" t="s">
        <v>4971</v>
      </c>
      <c r="E3056" s="136" t="s">
        <v>5459</v>
      </c>
      <c r="F3056" s="136" t="s">
        <v>5459</v>
      </c>
      <c r="G3056" s="136" t="s">
        <v>5807</v>
      </c>
      <c r="H3056" s="138" t="s">
        <v>6300</v>
      </c>
      <c r="I3056" s="136">
        <v>961500173</v>
      </c>
      <c r="J3056" s="131" t="s">
        <v>5594</v>
      </c>
      <c r="K3056" s="139">
        <v>49400</v>
      </c>
    </row>
    <row r="3057" spans="1:11">
      <c r="A3057" s="1" t="str">
        <f t="shared" si="47"/>
        <v>15100-44974596-96150019623690</v>
      </c>
      <c r="B3057" s="136" t="s">
        <v>5546</v>
      </c>
      <c r="C3057" s="136" t="s">
        <v>9281</v>
      </c>
      <c r="D3057" s="132" t="s">
        <v>4971</v>
      </c>
      <c r="E3057" s="136" t="s">
        <v>5566</v>
      </c>
      <c r="F3057" s="136" t="s">
        <v>5566</v>
      </c>
      <c r="G3057" s="136" t="s">
        <v>5813</v>
      </c>
      <c r="H3057" s="138" t="s">
        <v>6298</v>
      </c>
      <c r="I3057" s="136">
        <v>961500196</v>
      </c>
      <c r="J3057" s="131" t="s">
        <v>5586</v>
      </c>
      <c r="K3057" s="139">
        <v>23690</v>
      </c>
    </row>
    <row r="3058" spans="1:11">
      <c r="A3058" s="1" t="str">
        <f t="shared" si="47"/>
        <v>15100-44590296-96150018954046</v>
      </c>
      <c r="B3058" s="136" t="s">
        <v>5544</v>
      </c>
      <c r="C3058" s="136" t="s">
        <v>9279</v>
      </c>
      <c r="D3058" s="132" t="s">
        <v>4971</v>
      </c>
      <c r="E3058" s="136" t="s">
        <v>5447</v>
      </c>
      <c r="F3058" s="136" t="s">
        <v>5447</v>
      </c>
      <c r="G3058" s="136" t="s">
        <v>5813</v>
      </c>
      <c r="H3058" s="138" t="s">
        <v>6298</v>
      </c>
      <c r="I3058" s="136">
        <v>961500189</v>
      </c>
      <c r="J3058" s="131" t="s">
        <v>5574</v>
      </c>
      <c r="K3058" s="139">
        <v>54046</v>
      </c>
    </row>
    <row r="3059" spans="1:11">
      <c r="A3059" s="1" t="str">
        <f t="shared" si="47"/>
        <v>15100-44590296-96150019445484</v>
      </c>
      <c r="B3059" s="136" t="s">
        <v>5544</v>
      </c>
      <c r="C3059" s="136" t="s">
        <v>9279</v>
      </c>
      <c r="D3059" s="132" t="s">
        <v>4971</v>
      </c>
      <c r="E3059" s="136" t="s">
        <v>5447</v>
      </c>
      <c r="F3059" s="136" t="s">
        <v>5447</v>
      </c>
      <c r="G3059" s="136" t="s">
        <v>5813</v>
      </c>
      <c r="H3059" s="138" t="s">
        <v>6298</v>
      </c>
      <c r="I3059" s="136">
        <v>961500194</v>
      </c>
      <c r="J3059" s="131" t="s">
        <v>5579</v>
      </c>
      <c r="K3059" s="139">
        <v>45484</v>
      </c>
    </row>
    <row r="3060" spans="1:11">
      <c r="A3060" s="1" t="str">
        <f t="shared" si="47"/>
        <v>15100-44419696-961500191124160</v>
      </c>
      <c r="B3060" s="136" t="s">
        <v>5549</v>
      </c>
      <c r="C3060" s="136" t="s">
        <v>9284</v>
      </c>
      <c r="D3060" s="132" t="s">
        <v>4971</v>
      </c>
      <c r="E3060" s="136" t="s">
        <v>5478</v>
      </c>
      <c r="F3060" s="136" t="s">
        <v>5478</v>
      </c>
      <c r="G3060" s="136" t="s">
        <v>5807</v>
      </c>
      <c r="H3060" s="138" t="s">
        <v>6300</v>
      </c>
      <c r="I3060" s="136">
        <v>961500191</v>
      </c>
      <c r="J3060" s="131" t="s">
        <v>5577</v>
      </c>
      <c r="K3060" s="139">
        <v>124160</v>
      </c>
    </row>
    <row r="3061" spans="1:11">
      <c r="A3061" s="1" t="str">
        <f t="shared" si="47"/>
        <v>15100-43829196-96150010098310</v>
      </c>
      <c r="B3061" s="136" t="s">
        <v>5550</v>
      </c>
      <c r="C3061" s="136" t="s">
        <v>9285</v>
      </c>
      <c r="D3061" s="132" t="s">
        <v>4971</v>
      </c>
      <c r="E3061" s="136" t="s">
        <v>5556</v>
      </c>
      <c r="F3061" s="136" t="s">
        <v>5556</v>
      </c>
      <c r="G3061" s="136" t="s">
        <v>5793</v>
      </c>
      <c r="H3061" s="138" t="s">
        <v>6454</v>
      </c>
      <c r="I3061" s="136">
        <v>961500100</v>
      </c>
      <c r="J3061" s="131" t="s">
        <v>5589</v>
      </c>
      <c r="K3061" s="139">
        <v>98310</v>
      </c>
    </row>
    <row r="3062" spans="1:11">
      <c r="A3062" s="1" t="str">
        <f t="shared" si="47"/>
        <v>15100-44974596-96150020340000</v>
      </c>
      <c r="B3062" s="136" t="s">
        <v>5546</v>
      </c>
      <c r="C3062" s="136" t="s">
        <v>9281</v>
      </c>
      <c r="D3062" s="132" t="s">
        <v>4971</v>
      </c>
      <c r="E3062" s="136" t="s">
        <v>5566</v>
      </c>
      <c r="F3062" s="136" t="s">
        <v>5566</v>
      </c>
      <c r="G3062" s="136" t="s">
        <v>5815</v>
      </c>
      <c r="H3062" s="138" t="s">
        <v>6298</v>
      </c>
      <c r="I3062" s="136">
        <v>961500203</v>
      </c>
      <c r="J3062" s="131" t="s">
        <v>5595</v>
      </c>
      <c r="K3062" s="139">
        <v>40000</v>
      </c>
    </row>
    <row r="3063" spans="1:11">
      <c r="A3063" s="1" t="str">
        <f t="shared" si="47"/>
        <v>15100-44974596-96150019881490</v>
      </c>
      <c r="B3063" s="136" t="s">
        <v>5546</v>
      </c>
      <c r="C3063" s="136" t="s">
        <v>9281</v>
      </c>
      <c r="D3063" s="132" t="s">
        <v>4971</v>
      </c>
      <c r="E3063" s="136" t="s">
        <v>5566</v>
      </c>
      <c r="F3063" s="136" t="s">
        <v>5566</v>
      </c>
      <c r="G3063" s="136" t="s">
        <v>5815</v>
      </c>
      <c r="H3063" s="138" t="s">
        <v>6298</v>
      </c>
      <c r="I3063" s="136">
        <v>961500198</v>
      </c>
      <c r="J3063" s="131" t="s">
        <v>5596</v>
      </c>
      <c r="K3063" s="139">
        <v>81490</v>
      </c>
    </row>
    <row r="3064" spans="1:11">
      <c r="A3064" s="1" t="str">
        <f t="shared" si="47"/>
        <v>15100-44523996-96150019750220</v>
      </c>
      <c r="B3064" s="136" t="s">
        <v>5509</v>
      </c>
      <c r="C3064" s="136" t="s">
        <v>9244</v>
      </c>
      <c r="D3064" s="132" t="s">
        <v>4971</v>
      </c>
      <c r="E3064" s="136" t="s">
        <v>5560</v>
      </c>
      <c r="F3064" s="136" t="s">
        <v>5560</v>
      </c>
      <c r="G3064" s="136" t="s">
        <v>5815</v>
      </c>
      <c r="H3064" s="138" t="s">
        <v>6298</v>
      </c>
      <c r="I3064" s="136">
        <v>961500197</v>
      </c>
      <c r="J3064" s="131" t="s">
        <v>5597</v>
      </c>
      <c r="K3064" s="139">
        <v>50220</v>
      </c>
    </row>
    <row r="3065" spans="1:11">
      <c r="A3065" s="1" t="str">
        <f t="shared" si="47"/>
        <v>15100-44059796-96150006797800</v>
      </c>
      <c r="B3065" s="136" t="s">
        <v>5551</v>
      </c>
      <c r="C3065" s="136" t="s">
        <v>9286</v>
      </c>
      <c r="D3065" s="132" t="s">
        <v>4971</v>
      </c>
      <c r="E3065" s="136" t="s">
        <v>5565</v>
      </c>
      <c r="F3065" s="136" t="s">
        <v>5565</v>
      </c>
      <c r="G3065" s="136" t="s">
        <v>5758</v>
      </c>
      <c r="H3065" s="138" t="s">
        <v>6298</v>
      </c>
      <c r="I3065" s="136">
        <v>961500067</v>
      </c>
      <c r="J3065" s="131" t="s">
        <v>5378</v>
      </c>
      <c r="K3065" s="139">
        <v>97800</v>
      </c>
    </row>
    <row r="3066" spans="1:11">
      <c r="A3066" s="1" t="str">
        <f t="shared" si="47"/>
        <v>15100-44198396-96150004549740</v>
      </c>
      <c r="B3066" s="136" t="s">
        <v>5552</v>
      </c>
      <c r="C3066" s="136" t="s">
        <v>9287</v>
      </c>
      <c r="D3066" s="132" t="s">
        <v>4971</v>
      </c>
      <c r="E3066" s="136" t="s">
        <v>5563</v>
      </c>
      <c r="F3066" s="136" t="s">
        <v>5563</v>
      </c>
      <c r="G3066" s="136" t="s">
        <v>5776</v>
      </c>
      <c r="H3066" s="138" t="s">
        <v>6301</v>
      </c>
      <c r="I3066" s="136">
        <v>961500045</v>
      </c>
      <c r="J3066" s="131" t="s">
        <v>5433</v>
      </c>
      <c r="K3066" s="139">
        <v>49740</v>
      </c>
    </row>
    <row r="3067" spans="1:11">
      <c r="A3067" s="1" t="str">
        <f t="shared" si="47"/>
        <v>15100-44693296-96150019776530</v>
      </c>
      <c r="B3067" s="136" t="s">
        <v>5513</v>
      </c>
      <c r="C3067" s="136" t="s">
        <v>9248</v>
      </c>
      <c r="D3067" s="132" t="s">
        <v>4971</v>
      </c>
      <c r="E3067" s="136" t="s">
        <v>5562</v>
      </c>
      <c r="F3067" s="136" t="s">
        <v>5562</v>
      </c>
      <c r="G3067" s="136" t="s">
        <v>5815</v>
      </c>
      <c r="H3067" s="138" t="s">
        <v>6298</v>
      </c>
      <c r="I3067" s="136">
        <v>961500197</v>
      </c>
      <c r="J3067" s="131" t="s">
        <v>5597</v>
      </c>
      <c r="K3067" s="139">
        <v>76530</v>
      </c>
    </row>
    <row r="3068" spans="1:11">
      <c r="A3068" s="1" t="str">
        <f t="shared" si="47"/>
        <v>15100-43831296-961500045174370</v>
      </c>
      <c r="B3068" s="136" t="s">
        <v>5553</v>
      </c>
      <c r="C3068" s="136" t="s">
        <v>9288</v>
      </c>
      <c r="D3068" s="132" t="s">
        <v>4971</v>
      </c>
      <c r="E3068" s="136" t="s">
        <v>5556</v>
      </c>
      <c r="F3068" s="136" t="s">
        <v>5556</v>
      </c>
      <c r="G3068" s="136" t="s">
        <v>5776</v>
      </c>
      <c r="H3068" s="138" t="s">
        <v>6301</v>
      </c>
      <c r="I3068" s="136">
        <v>961500045</v>
      </c>
      <c r="J3068" s="131" t="s">
        <v>5433</v>
      </c>
      <c r="K3068" s="139">
        <v>174370</v>
      </c>
    </row>
    <row r="3069" spans="1:11">
      <c r="A3069" s="1" t="str">
        <f t="shared" si="47"/>
        <v>15100-44199896-961500045113300</v>
      </c>
      <c r="B3069" s="136" t="s">
        <v>5517</v>
      </c>
      <c r="C3069" s="136" t="s">
        <v>9252</v>
      </c>
      <c r="D3069" s="132" t="s">
        <v>4971</v>
      </c>
      <c r="E3069" s="136" t="s">
        <v>5563</v>
      </c>
      <c r="F3069" s="136" t="s">
        <v>5563</v>
      </c>
      <c r="G3069" s="136" t="s">
        <v>5776</v>
      </c>
      <c r="H3069" s="138" t="s">
        <v>6301</v>
      </c>
      <c r="I3069" s="136">
        <v>961500045</v>
      </c>
      <c r="J3069" s="131" t="s">
        <v>5433</v>
      </c>
      <c r="K3069" s="139">
        <v>113300</v>
      </c>
    </row>
    <row r="3070" spans="1:11">
      <c r="A3070" s="1" t="str">
        <f t="shared" si="47"/>
        <v>15100-44312596-961500170139000</v>
      </c>
      <c r="B3070" s="136" t="s">
        <v>5510</v>
      </c>
      <c r="C3070" s="136" t="s">
        <v>9245</v>
      </c>
      <c r="D3070" s="132" t="s">
        <v>4971</v>
      </c>
      <c r="E3070" s="136" t="s">
        <v>5559</v>
      </c>
      <c r="F3070" s="136" t="s">
        <v>5559</v>
      </c>
      <c r="G3070" s="136" t="s">
        <v>5810</v>
      </c>
      <c r="H3070" s="138" t="s">
        <v>6298</v>
      </c>
      <c r="I3070" s="136">
        <v>961500170</v>
      </c>
      <c r="J3070" s="131" t="s">
        <v>5598</v>
      </c>
      <c r="K3070" s="139">
        <v>139000</v>
      </c>
    </row>
    <row r="3071" spans="1:11">
      <c r="A3071" s="1" t="str">
        <f t="shared" si="47"/>
        <v>15100-44357296-96150017098240</v>
      </c>
      <c r="B3071" s="136" t="s">
        <v>5511</v>
      </c>
      <c r="C3071" s="136" t="s">
        <v>9246</v>
      </c>
      <c r="D3071" s="132" t="s">
        <v>4971</v>
      </c>
      <c r="E3071" s="136" t="s">
        <v>5561</v>
      </c>
      <c r="F3071" s="136" t="s">
        <v>5561</v>
      </c>
      <c r="G3071" s="136" t="s">
        <v>5810</v>
      </c>
      <c r="H3071" s="138" t="s">
        <v>6298</v>
      </c>
      <c r="I3071" s="136">
        <v>961500170</v>
      </c>
      <c r="J3071" s="131" t="s">
        <v>5598</v>
      </c>
      <c r="K3071" s="139">
        <v>98240</v>
      </c>
    </row>
    <row r="3072" spans="1:11">
      <c r="A3072" s="1" t="str">
        <f t="shared" si="47"/>
        <v>15100-44202596-96150004598440</v>
      </c>
      <c r="B3072" s="136" t="s">
        <v>5554</v>
      </c>
      <c r="C3072" s="136" t="s">
        <v>9289</v>
      </c>
      <c r="D3072" s="132" t="s">
        <v>4971</v>
      </c>
      <c r="E3072" s="136" t="s">
        <v>5563</v>
      </c>
      <c r="F3072" s="136" t="s">
        <v>5563</v>
      </c>
      <c r="G3072" s="136" t="s">
        <v>5776</v>
      </c>
      <c r="H3072" s="138" t="s">
        <v>6301</v>
      </c>
      <c r="I3072" s="136">
        <v>961500045</v>
      </c>
      <c r="J3072" s="131" t="s">
        <v>5433</v>
      </c>
      <c r="K3072" s="139">
        <v>98440</v>
      </c>
    </row>
    <row r="3073" spans="1:11">
      <c r="A3073" s="1" t="str">
        <f t="shared" si="47"/>
        <v>15100-44259696-961500045104051</v>
      </c>
      <c r="B3073" s="136" t="s">
        <v>5518</v>
      </c>
      <c r="C3073" s="136" t="s">
        <v>9253</v>
      </c>
      <c r="D3073" s="132" t="s">
        <v>4971</v>
      </c>
      <c r="E3073" s="136" t="s">
        <v>5459</v>
      </c>
      <c r="F3073" s="136" t="s">
        <v>5459</v>
      </c>
      <c r="G3073" s="136" t="s">
        <v>5776</v>
      </c>
      <c r="H3073" s="138" t="s">
        <v>6301</v>
      </c>
      <c r="I3073" s="136">
        <v>961500045</v>
      </c>
      <c r="J3073" s="131" t="s">
        <v>5433</v>
      </c>
      <c r="K3073" s="139">
        <v>104051</v>
      </c>
    </row>
    <row r="3074" spans="1:11">
      <c r="A3074" s="1" t="str">
        <f t="shared" si="47"/>
        <v>15100-44792296-96150019721970</v>
      </c>
      <c r="B3074" s="136" t="s">
        <v>5506</v>
      </c>
      <c r="C3074" s="136" t="s">
        <v>9241</v>
      </c>
      <c r="D3074" s="132" t="s">
        <v>4971</v>
      </c>
      <c r="E3074" s="136" t="s">
        <v>5460</v>
      </c>
      <c r="F3074" s="136" t="s">
        <v>5460</v>
      </c>
      <c r="G3074" s="136" t="s">
        <v>5815</v>
      </c>
      <c r="H3074" s="138" t="s">
        <v>6298</v>
      </c>
      <c r="I3074" s="136">
        <v>961500197</v>
      </c>
      <c r="J3074" s="131" t="s">
        <v>5597</v>
      </c>
      <c r="K3074" s="139">
        <v>21970</v>
      </c>
    </row>
    <row r="3075" spans="1:11">
      <c r="A3075" s="1" t="str">
        <f t="shared" ref="A3075:A3138" si="48">B3075&amp;J3075&amp;K3075</f>
        <v>15100-43880095-95150052456000</v>
      </c>
      <c r="B3075" s="136" t="s">
        <v>5528</v>
      </c>
      <c r="C3075" s="136" t="s">
        <v>9263</v>
      </c>
      <c r="D3075" s="132" t="s">
        <v>4971</v>
      </c>
      <c r="E3075" s="136" t="s">
        <v>5457</v>
      </c>
      <c r="F3075" s="136" t="s">
        <v>5457</v>
      </c>
      <c r="G3075" s="136" t="s">
        <v>5715</v>
      </c>
      <c r="H3075" s="138" t="s">
        <v>6301</v>
      </c>
      <c r="I3075" s="136">
        <v>951500524</v>
      </c>
      <c r="J3075" s="131" t="s">
        <v>4509</v>
      </c>
      <c r="K3075" s="139">
        <v>56000</v>
      </c>
    </row>
    <row r="3076" spans="1:11">
      <c r="A3076" s="1" t="str">
        <f t="shared" si="48"/>
        <v>15100-44104496-96150006710010</v>
      </c>
      <c r="B3076" s="136" t="s">
        <v>5522</v>
      </c>
      <c r="C3076" s="136" t="s">
        <v>9257</v>
      </c>
      <c r="D3076" s="132" t="s">
        <v>4971</v>
      </c>
      <c r="E3076" s="136" t="s">
        <v>5564</v>
      </c>
      <c r="F3076" s="136" t="s">
        <v>5564</v>
      </c>
      <c r="G3076" s="136" t="s">
        <v>5758</v>
      </c>
      <c r="H3076" s="138" t="s">
        <v>6298</v>
      </c>
      <c r="I3076" s="136">
        <v>961500067</v>
      </c>
      <c r="J3076" s="131" t="s">
        <v>5378</v>
      </c>
      <c r="K3076" s="139">
        <v>10010</v>
      </c>
    </row>
    <row r="3077" spans="1:11">
      <c r="A3077" s="1" t="str">
        <f t="shared" si="48"/>
        <v>15100-44104496-96150004512300</v>
      </c>
      <c r="B3077" s="136" t="s">
        <v>5522</v>
      </c>
      <c r="C3077" s="136" t="s">
        <v>9257</v>
      </c>
      <c r="D3077" s="132" t="s">
        <v>4971</v>
      </c>
      <c r="E3077" s="136" t="s">
        <v>5564</v>
      </c>
      <c r="F3077" s="136" t="s">
        <v>5564</v>
      </c>
      <c r="G3077" s="136" t="s">
        <v>5776</v>
      </c>
      <c r="H3077" s="138" t="s">
        <v>6301</v>
      </c>
      <c r="I3077" s="136">
        <v>961500045</v>
      </c>
      <c r="J3077" s="131" t="s">
        <v>5433</v>
      </c>
      <c r="K3077" s="139">
        <v>12300</v>
      </c>
    </row>
    <row r="3078" spans="1:11">
      <c r="A3078" s="1" t="str">
        <f t="shared" si="48"/>
        <v>15100-44009196-96150004525360</v>
      </c>
      <c r="B3078" s="136" t="s">
        <v>5521</v>
      </c>
      <c r="C3078" s="136" t="s">
        <v>9256</v>
      </c>
      <c r="D3078" s="132" t="s">
        <v>4971</v>
      </c>
      <c r="E3078" s="136" t="s">
        <v>5555</v>
      </c>
      <c r="F3078" s="136" t="s">
        <v>5555</v>
      </c>
      <c r="G3078" s="136" t="s">
        <v>5776</v>
      </c>
      <c r="H3078" s="138" t="s">
        <v>6301</v>
      </c>
      <c r="I3078" s="136">
        <v>961500045</v>
      </c>
      <c r="J3078" s="131" t="s">
        <v>5433</v>
      </c>
      <c r="K3078" s="139">
        <v>25360</v>
      </c>
    </row>
    <row r="3079" spans="1:11">
      <c r="A3079" s="1" t="str">
        <f t="shared" si="48"/>
        <v>15100-44198996-96150004553440</v>
      </c>
      <c r="B3079" s="136" t="s">
        <v>5531</v>
      </c>
      <c r="C3079" s="136" t="s">
        <v>9266</v>
      </c>
      <c r="D3079" s="132" t="s">
        <v>4971</v>
      </c>
      <c r="E3079" s="136" t="s">
        <v>5563</v>
      </c>
      <c r="F3079" s="136" t="s">
        <v>5563</v>
      </c>
      <c r="G3079" s="136" t="s">
        <v>5776</v>
      </c>
      <c r="H3079" s="138" t="s">
        <v>6301</v>
      </c>
      <c r="I3079" s="136">
        <v>961500045</v>
      </c>
      <c r="J3079" s="131" t="s">
        <v>5433</v>
      </c>
      <c r="K3079" s="139">
        <v>53440</v>
      </c>
    </row>
    <row r="3080" spans="1:11">
      <c r="A3080" s="1" t="str">
        <f t="shared" si="48"/>
        <v>15100-44153196-96150004527670</v>
      </c>
      <c r="B3080" s="136" t="s">
        <v>5540</v>
      </c>
      <c r="C3080" s="136" t="s">
        <v>9275</v>
      </c>
      <c r="D3080" s="132" t="s">
        <v>4971</v>
      </c>
      <c r="E3080" s="136" t="s">
        <v>5558</v>
      </c>
      <c r="F3080" s="136" t="s">
        <v>5558</v>
      </c>
      <c r="G3080" s="136" t="s">
        <v>5776</v>
      </c>
      <c r="H3080" s="138" t="s">
        <v>6301</v>
      </c>
      <c r="I3080" s="136">
        <v>961500045</v>
      </c>
      <c r="J3080" s="131" t="s">
        <v>5433</v>
      </c>
      <c r="K3080" s="139">
        <v>27670</v>
      </c>
    </row>
    <row r="3081" spans="1:11">
      <c r="A3081" s="1" t="str">
        <f t="shared" si="48"/>
        <v>15100-44748496-96150019751280</v>
      </c>
      <c r="B3081" s="136" t="s">
        <v>5542</v>
      </c>
      <c r="C3081" s="136" t="s">
        <v>9277</v>
      </c>
      <c r="D3081" s="132" t="s">
        <v>4971</v>
      </c>
      <c r="E3081" s="136" t="s">
        <v>5479</v>
      </c>
      <c r="F3081" s="136" t="s">
        <v>5479</v>
      </c>
      <c r="G3081" s="136" t="s">
        <v>5815</v>
      </c>
      <c r="H3081" s="138" t="s">
        <v>6298</v>
      </c>
      <c r="I3081" s="136">
        <v>961500197</v>
      </c>
      <c r="J3081" s="131" t="s">
        <v>5597</v>
      </c>
      <c r="K3081" s="139">
        <v>51280</v>
      </c>
    </row>
    <row r="3082" spans="1:11">
      <c r="A3082" s="1" t="str">
        <f t="shared" si="48"/>
        <v>15100-44974596-96150021575460</v>
      </c>
      <c r="B3082" s="136" t="s">
        <v>5546</v>
      </c>
      <c r="C3082" s="136" t="s">
        <v>9281</v>
      </c>
      <c r="D3082" s="132" t="s">
        <v>4971</v>
      </c>
      <c r="E3082" s="136" t="s">
        <v>5566</v>
      </c>
      <c r="F3082" s="136" t="s">
        <v>5566</v>
      </c>
      <c r="G3082" s="136" t="s">
        <v>5813</v>
      </c>
      <c r="H3082" s="138" t="s">
        <v>6298</v>
      </c>
      <c r="I3082" s="136">
        <v>961500215</v>
      </c>
      <c r="J3082" s="131" t="s">
        <v>5599</v>
      </c>
      <c r="K3082" s="139">
        <v>75460</v>
      </c>
    </row>
    <row r="3083" spans="1:11">
      <c r="A3083" s="1" t="str">
        <f t="shared" si="48"/>
        <v>15100-44902396-96150008513940</v>
      </c>
      <c r="B3083" s="136" t="s">
        <v>6078</v>
      </c>
      <c r="C3083" s="136" t="s">
        <v>9302</v>
      </c>
      <c r="D3083" s="132" t="s">
        <v>4971</v>
      </c>
      <c r="E3083" s="136" t="s">
        <v>5480</v>
      </c>
      <c r="F3083" s="136" t="s">
        <v>5480</v>
      </c>
      <c r="G3083" s="136" t="s">
        <v>5796</v>
      </c>
      <c r="H3083" s="138" t="s">
        <v>11829</v>
      </c>
      <c r="I3083" s="136">
        <v>961500085</v>
      </c>
      <c r="J3083" s="131" t="s">
        <v>5582</v>
      </c>
      <c r="K3083" s="139">
        <v>13940</v>
      </c>
    </row>
    <row r="3084" spans="1:11">
      <c r="A3084" s="1" t="str">
        <f t="shared" si="48"/>
        <v>15100-44902396-96150019535350</v>
      </c>
      <c r="B3084" s="136" t="s">
        <v>6078</v>
      </c>
      <c r="C3084" s="136" t="s">
        <v>9302</v>
      </c>
      <c r="D3084" s="132" t="s">
        <v>4971</v>
      </c>
      <c r="E3084" s="136" t="s">
        <v>5480</v>
      </c>
      <c r="F3084" s="136" t="s">
        <v>5480</v>
      </c>
      <c r="G3084" s="136" t="s">
        <v>5813</v>
      </c>
      <c r="H3084" s="138" t="s">
        <v>6298</v>
      </c>
      <c r="I3084" s="136">
        <v>961500195</v>
      </c>
      <c r="J3084" s="131" t="s">
        <v>5587</v>
      </c>
      <c r="K3084" s="139">
        <v>35350</v>
      </c>
    </row>
    <row r="3085" spans="1:11">
      <c r="A3085" s="1" t="str">
        <f t="shared" si="48"/>
        <v>15100-44901496-961500199142850</v>
      </c>
      <c r="B3085" s="136" t="s">
        <v>6079</v>
      </c>
      <c r="C3085" s="136" t="s">
        <v>9303</v>
      </c>
      <c r="D3085" s="132" t="s">
        <v>4971</v>
      </c>
      <c r="E3085" s="136" t="s">
        <v>5480</v>
      </c>
      <c r="F3085" s="136" t="s">
        <v>5480</v>
      </c>
      <c r="G3085" s="136" t="s">
        <v>5815</v>
      </c>
      <c r="H3085" s="138" t="s">
        <v>6298</v>
      </c>
      <c r="I3085" s="136">
        <v>961500199</v>
      </c>
      <c r="J3085" s="131" t="s">
        <v>5571</v>
      </c>
      <c r="K3085" s="139">
        <v>142850</v>
      </c>
    </row>
    <row r="3086" spans="1:11">
      <c r="A3086" s="1" t="str">
        <f t="shared" si="48"/>
        <v>15100-44902396-96150019972730</v>
      </c>
      <c r="B3086" s="136" t="s">
        <v>6078</v>
      </c>
      <c r="C3086" s="136" t="s">
        <v>9302</v>
      </c>
      <c r="D3086" s="132" t="s">
        <v>4971</v>
      </c>
      <c r="E3086" s="136" t="s">
        <v>5480</v>
      </c>
      <c r="F3086" s="136" t="s">
        <v>5480</v>
      </c>
      <c r="G3086" s="136" t="s">
        <v>5815</v>
      </c>
      <c r="H3086" s="138" t="s">
        <v>6298</v>
      </c>
      <c r="I3086" s="136">
        <v>961500199</v>
      </c>
      <c r="J3086" s="131" t="s">
        <v>5571</v>
      </c>
      <c r="K3086" s="139">
        <v>72730</v>
      </c>
    </row>
    <row r="3087" spans="1:11">
      <c r="A3087" s="1" t="str">
        <f t="shared" si="48"/>
        <v>15100-44902396-96150018539270</v>
      </c>
      <c r="B3087" s="136" t="s">
        <v>6078</v>
      </c>
      <c r="C3087" s="136" t="s">
        <v>9302</v>
      </c>
      <c r="D3087" s="132" t="s">
        <v>4971</v>
      </c>
      <c r="E3087" s="136" t="s">
        <v>5480</v>
      </c>
      <c r="F3087" s="136" t="s">
        <v>5480</v>
      </c>
      <c r="G3087" s="136" t="s">
        <v>5813</v>
      </c>
      <c r="H3087" s="138" t="s">
        <v>6298</v>
      </c>
      <c r="I3087" s="136">
        <v>961500185</v>
      </c>
      <c r="J3087" s="131" t="s">
        <v>5591</v>
      </c>
      <c r="K3087" s="139">
        <v>39270</v>
      </c>
    </row>
    <row r="3088" spans="1:11">
      <c r="A3088" s="1" t="str">
        <f t="shared" si="48"/>
        <v>15100-44694296-96150021271200</v>
      </c>
      <c r="B3088" s="136" t="s">
        <v>6080</v>
      </c>
      <c r="C3088" s="136" t="s">
        <v>9304</v>
      </c>
      <c r="D3088" s="132" t="s">
        <v>4971</v>
      </c>
      <c r="E3088" s="136" t="s">
        <v>5562</v>
      </c>
      <c r="F3088" s="136" t="s">
        <v>5562</v>
      </c>
      <c r="G3088" s="136" t="s">
        <v>5813</v>
      </c>
      <c r="H3088" s="138" t="s">
        <v>6298</v>
      </c>
      <c r="I3088" s="136">
        <v>961500212</v>
      </c>
      <c r="J3088" s="131" t="s">
        <v>5583</v>
      </c>
      <c r="K3088" s="139">
        <v>71200</v>
      </c>
    </row>
    <row r="3089" spans="1:11">
      <c r="A3089" s="1" t="str">
        <f t="shared" si="48"/>
        <v>15100-44967996-96150021519520</v>
      </c>
      <c r="B3089" s="136" t="s">
        <v>6081</v>
      </c>
      <c r="C3089" s="136" t="s">
        <v>9305</v>
      </c>
      <c r="D3089" s="132" t="s">
        <v>4971</v>
      </c>
      <c r="E3089" s="136" t="s">
        <v>5566</v>
      </c>
      <c r="F3089" s="136" t="s">
        <v>5566</v>
      </c>
      <c r="G3089" s="136" t="s">
        <v>5813</v>
      </c>
      <c r="H3089" s="138" t="s">
        <v>6298</v>
      </c>
      <c r="I3089" s="136">
        <v>961500215</v>
      </c>
      <c r="J3089" s="131" t="s">
        <v>5599</v>
      </c>
      <c r="K3089" s="139">
        <v>19520</v>
      </c>
    </row>
    <row r="3090" spans="1:11">
      <c r="A3090" s="1" t="str">
        <f t="shared" si="48"/>
        <v>15100-44902396-96150018028250</v>
      </c>
      <c r="B3090" s="136" t="s">
        <v>6078</v>
      </c>
      <c r="C3090" s="136" t="s">
        <v>9302</v>
      </c>
      <c r="D3090" s="132" t="s">
        <v>4971</v>
      </c>
      <c r="E3090" s="136" t="s">
        <v>5480</v>
      </c>
      <c r="F3090" s="141" t="s">
        <v>5480</v>
      </c>
      <c r="G3090" s="141" t="s">
        <v>5814</v>
      </c>
      <c r="H3090" s="140" t="s">
        <v>6298</v>
      </c>
      <c r="I3090" s="141">
        <v>961500180</v>
      </c>
      <c r="J3090" s="131" t="s">
        <v>5592</v>
      </c>
      <c r="K3090" s="142">
        <v>28250</v>
      </c>
    </row>
    <row r="3091" spans="1:11">
      <c r="A3091" s="1" t="str">
        <f t="shared" si="48"/>
        <v>15100-44913296-961500231184640</v>
      </c>
      <c r="B3091" s="136" t="s">
        <v>6132</v>
      </c>
      <c r="C3091" s="136" t="s">
        <v>9352</v>
      </c>
      <c r="D3091" s="132" t="s">
        <v>4971</v>
      </c>
      <c r="E3091" s="136" t="s">
        <v>5480</v>
      </c>
      <c r="F3091" s="136" t="s">
        <v>5480</v>
      </c>
      <c r="G3091" s="136" t="s">
        <v>5823</v>
      </c>
      <c r="H3091" s="138" t="s">
        <v>6299</v>
      </c>
      <c r="I3091" s="136">
        <v>961500231</v>
      </c>
      <c r="J3091" s="131" t="s">
        <v>5921</v>
      </c>
      <c r="K3091" s="139">
        <v>184640</v>
      </c>
    </row>
    <row r="3092" spans="1:11">
      <c r="A3092" s="1" t="str">
        <f t="shared" si="48"/>
        <v>15100-44754196-961500204324860</v>
      </c>
      <c r="B3092" s="136" t="s">
        <v>6082</v>
      </c>
      <c r="C3092" s="136" t="s">
        <v>9306</v>
      </c>
      <c r="D3092" s="132" t="s">
        <v>4971</v>
      </c>
      <c r="E3092" s="136" t="s">
        <v>5479</v>
      </c>
      <c r="F3092" s="136" t="s">
        <v>5479</v>
      </c>
      <c r="G3092" s="136" t="s">
        <v>5813</v>
      </c>
      <c r="H3092" s="138" t="s">
        <v>6298</v>
      </c>
      <c r="I3092" s="136">
        <v>961500204</v>
      </c>
      <c r="J3092" s="131" t="s">
        <v>5897</v>
      </c>
      <c r="K3092" s="139">
        <v>324860</v>
      </c>
    </row>
    <row r="3093" spans="1:11">
      <c r="A3093" s="1" t="str">
        <f t="shared" si="48"/>
        <v>15100-44593896-96150018549150</v>
      </c>
      <c r="B3093" s="136" t="s">
        <v>6083</v>
      </c>
      <c r="C3093" s="136" t="s">
        <v>9307</v>
      </c>
      <c r="D3093" s="132" t="s">
        <v>4971</v>
      </c>
      <c r="E3093" s="136" t="s">
        <v>5447</v>
      </c>
      <c r="F3093" s="136" t="s">
        <v>5447</v>
      </c>
      <c r="G3093" s="136" t="s">
        <v>5813</v>
      </c>
      <c r="H3093" s="138" t="s">
        <v>6298</v>
      </c>
      <c r="I3093" s="136">
        <v>961500185</v>
      </c>
      <c r="J3093" s="131" t="s">
        <v>5591</v>
      </c>
      <c r="K3093" s="139">
        <v>49150</v>
      </c>
    </row>
    <row r="3094" spans="1:11">
      <c r="A3094" s="1" t="str">
        <f t="shared" si="48"/>
        <v>15100-44593896-96150019471280</v>
      </c>
      <c r="B3094" s="136" t="s">
        <v>6083</v>
      </c>
      <c r="C3094" s="136" t="s">
        <v>9307</v>
      </c>
      <c r="D3094" s="132" t="s">
        <v>4971</v>
      </c>
      <c r="E3094" s="136" t="s">
        <v>5447</v>
      </c>
      <c r="F3094" s="136" t="s">
        <v>5447</v>
      </c>
      <c r="G3094" s="136" t="s">
        <v>5813</v>
      </c>
      <c r="H3094" s="138" t="s">
        <v>6298</v>
      </c>
      <c r="I3094" s="136">
        <v>961500194</v>
      </c>
      <c r="J3094" s="131" t="s">
        <v>5579</v>
      </c>
      <c r="K3094" s="139">
        <v>71280</v>
      </c>
    </row>
    <row r="3095" spans="1:11">
      <c r="A3095" s="1" t="str">
        <f t="shared" si="48"/>
        <v>15100-44913296-961500225370980</v>
      </c>
      <c r="B3095" s="136" t="s">
        <v>6132</v>
      </c>
      <c r="C3095" s="136" t="s">
        <v>9352</v>
      </c>
      <c r="D3095" s="132" t="s">
        <v>4971</v>
      </c>
      <c r="E3095" s="136" t="s">
        <v>5480</v>
      </c>
      <c r="F3095" s="136" t="s">
        <v>5480</v>
      </c>
      <c r="G3095" s="136" t="s">
        <v>5813</v>
      </c>
      <c r="H3095" s="138" t="s">
        <v>6298</v>
      </c>
      <c r="I3095" s="136">
        <v>961500225</v>
      </c>
      <c r="J3095" s="131" t="s">
        <v>5588</v>
      </c>
      <c r="K3095" s="139">
        <v>370980</v>
      </c>
    </row>
    <row r="3096" spans="1:11">
      <c r="A3096" s="1" t="str">
        <f t="shared" si="48"/>
        <v>15100-44692296-96150018045760</v>
      </c>
      <c r="B3096" s="136" t="s">
        <v>6084</v>
      </c>
      <c r="C3096" s="136" t="s">
        <v>9308</v>
      </c>
      <c r="D3096" s="132" t="s">
        <v>4971</v>
      </c>
      <c r="E3096" s="136" t="s">
        <v>5562</v>
      </c>
      <c r="F3096" s="141" t="s">
        <v>5562</v>
      </c>
      <c r="G3096" s="141" t="s">
        <v>5814</v>
      </c>
      <c r="H3096" s="140" t="s">
        <v>6298</v>
      </c>
      <c r="I3096" s="141">
        <v>961500180</v>
      </c>
      <c r="J3096" s="131" t="s">
        <v>5592</v>
      </c>
      <c r="K3096" s="142">
        <v>45760</v>
      </c>
    </row>
    <row r="3097" spans="1:11">
      <c r="A3097" s="1" t="str">
        <f t="shared" si="48"/>
        <v>15100-44895896-961500199146700</v>
      </c>
      <c r="B3097" s="136" t="s">
        <v>6085</v>
      </c>
      <c r="C3097" s="136" t="s">
        <v>9309</v>
      </c>
      <c r="D3097" s="132" t="s">
        <v>4971</v>
      </c>
      <c r="E3097" s="136" t="s">
        <v>5480</v>
      </c>
      <c r="F3097" s="136" t="s">
        <v>5480</v>
      </c>
      <c r="G3097" s="136" t="s">
        <v>5815</v>
      </c>
      <c r="H3097" s="138" t="s">
        <v>6298</v>
      </c>
      <c r="I3097" s="136">
        <v>961500199</v>
      </c>
      <c r="J3097" s="131" t="s">
        <v>5571</v>
      </c>
      <c r="K3097" s="139">
        <v>146700</v>
      </c>
    </row>
    <row r="3098" spans="1:11">
      <c r="A3098" s="1" t="str">
        <f t="shared" si="48"/>
        <v>15100-44972196-96150019823640</v>
      </c>
      <c r="B3098" s="136" t="s">
        <v>6086</v>
      </c>
      <c r="C3098" s="136" t="s">
        <v>9310</v>
      </c>
      <c r="D3098" s="132" t="s">
        <v>4971</v>
      </c>
      <c r="E3098" s="136" t="s">
        <v>5566</v>
      </c>
      <c r="F3098" s="136" t="s">
        <v>5566</v>
      </c>
      <c r="G3098" s="136" t="s">
        <v>5815</v>
      </c>
      <c r="H3098" s="138" t="s">
        <v>6298</v>
      </c>
      <c r="I3098" s="136">
        <v>961500198</v>
      </c>
      <c r="J3098" s="131" t="s">
        <v>5596</v>
      </c>
      <c r="K3098" s="139">
        <v>23640</v>
      </c>
    </row>
    <row r="3099" spans="1:11">
      <c r="A3099" s="1" t="str">
        <f t="shared" si="48"/>
        <v>15100-44593896-96150017725210</v>
      </c>
      <c r="B3099" s="136" t="s">
        <v>6083</v>
      </c>
      <c r="C3099" s="136" t="s">
        <v>9307</v>
      </c>
      <c r="D3099" s="132" t="s">
        <v>4971</v>
      </c>
      <c r="E3099" s="136" t="s">
        <v>5447</v>
      </c>
      <c r="F3099" s="136" t="s">
        <v>5447</v>
      </c>
      <c r="G3099" s="136" t="s">
        <v>5807</v>
      </c>
      <c r="H3099" s="138" t="s">
        <v>6300</v>
      </c>
      <c r="I3099" s="136">
        <v>961500177</v>
      </c>
      <c r="J3099" s="131" t="s">
        <v>5585</v>
      </c>
      <c r="K3099" s="139">
        <v>25210</v>
      </c>
    </row>
    <row r="3100" spans="1:11">
      <c r="A3100" s="1" t="str">
        <f t="shared" si="48"/>
        <v>15100-44913296-96150017722920</v>
      </c>
      <c r="B3100" s="136" t="s">
        <v>6132</v>
      </c>
      <c r="C3100" s="136" t="s">
        <v>9352</v>
      </c>
      <c r="D3100" s="132" t="s">
        <v>4971</v>
      </c>
      <c r="E3100" s="136" t="s">
        <v>5480</v>
      </c>
      <c r="F3100" s="136" t="s">
        <v>5480</v>
      </c>
      <c r="G3100" s="136" t="s">
        <v>5807</v>
      </c>
      <c r="H3100" s="138" t="s">
        <v>6300</v>
      </c>
      <c r="I3100" s="136">
        <v>961500177</v>
      </c>
      <c r="J3100" s="131" t="s">
        <v>5585</v>
      </c>
      <c r="K3100" s="139">
        <v>22920</v>
      </c>
    </row>
    <row r="3101" spans="1:11">
      <c r="A3101" s="1" t="str">
        <f t="shared" si="48"/>
        <v>15100-44842696-96150019993890</v>
      </c>
      <c r="B3101" s="136" t="s">
        <v>6087</v>
      </c>
      <c r="C3101" s="136" t="s">
        <v>9311</v>
      </c>
      <c r="D3101" s="132" t="s">
        <v>4971</v>
      </c>
      <c r="E3101" s="136" t="s">
        <v>5481</v>
      </c>
      <c r="F3101" s="136" t="s">
        <v>5481</v>
      </c>
      <c r="G3101" s="136" t="s">
        <v>5815</v>
      </c>
      <c r="H3101" s="138" t="s">
        <v>6298</v>
      </c>
      <c r="I3101" s="136">
        <v>961500199</v>
      </c>
      <c r="J3101" s="131" t="s">
        <v>5571</v>
      </c>
      <c r="K3101" s="139">
        <v>93890</v>
      </c>
    </row>
    <row r="3102" spans="1:11">
      <c r="A3102" s="1" t="str">
        <f t="shared" si="48"/>
        <v>15100-44694896-961500201213140</v>
      </c>
      <c r="B3102" s="136" t="s">
        <v>6088</v>
      </c>
      <c r="C3102" s="136" t="s">
        <v>9312</v>
      </c>
      <c r="D3102" s="132" t="s">
        <v>4971</v>
      </c>
      <c r="E3102" s="136" t="s">
        <v>5562</v>
      </c>
      <c r="F3102" s="136" t="s">
        <v>5562</v>
      </c>
      <c r="G3102" s="136" t="s">
        <v>5815</v>
      </c>
      <c r="H3102" s="138" t="s">
        <v>6298</v>
      </c>
      <c r="I3102" s="136">
        <v>961500201</v>
      </c>
      <c r="J3102" s="131" t="s">
        <v>5896</v>
      </c>
      <c r="K3102" s="139">
        <v>213140</v>
      </c>
    </row>
    <row r="3103" spans="1:11">
      <c r="A3103" s="1" t="str">
        <f t="shared" si="48"/>
        <v>15100-44692296-961500212217440</v>
      </c>
      <c r="B3103" s="136" t="s">
        <v>6084</v>
      </c>
      <c r="C3103" s="136" t="s">
        <v>9308</v>
      </c>
      <c r="D3103" s="132" t="s">
        <v>4971</v>
      </c>
      <c r="E3103" s="136" t="s">
        <v>5562</v>
      </c>
      <c r="F3103" s="136" t="s">
        <v>5562</v>
      </c>
      <c r="G3103" s="136" t="s">
        <v>5813</v>
      </c>
      <c r="H3103" s="138" t="s">
        <v>6298</v>
      </c>
      <c r="I3103" s="136">
        <v>961500212</v>
      </c>
      <c r="J3103" s="131" t="s">
        <v>5583</v>
      </c>
      <c r="K3103" s="139">
        <v>217440</v>
      </c>
    </row>
    <row r="3104" spans="1:11">
      <c r="A3104" s="1" t="str">
        <f t="shared" si="48"/>
        <v>15100-44638896-96150019472940</v>
      </c>
      <c r="B3104" s="136" t="s">
        <v>6089</v>
      </c>
      <c r="C3104" s="136" t="s">
        <v>9313</v>
      </c>
      <c r="D3104" s="132" t="s">
        <v>4971</v>
      </c>
      <c r="E3104" s="136" t="s">
        <v>5483</v>
      </c>
      <c r="F3104" s="136" t="s">
        <v>5483</v>
      </c>
      <c r="G3104" s="136" t="s">
        <v>5813</v>
      </c>
      <c r="H3104" s="138" t="s">
        <v>6298</v>
      </c>
      <c r="I3104" s="136">
        <v>961500194</v>
      </c>
      <c r="J3104" s="131" t="s">
        <v>5579</v>
      </c>
      <c r="K3104" s="139">
        <v>72940</v>
      </c>
    </row>
    <row r="3105" spans="1:11">
      <c r="A3105" s="1" t="str">
        <f t="shared" si="48"/>
        <v>15100-44967996-96150022579040</v>
      </c>
      <c r="B3105" s="136" t="s">
        <v>6081</v>
      </c>
      <c r="C3105" s="136" t="s">
        <v>9305</v>
      </c>
      <c r="D3105" s="132" t="s">
        <v>4971</v>
      </c>
      <c r="E3105" s="136" t="s">
        <v>5566</v>
      </c>
      <c r="F3105" s="136" t="s">
        <v>5566</v>
      </c>
      <c r="G3105" s="136" t="s">
        <v>5813</v>
      </c>
      <c r="H3105" s="138" t="s">
        <v>6298</v>
      </c>
      <c r="I3105" s="136">
        <v>961500225</v>
      </c>
      <c r="J3105" s="131" t="s">
        <v>5588</v>
      </c>
      <c r="K3105" s="139">
        <v>79040</v>
      </c>
    </row>
    <row r="3106" spans="1:11">
      <c r="A3106" s="1" t="str">
        <f t="shared" si="48"/>
        <v>15100-44634696-961500194121640</v>
      </c>
      <c r="B3106" s="136" t="s">
        <v>6133</v>
      </c>
      <c r="C3106" s="136" t="s">
        <v>9353</v>
      </c>
      <c r="D3106" s="132" t="s">
        <v>4971</v>
      </c>
      <c r="E3106" s="136" t="s">
        <v>5483</v>
      </c>
      <c r="F3106" s="136" t="s">
        <v>5483</v>
      </c>
      <c r="G3106" s="136" t="s">
        <v>5813</v>
      </c>
      <c r="H3106" s="138" t="s">
        <v>6298</v>
      </c>
      <c r="I3106" s="136">
        <v>961500194</v>
      </c>
      <c r="J3106" s="131" t="s">
        <v>5579</v>
      </c>
      <c r="K3106" s="139">
        <v>121640</v>
      </c>
    </row>
    <row r="3107" spans="1:11">
      <c r="A3107" s="1" t="str">
        <f t="shared" si="48"/>
        <v>15100-44972196-96150021179770</v>
      </c>
      <c r="B3107" s="136" t="s">
        <v>6086</v>
      </c>
      <c r="C3107" s="136" t="s">
        <v>9310</v>
      </c>
      <c r="D3107" s="132" t="s">
        <v>4971</v>
      </c>
      <c r="E3107" s="136" t="s">
        <v>5566</v>
      </c>
      <c r="F3107" s="136" t="s">
        <v>5566</v>
      </c>
      <c r="G3107" s="136" t="s">
        <v>5819</v>
      </c>
      <c r="H3107" s="138" t="s">
        <v>6300</v>
      </c>
      <c r="I3107" s="136">
        <v>961500211</v>
      </c>
      <c r="J3107" s="131" t="s">
        <v>5903</v>
      </c>
      <c r="K3107" s="139">
        <v>79770</v>
      </c>
    </row>
    <row r="3108" spans="1:11">
      <c r="A3108" s="1" t="str">
        <f t="shared" si="48"/>
        <v>15100-44972196-96150021625040</v>
      </c>
      <c r="B3108" s="136" t="s">
        <v>6086</v>
      </c>
      <c r="C3108" s="136" t="s">
        <v>9310</v>
      </c>
      <c r="D3108" s="132" t="s">
        <v>4971</v>
      </c>
      <c r="E3108" s="136" t="s">
        <v>5566</v>
      </c>
      <c r="F3108" s="136" t="s">
        <v>5566</v>
      </c>
      <c r="G3108" s="136" t="s">
        <v>5813</v>
      </c>
      <c r="H3108" s="138" t="s">
        <v>6298</v>
      </c>
      <c r="I3108" s="136">
        <v>961500216</v>
      </c>
      <c r="J3108" s="131" t="s">
        <v>5906</v>
      </c>
      <c r="K3108" s="139">
        <v>25040</v>
      </c>
    </row>
    <row r="3109" spans="1:11">
      <c r="A3109" s="1" t="str">
        <f t="shared" si="48"/>
        <v>15100-44972196-961500219300000</v>
      </c>
      <c r="B3109" s="136" t="s">
        <v>6086</v>
      </c>
      <c r="C3109" s="136" t="s">
        <v>9310</v>
      </c>
      <c r="D3109" s="132" t="s">
        <v>4971</v>
      </c>
      <c r="E3109" s="136" t="s">
        <v>5566</v>
      </c>
      <c r="F3109" s="136" t="s">
        <v>5566</v>
      </c>
      <c r="G3109" s="136" t="s">
        <v>5819</v>
      </c>
      <c r="H3109" s="138" t="s">
        <v>6300</v>
      </c>
      <c r="I3109" s="136">
        <v>961500219</v>
      </c>
      <c r="J3109" s="131" t="s">
        <v>5909</v>
      </c>
      <c r="K3109" s="139">
        <v>300000</v>
      </c>
    </row>
    <row r="3110" spans="1:11">
      <c r="A3110" s="1" t="str">
        <f t="shared" si="48"/>
        <v>15100-44640796-96150020145889</v>
      </c>
      <c r="B3110" s="136" t="s">
        <v>6090</v>
      </c>
      <c r="C3110" s="136" t="s">
        <v>9314</v>
      </c>
      <c r="D3110" s="132" t="s">
        <v>4971</v>
      </c>
      <c r="E3110" s="136" t="s">
        <v>5483</v>
      </c>
      <c r="F3110" s="136" t="s">
        <v>5483</v>
      </c>
      <c r="G3110" s="136" t="s">
        <v>5815</v>
      </c>
      <c r="H3110" s="138" t="s">
        <v>6298</v>
      </c>
      <c r="I3110" s="136">
        <v>961500201</v>
      </c>
      <c r="J3110" s="131" t="s">
        <v>5896</v>
      </c>
      <c r="K3110" s="139">
        <v>45889</v>
      </c>
    </row>
    <row r="3111" spans="1:11">
      <c r="A3111" s="1" t="str">
        <f t="shared" si="48"/>
        <v>15100-44969796-961500249494780</v>
      </c>
      <c r="B3111" s="136" t="s">
        <v>6179</v>
      </c>
      <c r="C3111" s="141" t="s">
        <v>9399</v>
      </c>
      <c r="D3111" s="132" t="s">
        <v>4971</v>
      </c>
      <c r="E3111" s="136" t="s">
        <v>5566</v>
      </c>
      <c r="F3111" s="136" t="s">
        <v>5566</v>
      </c>
      <c r="G3111" s="136" t="s">
        <v>5825</v>
      </c>
      <c r="H3111" s="138" t="s">
        <v>6299</v>
      </c>
      <c r="I3111" s="136">
        <v>961500249</v>
      </c>
      <c r="J3111" s="131" t="s">
        <v>5938</v>
      </c>
      <c r="K3111" s="139">
        <v>494780</v>
      </c>
    </row>
    <row r="3112" spans="1:11">
      <c r="A3112" s="1" t="str">
        <f t="shared" si="48"/>
        <v>15100-44640796-96150017723740</v>
      </c>
      <c r="B3112" s="136" t="s">
        <v>6090</v>
      </c>
      <c r="C3112" s="136" t="s">
        <v>9314</v>
      </c>
      <c r="D3112" s="132" t="s">
        <v>4971</v>
      </c>
      <c r="E3112" s="136" t="s">
        <v>5483</v>
      </c>
      <c r="F3112" s="136" t="s">
        <v>5483</v>
      </c>
      <c r="G3112" s="136" t="s">
        <v>5807</v>
      </c>
      <c r="H3112" s="138" t="s">
        <v>6300</v>
      </c>
      <c r="I3112" s="136">
        <v>961500177</v>
      </c>
      <c r="J3112" s="131" t="s">
        <v>5585</v>
      </c>
      <c r="K3112" s="139">
        <v>23740</v>
      </c>
    </row>
    <row r="3113" spans="1:11">
      <c r="A3113" s="1" t="str">
        <f t="shared" si="48"/>
        <v>15100-44972196-96150021564440</v>
      </c>
      <c r="B3113" s="136" t="s">
        <v>6086</v>
      </c>
      <c r="C3113" s="136" t="s">
        <v>9310</v>
      </c>
      <c r="D3113" s="132" t="s">
        <v>4971</v>
      </c>
      <c r="E3113" s="136" t="s">
        <v>5566</v>
      </c>
      <c r="F3113" s="136" t="s">
        <v>5566</v>
      </c>
      <c r="G3113" s="136" t="s">
        <v>5813</v>
      </c>
      <c r="H3113" s="138" t="s">
        <v>6298</v>
      </c>
      <c r="I3113" s="136">
        <v>961500215</v>
      </c>
      <c r="J3113" s="131" t="s">
        <v>5599</v>
      </c>
      <c r="K3113" s="139">
        <v>64440</v>
      </c>
    </row>
    <row r="3114" spans="1:11">
      <c r="A3114" s="1" t="str">
        <f t="shared" si="48"/>
        <v>15100-44525796-96150016731760</v>
      </c>
      <c r="B3114" s="136" t="s">
        <v>6091</v>
      </c>
      <c r="C3114" s="136" t="s">
        <v>9315</v>
      </c>
      <c r="D3114" s="132" t="s">
        <v>4971</v>
      </c>
      <c r="E3114" s="136" t="s">
        <v>5560</v>
      </c>
      <c r="F3114" s="136" t="s">
        <v>5560</v>
      </c>
      <c r="G3114" s="136" t="s">
        <v>5789</v>
      </c>
      <c r="H3114" s="138" t="s">
        <v>6300</v>
      </c>
      <c r="I3114" s="136">
        <v>961500167</v>
      </c>
      <c r="J3114" s="131" t="s">
        <v>5584</v>
      </c>
      <c r="K3114" s="139">
        <v>31760</v>
      </c>
    </row>
    <row r="3115" spans="1:11">
      <c r="A3115" s="1" t="str">
        <f t="shared" si="48"/>
        <v>15100-44155296-961500012272860</v>
      </c>
      <c r="B3115" s="136" t="s">
        <v>6092</v>
      </c>
      <c r="C3115" s="136" t="s">
        <v>9316</v>
      </c>
      <c r="D3115" s="132" t="s">
        <v>4971</v>
      </c>
      <c r="E3115" s="136" t="s">
        <v>5558</v>
      </c>
      <c r="F3115" s="136" t="s">
        <v>5558</v>
      </c>
      <c r="G3115" s="136" t="s">
        <v>5768</v>
      </c>
      <c r="H3115" s="138" t="s">
        <v>6454</v>
      </c>
      <c r="I3115" s="136">
        <v>961500012</v>
      </c>
      <c r="J3115" s="131" t="s">
        <v>5575</v>
      </c>
      <c r="K3115" s="139">
        <v>272860</v>
      </c>
    </row>
    <row r="3116" spans="1:11">
      <c r="A3116" s="1" t="str">
        <f t="shared" si="48"/>
        <v>15100-44969796-96150021540580</v>
      </c>
      <c r="B3116" s="136" t="s">
        <v>6179</v>
      </c>
      <c r="C3116" s="141" t="s">
        <v>9399</v>
      </c>
      <c r="D3116" s="132" t="s">
        <v>4971</v>
      </c>
      <c r="E3116" s="136" t="s">
        <v>5566</v>
      </c>
      <c r="F3116" s="136" t="s">
        <v>5566</v>
      </c>
      <c r="G3116" s="136" t="s">
        <v>5813</v>
      </c>
      <c r="H3116" s="138" t="s">
        <v>6298</v>
      </c>
      <c r="I3116" s="136">
        <v>961500215</v>
      </c>
      <c r="J3116" s="131" t="s">
        <v>5599</v>
      </c>
      <c r="K3116" s="139">
        <v>40580</v>
      </c>
    </row>
    <row r="3117" spans="1:11">
      <c r="A3117" s="1" t="str">
        <f t="shared" si="48"/>
        <v>15100-44640796-961500194141801</v>
      </c>
      <c r="B3117" s="136" t="s">
        <v>6090</v>
      </c>
      <c r="C3117" s="136" t="s">
        <v>9314</v>
      </c>
      <c r="D3117" s="132" t="s">
        <v>4971</v>
      </c>
      <c r="E3117" s="136" t="s">
        <v>5483</v>
      </c>
      <c r="F3117" s="136" t="s">
        <v>5483</v>
      </c>
      <c r="G3117" s="136" t="s">
        <v>5813</v>
      </c>
      <c r="H3117" s="138" t="s">
        <v>6298</v>
      </c>
      <c r="I3117" s="136">
        <v>961500194</v>
      </c>
      <c r="J3117" s="131" t="s">
        <v>5579</v>
      </c>
      <c r="K3117" s="139">
        <v>141801</v>
      </c>
    </row>
    <row r="3118" spans="1:11">
      <c r="A3118" s="1" t="str">
        <f t="shared" si="48"/>
        <v>15100-44525796-96150018990650</v>
      </c>
      <c r="B3118" s="136" t="s">
        <v>6091</v>
      </c>
      <c r="C3118" s="136" t="s">
        <v>9315</v>
      </c>
      <c r="D3118" s="132" t="s">
        <v>4971</v>
      </c>
      <c r="E3118" s="136" t="s">
        <v>5560</v>
      </c>
      <c r="F3118" s="136" t="s">
        <v>5560</v>
      </c>
      <c r="G3118" s="136" t="s">
        <v>5813</v>
      </c>
      <c r="H3118" s="138" t="s">
        <v>6298</v>
      </c>
      <c r="I3118" s="136">
        <v>961500189</v>
      </c>
      <c r="J3118" s="131" t="s">
        <v>5574</v>
      </c>
      <c r="K3118" s="139">
        <v>90650</v>
      </c>
    </row>
    <row r="3119" spans="1:11">
      <c r="A3119" s="1" t="str">
        <f t="shared" si="48"/>
        <v>15100-44525796-96150019161480</v>
      </c>
      <c r="B3119" s="136" t="s">
        <v>6091</v>
      </c>
      <c r="C3119" s="136" t="s">
        <v>9315</v>
      </c>
      <c r="D3119" s="132" t="s">
        <v>4971</v>
      </c>
      <c r="E3119" s="136" t="s">
        <v>5560</v>
      </c>
      <c r="F3119" s="136" t="s">
        <v>5560</v>
      </c>
      <c r="G3119" s="136" t="s">
        <v>5807</v>
      </c>
      <c r="H3119" s="138" t="s">
        <v>6300</v>
      </c>
      <c r="I3119" s="136">
        <v>961500191</v>
      </c>
      <c r="J3119" s="131" t="s">
        <v>5577</v>
      </c>
      <c r="K3119" s="139">
        <v>61480</v>
      </c>
    </row>
    <row r="3120" spans="1:11">
      <c r="A3120" s="1" t="str">
        <f t="shared" si="48"/>
        <v>15100-44048696-96150016723960</v>
      </c>
      <c r="B3120" s="136" t="s">
        <v>6093</v>
      </c>
      <c r="C3120" s="136" t="s">
        <v>9317</v>
      </c>
      <c r="D3120" s="132" t="s">
        <v>4971</v>
      </c>
      <c r="E3120" s="136" t="s">
        <v>5565</v>
      </c>
      <c r="F3120" s="136" t="s">
        <v>5565</v>
      </c>
      <c r="G3120" s="136" t="s">
        <v>5789</v>
      </c>
      <c r="H3120" s="138" t="s">
        <v>6300</v>
      </c>
      <c r="I3120" s="136">
        <v>961500167</v>
      </c>
      <c r="J3120" s="131" t="s">
        <v>5584</v>
      </c>
      <c r="K3120" s="139">
        <v>23960</v>
      </c>
    </row>
    <row r="3121" spans="1:11">
      <c r="A3121" s="1" t="str">
        <f t="shared" si="48"/>
        <v>15100-44002896-96150001245000</v>
      </c>
      <c r="B3121" s="136" t="s">
        <v>6094</v>
      </c>
      <c r="C3121" s="136" t="s">
        <v>9318</v>
      </c>
      <c r="D3121" s="132" t="s">
        <v>4971</v>
      </c>
      <c r="E3121" s="136" t="s">
        <v>5555</v>
      </c>
      <c r="F3121" s="136" t="s">
        <v>5555</v>
      </c>
      <c r="G3121" s="136" t="s">
        <v>5768</v>
      </c>
      <c r="H3121" s="138" t="s">
        <v>6454</v>
      </c>
      <c r="I3121" s="136">
        <v>961500012</v>
      </c>
      <c r="J3121" s="131" t="s">
        <v>5575</v>
      </c>
      <c r="K3121" s="139">
        <v>45000</v>
      </c>
    </row>
    <row r="3122" spans="1:11">
      <c r="A3122" s="1" t="str">
        <f t="shared" si="48"/>
        <v>15100-44752396-96150017746870</v>
      </c>
      <c r="B3122" s="136" t="s">
        <v>6095</v>
      </c>
      <c r="C3122" s="136" t="s">
        <v>9319</v>
      </c>
      <c r="D3122" s="132" t="s">
        <v>4971</v>
      </c>
      <c r="E3122" s="136" t="s">
        <v>5479</v>
      </c>
      <c r="F3122" s="136" t="s">
        <v>5479</v>
      </c>
      <c r="G3122" s="136" t="s">
        <v>5807</v>
      </c>
      <c r="H3122" s="138" t="s">
        <v>6300</v>
      </c>
      <c r="I3122" s="136">
        <v>961500177</v>
      </c>
      <c r="J3122" s="131" t="s">
        <v>5585</v>
      </c>
      <c r="K3122" s="139">
        <v>46870</v>
      </c>
    </row>
    <row r="3123" spans="1:11">
      <c r="A3123" s="1" t="str">
        <f t="shared" si="48"/>
        <v>15100-44048696-961500046144820</v>
      </c>
      <c r="B3123" s="136" t="s">
        <v>6093</v>
      </c>
      <c r="C3123" s="136" t="s">
        <v>9317</v>
      </c>
      <c r="D3123" s="132" t="s">
        <v>4971</v>
      </c>
      <c r="E3123" s="136" t="s">
        <v>5565</v>
      </c>
      <c r="F3123" s="136" t="s">
        <v>5565</v>
      </c>
      <c r="G3123" s="136" t="s">
        <v>5776</v>
      </c>
      <c r="H3123" s="138" t="s">
        <v>6301</v>
      </c>
      <c r="I3123" s="136">
        <v>961500046</v>
      </c>
      <c r="J3123" s="131" t="s">
        <v>5423</v>
      </c>
      <c r="K3123" s="139">
        <v>144820</v>
      </c>
    </row>
    <row r="3124" spans="1:11">
      <c r="A3124" s="1" t="str">
        <f t="shared" si="48"/>
        <v>15100-44793796-961500199119470</v>
      </c>
      <c r="B3124" s="136" t="s">
        <v>6096</v>
      </c>
      <c r="C3124" s="136" t="s">
        <v>9320</v>
      </c>
      <c r="D3124" s="132" t="s">
        <v>4971</v>
      </c>
      <c r="E3124" s="136" t="s">
        <v>5460</v>
      </c>
      <c r="F3124" s="136" t="s">
        <v>5460</v>
      </c>
      <c r="G3124" s="136" t="s">
        <v>5815</v>
      </c>
      <c r="H3124" s="138" t="s">
        <v>6298</v>
      </c>
      <c r="I3124" s="136">
        <v>961500199</v>
      </c>
      <c r="J3124" s="131" t="s">
        <v>5571</v>
      </c>
      <c r="K3124" s="139">
        <v>119470</v>
      </c>
    </row>
    <row r="3125" spans="1:11">
      <c r="A3125" s="1" t="str">
        <f t="shared" si="48"/>
        <v>15100-44752396-961500204193250</v>
      </c>
      <c r="B3125" s="136" t="s">
        <v>6095</v>
      </c>
      <c r="C3125" s="136" t="s">
        <v>9319</v>
      </c>
      <c r="D3125" s="132" t="s">
        <v>4971</v>
      </c>
      <c r="E3125" s="136" t="s">
        <v>5479</v>
      </c>
      <c r="F3125" s="136" t="s">
        <v>5479</v>
      </c>
      <c r="G3125" s="136" t="s">
        <v>5813</v>
      </c>
      <c r="H3125" s="138" t="s">
        <v>6298</v>
      </c>
      <c r="I3125" s="136">
        <v>961500204</v>
      </c>
      <c r="J3125" s="131" t="s">
        <v>5897</v>
      </c>
      <c r="K3125" s="139">
        <v>193250</v>
      </c>
    </row>
    <row r="3126" spans="1:11">
      <c r="A3126" s="1" t="str">
        <f t="shared" si="48"/>
        <v>15100-44151096-961500173161000</v>
      </c>
      <c r="B3126" s="136" t="s">
        <v>6097</v>
      </c>
      <c r="C3126" s="136" t="s">
        <v>9321</v>
      </c>
      <c r="D3126" s="132" t="s">
        <v>4971</v>
      </c>
      <c r="E3126" s="136" t="s">
        <v>5558</v>
      </c>
      <c r="F3126" s="136" t="s">
        <v>5558</v>
      </c>
      <c r="G3126" s="136" t="s">
        <v>5807</v>
      </c>
      <c r="H3126" s="138" t="s">
        <v>6300</v>
      </c>
      <c r="I3126" s="136">
        <v>961500173</v>
      </c>
      <c r="J3126" s="131" t="s">
        <v>5594</v>
      </c>
      <c r="K3126" s="139">
        <v>161000</v>
      </c>
    </row>
    <row r="3127" spans="1:11">
      <c r="A3127" s="1" t="str">
        <f t="shared" si="48"/>
        <v>15100-44788096-961500212104720</v>
      </c>
      <c r="B3127" s="136" t="s">
        <v>6098</v>
      </c>
      <c r="C3127" s="136" t="s">
        <v>9322</v>
      </c>
      <c r="D3127" s="132" t="s">
        <v>4971</v>
      </c>
      <c r="E3127" s="136" t="s">
        <v>5460</v>
      </c>
      <c r="F3127" s="136" t="s">
        <v>5460</v>
      </c>
      <c r="G3127" s="136" t="s">
        <v>5813</v>
      </c>
      <c r="H3127" s="138" t="s">
        <v>6298</v>
      </c>
      <c r="I3127" s="136">
        <v>961500212</v>
      </c>
      <c r="J3127" s="131" t="s">
        <v>5583</v>
      </c>
      <c r="K3127" s="139">
        <v>104720</v>
      </c>
    </row>
    <row r="3128" spans="1:11">
      <c r="A3128" s="1" t="str">
        <f t="shared" si="48"/>
        <v>15100-44007396-961500167114860</v>
      </c>
      <c r="B3128" s="136" t="s">
        <v>6099</v>
      </c>
      <c r="C3128" s="136" t="s">
        <v>9323</v>
      </c>
      <c r="D3128" s="132" t="s">
        <v>4971</v>
      </c>
      <c r="E3128" s="136" t="s">
        <v>5555</v>
      </c>
      <c r="F3128" s="136" t="s">
        <v>5555</v>
      </c>
      <c r="G3128" s="136" t="s">
        <v>5789</v>
      </c>
      <c r="H3128" s="138" t="s">
        <v>6300</v>
      </c>
      <c r="I3128" s="136">
        <v>961500167</v>
      </c>
      <c r="J3128" s="131" t="s">
        <v>5584</v>
      </c>
      <c r="K3128" s="139">
        <v>114860</v>
      </c>
    </row>
    <row r="3129" spans="1:11">
      <c r="A3129" s="1" t="str">
        <f t="shared" si="48"/>
        <v>15100-44788096-96150020150971</v>
      </c>
      <c r="B3129" s="136" t="s">
        <v>6098</v>
      </c>
      <c r="C3129" s="136" t="s">
        <v>9322</v>
      </c>
      <c r="D3129" s="132" t="s">
        <v>4971</v>
      </c>
      <c r="E3129" s="136" t="s">
        <v>5460</v>
      </c>
      <c r="F3129" s="136" t="s">
        <v>5460</v>
      </c>
      <c r="G3129" s="136" t="s">
        <v>5815</v>
      </c>
      <c r="H3129" s="138" t="s">
        <v>6298</v>
      </c>
      <c r="I3129" s="136">
        <v>961500201</v>
      </c>
      <c r="J3129" s="131" t="s">
        <v>5896</v>
      </c>
      <c r="K3129" s="139">
        <v>50971</v>
      </c>
    </row>
    <row r="3130" spans="1:11">
      <c r="A3130" s="1" t="str">
        <f t="shared" si="48"/>
        <v>15100-44007396-961500046456100</v>
      </c>
      <c r="B3130" s="136" t="s">
        <v>6099</v>
      </c>
      <c r="C3130" s="136" t="s">
        <v>9323</v>
      </c>
      <c r="D3130" s="132" t="s">
        <v>4971</v>
      </c>
      <c r="E3130" s="136" t="s">
        <v>5555</v>
      </c>
      <c r="F3130" s="136" t="s">
        <v>5555</v>
      </c>
      <c r="G3130" s="136" t="s">
        <v>5776</v>
      </c>
      <c r="H3130" s="138" t="s">
        <v>6301</v>
      </c>
      <c r="I3130" s="136">
        <v>961500046</v>
      </c>
      <c r="J3130" s="131" t="s">
        <v>5423</v>
      </c>
      <c r="K3130" s="139">
        <v>456100</v>
      </c>
    </row>
    <row r="3131" spans="1:11">
      <c r="A3131" s="1" t="str">
        <f t="shared" si="48"/>
        <v>15100-44788096-96150020491890</v>
      </c>
      <c r="B3131" s="136" t="s">
        <v>6098</v>
      </c>
      <c r="C3131" s="136" t="s">
        <v>9322</v>
      </c>
      <c r="D3131" s="132" t="s">
        <v>4971</v>
      </c>
      <c r="E3131" s="136" t="s">
        <v>5460</v>
      </c>
      <c r="F3131" s="136" t="s">
        <v>5460</v>
      </c>
      <c r="G3131" s="136" t="s">
        <v>5813</v>
      </c>
      <c r="H3131" s="138" t="s">
        <v>6298</v>
      </c>
      <c r="I3131" s="136">
        <v>961500204</v>
      </c>
      <c r="J3131" s="131" t="s">
        <v>5897</v>
      </c>
      <c r="K3131" s="139">
        <v>91890</v>
      </c>
    </row>
    <row r="3132" spans="1:11">
      <c r="A3132" s="1" t="str">
        <f t="shared" si="48"/>
        <v>15100-44788096-96150017339280</v>
      </c>
      <c r="B3132" s="136" t="s">
        <v>6098</v>
      </c>
      <c r="C3132" s="136" t="s">
        <v>9322</v>
      </c>
      <c r="D3132" s="132" t="s">
        <v>4971</v>
      </c>
      <c r="E3132" s="136" t="s">
        <v>5460</v>
      </c>
      <c r="F3132" s="136" t="s">
        <v>5460</v>
      </c>
      <c r="G3132" s="136" t="s">
        <v>5807</v>
      </c>
      <c r="H3132" s="138" t="s">
        <v>6300</v>
      </c>
      <c r="I3132" s="136">
        <v>961500173</v>
      </c>
      <c r="J3132" s="131" t="s">
        <v>5594</v>
      </c>
      <c r="K3132" s="139">
        <v>39280</v>
      </c>
    </row>
    <row r="3133" spans="1:11">
      <c r="A3133" s="1" t="str">
        <f t="shared" si="48"/>
        <v>15100-44788096-96150019916159</v>
      </c>
      <c r="B3133" s="136" t="s">
        <v>6098</v>
      </c>
      <c r="C3133" s="136" t="s">
        <v>9322</v>
      </c>
      <c r="D3133" s="132" t="s">
        <v>4971</v>
      </c>
      <c r="E3133" s="136" t="s">
        <v>5460</v>
      </c>
      <c r="F3133" s="136" t="s">
        <v>5460</v>
      </c>
      <c r="G3133" s="136" t="s">
        <v>5815</v>
      </c>
      <c r="H3133" s="138" t="s">
        <v>6298</v>
      </c>
      <c r="I3133" s="136">
        <v>961500199</v>
      </c>
      <c r="J3133" s="131" t="s">
        <v>5571</v>
      </c>
      <c r="K3133" s="139">
        <v>16159</v>
      </c>
    </row>
    <row r="3134" spans="1:11">
      <c r="A3134" s="1" t="str">
        <f t="shared" si="48"/>
        <v>15100-43965096-961500045230360</v>
      </c>
      <c r="B3134" s="136" t="s">
        <v>6100</v>
      </c>
      <c r="C3134" s="136" t="s">
        <v>9324</v>
      </c>
      <c r="D3134" s="132" t="s">
        <v>4971</v>
      </c>
      <c r="E3134" s="136" t="s">
        <v>5458</v>
      </c>
      <c r="F3134" s="136" t="s">
        <v>5458</v>
      </c>
      <c r="G3134" s="136" t="s">
        <v>5776</v>
      </c>
      <c r="H3134" s="138" t="s">
        <v>6301</v>
      </c>
      <c r="I3134" s="136">
        <v>961500045</v>
      </c>
      <c r="J3134" s="131" t="s">
        <v>5433</v>
      </c>
      <c r="K3134" s="139">
        <v>230360</v>
      </c>
    </row>
    <row r="3135" spans="1:11">
      <c r="A3135" s="1" t="str">
        <f t="shared" si="48"/>
        <v>15100-43879196-961500045187180</v>
      </c>
      <c r="B3135" s="136" t="s">
        <v>6101</v>
      </c>
      <c r="C3135" s="136" t="s">
        <v>9325</v>
      </c>
      <c r="D3135" s="132" t="s">
        <v>4971</v>
      </c>
      <c r="E3135" s="136" t="s">
        <v>5457</v>
      </c>
      <c r="F3135" s="136" t="s">
        <v>5457</v>
      </c>
      <c r="G3135" s="136" t="s">
        <v>5776</v>
      </c>
      <c r="H3135" s="138" t="s">
        <v>6301</v>
      </c>
      <c r="I3135" s="136">
        <v>961500045</v>
      </c>
      <c r="J3135" s="131" t="s">
        <v>5433</v>
      </c>
      <c r="K3135" s="139">
        <v>187180</v>
      </c>
    </row>
    <row r="3136" spans="1:11">
      <c r="A3136" s="1" t="str">
        <f t="shared" si="48"/>
        <v>15100-44111096-961500045145980</v>
      </c>
      <c r="B3136" s="136" t="s">
        <v>6102</v>
      </c>
      <c r="C3136" s="136" t="s">
        <v>9326</v>
      </c>
      <c r="D3136" s="132" t="s">
        <v>4971</v>
      </c>
      <c r="E3136" s="136" t="s">
        <v>5564</v>
      </c>
      <c r="F3136" s="136" t="s">
        <v>5564</v>
      </c>
      <c r="G3136" s="136" t="s">
        <v>5776</v>
      </c>
      <c r="H3136" s="138" t="s">
        <v>6301</v>
      </c>
      <c r="I3136" s="136">
        <v>961500045</v>
      </c>
      <c r="J3136" s="131" t="s">
        <v>5433</v>
      </c>
      <c r="K3136" s="139">
        <v>145980</v>
      </c>
    </row>
    <row r="3137" spans="1:11">
      <c r="A3137" s="1" t="str">
        <f t="shared" si="48"/>
        <v>15100-43962396-96150015649750</v>
      </c>
      <c r="B3137" s="136" t="s">
        <v>6103</v>
      </c>
      <c r="C3137" s="136" t="s">
        <v>9327</v>
      </c>
      <c r="D3137" s="132" t="s">
        <v>4971</v>
      </c>
      <c r="E3137" s="136" t="s">
        <v>5458</v>
      </c>
      <c r="F3137" s="136" t="s">
        <v>5458</v>
      </c>
      <c r="G3137" s="136" t="s">
        <v>5806</v>
      </c>
      <c r="H3137" s="138" t="s">
        <v>6299</v>
      </c>
      <c r="I3137" s="136">
        <v>961500156</v>
      </c>
      <c r="J3137" s="131" t="s">
        <v>5436</v>
      </c>
      <c r="K3137" s="139">
        <v>49750</v>
      </c>
    </row>
    <row r="3138" spans="1:11">
      <c r="A3138" s="1" t="str">
        <f t="shared" si="48"/>
        <v>15100-43962396-96150004524210</v>
      </c>
      <c r="B3138" s="136" t="s">
        <v>6103</v>
      </c>
      <c r="C3138" s="136" t="s">
        <v>9327</v>
      </c>
      <c r="D3138" s="132" t="s">
        <v>4971</v>
      </c>
      <c r="E3138" s="136" t="s">
        <v>5458</v>
      </c>
      <c r="F3138" s="136" t="s">
        <v>5458</v>
      </c>
      <c r="G3138" s="136" t="s">
        <v>5776</v>
      </c>
      <c r="H3138" s="138" t="s">
        <v>6301</v>
      </c>
      <c r="I3138" s="136">
        <v>961500045</v>
      </c>
      <c r="J3138" s="131" t="s">
        <v>5433</v>
      </c>
      <c r="K3138" s="139">
        <v>24210</v>
      </c>
    </row>
    <row r="3139" spans="1:11">
      <c r="A3139" s="1" t="str">
        <f t="shared" ref="A3139:A3202" si="49">B3139&amp;J3139&amp;K3139</f>
        <v>15100-43918996-96150004547520</v>
      </c>
      <c r="B3139" s="136" t="s">
        <v>6297</v>
      </c>
      <c r="C3139" s="136" t="s">
        <v>9471</v>
      </c>
      <c r="D3139" s="132" t="s">
        <v>4971</v>
      </c>
      <c r="E3139" s="136" t="s">
        <v>5557</v>
      </c>
      <c r="F3139" s="136" t="s">
        <v>5557</v>
      </c>
      <c r="G3139" s="136" t="s">
        <v>5776</v>
      </c>
      <c r="H3139" s="138" t="s">
        <v>6301</v>
      </c>
      <c r="I3139" s="136">
        <v>961500045</v>
      </c>
      <c r="J3139" s="131" t="s">
        <v>5433</v>
      </c>
      <c r="K3139" s="139">
        <v>47520</v>
      </c>
    </row>
    <row r="3140" spans="1:11">
      <c r="A3140" s="1" t="str">
        <f t="shared" si="49"/>
        <v>15100-44048696-961500045223200</v>
      </c>
      <c r="B3140" s="136" t="s">
        <v>6093</v>
      </c>
      <c r="C3140" s="136" t="s">
        <v>9317</v>
      </c>
      <c r="D3140" s="132" t="s">
        <v>4971</v>
      </c>
      <c r="E3140" s="136" t="s">
        <v>5565</v>
      </c>
      <c r="F3140" s="136" t="s">
        <v>5565</v>
      </c>
      <c r="G3140" s="136" t="s">
        <v>5776</v>
      </c>
      <c r="H3140" s="138" t="s">
        <v>6301</v>
      </c>
      <c r="I3140" s="136">
        <v>961500045</v>
      </c>
      <c r="J3140" s="131" t="s">
        <v>5433</v>
      </c>
      <c r="K3140" s="139">
        <v>223200</v>
      </c>
    </row>
    <row r="3141" spans="1:11">
      <c r="A3141" s="1" t="str">
        <f t="shared" si="49"/>
        <v>15100-44002896-96150015630850</v>
      </c>
      <c r="B3141" s="136" t="s">
        <v>6094</v>
      </c>
      <c r="C3141" s="136" t="s">
        <v>9318</v>
      </c>
      <c r="D3141" s="132" t="s">
        <v>4971</v>
      </c>
      <c r="E3141" s="136" t="s">
        <v>5555</v>
      </c>
      <c r="F3141" s="136" t="s">
        <v>5555</v>
      </c>
      <c r="G3141" s="136" t="s">
        <v>5806</v>
      </c>
      <c r="H3141" s="138" t="s">
        <v>6299</v>
      </c>
      <c r="I3141" s="136">
        <v>961500156</v>
      </c>
      <c r="J3141" s="131" t="s">
        <v>5436</v>
      </c>
      <c r="K3141" s="139">
        <v>30850</v>
      </c>
    </row>
    <row r="3142" spans="1:11">
      <c r="A3142" s="1" t="str">
        <f t="shared" si="49"/>
        <v>15100-44002896-96150006719640</v>
      </c>
      <c r="B3142" s="136" t="s">
        <v>6094</v>
      </c>
      <c r="C3142" s="136" t="s">
        <v>9318</v>
      </c>
      <c r="D3142" s="132" t="s">
        <v>4971</v>
      </c>
      <c r="E3142" s="136" t="s">
        <v>5555</v>
      </c>
      <c r="F3142" s="136" t="s">
        <v>5555</v>
      </c>
      <c r="G3142" s="136" t="s">
        <v>5758</v>
      </c>
      <c r="H3142" s="138" t="s">
        <v>6298</v>
      </c>
      <c r="I3142" s="136">
        <v>961500067</v>
      </c>
      <c r="J3142" s="131" t="s">
        <v>5378</v>
      </c>
      <c r="K3142" s="139">
        <v>19640</v>
      </c>
    </row>
    <row r="3143" spans="1:11">
      <c r="A3143" s="1" t="str">
        <f t="shared" si="49"/>
        <v>15100-44007396-96150004570060</v>
      </c>
      <c r="B3143" s="136" t="s">
        <v>6099</v>
      </c>
      <c r="C3143" s="136" t="s">
        <v>9323</v>
      </c>
      <c r="D3143" s="132" t="s">
        <v>4971</v>
      </c>
      <c r="E3143" s="136" t="s">
        <v>5555</v>
      </c>
      <c r="F3143" s="136" t="s">
        <v>5555</v>
      </c>
      <c r="G3143" s="136" t="s">
        <v>5776</v>
      </c>
      <c r="H3143" s="138" t="s">
        <v>6301</v>
      </c>
      <c r="I3143" s="136">
        <v>961500045</v>
      </c>
      <c r="J3143" s="131" t="s">
        <v>5433</v>
      </c>
      <c r="K3143" s="139">
        <v>70060</v>
      </c>
    </row>
    <row r="3144" spans="1:11">
      <c r="A3144" s="1" t="str">
        <f t="shared" si="49"/>
        <v>15100-43129696-96150010619620</v>
      </c>
      <c r="B3144" s="136" t="s">
        <v>6062</v>
      </c>
      <c r="C3144" s="136" t="s">
        <v>9290</v>
      </c>
      <c r="D3144" s="132" t="s">
        <v>4971</v>
      </c>
      <c r="E3144" s="136" t="s">
        <v>5287</v>
      </c>
      <c r="F3144" s="136" t="s">
        <v>5287</v>
      </c>
      <c r="G3144" s="136" t="s">
        <v>5762</v>
      </c>
      <c r="H3144" s="138" t="s">
        <v>6298</v>
      </c>
      <c r="I3144" s="136">
        <v>961500106</v>
      </c>
      <c r="J3144" s="131" t="s">
        <v>5213</v>
      </c>
      <c r="K3144" s="139">
        <v>19620</v>
      </c>
    </row>
    <row r="3145" spans="1:11">
      <c r="A3145" s="1" t="str">
        <f t="shared" si="49"/>
        <v>15100-43252595-95150053739211</v>
      </c>
      <c r="B3145" s="136" t="s">
        <v>6063</v>
      </c>
      <c r="C3145" s="136" t="s">
        <v>9291</v>
      </c>
      <c r="D3145" s="132" t="s">
        <v>4971</v>
      </c>
      <c r="E3145" s="136" t="s">
        <v>5419</v>
      </c>
      <c r="F3145" s="136" t="s">
        <v>5419</v>
      </c>
      <c r="G3145" s="136" t="s">
        <v>5715</v>
      </c>
      <c r="H3145" s="138" t="s">
        <v>6301</v>
      </c>
      <c r="I3145" s="136">
        <v>951500537</v>
      </c>
      <c r="J3145" s="131" t="s">
        <v>4504</v>
      </c>
      <c r="K3145" s="139">
        <v>39211</v>
      </c>
    </row>
    <row r="3146" spans="1:11">
      <c r="A3146" s="1" t="str">
        <f t="shared" si="49"/>
        <v>15100-43129095-95150053794380</v>
      </c>
      <c r="B3146" s="136" t="s">
        <v>6064</v>
      </c>
      <c r="C3146" s="136" t="s">
        <v>9292</v>
      </c>
      <c r="D3146" s="132" t="s">
        <v>4971</v>
      </c>
      <c r="E3146" s="136" t="s">
        <v>5287</v>
      </c>
      <c r="F3146" s="136" t="s">
        <v>5287</v>
      </c>
      <c r="G3146" s="136" t="s">
        <v>5715</v>
      </c>
      <c r="H3146" s="138" t="s">
        <v>6301</v>
      </c>
      <c r="I3146" s="136">
        <v>951500537</v>
      </c>
      <c r="J3146" s="131" t="s">
        <v>4504</v>
      </c>
      <c r="K3146" s="139">
        <v>94380</v>
      </c>
    </row>
    <row r="3147" spans="1:11">
      <c r="A3147" s="1" t="str">
        <f t="shared" si="49"/>
        <v>15100-43189896-96150013970140</v>
      </c>
      <c r="B3147" s="136" t="s">
        <v>6065</v>
      </c>
      <c r="C3147" s="136" t="s">
        <v>9293</v>
      </c>
      <c r="D3147" s="132" t="s">
        <v>4971</v>
      </c>
      <c r="E3147" s="136" t="s">
        <v>5303</v>
      </c>
      <c r="F3147" s="136" t="s">
        <v>5303</v>
      </c>
      <c r="G3147" s="136" t="s">
        <v>5799</v>
      </c>
      <c r="H3147" s="138" t="s">
        <v>6298</v>
      </c>
      <c r="I3147" s="136">
        <v>961500139</v>
      </c>
      <c r="J3147" s="131" t="s">
        <v>5428</v>
      </c>
      <c r="K3147" s="139">
        <v>70140</v>
      </c>
    </row>
    <row r="3148" spans="1:11">
      <c r="A3148" s="1" t="str">
        <f t="shared" si="49"/>
        <v>15100-43129696-961500147140960</v>
      </c>
      <c r="B3148" s="136" t="s">
        <v>6062</v>
      </c>
      <c r="C3148" s="136" t="s">
        <v>9290</v>
      </c>
      <c r="D3148" s="132" t="s">
        <v>4971</v>
      </c>
      <c r="E3148" s="136" t="s">
        <v>5287</v>
      </c>
      <c r="F3148" s="136" t="s">
        <v>5287</v>
      </c>
      <c r="G3148" s="136" t="s">
        <v>5799</v>
      </c>
      <c r="H3148" s="138" t="s">
        <v>6298</v>
      </c>
      <c r="I3148" s="136">
        <v>961500147</v>
      </c>
      <c r="J3148" s="131" t="s">
        <v>5435</v>
      </c>
      <c r="K3148" s="139">
        <v>140960</v>
      </c>
    </row>
    <row r="3149" spans="1:11">
      <c r="A3149" s="1" t="str">
        <f t="shared" si="49"/>
        <v>15100-43189896-96150014750000</v>
      </c>
      <c r="B3149" s="136" t="s">
        <v>6065</v>
      </c>
      <c r="C3149" s="136" t="s">
        <v>9293</v>
      </c>
      <c r="D3149" s="132" t="s">
        <v>4971</v>
      </c>
      <c r="E3149" s="136" t="s">
        <v>5303</v>
      </c>
      <c r="F3149" s="136" t="s">
        <v>5303</v>
      </c>
      <c r="G3149" s="136" t="s">
        <v>5799</v>
      </c>
      <c r="H3149" s="138" t="s">
        <v>6298</v>
      </c>
      <c r="I3149" s="136">
        <v>961500147</v>
      </c>
      <c r="J3149" s="131" t="s">
        <v>5435</v>
      </c>
      <c r="K3149" s="139">
        <v>50000</v>
      </c>
    </row>
    <row r="3150" spans="1:11">
      <c r="A3150" s="1" t="str">
        <f t="shared" si="49"/>
        <v>15100-43481296-96150015972120</v>
      </c>
      <c r="B3150" s="136" t="s">
        <v>6066</v>
      </c>
      <c r="C3150" s="136" t="s">
        <v>9294</v>
      </c>
      <c r="D3150" s="132" t="s">
        <v>4971</v>
      </c>
      <c r="E3150" s="136" t="s">
        <v>6074</v>
      </c>
      <c r="F3150" s="136" t="s">
        <v>6074</v>
      </c>
      <c r="G3150" s="136" t="s">
        <v>5806</v>
      </c>
      <c r="H3150" s="138" t="s">
        <v>6299</v>
      </c>
      <c r="I3150" s="136">
        <v>961500159</v>
      </c>
      <c r="J3150" s="131" t="s">
        <v>5427</v>
      </c>
      <c r="K3150" s="139">
        <v>72120</v>
      </c>
    </row>
    <row r="3151" spans="1:11">
      <c r="A3151" s="1" t="str">
        <f t="shared" si="49"/>
        <v>15100-43482496-961500084991</v>
      </c>
      <c r="B3151" s="136" t="s">
        <v>6067</v>
      </c>
      <c r="C3151" s="136" t="s">
        <v>9295</v>
      </c>
      <c r="D3151" s="132" t="s">
        <v>4971</v>
      </c>
      <c r="E3151" s="136" t="s">
        <v>6074</v>
      </c>
      <c r="F3151" s="136" t="s">
        <v>6074</v>
      </c>
      <c r="G3151" s="136" t="s">
        <v>5762</v>
      </c>
      <c r="H3151" s="138" t="s">
        <v>6298</v>
      </c>
      <c r="I3151" s="136">
        <v>961500084</v>
      </c>
      <c r="J3151" s="131" t="s">
        <v>5278</v>
      </c>
      <c r="K3151" s="139">
        <v>991</v>
      </c>
    </row>
    <row r="3152" spans="1:11">
      <c r="A3152" s="1" t="str">
        <f t="shared" si="49"/>
        <v>15100-43482496-96150003325490</v>
      </c>
      <c r="B3152" s="136" t="s">
        <v>6067</v>
      </c>
      <c r="C3152" s="136" t="s">
        <v>9295</v>
      </c>
      <c r="D3152" s="132" t="s">
        <v>4971</v>
      </c>
      <c r="E3152" s="136" t="s">
        <v>6074</v>
      </c>
      <c r="F3152" s="136" t="s">
        <v>6074</v>
      </c>
      <c r="G3152" s="136" t="s">
        <v>5776</v>
      </c>
      <c r="H3152" s="138" t="s">
        <v>6301</v>
      </c>
      <c r="I3152" s="136">
        <v>961500033</v>
      </c>
      <c r="J3152" s="131" t="s">
        <v>5430</v>
      </c>
      <c r="K3152" s="139">
        <v>25490</v>
      </c>
    </row>
    <row r="3153" spans="1:11">
      <c r="A3153" s="1" t="str">
        <f t="shared" si="49"/>
        <v>15100-43303696-961500033118900</v>
      </c>
      <c r="B3153" s="136" t="s">
        <v>6068</v>
      </c>
      <c r="C3153" s="136" t="s">
        <v>9296</v>
      </c>
      <c r="D3153" s="132" t="s">
        <v>4971</v>
      </c>
      <c r="E3153" s="136" t="s">
        <v>5413</v>
      </c>
      <c r="F3153" s="136" t="s">
        <v>5413</v>
      </c>
      <c r="G3153" s="136" t="s">
        <v>5776</v>
      </c>
      <c r="H3153" s="138" t="s">
        <v>6301</v>
      </c>
      <c r="I3153" s="136">
        <v>961500033</v>
      </c>
      <c r="J3153" s="131" t="s">
        <v>5430</v>
      </c>
      <c r="K3153" s="139">
        <v>118900</v>
      </c>
    </row>
    <row r="3154" spans="1:11">
      <c r="A3154" s="1" t="str">
        <f t="shared" si="49"/>
        <v>15100-43252596-9615000846099</v>
      </c>
      <c r="B3154" s="136" t="s">
        <v>6063</v>
      </c>
      <c r="C3154" s="136" t="s">
        <v>9291</v>
      </c>
      <c r="D3154" s="132" t="s">
        <v>4971</v>
      </c>
      <c r="E3154" s="136" t="s">
        <v>5419</v>
      </c>
      <c r="F3154" s="136" t="s">
        <v>5419</v>
      </c>
      <c r="G3154" s="136" t="s">
        <v>5762</v>
      </c>
      <c r="H3154" s="138" t="s">
        <v>6298</v>
      </c>
      <c r="I3154" s="136">
        <v>961500084</v>
      </c>
      <c r="J3154" s="131" t="s">
        <v>5278</v>
      </c>
      <c r="K3154" s="139">
        <v>6099</v>
      </c>
    </row>
    <row r="3155" spans="1:11">
      <c r="A3155" s="1" t="str">
        <f t="shared" si="49"/>
        <v>15100-42994495-951500536200000</v>
      </c>
      <c r="B3155" s="136" t="s">
        <v>6069</v>
      </c>
      <c r="C3155" s="136" t="s">
        <v>9297</v>
      </c>
      <c r="D3155" s="132" t="s">
        <v>4971</v>
      </c>
      <c r="E3155" s="136" t="s">
        <v>5420</v>
      </c>
      <c r="F3155" s="136" t="s">
        <v>5420</v>
      </c>
      <c r="G3155" s="136" t="s">
        <v>5715</v>
      </c>
      <c r="H3155" s="138" t="s">
        <v>6301</v>
      </c>
      <c r="I3155" s="136">
        <v>951500536</v>
      </c>
      <c r="J3155" s="131" t="s">
        <v>4506</v>
      </c>
      <c r="K3155" s="139">
        <v>200000</v>
      </c>
    </row>
    <row r="3156" spans="1:11">
      <c r="A3156" s="1" t="str">
        <f t="shared" si="49"/>
        <v>15100-43309996-96150003817740</v>
      </c>
      <c r="B3156" s="136" t="s">
        <v>6070</v>
      </c>
      <c r="C3156" s="136" t="s">
        <v>9298</v>
      </c>
      <c r="D3156" s="132" t="s">
        <v>4971</v>
      </c>
      <c r="E3156" s="136" t="s">
        <v>5413</v>
      </c>
      <c r="F3156" s="136" t="s">
        <v>5413</v>
      </c>
      <c r="G3156" s="136" t="s">
        <v>5758</v>
      </c>
      <c r="H3156" s="138" t="s">
        <v>6298</v>
      </c>
      <c r="I3156" s="136">
        <v>961500038</v>
      </c>
      <c r="J3156" s="131" t="s">
        <v>5279</v>
      </c>
      <c r="K3156" s="139">
        <v>17740</v>
      </c>
    </row>
    <row r="3157" spans="1:11">
      <c r="A3157" s="1" t="str">
        <f t="shared" si="49"/>
        <v>15100-43309996-961500033141900</v>
      </c>
      <c r="B3157" s="136" t="s">
        <v>6070</v>
      </c>
      <c r="C3157" s="136" t="s">
        <v>9298</v>
      </c>
      <c r="D3157" s="132" t="s">
        <v>4971</v>
      </c>
      <c r="E3157" s="136" t="s">
        <v>5413</v>
      </c>
      <c r="F3157" s="136" t="s">
        <v>5413</v>
      </c>
      <c r="G3157" s="136" t="s">
        <v>5776</v>
      </c>
      <c r="H3157" s="138" t="s">
        <v>6301</v>
      </c>
      <c r="I3157" s="136">
        <v>961500033</v>
      </c>
      <c r="J3157" s="131" t="s">
        <v>5430</v>
      </c>
      <c r="K3157" s="139">
        <v>141900</v>
      </c>
    </row>
    <row r="3158" spans="1:11">
      <c r="A3158" s="1" t="str">
        <f t="shared" si="49"/>
        <v>15100-42994495-951500537292769</v>
      </c>
      <c r="B3158" s="136" t="s">
        <v>6069</v>
      </c>
      <c r="C3158" s="136" t="s">
        <v>9297</v>
      </c>
      <c r="D3158" s="132" t="s">
        <v>4971</v>
      </c>
      <c r="E3158" s="136" t="s">
        <v>5420</v>
      </c>
      <c r="F3158" s="136" t="s">
        <v>5420</v>
      </c>
      <c r="G3158" s="136" t="s">
        <v>5715</v>
      </c>
      <c r="H3158" s="138" t="s">
        <v>6301</v>
      </c>
      <c r="I3158" s="136">
        <v>951500537</v>
      </c>
      <c r="J3158" s="131" t="s">
        <v>4504</v>
      </c>
      <c r="K3158" s="139">
        <v>292769</v>
      </c>
    </row>
    <row r="3159" spans="1:11">
      <c r="A3159" s="1" t="str">
        <f t="shared" si="49"/>
        <v>15100-42992695-95150053687680</v>
      </c>
      <c r="B3159" s="136" t="s">
        <v>6071</v>
      </c>
      <c r="C3159" s="136" t="s">
        <v>9299</v>
      </c>
      <c r="D3159" s="132" t="s">
        <v>4971</v>
      </c>
      <c r="E3159" s="136" t="s">
        <v>5420</v>
      </c>
      <c r="F3159" s="136" t="s">
        <v>5420</v>
      </c>
      <c r="G3159" s="136" t="s">
        <v>5715</v>
      </c>
      <c r="H3159" s="138" t="s">
        <v>6301</v>
      </c>
      <c r="I3159" s="136">
        <v>951500536</v>
      </c>
      <c r="J3159" s="131" t="s">
        <v>4506</v>
      </c>
      <c r="K3159" s="139">
        <v>87680</v>
      </c>
    </row>
    <row r="3160" spans="1:11">
      <c r="A3160" s="1" t="str">
        <f t="shared" si="49"/>
        <v>15100-42992696-961500151111300</v>
      </c>
      <c r="B3160" s="136" t="s">
        <v>6071</v>
      </c>
      <c r="C3160" s="136" t="s">
        <v>9299</v>
      </c>
      <c r="D3160" s="132" t="s">
        <v>4971</v>
      </c>
      <c r="E3160" s="136" t="s">
        <v>5420</v>
      </c>
      <c r="F3160" s="136" t="s">
        <v>5420</v>
      </c>
      <c r="G3160" s="136" t="s">
        <v>5789</v>
      </c>
      <c r="H3160" s="138" t="s">
        <v>6300</v>
      </c>
      <c r="I3160" s="136">
        <v>961500151</v>
      </c>
      <c r="J3160" s="131" t="s">
        <v>5425</v>
      </c>
      <c r="K3160" s="139">
        <v>111300</v>
      </c>
    </row>
    <row r="3161" spans="1:11">
      <c r="A3161" s="1" t="str">
        <f t="shared" si="49"/>
        <v>15100-43366796-961500033238180</v>
      </c>
      <c r="B3161" s="136" t="s">
        <v>6072</v>
      </c>
      <c r="C3161" s="136" t="s">
        <v>9300</v>
      </c>
      <c r="D3161" s="132" t="s">
        <v>4971</v>
      </c>
      <c r="E3161" s="136" t="s">
        <v>5412</v>
      </c>
      <c r="F3161" s="136" t="s">
        <v>5412</v>
      </c>
      <c r="G3161" s="136" t="s">
        <v>5776</v>
      </c>
      <c r="H3161" s="138" t="s">
        <v>6301</v>
      </c>
      <c r="I3161" s="136">
        <v>961500033</v>
      </c>
      <c r="J3161" s="131" t="s">
        <v>5430</v>
      </c>
      <c r="K3161" s="139">
        <v>238180</v>
      </c>
    </row>
    <row r="3162" spans="1:11">
      <c r="A3162" s="1" t="str">
        <f t="shared" si="49"/>
        <v>15100-43482496-961500155163399</v>
      </c>
      <c r="B3162" s="136" t="s">
        <v>6067</v>
      </c>
      <c r="C3162" s="136" t="s">
        <v>9295</v>
      </c>
      <c r="D3162" s="132" t="s">
        <v>4971</v>
      </c>
      <c r="E3162" s="136" t="s">
        <v>6074</v>
      </c>
      <c r="F3162" s="136" t="s">
        <v>6074</v>
      </c>
      <c r="G3162" s="136" t="s">
        <v>5810</v>
      </c>
      <c r="H3162" s="138" t="s">
        <v>6298</v>
      </c>
      <c r="I3162" s="136">
        <v>961500155</v>
      </c>
      <c r="J3162" s="131" t="s">
        <v>5432</v>
      </c>
      <c r="K3162" s="139">
        <v>163399</v>
      </c>
    </row>
    <row r="3163" spans="1:11">
      <c r="A3163" s="1" t="str">
        <f t="shared" si="49"/>
        <v>15100-43303696-96150015623860</v>
      </c>
      <c r="B3163" s="136" t="s">
        <v>6068</v>
      </c>
      <c r="C3163" s="136" t="s">
        <v>9296</v>
      </c>
      <c r="D3163" s="132" t="s">
        <v>4971</v>
      </c>
      <c r="E3163" s="136" t="s">
        <v>5413</v>
      </c>
      <c r="F3163" s="136" t="s">
        <v>5413</v>
      </c>
      <c r="G3163" s="136" t="s">
        <v>5806</v>
      </c>
      <c r="H3163" s="138" t="s">
        <v>6299</v>
      </c>
      <c r="I3163" s="136">
        <v>961500156</v>
      </c>
      <c r="J3163" s="131" t="s">
        <v>5436</v>
      </c>
      <c r="K3163" s="139">
        <v>23860</v>
      </c>
    </row>
    <row r="3164" spans="1:11">
      <c r="A3164" s="1" t="str">
        <f t="shared" si="49"/>
        <v>15100-43481296-96150015571780</v>
      </c>
      <c r="B3164" s="136" t="s">
        <v>6066</v>
      </c>
      <c r="C3164" s="136" t="s">
        <v>9294</v>
      </c>
      <c r="D3164" s="132" t="s">
        <v>4971</v>
      </c>
      <c r="E3164" s="136" t="s">
        <v>6074</v>
      </c>
      <c r="F3164" s="136" t="s">
        <v>6074</v>
      </c>
      <c r="G3164" s="136" t="s">
        <v>5810</v>
      </c>
      <c r="H3164" s="138" t="s">
        <v>6298</v>
      </c>
      <c r="I3164" s="136">
        <v>961500155</v>
      </c>
      <c r="J3164" s="131" t="s">
        <v>5432</v>
      </c>
      <c r="K3164" s="139">
        <v>71780</v>
      </c>
    </row>
    <row r="3165" spans="1:11">
      <c r="A3165" s="1" t="str">
        <f t="shared" si="49"/>
        <v>15100-43198696-96150006773140</v>
      </c>
      <c r="B3165" s="136" t="s">
        <v>6073</v>
      </c>
      <c r="C3165" s="136" t="s">
        <v>9301</v>
      </c>
      <c r="D3165" s="132" t="s">
        <v>4971</v>
      </c>
      <c r="E3165" s="136" t="s">
        <v>5303</v>
      </c>
      <c r="F3165" s="136" t="s">
        <v>5303</v>
      </c>
      <c r="G3165" s="136" t="s">
        <v>5758</v>
      </c>
      <c r="H3165" s="138" t="s">
        <v>6298</v>
      </c>
      <c r="I3165" s="136">
        <v>961500067</v>
      </c>
      <c r="J3165" s="131" t="s">
        <v>5378</v>
      </c>
      <c r="K3165" s="139">
        <v>73140</v>
      </c>
    </row>
    <row r="3166" spans="1:11">
      <c r="A3166" s="1" t="str">
        <f t="shared" si="49"/>
        <v>50100-903667696-961500210200000</v>
      </c>
      <c r="B3166" s="136" t="s">
        <v>6104</v>
      </c>
      <c r="C3166" s="136" t="s">
        <v>9328</v>
      </c>
      <c r="D3166" s="132" t="s">
        <v>4971</v>
      </c>
      <c r="E3166" s="136" t="s">
        <v>5600</v>
      </c>
      <c r="F3166" s="136" t="s">
        <v>5600</v>
      </c>
      <c r="G3166" s="136" t="s">
        <v>5813</v>
      </c>
      <c r="H3166" s="138" t="s">
        <v>6298</v>
      </c>
      <c r="I3166" s="136">
        <v>961500210</v>
      </c>
      <c r="J3166" s="131" t="s">
        <v>5902</v>
      </c>
      <c r="K3166" s="139">
        <v>200000</v>
      </c>
    </row>
    <row r="3167" spans="1:11">
      <c r="A3167" s="1" t="str">
        <f t="shared" si="49"/>
        <v>50100-899183596-96150015399550</v>
      </c>
      <c r="B3167" s="136" t="s">
        <v>6105</v>
      </c>
      <c r="C3167" s="136" t="s">
        <v>9329</v>
      </c>
      <c r="D3167" s="132" t="s">
        <v>4971</v>
      </c>
      <c r="E3167" s="136" t="s">
        <v>5830</v>
      </c>
      <c r="F3167" s="136" t="s">
        <v>5830</v>
      </c>
      <c r="G3167" s="136" t="s">
        <v>5799</v>
      </c>
      <c r="H3167" s="138" t="s">
        <v>6298</v>
      </c>
      <c r="I3167" s="136">
        <v>961500153</v>
      </c>
      <c r="J3167" s="131" t="s">
        <v>5876</v>
      </c>
      <c r="K3167" s="139">
        <v>99550</v>
      </c>
    </row>
    <row r="3168" spans="1:11">
      <c r="A3168" s="1" t="str">
        <f t="shared" si="49"/>
        <v>50100-903667696-962500031171400</v>
      </c>
      <c r="B3168" s="136" t="s">
        <v>6104</v>
      </c>
      <c r="C3168" s="136" t="s">
        <v>9328</v>
      </c>
      <c r="D3168" s="132" t="s">
        <v>4971</v>
      </c>
      <c r="E3168" s="136" t="s">
        <v>5600</v>
      </c>
      <c r="F3168" s="136" t="s">
        <v>5600</v>
      </c>
      <c r="G3168" s="136" t="s">
        <v>5810</v>
      </c>
      <c r="H3168" s="138" t="s">
        <v>6298</v>
      </c>
      <c r="I3168" s="136">
        <v>962500031</v>
      </c>
      <c r="J3168" s="131" t="s">
        <v>5886</v>
      </c>
      <c r="K3168" s="139">
        <v>171400</v>
      </c>
    </row>
    <row r="3169" spans="1:11">
      <c r="A3169" s="1" t="str">
        <f t="shared" si="49"/>
        <v>50100-904755796-961500222217330</v>
      </c>
      <c r="B3169" s="136" t="s">
        <v>6106</v>
      </c>
      <c r="C3169" s="136" t="s">
        <v>9330</v>
      </c>
      <c r="D3169" s="132" t="s">
        <v>4971</v>
      </c>
      <c r="E3169" s="136" t="s">
        <v>5848</v>
      </c>
      <c r="F3169" s="136" t="s">
        <v>5848</v>
      </c>
      <c r="G3169" s="136" t="s">
        <v>5813</v>
      </c>
      <c r="H3169" s="138" t="s">
        <v>6298</v>
      </c>
      <c r="I3169" s="136">
        <v>961500222</v>
      </c>
      <c r="J3169" s="131" t="s">
        <v>5912</v>
      </c>
      <c r="K3169" s="139">
        <v>217330</v>
      </c>
    </row>
    <row r="3170" spans="1:11">
      <c r="A3170" s="1" t="str">
        <f t="shared" si="49"/>
        <v>50100-903667696-961500035126350</v>
      </c>
      <c r="B3170" s="136" t="s">
        <v>6104</v>
      </c>
      <c r="C3170" s="136" t="s">
        <v>9328</v>
      </c>
      <c r="D3170" s="132" t="s">
        <v>4971</v>
      </c>
      <c r="E3170" s="136" t="s">
        <v>5600</v>
      </c>
      <c r="F3170" s="141" t="s">
        <v>5600</v>
      </c>
      <c r="G3170" s="141" t="s">
        <v>5772</v>
      </c>
      <c r="H3170" s="140" t="s">
        <v>6454</v>
      </c>
      <c r="I3170" s="141">
        <v>961500035</v>
      </c>
      <c r="J3170" s="131" t="s">
        <v>5440</v>
      </c>
      <c r="K3170" s="142">
        <v>126350</v>
      </c>
    </row>
    <row r="3171" spans="1:11">
      <c r="A3171" s="1" t="str">
        <f t="shared" si="49"/>
        <v>50100-904755796-961500140194580</v>
      </c>
      <c r="B3171" s="136" t="s">
        <v>6106</v>
      </c>
      <c r="C3171" s="136" t="s">
        <v>9330</v>
      </c>
      <c r="D3171" s="132" t="s">
        <v>4971</v>
      </c>
      <c r="E3171" s="136" t="s">
        <v>5848</v>
      </c>
      <c r="F3171" s="136" t="s">
        <v>5848</v>
      </c>
      <c r="G3171" s="136" t="s">
        <v>5793</v>
      </c>
      <c r="H3171" s="138" t="s">
        <v>6454</v>
      </c>
      <c r="I3171" s="136">
        <v>961500140</v>
      </c>
      <c r="J3171" s="131" t="s">
        <v>5870</v>
      </c>
      <c r="K3171" s="139">
        <v>194580</v>
      </c>
    </row>
    <row r="3172" spans="1:11">
      <c r="A3172" s="1" t="str">
        <f t="shared" si="49"/>
        <v>50100-899912996-9641000383998172</v>
      </c>
      <c r="B3172" s="136" t="s">
        <v>6107</v>
      </c>
      <c r="C3172" s="136" t="s">
        <v>9331</v>
      </c>
      <c r="D3172" s="132" t="s">
        <v>4971</v>
      </c>
      <c r="E3172" s="136" t="s">
        <v>5832</v>
      </c>
      <c r="F3172" s="136" t="s">
        <v>5832</v>
      </c>
      <c r="G3172" s="136" t="s">
        <v>5834</v>
      </c>
      <c r="H3172" s="138" t="s">
        <v>6452</v>
      </c>
      <c r="I3172" s="136">
        <v>964100038</v>
      </c>
      <c r="J3172" s="131" t="s">
        <v>5973</v>
      </c>
      <c r="K3172" s="139">
        <v>3998172</v>
      </c>
    </row>
    <row r="3173" spans="1:11">
      <c r="A3173" s="1" t="str">
        <f t="shared" si="49"/>
        <v>50100-904755796-96150011680000</v>
      </c>
      <c r="B3173" s="136" t="s">
        <v>6106</v>
      </c>
      <c r="C3173" s="136" t="s">
        <v>9330</v>
      </c>
      <c r="D3173" s="132" t="s">
        <v>4971</v>
      </c>
      <c r="E3173" s="136" t="s">
        <v>5848</v>
      </c>
      <c r="F3173" s="136" t="s">
        <v>5848</v>
      </c>
      <c r="G3173" s="136" t="s">
        <v>5793</v>
      </c>
      <c r="H3173" s="138" t="s">
        <v>6454</v>
      </c>
      <c r="I3173" s="136">
        <v>961500116</v>
      </c>
      <c r="J3173" s="131" t="s">
        <v>5492</v>
      </c>
      <c r="K3173" s="139">
        <v>80000</v>
      </c>
    </row>
    <row r="3174" spans="1:11">
      <c r="A3174" s="1" t="str">
        <f t="shared" si="49"/>
        <v>50100-904755796-961500120198580</v>
      </c>
      <c r="B3174" s="136" t="s">
        <v>6106</v>
      </c>
      <c r="C3174" s="136" t="s">
        <v>9330</v>
      </c>
      <c r="D3174" s="132" t="s">
        <v>4971</v>
      </c>
      <c r="E3174" s="136" t="s">
        <v>5848</v>
      </c>
      <c r="F3174" s="136" t="s">
        <v>5848</v>
      </c>
      <c r="G3174" s="136" t="s">
        <v>5793</v>
      </c>
      <c r="H3174" s="138" t="s">
        <v>6454</v>
      </c>
      <c r="I3174" s="136">
        <v>961500120</v>
      </c>
      <c r="J3174" s="131" t="s">
        <v>5865</v>
      </c>
      <c r="K3174" s="139">
        <v>198580</v>
      </c>
    </row>
    <row r="3175" spans="1:11">
      <c r="A3175" s="1" t="str">
        <f t="shared" si="49"/>
        <v>50100-904755796-961500141299460</v>
      </c>
      <c r="B3175" s="136" t="s">
        <v>6106</v>
      </c>
      <c r="C3175" s="136" t="s">
        <v>9330</v>
      </c>
      <c r="D3175" s="132" t="s">
        <v>4971</v>
      </c>
      <c r="E3175" s="136" t="s">
        <v>5848</v>
      </c>
      <c r="F3175" s="136" t="s">
        <v>5848</v>
      </c>
      <c r="G3175" s="136" t="s">
        <v>5793</v>
      </c>
      <c r="H3175" s="138" t="s">
        <v>6454</v>
      </c>
      <c r="I3175" s="136">
        <v>961500141</v>
      </c>
      <c r="J3175" s="131" t="s">
        <v>5871</v>
      </c>
      <c r="K3175" s="139">
        <v>299460</v>
      </c>
    </row>
    <row r="3176" spans="1:11">
      <c r="A3176" s="1" t="str">
        <f t="shared" si="49"/>
        <v>50100-902707996-962500038499179</v>
      </c>
      <c r="B3176" s="136" t="s">
        <v>6108</v>
      </c>
      <c r="C3176" s="136" t="s">
        <v>9332</v>
      </c>
      <c r="D3176" s="132" t="s">
        <v>4971</v>
      </c>
      <c r="E3176" s="136" t="s">
        <v>5840</v>
      </c>
      <c r="F3176" s="136" t="s">
        <v>5840</v>
      </c>
      <c r="G3176" s="141" t="s">
        <v>5780</v>
      </c>
      <c r="H3176" s="140" t="s">
        <v>6452</v>
      </c>
      <c r="I3176" s="141">
        <v>962500038</v>
      </c>
      <c r="J3176" s="131" t="s">
        <v>5965</v>
      </c>
      <c r="K3176" s="139">
        <v>499179</v>
      </c>
    </row>
    <row r="3177" spans="1:11">
      <c r="A3177" s="1" t="str">
        <f t="shared" si="49"/>
        <v>50100-898472396-96150007514600</v>
      </c>
      <c r="B3177" s="136" t="s">
        <v>6109</v>
      </c>
      <c r="C3177" s="136" t="s">
        <v>9333</v>
      </c>
      <c r="D3177" s="132" t="s">
        <v>4971</v>
      </c>
      <c r="E3177" s="136" t="s">
        <v>5828</v>
      </c>
      <c r="F3177" s="136" t="s">
        <v>5828</v>
      </c>
      <c r="G3177" s="136" t="s">
        <v>5762</v>
      </c>
      <c r="H3177" s="138" t="s">
        <v>6298</v>
      </c>
      <c r="I3177" s="136">
        <v>961500075</v>
      </c>
      <c r="J3177" s="131" t="s">
        <v>5180</v>
      </c>
      <c r="K3177" s="139">
        <v>14600</v>
      </c>
    </row>
    <row r="3178" spans="1:11">
      <c r="A3178" s="1" t="str">
        <f t="shared" si="49"/>
        <v>50100-898472396-96150012515740</v>
      </c>
      <c r="B3178" s="136" t="s">
        <v>6109</v>
      </c>
      <c r="C3178" s="136" t="s">
        <v>9333</v>
      </c>
      <c r="D3178" s="132" t="s">
        <v>4971</v>
      </c>
      <c r="E3178" s="136" t="s">
        <v>5828</v>
      </c>
      <c r="F3178" s="136" t="s">
        <v>5828</v>
      </c>
      <c r="G3178" s="136" t="s">
        <v>5799</v>
      </c>
      <c r="H3178" s="138" t="s">
        <v>6298</v>
      </c>
      <c r="I3178" s="136">
        <v>961500125</v>
      </c>
      <c r="J3178" s="131" t="s">
        <v>5866</v>
      </c>
      <c r="K3178" s="139">
        <v>15740</v>
      </c>
    </row>
    <row r="3179" spans="1:11">
      <c r="A3179" s="1" t="str">
        <f t="shared" si="49"/>
        <v>50100-903162096-964100041244208</v>
      </c>
      <c r="B3179" s="136" t="s">
        <v>6110</v>
      </c>
      <c r="C3179" s="136" t="s">
        <v>9334</v>
      </c>
      <c r="D3179" s="132" t="s">
        <v>4971</v>
      </c>
      <c r="E3179" s="136" t="s">
        <v>5843</v>
      </c>
      <c r="F3179" s="136" t="s">
        <v>5843</v>
      </c>
      <c r="G3179" s="136" t="s">
        <v>5844</v>
      </c>
      <c r="H3179" s="138" t="s">
        <v>6452</v>
      </c>
      <c r="I3179" s="136">
        <v>964100041</v>
      </c>
      <c r="J3179" s="131" t="s">
        <v>6022</v>
      </c>
      <c r="K3179" s="139">
        <v>244208</v>
      </c>
    </row>
    <row r="3180" spans="1:11">
      <c r="A3180" s="1" t="str">
        <f t="shared" si="49"/>
        <v>50100-903157196-964100042746225</v>
      </c>
      <c r="B3180" s="136" t="s">
        <v>6111</v>
      </c>
      <c r="C3180" s="136" t="s">
        <v>9335</v>
      </c>
      <c r="D3180" s="132" t="s">
        <v>4971</v>
      </c>
      <c r="E3180" s="136" t="s">
        <v>5843</v>
      </c>
      <c r="F3180" s="136" t="s">
        <v>5843</v>
      </c>
      <c r="G3180" s="136" t="s">
        <v>5844</v>
      </c>
      <c r="H3180" s="138" t="s">
        <v>6452</v>
      </c>
      <c r="I3180" s="136">
        <v>964100042</v>
      </c>
      <c r="J3180" s="131" t="s">
        <v>6023</v>
      </c>
      <c r="K3180" s="139">
        <v>746225</v>
      </c>
    </row>
    <row r="3181" spans="1:11">
      <c r="A3181" s="1" t="str">
        <f t="shared" si="49"/>
        <v>50100-900478096-962500034490697</v>
      </c>
      <c r="B3181" s="136" t="s">
        <v>6112</v>
      </c>
      <c r="C3181" s="136" t="s">
        <v>9336</v>
      </c>
      <c r="D3181" s="132" t="s">
        <v>4971</v>
      </c>
      <c r="E3181" s="136" t="s">
        <v>5835</v>
      </c>
      <c r="F3181" s="136" t="s">
        <v>5835</v>
      </c>
      <c r="G3181" s="141" t="s">
        <v>5780</v>
      </c>
      <c r="H3181" s="140" t="s">
        <v>6452</v>
      </c>
      <c r="I3181" s="141">
        <v>962500034</v>
      </c>
      <c r="J3181" s="131" t="s">
        <v>5948</v>
      </c>
      <c r="K3181" s="139">
        <v>490697</v>
      </c>
    </row>
    <row r="3182" spans="1:11">
      <c r="A3182" s="1" t="str">
        <f t="shared" si="49"/>
        <v>50100-898472396-96150009697682</v>
      </c>
      <c r="B3182" s="136" t="s">
        <v>6109</v>
      </c>
      <c r="C3182" s="136" t="s">
        <v>9333</v>
      </c>
      <c r="D3182" s="132" t="s">
        <v>4971</v>
      </c>
      <c r="E3182" s="136" t="s">
        <v>5828</v>
      </c>
      <c r="F3182" s="136" t="s">
        <v>5828</v>
      </c>
      <c r="G3182" s="136" t="s">
        <v>5762</v>
      </c>
      <c r="H3182" s="138" t="s">
        <v>6298</v>
      </c>
      <c r="I3182" s="136">
        <v>961500096</v>
      </c>
      <c r="J3182" s="131" t="s">
        <v>5442</v>
      </c>
      <c r="K3182" s="139">
        <v>97682</v>
      </c>
    </row>
    <row r="3183" spans="1:11">
      <c r="A3183" s="1" t="str">
        <f t="shared" si="49"/>
        <v>50100-899921996-964100039850150</v>
      </c>
      <c r="B3183" s="136" t="s">
        <v>6113</v>
      </c>
      <c r="C3183" s="136" t="s">
        <v>9337</v>
      </c>
      <c r="D3183" s="132" t="s">
        <v>4971</v>
      </c>
      <c r="E3183" s="136" t="s">
        <v>5832</v>
      </c>
      <c r="F3183" s="136" t="s">
        <v>5832</v>
      </c>
      <c r="G3183" s="136" t="s">
        <v>5817</v>
      </c>
      <c r="H3183" s="138" t="s">
        <v>6452</v>
      </c>
      <c r="I3183" s="136">
        <v>964100039</v>
      </c>
      <c r="J3183" s="131" t="s">
        <v>5974</v>
      </c>
      <c r="K3183" s="139">
        <v>850150</v>
      </c>
    </row>
    <row r="3184" spans="1:11">
      <c r="A3184" s="1" t="str">
        <f t="shared" si="49"/>
        <v>50100-898472396-961500101120000</v>
      </c>
      <c r="B3184" s="136" t="s">
        <v>6109</v>
      </c>
      <c r="C3184" s="136" t="s">
        <v>9333</v>
      </c>
      <c r="D3184" s="132" t="s">
        <v>4971</v>
      </c>
      <c r="E3184" s="136" t="s">
        <v>5828</v>
      </c>
      <c r="F3184" s="136" t="s">
        <v>5828</v>
      </c>
      <c r="G3184" s="136" t="s">
        <v>5799</v>
      </c>
      <c r="H3184" s="138" t="s">
        <v>6298</v>
      </c>
      <c r="I3184" s="136">
        <v>961500101</v>
      </c>
      <c r="J3184" s="131" t="s">
        <v>5863</v>
      </c>
      <c r="K3184" s="139">
        <v>120000</v>
      </c>
    </row>
    <row r="3185" spans="1:11">
      <c r="A3185" s="1" t="str">
        <f t="shared" si="49"/>
        <v>50100-898472396-96150009879564</v>
      </c>
      <c r="B3185" s="136" t="s">
        <v>6109</v>
      </c>
      <c r="C3185" s="136" t="s">
        <v>9333</v>
      </c>
      <c r="D3185" s="132" t="s">
        <v>4971</v>
      </c>
      <c r="E3185" s="136" t="s">
        <v>5828</v>
      </c>
      <c r="F3185" s="136" t="s">
        <v>5828</v>
      </c>
      <c r="G3185" s="136" t="s">
        <v>5762</v>
      </c>
      <c r="H3185" s="138" t="s">
        <v>6298</v>
      </c>
      <c r="I3185" s="136">
        <v>961500098</v>
      </c>
      <c r="J3185" s="131" t="s">
        <v>5284</v>
      </c>
      <c r="K3185" s="139">
        <v>79564</v>
      </c>
    </row>
    <row r="3186" spans="1:11">
      <c r="A3186" s="1" t="str">
        <f t="shared" si="49"/>
        <v>50100-899156996-961500148298740</v>
      </c>
      <c r="B3186" s="136" t="s">
        <v>6114</v>
      </c>
      <c r="C3186" s="136" t="s">
        <v>9338</v>
      </c>
      <c r="D3186" s="132" t="s">
        <v>4971</v>
      </c>
      <c r="E3186" s="136" t="s">
        <v>5830</v>
      </c>
      <c r="F3186" s="136" t="s">
        <v>5830</v>
      </c>
      <c r="G3186" s="136" t="s">
        <v>5799</v>
      </c>
      <c r="H3186" s="138" t="s">
        <v>6298</v>
      </c>
      <c r="I3186" s="136">
        <v>961500148</v>
      </c>
      <c r="J3186" s="131" t="s">
        <v>5875</v>
      </c>
      <c r="K3186" s="139">
        <v>298740</v>
      </c>
    </row>
    <row r="3187" spans="1:11">
      <c r="A3187" s="1" t="str">
        <f t="shared" si="49"/>
        <v>50100-901204196-961500115301996</v>
      </c>
      <c r="B3187" s="136" t="s">
        <v>6115</v>
      </c>
      <c r="C3187" s="136" t="s">
        <v>9339</v>
      </c>
      <c r="D3187" s="132" t="s">
        <v>4971</v>
      </c>
      <c r="E3187" s="136" t="s">
        <v>5496</v>
      </c>
      <c r="F3187" s="136" t="s">
        <v>5496</v>
      </c>
      <c r="G3187" s="136" t="s">
        <v>5762</v>
      </c>
      <c r="H3187" s="138" t="s">
        <v>6298</v>
      </c>
      <c r="I3187" s="136">
        <v>961500115</v>
      </c>
      <c r="J3187" s="131" t="s">
        <v>5864</v>
      </c>
      <c r="K3187" s="139">
        <v>301996</v>
      </c>
    </row>
    <row r="3188" spans="1:11">
      <c r="A3188" s="1" t="str">
        <f t="shared" si="49"/>
        <v>50100-899156996-961500135168560</v>
      </c>
      <c r="B3188" s="136" t="s">
        <v>6114</v>
      </c>
      <c r="C3188" s="136" t="s">
        <v>9338</v>
      </c>
      <c r="D3188" s="132" t="s">
        <v>4971</v>
      </c>
      <c r="E3188" s="136" t="s">
        <v>5830</v>
      </c>
      <c r="F3188" s="136" t="s">
        <v>5830</v>
      </c>
      <c r="G3188" s="136" t="s">
        <v>5799</v>
      </c>
      <c r="H3188" s="138" t="s">
        <v>6298</v>
      </c>
      <c r="I3188" s="136">
        <v>961500135</v>
      </c>
      <c r="J3188" s="131" t="s">
        <v>5869</v>
      </c>
      <c r="K3188" s="139">
        <v>168560</v>
      </c>
    </row>
    <row r="3189" spans="1:11">
      <c r="A3189" s="1" t="str">
        <f t="shared" si="49"/>
        <v>50100-899156996-9615001535054</v>
      </c>
      <c r="B3189" s="136" t="s">
        <v>6114</v>
      </c>
      <c r="C3189" s="136" t="s">
        <v>9338</v>
      </c>
      <c r="D3189" s="132" t="s">
        <v>4971</v>
      </c>
      <c r="E3189" s="136" t="s">
        <v>5830</v>
      </c>
      <c r="F3189" s="136" t="s">
        <v>5830</v>
      </c>
      <c r="G3189" s="136" t="s">
        <v>5799</v>
      </c>
      <c r="H3189" s="138" t="s">
        <v>6298</v>
      </c>
      <c r="I3189" s="136">
        <v>961500153</v>
      </c>
      <c r="J3189" s="131" t="s">
        <v>5876</v>
      </c>
      <c r="K3189" s="139">
        <v>5054</v>
      </c>
    </row>
    <row r="3190" spans="1:11">
      <c r="A3190" s="1" t="str">
        <f t="shared" si="49"/>
        <v>50100-899156996-961500146150000</v>
      </c>
      <c r="B3190" s="136" t="s">
        <v>6114</v>
      </c>
      <c r="C3190" s="136" t="s">
        <v>9338</v>
      </c>
      <c r="D3190" s="132" t="s">
        <v>4971</v>
      </c>
      <c r="E3190" s="136" t="s">
        <v>5830</v>
      </c>
      <c r="F3190" s="136" t="s">
        <v>5830</v>
      </c>
      <c r="G3190" s="136" t="s">
        <v>5799</v>
      </c>
      <c r="H3190" s="138" t="s">
        <v>6298</v>
      </c>
      <c r="I3190" s="136">
        <v>961500146</v>
      </c>
      <c r="J3190" s="131" t="s">
        <v>5874</v>
      </c>
      <c r="K3190" s="139">
        <v>150000</v>
      </c>
    </row>
    <row r="3191" spans="1:11">
      <c r="A3191" s="1" t="str">
        <f t="shared" si="49"/>
        <v>50100-899156996-96150013377191</v>
      </c>
      <c r="B3191" s="136" t="s">
        <v>6114</v>
      </c>
      <c r="C3191" s="136" t="s">
        <v>9338</v>
      </c>
      <c r="D3191" s="132" t="s">
        <v>4971</v>
      </c>
      <c r="E3191" s="136" t="s">
        <v>5830</v>
      </c>
      <c r="F3191" s="136" t="s">
        <v>5830</v>
      </c>
      <c r="G3191" s="136" t="s">
        <v>5799</v>
      </c>
      <c r="H3191" s="138" t="s">
        <v>6298</v>
      </c>
      <c r="I3191" s="136">
        <v>961500133</v>
      </c>
      <c r="J3191" s="131" t="s">
        <v>5868</v>
      </c>
      <c r="K3191" s="139">
        <v>77191</v>
      </c>
    </row>
    <row r="3192" spans="1:11">
      <c r="A3192" s="1" t="str">
        <f t="shared" si="49"/>
        <v>50100-900507196-96150015382156</v>
      </c>
      <c r="B3192" s="136" t="s">
        <v>6116</v>
      </c>
      <c r="C3192" s="136" t="s">
        <v>9340</v>
      </c>
      <c r="D3192" s="132" t="s">
        <v>4971</v>
      </c>
      <c r="E3192" s="136" t="s">
        <v>5835</v>
      </c>
      <c r="F3192" s="136" t="s">
        <v>5835</v>
      </c>
      <c r="G3192" s="136" t="s">
        <v>5799</v>
      </c>
      <c r="H3192" s="138" t="s">
        <v>6298</v>
      </c>
      <c r="I3192" s="136">
        <v>961500153</v>
      </c>
      <c r="J3192" s="131" t="s">
        <v>5876</v>
      </c>
      <c r="K3192" s="139">
        <v>82156</v>
      </c>
    </row>
    <row r="3193" spans="1:11">
      <c r="A3193" s="1" t="str">
        <f t="shared" si="49"/>
        <v>50100-900507196-961500154250000</v>
      </c>
      <c r="B3193" s="136" t="s">
        <v>6116</v>
      </c>
      <c r="C3193" s="136" t="s">
        <v>9340</v>
      </c>
      <c r="D3193" s="132" t="s">
        <v>4971</v>
      </c>
      <c r="E3193" s="136" t="s">
        <v>5835</v>
      </c>
      <c r="F3193" s="136" t="s">
        <v>5835</v>
      </c>
      <c r="G3193" s="136" t="s">
        <v>5810</v>
      </c>
      <c r="H3193" s="138" t="s">
        <v>6298</v>
      </c>
      <c r="I3193" s="136">
        <v>961500154</v>
      </c>
      <c r="J3193" s="131" t="s">
        <v>5877</v>
      </c>
      <c r="K3193" s="139">
        <v>250000</v>
      </c>
    </row>
    <row r="3194" spans="1:11">
      <c r="A3194" s="1" t="str">
        <f t="shared" si="49"/>
        <v>50100-900507196-961500115167244</v>
      </c>
      <c r="B3194" s="136" t="s">
        <v>6116</v>
      </c>
      <c r="C3194" s="136" t="s">
        <v>9340</v>
      </c>
      <c r="D3194" s="132" t="s">
        <v>4971</v>
      </c>
      <c r="E3194" s="136" t="s">
        <v>5835</v>
      </c>
      <c r="F3194" s="136" t="s">
        <v>5835</v>
      </c>
      <c r="G3194" s="136" t="s">
        <v>5762</v>
      </c>
      <c r="H3194" s="138" t="s">
        <v>6298</v>
      </c>
      <c r="I3194" s="136">
        <v>961500115</v>
      </c>
      <c r="J3194" s="131" t="s">
        <v>5864</v>
      </c>
      <c r="K3194" s="139">
        <v>167244</v>
      </c>
    </row>
    <row r="3195" spans="1:11">
      <c r="A3195" s="1" t="str">
        <f t="shared" si="49"/>
        <v>50100-899935396-964100039226956</v>
      </c>
      <c r="B3195" s="136" t="s">
        <v>6117</v>
      </c>
      <c r="C3195" s="136" t="s">
        <v>9341</v>
      </c>
      <c r="D3195" s="132" t="s">
        <v>4971</v>
      </c>
      <c r="E3195" s="136" t="s">
        <v>5832</v>
      </c>
      <c r="F3195" s="136" t="s">
        <v>5832</v>
      </c>
      <c r="G3195" s="136" t="s">
        <v>5817</v>
      </c>
      <c r="H3195" s="138" t="s">
        <v>6452</v>
      </c>
      <c r="I3195" s="136">
        <v>964100039</v>
      </c>
      <c r="J3195" s="131" t="s">
        <v>5974</v>
      </c>
      <c r="K3195" s="139">
        <v>226956</v>
      </c>
    </row>
    <row r="3196" spans="1:11">
      <c r="A3196" s="1" t="str">
        <f t="shared" si="49"/>
        <v>50100-898472396-961500133172089</v>
      </c>
      <c r="B3196" s="136" t="s">
        <v>6109</v>
      </c>
      <c r="C3196" s="136" t="s">
        <v>9333</v>
      </c>
      <c r="D3196" s="132" t="s">
        <v>4971</v>
      </c>
      <c r="E3196" s="136" t="s">
        <v>5828</v>
      </c>
      <c r="F3196" s="136" t="s">
        <v>5828</v>
      </c>
      <c r="G3196" s="136" t="s">
        <v>5799</v>
      </c>
      <c r="H3196" s="138" t="s">
        <v>6298</v>
      </c>
      <c r="I3196" s="136">
        <v>961500133</v>
      </c>
      <c r="J3196" s="131" t="s">
        <v>5868</v>
      </c>
      <c r="K3196" s="139">
        <v>172089</v>
      </c>
    </row>
    <row r="3197" spans="1:11">
      <c r="A3197" s="1" t="str">
        <f t="shared" si="49"/>
        <v>50100-903179796-962500043978248</v>
      </c>
      <c r="B3197" s="136" t="s">
        <v>6118</v>
      </c>
      <c r="C3197" s="136" t="s">
        <v>9342</v>
      </c>
      <c r="D3197" s="132" t="s">
        <v>4971</v>
      </c>
      <c r="E3197" s="136" t="s">
        <v>5843</v>
      </c>
      <c r="F3197" s="136" t="s">
        <v>5843</v>
      </c>
      <c r="G3197" s="136" t="s">
        <v>5836</v>
      </c>
      <c r="H3197" s="138" t="s">
        <v>6300</v>
      </c>
      <c r="I3197" s="136">
        <v>962500043</v>
      </c>
      <c r="J3197" s="131" t="s">
        <v>5981</v>
      </c>
      <c r="K3197" s="139">
        <v>978248</v>
      </c>
    </row>
    <row r="3198" spans="1:11">
      <c r="A3198" s="1" t="str">
        <f t="shared" si="49"/>
        <v>50100-900517496-96150003729760</v>
      </c>
      <c r="B3198" s="136" t="s">
        <v>6119</v>
      </c>
      <c r="C3198" s="136" t="s">
        <v>9343</v>
      </c>
      <c r="D3198" s="132" t="s">
        <v>4971</v>
      </c>
      <c r="E3198" s="136" t="s">
        <v>5835</v>
      </c>
      <c r="F3198" s="136" t="s">
        <v>5835</v>
      </c>
      <c r="G3198" s="136" t="s">
        <v>5758</v>
      </c>
      <c r="H3198" s="138" t="s">
        <v>6298</v>
      </c>
      <c r="I3198" s="136">
        <v>961500037</v>
      </c>
      <c r="J3198" s="131" t="s">
        <v>5454</v>
      </c>
      <c r="K3198" s="139">
        <v>29760</v>
      </c>
    </row>
    <row r="3199" spans="1:11">
      <c r="A3199" s="1" t="str">
        <f t="shared" si="49"/>
        <v>50100-903787196-96150021399580</v>
      </c>
      <c r="B3199" s="136" t="s">
        <v>6120</v>
      </c>
      <c r="C3199" s="136" t="s">
        <v>9344</v>
      </c>
      <c r="D3199" s="132" t="s">
        <v>4971</v>
      </c>
      <c r="E3199" s="136" t="s">
        <v>5600</v>
      </c>
      <c r="F3199" s="136" t="s">
        <v>5600</v>
      </c>
      <c r="G3199" s="136" t="s">
        <v>5813</v>
      </c>
      <c r="H3199" s="138" t="s">
        <v>6298</v>
      </c>
      <c r="I3199" s="136">
        <v>961500213</v>
      </c>
      <c r="J3199" s="131" t="s">
        <v>5904</v>
      </c>
      <c r="K3199" s="139">
        <v>99580</v>
      </c>
    </row>
    <row r="3200" spans="1:11">
      <c r="A3200" s="1" t="str">
        <f t="shared" si="49"/>
        <v>50100-903789896-96150025690000</v>
      </c>
      <c r="B3200" s="136" t="s">
        <v>6121</v>
      </c>
      <c r="C3200" s="136" t="s">
        <v>9345</v>
      </c>
      <c r="D3200" s="132" t="s">
        <v>4971</v>
      </c>
      <c r="E3200" s="136" t="s">
        <v>5849</v>
      </c>
      <c r="F3200" s="136" t="s">
        <v>5600</v>
      </c>
      <c r="G3200" s="136" t="s">
        <v>5807</v>
      </c>
      <c r="H3200" s="138" t="s">
        <v>6300</v>
      </c>
      <c r="I3200" s="136">
        <v>961500256</v>
      </c>
      <c r="J3200" s="131" t="s">
        <v>5945</v>
      </c>
      <c r="K3200" s="139">
        <v>90000</v>
      </c>
    </row>
    <row r="3201" spans="1:11">
      <c r="A3201" s="1" t="str">
        <f t="shared" si="49"/>
        <v>50100-900517496-961500153130240</v>
      </c>
      <c r="B3201" s="136" t="s">
        <v>6119</v>
      </c>
      <c r="C3201" s="136" t="s">
        <v>9343</v>
      </c>
      <c r="D3201" s="132" t="s">
        <v>4971</v>
      </c>
      <c r="E3201" s="136" t="s">
        <v>5835</v>
      </c>
      <c r="F3201" s="136" t="s">
        <v>5835</v>
      </c>
      <c r="G3201" s="136" t="s">
        <v>5799</v>
      </c>
      <c r="H3201" s="138" t="s">
        <v>6298</v>
      </c>
      <c r="I3201" s="136">
        <v>961500153</v>
      </c>
      <c r="J3201" s="131" t="s">
        <v>5876</v>
      </c>
      <c r="K3201" s="139">
        <v>130240</v>
      </c>
    </row>
    <row r="3202" spans="1:11">
      <c r="A3202" s="1" t="str">
        <f t="shared" si="49"/>
        <v>50100-902724796-961500190200000</v>
      </c>
      <c r="B3202" s="136" t="s">
        <v>6122</v>
      </c>
      <c r="C3202" s="136" t="s">
        <v>9346</v>
      </c>
      <c r="D3202" s="132" t="s">
        <v>4971</v>
      </c>
      <c r="E3202" s="136" t="s">
        <v>5840</v>
      </c>
      <c r="F3202" s="136" t="s">
        <v>5840</v>
      </c>
      <c r="G3202" s="136" t="s">
        <v>5813</v>
      </c>
      <c r="H3202" s="138" t="s">
        <v>6298</v>
      </c>
      <c r="I3202" s="136">
        <v>961500190</v>
      </c>
      <c r="J3202" s="131" t="s">
        <v>5892</v>
      </c>
      <c r="K3202" s="139">
        <v>200000</v>
      </c>
    </row>
    <row r="3203" spans="1:11">
      <c r="A3203" s="1" t="str">
        <f t="shared" ref="A3203:A3266" si="50">B3203&amp;J3203&amp;K3203</f>
        <v>50100-902724796-96150017660296</v>
      </c>
      <c r="B3203" s="136" t="s">
        <v>6122</v>
      </c>
      <c r="C3203" s="136" t="s">
        <v>9346</v>
      </c>
      <c r="D3203" s="132" t="s">
        <v>4971</v>
      </c>
      <c r="E3203" s="136" t="s">
        <v>5840</v>
      </c>
      <c r="F3203" s="136" t="s">
        <v>5840</v>
      </c>
      <c r="G3203" s="136" t="s">
        <v>5810</v>
      </c>
      <c r="H3203" s="138" t="s">
        <v>6298</v>
      </c>
      <c r="I3203" s="136">
        <v>961500176</v>
      </c>
      <c r="J3203" s="131" t="s">
        <v>5887</v>
      </c>
      <c r="K3203" s="139">
        <v>60296</v>
      </c>
    </row>
    <row r="3204" spans="1:11">
      <c r="A3204" s="1" t="str">
        <f t="shared" si="50"/>
        <v>50100-901204196-961500176189704</v>
      </c>
      <c r="B3204" s="136" t="s">
        <v>6115</v>
      </c>
      <c r="C3204" s="136" t="s">
        <v>9339</v>
      </c>
      <c r="D3204" s="132" t="s">
        <v>4971</v>
      </c>
      <c r="E3204" s="136" t="s">
        <v>5496</v>
      </c>
      <c r="F3204" s="136" t="s">
        <v>5496</v>
      </c>
      <c r="G3204" s="136" t="s">
        <v>5810</v>
      </c>
      <c r="H3204" s="138" t="s">
        <v>6298</v>
      </c>
      <c r="I3204" s="136">
        <v>961500176</v>
      </c>
      <c r="J3204" s="131" t="s">
        <v>5887</v>
      </c>
      <c r="K3204" s="139">
        <v>189704</v>
      </c>
    </row>
    <row r="3205" spans="1:11">
      <c r="A3205" s="1" t="str">
        <f t="shared" si="50"/>
        <v>50100-902724796-962500031228669</v>
      </c>
      <c r="B3205" s="136" t="s">
        <v>6122</v>
      </c>
      <c r="C3205" s="136" t="s">
        <v>9346</v>
      </c>
      <c r="D3205" s="132" t="s">
        <v>4971</v>
      </c>
      <c r="E3205" s="136" t="s">
        <v>5840</v>
      </c>
      <c r="F3205" s="136" t="s">
        <v>5840</v>
      </c>
      <c r="G3205" s="136" t="s">
        <v>5810</v>
      </c>
      <c r="H3205" s="138" t="s">
        <v>6298</v>
      </c>
      <c r="I3205" s="136">
        <v>962500031</v>
      </c>
      <c r="J3205" s="131" t="s">
        <v>5886</v>
      </c>
      <c r="K3205" s="139">
        <v>228669</v>
      </c>
    </row>
    <row r="3206" spans="1:11">
      <c r="A3206" s="1" t="str">
        <f t="shared" si="50"/>
        <v>50100-903787196-962500031398170</v>
      </c>
      <c r="B3206" s="136" t="s">
        <v>6120</v>
      </c>
      <c r="C3206" s="136" t="s">
        <v>9344</v>
      </c>
      <c r="D3206" s="132" t="s">
        <v>4971</v>
      </c>
      <c r="E3206" s="136" t="s">
        <v>5600</v>
      </c>
      <c r="F3206" s="136" t="s">
        <v>5600</v>
      </c>
      <c r="G3206" s="136" t="s">
        <v>5810</v>
      </c>
      <c r="H3206" s="138" t="s">
        <v>6298</v>
      </c>
      <c r="I3206" s="136">
        <v>962500031</v>
      </c>
      <c r="J3206" s="131" t="s">
        <v>5886</v>
      </c>
      <c r="K3206" s="139">
        <v>398170</v>
      </c>
    </row>
    <row r="3207" spans="1:11">
      <c r="A3207" s="1" t="str">
        <f t="shared" si="50"/>
        <v>50100-903789896-96250004321281</v>
      </c>
      <c r="B3207" s="136" t="s">
        <v>6121</v>
      </c>
      <c r="C3207" s="136" t="s">
        <v>9345</v>
      </c>
      <c r="D3207" s="132" t="s">
        <v>4971</v>
      </c>
      <c r="E3207" s="136" t="s">
        <v>5849</v>
      </c>
      <c r="F3207" s="136" t="s">
        <v>5600</v>
      </c>
      <c r="G3207" s="136" t="s">
        <v>5836</v>
      </c>
      <c r="H3207" s="138" t="s">
        <v>6300</v>
      </c>
      <c r="I3207" s="136">
        <v>962500043</v>
      </c>
      <c r="J3207" s="131" t="s">
        <v>5981</v>
      </c>
      <c r="K3207" s="139">
        <v>21281</v>
      </c>
    </row>
    <row r="3208" spans="1:11">
      <c r="A3208" s="1" t="str">
        <f t="shared" si="50"/>
        <v>50100-901779196-961500088292293</v>
      </c>
      <c r="B3208" s="136" t="s">
        <v>6123</v>
      </c>
      <c r="C3208" s="136" t="s">
        <v>9347</v>
      </c>
      <c r="D3208" s="132" t="s">
        <v>4971</v>
      </c>
      <c r="E3208" s="136" t="s">
        <v>5839</v>
      </c>
      <c r="F3208" s="136" t="s">
        <v>5839</v>
      </c>
      <c r="G3208" s="136" t="s">
        <v>5789</v>
      </c>
      <c r="H3208" s="138" t="s">
        <v>6300</v>
      </c>
      <c r="I3208" s="136">
        <v>961500088</v>
      </c>
      <c r="J3208" s="131" t="s">
        <v>5862</v>
      </c>
      <c r="K3208" s="139">
        <v>292293</v>
      </c>
    </row>
    <row r="3209" spans="1:11">
      <c r="A3209" s="1" t="str">
        <f t="shared" si="50"/>
        <v>50100-904589996-962500051252979</v>
      </c>
      <c r="B3209" s="136" t="s">
        <v>6124</v>
      </c>
      <c r="C3209" s="136" t="s">
        <v>9348</v>
      </c>
      <c r="D3209" s="132" t="s">
        <v>4971</v>
      </c>
      <c r="E3209" s="136" t="s">
        <v>5849</v>
      </c>
      <c r="F3209" s="136" t="s">
        <v>5849</v>
      </c>
      <c r="G3209" s="136" t="s">
        <v>5842</v>
      </c>
      <c r="H3209" s="138" t="s">
        <v>6300</v>
      </c>
      <c r="I3209" s="136">
        <v>962500051</v>
      </c>
      <c r="J3209" s="131" t="s">
        <v>6008</v>
      </c>
      <c r="K3209" s="139">
        <v>252979</v>
      </c>
    </row>
    <row r="3210" spans="1:11">
      <c r="A3210" s="1" t="str">
        <f t="shared" si="50"/>
        <v>50100-903146896-9641000402490827</v>
      </c>
      <c r="B3210" s="136" t="s">
        <v>6125</v>
      </c>
      <c r="C3210" s="136" t="s">
        <v>9349</v>
      </c>
      <c r="D3210" s="132" t="s">
        <v>4971</v>
      </c>
      <c r="E3210" s="136" t="s">
        <v>5843</v>
      </c>
      <c r="F3210" s="136" t="s">
        <v>5843</v>
      </c>
      <c r="G3210" s="136" t="s">
        <v>5844</v>
      </c>
      <c r="H3210" s="138" t="s">
        <v>6452</v>
      </c>
      <c r="I3210" s="136">
        <v>964100040</v>
      </c>
      <c r="J3210" s="131" t="s">
        <v>6013</v>
      </c>
      <c r="K3210" s="139">
        <v>2490827</v>
      </c>
    </row>
    <row r="3211" spans="1:11">
      <c r="A3211" s="1" t="str">
        <f t="shared" si="50"/>
        <v>50100-903789896-962500051121708</v>
      </c>
      <c r="B3211" s="136" t="s">
        <v>6121</v>
      </c>
      <c r="C3211" s="136" t="s">
        <v>9345</v>
      </c>
      <c r="D3211" s="132" t="s">
        <v>4971</v>
      </c>
      <c r="E3211" s="136" t="s">
        <v>5849</v>
      </c>
      <c r="F3211" s="136" t="s">
        <v>5600</v>
      </c>
      <c r="G3211" s="136" t="s">
        <v>5842</v>
      </c>
      <c r="H3211" s="138" t="s">
        <v>6300</v>
      </c>
      <c r="I3211" s="136">
        <v>962500051</v>
      </c>
      <c r="J3211" s="131" t="s">
        <v>6008</v>
      </c>
      <c r="K3211" s="139">
        <v>121708</v>
      </c>
    </row>
    <row r="3212" spans="1:11">
      <c r="A3212" s="1" t="str">
        <f t="shared" si="50"/>
        <v>50100-901779196-961500070208387</v>
      </c>
      <c r="B3212" s="136" t="s">
        <v>6123</v>
      </c>
      <c r="C3212" s="136" t="s">
        <v>9347</v>
      </c>
      <c r="D3212" s="132" t="s">
        <v>4971</v>
      </c>
      <c r="E3212" s="136" t="s">
        <v>5839</v>
      </c>
      <c r="F3212" s="136" t="s">
        <v>5839</v>
      </c>
      <c r="G3212" s="136" t="s">
        <v>5789</v>
      </c>
      <c r="H3212" s="138" t="s">
        <v>6300</v>
      </c>
      <c r="I3212" s="136">
        <v>961500070</v>
      </c>
      <c r="J3212" s="131" t="s">
        <v>5205</v>
      </c>
      <c r="K3212" s="139">
        <v>208387</v>
      </c>
    </row>
    <row r="3213" spans="1:11">
      <c r="A3213" s="1" t="str">
        <f t="shared" si="50"/>
        <v>15100-43537996-961500033536180</v>
      </c>
      <c r="B3213" s="136" t="s">
        <v>6127</v>
      </c>
      <c r="C3213" s="136" t="s">
        <v>9351</v>
      </c>
      <c r="D3213" s="132" t="s">
        <v>4971</v>
      </c>
      <c r="E3213" s="136" t="s">
        <v>5418</v>
      </c>
      <c r="F3213" s="136" t="s">
        <v>5418</v>
      </c>
      <c r="G3213" s="136" t="s">
        <v>5776</v>
      </c>
      <c r="H3213" s="138" t="s">
        <v>6301</v>
      </c>
      <c r="I3213" s="136">
        <v>961500033</v>
      </c>
      <c r="J3213" s="131" t="s">
        <v>5430</v>
      </c>
      <c r="K3213" s="139">
        <v>536180</v>
      </c>
    </row>
    <row r="3214" spans="1:11">
      <c r="A3214" s="1" t="str">
        <f t="shared" si="50"/>
        <v>50100-909555496-961500320650000</v>
      </c>
      <c r="B3214" s="136" t="s">
        <v>6134</v>
      </c>
      <c r="C3214" s="136" t="s">
        <v>9354</v>
      </c>
      <c r="D3214" s="132" t="s">
        <v>4971</v>
      </c>
      <c r="E3214" s="136" t="s">
        <v>6243</v>
      </c>
      <c r="F3214" s="136" t="s">
        <v>6243</v>
      </c>
      <c r="G3214" s="136" t="s">
        <v>5852</v>
      </c>
      <c r="H3214" s="138" t="s">
        <v>6454</v>
      </c>
      <c r="I3214" s="136">
        <v>961500320</v>
      </c>
      <c r="J3214" s="131" t="s">
        <v>6033</v>
      </c>
      <c r="K3214" s="139">
        <v>650000</v>
      </c>
    </row>
    <row r="3215" spans="1:11">
      <c r="A3215" s="1" t="str">
        <f t="shared" si="50"/>
        <v>50100-911832196-96150034853910</v>
      </c>
      <c r="B3215" s="136" t="s">
        <v>6135</v>
      </c>
      <c r="C3215" s="136" t="s">
        <v>9355</v>
      </c>
      <c r="D3215" s="132" t="s">
        <v>4971</v>
      </c>
      <c r="E3215" s="136" t="s">
        <v>6244</v>
      </c>
      <c r="F3215" s="136" t="s">
        <v>6244</v>
      </c>
      <c r="G3215" s="136" t="s">
        <v>5818</v>
      </c>
      <c r="H3215" s="138" t="s">
        <v>6300</v>
      </c>
      <c r="I3215" s="136">
        <v>961500348</v>
      </c>
      <c r="J3215" s="131" t="s">
        <v>6253</v>
      </c>
      <c r="K3215" s="139">
        <v>53910</v>
      </c>
    </row>
    <row r="3216" spans="1:11">
      <c r="A3216" s="1" t="str">
        <f t="shared" si="50"/>
        <v>50100-906824096-961500222113165</v>
      </c>
      <c r="B3216" s="136" t="s">
        <v>6136</v>
      </c>
      <c r="C3216" s="136" t="s">
        <v>9356</v>
      </c>
      <c r="D3216" s="132" t="s">
        <v>4971</v>
      </c>
      <c r="E3216" s="136" t="s">
        <v>6245</v>
      </c>
      <c r="F3216" s="136" t="s">
        <v>6245</v>
      </c>
      <c r="G3216" s="136" t="s">
        <v>5813</v>
      </c>
      <c r="H3216" s="138" t="s">
        <v>6298</v>
      </c>
      <c r="I3216" s="136">
        <v>961500222</v>
      </c>
      <c r="J3216" s="131" t="s">
        <v>5912</v>
      </c>
      <c r="K3216" s="139">
        <v>113165</v>
      </c>
    </row>
    <row r="3217" spans="1:11">
      <c r="A3217" s="1" t="str">
        <f t="shared" si="50"/>
        <v>50100-911832196-961500343441650</v>
      </c>
      <c r="B3217" s="136" t="s">
        <v>6135</v>
      </c>
      <c r="C3217" s="136" t="s">
        <v>9355</v>
      </c>
      <c r="D3217" s="132" t="s">
        <v>4971</v>
      </c>
      <c r="E3217" s="136" t="s">
        <v>6244</v>
      </c>
      <c r="F3217" s="136" t="s">
        <v>6244</v>
      </c>
      <c r="G3217" s="136" t="s">
        <v>5818</v>
      </c>
      <c r="H3217" s="138" t="s">
        <v>6300</v>
      </c>
      <c r="I3217" s="136">
        <v>961500343</v>
      </c>
      <c r="J3217" s="131" t="s">
        <v>6254</v>
      </c>
      <c r="K3217" s="139">
        <v>441650</v>
      </c>
    </row>
    <row r="3218" spans="1:11">
      <c r="A3218" s="1" t="str">
        <f t="shared" si="50"/>
        <v>50100-911275796-961500343498350</v>
      </c>
      <c r="B3218" s="136" t="s">
        <v>6137</v>
      </c>
      <c r="C3218" s="136" t="s">
        <v>9357</v>
      </c>
      <c r="D3218" s="132" t="s">
        <v>4971</v>
      </c>
      <c r="E3218" s="136" t="s">
        <v>6246</v>
      </c>
      <c r="F3218" s="136" t="s">
        <v>6246</v>
      </c>
      <c r="G3218" s="136" t="s">
        <v>5818</v>
      </c>
      <c r="H3218" s="138" t="s">
        <v>6300</v>
      </c>
      <c r="I3218" s="136">
        <v>961500343</v>
      </c>
      <c r="J3218" s="131" t="s">
        <v>6254</v>
      </c>
      <c r="K3218" s="139">
        <v>498350</v>
      </c>
    </row>
    <row r="3219" spans="1:11">
      <c r="A3219" s="1" t="str">
        <f t="shared" si="50"/>
        <v>50100-906824096-961500234125000</v>
      </c>
      <c r="B3219" s="136" t="s">
        <v>6136</v>
      </c>
      <c r="C3219" s="136" t="s">
        <v>9356</v>
      </c>
      <c r="D3219" s="132" t="s">
        <v>4971</v>
      </c>
      <c r="E3219" s="136" t="s">
        <v>6245</v>
      </c>
      <c r="F3219" s="136" t="s">
        <v>6245</v>
      </c>
      <c r="G3219" s="136" t="s">
        <v>5813</v>
      </c>
      <c r="H3219" s="138" t="s">
        <v>6298</v>
      </c>
      <c r="I3219" s="136">
        <v>961500234</v>
      </c>
      <c r="J3219" s="131" t="s">
        <v>5924</v>
      </c>
      <c r="K3219" s="139">
        <v>125000</v>
      </c>
    </row>
    <row r="3220" spans="1:11">
      <c r="A3220" s="1" t="str">
        <f t="shared" si="50"/>
        <v>50100-906824096-961500224180000</v>
      </c>
      <c r="B3220" s="136" t="s">
        <v>6136</v>
      </c>
      <c r="C3220" s="136" t="s">
        <v>9356</v>
      </c>
      <c r="D3220" s="132" t="s">
        <v>4971</v>
      </c>
      <c r="E3220" s="136" t="s">
        <v>6245</v>
      </c>
      <c r="F3220" s="136" t="s">
        <v>6245</v>
      </c>
      <c r="G3220" s="136" t="s">
        <v>5813</v>
      </c>
      <c r="H3220" s="138" t="s">
        <v>6298</v>
      </c>
      <c r="I3220" s="136">
        <v>961500224</v>
      </c>
      <c r="J3220" s="131" t="s">
        <v>5914</v>
      </c>
      <c r="K3220" s="139">
        <v>180000</v>
      </c>
    </row>
    <row r="3221" spans="1:11">
      <c r="A3221" s="1" t="str">
        <f t="shared" si="50"/>
        <v>50100-906824096-96150021770000</v>
      </c>
      <c r="B3221" s="136" t="s">
        <v>6136</v>
      </c>
      <c r="C3221" s="136" t="s">
        <v>9356</v>
      </c>
      <c r="D3221" s="132" t="s">
        <v>4971</v>
      </c>
      <c r="E3221" s="136" t="s">
        <v>6245</v>
      </c>
      <c r="F3221" s="136" t="s">
        <v>6245</v>
      </c>
      <c r="G3221" s="136" t="s">
        <v>5813</v>
      </c>
      <c r="H3221" s="138" t="s">
        <v>6298</v>
      </c>
      <c r="I3221" s="136">
        <v>961500217</v>
      </c>
      <c r="J3221" s="131" t="s">
        <v>5907</v>
      </c>
      <c r="K3221" s="139">
        <v>70000</v>
      </c>
    </row>
    <row r="3222" spans="1:11">
      <c r="A3222" s="1" t="str">
        <f t="shared" si="50"/>
        <v>50100-909555496-961500325359360</v>
      </c>
      <c r="B3222" s="136" t="s">
        <v>6134</v>
      </c>
      <c r="C3222" s="136" t="s">
        <v>9354</v>
      </c>
      <c r="D3222" s="132" t="s">
        <v>4971</v>
      </c>
      <c r="E3222" s="136" t="s">
        <v>6243</v>
      </c>
      <c r="F3222" s="136" t="s">
        <v>6243</v>
      </c>
      <c r="G3222" s="136" t="s">
        <v>5852</v>
      </c>
      <c r="H3222" s="138" t="s">
        <v>6454</v>
      </c>
      <c r="I3222" s="136">
        <v>961500325</v>
      </c>
      <c r="J3222" s="131" t="s">
        <v>6045</v>
      </c>
      <c r="K3222" s="139">
        <v>359360</v>
      </c>
    </row>
    <row r="3223" spans="1:11">
      <c r="A3223" s="1" t="str">
        <f t="shared" si="50"/>
        <v>50100-909372896-962500068394190</v>
      </c>
      <c r="B3223" s="136" t="s">
        <v>6138</v>
      </c>
      <c r="C3223" s="136" t="s">
        <v>9358</v>
      </c>
      <c r="D3223" s="132" t="s">
        <v>4971</v>
      </c>
      <c r="E3223" s="136" t="s">
        <v>6243</v>
      </c>
      <c r="F3223" s="136" t="s">
        <v>6243</v>
      </c>
      <c r="G3223" s="136" t="s">
        <v>5841</v>
      </c>
      <c r="H3223" s="138" t="s">
        <v>6452</v>
      </c>
      <c r="I3223" s="136">
        <v>962500068</v>
      </c>
      <c r="J3223" s="131" t="s">
        <v>6255</v>
      </c>
      <c r="K3223" s="139">
        <v>394190</v>
      </c>
    </row>
    <row r="3224" spans="1:11">
      <c r="A3224" s="1" t="str">
        <f t="shared" si="50"/>
        <v>50100-911322796-962500031495</v>
      </c>
      <c r="B3224" s="136" t="s">
        <v>6139</v>
      </c>
      <c r="C3224" s="136" t="s">
        <v>9359</v>
      </c>
      <c r="D3224" s="132" t="s">
        <v>4971</v>
      </c>
      <c r="E3224" s="136" t="s">
        <v>6246</v>
      </c>
      <c r="F3224" s="136" t="s">
        <v>6246</v>
      </c>
      <c r="G3224" s="136" t="s">
        <v>5810</v>
      </c>
      <c r="H3224" s="138" t="s">
        <v>6298</v>
      </c>
      <c r="I3224" s="136">
        <v>962500031</v>
      </c>
      <c r="J3224" s="131" t="s">
        <v>5886</v>
      </c>
      <c r="K3224" s="139">
        <v>495</v>
      </c>
    </row>
    <row r="3225" spans="1:11">
      <c r="A3225" s="1" t="str">
        <f t="shared" si="50"/>
        <v>50100-911322796-96150022219505</v>
      </c>
      <c r="B3225" s="136" t="s">
        <v>6139</v>
      </c>
      <c r="C3225" s="136" t="s">
        <v>9359</v>
      </c>
      <c r="D3225" s="132" t="s">
        <v>4971</v>
      </c>
      <c r="E3225" s="136" t="s">
        <v>6246</v>
      </c>
      <c r="F3225" s="136" t="s">
        <v>6246</v>
      </c>
      <c r="G3225" s="136" t="s">
        <v>5813</v>
      </c>
      <c r="H3225" s="138" t="s">
        <v>6298</v>
      </c>
      <c r="I3225" s="136">
        <v>961500222</v>
      </c>
      <c r="J3225" s="131" t="s">
        <v>5912</v>
      </c>
      <c r="K3225" s="139">
        <v>19505</v>
      </c>
    </row>
    <row r="3226" spans="1:11">
      <c r="A3226" s="1" t="str">
        <f t="shared" si="50"/>
        <v>50100-909561796-962500067640000</v>
      </c>
      <c r="B3226" s="136" t="s">
        <v>6140</v>
      </c>
      <c r="C3226" s="136" t="s">
        <v>9360</v>
      </c>
      <c r="D3226" s="132" t="s">
        <v>4971</v>
      </c>
      <c r="E3226" s="136" t="s">
        <v>6243</v>
      </c>
      <c r="F3226" s="136" t="s">
        <v>6243</v>
      </c>
      <c r="G3226" s="136" t="s">
        <v>5841</v>
      </c>
      <c r="H3226" s="138" t="s">
        <v>6452</v>
      </c>
      <c r="I3226" s="136">
        <v>962500067</v>
      </c>
      <c r="J3226" s="131" t="s">
        <v>6256</v>
      </c>
      <c r="K3226" s="139">
        <v>640000</v>
      </c>
    </row>
    <row r="3227" spans="1:11">
      <c r="A3227" s="1" t="str">
        <f t="shared" si="50"/>
        <v>50100-910923796-96250006740000</v>
      </c>
      <c r="B3227" s="136" t="s">
        <v>6141</v>
      </c>
      <c r="C3227" s="136" t="s">
        <v>9361</v>
      </c>
      <c r="D3227" s="132" t="s">
        <v>4971</v>
      </c>
      <c r="E3227" s="136" t="s">
        <v>6247</v>
      </c>
      <c r="F3227" s="136" t="s">
        <v>6247</v>
      </c>
      <c r="G3227" s="136" t="s">
        <v>5841</v>
      </c>
      <c r="H3227" s="138" t="s">
        <v>6452</v>
      </c>
      <c r="I3227" s="136">
        <v>962500067</v>
      </c>
      <c r="J3227" s="131" t="s">
        <v>6256</v>
      </c>
      <c r="K3227" s="139">
        <v>40000</v>
      </c>
    </row>
    <row r="3228" spans="1:11">
      <c r="A3228" s="1" t="str">
        <f t="shared" si="50"/>
        <v>50100-905489496-9641000431989385</v>
      </c>
      <c r="B3228" s="136" t="s">
        <v>6142</v>
      </c>
      <c r="C3228" s="136" t="s">
        <v>9362</v>
      </c>
      <c r="D3228" s="132" t="s">
        <v>4971</v>
      </c>
      <c r="E3228" s="136" t="s">
        <v>5850</v>
      </c>
      <c r="F3228" s="136" t="s">
        <v>5850</v>
      </c>
      <c r="G3228" s="136" t="s">
        <v>5844</v>
      </c>
      <c r="H3228" s="138" t="s">
        <v>6452</v>
      </c>
      <c r="I3228" s="136">
        <v>964100043</v>
      </c>
      <c r="J3228" s="131" t="s">
        <v>6041</v>
      </c>
      <c r="K3228" s="139">
        <v>1989385</v>
      </c>
    </row>
    <row r="3229" spans="1:11">
      <c r="A3229" s="1" t="str">
        <f t="shared" si="50"/>
        <v>50100-908177496-962500048485412</v>
      </c>
      <c r="B3229" s="136" t="s">
        <v>6143</v>
      </c>
      <c r="C3229" s="136" t="s">
        <v>9363</v>
      </c>
      <c r="D3229" s="132" t="s">
        <v>4971</v>
      </c>
      <c r="E3229" s="136" t="s">
        <v>6248</v>
      </c>
      <c r="F3229" s="136" t="s">
        <v>6248</v>
      </c>
      <c r="G3229" s="136" t="s">
        <v>5841</v>
      </c>
      <c r="H3229" s="138" t="s">
        <v>6452</v>
      </c>
      <c r="I3229" s="136">
        <v>962500048</v>
      </c>
      <c r="J3229" s="131" t="s">
        <v>6005</v>
      </c>
      <c r="K3229" s="139">
        <v>485412</v>
      </c>
    </row>
    <row r="3230" spans="1:11">
      <c r="A3230" s="1" t="str">
        <f t="shared" si="50"/>
        <v>50100-910923796-962500066458554</v>
      </c>
      <c r="B3230" s="136" t="s">
        <v>6141</v>
      </c>
      <c r="C3230" s="136" t="s">
        <v>9361</v>
      </c>
      <c r="D3230" s="132" t="s">
        <v>4971</v>
      </c>
      <c r="E3230" s="136" t="s">
        <v>6247</v>
      </c>
      <c r="F3230" s="136" t="s">
        <v>6247</v>
      </c>
      <c r="G3230" s="136" t="s">
        <v>5841</v>
      </c>
      <c r="H3230" s="138" t="s">
        <v>6452</v>
      </c>
      <c r="I3230" s="136">
        <v>962500066</v>
      </c>
      <c r="J3230" s="131" t="s">
        <v>6257</v>
      </c>
      <c r="K3230" s="139">
        <v>458554</v>
      </c>
    </row>
    <row r="3231" spans="1:11">
      <c r="A3231" s="1" t="str">
        <f t="shared" si="50"/>
        <v>50100-908502396-9615000729597</v>
      </c>
      <c r="B3231" s="136" t="s">
        <v>6144</v>
      </c>
      <c r="C3231" s="136" t="s">
        <v>9364</v>
      </c>
      <c r="D3231" s="132" t="s">
        <v>4971</v>
      </c>
      <c r="E3231" s="136" t="s">
        <v>6248</v>
      </c>
      <c r="F3231" s="136" t="s">
        <v>6248</v>
      </c>
      <c r="G3231" s="136" t="s">
        <v>5753</v>
      </c>
      <c r="H3231" s="138" t="s">
        <v>6456</v>
      </c>
      <c r="I3231" s="136">
        <v>961500072</v>
      </c>
      <c r="J3231" s="131" t="s">
        <v>5861</v>
      </c>
      <c r="K3231" s="139">
        <v>9597</v>
      </c>
    </row>
    <row r="3232" spans="1:11">
      <c r="A3232" s="1" t="str">
        <f t="shared" si="50"/>
        <v>50100-907871496-96250006998697</v>
      </c>
      <c r="B3232" s="136" t="s">
        <v>6145</v>
      </c>
      <c r="C3232" s="136" t="s">
        <v>9365</v>
      </c>
      <c r="D3232" s="132" t="s">
        <v>4971</v>
      </c>
      <c r="E3232" s="136" t="s">
        <v>6249</v>
      </c>
      <c r="F3232" s="136" t="s">
        <v>6249</v>
      </c>
      <c r="G3232" s="136" t="s">
        <v>5842</v>
      </c>
      <c r="H3232" s="138" t="s">
        <v>6300</v>
      </c>
      <c r="I3232" s="136">
        <v>962500069</v>
      </c>
      <c r="J3232" s="131" t="s">
        <v>6258</v>
      </c>
      <c r="K3232" s="139">
        <v>98697</v>
      </c>
    </row>
    <row r="3233" spans="1:11">
      <c r="A3233" s="1" t="str">
        <f t="shared" si="50"/>
        <v>50100-909581596-962500036100000</v>
      </c>
      <c r="B3233" s="136" t="s">
        <v>6146</v>
      </c>
      <c r="C3233" s="136" t="s">
        <v>9366</v>
      </c>
      <c r="D3233" s="132" t="s">
        <v>4971</v>
      </c>
      <c r="E3233" s="136" t="s">
        <v>6243</v>
      </c>
      <c r="F3233" s="141" t="s">
        <v>6243</v>
      </c>
      <c r="G3233" s="141" t="s">
        <v>5814</v>
      </c>
      <c r="H3233" s="140" t="s">
        <v>6298</v>
      </c>
      <c r="I3233" s="141">
        <v>962500036</v>
      </c>
      <c r="J3233" s="131" t="s">
        <v>5950</v>
      </c>
      <c r="K3233" s="142">
        <v>100000</v>
      </c>
    </row>
    <row r="3234" spans="1:11">
      <c r="A3234" s="1" t="str">
        <f t="shared" si="50"/>
        <v>50100-909581596-962500035200000</v>
      </c>
      <c r="B3234" s="136" t="s">
        <v>6146</v>
      </c>
      <c r="C3234" s="136" t="s">
        <v>9366</v>
      </c>
      <c r="D3234" s="132" t="s">
        <v>4971</v>
      </c>
      <c r="E3234" s="136" t="s">
        <v>6243</v>
      </c>
      <c r="F3234" s="141" t="s">
        <v>6243</v>
      </c>
      <c r="G3234" s="141" t="s">
        <v>5814</v>
      </c>
      <c r="H3234" s="140" t="s">
        <v>6298</v>
      </c>
      <c r="I3234" s="141">
        <v>962500035</v>
      </c>
      <c r="J3234" s="131" t="s">
        <v>5949</v>
      </c>
      <c r="K3234" s="142">
        <v>200000</v>
      </c>
    </row>
    <row r="3235" spans="1:11">
      <c r="A3235" s="1" t="str">
        <f t="shared" si="50"/>
        <v>50100-907073796-962500057395529</v>
      </c>
      <c r="B3235" s="136" t="s">
        <v>6147</v>
      </c>
      <c r="C3235" s="136" t="s">
        <v>9367</v>
      </c>
      <c r="D3235" s="132" t="s">
        <v>4971</v>
      </c>
      <c r="E3235" s="136" t="s">
        <v>6075</v>
      </c>
      <c r="F3235" s="136" t="s">
        <v>6075</v>
      </c>
      <c r="G3235" s="136" t="s">
        <v>5778</v>
      </c>
      <c r="H3235" s="138" t="s">
        <v>11406</v>
      </c>
      <c r="I3235" s="136">
        <v>962500057</v>
      </c>
      <c r="J3235" s="131" t="s">
        <v>6036</v>
      </c>
      <c r="K3235" s="139">
        <v>395529</v>
      </c>
    </row>
    <row r="3236" spans="1:11">
      <c r="A3236" s="1" t="str">
        <f t="shared" si="50"/>
        <v>50100-910531896-96250007735000</v>
      </c>
      <c r="B3236" s="136" t="s">
        <v>6148</v>
      </c>
      <c r="C3236" s="136" t="s">
        <v>9368</v>
      </c>
      <c r="D3236" s="132" t="s">
        <v>4971</v>
      </c>
      <c r="E3236" s="136" t="s">
        <v>6247</v>
      </c>
      <c r="F3236" s="136" t="s">
        <v>6247</v>
      </c>
      <c r="G3236" s="136" t="s">
        <v>5858</v>
      </c>
      <c r="H3236" s="138" t="s">
        <v>11406</v>
      </c>
      <c r="I3236" s="136">
        <v>962500077</v>
      </c>
      <c r="J3236" s="131" t="s">
        <v>6259</v>
      </c>
      <c r="K3236" s="139">
        <v>35000</v>
      </c>
    </row>
    <row r="3237" spans="1:11">
      <c r="A3237" s="1" t="str">
        <f t="shared" si="50"/>
        <v>50100-910531896-9625000623654</v>
      </c>
      <c r="B3237" s="136" t="s">
        <v>6148</v>
      </c>
      <c r="C3237" s="136" t="s">
        <v>9368</v>
      </c>
      <c r="D3237" s="132" t="s">
        <v>4971</v>
      </c>
      <c r="E3237" s="136" t="s">
        <v>6247</v>
      </c>
      <c r="F3237" s="136" t="s">
        <v>6247</v>
      </c>
      <c r="G3237" s="136" t="s">
        <v>5858</v>
      </c>
      <c r="H3237" s="138" t="s">
        <v>11406</v>
      </c>
      <c r="I3237" s="136">
        <v>962500062</v>
      </c>
      <c r="J3237" s="131" t="s">
        <v>6260</v>
      </c>
      <c r="K3237" s="139">
        <v>3654</v>
      </c>
    </row>
    <row r="3238" spans="1:11">
      <c r="A3238" s="1" t="str">
        <f t="shared" si="50"/>
        <v>50100-907871496-96250006395242</v>
      </c>
      <c r="B3238" s="136" t="s">
        <v>6145</v>
      </c>
      <c r="C3238" s="136" t="s">
        <v>9365</v>
      </c>
      <c r="D3238" s="132" t="s">
        <v>4971</v>
      </c>
      <c r="E3238" s="136" t="s">
        <v>6249</v>
      </c>
      <c r="F3238" s="136" t="s">
        <v>6249</v>
      </c>
      <c r="G3238" s="136" t="s">
        <v>5842</v>
      </c>
      <c r="H3238" s="138" t="s">
        <v>6300</v>
      </c>
      <c r="I3238" s="136">
        <v>962500063</v>
      </c>
      <c r="J3238" s="131" t="s">
        <v>6046</v>
      </c>
      <c r="K3238" s="139">
        <v>95242</v>
      </c>
    </row>
    <row r="3239" spans="1:11">
      <c r="A3239" s="1" t="str">
        <f t="shared" si="50"/>
        <v>50100-909581596-96150024480000</v>
      </c>
      <c r="B3239" s="136" t="s">
        <v>6146</v>
      </c>
      <c r="C3239" s="136" t="s">
        <v>9366</v>
      </c>
      <c r="D3239" s="132" t="s">
        <v>4971</v>
      </c>
      <c r="E3239" s="136" t="s">
        <v>6243</v>
      </c>
      <c r="F3239" s="141" t="s">
        <v>6243</v>
      </c>
      <c r="G3239" s="141" t="s">
        <v>5814</v>
      </c>
      <c r="H3239" s="140" t="s">
        <v>6298</v>
      </c>
      <c r="I3239" s="141">
        <v>961500244</v>
      </c>
      <c r="J3239" s="131" t="s">
        <v>5934</v>
      </c>
      <c r="K3239" s="142">
        <v>80000</v>
      </c>
    </row>
    <row r="3240" spans="1:11">
      <c r="A3240" s="1" t="str">
        <f t="shared" si="50"/>
        <v>50100-909581596-96150026356500</v>
      </c>
      <c r="B3240" s="136" t="s">
        <v>6146</v>
      </c>
      <c r="C3240" s="136" t="s">
        <v>9366</v>
      </c>
      <c r="D3240" s="132" t="s">
        <v>4971</v>
      </c>
      <c r="E3240" s="136" t="s">
        <v>6243</v>
      </c>
      <c r="F3240" s="141" t="s">
        <v>6243</v>
      </c>
      <c r="G3240" s="141" t="s">
        <v>5814</v>
      </c>
      <c r="H3240" s="140" t="s">
        <v>6298</v>
      </c>
      <c r="I3240" s="141">
        <v>961500263</v>
      </c>
      <c r="J3240" s="131" t="s">
        <v>5955</v>
      </c>
      <c r="K3240" s="142">
        <v>56500</v>
      </c>
    </row>
    <row r="3241" spans="1:11">
      <c r="A3241" s="1" t="str">
        <f t="shared" si="50"/>
        <v>50100-910531896-962500071450853</v>
      </c>
      <c r="B3241" s="136" t="s">
        <v>6148</v>
      </c>
      <c r="C3241" s="136" t="s">
        <v>9368</v>
      </c>
      <c r="D3241" s="132" t="s">
        <v>4971</v>
      </c>
      <c r="E3241" s="136" t="s">
        <v>6247</v>
      </c>
      <c r="F3241" s="136" t="s">
        <v>6247</v>
      </c>
      <c r="G3241" s="136" t="s">
        <v>5858</v>
      </c>
      <c r="H3241" s="138" t="s">
        <v>11406</v>
      </c>
      <c r="I3241" s="136">
        <v>962500071</v>
      </c>
      <c r="J3241" s="131" t="s">
        <v>6261</v>
      </c>
      <c r="K3241" s="139">
        <v>450853</v>
      </c>
    </row>
    <row r="3242" spans="1:11">
      <c r="A3242" s="1" t="str">
        <f t="shared" si="50"/>
        <v>50100-908502396-961500271470354</v>
      </c>
      <c r="B3242" s="136" t="s">
        <v>6144</v>
      </c>
      <c r="C3242" s="136" t="s">
        <v>9364</v>
      </c>
      <c r="D3242" s="132" t="s">
        <v>4971</v>
      </c>
      <c r="E3242" s="136" t="s">
        <v>6248</v>
      </c>
      <c r="F3242" s="136" t="s">
        <v>6248</v>
      </c>
      <c r="G3242" s="141" t="s">
        <v>5781</v>
      </c>
      <c r="H3242" s="140" t="s">
        <v>6456</v>
      </c>
      <c r="I3242" s="141">
        <v>961500271</v>
      </c>
      <c r="J3242" s="131" t="s">
        <v>5964</v>
      </c>
      <c r="K3242" s="142">
        <v>470354</v>
      </c>
    </row>
    <row r="3243" spans="1:11">
      <c r="A3243" s="1" t="str">
        <f t="shared" si="50"/>
        <v>50100-906863196-961500271478326</v>
      </c>
      <c r="B3243" s="136" t="s">
        <v>6149</v>
      </c>
      <c r="C3243" s="136" t="s">
        <v>9369</v>
      </c>
      <c r="D3243" s="132" t="s">
        <v>4971</v>
      </c>
      <c r="E3243" s="136" t="s">
        <v>6245</v>
      </c>
      <c r="F3243" s="136" t="s">
        <v>6245</v>
      </c>
      <c r="G3243" s="141" t="s">
        <v>5781</v>
      </c>
      <c r="H3243" s="140" t="s">
        <v>6456</v>
      </c>
      <c r="I3243" s="141">
        <v>961500271</v>
      </c>
      <c r="J3243" s="131" t="s">
        <v>5964</v>
      </c>
      <c r="K3243" s="142">
        <v>478326</v>
      </c>
    </row>
    <row r="3244" spans="1:11">
      <c r="A3244" s="1" t="str">
        <f t="shared" si="50"/>
        <v>50100-907073796-96250005653781</v>
      </c>
      <c r="B3244" s="136" t="s">
        <v>6147</v>
      </c>
      <c r="C3244" s="136" t="s">
        <v>9367</v>
      </c>
      <c r="D3244" s="132" t="s">
        <v>4971</v>
      </c>
      <c r="E3244" s="136" t="s">
        <v>6075</v>
      </c>
      <c r="F3244" s="136" t="s">
        <v>6075</v>
      </c>
      <c r="G3244" s="136" t="s">
        <v>5798</v>
      </c>
      <c r="H3244" s="138" t="s">
        <v>11406</v>
      </c>
      <c r="I3244" s="136">
        <v>962500056</v>
      </c>
      <c r="J3244" s="131" t="s">
        <v>6035</v>
      </c>
      <c r="K3244" s="139">
        <v>53781</v>
      </c>
    </row>
    <row r="3245" spans="1:11">
      <c r="A3245" s="1" t="str">
        <f t="shared" si="50"/>
        <v>50100-906936396-9641000441405112</v>
      </c>
      <c r="B3245" s="136" t="s">
        <v>6150</v>
      </c>
      <c r="C3245" s="136" t="s">
        <v>9370</v>
      </c>
      <c r="D3245" s="132" t="s">
        <v>4971</v>
      </c>
      <c r="E3245" s="136" t="s">
        <v>6245</v>
      </c>
      <c r="F3245" s="136" t="s">
        <v>6245</v>
      </c>
      <c r="G3245" s="136" t="s">
        <v>5844</v>
      </c>
      <c r="H3245" s="138" t="s">
        <v>6452</v>
      </c>
      <c r="I3245" s="136">
        <v>964100044</v>
      </c>
      <c r="J3245" s="131" t="s">
        <v>6262</v>
      </c>
      <c r="K3245" s="139">
        <v>1405112</v>
      </c>
    </row>
    <row r="3246" spans="1:11">
      <c r="A3246" s="1" t="str">
        <f t="shared" si="50"/>
        <v>50100-907073796-96250006240311</v>
      </c>
      <c r="B3246" s="136" t="s">
        <v>6147</v>
      </c>
      <c r="C3246" s="136" t="s">
        <v>9367</v>
      </c>
      <c r="D3246" s="132" t="s">
        <v>4971</v>
      </c>
      <c r="E3246" s="136" t="s">
        <v>6075</v>
      </c>
      <c r="F3246" s="136" t="s">
        <v>6075</v>
      </c>
      <c r="G3246" s="136" t="s">
        <v>5858</v>
      </c>
      <c r="H3246" s="138" t="s">
        <v>11406</v>
      </c>
      <c r="I3246" s="136">
        <v>962500062</v>
      </c>
      <c r="J3246" s="131" t="s">
        <v>6260</v>
      </c>
      <c r="K3246" s="139">
        <v>40311</v>
      </c>
    </row>
    <row r="3247" spans="1:11">
      <c r="A3247" s="1" t="str">
        <f t="shared" si="50"/>
        <v>50100-908448996-9641000462849857</v>
      </c>
      <c r="B3247" s="136" t="s">
        <v>6151</v>
      </c>
      <c r="C3247" s="136" t="s">
        <v>9371</v>
      </c>
      <c r="D3247" s="132" t="s">
        <v>4971</v>
      </c>
      <c r="E3247" s="136" t="s">
        <v>6248</v>
      </c>
      <c r="F3247" s="136" t="s">
        <v>6248</v>
      </c>
      <c r="G3247" s="136" t="s">
        <v>5844</v>
      </c>
      <c r="H3247" s="138" t="s">
        <v>6452</v>
      </c>
      <c r="I3247" s="136">
        <v>964100046</v>
      </c>
      <c r="J3247" s="131" t="s">
        <v>6263</v>
      </c>
      <c r="K3247" s="139">
        <v>2849857</v>
      </c>
    </row>
    <row r="3248" spans="1:11">
      <c r="A3248" s="1" t="str">
        <f t="shared" si="50"/>
        <v>50100-910699796-962500075391739</v>
      </c>
      <c r="B3248" s="136" t="s">
        <v>6152</v>
      </c>
      <c r="C3248" s="136" t="s">
        <v>9372</v>
      </c>
      <c r="D3248" s="132" t="s">
        <v>4971</v>
      </c>
      <c r="E3248" s="136" t="s">
        <v>6247</v>
      </c>
      <c r="F3248" s="136" t="s">
        <v>6247</v>
      </c>
      <c r="G3248" s="136" t="s">
        <v>5842</v>
      </c>
      <c r="H3248" s="138" t="s">
        <v>6300</v>
      </c>
      <c r="I3248" s="136">
        <v>962500075</v>
      </c>
      <c r="J3248" s="131" t="s">
        <v>6264</v>
      </c>
      <c r="K3248" s="139">
        <v>391739</v>
      </c>
    </row>
    <row r="3249" spans="1:11">
      <c r="A3249" s="1" t="str">
        <f t="shared" si="50"/>
        <v>50100-910097396-962500072483837</v>
      </c>
      <c r="B3249" s="136" t="s">
        <v>6153</v>
      </c>
      <c r="C3249" s="136" t="s">
        <v>9373</v>
      </c>
      <c r="D3249" s="132" t="s">
        <v>4971</v>
      </c>
      <c r="E3249" s="136" t="s">
        <v>6250</v>
      </c>
      <c r="F3249" s="136" t="s">
        <v>6250</v>
      </c>
      <c r="G3249" s="136" t="s">
        <v>5856</v>
      </c>
      <c r="H3249" s="138" t="s">
        <v>6455</v>
      </c>
      <c r="I3249" s="136">
        <v>962500072</v>
      </c>
      <c r="J3249" s="131" t="s">
        <v>6265</v>
      </c>
      <c r="K3249" s="139">
        <v>483837</v>
      </c>
    </row>
    <row r="3250" spans="1:11">
      <c r="A3250" s="1" t="str">
        <f t="shared" si="50"/>
        <v>50100-910162196-964100047966885</v>
      </c>
      <c r="B3250" s="136" t="s">
        <v>6154</v>
      </c>
      <c r="C3250" s="136" t="s">
        <v>9374</v>
      </c>
      <c r="D3250" s="132" t="s">
        <v>4971</v>
      </c>
      <c r="E3250" s="136" t="s">
        <v>6250</v>
      </c>
      <c r="F3250" s="136" t="s">
        <v>6250</v>
      </c>
      <c r="G3250" s="136" t="s">
        <v>5797</v>
      </c>
      <c r="H3250" s="138" t="s">
        <v>6452</v>
      </c>
      <c r="I3250" s="136">
        <v>964100047</v>
      </c>
      <c r="J3250" s="131" t="s">
        <v>6266</v>
      </c>
      <c r="K3250" s="139">
        <v>966885</v>
      </c>
    </row>
    <row r="3251" spans="1:11">
      <c r="A3251" s="1" t="str">
        <f t="shared" si="50"/>
        <v>50100-909600796-96250007091160</v>
      </c>
      <c r="B3251" s="136" t="s">
        <v>6155</v>
      </c>
      <c r="C3251" s="136" t="s">
        <v>9375</v>
      </c>
      <c r="D3251" s="132" t="s">
        <v>4971</v>
      </c>
      <c r="E3251" s="136" t="s">
        <v>6243</v>
      </c>
      <c r="F3251" s="136" t="s">
        <v>6243</v>
      </c>
      <c r="G3251" s="136" t="s">
        <v>5842</v>
      </c>
      <c r="H3251" s="138" t="s">
        <v>6300</v>
      </c>
      <c r="I3251" s="136">
        <v>962500070</v>
      </c>
      <c r="J3251" s="131" t="s">
        <v>6267</v>
      </c>
      <c r="K3251" s="139">
        <v>91160</v>
      </c>
    </row>
    <row r="3252" spans="1:11">
      <c r="A3252" s="1" t="str">
        <f t="shared" si="50"/>
        <v>50100-907859696-962500058194931</v>
      </c>
      <c r="B3252" s="136" t="s">
        <v>6156</v>
      </c>
      <c r="C3252" s="136" t="s">
        <v>9376</v>
      </c>
      <c r="D3252" s="132" t="s">
        <v>4971</v>
      </c>
      <c r="E3252" s="136" t="s">
        <v>6249</v>
      </c>
      <c r="F3252" s="136" t="s">
        <v>6249</v>
      </c>
      <c r="G3252" s="136" t="s">
        <v>5856</v>
      </c>
      <c r="H3252" s="138" t="s">
        <v>6455</v>
      </c>
      <c r="I3252" s="136">
        <v>962500058</v>
      </c>
      <c r="J3252" s="131" t="s">
        <v>6037</v>
      </c>
      <c r="K3252" s="139">
        <v>194931</v>
      </c>
    </row>
    <row r="3253" spans="1:11">
      <c r="A3253" s="1" t="str">
        <f t="shared" si="50"/>
        <v>50100-906881696-961500258195097</v>
      </c>
      <c r="B3253" s="136" t="s">
        <v>6157</v>
      </c>
      <c r="C3253" s="136" t="s">
        <v>9377</v>
      </c>
      <c r="D3253" s="132" t="s">
        <v>4971</v>
      </c>
      <c r="E3253" s="136" t="s">
        <v>6245</v>
      </c>
      <c r="F3253" s="136" t="s">
        <v>6245</v>
      </c>
      <c r="G3253" s="136" t="s">
        <v>5826</v>
      </c>
      <c r="H3253" s="138" t="s">
        <v>6298</v>
      </c>
      <c r="I3253" s="136">
        <v>961500258</v>
      </c>
      <c r="J3253" s="131" t="s">
        <v>5947</v>
      </c>
      <c r="K3253" s="139">
        <v>195097</v>
      </c>
    </row>
    <row r="3254" spans="1:11">
      <c r="A3254" s="1" t="str">
        <f t="shared" si="50"/>
        <v>50100-907863496-962500063169758</v>
      </c>
      <c r="B3254" s="136" t="s">
        <v>6158</v>
      </c>
      <c r="C3254" s="136" t="s">
        <v>9378</v>
      </c>
      <c r="D3254" s="132" t="s">
        <v>4971</v>
      </c>
      <c r="E3254" s="136" t="s">
        <v>6249</v>
      </c>
      <c r="F3254" s="136" t="s">
        <v>6249</v>
      </c>
      <c r="G3254" s="136" t="s">
        <v>5842</v>
      </c>
      <c r="H3254" s="138" t="s">
        <v>6300</v>
      </c>
      <c r="I3254" s="136">
        <v>962500063</v>
      </c>
      <c r="J3254" s="131" t="s">
        <v>6046</v>
      </c>
      <c r="K3254" s="139">
        <v>169758</v>
      </c>
    </row>
    <row r="3255" spans="1:11">
      <c r="A3255" s="1" t="str">
        <f t="shared" si="50"/>
        <v>50100-907863496-962500052123084</v>
      </c>
      <c r="B3255" s="136" t="s">
        <v>6158</v>
      </c>
      <c r="C3255" s="136" t="s">
        <v>9378</v>
      </c>
      <c r="D3255" s="132" t="s">
        <v>4971</v>
      </c>
      <c r="E3255" s="136" t="s">
        <v>6249</v>
      </c>
      <c r="F3255" s="136" t="s">
        <v>6249</v>
      </c>
      <c r="G3255" s="136" t="s">
        <v>5842</v>
      </c>
      <c r="H3255" s="138" t="s">
        <v>6300</v>
      </c>
      <c r="I3255" s="136">
        <v>962500052</v>
      </c>
      <c r="J3255" s="131" t="s">
        <v>6021</v>
      </c>
      <c r="K3255" s="139">
        <v>123084</v>
      </c>
    </row>
    <row r="3256" spans="1:11">
      <c r="A3256" s="1" t="str">
        <f t="shared" si="50"/>
        <v>50100-910162196-9641000481000000</v>
      </c>
      <c r="B3256" s="136" t="s">
        <v>6154</v>
      </c>
      <c r="C3256" s="136" t="s">
        <v>9374</v>
      </c>
      <c r="D3256" s="132" t="s">
        <v>4971</v>
      </c>
      <c r="E3256" s="136" t="s">
        <v>6250</v>
      </c>
      <c r="F3256" s="136" t="s">
        <v>6250</v>
      </c>
      <c r="G3256" s="136" t="s">
        <v>5834</v>
      </c>
      <c r="H3256" s="138" t="s">
        <v>6452</v>
      </c>
      <c r="I3256" s="136">
        <v>964100048</v>
      </c>
      <c r="J3256" s="131" t="s">
        <v>6268</v>
      </c>
      <c r="K3256" s="139">
        <v>1000000</v>
      </c>
    </row>
    <row r="3257" spans="1:11">
      <c r="A3257" s="1" t="str">
        <f t="shared" si="50"/>
        <v>50100-911303096-962500075108261</v>
      </c>
      <c r="B3257" s="136" t="s">
        <v>6159</v>
      </c>
      <c r="C3257" s="136" t="s">
        <v>9379</v>
      </c>
      <c r="D3257" s="132" t="s">
        <v>4971</v>
      </c>
      <c r="E3257" s="136" t="s">
        <v>6246</v>
      </c>
      <c r="F3257" s="136" t="s">
        <v>6246</v>
      </c>
      <c r="G3257" s="136" t="s">
        <v>5842</v>
      </c>
      <c r="H3257" s="138" t="s">
        <v>6300</v>
      </c>
      <c r="I3257" s="136">
        <v>962500075</v>
      </c>
      <c r="J3257" s="131" t="s">
        <v>6264</v>
      </c>
      <c r="K3257" s="139">
        <v>108261</v>
      </c>
    </row>
    <row r="3258" spans="1:11">
      <c r="A3258" s="1" t="str">
        <f t="shared" si="50"/>
        <v>50100-911303096-962500078183180</v>
      </c>
      <c r="B3258" s="136" t="s">
        <v>6159</v>
      </c>
      <c r="C3258" s="136" t="s">
        <v>9379</v>
      </c>
      <c r="D3258" s="132" t="s">
        <v>4971</v>
      </c>
      <c r="E3258" s="136" t="s">
        <v>6246</v>
      </c>
      <c r="F3258" s="136" t="s">
        <v>6246</v>
      </c>
      <c r="G3258" s="136" t="s">
        <v>5842</v>
      </c>
      <c r="H3258" s="138" t="s">
        <v>6300</v>
      </c>
      <c r="I3258" s="136">
        <v>962500078</v>
      </c>
      <c r="J3258" s="131" t="s">
        <v>6269</v>
      </c>
      <c r="K3258" s="139">
        <v>183180</v>
      </c>
    </row>
    <row r="3259" spans="1:11">
      <c r="A3259" s="1" t="str">
        <f t="shared" si="50"/>
        <v>50100-908177496-9615002503997</v>
      </c>
      <c r="B3259" s="136" t="s">
        <v>6143</v>
      </c>
      <c r="C3259" s="136" t="s">
        <v>9363</v>
      </c>
      <c r="D3259" s="132" t="s">
        <v>4971</v>
      </c>
      <c r="E3259" s="136" t="s">
        <v>6248</v>
      </c>
      <c r="F3259" s="141" t="s">
        <v>6248</v>
      </c>
      <c r="G3259" s="141" t="s">
        <v>5814</v>
      </c>
      <c r="H3259" s="140" t="s">
        <v>6298</v>
      </c>
      <c r="I3259" s="141">
        <v>961500250</v>
      </c>
      <c r="J3259" s="131" t="s">
        <v>5939</v>
      </c>
      <c r="K3259" s="142">
        <v>3997</v>
      </c>
    </row>
    <row r="3260" spans="1:11">
      <c r="A3260" s="1" t="str">
        <f t="shared" si="50"/>
        <v>50100-907063596-962500056490219</v>
      </c>
      <c r="B3260" s="136" t="s">
        <v>6160</v>
      </c>
      <c r="C3260" s="136" t="s">
        <v>9380</v>
      </c>
      <c r="D3260" s="132" t="s">
        <v>4971</v>
      </c>
      <c r="E3260" s="136" t="s">
        <v>6075</v>
      </c>
      <c r="F3260" s="136" t="s">
        <v>6075</v>
      </c>
      <c r="G3260" s="136" t="s">
        <v>5798</v>
      </c>
      <c r="H3260" s="138" t="s">
        <v>11406</v>
      </c>
      <c r="I3260" s="136">
        <v>962500056</v>
      </c>
      <c r="J3260" s="131" t="s">
        <v>6035</v>
      </c>
      <c r="K3260" s="139">
        <v>490219</v>
      </c>
    </row>
    <row r="3261" spans="1:11">
      <c r="A3261" s="1" t="str">
        <f t="shared" si="50"/>
        <v>50100-909588496-96150025345000</v>
      </c>
      <c r="B3261" s="136" t="s">
        <v>6161</v>
      </c>
      <c r="C3261" s="136" t="s">
        <v>9381</v>
      </c>
      <c r="D3261" s="132" t="s">
        <v>4971</v>
      </c>
      <c r="E3261" s="136" t="s">
        <v>6243</v>
      </c>
      <c r="F3261" s="141" t="s">
        <v>6243</v>
      </c>
      <c r="G3261" s="141" t="s">
        <v>5814</v>
      </c>
      <c r="H3261" s="140" t="s">
        <v>6298</v>
      </c>
      <c r="I3261" s="141">
        <v>961500253</v>
      </c>
      <c r="J3261" s="131" t="s">
        <v>5942</v>
      </c>
      <c r="K3261" s="142">
        <v>45000</v>
      </c>
    </row>
    <row r="3262" spans="1:11">
      <c r="A3262" s="1" t="str">
        <f t="shared" si="50"/>
        <v>50100-905993796-962500052376916</v>
      </c>
      <c r="B3262" s="136" t="s">
        <v>6162</v>
      </c>
      <c r="C3262" s="136" t="s">
        <v>9382</v>
      </c>
      <c r="D3262" s="132" t="s">
        <v>4971</v>
      </c>
      <c r="E3262" s="136" t="s">
        <v>5857</v>
      </c>
      <c r="F3262" s="136" t="s">
        <v>5857</v>
      </c>
      <c r="G3262" s="136" t="s">
        <v>5842</v>
      </c>
      <c r="H3262" s="138" t="s">
        <v>6300</v>
      </c>
      <c r="I3262" s="136">
        <v>962500052</v>
      </c>
      <c r="J3262" s="131" t="s">
        <v>6021</v>
      </c>
      <c r="K3262" s="139">
        <v>376916</v>
      </c>
    </row>
    <row r="3263" spans="1:11">
      <c r="A3263" s="1" t="str">
        <f t="shared" si="50"/>
        <v>50100-909588496-96150026311500</v>
      </c>
      <c r="B3263" s="136" t="s">
        <v>6161</v>
      </c>
      <c r="C3263" s="136" t="s">
        <v>9381</v>
      </c>
      <c r="D3263" s="132" t="s">
        <v>4971</v>
      </c>
      <c r="E3263" s="136" t="s">
        <v>6243</v>
      </c>
      <c r="F3263" s="141" t="s">
        <v>6243</v>
      </c>
      <c r="G3263" s="141" t="s">
        <v>5814</v>
      </c>
      <c r="H3263" s="140" t="s">
        <v>6298</v>
      </c>
      <c r="I3263" s="141">
        <v>961500263</v>
      </c>
      <c r="J3263" s="131" t="s">
        <v>5955</v>
      </c>
      <c r="K3263" s="142">
        <v>11500</v>
      </c>
    </row>
    <row r="3264" spans="1:11">
      <c r="A3264" s="1" t="str">
        <f t="shared" si="50"/>
        <v>50100-908708196-962500070107741</v>
      </c>
      <c r="B3264" s="136" t="s">
        <v>6163</v>
      </c>
      <c r="C3264" s="136" t="s">
        <v>9383</v>
      </c>
      <c r="D3264" s="132" t="s">
        <v>4971</v>
      </c>
      <c r="E3264" s="136" t="s">
        <v>6251</v>
      </c>
      <c r="F3264" s="136" t="s">
        <v>6251</v>
      </c>
      <c r="G3264" s="136" t="s">
        <v>5842</v>
      </c>
      <c r="H3264" s="138" t="s">
        <v>6300</v>
      </c>
      <c r="I3264" s="136">
        <v>962500070</v>
      </c>
      <c r="J3264" s="131" t="s">
        <v>6267</v>
      </c>
      <c r="K3264" s="139">
        <v>107741</v>
      </c>
    </row>
    <row r="3265" spans="1:11">
      <c r="A3265" s="1" t="str">
        <f t="shared" si="50"/>
        <v>50100-909588496-96250004013210</v>
      </c>
      <c r="B3265" s="136" t="s">
        <v>6161</v>
      </c>
      <c r="C3265" s="136" t="s">
        <v>9381</v>
      </c>
      <c r="D3265" s="132" t="s">
        <v>4971</v>
      </c>
      <c r="E3265" s="136" t="s">
        <v>6243</v>
      </c>
      <c r="F3265" s="141" t="s">
        <v>6243</v>
      </c>
      <c r="G3265" s="141" t="s">
        <v>5814</v>
      </c>
      <c r="H3265" s="140" t="s">
        <v>6298</v>
      </c>
      <c r="I3265" s="141">
        <v>962500040</v>
      </c>
      <c r="J3265" s="131" t="s">
        <v>5971</v>
      </c>
      <c r="K3265" s="142">
        <v>13210</v>
      </c>
    </row>
    <row r="3266" spans="1:11">
      <c r="A3266" s="1" t="str">
        <f t="shared" si="50"/>
        <v>50100-905477696-962500047496362</v>
      </c>
      <c r="B3266" s="136" t="s">
        <v>6164</v>
      </c>
      <c r="C3266" s="136" t="s">
        <v>9384</v>
      </c>
      <c r="D3266" s="132" t="s">
        <v>4971</v>
      </c>
      <c r="E3266" s="136" t="s">
        <v>5850</v>
      </c>
      <c r="F3266" s="136" t="s">
        <v>5850</v>
      </c>
      <c r="G3266" s="136" t="s">
        <v>5841</v>
      </c>
      <c r="H3266" s="138" t="s">
        <v>6452</v>
      </c>
      <c r="I3266" s="136">
        <v>962500047</v>
      </c>
      <c r="J3266" s="131" t="s">
        <v>6004</v>
      </c>
      <c r="K3266" s="139">
        <v>496362</v>
      </c>
    </row>
    <row r="3267" spans="1:11">
      <c r="A3267" s="1" t="str">
        <f t="shared" ref="A3267:A3330" si="51">B3267&amp;J3267&amp;K3267</f>
        <v>50100-908708196-96250006987303</v>
      </c>
      <c r="B3267" s="136" t="s">
        <v>6163</v>
      </c>
      <c r="C3267" s="136" t="s">
        <v>9383</v>
      </c>
      <c r="D3267" s="132" t="s">
        <v>4971</v>
      </c>
      <c r="E3267" s="136" t="s">
        <v>6251</v>
      </c>
      <c r="F3267" s="136" t="s">
        <v>6251</v>
      </c>
      <c r="G3267" s="136" t="s">
        <v>5842</v>
      </c>
      <c r="H3267" s="138" t="s">
        <v>6300</v>
      </c>
      <c r="I3267" s="136">
        <v>962500069</v>
      </c>
      <c r="J3267" s="131" t="s">
        <v>6258</v>
      </c>
      <c r="K3267" s="139">
        <v>87303</v>
      </c>
    </row>
    <row r="3268" spans="1:11">
      <c r="A3268" s="1" t="str">
        <f t="shared" si="51"/>
        <v>50100-908525696-9641000451072902</v>
      </c>
      <c r="B3268" s="136" t="s">
        <v>6165</v>
      </c>
      <c r="C3268" s="136" t="s">
        <v>9385</v>
      </c>
      <c r="D3268" s="132" t="s">
        <v>4971</v>
      </c>
      <c r="E3268" s="136" t="s">
        <v>6248</v>
      </c>
      <c r="F3268" s="136" t="s">
        <v>6248</v>
      </c>
      <c r="G3268" s="136" t="s">
        <v>5817</v>
      </c>
      <c r="H3268" s="138" t="s">
        <v>6452</v>
      </c>
      <c r="I3268" s="136">
        <v>964100045</v>
      </c>
      <c r="J3268" s="131" t="s">
        <v>6270</v>
      </c>
      <c r="K3268" s="139">
        <v>1072902</v>
      </c>
    </row>
    <row r="3269" spans="1:11">
      <c r="A3269" s="1" t="str">
        <f t="shared" si="51"/>
        <v>50100-906797396-9625000335000</v>
      </c>
      <c r="B3269" s="136" t="s">
        <v>6166</v>
      </c>
      <c r="C3269" s="136" t="s">
        <v>9386</v>
      </c>
      <c r="D3269" s="132" t="s">
        <v>4971</v>
      </c>
      <c r="E3269" s="136" t="s">
        <v>6245</v>
      </c>
      <c r="F3269" s="141" t="s">
        <v>6245</v>
      </c>
      <c r="G3269" s="141" t="s">
        <v>5814</v>
      </c>
      <c r="H3269" s="140" t="s">
        <v>6298</v>
      </c>
      <c r="I3269" s="141">
        <v>962500033</v>
      </c>
      <c r="J3269" s="131" t="s">
        <v>5915</v>
      </c>
      <c r="K3269" s="142">
        <v>5000</v>
      </c>
    </row>
    <row r="3270" spans="1:11">
      <c r="A3270" s="1" t="str">
        <f t="shared" si="51"/>
        <v>50100-906797396-961500250193000</v>
      </c>
      <c r="B3270" s="136" t="s">
        <v>6166</v>
      </c>
      <c r="C3270" s="136" t="s">
        <v>9386</v>
      </c>
      <c r="D3270" s="132" t="s">
        <v>4971</v>
      </c>
      <c r="E3270" s="136" t="s">
        <v>6245</v>
      </c>
      <c r="F3270" s="141" t="s">
        <v>6245</v>
      </c>
      <c r="G3270" s="141" t="s">
        <v>5814</v>
      </c>
      <c r="H3270" s="140" t="s">
        <v>6298</v>
      </c>
      <c r="I3270" s="141">
        <v>961500250</v>
      </c>
      <c r="J3270" s="131" t="s">
        <v>5939</v>
      </c>
      <c r="K3270" s="142">
        <v>193000</v>
      </c>
    </row>
    <row r="3271" spans="1:11">
      <c r="A3271" s="1" t="str">
        <f t="shared" si="51"/>
        <v>50100-909581596-96150025953000</v>
      </c>
      <c r="B3271" s="136" t="s">
        <v>6146</v>
      </c>
      <c r="C3271" s="136" t="s">
        <v>9366</v>
      </c>
      <c r="D3271" s="132" t="s">
        <v>4971</v>
      </c>
      <c r="E3271" s="136" t="s">
        <v>6243</v>
      </c>
      <c r="F3271" s="141" t="s">
        <v>6243</v>
      </c>
      <c r="G3271" s="141" t="s">
        <v>5814</v>
      </c>
      <c r="H3271" s="140" t="s">
        <v>6298</v>
      </c>
      <c r="I3271" s="141">
        <v>961500259</v>
      </c>
      <c r="J3271" s="131" t="s">
        <v>5951</v>
      </c>
      <c r="K3271" s="142">
        <v>53000</v>
      </c>
    </row>
    <row r="3272" spans="1:11">
      <c r="A3272" s="1" t="str">
        <f t="shared" si="51"/>
        <v>50100-906776296-962500033495000</v>
      </c>
      <c r="B3272" s="136" t="s">
        <v>6167</v>
      </c>
      <c r="C3272" s="136" t="s">
        <v>9387</v>
      </c>
      <c r="D3272" s="132" t="s">
        <v>4971</v>
      </c>
      <c r="E3272" s="136" t="s">
        <v>6245</v>
      </c>
      <c r="F3272" s="141" t="s">
        <v>6245</v>
      </c>
      <c r="G3272" s="141" t="s">
        <v>5814</v>
      </c>
      <c r="H3272" s="140" t="s">
        <v>6298</v>
      </c>
      <c r="I3272" s="141">
        <v>962500033</v>
      </c>
      <c r="J3272" s="131" t="s">
        <v>5915</v>
      </c>
      <c r="K3272" s="142">
        <v>495000</v>
      </c>
    </row>
    <row r="3273" spans="1:11">
      <c r="A3273" s="1" t="str">
        <f t="shared" si="51"/>
        <v>50100-910699796-96250007392401</v>
      </c>
      <c r="B3273" s="136" t="s">
        <v>6152</v>
      </c>
      <c r="C3273" s="136" t="s">
        <v>9372</v>
      </c>
      <c r="D3273" s="132" t="s">
        <v>4971</v>
      </c>
      <c r="E3273" s="136" t="s">
        <v>6247</v>
      </c>
      <c r="F3273" s="136" t="s">
        <v>6247</v>
      </c>
      <c r="G3273" s="136" t="s">
        <v>5842</v>
      </c>
      <c r="H3273" s="138" t="s">
        <v>6300</v>
      </c>
      <c r="I3273" s="136">
        <v>962500073</v>
      </c>
      <c r="J3273" s="131" t="s">
        <v>6271</v>
      </c>
      <c r="K3273" s="139">
        <v>92401</v>
      </c>
    </row>
    <row r="3274" spans="1:11">
      <c r="A3274" s="1" t="str">
        <f t="shared" si="51"/>
        <v>50100-910097396-9625000595693</v>
      </c>
      <c r="B3274" s="136" t="s">
        <v>6153</v>
      </c>
      <c r="C3274" s="136" t="s">
        <v>9373</v>
      </c>
      <c r="D3274" s="132" t="s">
        <v>4971</v>
      </c>
      <c r="E3274" s="136" t="s">
        <v>6250</v>
      </c>
      <c r="F3274" s="136" t="s">
        <v>6250</v>
      </c>
      <c r="G3274" s="136" t="s">
        <v>5856</v>
      </c>
      <c r="H3274" s="138" t="s">
        <v>6455</v>
      </c>
      <c r="I3274" s="136">
        <v>962500059</v>
      </c>
      <c r="J3274" s="131" t="s">
        <v>6038</v>
      </c>
      <c r="K3274" s="139">
        <v>5693</v>
      </c>
    </row>
    <row r="3275" spans="1:11">
      <c r="A3275" s="1" t="str">
        <f t="shared" si="51"/>
        <v>50100-909600796-962500073397441</v>
      </c>
      <c r="B3275" s="136" t="s">
        <v>6155</v>
      </c>
      <c r="C3275" s="136" t="s">
        <v>9375</v>
      </c>
      <c r="D3275" s="132" t="s">
        <v>4971</v>
      </c>
      <c r="E3275" s="136" t="s">
        <v>6243</v>
      </c>
      <c r="F3275" s="136" t="s">
        <v>6243</v>
      </c>
      <c r="G3275" s="136" t="s">
        <v>5842</v>
      </c>
      <c r="H3275" s="138" t="s">
        <v>6300</v>
      </c>
      <c r="I3275" s="136">
        <v>962500073</v>
      </c>
      <c r="J3275" s="131" t="s">
        <v>6271</v>
      </c>
      <c r="K3275" s="139">
        <v>397441</v>
      </c>
    </row>
    <row r="3276" spans="1:11">
      <c r="A3276" s="1" t="str">
        <f t="shared" si="51"/>
        <v>50100-907856396-962500059254307</v>
      </c>
      <c r="B3276" s="136" t="s">
        <v>6168</v>
      </c>
      <c r="C3276" s="136" t="s">
        <v>9388</v>
      </c>
      <c r="D3276" s="132" t="s">
        <v>4971</v>
      </c>
      <c r="E3276" s="136" t="s">
        <v>6249</v>
      </c>
      <c r="F3276" s="136" t="s">
        <v>6249</v>
      </c>
      <c r="G3276" s="136" t="s">
        <v>5856</v>
      </c>
      <c r="H3276" s="138" t="s">
        <v>6455</v>
      </c>
      <c r="I3276" s="136">
        <v>962500059</v>
      </c>
      <c r="J3276" s="131" t="s">
        <v>6038</v>
      </c>
      <c r="K3276" s="139">
        <v>254307</v>
      </c>
    </row>
    <row r="3277" spans="1:11">
      <c r="A3277" s="1" t="str">
        <f t="shared" si="51"/>
        <v>50100-905993796-962500051111278</v>
      </c>
      <c r="B3277" s="136" t="s">
        <v>6162</v>
      </c>
      <c r="C3277" s="136" t="s">
        <v>9382</v>
      </c>
      <c r="D3277" s="132" t="s">
        <v>4971</v>
      </c>
      <c r="E3277" s="136" t="s">
        <v>5857</v>
      </c>
      <c r="F3277" s="136" t="s">
        <v>5857</v>
      </c>
      <c r="G3277" s="136" t="s">
        <v>5842</v>
      </c>
      <c r="H3277" s="138" t="s">
        <v>6300</v>
      </c>
      <c r="I3277" s="136">
        <v>962500051</v>
      </c>
      <c r="J3277" s="131" t="s">
        <v>6008</v>
      </c>
      <c r="K3277" s="139">
        <v>111278</v>
      </c>
    </row>
    <row r="3278" spans="1:11">
      <c r="A3278" s="1" t="str">
        <f t="shared" si="51"/>
        <v>50100-909588496-962500037126090</v>
      </c>
      <c r="B3278" s="136" t="s">
        <v>6161</v>
      </c>
      <c r="C3278" s="136" t="s">
        <v>9381</v>
      </c>
      <c r="D3278" s="132" t="s">
        <v>4971</v>
      </c>
      <c r="E3278" s="136" t="s">
        <v>6243</v>
      </c>
      <c r="F3278" s="141" t="s">
        <v>6243</v>
      </c>
      <c r="G3278" s="141" t="s">
        <v>5814</v>
      </c>
      <c r="H3278" s="140" t="s">
        <v>6298</v>
      </c>
      <c r="I3278" s="141">
        <v>962500037</v>
      </c>
      <c r="J3278" s="131" t="s">
        <v>5958</v>
      </c>
      <c r="K3278" s="142">
        <v>126090</v>
      </c>
    </row>
    <row r="3279" spans="1:11">
      <c r="A3279" s="1" t="str">
        <f t="shared" si="51"/>
        <v>15100-43066295-95150053772060</v>
      </c>
      <c r="B3279" s="136" t="s">
        <v>6178</v>
      </c>
      <c r="C3279" s="141" t="s">
        <v>9398</v>
      </c>
      <c r="D3279" s="132" t="s">
        <v>4971</v>
      </c>
      <c r="E3279" s="136" t="s">
        <v>5415</v>
      </c>
      <c r="F3279" s="136" t="s">
        <v>5415</v>
      </c>
      <c r="G3279" s="136" t="s">
        <v>5715</v>
      </c>
      <c r="H3279" s="138" t="s">
        <v>6301</v>
      </c>
      <c r="I3279" s="136">
        <v>951500537</v>
      </c>
      <c r="J3279" s="131" t="s">
        <v>4504</v>
      </c>
      <c r="K3279" s="139">
        <v>72060</v>
      </c>
    </row>
    <row r="3280" spans="1:11">
      <c r="A3280" s="1" t="str">
        <f t="shared" si="51"/>
        <v>15100-45383996-96150017825370</v>
      </c>
      <c r="B3280" s="136" t="s">
        <v>6180</v>
      </c>
      <c r="C3280" s="136" t="s">
        <v>9400</v>
      </c>
      <c r="D3280" s="132" t="s">
        <v>4971</v>
      </c>
      <c r="E3280" s="136" t="s">
        <v>5840</v>
      </c>
      <c r="F3280" s="136" t="s">
        <v>5840</v>
      </c>
      <c r="G3280" s="136" t="s">
        <v>5810</v>
      </c>
      <c r="H3280" s="138" t="s">
        <v>6298</v>
      </c>
      <c r="I3280" s="136">
        <v>961500178</v>
      </c>
      <c r="J3280" s="131" t="s">
        <v>5593</v>
      </c>
      <c r="K3280" s="139">
        <v>25370</v>
      </c>
    </row>
    <row r="3281" spans="1:11">
      <c r="A3281" s="1" t="str">
        <f t="shared" si="51"/>
        <v>15100-45636096-96150024247840</v>
      </c>
      <c r="B3281" s="136" t="s">
        <v>6181</v>
      </c>
      <c r="C3281" s="136" t="s">
        <v>9401</v>
      </c>
      <c r="D3281" s="132" t="s">
        <v>4971</v>
      </c>
      <c r="E3281" s="136" t="s">
        <v>5849</v>
      </c>
      <c r="F3281" s="136" t="s">
        <v>5849</v>
      </c>
      <c r="G3281" s="136" t="s">
        <v>5819</v>
      </c>
      <c r="H3281" s="138" t="s">
        <v>6300</v>
      </c>
      <c r="I3281" s="136">
        <v>961500242</v>
      </c>
      <c r="J3281" s="131" t="s">
        <v>5932</v>
      </c>
      <c r="K3281" s="139">
        <v>47840</v>
      </c>
    </row>
    <row r="3282" spans="1:11">
      <c r="A3282" s="1" t="str">
        <f t="shared" si="51"/>
        <v>15100-45561396-96150020950190</v>
      </c>
      <c r="B3282" s="136" t="s">
        <v>6182</v>
      </c>
      <c r="C3282" s="136" t="s">
        <v>9402</v>
      </c>
      <c r="D3282" s="132" t="s">
        <v>4971</v>
      </c>
      <c r="E3282" s="136" t="s">
        <v>5846</v>
      </c>
      <c r="F3282" s="136" t="s">
        <v>5846</v>
      </c>
      <c r="G3282" s="136" t="s">
        <v>5813</v>
      </c>
      <c r="H3282" s="138" t="s">
        <v>6298</v>
      </c>
      <c r="I3282" s="136">
        <v>961500209</v>
      </c>
      <c r="J3282" s="131" t="s">
        <v>5578</v>
      </c>
      <c r="K3282" s="139">
        <v>50190</v>
      </c>
    </row>
    <row r="3283" spans="1:11">
      <c r="A3283" s="1" t="str">
        <f t="shared" si="51"/>
        <v>15100-45561396-96150021419290</v>
      </c>
      <c r="B3283" s="136" t="s">
        <v>6182</v>
      </c>
      <c r="C3283" s="136" t="s">
        <v>9402</v>
      </c>
      <c r="D3283" s="132" t="s">
        <v>4971</v>
      </c>
      <c r="E3283" s="136" t="s">
        <v>5846</v>
      </c>
      <c r="F3283" s="136" t="s">
        <v>5846</v>
      </c>
      <c r="G3283" s="136" t="s">
        <v>5813</v>
      </c>
      <c r="H3283" s="138" t="s">
        <v>6298</v>
      </c>
      <c r="I3283" s="136">
        <v>961500214</v>
      </c>
      <c r="J3283" s="131" t="s">
        <v>5905</v>
      </c>
      <c r="K3283" s="139">
        <v>19290</v>
      </c>
    </row>
    <row r="3284" spans="1:11">
      <c r="A3284" s="1" t="str">
        <f t="shared" si="51"/>
        <v>15100-45692996-96150031047040</v>
      </c>
      <c r="B3284" s="136" t="s">
        <v>6183</v>
      </c>
      <c r="C3284" s="136" t="s">
        <v>9403</v>
      </c>
      <c r="D3284" s="132" t="s">
        <v>4971</v>
      </c>
      <c r="E3284" s="136" t="s">
        <v>5850</v>
      </c>
      <c r="F3284" s="136" t="s">
        <v>5850</v>
      </c>
      <c r="G3284" s="136" t="s">
        <v>5838</v>
      </c>
      <c r="H3284" s="138" t="s">
        <v>6299</v>
      </c>
      <c r="I3284" s="136">
        <v>961500310</v>
      </c>
      <c r="J3284" s="131" t="s">
        <v>6018</v>
      </c>
      <c r="K3284" s="139">
        <v>47040</v>
      </c>
    </row>
    <row r="3285" spans="1:11">
      <c r="A3285" s="1" t="str">
        <f t="shared" si="51"/>
        <v>15100-45598896-961500242166770</v>
      </c>
      <c r="B3285" s="136" t="s">
        <v>6184</v>
      </c>
      <c r="C3285" s="136" t="s">
        <v>9404</v>
      </c>
      <c r="D3285" s="132" t="s">
        <v>4971</v>
      </c>
      <c r="E3285" s="136" t="s">
        <v>5848</v>
      </c>
      <c r="F3285" s="136" t="s">
        <v>5848</v>
      </c>
      <c r="G3285" s="136" t="s">
        <v>5819</v>
      </c>
      <c r="H3285" s="138" t="s">
        <v>6300</v>
      </c>
      <c r="I3285" s="136">
        <v>961500242</v>
      </c>
      <c r="J3285" s="131" t="s">
        <v>5932</v>
      </c>
      <c r="K3285" s="139">
        <v>166770</v>
      </c>
    </row>
    <row r="3286" spans="1:11">
      <c r="A3286" s="1" t="str">
        <f t="shared" si="51"/>
        <v>15100-45598896-96150027223950</v>
      </c>
      <c r="B3286" s="136" t="s">
        <v>6184</v>
      </c>
      <c r="C3286" s="136" t="s">
        <v>9404</v>
      </c>
      <c r="D3286" s="132" t="s">
        <v>4971</v>
      </c>
      <c r="E3286" s="136" t="s">
        <v>5848</v>
      </c>
      <c r="F3286" s="136" t="s">
        <v>5848</v>
      </c>
      <c r="G3286" s="136" t="s">
        <v>5807</v>
      </c>
      <c r="H3286" s="138" t="s">
        <v>6300</v>
      </c>
      <c r="I3286" s="136">
        <v>961500272</v>
      </c>
      <c r="J3286" s="131" t="s">
        <v>5967</v>
      </c>
      <c r="K3286" s="139">
        <v>23950</v>
      </c>
    </row>
    <row r="3287" spans="1:11">
      <c r="A3287" s="1" t="str">
        <f t="shared" si="51"/>
        <v>15100-45599796-961500257175000</v>
      </c>
      <c r="B3287" s="136" t="s">
        <v>6185</v>
      </c>
      <c r="C3287" s="136" t="s">
        <v>9405</v>
      </c>
      <c r="D3287" s="132" t="s">
        <v>4971</v>
      </c>
      <c r="E3287" s="136" t="s">
        <v>5848</v>
      </c>
      <c r="F3287" s="136" t="s">
        <v>5848</v>
      </c>
      <c r="G3287" s="136" t="s">
        <v>5826</v>
      </c>
      <c r="H3287" s="138" t="s">
        <v>6298</v>
      </c>
      <c r="I3287" s="136">
        <v>961500257</v>
      </c>
      <c r="J3287" s="131" t="s">
        <v>5946</v>
      </c>
      <c r="K3287" s="139">
        <v>175000</v>
      </c>
    </row>
    <row r="3288" spans="1:11">
      <c r="A3288" s="1" t="str">
        <f t="shared" si="51"/>
        <v>15100-45928996-96150026773000</v>
      </c>
      <c r="B3288" s="136" t="s">
        <v>6186</v>
      </c>
      <c r="C3288" s="136" t="s">
        <v>9406</v>
      </c>
      <c r="D3288" s="132" t="s">
        <v>4971</v>
      </c>
      <c r="E3288" s="136" t="s">
        <v>6248</v>
      </c>
      <c r="F3288" s="136" t="s">
        <v>6248</v>
      </c>
      <c r="G3288" s="136" t="s">
        <v>5807</v>
      </c>
      <c r="H3288" s="138" t="s">
        <v>6300</v>
      </c>
      <c r="I3288" s="136">
        <v>961500267</v>
      </c>
      <c r="J3288" s="131" t="s">
        <v>5960</v>
      </c>
      <c r="K3288" s="139">
        <v>73000</v>
      </c>
    </row>
    <row r="3289" spans="1:11">
      <c r="A3289" s="1" t="str">
        <f t="shared" si="51"/>
        <v>15100-45637996-96150025133260</v>
      </c>
      <c r="B3289" s="136" t="s">
        <v>6187</v>
      </c>
      <c r="C3289" s="136" t="s">
        <v>9407</v>
      </c>
      <c r="D3289" s="132" t="s">
        <v>4971</v>
      </c>
      <c r="E3289" s="136" t="s">
        <v>5849</v>
      </c>
      <c r="F3289" s="141" t="s">
        <v>5849</v>
      </c>
      <c r="G3289" s="141" t="s">
        <v>5814</v>
      </c>
      <c r="H3289" s="140" t="s">
        <v>6298</v>
      </c>
      <c r="I3289" s="141">
        <v>961500251</v>
      </c>
      <c r="J3289" s="131" t="s">
        <v>5940</v>
      </c>
      <c r="K3289" s="142">
        <v>33260</v>
      </c>
    </row>
    <row r="3290" spans="1:11">
      <c r="A3290" s="1" t="str">
        <f t="shared" si="51"/>
        <v>15100-45733796-96150030848000</v>
      </c>
      <c r="B3290" s="136" t="s">
        <v>6188</v>
      </c>
      <c r="C3290" s="136" t="s">
        <v>9408</v>
      </c>
      <c r="D3290" s="132" t="s">
        <v>4971</v>
      </c>
      <c r="E3290" s="136" t="s">
        <v>5857</v>
      </c>
      <c r="F3290" s="136" t="s">
        <v>5857</v>
      </c>
      <c r="G3290" s="136" t="s">
        <v>5831</v>
      </c>
      <c r="H3290" s="138" t="s">
        <v>6298</v>
      </c>
      <c r="I3290" s="136">
        <v>961500308</v>
      </c>
      <c r="J3290" s="131" t="s">
        <v>6016</v>
      </c>
      <c r="K3290" s="139">
        <v>48000</v>
      </c>
    </row>
    <row r="3291" spans="1:11">
      <c r="A3291" s="1" t="str">
        <f t="shared" si="51"/>
        <v>15100-45928996-961500266103520</v>
      </c>
      <c r="B3291" s="136" t="s">
        <v>6186</v>
      </c>
      <c r="C3291" s="136" t="s">
        <v>9406</v>
      </c>
      <c r="D3291" s="132" t="s">
        <v>4971</v>
      </c>
      <c r="E3291" s="136" t="s">
        <v>6248</v>
      </c>
      <c r="F3291" s="136" t="s">
        <v>6248</v>
      </c>
      <c r="G3291" s="136" t="s">
        <v>5807</v>
      </c>
      <c r="H3291" s="138" t="s">
        <v>6300</v>
      </c>
      <c r="I3291" s="136">
        <v>961500266</v>
      </c>
      <c r="J3291" s="131" t="s">
        <v>5959</v>
      </c>
      <c r="K3291" s="139">
        <v>103520</v>
      </c>
    </row>
    <row r="3292" spans="1:11">
      <c r="A3292" s="1" t="str">
        <f t="shared" si="51"/>
        <v>15100-45738896-961500315190140</v>
      </c>
      <c r="B3292" s="136" t="s">
        <v>6189</v>
      </c>
      <c r="C3292" s="136" t="s">
        <v>9409</v>
      </c>
      <c r="D3292" s="132" t="s">
        <v>4971</v>
      </c>
      <c r="E3292" s="136" t="s">
        <v>5857</v>
      </c>
      <c r="F3292" s="136" t="s">
        <v>5857</v>
      </c>
      <c r="G3292" s="136" t="s">
        <v>5847</v>
      </c>
      <c r="H3292" s="138" t="s">
        <v>6299</v>
      </c>
      <c r="I3292" s="136">
        <v>961500315</v>
      </c>
      <c r="J3292" s="131" t="s">
        <v>6026</v>
      </c>
      <c r="K3292" s="139">
        <v>190140</v>
      </c>
    </row>
    <row r="3293" spans="1:11">
      <c r="A3293" s="1" t="str">
        <f t="shared" si="51"/>
        <v>15100-45503096-96150029168020</v>
      </c>
      <c r="B3293" s="136" t="s">
        <v>6190</v>
      </c>
      <c r="C3293" s="136" t="s">
        <v>9410</v>
      </c>
      <c r="D3293" s="132" t="s">
        <v>4971</v>
      </c>
      <c r="E3293" s="136" t="s">
        <v>5600</v>
      </c>
      <c r="F3293" s="136" t="s">
        <v>5600</v>
      </c>
      <c r="G3293" s="136" t="s">
        <v>5838</v>
      </c>
      <c r="H3293" s="138" t="s">
        <v>6299</v>
      </c>
      <c r="I3293" s="136">
        <v>961500291</v>
      </c>
      <c r="J3293" s="131" t="s">
        <v>5994</v>
      </c>
      <c r="K3293" s="139">
        <v>68020</v>
      </c>
    </row>
    <row r="3294" spans="1:11">
      <c r="A3294" s="1" t="str">
        <f t="shared" si="51"/>
        <v>15100-45561396-96150023725500</v>
      </c>
      <c r="B3294" s="136" t="s">
        <v>6182</v>
      </c>
      <c r="C3294" s="136" t="s">
        <v>9402</v>
      </c>
      <c r="D3294" s="132" t="s">
        <v>4971</v>
      </c>
      <c r="E3294" s="136" t="s">
        <v>5846</v>
      </c>
      <c r="F3294" s="136" t="s">
        <v>5846</v>
      </c>
      <c r="G3294" s="136" t="s">
        <v>5813</v>
      </c>
      <c r="H3294" s="138" t="s">
        <v>6298</v>
      </c>
      <c r="I3294" s="136">
        <v>961500237</v>
      </c>
      <c r="J3294" s="131" t="s">
        <v>5927</v>
      </c>
      <c r="K3294" s="139">
        <v>25500</v>
      </c>
    </row>
    <row r="3295" spans="1:11">
      <c r="A3295" s="1" t="str">
        <f t="shared" si="51"/>
        <v>15100-45561396-96150017857090</v>
      </c>
      <c r="B3295" s="136" t="s">
        <v>6182</v>
      </c>
      <c r="C3295" s="136" t="s">
        <v>9402</v>
      </c>
      <c r="D3295" s="132" t="s">
        <v>4971</v>
      </c>
      <c r="E3295" s="136" t="s">
        <v>5846</v>
      </c>
      <c r="F3295" s="136" t="s">
        <v>5846</v>
      </c>
      <c r="G3295" s="136" t="s">
        <v>5810</v>
      </c>
      <c r="H3295" s="138" t="s">
        <v>6298</v>
      </c>
      <c r="I3295" s="136">
        <v>961500178</v>
      </c>
      <c r="J3295" s="131" t="s">
        <v>5593</v>
      </c>
      <c r="K3295" s="139">
        <v>57090</v>
      </c>
    </row>
    <row r="3296" spans="1:11">
      <c r="A3296" s="1" t="str">
        <f t="shared" si="51"/>
        <v>15100-46239896-96150033230220</v>
      </c>
      <c r="B3296" s="136" t="s">
        <v>6191</v>
      </c>
      <c r="C3296" s="136" t="s">
        <v>9411</v>
      </c>
      <c r="D3296" s="132" t="s">
        <v>4971</v>
      </c>
      <c r="E3296" s="136" t="s">
        <v>6246</v>
      </c>
      <c r="F3296" s="136" t="s">
        <v>6246</v>
      </c>
      <c r="G3296" s="141" t="s">
        <v>7258</v>
      </c>
      <c r="H3296" s="140" t="s">
        <v>6299</v>
      </c>
      <c r="I3296" s="141">
        <v>961500332</v>
      </c>
      <c r="J3296" s="131" t="s">
        <v>6272</v>
      </c>
      <c r="K3296" s="142">
        <v>30220</v>
      </c>
    </row>
    <row r="3297" spans="1:11">
      <c r="A3297" s="1" t="str">
        <f t="shared" si="51"/>
        <v>15100-46239896-961500340235480</v>
      </c>
      <c r="B3297" s="136" t="s">
        <v>6191</v>
      </c>
      <c r="C3297" s="136" t="s">
        <v>9411</v>
      </c>
      <c r="D3297" s="132" t="s">
        <v>4971</v>
      </c>
      <c r="E3297" s="136" t="s">
        <v>6246</v>
      </c>
      <c r="F3297" s="136" t="s">
        <v>6246</v>
      </c>
      <c r="G3297" s="136" t="s">
        <v>5831</v>
      </c>
      <c r="H3297" s="138" t="s">
        <v>6298</v>
      </c>
      <c r="I3297" s="136">
        <v>961500340</v>
      </c>
      <c r="J3297" s="131" t="s">
        <v>6273</v>
      </c>
      <c r="K3297" s="139">
        <v>235480</v>
      </c>
    </row>
    <row r="3298" spans="1:11">
      <c r="A3298" s="1" t="str">
        <f t="shared" si="51"/>
        <v>15100-45599796-961500260113110</v>
      </c>
      <c r="B3298" s="136" t="s">
        <v>6185</v>
      </c>
      <c r="C3298" s="136" t="s">
        <v>9405</v>
      </c>
      <c r="D3298" s="132" t="s">
        <v>4971</v>
      </c>
      <c r="E3298" s="136" t="s">
        <v>5848</v>
      </c>
      <c r="F3298" s="136" t="s">
        <v>5848</v>
      </c>
      <c r="G3298" s="136" t="s">
        <v>5826</v>
      </c>
      <c r="H3298" s="138" t="s">
        <v>6298</v>
      </c>
      <c r="I3298" s="136">
        <v>961500260</v>
      </c>
      <c r="J3298" s="131" t="s">
        <v>5952</v>
      </c>
      <c r="K3298" s="139">
        <v>113110</v>
      </c>
    </row>
    <row r="3299" spans="1:11">
      <c r="A3299" s="1" t="str">
        <f t="shared" si="51"/>
        <v>15100-45876096-96150031845380</v>
      </c>
      <c r="B3299" s="136" t="s">
        <v>6192</v>
      </c>
      <c r="C3299" s="136" t="s">
        <v>9412</v>
      </c>
      <c r="D3299" s="132" t="s">
        <v>4971</v>
      </c>
      <c r="E3299" s="136" t="s">
        <v>6249</v>
      </c>
      <c r="F3299" s="136" t="s">
        <v>6249</v>
      </c>
      <c r="G3299" s="136" t="s">
        <v>5851</v>
      </c>
      <c r="H3299" s="138" t="s">
        <v>6299</v>
      </c>
      <c r="I3299" s="136">
        <v>961500318</v>
      </c>
      <c r="J3299" s="131" t="s">
        <v>6031</v>
      </c>
      <c r="K3299" s="139">
        <v>45380</v>
      </c>
    </row>
    <row r="3300" spans="1:11">
      <c r="A3300" s="1" t="str">
        <f t="shared" si="51"/>
        <v>15100-45447396-96150001273980</v>
      </c>
      <c r="B3300" s="136" t="s">
        <v>6193</v>
      </c>
      <c r="C3300" s="136" t="s">
        <v>9413</v>
      </c>
      <c r="D3300" s="132" t="s">
        <v>4971</v>
      </c>
      <c r="E3300" s="136" t="s">
        <v>5843</v>
      </c>
      <c r="F3300" s="136" t="s">
        <v>5843</v>
      </c>
      <c r="G3300" s="136" t="s">
        <v>5768</v>
      </c>
      <c r="H3300" s="138" t="s">
        <v>6454</v>
      </c>
      <c r="I3300" s="136">
        <v>961500012</v>
      </c>
      <c r="J3300" s="131" t="s">
        <v>5575</v>
      </c>
      <c r="K3300" s="139">
        <v>73980</v>
      </c>
    </row>
    <row r="3301" spans="1:11">
      <c r="A3301" s="1" t="str">
        <f t="shared" si="51"/>
        <v>15100-45637996-961500223270060</v>
      </c>
      <c r="B3301" s="136" t="s">
        <v>6187</v>
      </c>
      <c r="C3301" s="136" t="s">
        <v>9407</v>
      </c>
      <c r="D3301" s="132" t="s">
        <v>4971</v>
      </c>
      <c r="E3301" s="136" t="s">
        <v>5849</v>
      </c>
      <c r="F3301" s="136" t="s">
        <v>5849</v>
      </c>
      <c r="G3301" s="136" t="s">
        <v>5813</v>
      </c>
      <c r="H3301" s="138" t="s">
        <v>6298</v>
      </c>
      <c r="I3301" s="136">
        <v>961500223</v>
      </c>
      <c r="J3301" s="131" t="s">
        <v>5913</v>
      </c>
      <c r="K3301" s="139">
        <v>270060</v>
      </c>
    </row>
    <row r="3302" spans="1:11">
      <c r="A3302" s="1" t="str">
        <f t="shared" si="51"/>
        <v>15100-45878796-96150018375890</v>
      </c>
      <c r="B3302" s="136" t="s">
        <v>6194</v>
      </c>
      <c r="C3302" s="136" t="s">
        <v>9414</v>
      </c>
      <c r="D3302" s="132" t="s">
        <v>4971</v>
      </c>
      <c r="E3302" s="136" t="s">
        <v>6249</v>
      </c>
      <c r="F3302" s="136" t="s">
        <v>6249</v>
      </c>
      <c r="G3302" s="136" t="s">
        <v>5816</v>
      </c>
      <c r="H3302" s="138" t="s">
        <v>6454</v>
      </c>
      <c r="I3302" s="136">
        <v>961500183</v>
      </c>
      <c r="J3302" s="131" t="s">
        <v>5890</v>
      </c>
      <c r="K3302" s="139">
        <v>75890</v>
      </c>
    </row>
    <row r="3303" spans="1:11">
      <c r="A3303" s="1" t="str">
        <f t="shared" si="51"/>
        <v>15100-45928996-96150031883240</v>
      </c>
      <c r="B3303" s="136" t="s">
        <v>6186</v>
      </c>
      <c r="C3303" s="136" t="s">
        <v>9406</v>
      </c>
      <c r="D3303" s="132" t="s">
        <v>4971</v>
      </c>
      <c r="E3303" s="136" t="s">
        <v>6248</v>
      </c>
      <c r="F3303" s="136" t="s">
        <v>6248</v>
      </c>
      <c r="G3303" s="136" t="s">
        <v>5851</v>
      </c>
      <c r="H3303" s="138" t="s">
        <v>6299</v>
      </c>
      <c r="I3303" s="136">
        <v>961500318</v>
      </c>
      <c r="J3303" s="131" t="s">
        <v>6031</v>
      </c>
      <c r="K3303" s="139">
        <v>83240</v>
      </c>
    </row>
    <row r="3304" spans="1:11">
      <c r="A3304" s="1" t="str">
        <f t="shared" si="51"/>
        <v>15100-45878796-96150021672500</v>
      </c>
      <c r="B3304" s="136" t="s">
        <v>6194</v>
      </c>
      <c r="C3304" s="136" t="s">
        <v>9414</v>
      </c>
      <c r="D3304" s="132" t="s">
        <v>4971</v>
      </c>
      <c r="E3304" s="136" t="s">
        <v>6249</v>
      </c>
      <c r="F3304" s="136" t="s">
        <v>6249</v>
      </c>
      <c r="G3304" s="136" t="s">
        <v>5813</v>
      </c>
      <c r="H3304" s="138" t="s">
        <v>6298</v>
      </c>
      <c r="I3304" s="136">
        <v>961500216</v>
      </c>
      <c r="J3304" s="131" t="s">
        <v>5906</v>
      </c>
      <c r="K3304" s="139">
        <v>72500</v>
      </c>
    </row>
    <row r="3305" spans="1:11">
      <c r="A3305" s="1" t="str">
        <f t="shared" si="51"/>
        <v>15100-46301396-96150033271820</v>
      </c>
      <c r="B3305" s="136" t="s">
        <v>6195</v>
      </c>
      <c r="C3305" s="136" t="s">
        <v>9415</v>
      </c>
      <c r="D3305" s="132" t="s">
        <v>4971</v>
      </c>
      <c r="E3305" s="136" t="s">
        <v>6244</v>
      </c>
      <c r="F3305" s="136" t="s">
        <v>6244</v>
      </c>
      <c r="G3305" s="141" t="s">
        <v>7258</v>
      </c>
      <c r="H3305" s="140" t="s">
        <v>6299</v>
      </c>
      <c r="I3305" s="141">
        <v>961500332</v>
      </c>
      <c r="J3305" s="131" t="s">
        <v>6272</v>
      </c>
      <c r="K3305" s="142">
        <v>71820</v>
      </c>
    </row>
    <row r="3306" spans="1:11">
      <c r="A3306" s="1" t="str">
        <f t="shared" si="51"/>
        <v>15100-45827096-961500318353270</v>
      </c>
      <c r="B3306" s="136" t="s">
        <v>6196</v>
      </c>
      <c r="C3306" s="136" t="s">
        <v>9416</v>
      </c>
      <c r="D3306" s="132" t="s">
        <v>4971</v>
      </c>
      <c r="E3306" s="136" t="s">
        <v>6075</v>
      </c>
      <c r="F3306" s="136" t="s">
        <v>6075</v>
      </c>
      <c r="G3306" s="136" t="s">
        <v>5851</v>
      </c>
      <c r="H3306" s="138" t="s">
        <v>6299</v>
      </c>
      <c r="I3306" s="136">
        <v>961500318</v>
      </c>
      <c r="J3306" s="131" t="s">
        <v>6031</v>
      </c>
      <c r="K3306" s="139">
        <v>353270</v>
      </c>
    </row>
    <row r="3307" spans="1:11">
      <c r="A3307" s="1" t="str">
        <f t="shared" si="51"/>
        <v>15100-45599796-96150025133930</v>
      </c>
      <c r="B3307" s="136" t="s">
        <v>6185</v>
      </c>
      <c r="C3307" s="136" t="s">
        <v>9405</v>
      </c>
      <c r="D3307" s="132" t="s">
        <v>4971</v>
      </c>
      <c r="E3307" s="136" t="s">
        <v>5848</v>
      </c>
      <c r="F3307" s="141" t="s">
        <v>5848</v>
      </c>
      <c r="G3307" s="141" t="s">
        <v>5814</v>
      </c>
      <c r="H3307" s="140" t="s">
        <v>6298</v>
      </c>
      <c r="I3307" s="141">
        <v>961500251</v>
      </c>
      <c r="J3307" s="131" t="s">
        <v>5940</v>
      </c>
      <c r="K3307" s="142">
        <v>33930</v>
      </c>
    </row>
    <row r="3308" spans="1:11">
      <c r="A3308" s="1" t="str">
        <f t="shared" si="51"/>
        <v>15100-45735596-9615000644210</v>
      </c>
      <c r="B3308" s="136" t="s">
        <v>6197</v>
      </c>
      <c r="C3308" s="136">
        <v>457355</v>
      </c>
      <c r="D3308" s="132" t="s">
        <v>4971</v>
      </c>
      <c r="E3308" s="136" t="s">
        <v>5857</v>
      </c>
      <c r="F3308" s="141" t="s">
        <v>5857</v>
      </c>
      <c r="G3308" s="141" t="s">
        <v>5788</v>
      </c>
      <c r="H3308" s="140" t="s">
        <v>8845</v>
      </c>
      <c r="I3308" s="141">
        <v>961500064</v>
      </c>
      <c r="J3308" s="131" t="s">
        <v>5064</v>
      </c>
      <c r="K3308" s="142">
        <v>4210</v>
      </c>
    </row>
    <row r="3309" spans="1:11">
      <c r="A3309" s="1" t="str">
        <f t="shared" si="51"/>
        <v>15100-46230496-96150028645790</v>
      </c>
      <c r="B3309" s="136" t="s">
        <v>6198</v>
      </c>
      <c r="C3309" s="136" t="s">
        <v>9418</v>
      </c>
      <c r="D3309" s="132" t="s">
        <v>4971</v>
      </c>
      <c r="E3309" s="136" t="s">
        <v>6246</v>
      </c>
      <c r="F3309" s="136" t="s">
        <v>6246</v>
      </c>
      <c r="G3309" s="136" t="s">
        <v>5820</v>
      </c>
      <c r="H3309" s="138" t="s">
        <v>6300</v>
      </c>
      <c r="I3309" s="136">
        <v>961500286</v>
      </c>
      <c r="J3309" s="131" t="s">
        <v>5988</v>
      </c>
      <c r="K3309" s="139">
        <v>45790</v>
      </c>
    </row>
    <row r="3310" spans="1:11">
      <c r="A3310" s="1" t="str">
        <f t="shared" si="51"/>
        <v>15100-45494996-96150020972360</v>
      </c>
      <c r="B3310" s="136" t="s">
        <v>6199</v>
      </c>
      <c r="C3310" s="136" t="s">
        <v>9419</v>
      </c>
      <c r="D3310" s="132" t="s">
        <v>4971</v>
      </c>
      <c r="E3310" s="136" t="s">
        <v>5600</v>
      </c>
      <c r="F3310" s="136" t="s">
        <v>5600</v>
      </c>
      <c r="G3310" s="136" t="s">
        <v>5813</v>
      </c>
      <c r="H3310" s="138" t="s">
        <v>6298</v>
      </c>
      <c r="I3310" s="136">
        <v>961500209</v>
      </c>
      <c r="J3310" s="131" t="s">
        <v>5578</v>
      </c>
      <c r="K3310" s="139">
        <v>72360</v>
      </c>
    </row>
    <row r="3311" spans="1:11">
      <c r="A3311" s="1" t="str">
        <f t="shared" si="51"/>
        <v>15100-45735596-9615002141330</v>
      </c>
      <c r="B3311" s="136" t="s">
        <v>6197</v>
      </c>
      <c r="C3311" s="136">
        <v>457355</v>
      </c>
      <c r="D3311" s="132" t="s">
        <v>4971</v>
      </c>
      <c r="E3311" s="136" t="s">
        <v>5857</v>
      </c>
      <c r="F3311" s="136" t="s">
        <v>5857</v>
      </c>
      <c r="G3311" s="136" t="s">
        <v>5813</v>
      </c>
      <c r="H3311" s="138" t="s">
        <v>6298</v>
      </c>
      <c r="I3311" s="136">
        <v>961500214</v>
      </c>
      <c r="J3311" s="131" t="s">
        <v>5905</v>
      </c>
      <c r="K3311" s="139">
        <v>1330</v>
      </c>
    </row>
    <row r="3312" spans="1:11">
      <c r="A3312" s="1" t="str">
        <f t="shared" si="51"/>
        <v>15100-45735596-96150031534650</v>
      </c>
      <c r="B3312" s="136" t="s">
        <v>6197</v>
      </c>
      <c r="C3312" s="136">
        <v>457355</v>
      </c>
      <c r="D3312" s="132" t="s">
        <v>4971</v>
      </c>
      <c r="E3312" s="136" t="s">
        <v>5857</v>
      </c>
      <c r="F3312" s="136" t="s">
        <v>5857</v>
      </c>
      <c r="G3312" s="136" t="s">
        <v>5847</v>
      </c>
      <c r="H3312" s="138" t="s">
        <v>6299</v>
      </c>
      <c r="I3312" s="136">
        <v>961500315</v>
      </c>
      <c r="J3312" s="131" t="s">
        <v>6026</v>
      </c>
      <c r="K3312" s="139">
        <v>34650</v>
      </c>
    </row>
    <row r="3313" spans="1:11">
      <c r="A3313" s="1" t="str">
        <f t="shared" si="51"/>
        <v>15100-45777996-961500315155210</v>
      </c>
      <c r="B3313" s="136" t="s">
        <v>6200</v>
      </c>
      <c r="C3313" s="136" t="s">
        <v>9420</v>
      </c>
      <c r="D3313" s="132" t="s">
        <v>4971</v>
      </c>
      <c r="E3313" s="136" t="s">
        <v>6245</v>
      </c>
      <c r="F3313" s="136" t="s">
        <v>6245</v>
      </c>
      <c r="G3313" s="136" t="s">
        <v>5847</v>
      </c>
      <c r="H3313" s="138" t="s">
        <v>6299</v>
      </c>
      <c r="I3313" s="136">
        <v>961500315</v>
      </c>
      <c r="J3313" s="131" t="s">
        <v>6026</v>
      </c>
      <c r="K3313" s="139">
        <v>155210</v>
      </c>
    </row>
    <row r="3314" spans="1:11">
      <c r="A3314" s="1" t="str">
        <f t="shared" si="51"/>
        <v>15100-46364696-961500350299380</v>
      </c>
      <c r="B3314" s="136" t="s">
        <v>6201</v>
      </c>
      <c r="C3314" s="136" t="s">
        <v>9421</v>
      </c>
      <c r="D3314" s="132" t="s">
        <v>4971</v>
      </c>
      <c r="E3314" s="136" t="s">
        <v>6128</v>
      </c>
      <c r="F3314" s="136" t="s">
        <v>6128</v>
      </c>
      <c r="G3314" s="136" t="s">
        <v>5831</v>
      </c>
      <c r="H3314" s="138" t="s">
        <v>6298</v>
      </c>
      <c r="I3314" s="136">
        <v>961500350</v>
      </c>
      <c r="J3314" s="131" t="s">
        <v>6274</v>
      </c>
      <c r="K3314" s="139">
        <v>299380</v>
      </c>
    </row>
    <row r="3315" spans="1:11">
      <c r="A3315" s="1" t="str">
        <f t="shared" si="51"/>
        <v>15100-45566796-961500012123290</v>
      </c>
      <c r="B3315" s="136" t="s">
        <v>6202</v>
      </c>
      <c r="C3315" s="136" t="s">
        <v>9422</v>
      </c>
      <c r="D3315" s="132" t="s">
        <v>4971</v>
      </c>
      <c r="E3315" s="136" t="s">
        <v>5846</v>
      </c>
      <c r="F3315" s="136" t="s">
        <v>5846</v>
      </c>
      <c r="G3315" s="136" t="s">
        <v>5768</v>
      </c>
      <c r="H3315" s="138" t="s">
        <v>6454</v>
      </c>
      <c r="I3315" s="136">
        <v>961500012</v>
      </c>
      <c r="J3315" s="131" t="s">
        <v>5575</v>
      </c>
      <c r="K3315" s="139">
        <v>123290</v>
      </c>
    </row>
    <row r="3316" spans="1:11">
      <c r="A3316" s="1" t="str">
        <f t="shared" si="51"/>
        <v>15100-45733796-96150030925390</v>
      </c>
      <c r="B3316" s="136" t="s">
        <v>6188</v>
      </c>
      <c r="C3316" s="136" t="s">
        <v>9408</v>
      </c>
      <c r="D3316" s="132" t="s">
        <v>4971</v>
      </c>
      <c r="E3316" s="136" t="s">
        <v>5857</v>
      </c>
      <c r="F3316" s="136" t="s">
        <v>5857</v>
      </c>
      <c r="G3316" s="136" t="s">
        <v>5831</v>
      </c>
      <c r="H3316" s="138" t="s">
        <v>6298</v>
      </c>
      <c r="I3316" s="136">
        <v>961500309</v>
      </c>
      <c r="J3316" s="131" t="s">
        <v>6017</v>
      </c>
      <c r="K3316" s="139">
        <v>25390</v>
      </c>
    </row>
    <row r="3317" spans="1:11">
      <c r="A3317" s="1" t="str">
        <f t="shared" si="51"/>
        <v>15100-46364696-96150028654180</v>
      </c>
      <c r="B3317" s="136" t="s">
        <v>6201</v>
      </c>
      <c r="C3317" s="136" t="s">
        <v>9421</v>
      </c>
      <c r="D3317" s="132" t="s">
        <v>4971</v>
      </c>
      <c r="E3317" s="136" t="s">
        <v>6128</v>
      </c>
      <c r="F3317" s="136" t="s">
        <v>6128</v>
      </c>
      <c r="G3317" s="136" t="s">
        <v>5820</v>
      </c>
      <c r="H3317" s="138" t="s">
        <v>6300</v>
      </c>
      <c r="I3317" s="136">
        <v>961500286</v>
      </c>
      <c r="J3317" s="131" t="s">
        <v>5988</v>
      </c>
      <c r="K3317" s="139">
        <v>54180</v>
      </c>
    </row>
    <row r="3318" spans="1:11">
      <c r="A3318" s="1" t="str">
        <f t="shared" si="51"/>
        <v>15100-45735596-96150026133680</v>
      </c>
      <c r="B3318" s="136" t="s">
        <v>6197</v>
      </c>
      <c r="C3318" s="136">
        <v>457355</v>
      </c>
      <c r="D3318" s="132" t="s">
        <v>4971</v>
      </c>
      <c r="E3318" s="136" t="s">
        <v>5857</v>
      </c>
      <c r="F3318" s="136" t="s">
        <v>5857</v>
      </c>
      <c r="G3318" s="136" t="s">
        <v>5829</v>
      </c>
      <c r="H3318" s="138" t="s">
        <v>6299</v>
      </c>
      <c r="I3318" s="136">
        <v>961500261</v>
      </c>
      <c r="J3318" s="131" t="s">
        <v>5953</v>
      </c>
      <c r="K3318" s="139">
        <v>33680</v>
      </c>
    </row>
    <row r="3319" spans="1:11">
      <c r="A3319" s="1" t="str">
        <f t="shared" si="51"/>
        <v>15100-46364696-96150033247020</v>
      </c>
      <c r="B3319" s="136" t="s">
        <v>6201</v>
      </c>
      <c r="C3319" s="136" t="s">
        <v>9421</v>
      </c>
      <c r="D3319" s="132" t="s">
        <v>4971</v>
      </c>
      <c r="E3319" s="136" t="s">
        <v>6128</v>
      </c>
      <c r="F3319" s="136" t="s">
        <v>6128</v>
      </c>
      <c r="G3319" s="141" t="s">
        <v>7258</v>
      </c>
      <c r="H3319" s="140" t="s">
        <v>6299</v>
      </c>
      <c r="I3319" s="141">
        <v>961500332</v>
      </c>
      <c r="J3319" s="131" t="s">
        <v>6272</v>
      </c>
      <c r="K3319" s="142">
        <v>47020</v>
      </c>
    </row>
    <row r="3320" spans="1:11">
      <c r="A3320" s="1" t="str">
        <f t="shared" si="51"/>
        <v>15100-45447396-96150017851200</v>
      </c>
      <c r="B3320" s="136" t="s">
        <v>6193</v>
      </c>
      <c r="C3320" s="136" t="s">
        <v>9413</v>
      </c>
      <c r="D3320" s="132" t="s">
        <v>4971</v>
      </c>
      <c r="E3320" s="136" t="s">
        <v>5843</v>
      </c>
      <c r="F3320" s="136" t="s">
        <v>5843</v>
      </c>
      <c r="G3320" s="136" t="s">
        <v>5810</v>
      </c>
      <c r="H3320" s="138" t="s">
        <v>6298</v>
      </c>
      <c r="I3320" s="136">
        <v>961500178</v>
      </c>
      <c r="J3320" s="131" t="s">
        <v>5593</v>
      </c>
      <c r="K3320" s="139">
        <v>51200</v>
      </c>
    </row>
    <row r="3321" spans="1:11">
      <c r="A3321" s="1" t="str">
        <f t="shared" si="51"/>
        <v>15100-45435596-96150029146040</v>
      </c>
      <c r="B3321" s="136" t="s">
        <v>6203</v>
      </c>
      <c r="C3321" s="136" t="s">
        <v>9423</v>
      </c>
      <c r="D3321" s="132" t="s">
        <v>4971</v>
      </c>
      <c r="E3321" s="136" t="s">
        <v>5843</v>
      </c>
      <c r="F3321" s="136" t="s">
        <v>5843</v>
      </c>
      <c r="G3321" s="136" t="s">
        <v>5838</v>
      </c>
      <c r="H3321" s="138" t="s">
        <v>6299</v>
      </c>
      <c r="I3321" s="136">
        <v>961500291</v>
      </c>
      <c r="J3321" s="131" t="s">
        <v>5994</v>
      </c>
      <c r="K3321" s="139">
        <v>46040</v>
      </c>
    </row>
    <row r="3322" spans="1:11">
      <c r="A3322" s="1" t="str">
        <f t="shared" si="51"/>
        <v>15100-45599796-961500246140000</v>
      </c>
      <c r="B3322" s="136" t="s">
        <v>6185</v>
      </c>
      <c r="C3322" s="136" t="s">
        <v>9405</v>
      </c>
      <c r="D3322" s="132" t="s">
        <v>4971</v>
      </c>
      <c r="E3322" s="136" t="s">
        <v>5848</v>
      </c>
      <c r="F3322" s="141" t="s">
        <v>5848</v>
      </c>
      <c r="G3322" s="141" t="s">
        <v>5814</v>
      </c>
      <c r="H3322" s="140" t="s">
        <v>6298</v>
      </c>
      <c r="I3322" s="141">
        <v>961500246</v>
      </c>
      <c r="J3322" s="131" t="s">
        <v>5936</v>
      </c>
      <c r="K3322" s="142">
        <v>140000</v>
      </c>
    </row>
    <row r="3323" spans="1:11">
      <c r="A3323" s="1" t="str">
        <f t="shared" si="51"/>
        <v>15100-45735596-96150031035580</v>
      </c>
      <c r="B3323" s="136" t="s">
        <v>6197</v>
      </c>
      <c r="C3323" s="136">
        <v>457355</v>
      </c>
      <c r="D3323" s="132" t="s">
        <v>4971</v>
      </c>
      <c r="E3323" s="136" t="s">
        <v>5857</v>
      </c>
      <c r="F3323" s="136" t="s">
        <v>5857</v>
      </c>
      <c r="G3323" s="136" t="s">
        <v>5838</v>
      </c>
      <c r="H3323" s="138" t="s">
        <v>6299</v>
      </c>
      <c r="I3323" s="136">
        <v>961500310</v>
      </c>
      <c r="J3323" s="131" t="s">
        <v>6018</v>
      </c>
      <c r="K3323" s="139">
        <v>35580</v>
      </c>
    </row>
    <row r="3324" spans="1:11">
      <c r="A3324" s="1" t="str">
        <f t="shared" si="51"/>
        <v>15100-45735596-9615003185140</v>
      </c>
      <c r="B3324" s="136" t="s">
        <v>6197</v>
      </c>
      <c r="C3324" s="136">
        <v>457355</v>
      </c>
      <c r="D3324" s="132" t="s">
        <v>4971</v>
      </c>
      <c r="E3324" s="136" t="s">
        <v>5857</v>
      </c>
      <c r="F3324" s="136" t="s">
        <v>5857</v>
      </c>
      <c r="G3324" s="136" t="s">
        <v>5851</v>
      </c>
      <c r="H3324" s="138" t="s">
        <v>6299</v>
      </c>
      <c r="I3324" s="136">
        <v>961500318</v>
      </c>
      <c r="J3324" s="131" t="s">
        <v>6031</v>
      </c>
      <c r="K3324" s="139">
        <v>5140</v>
      </c>
    </row>
    <row r="3325" spans="1:11">
      <c r="A3325" s="1" t="str">
        <f t="shared" si="51"/>
        <v>15100-45777996-9615003187350</v>
      </c>
      <c r="B3325" s="136" t="s">
        <v>6200</v>
      </c>
      <c r="C3325" s="136" t="s">
        <v>9420</v>
      </c>
      <c r="D3325" s="132" t="s">
        <v>4971</v>
      </c>
      <c r="E3325" s="136" t="s">
        <v>6245</v>
      </c>
      <c r="F3325" s="136" t="s">
        <v>6245</v>
      </c>
      <c r="G3325" s="136" t="s">
        <v>5851</v>
      </c>
      <c r="H3325" s="138" t="s">
        <v>6299</v>
      </c>
      <c r="I3325" s="136">
        <v>961500318</v>
      </c>
      <c r="J3325" s="131" t="s">
        <v>6031</v>
      </c>
      <c r="K3325" s="139">
        <v>7350</v>
      </c>
    </row>
    <row r="3326" spans="1:11">
      <c r="A3326" s="1" t="str">
        <f t="shared" si="51"/>
        <v>15100-45928996-96150024244960</v>
      </c>
      <c r="B3326" s="136" t="s">
        <v>6186</v>
      </c>
      <c r="C3326" s="136" t="s">
        <v>9406</v>
      </c>
      <c r="D3326" s="132" t="s">
        <v>4971</v>
      </c>
      <c r="E3326" s="136" t="s">
        <v>6248</v>
      </c>
      <c r="F3326" s="136" t="s">
        <v>6248</v>
      </c>
      <c r="G3326" s="136" t="s">
        <v>5819</v>
      </c>
      <c r="H3326" s="138" t="s">
        <v>6300</v>
      </c>
      <c r="I3326" s="136">
        <v>961500242</v>
      </c>
      <c r="J3326" s="131" t="s">
        <v>5932</v>
      </c>
      <c r="K3326" s="139">
        <v>44960</v>
      </c>
    </row>
    <row r="3327" spans="1:11">
      <c r="A3327" s="1" t="str">
        <f t="shared" si="51"/>
        <v>15100-45986496-961500332100460</v>
      </c>
      <c r="B3327" s="136" t="s">
        <v>6204</v>
      </c>
      <c r="C3327" s="136" t="s">
        <v>9424</v>
      </c>
      <c r="D3327" s="132" t="s">
        <v>4971</v>
      </c>
      <c r="E3327" s="136" t="s">
        <v>6251</v>
      </c>
      <c r="F3327" s="136" t="s">
        <v>6251</v>
      </c>
      <c r="G3327" s="141" t="s">
        <v>7258</v>
      </c>
      <c r="H3327" s="140" t="s">
        <v>6299</v>
      </c>
      <c r="I3327" s="141">
        <v>961500332</v>
      </c>
      <c r="J3327" s="131" t="s">
        <v>6272</v>
      </c>
      <c r="K3327" s="142">
        <v>100460</v>
      </c>
    </row>
    <row r="3328" spans="1:11">
      <c r="A3328" s="1" t="str">
        <f t="shared" si="51"/>
        <v>15100-46301396-961500286149320</v>
      </c>
      <c r="B3328" s="136" t="s">
        <v>6195</v>
      </c>
      <c r="C3328" s="136" t="s">
        <v>9415</v>
      </c>
      <c r="D3328" s="132" t="s">
        <v>4971</v>
      </c>
      <c r="E3328" s="136" t="s">
        <v>6244</v>
      </c>
      <c r="F3328" s="136" t="s">
        <v>6244</v>
      </c>
      <c r="G3328" s="136" t="s">
        <v>5820</v>
      </c>
      <c r="H3328" s="138" t="s">
        <v>6300</v>
      </c>
      <c r="I3328" s="136">
        <v>961500286</v>
      </c>
      <c r="J3328" s="131" t="s">
        <v>5988</v>
      </c>
      <c r="K3328" s="139">
        <v>149320</v>
      </c>
    </row>
    <row r="3329" spans="1:11">
      <c r="A3329" s="1" t="str">
        <f t="shared" si="51"/>
        <v>15100-45435596-96150028723020</v>
      </c>
      <c r="B3329" s="136" t="s">
        <v>6203</v>
      </c>
      <c r="C3329" s="136" t="s">
        <v>9423</v>
      </c>
      <c r="D3329" s="132" t="s">
        <v>4971</v>
      </c>
      <c r="E3329" s="136" t="s">
        <v>5843</v>
      </c>
      <c r="F3329" s="136" t="s">
        <v>5843</v>
      </c>
      <c r="G3329" s="136" t="s">
        <v>5838</v>
      </c>
      <c r="H3329" s="138" t="s">
        <v>6299</v>
      </c>
      <c r="I3329" s="136">
        <v>961500287</v>
      </c>
      <c r="J3329" s="131" t="s">
        <v>5989</v>
      </c>
      <c r="K3329" s="139">
        <v>23020</v>
      </c>
    </row>
    <row r="3330" spans="1:11">
      <c r="A3330" s="1" t="str">
        <f t="shared" si="51"/>
        <v>15100-45876096-961500267327000</v>
      </c>
      <c r="B3330" s="136" t="s">
        <v>6192</v>
      </c>
      <c r="C3330" s="136" t="s">
        <v>9412</v>
      </c>
      <c r="D3330" s="132" t="s">
        <v>4971</v>
      </c>
      <c r="E3330" s="136" t="s">
        <v>6249</v>
      </c>
      <c r="F3330" s="136" t="s">
        <v>6249</v>
      </c>
      <c r="G3330" s="136" t="s">
        <v>5807</v>
      </c>
      <c r="H3330" s="138" t="s">
        <v>6300</v>
      </c>
      <c r="I3330" s="136">
        <v>961500267</v>
      </c>
      <c r="J3330" s="131" t="s">
        <v>5960</v>
      </c>
      <c r="K3330" s="139">
        <v>327000</v>
      </c>
    </row>
    <row r="3331" spans="1:11">
      <c r="A3331" s="1" t="str">
        <f t="shared" ref="A3331:A3394" si="52">B3331&amp;J3331&amp;K3331</f>
        <v>15100-45735596-9615002495220</v>
      </c>
      <c r="B3331" s="136" t="s">
        <v>6197</v>
      </c>
      <c r="C3331" s="136">
        <v>457355</v>
      </c>
      <c r="D3331" s="132" t="s">
        <v>4971</v>
      </c>
      <c r="E3331" s="136" t="s">
        <v>5857</v>
      </c>
      <c r="F3331" s="136" t="s">
        <v>5857</v>
      </c>
      <c r="G3331" s="136" t="s">
        <v>5825</v>
      </c>
      <c r="H3331" s="138" t="s">
        <v>6299</v>
      </c>
      <c r="I3331" s="136">
        <v>961500249</v>
      </c>
      <c r="J3331" s="131" t="s">
        <v>5938</v>
      </c>
      <c r="K3331" s="139">
        <v>5220</v>
      </c>
    </row>
    <row r="3332" spans="1:11">
      <c r="A3332" s="1" t="str">
        <f t="shared" si="52"/>
        <v>15100-45561996-961500252120720</v>
      </c>
      <c r="B3332" s="136" t="s">
        <v>6205</v>
      </c>
      <c r="C3332" s="136" t="s">
        <v>9425</v>
      </c>
      <c r="D3332" s="132" t="s">
        <v>4971</v>
      </c>
      <c r="E3332" s="136" t="s">
        <v>5846</v>
      </c>
      <c r="F3332" s="141" t="s">
        <v>5846</v>
      </c>
      <c r="G3332" s="141" t="s">
        <v>5814</v>
      </c>
      <c r="H3332" s="140" t="s">
        <v>6298</v>
      </c>
      <c r="I3332" s="141">
        <v>961500252</v>
      </c>
      <c r="J3332" s="131" t="s">
        <v>5941</v>
      </c>
      <c r="K3332" s="142">
        <v>120720</v>
      </c>
    </row>
    <row r="3333" spans="1:11">
      <c r="A3333" s="1" t="str">
        <f t="shared" si="52"/>
        <v>15100-45566796-961500252144680</v>
      </c>
      <c r="B3333" s="136" t="s">
        <v>6202</v>
      </c>
      <c r="C3333" s="136" t="s">
        <v>9422</v>
      </c>
      <c r="D3333" s="132" t="s">
        <v>4971</v>
      </c>
      <c r="E3333" s="136" t="s">
        <v>5846</v>
      </c>
      <c r="F3333" s="141" t="s">
        <v>5846</v>
      </c>
      <c r="G3333" s="141" t="s">
        <v>5814</v>
      </c>
      <c r="H3333" s="140" t="s">
        <v>6298</v>
      </c>
      <c r="I3333" s="141">
        <v>961500252</v>
      </c>
      <c r="J3333" s="131" t="s">
        <v>5941</v>
      </c>
      <c r="K3333" s="142">
        <v>144680</v>
      </c>
    </row>
    <row r="3334" spans="1:11">
      <c r="A3334" s="1" t="str">
        <f t="shared" si="52"/>
        <v>15100-45440696-961500251113980</v>
      </c>
      <c r="B3334" s="136" t="s">
        <v>6206</v>
      </c>
      <c r="C3334" s="136" t="s">
        <v>9426</v>
      </c>
      <c r="D3334" s="132" t="s">
        <v>4971</v>
      </c>
      <c r="E3334" s="136" t="s">
        <v>5843</v>
      </c>
      <c r="F3334" s="141" t="s">
        <v>5843</v>
      </c>
      <c r="G3334" s="141" t="s">
        <v>5814</v>
      </c>
      <c r="H3334" s="140" t="s">
        <v>6298</v>
      </c>
      <c r="I3334" s="141">
        <v>961500251</v>
      </c>
      <c r="J3334" s="131" t="s">
        <v>5940</v>
      </c>
      <c r="K3334" s="142">
        <v>113980</v>
      </c>
    </row>
    <row r="3335" spans="1:11">
      <c r="A3335" s="1" t="str">
        <f t="shared" si="52"/>
        <v>15100-45501296-96150026893420</v>
      </c>
      <c r="B3335" s="136" t="s">
        <v>6207</v>
      </c>
      <c r="C3335" s="136" t="s">
        <v>9427</v>
      </c>
      <c r="D3335" s="132" t="s">
        <v>4971</v>
      </c>
      <c r="E3335" s="136" t="s">
        <v>5600</v>
      </c>
      <c r="F3335" s="136" t="s">
        <v>5600</v>
      </c>
      <c r="G3335" s="136" t="s">
        <v>5807</v>
      </c>
      <c r="H3335" s="138" t="s">
        <v>6300</v>
      </c>
      <c r="I3335" s="136">
        <v>961500268</v>
      </c>
      <c r="J3335" s="131" t="s">
        <v>5961</v>
      </c>
      <c r="K3335" s="139">
        <v>93420</v>
      </c>
    </row>
    <row r="3336" spans="1:11">
      <c r="A3336" s="1" t="str">
        <f t="shared" si="52"/>
        <v>15100-45559296-961500268246580</v>
      </c>
      <c r="B3336" s="136" t="s">
        <v>6208</v>
      </c>
      <c r="C3336" s="136" t="s">
        <v>9428</v>
      </c>
      <c r="D3336" s="132" t="s">
        <v>4971</v>
      </c>
      <c r="E3336" s="136" t="s">
        <v>5846</v>
      </c>
      <c r="F3336" s="136" t="s">
        <v>5846</v>
      </c>
      <c r="G3336" s="136" t="s">
        <v>5807</v>
      </c>
      <c r="H3336" s="138" t="s">
        <v>6300</v>
      </c>
      <c r="I3336" s="136">
        <v>961500268</v>
      </c>
      <c r="J3336" s="131" t="s">
        <v>5961</v>
      </c>
      <c r="K3336" s="139">
        <v>246580</v>
      </c>
    </row>
    <row r="3337" spans="1:11">
      <c r="A3337" s="1" t="str">
        <f t="shared" si="52"/>
        <v>15100-45566796-961500237116650</v>
      </c>
      <c r="B3337" s="136" t="s">
        <v>6202</v>
      </c>
      <c r="C3337" s="136" t="s">
        <v>9422</v>
      </c>
      <c r="D3337" s="132" t="s">
        <v>4971</v>
      </c>
      <c r="E3337" s="136" t="s">
        <v>5846</v>
      </c>
      <c r="F3337" s="136" t="s">
        <v>5846</v>
      </c>
      <c r="G3337" s="136" t="s">
        <v>5813</v>
      </c>
      <c r="H3337" s="138" t="s">
        <v>6298</v>
      </c>
      <c r="I3337" s="136">
        <v>961500237</v>
      </c>
      <c r="J3337" s="131" t="s">
        <v>5927</v>
      </c>
      <c r="K3337" s="139">
        <v>116650</v>
      </c>
    </row>
    <row r="3338" spans="1:11">
      <c r="A3338" s="1" t="str">
        <f t="shared" si="52"/>
        <v>15100-45786396-96150022948500</v>
      </c>
      <c r="B3338" s="136" t="s">
        <v>6209</v>
      </c>
      <c r="C3338" s="136" t="s">
        <v>9429</v>
      </c>
      <c r="D3338" s="132" t="s">
        <v>4971</v>
      </c>
      <c r="E3338" s="136" t="s">
        <v>6245</v>
      </c>
      <c r="F3338" s="136" t="s">
        <v>6245</v>
      </c>
      <c r="G3338" s="136" t="s">
        <v>5813</v>
      </c>
      <c r="H3338" s="138" t="s">
        <v>6298</v>
      </c>
      <c r="I3338" s="136">
        <v>961500229</v>
      </c>
      <c r="J3338" s="131" t="s">
        <v>5919</v>
      </c>
      <c r="K3338" s="139">
        <v>48500</v>
      </c>
    </row>
    <row r="3339" spans="1:11">
      <c r="A3339" s="1" t="str">
        <f t="shared" si="52"/>
        <v>15100-45685796-961500311200000</v>
      </c>
      <c r="B3339" s="136" t="s">
        <v>6210</v>
      </c>
      <c r="C3339" s="136" t="s">
        <v>9430</v>
      </c>
      <c r="D3339" s="132" t="s">
        <v>4971</v>
      </c>
      <c r="E3339" s="136" t="s">
        <v>5850</v>
      </c>
      <c r="F3339" s="136" t="s">
        <v>5850</v>
      </c>
      <c r="G3339" s="136" t="s">
        <v>5845</v>
      </c>
      <c r="H3339" s="138" t="s">
        <v>6299</v>
      </c>
      <c r="I3339" s="136">
        <v>961500311</v>
      </c>
      <c r="J3339" s="131" t="s">
        <v>6019</v>
      </c>
      <c r="K3339" s="139">
        <v>200000</v>
      </c>
    </row>
    <row r="3340" spans="1:11">
      <c r="A3340" s="1" t="str">
        <f t="shared" si="52"/>
        <v>15100-45563796-96150016645880</v>
      </c>
      <c r="B3340" s="136" t="s">
        <v>6211</v>
      </c>
      <c r="C3340" s="136" t="s">
        <v>9431</v>
      </c>
      <c r="D3340" s="132" t="s">
        <v>4971</v>
      </c>
      <c r="E3340" s="136" t="s">
        <v>5846</v>
      </c>
      <c r="F3340" s="136" t="s">
        <v>5846</v>
      </c>
      <c r="G3340" s="136" t="s">
        <v>5810</v>
      </c>
      <c r="H3340" s="138" t="s">
        <v>6298</v>
      </c>
      <c r="I3340" s="136">
        <v>961500166</v>
      </c>
      <c r="J3340" s="131" t="s">
        <v>5882</v>
      </c>
      <c r="K3340" s="139">
        <v>45880</v>
      </c>
    </row>
    <row r="3341" spans="1:11">
      <c r="A3341" s="1" t="str">
        <f t="shared" si="52"/>
        <v>15100-46187196-961500332208120</v>
      </c>
      <c r="B3341" s="136" t="s">
        <v>6212</v>
      </c>
      <c r="C3341" s="136" t="s">
        <v>9432</v>
      </c>
      <c r="D3341" s="132" t="s">
        <v>4971</v>
      </c>
      <c r="E3341" s="136" t="s">
        <v>6247</v>
      </c>
      <c r="F3341" s="136" t="s">
        <v>6247</v>
      </c>
      <c r="G3341" s="141" t="s">
        <v>7258</v>
      </c>
      <c r="H3341" s="140" t="s">
        <v>6299</v>
      </c>
      <c r="I3341" s="141">
        <v>961500332</v>
      </c>
      <c r="J3341" s="131" t="s">
        <v>6272</v>
      </c>
      <c r="K3341" s="142">
        <v>208120</v>
      </c>
    </row>
    <row r="3342" spans="1:11">
      <c r="A3342" s="1" t="str">
        <f t="shared" si="52"/>
        <v>15100-46187196-961500340360020</v>
      </c>
      <c r="B3342" s="136" t="s">
        <v>6212</v>
      </c>
      <c r="C3342" s="136" t="s">
        <v>9432</v>
      </c>
      <c r="D3342" s="132" t="s">
        <v>4971</v>
      </c>
      <c r="E3342" s="136" t="s">
        <v>6247</v>
      </c>
      <c r="F3342" s="136" t="s">
        <v>6247</v>
      </c>
      <c r="G3342" s="136" t="s">
        <v>5831</v>
      </c>
      <c r="H3342" s="138" t="s">
        <v>6298</v>
      </c>
      <c r="I3342" s="136">
        <v>961500340</v>
      </c>
      <c r="J3342" s="131" t="s">
        <v>6273</v>
      </c>
      <c r="K3342" s="139">
        <v>360020</v>
      </c>
    </row>
    <row r="3343" spans="1:11">
      <c r="A3343" s="1" t="str">
        <f t="shared" si="52"/>
        <v>15100-45563496-96150026036890</v>
      </c>
      <c r="B3343" s="136" t="s">
        <v>6213</v>
      </c>
      <c r="C3343" s="136" t="s">
        <v>9433</v>
      </c>
      <c r="D3343" s="132" t="s">
        <v>4971</v>
      </c>
      <c r="E3343" s="136" t="s">
        <v>5846</v>
      </c>
      <c r="F3343" s="136" t="s">
        <v>5846</v>
      </c>
      <c r="G3343" s="136" t="s">
        <v>5826</v>
      </c>
      <c r="H3343" s="138" t="s">
        <v>6298</v>
      </c>
      <c r="I3343" s="136">
        <v>961500260</v>
      </c>
      <c r="J3343" s="131" t="s">
        <v>5952</v>
      </c>
      <c r="K3343" s="139">
        <v>36890</v>
      </c>
    </row>
    <row r="3344" spans="1:11">
      <c r="A3344" s="1" t="str">
        <f t="shared" si="52"/>
        <v>15100-45685796-96150031017380</v>
      </c>
      <c r="B3344" s="136" t="s">
        <v>6210</v>
      </c>
      <c r="C3344" s="136" t="s">
        <v>9430</v>
      </c>
      <c r="D3344" s="132" t="s">
        <v>4971</v>
      </c>
      <c r="E3344" s="136" t="s">
        <v>5850</v>
      </c>
      <c r="F3344" s="136" t="s">
        <v>5850</v>
      </c>
      <c r="G3344" s="136" t="s">
        <v>5838</v>
      </c>
      <c r="H3344" s="138" t="s">
        <v>6299</v>
      </c>
      <c r="I3344" s="136">
        <v>961500310</v>
      </c>
      <c r="J3344" s="131" t="s">
        <v>6018</v>
      </c>
      <c r="K3344" s="139">
        <v>17380</v>
      </c>
    </row>
    <row r="3345" spans="1:11">
      <c r="A3345" s="1" t="str">
        <f t="shared" si="52"/>
        <v>15100-45829496-96150018374020</v>
      </c>
      <c r="B3345" s="136" t="s">
        <v>6214</v>
      </c>
      <c r="C3345" s="136" t="s">
        <v>9434</v>
      </c>
      <c r="D3345" s="132" t="s">
        <v>4971</v>
      </c>
      <c r="E3345" s="136" t="s">
        <v>6075</v>
      </c>
      <c r="F3345" s="136" t="s">
        <v>6075</v>
      </c>
      <c r="G3345" s="136" t="s">
        <v>5816</v>
      </c>
      <c r="H3345" s="138" t="s">
        <v>6454</v>
      </c>
      <c r="I3345" s="136">
        <v>961500183</v>
      </c>
      <c r="J3345" s="131" t="s">
        <v>5890</v>
      </c>
      <c r="K3345" s="139">
        <v>74020</v>
      </c>
    </row>
    <row r="3346" spans="1:11">
      <c r="A3346" s="1" t="str">
        <f t="shared" si="52"/>
        <v>15100-45505496-961500252123220</v>
      </c>
      <c r="B3346" s="136" t="s">
        <v>6215</v>
      </c>
      <c r="C3346" s="136" t="s">
        <v>9435</v>
      </c>
      <c r="D3346" s="132" t="s">
        <v>4971</v>
      </c>
      <c r="E3346" s="136" t="s">
        <v>5600</v>
      </c>
      <c r="F3346" s="141" t="s">
        <v>5600</v>
      </c>
      <c r="G3346" s="141" t="s">
        <v>5814</v>
      </c>
      <c r="H3346" s="140" t="s">
        <v>6298</v>
      </c>
      <c r="I3346" s="141">
        <v>961500252</v>
      </c>
      <c r="J3346" s="131" t="s">
        <v>5941</v>
      </c>
      <c r="K3346" s="142">
        <v>123220</v>
      </c>
    </row>
    <row r="3347" spans="1:11">
      <c r="A3347" s="1" t="str">
        <f t="shared" si="52"/>
        <v>15100-45563496-96150025211380</v>
      </c>
      <c r="B3347" s="136" t="s">
        <v>6213</v>
      </c>
      <c r="C3347" s="136" t="s">
        <v>9433</v>
      </c>
      <c r="D3347" s="132" t="s">
        <v>4971</v>
      </c>
      <c r="E3347" s="136" t="s">
        <v>5846</v>
      </c>
      <c r="F3347" s="141" t="s">
        <v>5846</v>
      </c>
      <c r="G3347" s="141" t="s">
        <v>5814</v>
      </c>
      <c r="H3347" s="140" t="s">
        <v>6298</v>
      </c>
      <c r="I3347" s="141">
        <v>961500252</v>
      </c>
      <c r="J3347" s="131" t="s">
        <v>5941</v>
      </c>
      <c r="K3347" s="142">
        <v>11380</v>
      </c>
    </row>
    <row r="3348" spans="1:11">
      <c r="A3348" s="1" t="str">
        <f t="shared" si="52"/>
        <v>15100-46031496-961500286106200</v>
      </c>
      <c r="B3348" s="136" t="s">
        <v>6216</v>
      </c>
      <c r="C3348" s="136" t="s">
        <v>9436</v>
      </c>
      <c r="D3348" s="132" t="s">
        <v>4971</v>
      </c>
      <c r="E3348" s="136" t="s">
        <v>6243</v>
      </c>
      <c r="F3348" s="136" t="s">
        <v>6243</v>
      </c>
      <c r="G3348" s="136" t="s">
        <v>5820</v>
      </c>
      <c r="H3348" s="138" t="s">
        <v>6300</v>
      </c>
      <c r="I3348" s="136">
        <v>961500286</v>
      </c>
      <c r="J3348" s="131" t="s">
        <v>5988</v>
      </c>
      <c r="K3348" s="139">
        <v>106200</v>
      </c>
    </row>
    <row r="3349" spans="1:11">
      <c r="A3349" s="1" t="str">
        <f t="shared" si="52"/>
        <v>15100-45440096-96150025143830</v>
      </c>
      <c r="B3349" s="136" t="s">
        <v>6217</v>
      </c>
      <c r="C3349" s="136" t="s">
        <v>9437</v>
      </c>
      <c r="D3349" s="132" t="s">
        <v>4971</v>
      </c>
      <c r="E3349" s="136" t="s">
        <v>5843</v>
      </c>
      <c r="F3349" s="141" t="s">
        <v>5843</v>
      </c>
      <c r="G3349" s="141" t="s">
        <v>5814</v>
      </c>
      <c r="H3349" s="140" t="s">
        <v>6298</v>
      </c>
      <c r="I3349" s="141">
        <v>961500251</v>
      </c>
      <c r="J3349" s="131" t="s">
        <v>5940</v>
      </c>
      <c r="K3349" s="142">
        <v>43830</v>
      </c>
    </row>
    <row r="3350" spans="1:11">
      <c r="A3350" s="1" t="str">
        <f t="shared" si="52"/>
        <v>15100-45440096-9615001645310</v>
      </c>
      <c r="B3350" s="136" t="s">
        <v>6217</v>
      </c>
      <c r="C3350" s="136" t="s">
        <v>9437</v>
      </c>
      <c r="D3350" s="132" t="s">
        <v>4971</v>
      </c>
      <c r="E3350" s="136" t="s">
        <v>5843</v>
      </c>
      <c r="F3350" s="136" t="s">
        <v>5843</v>
      </c>
      <c r="G3350" s="136" t="s">
        <v>5810</v>
      </c>
      <c r="H3350" s="138" t="s">
        <v>6298</v>
      </c>
      <c r="I3350" s="136">
        <v>961500164</v>
      </c>
      <c r="J3350" s="131" t="s">
        <v>5880</v>
      </c>
      <c r="K3350" s="139">
        <v>5310</v>
      </c>
    </row>
    <row r="3351" spans="1:11">
      <c r="A3351" s="1" t="str">
        <f t="shared" si="52"/>
        <v>15100-45501296-96150024195740</v>
      </c>
      <c r="B3351" s="136" t="s">
        <v>6207</v>
      </c>
      <c r="C3351" s="136" t="s">
        <v>9427</v>
      </c>
      <c r="D3351" s="132" t="s">
        <v>4971</v>
      </c>
      <c r="E3351" s="136" t="s">
        <v>5600</v>
      </c>
      <c r="F3351" s="136" t="s">
        <v>5600</v>
      </c>
      <c r="G3351" s="136" t="s">
        <v>5819</v>
      </c>
      <c r="H3351" s="138" t="s">
        <v>6300</v>
      </c>
      <c r="I3351" s="136">
        <v>961500241</v>
      </c>
      <c r="J3351" s="131" t="s">
        <v>5931</v>
      </c>
      <c r="K3351" s="139">
        <v>95740</v>
      </c>
    </row>
    <row r="3352" spans="1:11">
      <c r="A3352" s="1" t="str">
        <f t="shared" si="52"/>
        <v>15100-45559296-96150024169260</v>
      </c>
      <c r="B3352" s="136" t="s">
        <v>6208</v>
      </c>
      <c r="C3352" s="136" t="s">
        <v>9428</v>
      </c>
      <c r="D3352" s="132" t="s">
        <v>4971</v>
      </c>
      <c r="E3352" s="136" t="s">
        <v>5846</v>
      </c>
      <c r="F3352" s="136" t="s">
        <v>5846</v>
      </c>
      <c r="G3352" s="136" t="s">
        <v>5819</v>
      </c>
      <c r="H3352" s="138" t="s">
        <v>6300</v>
      </c>
      <c r="I3352" s="136">
        <v>961500241</v>
      </c>
      <c r="J3352" s="131" t="s">
        <v>5931</v>
      </c>
      <c r="K3352" s="139">
        <v>69260</v>
      </c>
    </row>
    <row r="3353" spans="1:11">
      <c r="A3353" s="1" t="str">
        <f t="shared" si="52"/>
        <v>15100-45559296-96150027243070</v>
      </c>
      <c r="B3353" s="136" t="s">
        <v>6208</v>
      </c>
      <c r="C3353" s="136" t="s">
        <v>9428</v>
      </c>
      <c r="D3353" s="132" t="s">
        <v>4971</v>
      </c>
      <c r="E3353" s="136" t="s">
        <v>5846</v>
      </c>
      <c r="F3353" s="136" t="s">
        <v>5846</v>
      </c>
      <c r="G3353" s="136" t="s">
        <v>5807</v>
      </c>
      <c r="H3353" s="138" t="s">
        <v>6300</v>
      </c>
      <c r="I3353" s="136">
        <v>961500272</v>
      </c>
      <c r="J3353" s="131" t="s">
        <v>5967</v>
      </c>
      <c r="K3353" s="139">
        <v>43070</v>
      </c>
    </row>
    <row r="3354" spans="1:11">
      <c r="A3354" s="1" t="str">
        <f t="shared" si="52"/>
        <v>15100-46031496-96150024236820</v>
      </c>
      <c r="B3354" s="136" t="s">
        <v>6216</v>
      </c>
      <c r="C3354" s="136" t="s">
        <v>9436</v>
      </c>
      <c r="D3354" s="132" t="s">
        <v>4971</v>
      </c>
      <c r="E3354" s="136" t="s">
        <v>6243</v>
      </c>
      <c r="F3354" s="136" t="s">
        <v>6243</v>
      </c>
      <c r="G3354" s="136" t="s">
        <v>5819</v>
      </c>
      <c r="H3354" s="138" t="s">
        <v>6300</v>
      </c>
      <c r="I3354" s="136">
        <v>961500242</v>
      </c>
      <c r="J3354" s="131" t="s">
        <v>5932</v>
      </c>
      <c r="K3354" s="139">
        <v>36820</v>
      </c>
    </row>
    <row r="3355" spans="1:11">
      <c r="A3355" s="1" t="str">
        <f t="shared" si="52"/>
        <v>15100-45827096-96150031367720</v>
      </c>
      <c r="B3355" s="136" t="s">
        <v>6196</v>
      </c>
      <c r="C3355" s="136" t="s">
        <v>9416</v>
      </c>
      <c r="D3355" s="132" t="s">
        <v>4971</v>
      </c>
      <c r="E3355" s="136" t="s">
        <v>6075</v>
      </c>
      <c r="F3355" s="136" t="s">
        <v>6075</v>
      </c>
      <c r="G3355" s="136" t="s">
        <v>5831</v>
      </c>
      <c r="H3355" s="138" t="s">
        <v>6298</v>
      </c>
      <c r="I3355" s="136">
        <v>961500313</v>
      </c>
      <c r="J3355" s="131" t="s">
        <v>6024</v>
      </c>
      <c r="K3355" s="139">
        <v>67720</v>
      </c>
    </row>
    <row r="3356" spans="1:11">
      <c r="A3356" s="1" t="str">
        <f t="shared" si="52"/>
        <v>15100-45878796-96150017025000</v>
      </c>
      <c r="B3356" s="136" t="s">
        <v>6194</v>
      </c>
      <c r="C3356" s="136" t="s">
        <v>9414</v>
      </c>
      <c r="D3356" s="132" t="s">
        <v>4971</v>
      </c>
      <c r="E3356" s="136" t="s">
        <v>6249</v>
      </c>
      <c r="F3356" s="136" t="s">
        <v>6249</v>
      </c>
      <c r="G3356" s="136" t="s">
        <v>5810</v>
      </c>
      <c r="H3356" s="138" t="s">
        <v>6298</v>
      </c>
      <c r="I3356" s="136">
        <v>961500170</v>
      </c>
      <c r="J3356" s="131" t="s">
        <v>5598</v>
      </c>
      <c r="K3356" s="139">
        <v>25000</v>
      </c>
    </row>
    <row r="3357" spans="1:11">
      <c r="A3357" s="1" t="str">
        <f t="shared" si="52"/>
        <v>15100-45335196-96150027417680</v>
      </c>
      <c r="B3357" s="136" t="s">
        <v>6218</v>
      </c>
      <c r="C3357" s="136" t="s">
        <v>9438</v>
      </c>
      <c r="D3357" s="132" t="s">
        <v>4971</v>
      </c>
      <c r="E3357" s="136" t="s">
        <v>5839</v>
      </c>
      <c r="F3357" s="136" t="s">
        <v>5839</v>
      </c>
      <c r="G3357" s="136" t="s">
        <v>5833</v>
      </c>
      <c r="H3357" s="138" t="s">
        <v>6299</v>
      </c>
      <c r="I3357" s="136">
        <v>961500274</v>
      </c>
      <c r="J3357" s="131" t="s">
        <v>5969</v>
      </c>
      <c r="K3357" s="139">
        <v>17680</v>
      </c>
    </row>
    <row r="3358" spans="1:11">
      <c r="A3358" s="1" t="str">
        <f t="shared" si="52"/>
        <v>15100-45335196-961500238220570</v>
      </c>
      <c r="B3358" s="136" t="s">
        <v>6218</v>
      </c>
      <c r="C3358" s="136" t="s">
        <v>9438</v>
      </c>
      <c r="D3358" s="132" t="s">
        <v>4971</v>
      </c>
      <c r="E3358" s="136" t="s">
        <v>5839</v>
      </c>
      <c r="F3358" s="136" t="s">
        <v>5839</v>
      </c>
      <c r="G3358" s="143">
        <v>1396491876001</v>
      </c>
      <c r="H3358" s="138" t="s">
        <v>6298</v>
      </c>
      <c r="I3358" s="136">
        <v>961500238</v>
      </c>
      <c r="J3358" s="131" t="s">
        <v>5928</v>
      </c>
      <c r="K3358" s="139">
        <v>220570</v>
      </c>
    </row>
    <row r="3359" spans="1:11">
      <c r="A3359" s="1" t="str">
        <f t="shared" si="52"/>
        <v>15100-45332796-961500274144960</v>
      </c>
      <c r="B3359" s="136" t="s">
        <v>6219</v>
      </c>
      <c r="C3359" s="136" t="s">
        <v>9439</v>
      </c>
      <c r="D3359" s="132" t="s">
        <v>4971</v>
      </c>
      <c r="E3359" s="136" t="s">
        <v>5839</v>
      </c>
      <c r="F3359" s="136" t="s">
        <v>5839</v>
      </c>
      <c r="G3359" s="136" t="s">
        <v>5833</v>
      </c>
      <c r="H3359" s="138" t="s">
        <v>6299</v>
      </c>
      <c r="I3359" s="136">
        <v>961500274</v>
      </c>
      <c r="J3359" s="131" t="s">
        <v>5969</v>
      </c>
      <c r="K3359" s="139">
        <v>144960</v>
      </c>
    </row>
    <row r="3360" spans="1:11">
      <c r="A3360" s="1" t="str">
        <f t="shared" si="52"/>
        <v>15100-45332796-96150023849260</v>
      </c>
      <c r="B3360" s="144" t="s">
        <v>6219</v>
      </c>
      <c r="C3360" s="144" t="s">
        <v>9439</v>
      </c>
      <c r="D3360" s="132" t="s">
        <v>4971</v>
      </c>
      <c r="E3360" s="144" t="s">
        <v>5839</v>
      </c>
      <c r="F3360" s="144" t="s">
        <v>5839</v>
      </c>
      <c r="G3360" s="144" t="s">
        <v>5813</v>
      </c>
      <c r="H3360" s="145" t="s">
        <v>6298</v>
      </c>
      <c r="I3360" s="144">
        <v>961500238</v>
      </c>
      <c r="J3360" s="131" t="s">
        <v>5928</v>
      </c>
      <c r="K3360" s="146">
        <v>49260</v>
      </c>
    </row>
    <row r="3361" spans="1:11">
      <c r="A3361" s="1" t="str">
        <f t="shared" si="52"/>
        <v>15100-45488896-961500295121300</v>
      </c>
      <c r="B3361" s="141" t="s">
        <v>6220</v>
      </c>
      <c r="C3361" s="141" t="s">
        <v>9440</v>
      </c>
      <c r="D3361" s="132" t="s">
        <v>4971</v>
      </c>
      <c r="E3361" s="141" t="s">
        <v>5600</v>
      </c>
      <c r="F3361" s="141" t="s">
        <v>5600</v>
      </c>
      <c r="G3361" s="141" t="s">
        <v>5826</v>
      </c>
      <c r="H3361" s="140" t="s">
        <v>6298</v>
      </c>
      <c r="I3361" s="141">
        <v>961500295</v>
      </c>
      <c r="J3361" s="131" t="s">
        <v>5998</v>
      </c>
      <c r="K3361" s="142">
        <v>121300</v>
      </c>
    </row>
    <row r="3362" spans="1:11">
      <c r="A3362" s="1" t="str">
        <f t="shared" si="52"/>
        <v>15100-45136796-96150022076171</v>
      </c>
      <c r="B3362" s="131" t="s">
        <v>6221</v>
      </c>
      <c r="C3362" s="131" t="s">
        <v>9441</v>
      </c>
      <c r="D3362" s="132" t="s">
        <v>4971</v>
      </c>
      <c r="E3362" s="131" t="s">
        <v>5832</v>
      </c>
      <c r="F3362" s="131" t="s">
        <v>5832</v>
      </c>
      <c r="G3362" s="131" t="s">
        <v>5819</v>
      </c>
      <c r="H3362" s="134" t="s">
        <v>6300</v>
      </c>
      <c r="I3362" s="131">
        <v>961500220</v>
      </c>
      <c r="J3362" s="131" t="s">
        <v>5910</v>
      </c>
      <c r="K3362" s="135">
        <v>76171</v>
      </c>
    </row>
    <row r="3363" spans="1:11">
      <c r="A3363" s="1" t="str">
        <f t="shared" si="52"/>
        <v>15100-45203396-96150017848390</v>
      </c>
      <c r="B3363" s="136" t="s">
        <v>6222</v>
      </c>
      <c r="C3363" s="136" t="s">
        <v>9442</v>
      </c>
      <c r="D3363" s="132" t="s">
        <v>4971</v>
      </c>
      <c r="E3363" s="136" t="s">
        <v>5835</v>
      </c>
      <c r="F3363" s="136" t="s">
        <v>5835</v>
      </c>
      <c r="G3363" s="136" t="s">
        <v>5810</v>
      </c>
      <c r="H3363" s="138" t="s">
        <v>6298</v>
      </c>
      <c r="I3363" s="136">
        <v>961500178</v>
      </c>
      <c r="J3363" s="131" t="s">
        <v>5593</v>
      </c>
      <c r="K3363" s="139">
        <v>48390</v>
      </c>
    </row>
    <row r="3364" spans="1:11">
      <c r="A3364" s="1" t="str">
        <f t="shared" si="52"/>
        <v>15100-45203396-9615000681240</v>
      </c>
      <c r="B3364" s="136" t="s">
        <v>6222</v>
      </c>
      <c r="C3364" s="136" t="s">
        <v>9442</v>
      </c>
      <c r="D3364" s="132" t="s">
        <v>4971</v>
      </c>
      <c r="E3364" s="136" t="s">
        <v>5835</v>
      </c>
      <c r="F3364" s="136" t="s">
        <v>5835</v>
      </c>
      <c r="G3364" s="136" t="s">
        <v>5758</v>
      </c>
      <c r="H3364" s="138" t="s">
        <v>6298</v>
      </c>
      <c r="I3364" s="136">
        <v>961500068</v>
      </c>
      <c r="J3364" s="131" t="s">
        <v>5221</v>
      </c>
      <c r="K3364" s="139">
        <v>1240</v>
      </c>
    </row>
    <row r="3365" spans="1:11">
      <c r="A3365" s="1" t="str">
        <f t="shared" si="52"/>
        <v>15100-45021696-96150023524620</v>
      </c>
      <c r="B3365" s="136" t="s">
        <v>6223</v>
      </c>
      <c r="C3365" s="136" t="s">
        <v>9443</v>
      </c>
      <c r="D3365" s="132" t="s">
        <v>4971</v>
      </c>
      <c r="E3365" s="136" t="s">
        <v>5828</v>
      </c>
      <c r="F3365" s="136" t="s">
        <v>5828</v>
      </c>
      <c r="G3365" s="136" t="s">
        <v>5819</v>
      </c>
      <c r="H3365" s="138" t="s">
        <v>6300</v>
      </c>
      <c r="I3365" s="136">
        <v>961500235</v>
      </c>
      <c r="J3365" s="131" t="s">
        <v>5925</v>
      </c>
      <c r="K3365" s="139">
        <v>24620</v>
      </c>
    </row>
    <row r="3366" spans="1:11">
      <c r="A3366" s="1" t="str">
        <f t="shared" si="52"/>
        <v>15100-45136796-961500230110000</v>
      </c>
      <c r="B3366" s="136" t="s">
        <v>6221</v>
      </c>
      <c r="C3366" s="136" t="s">
        <v>9441</v>
      </c>
      <c r="D3366" s="132" t="s">
        <v>4971</v>
      </c>
      <c r="E3366" s="136" t="s">
        <v>5832</v>
      </c>
      <c r="F3366" s="136" t="s">
        <v>5832</v>
      </c>
      <c r="G3366" s="136" t="s">
        <v>5819</v>
      </c>
      <c r="H3366" s="138" t="s">
        <v>6300</v>
      </c>
      <c r="I3366" s="136">
        <v>961500230</v>
      </c>
      <c r="J3366" s="131" t="s">
        <v>5920</v>
      </c>
      <c r="K3366" s="139">
        <v>110000</v>
      </c>
    </row>
    <row r="3367" spans="1:11">
      <c r="A3367" s="1" t="str">
        <f t="shared" si="52"/>
        <v>15100-45021696-96150021167520</v>
      </c>
      <c r="B3367" s="136" t="s">
        <v>6223</v>
      </c>
      <c r="C3367" s="136" t="s">
        <v>9443</v>
      </c>
      <c r="D3367" s="132" t="s">
        <v>4971</v>
      </c>
      <c r="E3367" s="136" t="s">
        <v>5828</v>
      </c>
      <c r="F3367" s="136" t="s">
        <v>5828</v>
      </c>
      <c r="G3367" s="136" t="s">
        <v>5819</v>
      </c>
      <c r="H3367" s="138" t="s">
        <v>6300</v>
      </c>
      <c r="I3367" s="136">
        <v>961500211</v>
      </c>
      <c r="J3367" s="131" t="s">
        <v>5903</v>
      </c>
      <c r="K3367" s="139">
        <v>67520</v>
      </c>
    </row>
    <row r="3368" spans="1:11">
      <c r="A3368" s="1" t="str">
        <f t="shared" si="52"/>
        <v>15100-45295096-96150027472220</v>
      </c>
      <c r="B3368" s="136" t="s">
        <v>6224</v>
      </c>
      <c r="C3368" s="136" t="s">
        <v>9444</v>
      </c>
      <c r="D3368" s="132" t="s">
        <v>4971</v>
      </c>
      <c r="E3368" s="136" t="s">
        <v>5496</v>
      </c>
      <c r="F3368" s="136" t="s">
        <v>5496</v>
      </c>
      <c r="G3368" s="136" t="s">
        <v>5833</v>
      </c>
      <c r="H3368" s="138" t="s">
        <v>6299</v>
      </c>
      <c r="I3368" s="136">
        <v>961500274</v>
      </c>
      <c r="J3368" s="131" t="s">
        <v>5969</v>
      </c>
      <c r="K3368" s="139">
        <v>72220</v>
      </c>
    </row>
    <row r="3369" spans="1:11">
      <c r="A3369" s="1" t="str">
        <f t="shared" si="52"/>
        <v>15100-45331296-961500274122160</v>
      </c>
      <c r="B3369" s="136" t="s">
        <v>6225</v>
      </c>
      <c r="C3369" s="136" t="s">
        <v>9445</v>
      </c>
      <c r="D3369" s="132" t="s">
        <v>4971</v>
      </c>
      <c r="E3369" s="136" t="s">
        <v>5839</v>
      </c>
      <c r="F3369" s="136" t="s">
        <v>5839</v>
      </c>
      <c r="G3369" s="136" t="s">
        <v>5833</v>
      </c>
      <c r="H3369" s="138" t="s">
        <v>6299</v>
      </c>
      <c r="I3369" s="136">
        <v>961500274</v>
      </c>
      <c r="J3369" s="131" t="s">
        <v>5969</v>
      </c>
      <c r="K3369" s="139">
        <v>122160</v>
      </c>
    </row>
    <row r="3370" spans="1:11">
      <c r="A3370" s="1" t="str">
        <f t="shared" si="52"/>
        <v>15100-45333696-96150027475040</v>
      </c>
      <c r="B3370" s="136" t="s">
        <v>6226</v>
      </c>
      <c r="C3370" s="136" t="s">
        <v>9446</v>
      </c>
      <c r="D3370" s="132" t="s">
        <v>4971</v>
      </c>
      <c r="E3370" s="136" t="s">
        <v>5839</v>
      </c>
      <c r="F3370" s="136" t="s">
        <v>5839</v>
      </c>
      <c r="G3370" s="136" t="s">
        <v>5833</v>
      </c>
      <c r="H3370" s="138" t="s">
        <v>6299</v>
      </c>
      <c r="I3370" s="136">
        <v>961500274</v>
      </c>
      <c r="J3370" s="131" t="s">
        <v>5969</v>
      </c>
      <c r="K3370" s="139">
        <v>75040</v>
      </c>
    </row>
    <row r="3371" spans="1:11">
      <c r="A3371" s="1" t="str">
        <f t="shared" si="52"/>
        <v>15100-45072696-9615001778759</v>
      </c>
      <c r="B3371" s="136" t="s">
        <v>6227</v>
      </c>
      <c r="C3371" s="136" t="s">
        <v>9447</v>
      </c>
      <c r="D3371" s="132" t="s">
        <v>4971</v>
      </c>
      <c r="E3371" s="136" t="s">
        <v>5830</v>
      </c>
      <c r="F3371" s="136" t="s">
        <v>5830</v>
      </c>
      <c r="G3371" s="136" t="s">
        <v>5807</v>
      </c>
      <c r="H3371" s="138" t="s">
        <v>6300</v>
      </c>
      <c r="I3371" s="136">
        <v>961500177</v>
      </c>
      <c r="J3371" s="131" t="s">
        <v>5585</v>
      </c>
      <c r="K3371" s="139">
        <v>8759</v>
      </c>
    </row>
    <row r="3372" spans="1:11">
      <c r="A3372" s="1" t="str">
        <f t="shared" si="52"/>
        <v>15100-45241796-96150016275550</v>
      </c>
      <c r="B3372" s="136" t="s">
        <v>6228</v>
      </c>
      <c r="C3372" s="136" t="s">
        <v>9448</v>
      </c>
      <c r="D3372" s="132" t="s">
        <v>4971</v>
      </c>
      <c r="E3372" s="136" t="s">
        <v>5837</v>
      </c>
      <c r="F3372" s="136" t="s">
        <v>5837</v>
      </c>
      <c r="G3372" s="136" t="s">
        <v>5810</v>
      </c>
      <c r="H3372" s="138" t="s">
        <v>6298</v>
      </c>
      <c r="I3372" s="136">
        <v>961500162</v>
      </c>
      <c r="J3372" s="131" t="s">
        <v>5878</v>
      </c>
      <c r="K3372" s="139">
        <v>75550</v>
      </c>
    </row>
    <row r="3373" spans="1:11">
      <c r="A3373" s="1" t="str">
        <f t="shared" si="52"/>
        <v>15100-45072696-961500235158551</v>
      </c>
      <c r="B3373" s="136" t="s">
        <v>6227</v>
      </c>
      <c r="C3373" s="136" t="s">
        <v>9447</v>
      </c>
      <c r="D3373" s="132" t="s">
        <v>4971</v>
      </c>
      <c r="E3373" s="136" t="s">
        <v>5830</v>
      </c>
      <c r="F3373" s="136" t="s">
        <v>5830</v>
      </c>
      <c r="G3373" s="136" t="s">
        <v>5819</v>
      </c>
      <c r="H3373" s="138" t="s">
        <v>6300</v>
      </c>
      <c r="I3373" s="136">
        <v>961500235</v>
      </c>
      <c r="J3373" s="131" t="s">
        <v>5925</v>
      </c>
      <c r="K3373" s="139">
        <v>158551</v>
      </c>
    </row>
    <row r="3374" spans="1:11">
      <c r="A3374" s="1" t="str">
        <f t="shared" si="52"/>
        <v>15100-45019596-96150019849400</v>
      </c>
      <c r="B3374" s="136" t="s">
        <v>6229</v>
      </c>
      <c r="C3374" s="136" t="s">
        <v>9449</v>
      </c>
      <c r="D3374" s="132" t="s">
        <v>4971</v>
      </c>
      <c r="E3374" s="136" t="s">
        <v>5828</v>
      </c>
      <c r="F3374" s="136" t="s">
        <v>5828</v>
      </c>
      <c r="G3374" s="136" t="s">
        <v>5815</v>
      </c>
      <c r="H3374" s="138" t="s">
        <v>6298</v>
      </c>
      <c r="I3374" s="136">
        <v>961500198</v>
      </c>
      <c r="J3374" s="131" t="s">
        <v>5596</v>
      </c>
      <c r="K3374" s="139">
        <v>49400</v>
      </c>
    </row>
    <row r="3375" spans="1:11">
      <c r="A3375" s="1" t="str">
        <f t="shared" si="52"/>
        <v>15100-45294496-96150027467940</v>
      </c>
      <c r="B3375" s="136" t="s">
        <v>6230</v>
      </c>
      <c r="C3375" s="136" t="s">
        <v>9450</v>
      </c>
      <c r="D3375" s="132" t="s">
        <v>4971</v>
      </c>
      <c r="E3375" s="136" t="s">
        <v>5496</v>
      </c>
      <c r="F3375" s="136" t="s">
        <v>5496</v>
      </c>
      <c r="G3375" s="136" t="s">
        <v>5833</v>
      </c>
      <c r="H3375" s="138" t="s">
        <v>6299</v>
      </c>
      <c r="I3375" s="136">
        <v>961500274</v>
      </c>
      <c r="J3375" s="131" t="s">
        <v>5969</v>
      </c>
      <c r="K3375" s="139">
        <v>67940</v>
      </c>
    </row>
    <row r="3376" spans="1:11">
      <c r="A3376" s="1" t="str">
        <f t="shared" si="52"/>
        <v>15100-45294496-961500012119240</v>
      </c>
      <c r="B3376" s="136" t="s">
        <v>6230</v>
      </c>
      <c r="C3376" s="136" t="s">
        <v>9450</v>
      </c>
      <c r="D3376" s="132" t="s">
        <v>4971</v>
      </c>
      <c r="E3376" s="136" t="s">
        <v>5496</v>
      </c>
      <c r="F3376" s="136" t="s">
        <v>5496</v>
      </c>
      <c r="G3376" s="136" t="s">
        <v>5768</v>
      </c>
      <c r="H3376" s="138" t="s">
        <v>6454</v>
      </c>
      <c r="I3376" s="136">
        <v>961500012</v>
      </c>
      <c r="J3376" s="131" t="s">
        <v>5575</v>
      </c>
      <c r="K3376" s="139">
        <v>119240</v>
      </c>
    </row>
    <row r="3377" spans="1:11">
      <c r="A3377" s="1" t="str">
        <f t="shared" si="52"/>
        <v>15100-45019596-961500211403650</v>
      </c>
      <c r="B3377" s="136" t="s">
        <v>6229</v>
      </c>
      <c r="C3377" s="136" t="s">
        <v>9449</v>
      </c>
      <c r="D3377" s="132" t="s">
        <v>4971</v>
      </c>
      <c r="E3377" s="136" t="s">
        <v>5828</v>
      </c>
      <c r="F3377" s="136" t="s">
        <v>5828</v>
      </c>
      <c r="G3377" s="136" t="s">
        <v>5819</v>
      </c>
      <c r="H3377" s="138" t="s">
        <v>6300</v>
      </c>
      <c r="I3377" s="136">
        <v>961500211</v>
      </c>
      <c r="J3377" s="131" t="s">
        <v>5903</v>
      </c>
      <c r="K3377" s="139">
        <v>403650</v>
      </c>
    </row>
    <row r="3378" spans="1:11">
      <c r="A3378" s="1" t="str">
        <f t="shared" si="52"/>
        <v>15100-45023496-96150021149060</v>
      </c>
      <c r="B3378" s="136" t="s">
        <v>6231</v>
      </c>
      <c r="C3378" s="136" t="s">
        <v>9451</v>
      </c>
      <c r="D3378" s="132" t="s">
        <v>4971</v>
      </c>
      <c r="E3378" s="136" t="s">
        <v>5828</v>
      </c>
      <c r="F3378" s="136" t="s">
        <v>5828</v>
      </c>
      <c r="G3378" s="136" t="s">
        <v>5819</v>
      </c>
      <c r="H3378" s="138" t="s">
        <v>6300</v>
      </c>
      <c r="I3378" s="136">
        <v>961500211</v>
      </c>
      <c r="J3378" s="131" t="s">
        <v>5903</v>
      </c>
      <c r="K3378" s="139">
        <v>49060</v>
      </c>
    </row>
    <row r="3379" spans="1:11">
      <c r="A3379" s="1" t="str">
        <f t="shared" si="52"/>
        <v>15100-45199796-961500261466320</v>
      </c>
      <c r="B3379" s="136" t="s">
        <v>6232</v>
      </c>
      <c r="C3379" s="136" t="s">
        <v>9452</v>
      </c>
      <c r="D3379" s="132" t="s">
        <v>4971</v>
      </c>
      <c r="E3379" s="136" t="s">
        <v>5835</v>
      </c>
      <c r="F3379" s="136" t="s">
        <v>5835</v>
      </c>
      <c r="G3379" s="136" t="s">
        <v>5829</v>
      </c>
      <c r="H3379" s="138" t="s">
        <v>6299</v>
      </c>
      <c r="I3379" s="136">
        <v>961500261</v>
      </c>
      <c r="J3379" s="131" t="s">
        <v>5953</v>
      </c>
      <c r="K3379" s="139">
        <v>466320</v>
      </c>
    </row>
    <row r="3380" spans="1:11">
      <c r="A3380" s="1" t="str">
        <f t="shared" si="52"/>
        <v>15100-45332796-961500282145000</v>
      </c>
      <c r="B3380" s="136" t="s">
        <v>6219</v>
      </c>
      <c r="C3380" s="136" t="s">
        <v>9439</v>
      </c>
      <c r="D3380" s="132" t="s">
        <v>4971</v>
      </c>
      <c r="E3380" s="136" t="s">
        <v>5839</v>
      </c>
      <c r="F3380" s="136" t="s">
        <v>5839</v>
      </c>
      <c r="G3380" s="136" t="s">
        <v>5838</v>
      </c>
      <c r="H3380" s="138" t="s">
        <v>6299</v>
      </c>
      <c r="I3380" s="136">
        <v>961500282</v>
      </c>
      <c r="J3380" s="131" t="s">
        <v>5984</v>
      </c>
      <c r="K3380" s="139">
        <v>145000</v>
      </c>
    </row>
    <row r="3381" spans="1:11">
      <c r="A3381" s="1" t="str">
        <f t="shared" si="52"/>
        <v>15100-45245696-96150016234870</v>
      </c>
      <c r="B3381" s="136" t="s">
        <v>6233</v>
      </c>
      <c r="C3381" s="136" t="s">
        <v>9453</v>
      </c>
      <c r="D3381" s="132" t="s">
        <v>4971</v>
      </c>
      <c r="E3381" s="136" t="s">
        <v>5837</v>
      </c>
      <c r="F3381" s="136" t="s">
        <v>5837</v>
      </c>
      <c r="G3381" s="136" t="s">
        <v>5810</v>
      </c>
      <c r="H3381" s="138" t="s">
        <v>6298</v>
      </c>
      <c r="I3381" s="136">
        <v>961500162</v>
      </c>
      <c r="J3381" s="131" t="s">
        <v>5878</v>
      </c>
      <c r="K3381" s="139">
        <v>34870</v>
      </c>
    </row>
    <row r="3382" spans="1:11">
      <c r="A3382" s="1" t="str">
        <f t="shared" si="52"/>
        <v>15100-46082996-961500170117150</v>
      </c>
      <c r="B3382" s="136" t="s">
        <v>6234</v>
      </c>
      <c r="C3382" s="136" t="s">
        <v>9454</v>
      </c>
      <c r="D3382" s="132" t="s">
        <v>4971</v>
      </c>
      <c r="E3382" s="136" t="s">
        <v>6252</v>
      </c>
      <c r="F3382" s="136" t="s">
        <v>6252</v>
      </c>
      <c r="G3382" s="136" t="s">
        <v>5810</v>
      </c>
      <c r="H3382" s="138" t="s">
        <v>6298</v>
      </c>
      <c r="I3382" s="136">
        <v>961500170</v>
      </c>
      <c r="J3382" s="131" t="s">
        <v>5598</v>
      </c>
      <c r="K3382" s="139">
        <v>117150</v>
      </c>
    </row>
    <row r="3383" spans="1:11">
      <c r="A3383" s="1" t="str">
        <f t="shared" si="52"/>
        <v>15100-45245696-96150016656459</v>
      </c>
      <c r="B3383" s="136" t="s">
        <v>6233</v>
      </c>
      <c r="C3383" s="136" t="s">
        <v>9453</v>
      </c>
      <c r="D3383" s="132" t="s">
        <v>4971</v>
      </c>
      <c r="E3383" s="136" t="s">
        <v>5837</v>
      </c>
      <c r="F3383" s="136" t="s">
        <v>5837</v>
      </c>
      <c r="G3383" s="136" t="s">
        <v>5810</v>
      </c>
      <c r="H3383" s="138" t="s">
        <v>6298</v>
      </c>
      <c r="I3383" s="136">
        <v>961500166</v>
      </c>
      <c r="J3383" s="131" t="s">
        <v>5882</v>
      </c>
      <c r="K3383" s="139">
        <v>56459</v>
      </c>
    </row>
    <row r="3384" spans="1:11">
      <c r="A3384" s="1" t="str">
        <f t="shared" si="52"/>
        <v>15100-45245696-96150016392000</v>
      </c>
      <c r="B3384" s="136" t="s">
        <v>6233</v>
      </c>
      <c r="C3384" s="136" t="s">
        <v>9453</v>
      </c>
      <c r="D3384" s="132" t="s">
        <v>4971</v>
      </c>
      <c r="E3384" s="136" t="s">
        <v>5837</v>
      </c>
      <c r="F3384" s="136" t="s">
        <v>5837</v>
      </c>
      <c r="G3384" s="136" t="s">
        <v>5810</v>
      </c>
      <c r="H3384" s="138" t="s">
        <v>6298</v>
      </c>
      <c r="I3384" s="136">
        <v>961500163</v>
      </c>
      <c r="J3384" s="131" t="s">
        <v>5879</v>
      </c>
      <c r="K3384" s="139">
        <v>92000</v>
      </c>
    </row>
    <row r="3385" spans="1:11">
      <c r="A3385" s="1" t="str">
        <f t="shared" si="52"/>
        <v>15100-45075396-96150023531829</v>
      </c>
      <c r="B3385" s="136" t="s">
        <v>6235</v>
      </c>
      <c r="C3385" s="136" t="s">
        <v>9455</v>
      </c>
      <c r="D3385" s="132" t="s">
        <v>4971</v>
      </c>
      <c r="E3385" s="136" t="s">
        <v>5830</v>
      </c>
      <c r="F3385" s="136" t="s">
        <v>5830</v>
      </c>
      <c r="G3385" s="136" t="s">
        <v>5819</v>
      </c>
      <c r="H3385" s="138" t="s">
        <v>6300</v>
      </c>
      <c r="I3385" s="136">
        <v>961500235</v>
      </c>
      <c r="J3385" s="131" t="s">
        <v>5925</v>
      </c>
      <c r="K3385" s="139">
        <v>31829</v>
      </c>
    </row>
    <row r="3386" spans="1:11">
      <c r="A3386" s="1" t="str">
        <f t="shared" si="52"/>
        <v>15100-45127896-961500177160170</v>
      </c>
      <c r="B3386" s="136" t="s">
        <v>6236</v>
      </c>
      <c r="C3386" s="136" t="s">
        <v>9456</v>
      </c>
      <c r="D3386" s="132" t="s">
        <v>4971</v>
      </c>
      <c r="E3386" s="136" t="s">
        <v>5832</v>
      </c>
      <c r="F3386" s="136" t="s">
        <v>5832</v>
      </c>
      <c r="G3386" s="136" t="s">
        <v>5807</v>
      </c>
      <c r="H3386" s="138" t="s">
        <v>6300</v>
      </c>
      <c r="I3386" s="136">
        <v>961500177</v>
      </c>
      <c r="J3386" s="131" t="s">
        <v>5585</v>
      </c>
      <c r="K3386" s="139">
        <v>160170</v>
      </c>
    </row>
    <row r="3387" spans="1:11">
      <c r="A3387" s="1" t="str">
        <f t="shared" si="52"/>
        <v>15100-45139196-96150023115360</v>
      </c>
      <c r="B3387" s="136" t="s">
        <v>6237</v>
      </c>
      <c r="C3387" s="136" t="s">
        <v>9457</v>
      </c>
      <c r="D3387" s="132" t="s">
        <v>4971</v>
      </c>
      <c r="E3387" s="136" t="s">
        <v>5832</v>
      </c>
      <c r="F3387" s="136" t="s">
        <v>5832</v>
      </c>
      <c r="G3387" s="136" t="s">
        <v>5823</v>
      </c>
      <c r="H3387" s="138" t="s">
        <v>6299</v>
      </c>
      <c r="I3387" s="136">
        <v>961500231</v>
      </c>
      <c r="J3387" s="131" t="s">
        <v>5921</v>
      </c>
      <c r="K3387" s="139">
        <v>15360</v>
      </c>
    </row>
    <row r="3388" spans="1:11">
      <c r="A3388" s="1" t="str">
        <f t="shared" si="52"/>
        <v>15100-45075396-96150019937311</v>
      </c>
      <c r="B3388" s="136" t="s">
        <v>6235</v>
      </c>
      <c r="C3388" s="136" t="s">
        <v>9455</v>
      </c>
      <c r="D3388" s="132" t="s">
        <v>4971</v>
      </c>
      <c r="E3388" s="136" t="s">
        <v>5830</v>
      </c>
      <c r="F3388" s="136" t="s">
        <v>5830</v>
      </c>
      <c r="G3388" s="136" t="s">
        <v>5815</v>
      </c>
      <c r="H3388" s="138" t="s">
        <v>6298</v>
      </c>
      <c r="I3388" s="136">
        <v>961500199</v>
      </c>
      <c r="J3388" s="131" t="s">
        <v>5571</v>
      </c>
      <c r="K3388" s="139">
        <v>37311</v>
      </c>
    </row>
    <row r="3389" spans="1:11">
      <c r="A3389" s="1" t="str">
        <f t="shared" si="52"/>
        <v>15100-45139196-96150017733011</v>
      </c>
      <c r="B3389" s="136" t="s">
        <v>6237</v>
      </c>
      <c r="C3389" s="136" t="s">
        <v>9457</v>
      </c>
      <c r="D3389" s="132" t="s">
        <v>4971</v>
      </c>
      <c r="E3389" s="136" t="s">
        <v>5832</v>
      </c>
      <c r="F3389" s="136" t="s">
        <v>5832</v>
      </c>
      <c r="G3389" s="136" t="s">
        <v>5807</v>
      </c>
      <c r="H3389" s="138" t="s">
        <v>6300</v>
      </c>
      <c r="I3389" s="136">
        <v>961500177</v>
      </c>
      <c r="J3389" s="131" t="s">
        <v>5585</v>
      </c>
      <c r="K3389" s="139">
        <v>33011</v>
      </c>
    </row>
    <row r="3390" spans="1:11">
      <c r="A3390" s="1" t="str">
        <f t="shared" si="52"/>
        <v>15100-45139196-96150022023829</v>
      </c>
      <c r="B3390" s="136" t="s">
        <v>6237</v>
      </c>
      <c r="C3390" s="136" t="s">
        <v>9457</v>
      </c>
      <c r="D3390" s="132" t="s">
        <v>4971</v>
      </c>
      <c r="E3390" s="136" t="s">
        <v>5832</v>
      </c>
      <c r="F3390" s="136" t="s">
        <v>5832</v>
      </c>
      <c r="G3390" s="136" t="s">
        <v>5819</v>
      </c>
      <c r="H3390" s="138" t="s">
        <v>6300</v>
      </c>
      <c r="I3390" s="136">
        <v>961500220</v>
      </c>
      <c r="J3390" s="131" t="s">
        <v>5910</v>
      </c>
      <c r="K3390" s="139">
        <v>23829</v>
      </c>
    </row>
    <row r="3391" spans="1:11">
      <c r="A3391" s="1" t="str">
        <f t="shared" si="52"/>
        <v>15100-45245696-961500232272871</v>
      </c>
      <c r="B3391" s="136" t="s">
        <v>6233</v>
      </c>
      <c r="C3391" s="136" t="s">
        <v>9453</v>
      </c>
      <c r="D3391" s="132" t="s">
        <v>4971</v>
      </c>
      <c r="E3391" s="136" t="s">
        <v>5837</v>
      </c>
      <c r="F3391" s="136" t="s">
        <v>5837</v>
      </c>
      <c r="G3391" s="136" t="s">
        <v>5813</v>
      </c>
      <c r="H3391" s="138" t="s">
        <v>6298</v>
      </c>
      <c r="I3391" s="136">
        <v>961500232</v>
      </c>
      <c r="J3391" s="131" t="s">
        <v>5922</v>
      </c>
      <c r="K3391" s="139">
        <v>272871</v>
      </c>
    </row>
    <row r="3392" spans="1:11">
      <c r="A3392" s="1" t="str">
        <f t="shared" si="52"/>
        <v>15100-45136796-961500232128069</v>
      </c>
      <c r="B3392" s="136" t="s">
        <v>6221</v>
      </c>
      <c r="C3392" s="136" t="s">
        <v>9441</v>
      </c>
      <c r="D3392" s="132" t="s">
        <v>4971</v>
      </c>
      <c r="E3392" s="136" t="s">
        <v>5832</v>
      </c>
      <c r="F3392" s="136" t="s">
        <v>5832</v>
      </c>
      <c r="G3392" s="136" t="s">
        <v>5813</v>
      </c>
      <c r="H3392" s="138" t="s">
        <v>6298</v>
      </c>
      <c r="I3392" s="136">
        <v>961500232</v>
      </c>
      <c r="J3392" s="131" t="s">
        <v>5922</v>
      </c>
      <c r="K3392" s="139">
        <v>128069</v>
      </c>
    </row>
    <row r="3393" spans="1:11">
      <c r="A3393" s="1" t="str">
        <f t="shared" si="52"/>
        <v>15100-45240896-96150017847680</v>
      </c>
      <c r="B3393" s="136" t="s">
        <v>6238</v>
      </c>
      <c r="C3393" s="136" t="s">
        <v>9458</v>
      </c>
      <c r="D3393" s="132" t="s">
        <v>4971</v>
      </c>
      <c r="E3393" s="136" t="s">
        <v>5837</v>
      </c>
      <c r="F3393" s="136" t="s">
        <v>5837</v>
      </c>
      <c r="G3393" s="136" t="s">
        <v>5810</v>
      </c>
      <c r="H3393" s="138" t="s">
        <v>6298</v>
      </c>
      <c r="I3393" s="136">
        <v>961500178</v>
      </c>
      <c r="J3393" s="131" t="s">
        <v>5593</v>
      </c>
      <c r="K3393" s="139">
        <v>47680</v>
      </c>
    </row>
    <row r="3394" spans="1:11">
      <c r="A3394" s="1" t="str">
        <f t="shared" si="52"/>
        <v>15100-45389096-96150016494690</v>
      </c>
      <c r="B3394" s="136" t="s">
        <v>6239</v>
      </c>
      <c r="C3394" s="136" t="s">
        <v>9459</v>
      </c>
      <c r="D3394" s="132" t="s">
        <v>4971</v>
      </c>
      <c r="E3394" s="136" t="s">
        <v>5840</v>
      </c>
      <c r="F3394" s="136" t="s">
        <v>5840</v>
      </c>
      <c r="G3394" s="136" t="s">
        <v>5810</v>
      </c>
      <c r="H3394" s="138" t="s">
        <v>6298</v>
      </c>
      <c r="I3394" s="136">
        <v>961500164</v>
      </c>
      <c r="J3394" s="131" t="s">
        <v>5880</v>
      </c>
      <c r="K3394" s="139">
        <v>94690</v>
      </c>
    </row>
    <row r="3395" spans="1:11">
      <c r="A3395" s="1" t="str">
        <f t="shared" ref="A3395:A3458" si="53">B3395&amp;J3395&amp;K3395</f>
        <v>15100-45073896-961500177380920</v>
      </c>
      <c r="B3395" s="136" t="s">
        <v>6240</v>
      </c>
      <c r="C3395" s="136" t="s">
        <v>9460</v>
      </c>
      <c r="D3395" s="132" t="s">
        <v>4971</v>
      </c>
      <c r="E3395" s="136" t="s">
        <v>5830</v>
      </c>
      <c r="F3395" s="136" t="s">
        <v>5830</v>
      </c>
      <c r="G3395" s="136" t="s">
        <v>5807</v>
      </c>
      <c r="H3395" s="138" t="s">
        <v>6300</v>
      </c>
      <c r="I3395" s="136">
        <v>961500177</v>
      </c>
      <c r="J3395" s="131" t="s">
        <v>5585</v>
      </c>
      <c r="K3395" s="139">
        <v>380920</v>
      </c>
    </row>
    <row r="3396" spans="1:11">
      <c r="A3396" s="1" t="str">
        <f t="shared" si="53"/>
        <v>15100-45389096-961500240118230</v>
      </c>
      <c r="B3396" s="136" t="s">
        <v>6239</v>
      </c>
      <c r="C3396" s="136" t="s">
        <v>9459</v>
      </c>
      <c r="D3396" s="132" t="s">
        <v>4971</v>
      </c>
      <c r="E3396" s="136" t="s">
        <v>5840</v>
      </c>
      <c r="F3396" s="136" t="s">
        <v>5840</v>
      </c>
      <c r="G3396" s="136" t="s">
        <v>5813</v>
      </c>
      <c r="H3396" s="138" t="s">
        <v>6298</v>
      </c>
      <c r="I3396" s="136">
        <v>961500240</v>
      </c>
      <c r="J3396" s="131" t="s">
        <v>5930</v>
      </c>
      <c r="K3396" s="139">
        <v>118230</v>
      </c>
    </row>
    <row r="3397" spans="1:11">
      <c r="A3397" s="1" t="str">
        <f t="shared" si="53"/>
        <v>15100-45201896-96150023249060</v>
      </c>
      <c r="B3397" s="136" t="s">
        <v>6241</v>
      </c>
      <c r="C3397" s="136" t="s">
        <v>9461</v>
      </c>
      <c r="D3397" s="132" t="s">
        <v>4971</v>
      </c>
      <c r="E3397" s="136" t="s">
        <v>5835</v>
      </c>
      <c r="F3397" s="136" t="s">
        <v>5835</v>
      </c>
      <c r="G3397" s="136" t="s">
        <v>5813</v>
      </c>
      <c r="H3397" s="138" t="s">
        <v>6298</v>
      </c>
      <c r="I3397" s="136">
        <v>961500232</v>
      </c>
      <c r="J3397" s="131" t="s">
        <v>5922</v>
      </c>
      <c r="K3397" s="139">
        <v>49060</v>
      </c>
    </row>
    <row r="3398" spans="1:11">
      <c r="A3398" s="1" t="str">
        <f t="shared" si="53"/>
        <v>15100-45633396-961500242163610</v>
      </c>
      <c r="B3398" s="144" t="s">
        <v>6242</v>
      </c>
      <c r="C3398" s="144" t="s">
        <v>9462</v>
      </c>
      <c r="D3398" s="132" t="s">
        <v>4971</v>
      </c>
      <c r="E3398" s="144" t="s">
        <v>5849</v>
      </c>
      <c r="F3398" s="144" t="s">
        <v>5849</v>
      </c>
      <c r="G3398" s="144" t="s">
        <v>5819</v>
      </c>
      <c r="H3398" s="145" t="s">
        <v>6300</v>
      </c>
      <c r="I3398" s="144">
        <v>961500242</v>
      </c>
      <c r="J3398" s="131" t="s">
        <v>5932</v>
      </c>
      <c r="K3398" s="144">
        <v>163610</v>
      </c>
    </row>
    <row r="3399" spans="1:11">
      <c r="A3399" s="1" t="str">
        <f t="shared" si="53"/>
        <v>15100-45385496-96150024021770</v>
      </c>
      <c r="B3399" s="136" t="s">
        <v>6289</v>
      </c>
      <c r="C3399" s="136" t="s">
        <v>9463</v>
      </c>
      <c r="D3399" s="132" t="s">
        <v>4971</v>
      </c>
      <c r="E3399" s="136" t="s">
        <v>5840</v>
      </c>
      <c r="F3399" s="136" t="s">
        <v>5840</v>
      </c>
      <c r="G3399" s="136" t="s">
        <v>5813</v>
      </c>
      <c r="H3399" s="138" t="s">
        <v>6298</v>
      </c>
      <c r="I3399" s="136">
        <v>961500240</v>
      </c>
      <c r="J3399" s="131" t="s">
        <v>5930</v>
      </c>
      <c r="K3399" s="136">
        <v>21770</v>
      </c>
    </row>
    <row r="3400" spans="1:11">
      <c r="A3400" s="1" t="str">
        <f t="shared" si="53"/>
        <v>15100-45640096-96150022319940</v>
      </c>
      <c r="B3400" s="136" t="s">
        <v>6290</v>
      </c>
      <c r="C3400" s="136" t="s">
        <v>9464</v>
      </c>
      <c r="D3400" s="132" t="s">
        <v>4971</v>
      </c>
      <c r="E3400" s="136" t="s">
        <v>5849</v>
      </c>
      <c r="F3400" s="136" t="s">
        <v>5849</v>
      </c>
      <c r="G3400" s="136" t="s">
        <v>5813</v>
      </c>
      <c r="H3400" s="138" t="s">
        <v>6298</v>
      </c>
      <c r="I3400" s="136">
        <v>961500223</v>
      </c>
      <c r="J3400" s="131" t="s">
        <v>5913</v>
      </c>
      <c r="K3400" s="136">
        <v>19940</v>
      </c>
    </row>
    <row r="3401" spans="1:11">
      <c r="A3401" s="1" t="str">
        <f t="shared" si="53"/>
        <v>15100-45640096-96150021453500</v>
      </c>
      <c r="B3401" s="136" t="s">
        <v>6290</v>
      </c>
      <c r="C3401" s="136" t="s">
        <v>9464</v>
      </c>
      <c r="D3401" s="132" t="s">
        <v>4971</v>
      </c>
      <c r="E3401" s="136" t="s">
        <v>5849</v>
      </c>
      <c r="F3401" s="136" t="s">
        <v>5849</v>
      </c>
      <c r="G3401" s="136" t="s">
        <v>5813</v>
      </c>
      <c r="H3401" s="138" t="s">
        <v>6298</v>
      </c>
      <c r="I3401" s="136">
        <v>961500214</v>
      </c>
      <c r="J3401" s="131" t="s">
        <v>5905</v>
      </c>
      <c r="K3401" s="136">
        <v>53500</v>
      </c>
    </row>
    <row r="3402" spans="1:11">
      <c r="A3402" s="1" t="str">
        <f t="shared" si="53"/>
        <v>15100-45385496-961500287111980</v>
      </c>
      <c r="B3402" s="136" t="s">
        <v>6289</v>
      </c>
      <c r="C3402" s="136" t="s">
        <v>9463</v>
      </c>
      <c r="D3402" s="132" t="s">
        <v>4971</v>
      </c>
      <c r="E3402" s="136" t="s">
        <v>5840</v>
      </c>
      <c r="F3402" s="136" t="s">
        <v>5840</v>
      </c>
      <c r="G3402" s="136" t="s">
        <v>5838</v>
      </c>
      <c r="H3402" s="138" t="s">
        <v>6299</v>
      </c>
      <c r="I3402" s="136">
        <v>961500287</v>
      </c>
      <c r="J3402" s="131" t="s">
        <v>5989</v>
      </c>
      <c r="K3402" s="136">
        <v>111980</v>
      </c>
    </row>
    <row r="3403" spans="1:11">
      <c r="A3403" s="1" t="str">
        <f t="shared" si="53"/>
        <v>15100-45385496-96150023810170</v>
      </c>
      <c r="B3403" s="136" t="s">
        <v>6289</v>
      </c>
      <c r="C3403" s="136" t="s">
        <v>9463</v>
      </c>
      <c r="D3403" s="132" t="s">
        <v>4971</v>
      </c>
      <c r="E3403" s="136" t="s">
        <v>5840</v>
      </c>
      <c r="F3403" s="136" t="s">
        <v>5840</v>
      </c>
      <c r="G3403" s="136" t="s">
        <v>5813</v>
      </c>
      <c r="H3403" s="138" t="s">
        <v>6298</v>
      </c>
      <c r="I3403" s="136">
        <v>961500238</v>
      </c>
      <c r="J3403" s="131" t="s">
        <v>5928</v>
      </c>
      <c r="K3403" s="136">
        <v>10170</v>
      </c>
    </row>
    <row r="3404" spans="1:11">
      <c r="A3404" s="1" t="str">
        <f t="shared" si="53"/>
        <v>15100-45874596-96150026696480</v>
      </c>
      <c r="B3404" s="136" t="s">
        <v>6291</v>
      </c>
      <c r="C3404" s="136" t="s">
        <v>9465</v>
      </c>
      <c r="D3404" s="132" t="s">
        <v>4971</v>
      </c>
      <c r="E3404" s="136" t="s">
        <v>6249</v>
      </c>
      <c r="F3404" s="136" t="s">
        <v>6249</v>
      </c>
      <c r="G3404" s="136" t="s">
        <v>5807</v>
      </c>
      <c r="H3404" s="138" t="s">
        <v>6300</v>
      </c>
      <c r="I3404" s="136">
        <v>961500266</v>
      </c>
      <c r="J3404" s="131" t="s">
        <v>5959</v>
      </c>
      <c r="K3404" s="136">
        <v>96480</v>
      </c>
    </row>
    <row r="3405" spans="1:11">
      <c r="A3405" s="1" t="str">
        <f t="shared" si="53"/>
        <v>15100-46137496-961500340404500</v>
      </c>
      <c r="B3405" s="136" t="s">
        <v>6292</v>
      </c>
      <c r="C3405" s="136" t="s">
        <v>9466</v>
      </c>
      <c r="D3405" s="132" t="s">
        <v>4971</v>
      </c>
      <c r="E3405" s="136" t="s">
        <v>6250</v>
      </c>
      <c r="F3405" s="136" t="s">
        <v>6250</v>
      </c>
      <c r="G3405" s="136" t="s">
        <v>5831</v>
      </c>
      <c r="H3405" s="138" t="s">
        <v>6298</v>
      </c>
      <c r="I3405" s="136">
        <v>961500340</v>
      </c>
      <c r="J3405" s="131" t="s">
        <v>6273</v>
      </c>
      <c r="K3405" s="136">
        <v>404500</v>
      </c>
    </row>
    <row r="3406" spans="1:11">
      <c r="A3406" s="1" t="str">
        <f t="shared" si="53"/>
        <v>15100-45825896-961500313147180</v>
      </c>
      <c r="B3406" s="136" t="s">
        <v>6293</v>
      </c>
      <c r="C3406" s="136" t="s">
        <v>9467</v>
      </c>
      <c r="D3406" s="132" t="s">
        <v>4971</v>
      </c>
      <c r="E3406" s="136" t="s">
        <v>6075</v>
      </c>
      <c r="F3406" s="136" t="s">
        <v>6075</v>
      </c>
      <c r="G3406" s="136" t="s">
        <v>5831</v>
      </c>
      <c r="H3406" s="138" t="s">
        <v>6298</v>
      </c>
      <c r="I3406" s="136">
        <v>961500313</v>
      </c>
      <c r="J3406" s="131" t="s">
        <v>6024</v>
      </c>
      <c r="K3406" s="136">
        <v>147180</v>
      </c>
    </row>
    <row r="3407" spans="1:11">
      <c r="A3407" s="1" t="str">
        <f t="shared" si="53"/>
        <v>15100-45238496-96150016249580</v>
      </c>
      <c r="B3407" s="136" t="s">
        <v>6294</v>
      </c>
      <c r="C3407" s="136" t="s">
        <v>9468</v>
      </c>
      <c r="D3407" s="132" t="s">
        <v>4971</v>
      </c>
      <c r="E3407" s="136" t="s">
        <v>5837</v>
      </c>
      <c r="F3407" s="136" t="s">
        <v>5837</v>
      </c>
      <c r="G3407" s="136" t="s">
        <v>5810</v>
      </c>
      <c r="H3407" s="138" t="s">
        <v>6298</v>
      </c>
      <c r="I3407" s="136">
        <v>961500162</v>
      </c>
      <c r="J3407" s="131" t="s">
        <v>5878</v>
      </c>
      <c r="K3407" s="136">
        <v>49580</v>
      </c>
    </row>
    <row r="3408" spans="1:11">
      <c r="A3408" s="1" t="str">
        <f t="shared" si="53"/>
        <v>15100-43670796-9615001495060</v>
      </c>
      <c r="B3408" s="136" t="s">
        <v>6296</v>
      </c>
      <c r="C3408" s="136" t="s">
        <v>9470</v>
      </c>
      <c r="D3408" s="132" t="s">
        <v>4971</v>
      </c>
      <c r="E3408" s="136" t="s">
        <v>5331</v>
      </c>
      <c r="F3408" s="136" t="s">
        <v>5331</v>
      </c>
      <c r="G3408" s="136" t="s">
        <v>5789</v>
      </c>
      <c r="H3408" s="138" t="s">
        <v>6300</v>
      </c>
      <c r="I3408" s="136">
        <v>961500149</v>
      </c>
      <c r="J3408" s="131" t="s">
        <v>5373</v>
      </c>
      <c r="K3408" s="139">
        <v>5060</v>
      </c>
    </row>
    <row r="3409" spans="1:11">
      <c r="A3409" s="1" t="str">
        <f t="shared" si="53"/>
        <v>15100-43670796-96150016067720</v>
      </c>
      <c r="B3409" s="136" t="s">
        <v>6296</v>
      </c>
      <c r="C3409" s="136" t="s">
        <v>9470</v>
      </c>
      <c r="D3409" s="132" t="s">
        <v>4971</v>
      </c>
      <c r="E3409" s="136" t="s">
        <v>5331</v>
      </c>
      <c r="F3409" s="136" t="s">
        <v>5331</v>
      </c>
      <c r="G3409" s="136" t="s">
        <v>5810</v>
      </c>
      <c r="H3409" s="138" t="s">
        <v>6298</v>
      </c>
      <c r="I3409" s="136">
        <v>961500160</v>
      </c>
      <c r="J3409" s="131" t="s">
        <v>5437</v>
      </c>
      <c r="K3409" s="136">
        <v>67720</v>
      </c>
    </row>
    <row r="3410" spans="1:11">
      <c r="A3410" s="1" t="str">
        <f t="shared" si="53"/>
        <v>50100-912228396-961500264112000</v>
      </c>
      <c r="B3410" s="141" t="s">
        <v>6419</v>
      </c>
      <c r="C3410" s="141" t="s">
        <v>9525</v>
      </c>
      <c r="D3410" s="132" t="s">
        <v>4971</v>
      </c>
      <c r="E3410" s="141" t="s">
        <v>6128</v>
      </c>
      <c r="F3410" s="141" t="s">
        <v>6128</v>
      </c>
      <c r="G3410" s="141" t="s">
        <v>5826</v>
      </c>
      <c r="H3410" s="140" t="s">
        <v>6298</v>
      </c>
      <c r="I3410" s="141">
        <v>961500264</v>
      </c>
      <c r="J3410" s="131" t="s">
        <v>5956</v>
      </c>
      <c r="K3410" s="142">
        <v>112000</v>
      </c>
    </row>
    <row r="3411" spans="1:11">
      <c r="A3411" s="1" t="str">
        <f t="shared" si="53"/>
        <v>50100-912228396-961500258304903</v>
      </c>
      <c r="B3411" s="141" t="s">
        <v>6419</v>
      </c>
      <c r="C3411" s="141" t="s">
        <v>9525</v>
      </c>
      <c r="D3411" s="132" t="s">
        <v>4971</v>
      </c>
      <c r="E3411" s="141" t="s">
        <v>6128</v>
      </c>
      <c r="F3411" s="141" t="s">
        <v>6128</v>
      </c>
      <c r="G3411" s="141" t="s">
        <v>5826</v>
      </c>
      <c r="H3411" s="140" t="s">
        <v>6298</v>
      </c>
      <c r="I3411" s="141">
        <v>961500258</v>
      </c>
      <c r="J3411" s="131" t="s">
        <v>5947</v>
      </c>
      <c r="K3411" s="142">
        <v>304903</v>
      </c>
    </row>
    <row r="3412" spans="1:11">
      <c r="A3412" s="1" t="str">
        <f t="shared" si="53"/>
        <v>50100-914817296-961500333482525</v>
      </c>
      <c r="B3412" s="141" t="s">
        <v>6420</v>
      </c>
      <c r="C3412" s="141" t="s">
        <v>9526</v>
      </c>
      <c r="D3412" s="132" t="s">
        <v>4971</v>
      </c>
      <c r="E3412" s="141" t="s">
        <v>6395</v>
      </c>
      <c r="F3412" s="141" t="s">
        <v>6395</v>
      </c>
      <c r="G3412" s="141" t="s">
        <v>7233</v>
      </c>
      <c r="H3412" s="140" t="s">
        <v>6453</v>
      </c>
      <c r="I3412" s="141">
        <v>961500333</v>
      </c>
      <c r="J3412" s="131" t="s">
        <v>6421</v>
      </c>
      <c r="K3412" s="142">
        <v>482525</v>
      </c>
    </row>
    <row r="3413" spans="1:11">
      <c r="A3413" s="1" t="str">
        <f t="shared" si="53"/>
        <v>50100-913086696-96250003231680</v>
      </c>
      <c r="B3413" s="141" t="s">
        <v>6422</v>
      </c>
      <c r="C3413" s="141" t="s">
        <v>9527</v>
      </c>
      <c r="D3413" s="132" t="s">
        <v>4971</v>
      </c>
      <c r="E3413" s="141" t="s">
        <v>6408</v>
      </c>
      <c r="F3413" s="141" t="s">
        <v>6408</v>
      </c>
      <c r="G3413" s="141" t="s">
        <v>5815</v>
      </c>
      <c r="H3413" s="140" t="s">
        <v>6298</v>
      </c>
      <c r="I3413" s="141">
        <v>962500032</v>
      </c>
      <c r="J3413" s="131" t="s">
        <v>5895</v>
      </c>
      <c r="K3413" s="142">
        <v>31680</v>
      </c>
    </row>
    <row r="3414" spans="1:11">
      <c r="A3414" s="1" t="str">
        <f t="shared" si="53"/>
        <v>50100-912228396-961500270169340</v>
      </c>
      <c r="B3414" s="141" t="s">
        <v>6419</v>
      </c>
      <c r="C3414" s="141" t="s">
        <v>9525</v>
      </c>
      <c r="D3414" s="132" t="s">
        <v>4971</v>
      </c>
      <c r="E3414" s="141" t="s">
        <v>6128</v>
      </c>
      <c r="F3414" s="141" t="s">
        <v>6128</v>
      </c>
      <c r="G3414" s="141" t="s">
        <v>5826</v>
      </c>
      <c r="H3414" s="140" t="s">
        <v>6298</v>
      </c>
      <c r="I3414" s="141">
        <v>961500270</v>
      </c>
      <c r="J3414" s="131" t="s">
        <v>5963</v>
      </c>
      <c r="K3414" s="142">
        <v>169340</v>
      </c>
    </row>
    <row r="3415" spans="1:11">
      <c r="A3415" s="1" t="str">
        <f t="shared" si="53"/>
        <v>50100-912228396-96150026293000</v>
      </c>
      <c r="B3415" s="141" t="s">
        <v>6419</v>
      </c>
      <c r="C3415" s="141" t="s">
        <v>9525</v>
      </c>
      <c r="D3415" s="132" t="s">
        <v>4971</v>
      </c>
      <c r="E3415" s="141" t="s">
        <v>6128</v>
      </c>
      <c r="F3415" s="141" t="s">
        <v>6128</v>
      </c>
      <c r="G3415" s="141" t="s">
        <v>5826</v>
      </c>
      <c r="H3415" s="140" t="s">
        <v>6298</v>
      </c>
      <c r="I3415" s="141">
        <v>961500262</v>
      </c>
      <c r="J3415" s="131" t="s">
        <v>5954</v>
      </c>
      <c r="K3415" s="142">
        <v>93000</v>
      </c>
    </row>
    <row r="3416" spans="1:11">
      <c r="A3416" s="1" t="str">
        <f t="shared" si="53"/>
        <v>50100-917650496-961500364140000</v>
      </c>
      <c r="B3416" s="141" t="s">
        <v>6423</v>
      </c>
      <c r="C3416" s="141" t="s">
        <v>9528</v>
      </c>
      <c r="D3416" s="132" t="s">
        <v>4971</v>
      </c>
      <c r="E3416" s="141" t="s">
        <v>6412</v>
      </c>
      <c r="F3416" s="141" t="s">
        <v>6412</v>
      </c>
      <c r="G3416" s="141" t="s">
        <v>7233</v>
      </c>
      <c r="H3416" s="140" t="s">
        <v>6453</v>
      </c>
      <c r="I3416" s="141">
        <v>961500364</v>
      </c>
      <c r="J3416" s="131" t="s">
        <v>6424</v>
      </c>
      <c r="K3416" s="142">
        <v>140000</v>
      </c>
    </row>
    <row r="3417" spans="1:11">
      <c r="A3417" s="1" t="str">
        <f t="shared" si="53"/>
        <v>50100-914638796-962500065201861</v>
      </c>
      <c r="B3417" s="141" t="s">
        <v>6425</v>
      </c>
      <c r="C3417" s="141" t="s">
        <v>9529</v>
      </c>
      <c r="D3417" s="132" t="s">
        <v>4971</v>
      </c>
      <c r="E3417" s="141" t="s">
        <v>6395</v>
      </c>
      <c r="F3417" s="141" t="s">
        <v>6395</v>
      </c>
      <c r="G3417" s="141" t="s">
        <v>5841</v>
      </c>
      <c r="H3417" s="138" t="s">
        <v>6452</v>
      </c>
      <c r="I3417" s="141">
        <v>962500065</v>
      </c>
      <c r="J3417" s="131" t="s">
        <v>6426</v>
      </c>
      <c r="K3417" s="142">
        <v>201861</v>
      </c>
    </row>
    <row r="3418" spans="1:11">
      <c r="A3418" s="1" t="str">
        <f t="shared" si="53"/>
        <v>50100-912033396-964100049959176</v>
      </c>
      <c r="B3418" s="141" t="s">
        <v>6427</v>
      </c>
      <c r="C3418" s="141" t="s">
        <v>9530</v>
      </c>
      <c r="D3418" s="132" t="s">
        <v>4971</v>
      </c>
      <c r="E3418" s="141" t="s">
        <v>6244</v>
      </c>
      <c r="F3418" s="141" t="s">
        <v>6244</v>
      </c>
      <c r="G3418" s="141" t="s">
        <v>7138</v>
      </c>
      <c r="H3418" s="140" t="s">
        <v>6452</v>
      </c>
      <c r="I3418" s="141">
        <v>964100049</v>
      </c>
      <c r="J3418" s="131" t="s">
        <v>6428</v>
      </c>
      <c r="K3418" s="142">
        <v>959176</v>
      </c>
    </row>
    <row r="3419" spans="1:11">
      <c r="A3419" s="1" t="str">
        <f t="shared" si="53"/>
        <v>50100-912228396-961500275316257</v>
      </c>
      <c r="B3419" s="141" t="s">
        <v>6419</v>
      </c>
      <c r="C3419" s="141" t="s">
        <v>9525</v>
      </c>
      <c r="D3419" s="132" t="s">
        <v>4971</v>
      </c>
      <c r="E3419" s="141" t="s">
        <v>6128</v>
      </c>
      <c r="F3419" s="141" t="s">
        <v>6128</v>
      </c>
      <c r="G3419" s="141" t="s">
        <v>5826</v>
      </c>
      <c r="H3419" s="140" t="s">
        <v>6298</v>
      </c>
      <c r="I3419" s="141">
        <v>961500275</v>
      </c>
      <c r="J3419" s="131" t="s">
        <v>5970</v>
      </c>
      <c r="K3419" s="142">
        <v>316257</v>
      </c>
    </row>
    <row r="3420" spans="1:11">
      <c r="A3420" s="1" t="str">
        <f t="shared" si="53"/>
        <v>50100-913086696-962500080320000</v>
      </c>
      <c r="B3420" s="141" t="s">
        <v>6422</v>
      </c>
      <c r="C3420" s="141" t="s">
        <v>9527</v>
      </c>
      <c r="D3420" s="132" t="s">
        <v>4971</v>
      </c>
      <c r="E3420" s="141" t="s">
        <v>6408</v>
      </c>
      <c r="F3420" s="141" t="s">
        <v>6408</v>
      </c>
      <c r="G3420" s="141" t="s">
        <v>7231</v>
      </c>
      <c r="H3420" s="140" t="s">
        <v>6298</v>
      </c>
      <c r="I3420" s="141">
        <v>962500080</v>
      </c>
      <c r="J3420" s="131" t="s">
        <v>6429</v>
      </c>
      <c r="K3420" s="142">
        <v>320000</v>
      </c>
    </row>
    <row r="3421" spans="1:11">
      <c r="A3421" s="1" t="str">
        <f t="shared" si="53"/>
        <v>50100-913086696-961500337517900</v>
      </c>
      <c r="B3421" s="141" t="s">
        <v>6422</v>
      </c>
      <c r="C3421" s="141" t="s">
        <v>9527</v>
      </c>
      <c r="D3421" s="132" t="s">
        <v>4971</v>
      </c>
      <c r="E3421" s="141" t="s">
        <v>6408</v>
      </c>
      <c r="F3421" s="141" t="s">
        <v>6408</v>
      </c>
      <c r="G3421" s="141" t="s">
        <v>7233</v>
      </c>
      <c r="H3421" s="140" t="s">
        <v>6453</v>
      </c>
      <c r="I3421" s="141">
        <v>961500337</v>
      </c>
      <c r="J3421" s="131" t="s">
        <v>6430</v>
      </c>
      <c r="K3421" s="142">
        <v>517900</v>
      </c>
    </row>
    <row r="3422" spans="1:11">
      <c r="A3422" s="1" t="str">
        <f t="shared" si="53"/>
        <v>50100-918222796-964100052999155</v>
      </c>
      <c r="B3422" s="141" t="s">
        <v>6431</v>
      </c>
      <c r="C3422" s="141" t="s">
        <v>9531</v>
      </c>
      <c r="D3422" s="132" t="s">
        <v>4971</v>
      </c>
      <c r="E3422" s="141" t="s">
        <v>6325</v>
      </c>
      <c r="F3422" s="141" t="s">
        <v>6325</v>
      </c>
      <c r="G3422" s="141" t="s">
        <v>7138</v>
      </c>
      <c r="H3422" s="140" t="s">
        <v>6452</v>
      </c>
      <c r="I3422" s="141">
        <v>964100052</v>
      </c>
      <c r="J3422" s="131" t="s">
        <v>6432</v>
      </c>
      <c r="K3422" s="142">
        <v>999155</v>
      </c>
    </row>
    <row r="3423" spans="1:11">
      <c r="A3423" s="1" t="str">
        <f t="shared" si="53"/>
        <v>50100-915914196-962500084265193</v>
      </c>
      <c r="B3423" s="141" t="s">
        <v>6433</v>
      </c>
      <c r="C3423" s="141" t="s">
        <v>9532</v>
      </c>
      <c r="D3423" s="132" t="s">
        <v>4971</v>
      </c>
      <c r="E3423" s="141" t="s">
        <v>6343</v>
      </c>
      <c r="F3423" s="141" t="s">
        <v>6343</v>
      </c>
      <c r="G3423" s="141" t="s">
        <v>5841</v>
      </c>
      <c r="H3423" s="138" t="s">
        <v>6452</v>
      </c>
      <c r="I3423" s="141">
        <v>962500084</v>
      </c>
      <c r="J3423" s="131" t="s">
        <v>6434</v>
      </c>
      <c r="K3423" s="142">
        <v>265193</v>
      </c>
    </row>
    <row r="3424" spans="1:11">
      <c r="A3424" s="1" t="str">
        <f t="shared" si="53"/>
        <v>50100-915914196-96250006430157</v>
      </c>
      <c r="B3424" s="141" t="s">
        <v>6433</v>
      </c>
      <c r="C3424" s="141" t="s">
        <v>9532</v>
      </c>
      <c r="D3424" s="132" t="s">
        <v>4971</v>
      </c>
      <c r="E3424" s="141" t="s">
        <v>6343</v>
      </c>
      <c r="F3424" s="141" t="s">
        <v>6343</v>
      </c>
      <c r="G3424" s="141" t="s">
        <v>5841</v>
      </c>
      <c r="H3424" s="138" t="s">
        <v>6452</v>
      </c>
      <c r="I3424" s="141">
        <v>962500064</v>
      </c>
      <c r="J3424" s="131" t="s">
        <v>6047</v>
      </c>
      <c r="K3424" s="142">
        <v>30157</v>
      </c>
    </row>
    <row r="3425" spans="1:11">
      <c r="A3425" s="1" t="str">
        <f t="shared" si="53"/>
        <v>50100-917669396-961500321220000</v>
      </c>
      <c r="B3425" s="141" t="s">
        <v>6435</v>
      </c>
      <c r="C3425" s="141" t="s">
        <v>9533</v>
      </c>
      <c r="D3425" s="132" t="s">
        <v>4971</v>
      </c>
      <c r="E3425" s="141" t="s">
        <v>6412</v>
      </c>
      <c r="F3425" s="141" t="s">
        <v>6412</v>
      </c>
      <c r="G3425" s="141" t="s">
        <v>5822</v>
      </c>
      <c r="H3425" s="140" t="s">
        <v>6454</v>
      </c>
      <c r="I3425" s="141">
        <v>961500321</v>
      </c>
      <c r="J3425" s="131" t="s">
        <v>6042</v>
      </c>
      <c r="K3425" s="142">
        <v>220000</v>
      </c>
    </row>
    <row r="3426" spans="1:11">
      <c r="A3426" s="1" t="str">
        <f t="shared" si="53"/>
        <v>50100-914638796-962500064469843</v>
      </c>
      <c r="B3426" s="141" t="s">
        <v>6425</v>
      </c>
      <c r="C3426" s="141" t="s">
        <v>9529</v>
      </c>
      <c r="D3426" s="132" t="s">
        <v>4971</v>
      </c>
      <c r="E3426" s="141" t="s">
        <v>6395</v>
      </c>
      <c r="F3426" s="141" t="s">
        <v>6395</v>
      </c>
      <c r="G3426" s="141" t="s">
        <v>5841</v>
      </c>
      <c r="H3426" s="138" t="s">
        <v>6452</v>
      </c>
      <c r="I3426" s="141">
        <v>962500064</v>
      </c>
      <c r="J3426" s="131" t="s">
        <v>6047</v>
      </c>
      <c r="K3426" s="142">
        <v>469843</v>
      </c>
    </row>
    <row r="3427" spans="1:11">
      <c r="A3427" s="1" t="str">
        <f t="shared" si="53"/>
        <v>50100-913086696-961500325139780</v>
      </c>
      <c r="B3427" s="141" t="s">
        <v>6422</v>
      </c>
      <c r="C3427" s="141" t="s">
        <v>9527</v>
      </c>
      <c r="D3427" s="132" t="s">
        <v>4971</v>
      </c>
      <c r="E3427" s="141" t="s">
        <v>6408</v>
      </c>
      <c r="F3427" s="141" t="s">
        <v>6408</v>
      </c>
      <c r="G3427" s="141" t="s">
        <v>5852</v>
      </c>
      <c r="H3427" s="140" t="s">
        <v>6454</v>
      </c>
      <c r="I3427" s="141">
        <v>961500325</v>
      </c>
      <c r="J3427" s="131" t="s">
        <v>6045</v>
      </c>
      <c r="K3427" s="142">
        <v>139780</v>
      </c>
    </row>
    <row r="3428" spans="1:11">
      <c r="A3428" s="1" t="str">
        <f t="shared" si="53"/>
        <v>50100-916250396-962500040253975</v>
      </c>
      <c r="B3428" s="141" t="s">
        <v>6436</v>
      </c>
      <c r="C3428" s="141" t="s">
        <v>9534</v>
      </c>
      <c r="D3428" s="132" t="s">
        <v>4971</v>
      </c>
      <c r="E3428" s="141" t="s">
        <v>6332</v>
      </c>
      <c r="F3428" s="141" t="s">
        <v>6332</v>
      </c>
      <c r="G3428" s="141" t="s">
        <v>5814</v>
      </c>
      <c r="H3428" s="140" t="s">
        <v>6298</v>
      </c>
      <c r="I3428" s="141">
        <v>962500040</v>
      </c>
      <c r="J3428" s="131" t="s">
        <v>5971</v>
      </c>
      <c r="K3428" s="142">
        <v>253975</v>
      </c>
    </row>
    <row r="3429" spans="1:11">
      <c r="A3429" s="1" t="str">
        <f t="shared" si="53"/>
        <v>50100-916250396-962500039230000</v>
      </c>
      <c r="B3429" s="141" t="s">
        <v>6436</v>
      </c>
      <c r="C3429" s="141" t="s">
        <v>9534</v>
      </c>
      <c r="D3429" s="132" t="s">
        <v>4971</v>
      </c>
      <c r="E3429" s="141" t="s">
        <v>6332</v>
      </c>
      <c r="F3429" s="141" t="s">
        <v>6332</v>
      </c>
      <c r="G3429" s="141" t="s">
        <v>5814</v>
      </c>
      <c r="H3429" s="140" t="s">
        <v>6298</v>
      </c>
      <c r="I3429" s="141">
        <v>962500039</v>
      </c>
      <c r="J3429" s="131" t="s">
        <v>5966</v>
      </c>
      <c r="K3429" s="142">
        <v>230000</v>
      </c>
    </row>
    <row r="3430" spans="1:11">
      <c r="A3430" s="1" t="str">
        <f t="shared" si="53"/>
        <v>50100-914805496-961500333517475</v>
      </c>
      <c r="B3430" s="141" t="s">
        <v>6437</v>
      </c>
      <c r="C3430" s="141" t="s">
        <v>9535</v>
      </c>
      <c r="D3430" s="132" t="s">
        <v>4971</v>
      </c>
      <c r="E3430" s="141" t="s">
        <v>6395</v>
      </c>
      <c r="F3430" s="141" t="s">
        <v>6395</v>
      </c>
      <c r="G3430" s="141" t="s">
        <v>7233</v>
      </c>
      <c r="H3430" s="140" t="s">
        <v>6453</v>
      </c>
      <c r="I3430" s="141">
        <v>961500333</v>
      </c>
      <c r="J3430" s="131" t="s">
        <v>6421</v>
      </c>
      <c r="K3430" s="142">
        <v>517475</v>
      </c>
    </row>
    <row r="3431" spans="1:11">
      <c r="A3431" s="1" t="str">
        <f t="shared" si="53"/>
        <v>50100-914037496-96250007216163</v>
      </c>
      <c r="B3431" s="141" t="s">
        <v>6438</v>
      </c>
      <c r="C3431" s="141" t="s">
        <v>9536</v>
      </c>
      <c r="D3431" s="132" t="s">
        <v>4971</v>
      </c>
      <c r="E3431" s="141" t="s">
        <v>6363</v>
      </c>
      <c r="F3431" s="141" t="s">
        <v>6363</v>
      </c>
      <c r="G3431" s="141" t="s">
        <v>5856</v>
      </c>
      <c r="H3431" s="138" t="s">
        <v>6455</v>
      </c>
      <c r="I3431" s="141">
        <v>962500072</v>
      </c>
      <c r="J3431" s="131" t="s">
        <v>6265</v>
      </c>
      <c r="K3431" s="142">
        <v>16163</v>
      </c>
    </row>
    <row r="3432" spans="1:11">
      <c r="A3432" s="1" t="str">
        <f t="shared" si="53"/>
        <v>50100-914805496-961500334336436</v>
      </c>
      <c r="B3432" s="141" t="s">
        <v>6437</v>
      </c>
      <c r="C3432" s="141" t="s">
        <v>9535</v>
      </c>
      <c r="D3432" s="132" t="s">
        <v>4971</v>
      </c>
      <c r="E3432" s="141" t="s">
        <v>6395</v>
      </c>
      <c r="F3432" s="141" t="s">
        <v>6395</v>
      </c>
      <c r="G3432" s="141" t="s">
        <v>7233</v>
      </c>
      <c r="H3432" s="140" t="s">
        <v>6453</v>
      </c>
      <c r="I3432" s="141">
        <v>961500334</v>
      </c>
      <c r="J3432" s="131" t="s">
        <v>6318</v>
      </c>
      <c r="K3432" s="142">
        <v>336436</v>
      </c>
    </row>
    <row r="3433" spans="1:11">
      <c r="A3433" s="1" t="str">
        <f t="shared" si="53"/>
        <v>50100-914037496-962500079474062</v>
      </c>
      <c r="B3433" s="141" t="s">
        <v>6438</v>
      </c>
      <c r="C3433" s="141" t="s">
        <v>9536</v>
      </c>
      <c r="D3433" s="132" t="s">
        <v>4971</v>
      </c>
      <c r="E3433" s="141" t="s">
        <v>6363</v>
      </c>
      <c r="F3433" s="141" t="s">
        <v>6363</v>
      </c>
      <c r="G3433" s="141" t="s">
        <v>5856</v>
      </c>
      <c r="H3433" s="138" t="s">
        <v>6455</v>
      </c>
      <c r="I3433" s="141">
        <v>962500079</v>
      </c>
      <c r="J3433" s="131" t="s">
        <v>6354</v>
      </c>
      <c r="K3433" s="142">
        <v>474062</v>
      </c>
    </row>
    <row r="3434" spans="1:11">
      <c r="A3434" s="1" t="str">
        <f t="shared" si="53"/>
        <v>50100-918180996-961500281150000</v>
      </c>
      <c r="B3434" s="141" t="s">
        <v>6439</v>
      </c>
      <c r="C3434" s="141" t="s">
        <v>9537</v>
      </c>
      <c r="D3434" s="132" t="s">
        <v>4971</v>
      </c>
      <c r="E3434" s="141" t="s">
        <v>6330</v>
      </c>
      <c r="F3434" s="141" t="s">
        <v>6330</v>
      </c>
      <c r="G3434" s="141" t="s">
        <v>5826</v>
      </c>
      <c r="H3434" s="140" t="s">
        <v>6298</v>
      </c>
      <c r="I3434" s="141">
        <v>961500281</v>
      </c>
      <c r="J3434" s="131" t="s">
        <v>5983</v>
      </c>
      <c r="K3434" s="142">
        <v>150000</v>
      </c>
    </row>
    <row r="3435" spans="1:11">
      <c r="A3435" s="1" t="str">
        <f t="shared" si="53"/>
        <v>50100-918024396-961500354965218</v>
      </c>
      <c r="B3435" s="141" t="s">
        <v>6440</v>
      </c>
      <c r="C3435" s="141" t="s">
        <v>9538</v>
      </c>
      <c r="D3435" s="132" t="s">
        <v>4971</v>
      </c>
      <c r="E3435" s="141" t="s">
        <v>6330</v>
      </c>
      <c r="F3435" s="141" t="s">
        <v>6330</v>
      </c>
      <c r="G3435" s="141" t="s">
        <v>5781</v>
      </c>
      <c r="H3435" s="140" t="s">
        <v>6456</v>
      </c>
      <c r="I3435" s="141">
        <v>961500354</v>
      </c>
      <c r="J3435" s="131" t="s">
        <v>6441</v>
      </c>
      <c r="K3435" s="142">
        <v>965218</v>
      </c>
    </row>
    <row r="3436" spans="1:11">
      <c r="A3436" s="1" t="str">
        <f t="shared" si="53"/>
        <v>50100-918180996-961500174300000</v>
      </c>
      <c r="B3436" s="141" t="s">
        <v>6439</v>
      </c>
      <c r="C3436" s="141" t="s">
        <v>9537</v>
      </c>
      <c r="D3436" s="132" t="s">
        <v>4971</v>
      </c>
      <c r="E3436" s="141" t="s">
        <v>6330</v>
      </c>
      <c r="F3436" s="141" t="s">
        <v>6330</v>
      </c>
      <c r="G3436" s="141" t="s">
        <v>5810</v>
      </c>
      <c r="H3436" s="140" t="s">
        <v>6298</v>
      </c>
      <c r="I3436" s="141">
        <v>961500174</v>
      </c>
      <c r="J3436" s="131" t="s">
        <v>5885</v>
      </c>
      <c r="K3436" s="142">
        <v>300000</v>
      </c>
    </row>
    <row r="3437" spans="1:11">
      <c r="A3437" s="1" t="str">
        <f t="shared" si="53"/>
        <v>50100-912492896-962500081293203</v>
      </c>
      <c r="B3437" s="141" t="s">
        <v>6442</v>
      </c>
      <c r="C3437" s="141" t="s">
        <v>9539</v>
      </c>
      <c r="D3437" s="132" t="s">
        <v>4971</v>
      </c>
      <c r="E3437" s="141" t="s">
        <v>6128</v>
      </c>
      <c r="F3437" s="141" t="s">
        <v>6128</v>
      </c>
      <c r="G3437" s="141" t="s">
        <v>5842</v>
      </c>
      <c r="H3437" s="140" t="s">
        <v>6300</v>
      </c>
      <c r="I3437" s="141">
        <v>962500081</v>
      </c>
      <c r="J3437" s="131" t="s">
        <v>6333</v>
      </c>
      <c r="K3437" s="142">
        <v>293203</v>
      </c>
    </row>
    <row r="3438" spans="1:11">
      <c r="A3438" s="1" t="str">
        <f t="shared" si="53"/>
        <v>50100-918193896-96250003199272</v>
      </c>
      <c r="B3438" s="141" t="s">
        <v>6443</v>
      </c>
      <c r="C3438" s="141" t="s">
        <v>9540</v>
      </c>
      <c r="D3438" s="132" t="s">
        <v>4971</v>
      </c>
      <c r="E3438" s="141" t="s">
        <v>6330</v>
      </c>
      <c r="F3438" s="141" t="s">
        <v>6330</v>
      </c>
      <c r="G3438" s="141" t="s">
        <v>5810</v>
      </c>
      <c r="H3438" s="140" t="s">
        <v>6298</v>
      </c>
      <c r="I3438" s="141">
        <v>962500031</v>
      </c>
      <c r="J3438" s="131" t="s">
        <v>5886</v>
      </c>
      <c r="K3438" s="142">
        <v>99272</v>
      </c>
    </row>
    <row r="3439" spans="1:11">
      <c r="A3439" s="1" t="str">
        <f t="shared" si="53"/>
        <v>50100-915627696-9641000512844123</v>
      </c>
      <c r="B3439" s="141" t="s">
        <v>6444</v>
      </c>
      <c r="C3439" s="141" t="s">
        <v>9541</v>
      </c>
      <c r="D3439" s="132" t="s">
        <v>4971</v>
      </c>
      <c r="E3439" s="141" t="s">
        <v>6343</v>
      </c>
      <c r="F3439" s="141" t="s">
        <v>6343</v>
      </c>
      <c r="G3439" s="141" t="s">
        <v>7138</v>
      </c>
      <c r="H3439" s="140" t="s">
        <v>6452</v>
      </c>
      <c r="I3439" s="141">
        <v>964100051</v>
      </c>
      <c r="J3439" s="131" t="s">
        <v>6445</v>
      </c>
      <c r="K3439" s="142">
        <v>2844123</v>
      </c>
    </row>
    <row r="3440" spans="1:11">
      <c r="A3440" s="1" t="str">
        <f t="shared" si="53"/>
        <v>50100-916279696-961500275253743</v>
      </c>
      <c r="B3440" s="141" t="s">
        <v>6446</v>
      </c>
      <c r="C3440" s="141" t="s">
        <v>9542</v>
      </c>
      <c r="D3440" s="132" t="s">
        <v>4971</v>
      </c>
      <c r="E3440" s="141" t="s">
        <v>6332</v>
      </c>
      <c r="F3440" s="141" t="s">
        <v>6332</v>
      </c>
      <c r="G3440" s="141" t="s">
        <v>5826</v>
      </c>
      <c r="H3440" s="140" t="s">
        <v>6298</v>
      </c>
      <c r="I3440" s="141">
        <v>961500275</v>
      </c>
      <c r="J3440" s="131" t="s">
        <v>5970</v>
      </c>
      <c r="K3440" s="142">
        <v>253743</v>
      </c>
    </row>
    <row r="3441" spans="1:11">
      <c r="A3441" s="1" t="str">
        <f t="shared" si="53"/>
        <v>50100-916279696-96150023936000</v>
      </c>
      <c r="B3441" s="141" t="s">
        <v>6446</v>
      </c>
      <c r="C3441" s="141" t="s">
        <v>9542</v>
      </c>
      <c r="D3441" s="132" t="s">
        <v>4971</v>
      </c>
      <c r="E3441" s="141" t="s">
        <v>6332</v>
      </c>
      <c r="F3441" s="141" t="s">
        <v>6332</v>
      </c>
      <c r="G3441" s="141" t="s">
        <v>5813</v>
      </c>
      <c r="H3441" s="140" t="s">
        <v>6298</v>
      </c>
      <c r="I3441" s="141">
        <v>961500239</v>
      </c>
      <c r="J3441" s="131" t="s">
        <v>5929</v>
      </c>
      <c r="K3441" s="142">
        <v>36000</v>
      </c>
    </row>
    <row r="3442" spans="1:11">
      <c r="A3442" s="1" t="str">
        <f t="shared" si="53"/>
        <v>50100-917705496-961500370180000</v>
      </c>
      <c r="B3442" s="141" t="s">
        <v>6447</v>
      </c>
      <c r="C3442" s="141" t="s">
        <v>9543</v>
      </c>
      <c r="D3442" s="132" t="s">
        <v>4971</v>
      </c>
      <c r="E3442" s="141" t="s">
        <v>6412</v>
      </c>
      <c r="F3442" s="141" t="s">
        <v>6412</v>
      </c>
      <c r="G3442" s="141" t="s">
        <v>7233</v>
      </c>
      <c r="H3442" s="140" t="s">
        <v>6453</v>
      </c>
      <c r="I3442" s="141">
        <v>961500370</v>
      </c>
      <c r="J3442" s="131" t="s">
        <v>6448</v>
      </c>
      <c r="K3442" s="142">
        <v>180000</v>
      </c>
    </row>
    <row r="3443" spans="1:11">
      <c r="A3443" s="1" t="str">
        <f t="shared" si="53"/>
        <v>50100-913022196-962500065438139</v>
      </c>
      <c r="B3443" s="141" t="s">
        <v>6449</v>
      </c>
      <c r="C3443" s="141" t="s">
        <v>9544</v>
      </c>
      <c r="D3443" s="132" t="s">
        <v>4971</v>
      </c>
      <c r="E3443" s="141" t="s">
        <v>6408</v>
      </c>
      <c r="F3443" s="141" t="s">
        <v>6408</v>
      </c>
      <c r="G3443" s="141" t="s">
        <v>5841</v>
      </c>
      <c r="H3443" s="138" t="s">
        <v>6452</v>
      </c>
      <c r="I3443" s="141">
        <v>962500065</v>
      </c>
      <c r="J3443" s="131" t="s">
        <v>6426</v>
      </c>
      <c r="K3443" s="142">
        <v>438139</v>
      </c>
    </row>
    <row r="3444" spans="1:11">
      <c r="A3444" s="1" t="str">
        <f t="shared" si="53"/>
        <v>50100-913022196-962500066201446</v>
      </c>
      <c r="B3444" s="141" t="s">
        <v>6449</v>
      </c>
      <c r="C3444" s="141" t="s">
        <v>9544</v>
      </c>
      <c r="D3444" s="132" t="s">
        <v>4971</v>
      </c>
      <c r="E3444" s="141" t="s">
        <v>6408</v>
      </c>
      <c r="F3444" s="141" t="s">
        <v>6408</v>
      </c>
      <c r="G3444" s="141" t="s">
        <v>5841</v>
      </c>
      <c r="H3444" s="138" t="s">
        <v>6452</v>
      </c>
      <c r="I3444" s="141">
        <v>962500066</v>
      </c>
      <c r="J3444" s="131" t="s">
        <v>6257</v>
      </c>
      <c r="K3444" s="142">
        <v>201446</v>
      </c>
    </row>
    <row r="3445" spans="1:11">
      <c r="A3445" s="1" t="str">
        <f t="shared" si="53"/>
        <v>50100-916250396-962500041500000</v>
      </c>
      <c r="B3445" s="141" t="s">
        <v>6436</v>
      </c>
      <c r="C3445" s="141" t="s">
        <v>9534</v>
      </c>
      <c r="D3445" s="132" t="s">
        <v>4971</v>
      </c>
      <c r="E3445" s="141" t="s">
        <v>6332</v>
      </c>
      <c r="F3445" s="141" t="s">
        <v>6332</v>
      </c>
      <c r="G3445" s="141" t="s">
        <v>5814</v>
      </c>
      <c r="H3445" s="140" t="s">
        <v>6298</v>
      </c>
      <c r="I3445" s="141">
        <v>962500041</v>
      </c>
      <c r="J3445" s="131" t="s">
        <v>5972</v>
      </c>
      <c r="K3445" s="142">
        <v>500000</v>
      </c>
    </row>
    <row r="3446" spans="1:11">
      <c r="A3446" s="1" t="str">
        <f t="shared" si="53"/>
        <v>50100-916250396-96150025011525</v>
      </c>
      <c r="B3446" s="141" t="s">
        <v>6436</v>
      </c>
      <c r="C3446" s="141" t="s">
        <v>9534</v>
      </c>
      <c r="D3446" s="132" t="s">
        <v>4971</v>
      </c>
      <c r="E3446" s="141" t="s">
        <v>6332</v>
      </c>
      <c r="F3446" s="141" t="s">
        <v>6332</v>
      </c>
      <c r="G3446" s="141" t="s">
        <v>5814</v>
      </c>
      <c r="H3446" s="140" t="s">
        <v>6298</v>
      </c>
      <c r="I3446" s="141">
        <v>961500250</v>
      </c>
      <c r="J3446" s="131" t="s">
        <v>5939</v>
      </c>
      <c r="K3446" s="142">
        <v>11525</v>
      </c>
    </row>
    <row r="3447" spans="1:11">
      <c r="A3447" s="1" t="str">
        <f t="shared" si="53"/>
        <v>50100-918193896-9615002268575</v>
      </c>
      <c r="B3447" s="141" t="s">
        <v>6443</v>
      </c>
      <c r="C3447" s="141" t="s">
        <v>9540</v>
      </c>
      <c r="D3447" s="132" t="s">
        <v>4971</v>
      </c>
      <c r="E3447" s="141" t="s">
        <v>6330</v>
      </c>
      <c r="F3447" s="141" t="s">
        <v>6330</v>
      </c>
      <c r="G3447" s="141" t="s">
        <v>5813</v>
      </c>
      <c r="H3447" s="140" t="s">
        <v>6298</v>
      </c>
      <c r="I3447" s="141">
        <v>961500226</v>
      </c>
      <c r="J3447" s="131" t="s">
        <v>5916</v>
      </c>
      <c r="K3447" s="142">
        <v>8575</v>
      </c>
    </row>
    <row r="3448" spans="1:11">
      <c r="A3448" s="1" t="str">
        <f t="shared" si="53"/>
        <v>50100-918193896-961500280224078</v>
      </c>
      <c r="B3448" s="141" t="s">
        <v>6443</v>
      </c>
      <c r="C3448" s="141" t="s">
        <v>9540</v>
      </c>
      <c r="D3448" s="132" t="s">
        <v>4971</v>
      </c>
      <c r="E3448" s="141" t="s">
        <v>6330</v>
      </c>
      <c r="F3448" s="141" t="s">
        <v>6330</v>
      </c>
      <c r="G3448" s="141" t="s">
        <v>5826</v>
      </c>
      <c r="H3448" s="140" t="s">
        <v>6298</v>
      </c>
      <c r="I3448" s="141">
        <v>961500280</v>
      </c>
      <c r="J3448" s="131" t="s">
        <v>5979</v>
      </c>
      <c r="K3448" s="142">
        <v>224078</v>
      </c>
    </row>
    <row r="3449" spans="1:11">
      <c r="A3449" s="1" t="str">
        <f t="shared" si="53"/>
        <v>50100-912462596-9641000502991178</v>
      </c>
      <c r="B3449" s="141" t="s">
        <v>6450</v>
      </c>
      <c r="C3449" s="141" t="s">
        <v>9545</v>
      </c>
      <c r="D3449" s="132" t="s">
        <v>4971</v>
      </c>
      <c r="E3449" s="141" t="s">
        <v>6128</v>
      </c>
      <c r="F3449" s="141" t="s">
        <v>6128</v>
      </c>
      <c r="G3449" s="141" t="s">
        <v>7138</v>
      </c>
      <c r="H3449" s="140" t="s">
        <v>6452</v>
      </c>
      <c r="I3449" s="141">
        <v>964100050</v>
      </c>
      <c r="J3449" s="131" t="s">
        <v>6451</v>
      </c>
      <c r="K3449" s="142">
        <v>2991178</v>
      </c>
    </row>
    <row r="3450" spans="1:11">
      <c r="A3450" s="1" t="str">
        <f t="shared" si="53"/>
        <v>50100-918180996-96150022641425</v>
      </c>
      <c r="B3450" s="141" t="s">
        <v>6439</v>
      </c>
      <c r="C3450" s="141" t="s">
        <v>9537</v>
      </c>
      <c r="D3450" s="132" t="s">
        <v>4971</v>
      </c>
      <c r="E3450" s="141" t="s">
        <v>6330</v>
      </c>
      <c r="F3450" s="141" t="s">
        <v>6330</v>
      </c>
      <c r="G3450" s="141" t="s">
        <v>5813</v>
      </c>
      <c r="H3450" s="140" t="s">
        <v>6298</v>
      </c>
      <c r="I3450" s="141">
        <v>961500226</v>
      </c>
      <c r="J3450" s="131" t="s">
        <v>5916</v>
      </c>
      <c r="K3450" s="142">
        <v>41425</v>
      </c>
    </row>
    <row r="3451" spans="1:11">
      <c r="A3451" s="1" t="str">
        <f t="shared" si="53"/>
        <v>50100-916279696-96150028045922</v>
      </c>
      <c r="B3451" s="141" t="s">
        <v>6446</v>
      </c>
      <c r="C3451" s="141" t="s">
        <v>9542</v>
      </c>
      <c r="D3451" s="132" t="s">
        <v>4971</v>
      </c>
      <c r="E3451" s="141" t="s">
        <v>6332</v>
      </c>
      <c r="F3451" s="141" t="s">
        <v>6332</v>
      </c>
      <c r="G3451" s="141" t="s">
        <v>5826</v>
      </c>
      <c r="H3451" s="140" t="s">
        <v>6298</v>
      </c>
      <c r="I3451" s="141">
        <v>961500280</v>
      </c>
      <c r="J3451" s="131" t="s">
        <v>5979</v>
      </c>
      <c r="K3451" s="142">
        <v>45922</v>
      </c>
    </row>
    <row r="3452" spans="1:11">
      <c r="A3452" s="1" t="str">
        <f t="shared" si="53"/>
        <v>15100-47514696-96150024334020</v>
      </c>
      <c r="B3452" s="136" t="s">
        <v>6374</v>
      </c>
      <c r="C3452" s="136" t="s">
        <v>9497</v>
      </c>
      <c r="D3452" s="132" t="s">
        <v>4971</v>
      </c>
      <c r="E3452" s="136" t="s">
        <v>6308</v>
      </c>
      <c r="F3452" s="136" t="s">
        <v>6308</v>
      </c>
      <c r="G3452" s="136" t="s">
        <v>5814</v>
      </c>
      <c r="H3452" s="138" t="s">
        <v>6298</v>
      </c>
      <c r="I3452" s="136">
        <v>961500243</v>
      </c>
      <c r="J3452" s="131" t="s">
        <v>5933</v>
      </c>
      <c r="K3452" s="139">
        <v>34020</v>
      </c>
    </row>
    <row r="3453" spans="1:11">
      <c r="A3453" s="1" t="str">
        <f t="shared" si="53"/>
        <v>15100-47514696-96150017175000</v>
      </c>
      <c r="B3453" s="136" t="s">
        <v>6374</v>
      </c>
      <c r="C3453" s="136" t="s">
        <v>9497</v>
      </c>
      <c r="D3453" s="132" t="s">
        <v>4971</v>
      </c>
      <c r="E3453" s="136" t="s">
        <v>6308</v>
      </c>
      <c r="F3453" s="136" t="s">
        <v>6308</v>
      </c>
      <c r="G3453" s="136" t="s">
        <v>5810</v>
      </c>
      <c r="H3453" s="138" t="s">
        <v>6298</v>
      </c>
      <c r="I3453" s="136">
        <v>961500171</v>
      </c>
      <c r="J3453" s="131" t="s">
        <v>5883</v>
      </c>
      <c r="K3453" s="139">
        <v>75000</v>
      </c>
    </row>
    <row r="3454" spans="1:11">
      <c r="A3454" s="1" t="str">
        <f t="shared" si="53"/>
        <v>15100-47392496-96150027633761</v>
      </c>
      <c r="B3454" s="136" t="s">
        <v>6375</v>
      </c>
      <c r="C3454" s="136" t="s">
        <v>9498</v>
      </c>
      <c r="D3454" s="132" t="s">
        <v>4971</v>
      </c>
      <c r="E3454" s="136" t="s">
        <v>6302</v>
      </c>
      <c r="F3454" s="136" t="s">
        <v>6302</v>
      </c>
      <c r="G3454" s="136" t="s">
        <v>5820</v>
      </c>
      <c r="H3454" s="138" t="s">
        <v>6300</v>
      </c>
      <c r="I3454" s="136">
        <v>961500276</v>
      </c>
      <c r="J3454" s="131" t="s">
        <v>5975</v>
      </c>
      <c r="K3454" s="139">
        <v>33761</v>
      </c>
    </row>
    <row r="3455" spans="1:11">
      <c r="A3455" s="1" t="str">
        <f t="shared" si="53"/>
        <v>15100-47514696-96150018241920</v>
      </c>
      <c r="B3455" s="136" t="s">
        <v>6374</v>
      </c>
      <c r="C3455" s="136" t="s">
        <v>9497</v>
      </c>
      <c r="D3455" s="132" t="s">
        <v>4971</v>
      </c>
      <c r="E3455" s="136" t="s">
        <v>6308</v>
      </c>
      <c r="F3455" s="136" t="s">
        <v>6308</v>
      </c>
      <c r="G3455" s="136" t="s">
        <v>5813</v>
      </c>
      <c r="H3455" s="138" t="s">
        <v>6298</v>
      </c>
      <c r="I3455" s="136">
        <v>961500182</v>
      </c>
      <c r="J3455" s="131" t="s">
        <v>5889</v>
      </c>
      <c r="K3455" s="139">
        <v>41920</v>
      </c>
    </row>
    <row r="3456" spans="1:11">
      <c r="A3456" s="1" t="str">
        <f t="shared" si="53"/>
        <v>15100-47514696-96150019893870</v>
      </c>
      <c r="B3456" s="136" t="s">
        <v>6374</v>
      </c>
      <c r="C3456" s="136" t="s">
        <v>9497</v>
      </c>
      <c r="D3456" s="132" t="s">
        <v>4971</v>
      </c>
      <c r="E3456" s="136" t="s">
        <v>6308</v>
      </c>
      <c r="F3456" s="136" t="s">
        <v>6308</v>
      </c>
      <c r="G3456" s="144" t="s">
        <v>5815</v>
      </c>
      <c r="H3456" s="145" t="s">
        <v>6298</v>
      </c>
      <c r="I3456" s="144">
        <v>961500198</v>
      </c>
      <c r="J3456" s="131" t="s">
        <v>5596</v>
      </c>
      <c r="K3456" s="146">
        <v>93870</v>
      </c>
    </row>
    <row r="3457" spans="1:11">
      <c r="A3457" s="1" t="str">
        <f t="shared" si="53"/>
        <v>15100-47392496-96150041241479</v>
      </c>
      <c r="B3457" s="136" t="s">
        <v>6375</v>
      </c>
      <c r="C3457" s="136" t="s">
        <v>9498</v>
      </c>
      <c r="D3457" s="132" t="s">
        <v>4971</v>
      </c>
      <c r="E3457" s="136" t="s">
        <v>6302</v>
      </c>
      <c r="F3457" s="147" t="s">
        <v>6302</v>
      </c>
      <c r="G3457" s="141" t="s">
        <v>7233</v>
      </c>
      <c r="H3457" s="140" t="s">
        <v>6453</v>
      </c>
      <c r="I3457" s="141">
        <v>961500412</v>
      </c>
      <c r="J3457" s="131" t="s">
        <v>6376</v>
      </c>
      <c r="K3457" s="142">
        <v>41479</v>
      </c>
    </row>
    <row r="3458" spans="1:11">
      <c r="A3458" s="1" t="str">
        <f t="shared" si="53"/>
        <v>15100-47514696-9615002164960</v>
      </c>
      <c r="B3458" s="136" t="s">
        <v>6374</v>
      </c>
      <c r="C3458" s="136" t="s">
        <v>9497</v>
      </c>
      <c r="D3458" s="132" t="s">
        <v>4971</v>
      </c>
      <c r="E3458" s="136" t="s">
        <v>6308</v>
      </c>
      <c r="F3458" s="136" t="s">
        <v>6308</v>
      </c>
      <c r="G3458" s="148" t="s">
        <v>5813</v>
      </c>
      <c r="H3458" s="149" t="s">
        <v>6298</v>
      </c>
      <c r="I3458" s="148">
        <v>961500216</v>
      </c>
      <c r="J3458" s="131" t="s">
        <v>5906</v>
      </c>
      <c r="K3458" s="150">
        <v>4960</v>
      </c>
    </row>
    <row r="3459" spans="1:11">
      <c r="A3459" s="1" t="str">
        <f t="shared" ref="A3459:A3522" si="54">B3459&amp;J3459&amp;K3459</f>
        <v>15100-47404896-96150041294220</v>
      </c>
      <c r="B3459" s="136" t="s">
        <v>6377</v>
      </c>
      <c r="C3459" s="136" t="s">
        <v>9499</v>
      </c>
      <c r="D3459" s="132" t="s">
        <v>4971</v>
      </c>
      <c r="E3459" s="136" t="s">
        <v>6302</v>
      </c>
      <c r="F3459" s="147" t="s">
        <v>6302</v>
      </c>
      <c r="G3459" s="141" t="s">
        <v>7233</v>
      </c>
      <c r="H3459" s="140" t="s">
        <v>6453</v>
      </c>
      <c r="I3459" s="141">
        <v>961500412</v>
      </c>
      <c r="J3459" s="131" t="s">
        <v>6376</v>
      </c>
      <c r="K3459" s="142">
        <v>94220</v>
      </c>
    </row>
    <row r="3460" spans="1:11">
      <c r="A3460" s="1" t="str">
        <f t="shared" si="54"/>
        <v>15100-47285196-961500322100250</v>
      </c>
      <c r="B3460" s="136" t="s">
        <v>6378</v>
      </c>
      <c r="C3460" s="136" t="s">
        <v>9500</v>
      </c>
      <c r="D3460" s="132" t="s">
        <v>4971</v>
      </c>
      <c r="E3460" s="136" t="s">
        <v>6379</v>
      </c>
      <c r="F3460" s="136" t="s">
        <v>6379</v>
      </c>
      <c r="G3460" s="131" t="s">
        <v>5818</v>
      </c>
      <c r="H3460" s="134" t="s">
        <v>6300</v>
      </c>
      <c r="I3460" s="131">
        <v>961500322</v>
      </c>
      <c r="J3460" s="131" t="s">
        <v>6043</v>
      </c>
      <c r="K3460" s="135">
        <v>100250</v>
      </c>
    </row>
    <row r="3461" spans="1:11">
      <c r="A3461" s="1" t="str">
        <f t="shared" si="54"/>
        <v>15100-47340996-96150020252230</v>
      </c>
      <c r="B3461" s="144" t="s">
        <v>6380</v>
      </c>
      <c r="C3461" s="144" t="s">
        <v>9501</v>
      </c>
      <c r="D3461" s="132" t="s">
        <v>4971</v>
      </c>
      <c r="E3461" s="144" t="s">
        <v>6323</v>
      </c>
      <c r="F3461" s="144" t="s">
        <v>6323</v>
      </c>
      <c r="G3461" s="144" t="s">
        <v>5815</v>
      </c>
      <c r="H3461" s="145" t="s">
        <v>6298</v>
      </c>
      <c r="I3461" s="144">
        <v>961500202</v>
      </c>
      <c r="J3461" s="131" t="s">
        <v>5576</v>
      </c>
      <c r="K3461" s="146">
        <v>52230</v>
      </c>
    </row>
    <row r="3462" spans="1:11">
      <c r="A3462" s="1" t="str">
        <f t="shared" si="54"/>
        <v>15100-46928296-96150022973820</v>
      </c>
      <c r="B3462" s="141" t="s">
        <v>6381</v>
      </c>
      <c r="C3462" s="141" t="s">
        <v>9502</v>
      </c>
      <c r="D3462" s="132" t="s">
        <v>4971</v>
      </c>
      <c r="E3462" s="141" t="s">
        <v>6325</v>
      </c>
      <c r="F3462" s="141" t="s">
        <v>6325</v>
      </c>
      <c r="G3462" s="141" t="s">
        <v>5813</v>
      </c>
      <c r="H3462" s="140" t="s">
        <v>6298</v>
      </c>
      <c r="I3462" s="141">
        <v>961500229</v>
      </c>
      <c r="J3462" s="131" t="s">
        <v>5919</v>
      </c>
      <c r="K3462" s="142">
        <v>73820</v>
      </c>
    </row>
    <row r="3463" spans="1:11">
      <c r="A3463" s="1" t="str">
        <f t="shared" si="54"/>
        <v>15100-46781196-96150028648080</v>
      </c>
      <c r="B3463" s="131" t="s">
        <v>6382</v>
      </c>
      <c r="C3463" s="131" t="s">
        <v>9503</v>
      </c>
      <c r="D3463" s="132" t="s">
        <v>4971</v>
      </c>
      <c r="E3463" s="131" t="s">
        <v>6383</v>
      </c>
      <c r="F3463" s="131" t="s">
        <v>6383</v>
      </c>
      <c r="G3463" s="131" t="s">
        <v>5820</v>
      </c>
      <c r="H3463" s="134" t="s">
        <v>6300</v>
      </c>
      <c r="I3463" s="131">
        <v>961500286</v>
      </c>
      <c r="J3463" s="131" t="s">
        <v>5988</v>
      </c>
      <c r="K3463" s="135">
        <v>48080</v>
      </c>
    </row>
    <row r="3464" spans="1:11">
      <c r="A3464" s="1" t="str">
        <f t="shared" si="54"/>
        <v>15100-47031996-961500305450000</v>
      </c>
      <c r="B3464" s="136" t="s">
        <v>6384</v>
      </c>
      <c r="C3464" s="136" t="s">
        <v>9504</v>
      </c>
      <c r="D3464" s="132" t="s">
        <v>4971</v>
      </c>
      <c r="E3464" s="136" t="s">
        <v>6276</v>
      </c>
      <c r="F3464" s="136" t="s">
        <v>6276</v>
      </c>
      <c r="G3464" s="136" t="s">
        <v>5826</v>
      </c>
      <c r="H3464" s="138" t="s">
        <v>6298</v>
      </c>
      <c r="I3464" s="136">
        <v>961500305</v>
      </c>
      <c r="J3464" s="131" t="s">
        <v>6014</v>
      </c>
      <c r="K3464" s="139">
        <v>450000</v>
      </c>
    </row>
    <row r="3465" spans="1:11">
      <c r="A3465" s="1" t="str">
        <f t="shared" si="54"/>
        <v>15100-47031996-961500319113330</v>
      </c>
      <c r="B3465" s="136" t="s">
        <v>6384</v>
      </c>
      <c r="C3465" s="136" t="s">
        <v>9504</v>
      </c>
      <c r="D3465" s="132" t="s">
        <v>4971</v>
      </c>
      <c r="E3465" s="136" t="s">
        <v>6276</v>
      </c>
      <c r="F3465" s="136" t="s">
        <v>6276</v>
      </c>
      <c r="G3465" s="136" t="s">
        <v>5831</v>
      </c>
      <c r="H3465" s="138" t="s">
        <v>6298</v>
      </c>
      <c r="I3465" s="136">
        <v>961500319</v>
      </c>
      <c r="J3465" s="131" t="s">
        <v>6032</v>
      </c>
      <c r="K3465" s="139">
        <v>113330</v>
      </c>
    </row>
    <row r="3466" spans="1:11">
      <c r="A3466" s="1" t="str">
        <f t="shared" si="54"/>
        <v>15100-47031996-96150034275000</v>
      </c>
      <c r="B3466" s="136" t="s">
        <v>6384</v>
      </c>
      <c r="C3466" s="136" t="s">
        <v>9504</v>
      </c>
      <c r="D3466" s="132" t="s">
        <v>4971</v>
      </c>
      <c r="E3466" s="136" t="s">
        <v>6276</v>
      </c>
      <c r="F3466" s="136" t="s">
        <v>6276</v>
      </c>
      <c r="G3466" s="136" t="s">
        <v>7237</v>
      </c>
      <c r="H3466" s="138" t="s">
        <v>6300</v>
      </c>
      <c r="I3466" s="136">
        <v>961500342</v>
      </c>
      <c r="J3466" s="131" t="s">
        <v>6385</v>
      </c>
      <c r="K3466" s="139">
        <v>75000</v>
      </c>
    </row>
    <row r="3467" spans="1:11">
      <c r="A3467" s="1" t="str">
        <f t="shared" si="54"/>
        <v>15100-47031996-96150033175500</v>
      </c>
      <c r="B3467" s="136" t="s">
        <v>6384</v>
      </c>
      <c r="C3467" s="136" t="s">
        <v>9504</v>
      </c>
      <c r="D3467" s="132" t="s">
        <v>4971</v>
      </c>
      <c r="E3467" s="136" t="s">
        <v>6276</v>
      </c>
      <c r="F3467" s="136" t="s">
        <v>6276</v>
      </c>
      <c r="G3467" s="136" t="s">
        <v>5818</v>
      </c>
      <c r="H3467" s="138" t="s">
        <v>6300</v>
      </c>
      <c r="I3467" s="136">
        <v>961500331</v>
      </c>
      <c r="J3467" s="131" t="s">
        <v>6386</v>
      </c>
      <c r="K3467" s="139">
        <v>75500</v>
      </c>
    </row>
    <row r="3468" spans="1:11">
      <c r="A3468" s="1" t="str">
        <f t="shared" si="54"/>
        <v>15100-46814496-961500328136280</v>
      </c>
      <c r="B3468" s="136" t="s">
        <v>6387</v>
      </c>
      <c r="C3468" s="136" t="s">
        <v>9505</v>
      </c>
      <c r="D3468" s="132" t="s">
        <v>4971</v>
      </c>
      <c r="E3468" s="136" t="s">
        <v>6361</v>
      </c>
      <c r="F3468" s="136" t="s">
        <v>6361</v>
      </c>
      <c r="G3468" s="136" t="s">
        <v>5831</v>
      </c>
      <c r="H3468" s="138" t="s">
        <v>6298</v>
      </c>
      <c r="I3468" s="136">
        <v>961500328</v>
      </c>
      <c r="J3468" s="131" t="s">
        <v>6388</v>
      </c>
      <c r="K3468" s="139">
        <v>136280</v>
      </c>
    </row>
    <row r="3469" spans="1:11">
      <c r="A3469" s="1" t="str">
        <f t="shared" si="54"/>
        <v>15100-47031996-961500229379220</v>
      </c>
      <c r="B3469" s="136" t="s">
        <v>6384</v>
      </c>
      <c r="C3469" s="136" t="s">
        <v>9504</v>
      </c>
      <c r="D3469" s="132" t="s">
        <v>4971</v>
      </c>
      <c r="E3469" s="136" t="s">
        <v>6276</v>
      </c>
      <c r="F3469" s="136" t="s">
        <v>6276</v>
      </c>
      <c r="G3469" s="136" t="s">
        <v>5813</v>
      </c>
      <c r="H3469" s="138" t="s">
        <v>6298</v>
      </c>
      <c r="I3469" s="136">
        <v>961500229</v>
      </c>
      <c r="J3469" s="131" t="s">
        <v>5919</v>
      </c>
      <c r="K3469" s="139">
        <v>379220</v>
      </c>
    </row>
    <row r="3470" spans="1:11">
      <c r="A3470" s="1" t="str">
        <f t="shared" si="54"/>
        <v>15100-47102996-96150040649030</v>
      </c>
      <c r="B3470" s="136" t="s">
        <v>6389</v>
      </c>
      <c r="C3470" s="136" t="s">
        <v>9506</v>
      </c>
      <c r="D3470" s="132" t="s">
        <v>4971</v>
      </c>
      <c r="E3470" s="136" t="s">
        <v>6328</v>
      </c>
      <c r="F3470" s="136" t="s">
        <v>6328</v>
      </c>
      <c r="G3470" s="136" t="s">
        <v>8501</v>
      </c>
      <c r="H3470" s="138" t="s">
        <v>6299</v>
      </c>
      <c r="I3470" s="136">
        <v>961500406</v>
      </c>
      <c r="J3470" s="131" t="s">
        <v>6390</v>
      </c>
      <c r="K3470" s="139">
        <v>49030</v>
      </c>
    </row>
    <row r="3471" spans="1:11">
      <c r="A3471" s="1" t="str">
        <f t="shared" si="54"/>
        <v>15100-47057296-961500397519780</v>
      </c>
      <c r="B3471" s="136" t="s">
        <v>6391</v>
      </c>
      <c r="C3471" s="136" t="s">
        <v>9507</v>
      </c>
      <c r="D3471" s="132" t="s">
        <v>4971</v>
      </c>
      <c r="E3471" s="136" t="s">
        <v>6314</v>
      </c>
      <c r="F3471" s="136" t="s">
        <v>6314</v>
      </c>
      <c r="G3471" s="136" t="s">
        <v>7231</v>
      </c>
      <c r="H3471" s="138" t="s">
        <v>6298</v>
      </c>
      <c r="I3471" s="136">
        <v>961500397</v>
      </c>
      <c r="J3471" s="131" t="s">
        <v>6392</v>
      </c>
      <c r="K3471" s="139">
        <v>519780</v>
      </c>
    </row>
    <row r="3472" spans="1:11">
      <c r="A3472" s="1" t="str">
        <f t="shared" si="54"/>
        <v>15100-46515996-961500286167720</v>
      </c>
      <c r="B3472" s="136" t="s">
        <v>6393</v>
      </c>
      <c r="C3472" s="136" t="s">
        <v>9508</v>
      </c>
      <c r="D3472" s="132" t="s">
        <v>4971</v>
      </c>
      <c r="E3472" s="136" t="s">
        <v>6363</v>
      </c>
      <c r="F3472" s="136" t="s">
        <v>6363</v>
      </c>
      <c r="G3472" s="136" t="s">
        <v>5820</v>
      </c>
      <c r="H3472" s="138" t="s">
        <v>6300</v>
      </c>
      <c r="I3472" s="136">
        <v>961500286</v>
      </c>
      <c r="J3472" s="131" t="s">
        <v>5988</v>
      </c>
      <c r="K3472" s="139">
        <v>167720</v>
      </c>
    </row>
    <row r="3473" spans="1:11">
      <c r="A3473" s="1" t="str">
        <f t="shared" si="54"/>
        <v>15100-46591796-96150028672540</v>
      </c>
      <c r="B3473" s="136" t="s">
        <v>6394</v>
      </c>
      <c r="C3473" s="136" t="s">
        <v>9509</v>
      </c>
      <c r="D3473" s="132" t="s">
        <v>4971</v>
      </c>
      <c r="E3473" s="136" t="s">
        <v>6395</v>
      </c>
      <c r="F3473" s="136" t="s">
        <v>6395</v>
      </c>
      <c r="G3473" s="136" t="s">
        <v>5820</v>
      </c>
      <c r="H3473" s="138" t="s">
        <v>6300</v>
      </c>
      <c r="I3473" s="136">
        <v>961500286</v>
      </c>
      <c r="J3473" s="131" t="s">
        <v>5988</v>
      </c>
      <c r="K3473" s="139">
        <v>72540</v>
      </c>
    </row>
    <row r="3474" spans="1:11">
      <c r="A3474" s="1" t="str">
        <f t="shared" si="54"/>
        <v>15100-46814196-9615002869690</v>
      </c>
      <c r="B3474" s="144" t="s">
        <v>6396</v>
      </c>
      <c r="C3474" s="144" t="s">
        <v>9510</v>
      </c>
      <c r="D3474" s="132" t="s">
        <v>4971</v>
      </c>
      <c r="E3474" s="144" t="s">
        <v>6361</v>
      </c>
      <c r="F3474" s="144" t="s">
        <v>6361</v>
      </c>
      <c r="G3474" s="144" t="s">
        <v>5820</v>
      </c>
      <c r="H3474" s="145" t="s">
        <v>6300</v>
      </c>
      <c r="I3474" s="144">
        <v>961500286</v>
      </c>
      <c r="J3474" s="131" t="s">
        <v>5988</v>
      </c>
      <c r="K3474" s="146">
        <v>9690</v>
      </c>
    </row>
    <row r="3475" spans="1:11">
      <c r="A3475" s="1" t="str">
        <f t="shared" si="54"/>
        <v>15100-47223396-96150041547140</v>
      </c>
      <c r="B3475" s="141" t="s">
        <v>6397</v>
      </c>
      <c r="C3475" s="141" t="s">
        <v>9511</v>
      </c>
      <c r="D3475" s="132" t="s">
        <v>4971</v>
      </c>
      <c r="E3475" s="141" t="s">
        <v>6337</v>
      </c>
      <c r="F3475" s="141" t="s">
        <v>6337</v>
      </c>
      <c r="G3475" s="141" t="s">
        <v>7231</v>
      </c>
      <c r="H3475" s="140" t="s">
        <v>6298</v>
      </c>
      <c r="I3475" s="141">
        <v>961500415</v>
      </c>
      <c r="J3475" s="131" t="s">
        <v>6398</v>
      </c>
      <c r="K3475" s="142">
        <v>47140</v>
      </c>
    </row>
    <row r="3476" spans="1:11">
      <c r="A3476" s="1" t="str">
        <f t="shared" si="54"/>
        <v>15100-46510296-961500309146370</v>
      </c>
      <c r="B3476" s="131" t="s">
        <v>6399</v>
      </c>
      <c r="C3476" s="131" t="s">
        <v>9512</v>
      </c>
      <c r="D3476" s="132" t="s">
        <v>4971</v>
      </c>
      <c r="E3476" s="131" t="s">
        <v>6363</v>
      </c>
      <c r="F3476" s="131" t="s">
        <v>6363</v>
      </c>
      <c r="G3476" s="131" t="s">
        <v>5831</v>
      </c>
      <c r="H3476" s="134" t="s">
        <v>6298</v>
      </c>
      <c r="I3476" s="131">
        <v>961500309</v>
      </c>
      <c r="J3476" s="131" t="s">
        <v>6017</v>
      </c>
      <c r="K3476" s="135">
        <v>146370</v>
      </c>
    </row>
    <row r="3477" spans="1:11">
      <c r="A3477" s="1" t="str">
        <f t="shared" si="54"/>
        <v>15100-46510296-96150020324790</v>
      </c>
      <c r="B3477" s="136" t="s">
        <v>6399</v>
      </c>
      <c r="C3477" s="136" t="s">
        <v>9512</v>
      </c>
      <c r="D3477" s="132" t="s">
        <v>4971</v>
      </c>
      <c r="E3477" s="136" t="s">
        <v>6363</v>
      </c>
      <c r="F3477" s="136" t="s">
        <v>6363</v>
      </c>
      <c r="G3477" s="136" t="s">
        <v>5815</v>
      </c>
      <c r="H3477" s="138" t="s">
        <v>6298</v>
      </c>
      <c r="I3477" s="136">
        <v>961500203</v>
      </c>
      <c r="J3477" s="131" t="s">
        <v>5595</v>
      </c>
      <c r="K3477" s="139">
        <v>24790</v>
      </c>
    </row>
    <row r="3478" spans="1:11">
      <c r="A3478" s="1" t="str">
        <f t="shared" si="54"/>
        <v>15100-47054296-961500397149050</v>
      </c>
      <c r="B3478" s="136" t="s">
        <v>6400</v>
      </c>
      <c r="C3478" s="136" t="s">
        <v>9513</v>
      </c>
      <c r="D3478" s="132" t="s">
        <v>4971</v>
      </c>
      <c r="E3478" s="136" t="s">
        <v>6314</v>
      </c>
      <c r="F3478" s="136" t="s">
        <v>6314</v>
      </c>
      <c r="G3478" s="136" t="s">
        <v>7231</v>
      </c>
      <c r="H3478" s="138" t="s">
        <v>6298</v>
      </c>
      <c r="I3478" s="136">
        <v>961500397</v>
      </c>
      <c r="J3478" s="131" t="s">
        <v>6392</v>
      </c>
      <c r="K3478" s="139">
        <v>149050</v>
      </c>
    </row>
    <row r="3479" spans="1:11">
      <c r="A3479" s="1" t="str">
        <f t="shared" si="54"/>
        <v>15100-46814196-96150032637030</v>
      </c>
      <c r="B3479" s="136" t="s">
        <v>6396</v>
      </c>
      <c r="C3479" s="136" t="s">
        <v>9510</v>
      </c>
      <c r="D3479" s="132" t="s">
        <v>4971</v>
      </c>
      <c r="E3479" s="136" t="s">
        <v>6361</v>
      </c>
      <c r="F3479" s="136" t="s">
        <v>6361</v>
      </c>
      <c r="G3479" s="136" t="s">
        <v>5818</v>
      </c>
      <c r="H3479" s="138" t="s">
        <v>6300</v>
      </c>
      <c r="I3479" s="136">
        <v>961500326</v>
      </c>
      <c r="J3479" s="131" t="s">
        <v>6401</v>
      </c>
      <c r="K3479" s="139">
        <v>37030</v>
      </c>
    </row>
    <row r="3480" spans="1:11">
      <c r="A3480" s="1" t="str">
        <f t="shared" si="54"/>
        <v>15100-46930396-961500326114370</v>
      </c>
      <c r="B3480" s="136" t="s">
        <v>6402</v>
      </c>
      <c r="C3480" s="136" t="s">
        <v>9514</v>
      </c>
      <c r="D3480" s="132" t="s">
        <v>4971</v>
      </c>
      <c r="E3480" s="136" t="s">
        <v>6325</v>
      </c>
      <c r="F3480" s="136" t="s">
        <v>6325</v>
      </c>
      <c r="G3480" s="136" t="s">
        <v>5818</v>
      </c>
      <c r="H3480" s="138" t="s">
        <v>6300</v>
      </c>
      <c r="I3480" s="136">
        <v>961500326</v>
      </c>
      <c r="J3480" s="131" t="s">
        <v>6401</v>
      </c>
      <c r="K3480" s="139">
        <v>114370</v>
      </c>
    </row>
    <row r="3481" spans="1:11">
      <c r="A3481" s="1" t="str">
        <f t="shared" si="54"/>
        <v>15100-46930396-961500336175270</v>
      </c>
      <c r="B3481" s="136" t="s">
        <v>6402</v>
      </c>
      <c r="C3481" s="136" t="s">
        <v>9514</v>
      </c>
      <c r="D3481" s="132" t="s">
        <v>4971</v>
      </c>
      <c r="E3481" s="136" t="s">
        <v>6325</v>
      </c>
      <c r="F3481" s="136" t="s">
        <v>6325</v>
      </c>
      <c r="G3481" s="136" t="s">
        <v>5818</v>
      </c>
      <c r="H3481" s="138" t="s">
        <v>6300</v>
      </c>
      <c r="I3481" s="136">
        <v>961500336</v>
      </c>
      <c r="J3481" s="131" t="s">
        <v>6403</v>
      </c>
      <c r="K3481" s="139">
        <v>175270</v>
      </c>
    </row>
    <row r="3482" spans="1:11">
      <c r="A3482" s="1" t="str">
        <f t="shared" si="54"/>
        <v>15100-47061296-96150020572430</v>
      </c>
      <c r="B3482" s="136" t="s">
        <v>6404</v>
      </c>
      <c r="C3482" s="136" t="s">
        <v>9515</v>
      </c>
      <c r="D3482" s="132" t="s">
        <v>4971</v>
      </c>
      <c r="E3482" s="136" t="s">
        <v>6314</v>
      </c>
      <c r="F3482" s="136" t="s">
        <v>6314</v>
      </c>
      <c r="G3482" s="136" t="s">
        <v>5818</v>
      </c>
      <c r="H3482" s="138" t="s">
        <v>6300</v>
      </c>
      <c r="I3482" s="136">
        <v>961500205</v>
      </c>
      <c r="J3482" s="131" t="s">
        <v>5898</v>
      </c>
      <c r="K3482" s="139">
        <v>72430</v>
      </c>
    </row>
    <row r="3483" spans="1:11">
      <c r="A3483" s="1" t="str">
        <f t="shared" si="54"/>
        <v>15100-47031996-961500336124730</v>
      </c>
      <c r="B3483" s="136" t="s">
        <v>6384</v>
      </c>
      <c r="C3483" s="136" t="s">
        <v>9504</v>
      </c>
      <c r="D3483" s="132" t="s">
        <v>4971</v>
      </c>
      <c r="E3483" s="136" t="s">
        <v>6276</v>
      </c>
      <c r="F3483" s="136" t="s">
        <v>6276</v>
      </c>
      <c r="G3483" s="136" t="s">
        <v>5818</v>
      </c>
      <c r="H3483" s="138" t="s">
        <v>6300</v>
      </c>
      <c r="I3483" s="136">
        <v>961500336</v>
      </c>
      <c r="J3483" s="131" t="s">
        <v>6403</v>
      </c>
      <c r="K3483" s="139">
        <v>124730</v>
      </c>
    </row>
    <row r="3484" spans="1:11">
      <c r="A3484" s="1" t="str">
        <f t="shared" si="54"/>
        <v>15100-46929496-96150018470950</v>
      </c>
      <c r="B3484" s="136" t="s">
        <v>6405</v>
      </c>
      <c r="C3484" s="136" t="s">
        <v>9516</v>
      </c>
      <c r="D3484" s="132" t="s">
        <v>4971</v>
      </c>
      <c r="E3484" s="136" t="s">
        <v>6325</v>
      </c>
      <c r="F3484" s="136" t="s">
        <v>6325</v>
      </c>
      <c r="G3484" s="136" t="s">
        <v>5813</v>
      </c>
      <c r="H3484" s="138" t="s">
        <v>6298</v>
      </c>
      <c r="I3484" s="136">
        <v>961500184</v>
      </c>
      <c r="J3484" s="131" t="s">
        <v>5891</v>
      </c>
      <c r="K3484" s="139">
        <v>70950</v>
      </c>
    </row>
    <row r="3485" spans="1:11">
      <c r="A3485" s="1" t="str">
        <f t="shared" si="54"/>
        <v>15100-47031996-96150018346180</v>
      </c>
      <c r="B3485" s="136" t="s">
        <v>6384</v>
      </c>
      <c r="C3485" s="136" t="s">
        <v>9504</v>
      </c>
      <c r="D3485" s="132" t="s">
        <v>4971</v>
      </c>
      <c r="E3485" s="136" t="s">
        <v>6276</v>
      </c>
      <c r="F3485" s="136" t="s">
        <v>6276</v>
      </c>
      <c r="G3485" s="136" t="s">
        <v>5816</v>
      </c>
      <c r="H3485" s="138" t="s">
        <v>6454</v>
      </c>
      <c r="I3485" s="136">
        <v>961500183</v>
      </c>
      <c r="J3485" s="131" t="s">
        <v>5890</v>
      </c>
      <c r="K3485" s="139">
        <v>46180</v>
      </c>
    </row>
    <row r="3486" spans="1:11">
      <c r="A3486" s="1" t="str">
        <f t="shared" si="54"/>
        <v>15100-46878896-96150033176430</v>
      </c>
      <c r="B3486" s="136" t="s">
        <v>6406</v>
      </c>
      <c r="C3486" s="136" t="s">
        <v>9517</v>
      </c>
      <c r="D3486" s="132" t="s">
        <v>4971</v>
      </c>
      <c r="E3486" s="136" t="s">
        <v>6330</v>
      </c>
      <c r="F3486" s="136" t="s">
        <v>6330</v>
      </c>
      <c r="G3486" s="136" t="s">
        <v>5818</v>
      </c>
      <c r="H3486" s="138" t="s">
        <v>6300</v>
      </c>
      <c r="I3486" s="136">
        <v>961500331</v>
      </c>
      <c r="J3486" s="131" t="s">
        <v>6386</v>
      </c>
      <c r="K3486" s="139">
        <v>76430</v>
      </c>
    </row>
    <row r="3487" spans="1:11">
      <c r="A3487" s="1" t="str">
        <f t="shared" si="54"/>
        <v>15100-46420396-96150021876940</v>
      </c>
      <c r="B3487" s="136" t="s">
        <v>6407</v>
      </c>
      <c r="C3487" s="136" t="s">
        <v>9518</v>
      </c>
      <c r="D3487" s="132" t="s">
        <v>4971</v>
      </c>
      <c r="E3487" s="136" t="s">
        <v>6408</v>
      </c>
      <c r="F3487" s="136" t="s">
        <v>6408</v>
      </c>
      <c r="G3487" s="136" t="s">
        <v>5813</v>
      </c>
      <c r="H3487" s="138" t="s">
        <v>6298</v>
      </c>
      <c r="I3487" s="136">
        <v>961500218</v>
      </c>
      <c r="J3487" s="131" t="s">
        <v>5908</v>
      </c>
      <c r="K3487" s="139">
        <v>76940</v>
      </c>
    </row>
    <row r="3488" spans="1:11">
      <c r="A3488" s="1" t="str">
        <f t="shared" si="54"/>
        <v>15100-46481296-961500309203760</v>
      </c>
      <c r="B3488" s="136" t="s">
        <v>6409</v>
      </c>
      <c r="C3488" s="136" t="s">
        <v>9519</v>
      </c>
      <c r="D3488" s="132" t="s">
        <v>4971</v>
      </c>
      <c r="E3488" s="136" t="s">
        <v>6410</v>
      </c>
      <c r="F3488" s="136" t="s">
        <v>6410</v>
      </c>
      <c r="G3488" s="136" t="s">
        <v>5831</v>
      </c>
      <c r="H3488" s="138" t="s">
        <v>6298</v>
      </c>
      <c r="I3488" s="136">
        <v>961500309</v>
      </c>
      <c r="J3488" s="131" t="s">
        <v>6017</v>
      </c>
      <c r="K3488" s="139">
        <v>203760</v>
      </c>
    </row>
    <row r="3489" spans="1:11">
      <c r="A3489" s="1" t="str">
        <f t="shared" si="54"/>
        <v>15100-46845796-96150032648600</v>
      </c>
      <c r="B3489" s="136" t="s">
        <v>6411</v>
      </c>
      <c r="C3489" s="136" t="s">
        <v>9520</v>
      </c>
      <c r="D3489" s="132" t="s">
        <v>4971</v>
      </c>
      <c r="E3489" s="136" t="s">
        <v>6412</v>
      </c>
      <c r="F3489" s="136" t="s">
        <v>6412</v>
      </c>
      <c r="G3489" s="136" t="s">
        <v>5818</v>
      </c>
      <c r="H3489" s="138" t="s">
        <v>6300</v>
      </c>
      <c r="I3489" s="136">
        <v>961500326</v>
      </c>
      <c r="J3489" s="131" t="s">
        <v>6401</v>
      </c>
      <c r="K3489" s="139">
        <v>48600</v>
      </c>
    </row>
    <row r="3490" spans="1:11">
      <c r="A3490" s="1" t="str">
        <f t="shared" si="54"/>
        <v>15100-47175496-96150040634190</v>
      </c>
      <c r="B3490" s="136" t="s">
        <v>6413</v>
      </c>
      <c r="C3490" s="136" t="s">
        <v>9521</v>
      </c>
      <c r="D3490" s="132" t="s">
        <v>4971</v>
      </c>
      <c r="E3490" s="136" t="s">
        <v>6312</v>
      </c>
      <c r="F3490" s="136" t="s">
        <v>6312</v>
      </c>
      <c r="G3490" s="136" t="s">
        <v>8501</v>
      </c>
      <c r="H3490" s="138" t="s">
        <v>6299</v>
      </c>
      <c r="I3490" s="136">
        <v>961500406</v>
      </c>
      <c r="J3490" s="131" t="s">
        <v>6390</v>
      </c>
      <c r="K3490" s="139">
        <v>34190</v>
      </c>
    </row>
    <row r="3491" spans="1:11">
      <c r="A3491" s="1" t="str">
        <f t="shared" si="54"/>
        <v>15100-46927996-96150033148070</v>
      </c>
      <c r="B3491" s="136" t="s">
        <v>6414</v>
      </c>
      <c r="C3491" s="136" t="s">
        <v>9522</v>
      </c>
      <c r="D3491" s="132" t="s">
        <v>4971</v>
      </c>
      <c r="E3491" s="136" t="s">
        <v>6325</v>
      </c>
      <c r="F3491" s="136" t="s">
        <v>6325</v>
      </c>
      <c r="G3491" s="136" t="s">
        <v>5818</v>
      </c>
      <c r="H3491" s="138" t="s">
        <v>6300</v>
      </c>
      <c r="I3491" s="136">
        <v>961500331</v>
      </c>
      <c r="J3491" s="131" t="s">
        <v>6386</v>
      </c>
      <c r="K3491" s="139">
        <v>48070</v>
      </c>
    </row>
    <row r="3492" spans="1:11">
      <c r="A3492" s="1" t="str">
        <f t="shared" si="54"/>
        <v>15100-46986596-96150022948460</v>
      </c>
      <c r="B3492" s="136" t="s">
        <v>6415</v>
      </c>
      <c r="C3492" s="136" t="s">
        <v>9523</v>
      </c>
      <c r="D3492" s="132" t="s">
        <v>4971</v>
      </c>
      <c r="E3492" s="136" t="s">
        <v>6305</v>
      </c>
      <c r="F3492" s="136" t="s">
        <v>6305</v>
      </c>
      <c r="G3492" s="136" t="s">
        <v>5813</v>
      </c>
      <c r="H3492" s="138" t="s">
        <v>6298</v>
      </c>
      <c r="I3492" s="136">
        <v>961500229</v>
      </c>
      <c r="J3492" s="131" t="s">
        <v>5919</v>
      </c>
      <c r="K3492" s="139">
        <v>48460</v>
      </c>
    </row>
    <row r="3493" spans="1:11">
      <c r="A3493" s="1" t="str">
        <f t="shared" si="54"/>
        <v>15100-47175496-96150040713920</v>
      </c>
      <c r="B3493" s="136" t="s">
        <v>6413</v>
      </c>
      <c r="C3493" s="136" t="s">
        <v>9521</v>
      </c>
      <c r="D3493" s="132" t="s">
        <v>4971</v>
      </c>
      <c r="E3493" s="136" t="s">
        <v>6312</v>
      </c>
      <c r="F3493" s="136" t="s">
        <v>6312</v>
      </c>
      <c r="G3493" s="136" t="s">
        <v>8502</v>
      </c>
      <c r="H3493" s="138" t="s">
        <v>6299</v>
      </c>
      <c r="I3493" s="136">
        <v>961500407</v>
      </c>
      <c r="J3493" s="131" t="s">
        <v>6416</v>
      </c>
      <c r="K3493" s="139">
        <v>13920</v>
      </c>
    </row>
    <row r="3494" spans="1:11">
      <c r="A3494" s="1" t="str">
        <f t="shared" si="54"/>
        <v>15100-47103896-96150039650820</v>
      </c>
      <c r="B3494" s="136" t="s">
        <v>6417</v>
      </c>
      <c r="C3494" s="136" t="s">
        <v>9524</v>
      </c>
      <c r="D3494" s="132" t="s">
        <v>4971</v>
      </c>
      <c r="E3494" s="136" t="s">
        <v>6328</v>
      </c>
      <c r="F3494" s="136" t="s">
        <v>6328</v>
      </c>
      <c r="G3494" s="136" t="s">
        <v>7231</v>
      </c>
      <c r="H3494" s="138" t="s">
        <v>6298</v>
      </c>
      <c r="I3494" s="136">
        <v>961500396</v>
      </c>
      <c r="J3494" s="131" t="s">
        <v>6418</v>
      </c>
      <c r="K3494" s="139">
        <v>50820</v>
      </c>
    </row>
    <row r="3495" spans="1:11">
      <c r="A3495" s="1" t="str">
        <f t="shared" si="54"/>
        <v>50100-918798996-964100053970800</v>
      </c>
      <c r="B3495" s="136" t="s">
        <v>6304</v>
      </c>
      <c r="C3495" s="136" t="s">
        <v>9472</v>
      </c>
      <c r="D3495" s="132" t="s">
        <v>4971</v>
      </c>
      <c r="E3495" s="136" t="s">
        <v>6305</v>
      </c>
      <c r="F3495" s="136" t="s">
        <v>6305</v>
      </c>
      <c r="G3495" s="136" t="s">
        <v>7138</v>
      </c>
      <c r="H3495" s="138" t="s">
        <v>6452</v>
      </c>
      <c r="I3495" s="136">
        <v>964100053</v>
      </c>
      <c r="J3495" s="131" t="s">
        <v>6306</v>
      </c>
      <c r="K3495" s="139">
        <v>970800</v>
      </c>
    </row>
    <row r="3496" spans="1:11">
      <c r="A3496" s="1" t="str">
        <f t="shared" si="54"/>
        <v>50100-923730096-9641000545169481</v>
      </c>
      <c r="B3496" s="136" t="s">
        <v>6307</v>
      </c>
      <c r="C3496" s="136" t="s">
        <v>9473</v>
      </c>
      <c r="D3496" s="132" t="s">
        <v>4971</v>
      </c>
      <c r="E3496" s="136" t="s">
        <v>6308</v>
      </c>
      <c r="F3496" s="136" t="s">
        <v>6308</v>
      </c>
      <c r="G3496" s="136" t="s">
        <v>7144</v>
      </c>
      <c r="H3496" s="138" t="s">
        <v>6452</v>
      </c>
      <c r="I3496" s="136">
        <v>964100054</v>
      </c>
      <c r="J3496" s="131" t="s">
        <v>6309</v>
      </c>
      <c r="K3496" s="139">
        <v>5169481</v>
      </c>
    </row>
    <row r="3497" spans="1:11">
      <c r="A3497" s="1" t="str">
        <f t="shared" si="54"/>
        <v>50100-921036196-962500042350000</v>
      </c>
      <c r="B3497" s="136" t="s">
        <v>6311</v>
      </c>
      <c r="C3497" s="136" t="s">
        <v>9474</v>
      </c>
      <c r="D3497" s="132" t="s">
        <v>4971</v>
      </c>
      <c r="E3497" s="136" t="s">
        <v>6312</v>
      </c>
      <c r="F3497" s="136" t="s">
        <v>6312</v>
      </c>
      <c r="G3497" s="136" t="s">
        <v>5814</v>
      </c>
      <c r="H3497" s="138" t="s">
        <v>6298</v>
      </c>
      <c r="I3497" s="136">
        <v>962500042</v>
      </c>
      <c r="J3497" s="131" t="s">
        <v>5980</v>
      </c>
      <c r="K3497" s="139">
        <v>350000</v>
      </c>
    </row>
    <row r="3498" spans="1:11">
      <c r="A3498" s="1" t="str">
        <f t="shared" si="54"/>
        <v>50100-921036196-962500044139500</v>
      </c>
      <c r="B3498" s="136" t="s">
        <v>6311</v>
      </c>
      <c r="C3498" s="136" t="s">
        <v>9474</v>
      </c>
      <c r="D3498" s="132" t="s">
        <v>4971</v>
      </c>
      <c r="E3498" s="136" t="s">
        <v>6312</v>
      </c>
      <c r="F3498" s="136" t="s">
        <v>6312</v>
      </c>
      <c r="G3498" s="144" t="s">
        <v>5814</v>
      </c>
      <c r="H3498" s="145" t="s">
        <v>6298</v>
      </c>
      <c r="I3498" s="144">
        <v>962500044</v>
      </c>
      <c r="J3498" s="131" t="s">
        <v>5982</v>
      </c>
      <c r="K3498" s="146">
        <v>139500</v>
      </c>
    </row>
    <row r="3499" spans="1:11">
      <c r="A3499" s="1" t="str">
        <f t="shared" si="54"/>
        <v>50100-919881596-961500344330486</v>
      </c>
      <c r="B3499" s="136" t="s">
        <v>6313</v>
      </c>
      <c r="C3499" s="136" t="s">
        <v>9475</v>
      </c>
      <c r="D3499" s="132" t="s">
        <v>4971</v>
      </c>
      <c r="E3499" s="136" t="s">
        <v>6314</v>
      </c>
      <c r="F3499" s="147" t="s">
        <v>6314</v>
      </c>
      <c r="G3499" s="141" t="s">
        <v>7233</v>
      </c>
      <c r="H3499" s="140" t="s">
        <v>6453</v>
      </c>
      <c r="I3499" s="141">
        <v>961500344</v>
      </c>
      <c r="J3499" s="131" t="s">
        <v>6315</v>
      </c>
      <c r="K3499" s="142">
        <v>330486</v>
      </c>
    </row>
    <row r="3500" spans="1:11">
      <c r="A3500" s="1" t="str">
        <f t="shared" si="54"/>
        <v>50100-922895196-961500345438440</v>
      </c>
      <c r="B3500" s="136" t="s">
        <v>6316</v>
      </c>
      <c r="C3500" s="136" t="s">
        <v>9476</v>
      </c>
      <c r="D3500" s="132" t="s">
        <v>4971</v>
      </c>
      <c r="E3500" s="136" t="s">
        <v>6302</v>
      </c>
      <c r="F3500" s="147" t="s">
        <v>6302</v>
      </c>
      <c r="G3500" s="141" t="s">
        <v>7233</v>
      </c>
      <c r="H3500" s="140" t="s">
        <v>6453</v>
      </c>
      <c r="I3500" s="141">
        <v>961500345</v>
      </c>
      <c r="J3500" s="131" t="s">
        <v>6317</v>
      </c>
      <c r="K3500" s="142">
        <v>438440</v>
      </c>
    </row>
    <row r="3501" spans="1:11">
      <c r="A3501" s="1" t="str">
        <f t="shared" si="54"/>
        <v>50100-919881596-961500334663564</v>
      </c>
      <c r="B3501" s="136" t="s">
        <v>6313</v>
      </c>
      <c r="C3501" s="136" t="s">
        <v>9475</v>
      </c>
      <c r="D3501" s="132" t="s">
        <v>4971</v>
      </c>
      <c r="E3501" s="136" t="s">
        <v>6314</v>
      </c>
      <c r="F3501" s="147" t="s">
        <v>6314</v>
      </c>
      <c r="G3501" s="141" t="s">
        <v>7233</v>
      </c>
      <c r="H3501" s="140" t="s">
        <v>6453</v>
      </c>
      <c r="I3501" s="141">
        <v>961500334</v>
      </c>
      <c r="J3501" s="131" t="s">
        <v>6318</v>
      </c>
      <c r="K3501" s="142">
        <v>663564</v>
      </c>
    </row>
    <row r="3502" spans="1:11">
      <c r="A3502" s="1" t="str">
        <f t="shared" si="54"/>
        <v>50100-919899996-961500344669514</v>
      </c>
      <c r="B3502" s="136" t="s">
        <v>6319</v>
      </c>
      <c r="C3502" s="136" t="s">
        <v>9477</v>
      </c>
      <c r="D3502" s="132" t="s">
        <v>4971</v>
      </c>
      <c r="E3502" s="136" t="s">
        <v>6314</v>
      </c>
      <c r="F3502" s="147" t="s">
        <v>6314</v>
      </c>
      <c r="G3502" s="141" t="s">
        <v>7233</v>
      </c>
      <c r="H3502" s="140" t="s">
        <v>6453</v>
      </c>
      <c r="I3502" s="141">
        <v>961500344</v>
      </c>
      <c r="J3502" s="131" t="s">
        <v>6315</v>
      </c>
      <c r="K3502" s="142">
        <v>669514</v>
      </c>
    </row>
    <row r="3503" spans="1:11">
      <c r="A3503" s="1" t="str">
        <f t="shared" si="54"/>
        <v>50100-923978496-961500356357586</v>
      </c>
      <c r="B3503" s="136" t="s">
        <v>6320</v>
      </c>
      <c r="C3503" s="136" t="s">
        <v>9478</v>
      </c>
      <c r="D3503" s="132" t="s">
        <v>4971</v>
      </c>
      <c r="E3503" s="136" t="s">
        <v>6308</v>
      </c>
      <c r="F3503" s="147" t="s">
        <v>6308</v>
      </c>
      <c r="G3503" s="141" t="s">
        <v>7233</v>
      </c>
      <c r="H3503" s="140" t="s">
        <v>6453</v>
      </c>
      <c r="I3503" s="141">
        <v>961500356</v>
      </c>
      <c r="J3503" s="131" t="s">
        <v>6321</v>
      </c>
      <c r="K3503" s="142">
        <v>357586</v>
      </c>
    </row>
    <row r="3504" spans="1:11">
      <c r="A3504" s="1" t="str">
        <f t="shared" si="54"/>
        <v>50100-919899996-961500345321636</v>
      </c>
      <c r="B3504" s="136" t="s">
        <v>6319</v>
      </c>
      <c r="C3504" s="136" t="s">
        <v>9477</v>
      </c>
      <c r="D3504" s="132" t="s">
        <v>4971</v>
      </c>
      <c r="E3504" s="136" t="s">
        <v>6314</v>
      </c>
      <c r="F3504" s="147" t="s">
        <v>6314</v>
      </c>
      <c r="G3504" s="141" t="s">
        <v>7233</v>
      </c>
      <c r="H3504" s="140" t="s">
        <v>6453</v>
      </c>
      <c r="I3504" s="141">
        <v>961500345</v>
      </c>
      <c r="J3504" s="131" t="s">
        <v>6317</v>
      </c>
      <c r="K3504" s="142">
        <v>321636</v>
      </c>
    </row>
    <row r="3505" spans="1:11">
      <c r="A3505" s="1" t="str">
        <f t="shared" si="54"/>
        <v>50100-921873096-962500097974857</v>
      </c>
      <c r="B3505" s="136" t="s">
        <v>6322</v>
      </c>
      <c r="C3505" s="136" t="s">
        <v>9479</v>
      </c>
      <c r="D3505" s="132" t="s">
        <v>4971</v>
      </c>
      <c r="E3505" s="136" t="s">
        <v>6323</v>
      </c>
      <c r="F3505" s="136" t="s">
        <v>6323</v>
      </c>
      <c r="G3505" s="131" t="s">
        <v>7603</v>
      </c>
      <c r="H3505" s="134" t="s">
        <v>6454</v>
      </c>
      <c r="I3505" s="131">
        <v>962500097</v>
      </c>
      <c r="J3505" s="131" t="s">
        <v>6324</v>
      </c>
      <c r="K3505" s="135">
        <v>974857</v>
      </c>
    </row>
    <row r="3506" spans="1:11">
      <c r="A3506" s="1" t="str">
        <f t="shared" si="54"/>
        <v>50100-921873096-9625000447603</v>
      </c>
      <c r="B3506" s="136" t="s">
        <v>6322</v>
      </c>
      <c r="C3506" s="136" t="s">
        <v>9479</v>
      </c>
      <c r="D3506" s="132" t="s">
        <v>4971</v>
      </c>
      <c r="E3506" s="136" t="s">
        <v>6323</v>
      </c>
      <c r="F3506" s="136" t="s">
        <v>6323</v>
      </c>
      <c r="G3506" s="144" t="s">
        <v>5814</v>
      </c>
      <c r="H3506" s="145" t="s">
        <v>6298</v>
      </c>
      <c r="I3506" s="144">
        <v>962500044</v>
      </c>
      <c r="J3506" s="131" t="s">
        <v>5982</v>
      </c>
      <c r="K3506" s="146">
        <v>7603</v>
      </c>
    </row>
    <row r="3507" spans="1:11">
      <c r="A3507" s="1" t="str">
        <f t="shared" si="54"/>
        <v>50100-922895196-961500355260855</v>
      </c>
      <c r="B3507" s="136" t="s">
        <v>6316</v>
      </c>
      <c r="C3507" s="136" t="s">
        <v>9476</v>
      </c>
      <c r="D3507" s="132" t="s">
        <v>4971</v>
      </c>
      <c r="E3507" s="136" t="s">
        <v>6302</v>
      </c>
      <c r="F3507" s="147" t="s">
        <v>6302</v>
      </c>
      <c r="G3507" s="141" t="s">
        <v>7233</v>
      </c>
      <c r="H3507" s="140" t="s">
        <v>6453</v>
      </c>
      <c r="I3507" s="141">
        <v>961500355</v>
      </c>
      <c r="J3507" s="131" t="s">
        <v>6326</v>
      </c>
      <c r="K3507" s="142">
        <v>260855</v>
      </c>
    </row>
    <row r="3508" spans="1:11">
      <c r="A3508" s="1" t="str">
        <f t="shared" si="54"/>
        <v>50100-920564296-962500096390000</v>
      </c>
      <c r="B3508" s="136" t="s">
        <v>6327</v>
      </c>
      <c r="C3508" s="136" t="s">
        <v>9480</v>
      </c>
      <c r="D3508" s="132" t="s">
        <v>4971</v>
      </c>
      <c r="E3508" s="136" t="s">
        <v>6328</v>
      </c>
      <c r="F3508" s="136" t="s">
        <v>6328</v>
      </c>
      <c r="G3508" s="131" t="s">
        <v>5842</v>
      </c>
      <c r="H3508" s="134" t="s">
        <v>6300</v>
      </c>
      <c r="I3508" s="131">
        <v>962500096</v>
      </c>
      <c r="J3508" s="131" t="s">
        <v>6329</v>
      </c>
      <c r="K3508" s="135">
        <v>390000</v>
      </c>
    </row>
    <row r="3509" spans="1:11">
      <c r="A3509" s="1" t="str">
        <f t="shared" si="54"/>
        <v>50100-920564296-962500088708039</v>
      </c>
      <c r="B3509" s="136" t="s">
        <v>6327</v>
      </c>
      <c r="C3509" s="136" t="s">
        <v>9480</v>
      </c>
      <c r="D3509" s="132" t="s">
        <v>4971</v>
      </c>
      <c r="E3509" s="136" t="s">
        <v>6328</v>
      </c>
      <c r="F3509" s="136" t="s">
        <v>6328</v>
      </c>
      <c r="G3509" s="136" t="s">
        <v>5842</v>
      </c>
      <c r="H3509" s="138" t="s">
        <v>6300</v>
      </c>
      <c r="I3509" s="136">
        <v>962500088</v>
      </c>
      <c r="J3509" s="131" t="s">
        <v>6331</v>
      </c>
      <c r="K3509" s="139">
        <v>708039</v>
      </c>
    </row>
    <row r="3510" spans="1:11">
      <c r="A3510" s="1" t="str">
        <f t="shared" si="54"/>
        <v>50100-920564296-9625000816477</v>
      </c>
      <c r="B3510" s="136" t="s">
        <v>6327</v>
      </c>
      <c r="C3510" s="136" t="s">
        <v>9480</v>
      </c>
      <c r="D3510" s="132" t="s">
        <v>4971</v>
      </c>
      <c r="E3510" s="136" t="s">
        <v>6328</v>
      </c>
      <c r="F3510" s="136" t="s">
        <v>6328</v>
      </c>
      <c r="G3510" s="136" t="s">
        <v>5842</v>
      </c>
      <c r="H3510" s="138" t="s">
        <v>6300</v>
      </c>
      <c r="I3510" s="136">
        <v>962500081</v>
      </c>
      <c r="J3510" s="131" t="s">
        <v>6333</v>
      </c>
      <c r="K3510" s="139">
        <v>6477</v>
      </c>
    </row>
    <row r="3511" spans="1:11">
      <c r="A3511" s="1" t="str">
        <f t="shared" si="54"/>
        <v>50100-920564296-96250007886672</v>
      </c>
      <c r="B3511" s="136" t="s">
        <v>6327</v>
      </c>
      <c r="C3511" s="136" t="s">
        <v>9480</v>
      </c>
      <c r="D3511" s="132" t="s">
        <v>4971</v>
      </c>
      <c r="E3511" s="136" t="s">
        <v>6328</v>
      </c>
      <c r="F3511" s="136" t="s">
        <v>6328</v>
      </c>
      <c r="G3511" s="136" t="s">
        <v>5842</v>
      </c>
      <c r="H3511" s="138" t="s">
        <v>6300</v>
      </c>
      <c r="I3511" s="136">
        <v>962500078</v>
      </c>
      <c r="J3511" s="131" t="s">
        <v>6269</v>
      </c>
      <c r="K3511" s="139">
        <v>86672</v>
      </c>
    </row>
    <row r="3512" spans="1:11">
      <c r="A3512" s="1" t="str">
        <f t="shared" si="54"/>
        <v>50100-920552796-96150035859565</v>
      </c>
      <c r="B3512" s="136" t="s">
        <v>6334</v>
      </c>
      <c r="C3512" s="136" t="s">
        <v>9481</v>
      </c>
      <c r="D3512" s="132" t="s">
        <v>4971</v>
      </c>
      <c r="E3512" s="136" t="s">
        <v>6314</v>
      </c>
      <c r="F3512" s="136" t="s">
        <v>6314</v>
      </c>
      <c r="G3512" s="136" t="s">
        <v>5836</v>
      </c>
      <c r="H3512" s="138" t="s">
        <v>6300</v>
      </c>
      <c r="I3512" s="136">
        <v>961500358</v>
      </c>
      <c r="J3512" s="131" t="s">
        <v>6335</v>
      </c>
      <c r="K3512" s="139">
        <v>59565</v>
      </c>
    </row>
    <row r="3513" spans="1:11">
      <c r="A3513" s="1" t="str">
        <f t="shared" si="54"/>
        <v>50100-921714196-962500098491555</v>
      </c>
      <c r="B3513" s="136" t="s">
        <v>6336</v>
      </c>
      <c r="C3513" s="136" t="s">
        <v>9482</v>
      </c>
      <c r="D3513" s="132" t="s">
        <v>4971</v>
      </c>
      <c r="E3513" s="136" t="s">
        <v>6337</v>
      </c>
      <c r="F3513" s="136" t="s">
        <v>6337</v>
      </c>
      <c r="G3513" s="136" t="s">
        <v>5842</v>
      </c>
      <c r="H3513" s="138" t="s">
        <v>6300</v>
      </c>
      <c r="I3513" s="136">
        <v>962500098</v>
      </c>
      <c r="J3513" s="131" t="s">
        <v>6338</v>
      </c>
      <c r="K3513" s="139">
        <v>491555</v>
      </c>
    </row>
    <row r="3514" spans="1:11">
      <c r="A3514" s="1" t="str">
        <f t="shared" si="54"/>
        <v>50100-921955896-961500284295680</v>
      </c>
      <c r="B3514" s="136" t="s">
        <v>6339</v>
      </c>
      <c r="C3514" s="136" t="s">
        <v>9483</v>
      </c>
      <c r="D3514" s="132" t="s">
        <v>4971</v>
      </c>
      <c r="E3514" s="136" t="s">
        <v>6323</v>
      </c>
      <c r="F3514" s="136" t="s">
        <v>6323</v>
      </c>
      <c r="G3514" s="136" t="s">
        <v>5826</v>
      </c>
      <c r="H3514" s="138" t="s">
        <v>6298</v>
      </c>
      <c r="I3514" s="136">
        <v>961500284</v>
      </c>
      <c r="J3514" s="131" t="s">
        <v>5986</v>
      </c>
      <c r="K3514" s="139">
        <v>295680</v>
      </c>
    </row>
    <row r="3515" spans="1:11">
      <c r="A3515" s="1" t="str">
        <f t="shared" si="54"/>
        <v>50100-920552796-961500353202430</v>
      </c>
      <c r="B3515" s="136" t="s">
        <v>6334</v>
      </c>
      <c r="C3515" s="136" t="s">
        <v>9481</v>
      </c>
      <c r="D3515" s="132" t="s">
        <v>4971</v>
      </c>
      <c r="E3515" s="136" t="s">
        <v>6314</v>
      </c>
      <c r="F3515" s="136" t="s">
        <v>6314</v>
      </c>
      <c r="G3515" s="136" t="s">
        <v>5836</v>
      </c>
      <c r="H3515" s="138" t="s">
        <v>6300</v>
      </c>
      <c r="I3515" s="136">
        <v>961500353</v>
      </c>
      <c r="J3515" s="131" t="s">
        <v>6340</v>
      </c>
      <c r="K3515" s="139">
        <v>202430</v>
      </c>
    </row>
    <row r="3516" spans="1:11">
      <c r="A3516" s="1" t="str">
        <f t="shared" si="54"/>
        <v>50100-923165596-961500384150000</v>
      </c>
      <c r="B3516" s="136" t="s">
        <v>6341</v>
      </c>
      <c r="C3516" s="136" t="s">
        <v>9484</v>
      </c>
      <c r="D3516" s="132" t="s">
        <v>4971</v>
      </c>
      <c r="E3516" s="136" t="s">
        <v>6302</v>
      </c>
      <c r="F3516" s="136" t="s">
        <v>6302</v>
      </c>
      <c r="G3516" s="136" t="s">
        <v>5836</v>
      </c>
      <c r="H3516" s="138" t="s">
        <v>6300</v>
      </c>
      <c r="I3516" s="136">
        <v>961500384</v>
      </c>
      <c r="J3516" s="131" t="s">
        <v>6342</v>
      </c>
      <c r="K3516" s="139">
        <v>150000</v>
      </c>
    </row>
    <row r="3517" spans="1:11">
      <c r="A3517" s="1" t="str">
        <f t="shared" si="54"/>
        <v>50100-923165596-961500403175000</v>
      </c>
      <c r="B3517" s="136" t="s">
        <v>6341</v>
      </c>
      <c r="C3517" s="136" t="s">
        <v>9484</v>
      </c>
      <c r="D3517" s="132" t="s">
        <v>4971</v>
      </c>
      <c r="E3517" s="136" t="s">
        <v>6302</v>
      </c>
      <c r="F3517" s="136" t="s">
        <v>6302</v>
      </c>
      <c r="G3517" s="144" t="s">
        <v>5836</v>
      </c>
      <c r="H3517" s="145" t="s">
        <v>6300</v>
      </c>
      <c r="I3517" s="144">
        <v>961500403</v>
      </c>
      <c r="J3517" s="131" t="s">
        <v>6344</v>
      </c>
      <c r="K3517" s="146">
        <v>175000</v>
      </c>
    </row>
    <row r="3518" spans="1:11">
      <c r="A3518" s="1" t="str">
        <f t="shared" si="54"/>
        <v>50100-922881496-961500345239924</v>
      </c>
      <c r="B3518" s="136" t="s">
        <v>6345</v>
      </c>
      <c r="C3518" s="136" t="s">
        <v>9485</v>
      </c>
      <c r="D3518" s="132" t="s">
        <v>4971</v>
      </c>
      <c r="E3518" s="136" t="s">
        <v>6302</v>
      </c>
      <c r="F3518" s="147" t="s">
        <v>6302</v>
      </c>
      <c r="G3518" s="141" t="s">
        <v>7233</v>
      </c>
      <c r="H3518" s="140" t="s">
        <v>6453</v>
      </c>
      <c r="I3518" s="141">
        <v>961500345</v>
      </c>
      <c r="J3518" s="131" t="s">
        <v>6317</v>
      </c>
      <c r="K3518" s="142">
        <v>239924</v>
      </c>
    </row>
    <row r="3519" spans="1:11">
      <c r="A3519" s="1" t="str">
        <f t="shared" si="54"/>
        <v>50100-923723496-964100057153960</v>
      </c>
      <c r="B3519" s="136" t="s">
        <v>6346</v>
      </c>
      <c r="C3519" s="136" t="s">
        <v>9486</v>
      </c>
      <c r="D3519" s="132" t="s">
        <v>4971</v>
      </c>
      <c r="E3519" s="136" t="s">
        <v>6308</v>
      </c>
      <c r="F3519" s="136" t="s">
        <v>6308</v>
      </c>
      <c r="G3519" s="151">
        <v>1396506114001</v>
      </c>
      <c r="H3519" s="134" t="s">
        <v>6452</v>
      </c>
      <c r="I3519" s="131">
        <v>964100057</v>
      </c>
      <c r="J3519" s="131" t="s">
        <v>6347</v>
      </c>
      <c r="K3519" s="135">
        <v>153960</v>
      </c>
    </row>
    <row r="3520" spans="1:11">
      <c r="A3520" s="1" t="str">
        <f t="shared" si="54"/>
        <v>50100-923036296-961500420504680</v>
      </c>
      <c r="B3520" s="136" t="s">
        <v>6349</v>
      </c>
      <c r="C3520" s="136" t="s">
        <v>9487</v>
      </c>
      <c r="D3520" s="132" t="s">
        <v>4971</v>
      </c>
      <c r="E3520" s="136" t="s">
        <v>6302</v>
      </c>
      <c r="F3520" s="136" t="s">
        <v>6302</v>
      </c>
      <c r="G3520" s="144" t="s">
        <v>7237</v>
      </c>
      <c r="H3520" s="145" t="s">
        <v>6300</v>
      </c>
      <c r="I3520" s="144">
        <v>961500420</v>
      </c>
      <c r="J3520" s="131" t="s">
        <v>6350</v>
      </c>
      <c r="K3520" s="146">
        <v>504680</v>
      </c>
    </row>
    <row r="3521" spans="1:11">
      <c r="A3521" s="1" t="str">
        <f t="shared" si="54"/>
        <v>50100-923416696-961500355497025</v>
      </c>
      <c r="B3521" s="136" t="s">
        <v>6351</v>
      </c>
      <c r="C3521" s="136" t="s">
        <v>9488</v>
      </c>
      <c r="D3521" s="132" t="s">
        <v>4971</v>
      </c>
      <c r="E3521" s="136" t="s">
        <v>6310</v>
      </c>
      <c r="F3521" s="147" t="s">
        <v>6310</v>
      </c>
      <c r="G3521" s="141" t="s">
        <v>7233</v>
      </c>
      <c r="H3521" s="140" t="s">
        <v>6453</v>
      </c>
      <c r="I3521" s="141">
        <v>961500355</v>
      </c>
      <c r="J3521" s="131" t="s">
        <v>6326</v>
      </c>
      <c r="K3521" s="142">
        <v>497025</v>
      </c>
    </row>
    <row r="3522" spans="1:11">
      <c r="A3522" s="1" t="str">
        <f t="shared" si="54"/>
        <v>50100-923964696-96150035697739</v>
      </c>
      <c r="B3522" s="136" t="s">
        <v>6352</v>
      </c>
      <c r="C3522" s="136" t="s">
        <v>9489</v>
      </c>
      <c r="D3522" s="132" t="s">
        <v>4971</v>
      </c>
      <c r="E3522" s="136" t="s">
        <v>6308</v>
      </c>
      <c r="F3522" s="147" t="s">
        <v>6308</v>
      </c>
      <c r="G3522" s="141" t="s">
        <v>7233</v>
      </c>
      <c r="H3522" s="140" t="s">
        <v>6453</v>
      </c>
      <c r="I3522" s="141">
        <v>961500356</v>
      </c>
      <c r="J3522" s="131" t="s">
        <v>6321</v>
      </c>
      <c r="K3522" s="142">
        <v>97739</v>
      </c>
    </row>
    <row r="3523" spans="1:11">
      <c r="A3523" s="1" t="str">
        <f t="shared" ref="A3523:A3586" si="55">B3523&amp;J3523&amp;K3523</f>
        <v>50100-921744496-96250007916375</v>
      </c>
      <c r="B3523" s="136" t="s">
        <v>6353</v>
      </c>
      <c r="C3523" s="136" t="s">
        <v>9490</v>
      </c>
      <c r="D3523" s="132" t="s">
        <v>4971</v>
      </c>
      <c r="E3523" s="136" t="s">
        <v>6323</v>
      </c>
      <c r="F3523" s="136" t="s">
        <v>6323</v>
      </c>
      <c r="G3523" s="131" t="s">
        <v>5856</v>
      </c>
      <c r="H3523" s="134" t="s">
        <v>6455</v>
      </c>
      <c r="I3523" s="131">
        <v>962500079</v>
      </c>
      <c r="J3523" s="131" t="s">
        <v>6354</v>
      </c>
      <c r="K3523" s="135">
        <v>16375</v>
      </c>
    </row>
    <row r="3524" spans="1:11">
      <c r="A3524" s="1" t="str">
        <f t="shared" si="55"/>
        <v>50100-923707996-961500408200000</v>
      </c>
      <c r="B3524" s="136" t="s">
        <v>6355</v>
      </c>
      <c r="C3524" s="136" t="s">
        <v>9491</v>
      </c>
      <c r="D3524" s="132" t="s">
        <v>4971</v>
      </c>
      <c r="E3524" s="136" t="s">
        <v>6310</v>
      </c>
      <c r="F3524" s="136" t="s">
        <v>6310</v>
      </c>
      <c r="G3524" s="136" t="s">
        <v>5852</v>
      </c>
      <c r="H3524" s="138" t="s">
        <v>6454</v>
      </c>
      <c r="I3524" s="136">
        <v>961500408</v>
      </c>
      <c r="J3524" s="131" t="s">
        <v>6356</v>
      </c>
      <c r="K3524" s="139">
        <v>200000</v>
      </c>
    </row>
    <row r="3525" spans="1:11">
      <c r="A3525" s="1" t="str">
        <f t="shared" si="55"/>
        <v>50100-923707996-962500074300000</v>
      </c>
      <c r="B3525" s="136" t="s">
        <v>6355</v>
      </c>
      <c r="C3525" s="136" t="s">
        <v>9491</v>
      </c>
      <c r="D3525" s="132" t="s">
        <v>4971</v>
      </c>
      <c r="E3525" s="136" t="s">
        <v>6310</v>
      </c>
      <c r="F3525" s="136" t="s">
        <v>6310</v>
      </c>
      <c r="G3525" s="136" t="s">
        <v>7231</v>
      </c>
      <c r="H3525" s="138" t="s">
        <v>6298</v>
      </c>
      <c r="I3525" s="136">
        <v>962500074</v>
      </c>
      <c r="J3525" s="131" t="s">
        <v>6357</v>
      </c>
      <c r="K3525" s="139">
        <v>300000</v>
      </c>
    </row>
    <row r="3526" spans="1:11">
      <c r="A3526" s="1" t="str">
        <f t="shared" si="55"/>
        <v>50100-923165596-96150038578340</v>
      </c>
      <c r="B3526" s="136" t="s">
        <v>6341</v>
      </c>
      <c r="C3526" s="136" t="s">
        <v>9484</v>
      </c>
      <c r="D3526" s="132" t="s">
        <v>4971</v>
      </c>
      <c r="E3526" s="136" t="s">
        <v>6302</v>
      </c>
      <c r="F3526" s="136" t="s">
        <v>6302</v>
      </c>
      <c r="G3526" s="136" t="s">
        <v>5836</v>
      </c>
      <c r="H3526" s="138" t="s">
        <v>6300</v>
      </c>
      <c r="I3526" s="136">
        <v>961500385</v>
      </c>
      <c r="J3526" s="131" t="s">
        <v>6358</v>
      </c>
      <c r="K3526" s="139">
        <v>78340</v>
      </c>
    </row>
    <row r="3527" spans="1:11">
      <c r="A3527" s="1" t="str">
        <f t="shared" si="55"/>
        <v>50100-923169396-961500385130200</v>
      </c>
      <c r="B3527" s="136" t="s">
        <v>6359</v>
      </c>
      <c r="C3527" s="136" t="s">
        <v>9492</v>
      </c>
      <c r="D3527" s="132" t="s">
        <v>4971</v>
      </c>
      <c r="E3527" s="136" t="s">
        <v>6302</v>
      </c>
      <c r="F3527" s="136" t="s">
        <v>6302</v>
      </c>
      <c r="G3527" s="136" t="s">
        <v>5836</v>
      </c>
      <c r="H3527" s="138" t="s">
        <v>6300</v>
      </c>
      <c r="I3527" s="136">
        <v>961500385</v>
      </c>
      <c r="J3527" s="131" t="s">
        <v>6358</v>
      </c>
      <c r="K3527" s="139">
        <v>130200</v>
      </c>
    </row>
    <row r="3528" spans="1:11">
      <c r="A3528" s="1" t="str">
        <f t="shared" si="55"/>
        <v>50100-923165596-961500390100000</v>
      </c>
      <c r="B3528" s="136" t="s">
        <v>6341</v>
      </c>
      <c r="C3528" s="136" t="s">
        <v>9484</v>
      </c>
      <c r="D3528" s="132" t="s">
        <v>4971</v>
      </c>
      <c r="E3528" s="136" t="s">
        <v>6302</v>
      </c>
      <c r="F3528" s="136" t="s">
        <v>6302</v>
      </c>
      <c r="G3528" s="136" t="s">
        <v>5836</v>
      </c>
      <c r="H3528" s="138" t="s">
        <v>6300</v>
      </c>
      <c r="I3528" s="136">
        <v>961500390</v>
      </c>
      <c r="J3528" s="131" t="s">
        <v>6360</v>
      </c>
      <c r="K3528" s="139">
        <v>100000</v>
      </c>
    </row>
    <row r="3529" spans="1:11">
      <c r="A3529" s="1" t="str">
        <f t="shared" si="55"/>
        <v>50100-923169396-961500379372000</v>
      </c>
      <c r="B3529" s="136" t="s">
        <v>6359</v>
      </c>
      <c r="C3529" s="136" t="s">
        <v>9492</v>
      </c>
      <c r="D3529" s="132" t="s">
        <v>4971</v>
      </c>
      <c r="E3529" s="136" t="s">
        <v>6302</v>
      </c>
      <c r="F3529" s="136" t="s">
        <v>6302</v>
      </c>
      <c r="G3529" s="136" t="s">
        <v>5836</v>
      </c>
      <c r="H3529" s="138" t="s">
        <v>6300</v>
      </c>
      <c r="I3529" s="136">
        <v>961500379</v>
      </c>
      <c r="J3529" s="131" t="s">
        <v>6362</v>
      </c>
      <c r="K3529" s="139">
        <v>372000</v>
      </c>
    </row>
    <row r="3530" spans="1:11">
      <c r="A3530" s="1" t="str">
        <f t="shared" si="55"/>
        <v>50100-922924296-9625000983311</v>
      </c>
      <c r="B3530" s="136" t="s">
        <v>6364</v>
      </c>
      <c r="C3530" s="136" t="s">
        <v>9493</v>
      </c>
      <c r="D3530" s="132" t="s">
        <v>4971</v>
      </c>
      <c r="E3530" s="136" t="s">
        <v>6302</v>
      </c>
      <c r="F3530" s="136" t="s">
        <v>6302</v>
      </c>
      <c r="G3530" s="136" t="s">
        <v>5842</v>
      </c>
      <c r="H3530" s="138" t="s">
        <v>6300</v>
      </c>
      <c r="I3530" s="136">
        <v>962500098</v>
      </c>
      <c r="J3530" s="131" t="s">
        <v>6338</v>
      </c>
      <c r="K3530" s="139">
        <v>3311</v>
      </c>
    </row>
    <row r="3531" spans="1:11">
      <c r="A3531" s="1" t="str">
        <f t="shared" si="55"/>
        <v>50100-922924296-962500100489952</v>
      </c>
      <c r="B3531" s="136" t="s">
        <v>6364</v>
      </c>
      <c r="C3531" s="136" t="s">
        <v>9493</v>
      </c>
      <c r="D3531" s="132" t="s">
        <v>4971</v>
      </c>
      <c r="E3531" s="136" t="s">
        <v>6302</v>
      </c>
      <c r="F3531" s="136" t="s">
        <v>6302</v>
      </c>
      <c r="G3531" s="136" t="s">
        <v>5842</v>
      </c>
      <c r="H3531" s="138" t="s">
        <v>6300</v>
      </c>
      <c r="I3531" s="136">
        <v>962500100</v>
      </c>
      <c r="J3531" s="131" t="s">
        <v>6365</v>
      </c>
      <c r="K3531" s="139">
        <v>489952</v>
      </c>
    </row>
    <row r="3532" spans="1:11">
      <c r="A3532" s="1" t="str">
        <f t="shared" si="55"/>
        <v>50100-923631296-96250010010048</v>
      </c>
      <c r="B3532" s="136" t="s">
        <v>6366</v>
      </c>
      <c r="C3532" s="136" t="s">
        <v>9494</v>
      </c>
      <c r="D3532" s="132" t="s">
        <v>4971</v>
      </c>
      <c r="E3532" s="136" t="s">
        <v>6310</v>
      </c>
      <c r="F3532" s="136" t="s">
        <v>6310</v>
      </c>
      <c r="G3532" s="136" t="s">
        <v>5842</v>
      </c>
      <c r="H3532" s="138" t="s">
        <v>6300</v>
      </c>
      <c r="I3532" s="136">
        <v>962500100</v>
      </c>
      <c r="J3532" s="131" t="s">
        <v>6365</v>
      </c>
      <c r="K3532" s="139">
        <v>10048</v>
      </c>
    </row>
    <row r="3533" spans="1:11">
      <c r="A3533" s="1" t="str">
        <f t="shared" si="55"/>
        <v>50100-923631296-962500102482878</v>
      </c>
      <c r="B3533" s="136" t="s">
        <v>6366</v>
      </c>
      <c r="C3533" s="136" t="s">
        <v>9494</v>
      </c>
      <c r="D3533" s="132" t="s">
        <v>4971</v>
      </c>
      <c r="E3533" s="136" t="s">
        <v>6310</v>
      </c>
      <c r="F3533" s="136" t="s">
        <v>6310</v>
      </c>
      <c r="G3533" s="136" t="s">
        <v>5842</v>
      </c>
      <c r="H3533" s="138" t="s">
        <v>6300</v>
      </c>
      <c r="I3533" s="136">
        <v>962500102</v>
      </c>
      <c r="J3533" s="131" t="s">
        <v>6367</v>
      </c>
      <c r="K3533" s="139">
        <v>482878</v>
      </c>
    </row>
    <row r="3534" spans="1:11">
      <c r="A3534" s="1" t="str">
        <f t="shared" si="55"/>
        <v>50100-920545296-961500348101090</v>
      </c>
      <c r="B3534" s="136" t="s">
        <v>6368</v>
      </c>
      <c r="C3534" s="136" t="s">
        <v>9495</v>
      </c>
      <c r="D3534" s="132" t="s">
        <v>4971</v>
      </c>
      <c r="E3534" s="136" t="s">
        <v>6328</v>
      </c>
      <c r="F3534" s="136" t="s">
        <v>6328</v>
      </c>
      <c r="G3534" s="136" t="s">
        <v>5818</v>
      </c>
      <c r="H3534" s="138" t="s">
        <v>6300</v>
      </c>
      <c r="I3534" s="136">
        <v>961500348</v>
      </c>
      <c r="J3534" s="131" t="s">
        <v>6253</v>
      </c>
      <c r="K3534" s="139">
        <v>101090</v>
      </c>
    </row>
    <row r="3535" spans="1:11">
      <c r="A3535" s="1" t="str">
        <f t="shared" si="55"/>
        <v>50100-920545296-961500353397570</v>
      </c>
      <c r="B3535" s="136" t="s">
        <v>6368</v>
      </c>
      <c r="C3535" s="136" t="s">
        <v>9495</v>
      </c>
      <c r="D3535" s="132" t="s">
        <v>4971</v>
      </c>
      <c r="E3535" s="136" t="s">
        <v>6328</v>
      </c>
      <c r="F3535" s="136" t="s">
        <v>6328</v>
      </c>
      <c r="G3535" s="136" t="s">
        <v>5836</v>
      </c>
      <c r="H3535" s="138" t="s">
        <v>6300</v>
      </c>
      <c r="I3535" s="136">
        <v>961500353</v>
      </c>
      <c r="J3535" s="131" t="s">
        <v>6340</v>
      </c>
      <c r="K3535" s="139">
        <v>397570</v>
      </c>
    </row>
    <row r="3536" spans="1:11">
      <c r="A3536" s="1" t="str">
        <f t="shared" si="55"/>
        <v>50100-920552796-961500361239880</v>
      </c>
      <c r="B3536" s="136" t="s">
        <v>6334</v>
      </c>
      <c r="C3536" s="136" t="s">
        <v>9481</v>
      </c>
      <c r="D3536" s="132" t="s">
        <v>4971</v>
      </c>
      <c r="E3536" s="136" t="s">
        <v>6314</v>
      </c>
      <c r="F3536" s="136" t="s">
        <v>6314</v>
      </c>
      <c r="G3536" s="136" t="s">
        <v>5836</v>
      </c>
      <c r="H3536" s="138" t="s">
        <v>6300</v>
      </c>
      <c r="I3536" s="136">
        <v>961500361</v>
      </c>
      <c r="J3536" s="131" t="s">
        <v>6369</v>
      </c>
      <c r="K3536" s="139">
        <v>239880</v>
      </c>
    </row>
    <row r="3537" spans="1:11">
      <c r="A3537" s="1" t="str">
        <f t="shared" si="55"/>
        <v>50100-923682296-962500090494060</v>
      </c>
      <c r="B3537" s="136" t="s">
        <v>6370</v>
      </c>
      <c r="C3537" s="136" t="s">
        <v>9496</v>
      </c>
      <c r="D3537" s="132" t="s">
        <v>4971</v>
      </c>
      <c r="E3537" s="136" t="s">
        <v>6310</v>
      </c>
      <c r="F3537" s="136" t="s">
        <v>6310</v>
      </c>
      <c r="G3537" s="136" t="s">
        <v>5856</v>
      </c>
      <c r="H3537" s="138" t="s">
        <v>6455</v>
      </c>
      <c r="I3537" s="136">
        <v>962500090</v>
      </c>
      <c r="J3537" s="131" t="s">
        <v>6371</v>
      </c>
      <c r="K3537" s="139">
        <v>494060</v>
      </c>
    </row>
    <row r="3538" spans="1:11">
      <c r="A3538" s="1" t="str">
        <f t="shared" si="55"/>
        <v>50100-921744496-962500090475185</v>
      </c>
      <c r="B3538" s="136" t="s">
        <v>6353</v>
      </c>
      <c r="C3538" s="136" t="s">
        <v>9490</v>
      </c>
      <c r="D3538" s="132" t="s">
        <v>4971</v>
      </c>
      <c r="E3538" s="136" t="s">
        <v>6323</v>
      </c>
      <c r="F3538" s="136" t="s">
        <v>6323</v>
      </c>
      <c r="G3538" s="144" t="s">
        <v>5856</v>
      </c>
      <c r="H3538" s="145" t="s">
        <v>6455</v>
      </c>
      <c r="I3538" s="144">
        <v>962500090</v>
      </c>
      <c r="J3538" s="131" t="s">
        <v>6371</v>
      </c>
      <c r="K3538" s="146">
        <v>475185</v>
      </c>
    </row>
    <row r="3539" spans="1:11">
      <c r="A3539" s="1" t="str">
        <f t="shared" si="55"/>
        <v>50100-923964696-961500355242120</v>
      </c>
      <c r="B3539" s="136" t="s">
        <v>6352</v>
      </c>
      <c r="C3539" s="136" t="s">
        <v>9489</v>
      </c>
      <c r="D3539" s="132" t="s">
        <v>4971</v>
      </c>
      <c r="E3539" s="136" t="s">
        <v>6308</v>
      </c>
      <c r="F3539" s="147" t="s">
        <v>6308</v>
      </c>
      <c r="G3539" s="141" t="s">
        <v>7233</v>
      </c>
      <c r="H3539" s="140" t="s">
        <v>6453</v>
      </c>
      <c r="I3539" s="141">
        <v>961500355</v>
      </c>
      <c r="J3539" s="131" t="s">
        <v>6326</v>
      </c>
      <c r="K3539" s="142">
        <v>242120</v>
      </c>
    </row>
    <row r="3540" spans="1:11">
      <c r="A3540" s="1" t="str">
        <f t="shared" si="55"/>
        <v>50100-923707996-961500352346180</v>
      </c>
      <c r="B3540" s="136" t="s">
        <v>6355</v>
      </c>
      <c r="C3540" s="136" t="s">
        <v>9491</v>
      </c>
      <c r="D3540" s="132" t="s">
        <v>4971</v>
      </c>
      <c r="E3540" s="136" t="s">
        <v>6310</v>
      </c>
      <c r="F3540" s="136" t="s">
        <v>6310</v>
      </c>
      <c r="G3540" s="131" t="s">
        <v>5852</v>
      </c>
      <c r="H3540" s="134" t="s">
        <v>6454</v>
      </c>
      <c r="I3540" s="131">
        <v>961500352</v>
      </c>
      <c r="J3540" s="131" t="s">
        <v>6372</v>
      </c>
      <c r="K3540" s="135">
        <v>346180</v>
      </c>
    </row>
    <row r="3541" spans="1:11">
      <c r="A3541" s="1" t="str">
        <f t="shared" si="55"/>
        <v>50100-923707996-961500401298680</v>
      </c>
      <c r="B3541" s="136" t="s">
        <v>6355</v>
      </c>
      <c r="C3541" s="136" t="s">
        <v>9491</v>
      </c>
      <c r="D3541" s="132" t="s">
        <v>4971</v>
      </c>
      <c r="E3541" s="136" t="s">
        <v>6310</v>
      </c>
      <c r="F3541" s="136" t="s">
        <v>6310</v>
      </c>
      <c r="G3541" s="136" t="s">
        <v>5852</v>
      </c>
      <c r="H3541" s="138" t="s">
        <v>6454</v>
      </c>
      <c r="I3541" s="136">
        <v>961500401</v>
      </c>
      <c r="J3541" s="131" t="s">
        <v>6373</v>
      </c>
      <c r="K3541" s="139">
        <v>298680</v>
      </c>
    </row>
    <row r="3542" spans="1:11">
      <c r="A3542" s="1" t="str">
        <f t="shared" si="55"/>
        <v>50100-923707996-962500090371911</v>
      </c>
      <c r="B3542" s="144" t="s">
        <v>6355</v>
      </c>
      <c r="C3542" s="144" t="s">
        <v>9491</v>
      </c>
      <c r="D3542" s="132" t="s">
        <v>4971</v>
      </c>
      <c r="E3542" s="144" t="s">
        <v>6310</v>
      </c>
      <c r="F3542" s="144" t="s">
        <v>6310</v>
      </c>
      <c r="G3542" s="144" t="s">
        <v>5856</v>
      </c>
      <c r="H3542" s="145" t="s">
        <v>6455</v>
      </c>
      <c r="I3542" s="144">
        <v>962500090</v>
      </c>
      <c r="J3542" s="131" t="s">
        <v>6371</v>
      </c>
      <c r="K3542" s="146">
        <v>371911</v>
      </c>
    </row>
    <row r="3543" spans="1:11">
      <c r="A3543" s="1" t="str">
        <f t="shared" si="55"/>
        <v>15100-47461996-96150041545160</v>
      </c>
      <c r="B3543" s="141" t="s">
        <v>11882</v>
      </c>
      <c r="C3543" s="141" t="s">
        <v>9571</v>
      </c>
      <c r="D3543" s="132" t="s">
        <v>4971</v>
      </c>
      <c r="E3543" s="141" t="s">
        <v>6310</v>
      </c>
      <c r="F3543" s="141" t="s">
        <v>6310</v>
      </c>
      <c r="G3543" s="141" t="s">
        <v>7231</v>
      </c>
      <c r="H3543" s="140" t="s">
        <v>6298</v>
      </c>
      <c r="I3543" s="141">
        <v>961500415</v>
      </c>
      <c r="J3543" s="131" t="s">
        <v>6398</v>
      </c>
      <c r="K3543" s="142">
        <v>45160</v>
      </c>
    </row>
    <row r="3544" spans="1:11">
      <c r="A3544" s="1" t="str">
        <f t="shared" si="55"/>
        <v>15100-47461996-96150037622040</v>
      </c>
      <c r="B3544" s="141" t="s">
        <v>11882</v>
      </c>
      <c r="C3544" s="141" t="s">
        <v>9571</v>
      </c>
      <c r="D3544" s="132" t="s">
        <v>4971</v>
      </c>
      <c r="E3544" s="141" t="s">
        <v>6310</v>
      </c>
      <c r="F3544" s="141" t="s">
        <v>6310</v>
      </c>
      <c r="G3544" s="141" t="s">
        <v>5836</v>
      </c>
      <c r="H3544" s="140" t="s">
        <v>6300</v>
      </c>
      <c r="I3544" s="141">
        <v>961500376</v>
      </c>
      <c r="J3544" s="131" t="s">
        <v>7275</v>
      </c>
      <c r="K3544" s="142">
        <v>22040</v>
      </c>
    </row>
    <row r="3545" spans="1:11">
      <c r="A3545" s="1" t="str">
        <f t="shared" si="55"/>
        <v>15100-47398796-961500412239060</v>
      </c>
      <c r="B3545" s="131" t="s">
        <v>11883</v>
      </c>
      <c r="C3545" s="131" t="s">
        <v>9572</v>
      </c>
      <c r="D3545" s="132" t="s">
        <v>4971</v>
      </c>
      <c r="E3545" s="131" t="s">
        <v>6302</v>
      </c>
      <c r="F3545" s="152" t="s">
        <v>6302</v>
      </c>
      <c r="G3545" s="153" t="s">
        <v>7233</v>
      </c>
      <c r="H3545" s="154" t="s">
        <v>6453</v>
      </c>
      <c r="I3545" s="153">
        <v>961500412</v>
      </c>
      <c r="J3545" s="131" t="s">
        <v>6376</v>
      </c>
      <c r="K3545" s="155">
        <v>239060</v>
      </c>
    </row>
    <row r="3546" spans="1:11">
      <c r="A3546" s="1" t="str">
        <f t="shared" si="55"/>
        <v>15100-47390596-961500179144890</v>
      </c>
      <c r="B3546" s="136" t="s">
        <v>8688</v>
      </c>
      <c r="C3546" s="136" t="s">
        <v>9617</v>
      </c>
      <c r="D3546" s="132" t="s">
        <v>4971</v>
      </c>
      <c r="E3546" s="136" t="s">
        <v>6302</v>
      </c>
      <c r="F3546" s="136" t="s">
        <v>6302</v>
      </c>
      <c r="G3546" s="131" t="s">
        <v>5813</v>
      </c>
      <c r="H3546" s="134" t="s">
        <v>6298</v>
      </c>
      <c r="I3546" s="131">
        <v>961500179</v>
      </c>
      <c r="J3546" s="131" t="s">
        <v>5567</v>
      </c>
      <c r="K3546" s="135">
        <v>144890</v>
      </c>
    </row>
    <row r="3547" spans="1:11">
      <c r="A3547" s="1" t="str">
        <f t="shared" si="55"/>
        <v>15100-47105996-961500406166780</v>
      </c>
      <c r="B3547" s="136" t="s">
        <v>8689</v>
      </c>
      <c r="C3547" s="136" t="s">
        <v>9618</v>
      </c>
      <c r="D3547" s="132" t="s">
        <v>4971</v>
      </c>
      <c r="E3547" s="136" t="s">
        <v>6328</v>
      </c>
      <c r="F3547" s="136" t="s">
        <v>6328</v>
      </c>
      <c r="G3547" s="136" t="s">
        <v>8501</v>
      </c>
      <c r="H3547" s="138" t="s">
        <v>6299</v>
      </c>
      <c r="I3547" s="136">
        <v>961500406</v>
      </c>
      <c r="J3547" s="131" t="s">
        <v>6390</v>
      </c>
      <c r="K3547" s="139">
        <v>166780</v>
      </c>
    </row>
    <row r="3548" spans="1:11">
      <c r="A3548" s="1" t="str">
        <f t="shared" si="55"/>
        <v>15100-46741896-96150028646480</v>
      </c>
      <c r="B3548" s="136" t="s">
        <v>8690</v>
      </c>
      <c r="C3548" s="136" t="s">
        <v>9619</v>
      </c>
      <c r="D3548" s="132" t="s">
        <v>4971</v>
      </c>
      <c r="E3548" s="136" t="s">
        <v>6332</v>
      </c>
      <c r="F3548" s="136" t="s">
        <v>6332</v>
      </c>
      <c r="G3548" s="136" t="s">
        <v>5820</v>
      </c>
      <c r="H3548" s="138" t="s">
        <v>6300</v>
      </c>
      <c r="I3548" s="136">
        <v>961500286</v>
      </c>
      <c r="J3548" s="131" t="s">
        <v>5988</v>
      </c>
      <c r="K3548" s="139">
        <v>46480</v>
      </c>
    </row>
    <row r="3549" spans="1:11">
      <c r="A3549" s="1" t="str">
        <f t="shared" si="55"/>
        <v>15100-47294396-96150041960000</v>
      </c>
      <c r="B3549" s="136" t="s">
        <v>11884</v>
      </c>
      <c r="C3549" s="136" t="s">
        <v>9574</v>
      </c>
      <c r="D3549" s="132" t="s">
        <v>4971</v>
      </c>
      <c r="E3549" s="136" t="s">
        <v>6379</v>
      </c>
      <c r="F3549" s="136" t="s">
        <v>6379</v>
      </c>
      <c r="G3549" s="136" t="s">
        <v>8502</v>
      </c>
      <c r="H3549" s="138" t="s">
        <v>6299</v>
      </c>
      <c r="I3549" s="136">
        <v>961500419</v>
      </c>
      <c r="J3549" s="131" t="s">
        <v>8503</v>
      </c>
      <c r="K3549" s="139">
        <v>60000</v>
      </c>
    </row>
    <row r="3550" spans="1:11">
      <c r="A3550" s="1" t="str">
        <f t="shared" si="55"/>
        <v>15100-47294396-96150032824280</v>
      </c>
      <c r="B3550" s="136" t="s">
        <v>11884</v>
      </c>
      <c r="C3550" s="136" t="s">
        <v>9574</v>
      </c>
      <c r="D3550" s="132" t="s">
        <v>4971</v>
      </c>
      <c r="E3550" s="136" t="s">
        <v>6379</v>
      </c>
      <c r="F3550" s="136" t="s">
        <v>6379</v>
      </c>
      <c r="G3550" s="136" t="s">
        <v>5831</v>
      </c>
      <c r="H3550" s="138" t="s">
        <v>6298</v>
      </c>
      <c r="I3550" s="136">
        <v>961500328</v>
      </c>
      <c r="J3550" s="131" t="s">
        <v>6388</v>
      </c>
      <c r="K3550" s="139">
        <v>24280</v>
      </c>
    </row>
    <row r="3551" spans="1:11">
      <c r="A3551" s="1" t="str">
        <f t="shared" si="55"/>
        <v>15100-47564396-96150038751350</v>
      </c>
      <c r="B3551" s="136" t="s">
        <v>11885</v>
      </c>
      <c r="C3551" s="136" t="s">
        <v>9577</v>
      </c>
      <c r="D3551" s="132" t="s">
        <v>4971</v>
      </c>
      <c r="E3551" s="136" t="s">
        <v>8620</v>
      </c>
      <c r="F3551" s="136" t="s">
        <v>8620</v>
      </c>
      <c r="G3551" s="136" t="s">
        <v>5836</v>
      </c>
      <c r="H3551" s="138" t="s">
        <v>6300</v>
      </c>
      <c r="I3551" s="136">
        <v>961500387</v>
      </c>
      <c r="J3551" s="131" t="s">
        <v>7256</v>
      </c>
      <c r="K3551" s="139">
        <v>51350</v>
      </c>
    </row>
    <row r="3552" spans="1:11">
      <c r="A3552" s="1" t="str">
        <f t="shared" si="55"/>
        <v>15100-47294396-961500276129540</v>
      </c>
      <c r="B3552" s="136" t="s">
        <v>11884</v>
      </c>
      <c r="C3552" s="136" t="s">
        <v>9574</v>
      </c>
      <c r="D3552" s="132" t="s">
        <v>4971</v>
      </c>
      <c r="E3552" s="136" t="s">
        <v>6379</v>
      </c>
      <c r="F3552" s="136" t="s">
        <v>6379</v>
      </c>
      <c r="G3552" s="136" t="s">
        <v>5820</v>
      </c>
      <c r="H3552" s="138" t="s">
        <v>6300</v>
      </c>
      <c r="I3552" s="136">
        <v>961500276</v>
      </c>
      <c r="J3552" s="131" t="s">
        <v>5975</v>
      </c>
      <c r="K3552" s="139">
        <v>129540</v>
      </c>
    </row>
    <row r="3553" spans="1:11">
      <c r="A3553" s="1" t="str">
        <f t="shared" si="55"/>
        <v>15100-47180896-96150032818160</v>
      </c>
      <c r="B3553" s="136" t="s">
        <v>11886</v>
      </c>
      <c r="C3553" s="136" t="s">
        <v>9579</v>
      </c>
      <c r="D3553" s="132" t="s">
        <v>4971</v>
      </c>
      <c r="E3553" s="136" t="s">
        <v>6312</v>
      </c>
      <c r="F3553" s="136" t="s">
        <v>6312</v>
      </c>
      <c r="G3553" s="136" t="s">
        <v>5831</v>
      </c>
      <c r="H3553" s="138" t="s">
        <v>6298</v>
      </c>
      <c r="I3553" s="136">
        <v>961500328</v>
      </c>
      <c r="J3553" s="131" t="s">
        <v>6388</v>
      </c>
      <c r="K3553" s="139">
        <v>18160</v>
      </c>
    </row>
    <row r="3554" spans="1:11">
      <c r="A3554" s="1" t="str">
        <f t="shared" si="55"/>
        <v>15100-47641396-961500193132520</v>
      </c>
      <c r="B3554" s="136" t="s">
        <v>8691</v>
      </c>
      <c r="C3554" s="136" t="s">
        <v>9620</v>
      </c>
      <c r="D3554" s="132" t="s">
        <v>4971</v>
      </c>
      <c r="E3554" s="136" t="s">
        <v>8692</v>
      </c>
      <c r="F3554" s="136" t="s">
        <v>8692</v>
      </c>
      <c r="G3554" s="136" t="s">
        <v>5816</v>
      </c>
      <c r="H3554" s="138" t="s">
        <v>6454</v>
      </c>
      <c r="I3554" s="136">
        <v>961500193</v>
      </c>
      <c r="J3554" s="131" t="s">
        <v>5893</v>
      </c>
      <c r="K3554" s="139">
        <v>132520</v>
      </c>
    </row>
    <row r="3555" spans="1:11">
      <c r="A3555" s="1" t="str">
        <f t="shared" si="55"/>
        <v>15100-47628796-96150038750440</v>
      </c>
      <c r="B3555" s="136" t="s">
        <v>11887</v>
      </c>
      <c r="C3555" s="136" t="s">
        <v>9575</v>
      </c>
      <c r="D3555" s="132" t="s">
        <v>4971</v>
      </c>
      <c r="E3555" s="136" t="s">
        <v>8692</v>
      </c>
      <c r="F3555" s="136" t="s">
        <v>8692</v>
      </c>
      <c r="G3555" s="136" t="s">
        <v>5836</v>
      </c>
      <c r="H3555" s="138" t="s">
        <v>6300</v>
      </c>
      <c r="I3555" s="136">
        <v>961500387</v>
      </c>
      <c r="J3555" s="131" t="s">
        <v>7256</v>
      </c>
      <c r="K3555" s="139">
        <v>50440</v>
      </c>
    </row>
    <row r="3556" spans="1:11">
      <c r="A3556" s="1" t="str">
        <f t="shared" si="55"/>
        <v>15100-47294396-96150018324300</v>
      </c>
      <c r="B3556" s="136" t="s">
        <v>11884</v>
      </c>
      <c r="C3556" s="136" t="s">
        <v>9574</v>
      </c>
      <c r="D3556" s="132" t="s">
        <v>4971</v>
      </c>
      <c r="E3556" s="136" t="s">
        <v>6379</v>
      </c>
      <c r="F3556" s="136" t="s">
        <v>6379</v>
      </c>
      <c r="G3556" s="136" t="s">
        <v>5816</v>
      </c>
      <c r="H3556" s="138" t="s">
        <v>6454</v>
      </c>
      <c r="I3556" s="136">
        <v>961500183</v>
      </c>
      <c r="J3556" s="131" t="s">
        <v>5890</v>
      </c>
      <c r="K3556" s="139">
        <v>24300</v>
      </c>
    </row>
    <row r="3557" spans="1:11">
      <c r="A3557" s="1" t="str">
        <f t="shared" si="55"/>
        <v>15100-47629996-96150020273750</v>
      </c>
      <c r="B3557" s="136" t="s">
        <v>11888</v>
      </c>
      <c r="C3557" s="136" t="s">
        <v>9576</v>
      </c>
      <c r="D3557" s="132" t="s">
        <v>4971</v>
      </c>
      <c r="E3557" s="136" t="s">
        <v>8692</v>
      </c>
      <c r="F3557" s="136" t="s">
        <v>8692</v>
      </c>
      <c r="G3557" s="136" t="s">
        <v>5815</v>
      </c>
      <c r="H3557" s="138" t="s">
        <v>6298</v>
      </c>
      <c r="I3557" s="136">
        <v>961500202</v>
      </c>
      <c r="J3557" s="131" t="s">
        <v>5576</v>
      </c>
      <c r="K3557" s="139">
        <v>73750</v>
      </c>
    </row>
    <row r="3558" spans="1:11">
      <c r="A3558" s="1" t="str">
        <f t="shared" si="55"/>
        <v>15100-47294396-961500335124760</v>
      </c>
      <c r="B3558" s="136" t="s">
        <v>11884</v>
      </c>
      <c r="C3558" s="136" t="s">
        <v>9574</v>
      </c>
      <c r="D3558" s="132" t="s">
        <v>4971</v>
      </c>
      <c r="E3558" s="136" t="s">
        <v>6379</v>
      </c>
      <c r="F3558" s="136" t="s">
        <v>6379</v>
      </c>
      <c r="G3558" s="136" t="s">
        <v>7231</v>
      </c>
      <c r="H3558" s="138" t="s">
        <v>6298</v>
      </c>
      <c r="I3558" s="136">
        <v>961500335</v>
      </c>
      <c r="J3558" s="131" t="s">
        <v>7245</v>
      </c>
      <c r="K3558" s="139">
        <v>124760</v>
      </c>
    </row>
    <row r="3559" spans="1:11">
      <c r="A3559" s="1" t="str">
        <f t="shared" si="55"/>
        <v>15100-47506296-96150021697500</v>
      </c>
      <c r="B3559" s="136" t="s">
        <v>11889</v>
      </c>
      <c r="C3559" s="136" t="s">
        <v>9580</v>
      </c>
      <c r="D3559" s="132" t="s">
        <v>4971</v>
      </c>
      <c r="E3559" s="136" t="s">
        <v>6308</v>
      </c>
      <c r="F3559" s="136" t="s">
        <v>6308</v>
      </c>
      <c r="G3559" s="136" t="s">
        <v>5813</v>
      </c>
      <c r="H3559" s="138" t="s">
        <v>6298</v>
      </c>
      <c r="I3559" s="136">
        <v>961500216</v>
      </c>
      <c r="J3559" s="131" t="s">
        <v>5906</v>
      </c>
      <c r="K3559" s="139">
        <v>97500</v>
      </c>
    </row>
    <row r="3560" spans="1:11">
      <c r="A3560" s="1" t="str">
        <f t="shared" si="55"/>
        <v>15100-47180896-961500335177360</v>
      </c>
      <c r="B3560" s="136" t="s">
        <v>11886</v>
      </c>
      <c r="C3560" s="136" t="s">
        <v>9579</v>
      </c>
      <c r="D3560" s="132" t="s">
        <v>4971</v>
      </c>
      <c r="E3560" s="136" t="s">
        <v>6312</v>
      </c>
      <c r="F3560" s="136" t="s">
        <v>6312</v>
      </c>
      <c r="G3560" s="144" t="s">
        <v>7231</v>
      </c>
      <c r="H3560" s="145" t="s">
        <v>6298</v>
      </c>
      <c r="I3560" s="144">
        <v>961500335</v>
      </c>
      <c r="J3560" s="131" t="s">
        <v>7245</v>
      </c>
      <c r="K3560" s="146">
        <v>177360</v>
      </c>
    </row>
    <row r="3561" spans="1:11">
      <c r="A3561" s="1" t="str">
        <f t="shared" si="55"/>
        <v>15100-47641396-96150041371540</v>
      </c>
      <c r="B3561" s="136" t="s">
        <v>8691</v>
      </c>
      <c r="C3561" s="136" t="s">
        <v>9620</v>
      </c>
      <c r="D3561" s="132" t="s">
        <v>4971</v>
      </c>
      <c r="E3561" s="136" t="s">
        <v>8692</v>
      </c>
      <c r="F3561" s="147" t="s">
        <v>8692</v>
      </c>
      <c r="G3561" s="141" t="s">
        <v>7233</v>
      </c>
      <c r="H3561" s="140" t="s">
        <v>6453</v>
      </c>
      <c r="I3561" s="141">
        <v>961500413</v>
      </c>
      <c r="J3561" s="131" t="s">
        <v>8496</v>
      </c>
      <c r="K3561" s="142">
        <v>71540</v>
      </c>
    </row>
    <row r="3562" spans="1:11">
      <c r="A3562" s="1" t="str">
        <f t="shared" si="55"/>
        <v>15100-47641396-961500290180000</v>
      </c>
      <c r="B3562" s="136" t="s">
        <v>8691</v>
      </c>
      <c r="C3562" s="136" t="s">
        <v>9620</v>
      </c>
      <c r="D3562" s="132" t="s">
        <v>4971</v>
      </c>
      <c r="E3562" s="136" t="s">
        <v>8692</v>
      </c>
      <c r="F3562" s="136" t="s">
        <v>8692</v>
      </c>
      <c r="G3562" s="131" t="s">
        <v>5822</v>
      </c>
      <c r="H3562" s="134" t="s">
        <v>6454</v>
      </c>
      <c r="I3562" s="131">
        <v>961500290</v>
      </c>
      <c r="J3562" s="131" t="s">
        <v>5992</v>
      </c>
      <c r="K3562" s="135">
        <v>180000</v>
      </c>
    </row>
    <row r="3563" spans="1:11">
      <c r="A3563" s="1" t="str">
        <f t="shared" si="55"/>
        <v>15100-47518596-96150038793870</v>
      </c>
      <c r="B3563" s="136" t="s">
        <v>8659</v>
      </c>
      <c r="C3563" s="136" t="s">
        <v>9615</v>
      </c>
      <c r="D3563" s="132" t="s">
        <v>4971</v>
      </c>
      <c r="E3563" s="136" t="s">
        <v>6308</v>
      </c>
      <c r="F3563" s="136" t="s">
        <v>6308</v>
      </c>
      <c r="G3563" s="136" t="s">
        <v>5836</v>
      </c>
      <c r="H3563" s="138" t="s">
        <v>6300</v>
      </c>
      <c r="I3563" s="136">
        <v>961500387</v>
      </c>
      <c r="J3563" s="131" t="s">
        <v>7256</v>
      </c>
      <c r="K3563" s="139">
        <v>93870</v>
      </c>
    </row>
    <row r="3564" spans="1:11">
      <c r="A3564" s="1" t="str">
        <f t="shared" si="55"/>
        <v>15100-47518596-96150031619580</v>
      </c>
      <c r="B3564" s="136" t="s">
        <v>8659</v>
      </c>
      <c r="C3564" s="136" t="s">
        <v>9615</v>
      </c>
      <c r="D3564" s="132" t="s">
        <v>4971</v>
      </c>
      <c r="E3564" s="136" t="s">
        <v>6308</v>
      </c>
      <c r="F3564" s="136" t="s">
        <v>6308</v>
      </c>
      <c r="G3564" s="136" t="s">
        <v>5818</v>
      </c>
      <c r="H3564" s="138" t="s">
        <v>6300</v>
      </c>
      <c r="I3564" s="136">
        <v>961500316</v>
      </c>
      <c r="J3564" s="131" t="s">
        <v>6028</v>
      </c>
      <c r="K3564" s="139">
        <v>19580</v>
      </c>
    </row>
    <row r="3565" spans="1:11">
      <c r="A3565" s="1" t="str">
        <f t="shared" si="55"/>
        <v>15100-47569496-96150038772480</v>
      </c>
      <c r="B3565" s="136" t="s">
        <v>11890</v>
      </c>
      <c r="C3565" s="136" t="s">
        <v>9583</v>
      </c>
      <c r="D3565" s="132" t="s">
        <v>4971</v>
      </c>
      <c r="E3565" s="136" t="s">
        <v>8620</v>
      </c>
      <c r="F3565" s="136" t="s">
        <v>8620</v>
      </c>
      <c r="G3565" s="136" t="s">
        <v>5836</v>
      </c>
      <c r="H3565" s="138" t="s">
        <v>6300</v>
      </c>
      <c r="I3565" s="136">
        <v>961500387</v>
      </c>
      <c r="J3565" s="131" t="s">
        <v>7256</v>
      </c>
      <c r="K3565" s="139">
        <v>72480</v>
      </c>
    </row>
    <row r="3566" spans="1:11">
      <c r="A3566" s="1" t="str">
        <f t="shared" si="55"/>
        <v>15100-47447296-961500399150140</v>
      </c>
      <c r="B3566" s="136" t="s">
        <v>11891</v>
      </c>
      <c r="C3566" s="136" t="s">
        <v>9573</v>
      </c>
      <c r="D3566" s="132" t="s">
        <v>4971</v>
      </c>
      <c r="E3566" s="136" t="s">
        <v>6310</v>
      </c>
      <c r="F3566" s="136" t="s">
        <v>6310</v>
      </c>
      <c r="G3566" s="141" t="s">
        <v>7265</v>
      </c>
      <c r="H3566" s="140" t="s">
        <v>8859</v>
      </c>
      <c r="I3566" s="141">
        <v>961500399</v>
      </c>
      <c r="J3566" s="131" t="s">
        <v>7264</v>
      </c>
      <c r="K3566" s="142">
        <v>150140</v>
      </c>
    </row>
    <row r="3567" spans="1:11">
      <c r="A3567" s="1" t="str">
        <f t="shared" si="55"/>
        <v>15100-47641396-96150046070200</v>
      </c>
      <c r="B3567" s="136" t="s">
        <v>8691</v>
      </c>
      <c r="C3567" s="136" t="s">
        <v>9620</v>
      </c>
      <c r="D3567" s="132" t="s">
        <v>4971</v>
      </c>
      <c r="E3567" s="136" t="s">
        <v>8692</v>
      </c>
      <c r="F3567" s="136" t="s">
        <v>8692</v>
      </c>
      <c r="G3567" s="136" t="s">
        <v>7241</v>
      </c>
      <c r="H3567" s="138" t="s">
        <v>6299</v>
      </c>
      <c r="I3567" s="136">
        <v>961500460</v>
      </c>
      <c r="J3567" s="131" t="s">
        <v>7240</v>
      </c>
      <c r="K3567" s="139">
        <v>70200</v>
      </c>
    </row>
    <row r="3568" spans="1:11">
      <c r="A3568" s="1" t="str">
        <f t="shared" si="55"/>
        <v>15100-47641396-961500200201880</v>
      </c>
      <c r="B3568" s="136" t="s">
        <v>8691</v>
      </c>
      <c r="C3568" s="136" t="s">
        <v>9620</v>
      </c>
      <c r="D3568" s="132" t="s">
        <v>4971</v>
      </c>
      <c r="E3568" s="136" t="s">
        <v>8692</v>
      </c>
      <c r="F3568" s="136" t="s">
        <v>8692</v>
      </c>
      <c r="G3568" s="136" t="s">
        <v>5816</v>
      </c>
      <c r="H3568" s="138" t="s">
        <v>6454</v>
      </c>
      <c r="I3568" s="136">
        <v>961500200</v>
      </c>
      <c r="J3568" s="131" t="s">
        <v>5894</v>
      </c>
      <c r="K3568" s="139">
        <v>201880</v>
      </c>
    </row>
    <row r="3569" spans="1:11">
      <c r="A3569" s="1" t="str">
        <f t="shared" si="55"/>
        <v>15100-47518596-9615002052570</v>
      </c>
      <c r="B3569" s="136" t="s">
        <v>8659</v>
      </c>
      <c r="C3569" s="136" t="s">
        <v>9615</v>
      </c>
      <c r="D3569" s="132" t="s">
        <v>4971</v>
      </c>
      <c r="E3569" s="136" t="s">
        <v>6308</v>
      </c>
      <c r="F3569" s="136" t="s">
        <v>6308</v>
      </c>
      <c r="G3569" s="136" t="s">
        <v>5818</v>
      </c>
      <c r="H3569" s="138" t="s">
        <v>6300</v>
      </c>
      <c r="I3569" s="136">
        <v>961500205</v>
      </c>
      <c r="J3569" s="131" t="s">
        <v>5898</v>
      </c>
      <c r="K3569" s="139">
        <v>2570</v>
      </c>
    </row>
    <row r="3570" spans="1:11">
      <c r="A3570" s="1" t="str">
        <f t="shared" si="55"/>
        <v>15100-47227896-96150033597880</v>
      </c>
      <c r="B3570" s="136" t="s">
        <v>8693</v>
      </c>
      <c r="C3570" s="136" t="s">
        <v>9621</v>
      </c>
      <c r="D3570" s="132" t="s">
        <v>4971</v>
      </c>
      <c r="E3570" s="136" t="s">
        <v>6337</v>
      </c>
      <c r="F3570" s="136" t="s">
        <v>6337</v>
      </c>
      <c r="G3570" s="136" t="s">
        <v>7231</v>
      </c>
      <c r="H3570" s="138" t="s">
        <v>6298</v>
      </c>
      <c r="I3570" s="136">
        <v>961500335</v>
      </c>
      <c r="J3570" s="131" t="s">
        <v>7245</v>
      </c>
      <c r="K3570" s="139">
        <v>97880</v>
      </c>
    </row>
    <row r="3571" spans="1:11">
      <c r="A3571" s="1" t="str">
        <f t="shared" si="55"/>
        <v>15100-47227896-96150041995000</v>
      </c>
      <c r="B3571" s="136" t="s">
        <v>8693</v>
      </c>
      <c r="C3571" s="136" t="s">
        <v>9621</v>
      </c>
      <c r="D3571" s="132" t="s">
        <v>4971</v>
      </c>
      <c r="E3571" s="136" t="s">
        <v>6337</v>
      </c>
      <c r="F3571" s="136" t="s">
        <v>6337</v>
      </c>
      <c r="G3571" s="136" t="s">
        <v>8502</v>
      </c>
      <c r="H3571" s="138" t="s">
        <v>6299</v>
      </c>
      <c r="I3571" s="136">
        <v>961500419</v>
      </c>
      <c r="J3571" s="131" t="s">
        <v>8503</v>
      </c>
      <c r="K3571" s="139">
        <v>95000</v>
      </c>
    </row>
    <row r="3572" spans="1:11">
      <c r="A3572" s="1" t="str">
        <f t="shared" si="55"/>
        <v>15100-47280396-961500322100200</v>
      </c>
      <c r="B3572" s="136" t="s">
        <v>8660</v>
      </c>
      <c r="C3572" s="136" t="s">
        <v>9616</v>
      </c>
      <c r="D3572" s="132" t="s">
        <v>4971</v>
      </c>
      <c r="E3572" s="136" t="s">
        <v>6379</v>
      </c>
      <c r="F3572" s="136" t="s">
        <v>6379</v>
      </c>
      <c r="G3572" s="136" t="s">
        <v>5818</v>
      </c>
      <c r="H3572" s="138" t="s">
        <v>6300</v>
      </c>
      <c r="I3572" s="136">
        <v>961500322</v>
      </c>
      <c r="J3572" s="131" t="s">
        <v>6043</v>
      </c>
      <c r="K3572" s="139">
        <v>100200</v>
      </c>
    </row>
    <row r="3573" spans="1:11">
      <c r="A3573" s="1" t="str">
        <f t="shared" si="55"/>
        <v>15100-47345796-96150027212140</v>
      </c>
      <c r="B3573" s="136" t="s">
        <v>8694</v>
      </c>
      <c r="C3573" s="136" t="s">
        <v>9622</v>
      </c>
      <c r="D3573" s="132" t="s">
        <v>4971</v>
      </c>
      <c r="E3573" s="136" t="s">
        <v>6323</v>
      </c>
      <c r="F3573" s="136" t="s">
        <v>6323</v>
      </c>
      <c r="G3573" s="144" t="s">
        <v>5807</v>
      </c>
      <c r="H3573" s="145" t="s">
        <v>6300</v>
      </c>
      <c r="I3573" s="144">
        <v>961500272</v>
      </c>
      <c r="J3573" s="131" t="s">
        <v>5967</v>
      </c>
      <c r="K3573" s="146">
        <v>12140</v>
      </c>
    </row>
    <row r="3574" spans="1:11">
      <c r="A3574" s="1" t="str">
        <f t="shared" si="55"/>
        <v>15100-47345796-961500413334140</v>
      </c>
      <c r="B3574" s="136" t="s">
        <v>8694</v>
      </c>
      <c r="C3574" s="136" t="s">
        <v>9622</v>
      </c>
      <c r="D3574" s="132" t="s">
        <v>4971</v>
      </c>
      <c r="E3574" s="136" t="s">
        <v>6323</v>
      </c>
      <c r="F3574" s="147" t="s">
        <v>6323</v>
      </c>
      <c r="G3574" s="141" t="s">
        <v>7233</v>
      </c>
      <c r="H3574" s="140" t="s">
        <v>6453</v>
      </c>
      <c r="I3574" s="141">
        <v>961500413</v>
      </c>
      <c r="J3574" s="131" t="s">
        <v>8496</v>
      </c>
      <c r="K3574" s="142">
        <v>334140</v>
      </c>
    </row>
    <row r="3575" spans="1:11">
      <c r="A3575" s="1" t="str">
        <f t="shared" si="55"/>
        <v>15100-47345796-961500276236699</v>
      </c>
      <c r="B3575" s="136" t="s">
        <v>8694</v>
      </c>
      <c r="C3575" s="136" t="s">
        <v>9622</v>
      </c>
      <c r="D3575" s="132" t="s">
        <v>4971</v>
      </c>
      <c r="E3575" s="136" t="s">
        <v>6323</v>
      </c>
      <c r="F3575" s="136" t="s">
        <v>6323</v>
      </c>
      <c r="G3575" s="131" t="s">
        <v>5820</v>
      </c>
      <c r="H3575" s="134" t="s">
        <v>6300</v>
      </c>
      <c r="I3575" s="131">
        <v>961500276</v>
      </c>
      <c r="J3575" s="131" t="s">
        <v>5975</v>
      </c>
      <c r="K3575" s="135">
        <v>236699</v>
      </c>
    </row>
    <row r="3576" spans="1:11">
      <c r="A3576" s="1" t="str">
        <f t="shared" si="55"/>
        <v>15100-47345796-96150016619581</v>
      </c>
      <c r="B3576" s="136" t="s">
        <v>8694</v>
      </c>
      <c r="C3576" s="136" t="s">
        <v>9622</v>
      </c>
      <c r="D3576" s="132" t="s">
        <v>4971</v>
      </c>
      <c r="E3576" s="136" t="s">
        <v>6323</v>
      </c>
      <c r="F3576" s="136" t="s">
        <v>6323</v>
      </c>
      <c r="G3576" s="136" t="s">
        <v>5810</v>
      </c>
      <c r="H3576" s="138" t="s">
        <v>6298</v>
      </c>
      <c r="I3576" s="136">
        <v>961500166</v>
      </c>
      <c r="J3576" s="131" t="s">
        <v>5882</v>
      </c>
      <c r="K3576" s="139">
        <v>19581</v>
      </c>
    </row>
    <row r="3577" spans="1:11">
      <c r="A3577" s="1" t="str">
        <f t="shared" si="55"/>
        <v>15100-47335596-96150030076110</v>
      </c>
      <c r="B3577" s="136" t="s">
        <v>11892</v>
      </c>
      <c r="C3577" s="136" t="s">
        <v>9578</v>
      </c>
      <c r="D3577" s="132" t="s">
        <v>4971</v>
      </c>
      <c r="E3577" s="136" t="s">
        <v>6308</v>
      </c>
      <c r="F3577" s="136" t="s">
        <v>6323</v>
      </c>
      <c r="G3577" s="136" t="s">
        <v>5820</v>
      </c>
      <c r="H3577" s="138" t="s">
        <v>6300</v>
      </c>
      <c r="I3577" s="136">
        <v>961500300</v>
      </c>
      <c r="J3577" s="131" t="s">
        <v>6009</v>
      </c>
      <c r="K3577" s="139">
        <v>76110</v>
      </c>
    </row>
    <row r="3578" spans="1:11">
      <c r="A3578" s="1" t="str">
        <f t="shared" si="55"/>
        <v>15100-46846396-96150032821280</v>
      </c>
      <c r="B3578" s="136" t="s">
        <v>8834</v>
      </c>
      <c r="C3578" s="136" t="s">
        <v>9658</v>
      </c>
      <c r="D3578" s="132" t="s">
        <v>4971</v>
      </c>
      <c r="E3578" s="136" t="s">
        <v>6412</v>
      </c>
      <c r="F3578" s="136" t="s">
        <v>6412</v>
      </c>
      <c r="G3578" s="136" t="s">
        <v>5831</v>
      </c>
      <c r="H3578" s="138" t="s">
        <v>6298</v>
      </c>
      <c r="I3578" s="136">
        <v>961500328</v>
      </c>
      <c r="J3578" s="131" t="s">
        <v>6388</v>
      </c>
      <c r="K3578" s="139">
        <v>21280</v>
      </c>
    </row>
    <row r="3579" spans="1:11">
      <c r="A3579" s="1" t="str">
        <f t="shared" si="55"/>
        <v>15100-47345796-96150032265000</v>
      </c>
      <c r="B3579" s="136" t="s">
        <v>8694</v>
      </c>
      <c r="C3579" s="136" t="s">
        <v>9622</v>
      </c>
      <c r="D3579" s="132" t="s">
        <v>4971</v>
      </c>
      <c r="E3579" s="136" t="s">
        <v>6323</v>
      </c>
      <c r="F3579" s="136" t="s">
        <v>6323</v>
      </c>
      <c r="G3579" s="136" t="s">
        <v>5818</v>
      </c>
      <c r="H3579" s="138" t="s">
        <v>6300</v>
      </c>
      <c r="I3579" s="136">
        <v>961500322</v>
      </c>
      <c r="J3579" s="131" t="s">
        <v>6043</v>
      </c>
      <c r="K3579" s="139">
        <v>65000</v>
      </c>
    </row>
    <row r="3580" spans="1:11">
      <c r="A3580" s="1" t="str">
        <f t="shared" si="55"/>
        <v>15100-47334596-96150032273720</v>
      </c>
      <c r="B3580" s="136" t="s">
        <v>11893</v>
      </c>
      <c r="C3580" s="136" t="s">
        <v>9584</v>
      </c>
      <c r="D3580" s="132" t="s">
        <v>4971</v>
      </c>
      <c r="E3580" s="136" t="s">
        <v>6323</v>
      </c>
      <c r="F3580" s="136" t="s">
        <v>6323</v>
      </c>
      <c r="G3580" s="136" t="s">
        <v>5818</v>
      </c>
      <c r="H3580" s="138" t="s">
        <v>6300</v>
      </c>
      <c r="I3580" s="136">
        <v>961500322</v>
      </c>
      <c r="J3580" s="131" t="s">
        <v>6043</v>
      </c>
      <c r="K3580" s="139">
        <v>73720</v>
      </c>
    </row>
    <row r="3581" spans="1:11">
      <c r="A3581" s="1" t="str">
        <f t="shared" si="55"/>
        <v>15100-47455996-96150017994610</v>
      </c>
      <c r="B3581" s="136" t="s">
        <v>11894</v>
      </c>
      <c r="C3581" s="136" t="s">
        <v>9581</v>
      </c>
      <c r="D3581" s="132" t="s">
        <v>4971</v>
      </c>
      <c r="E3581" s="136" t="s">
        <v>6310</v>
      </c>
      <c r="F3581" s="136" t="s">
        <v>6310</v>
      </c>
      <c r="G3581" s="136" t="s">
        <v>5813</v>
      </c>
      <c r="H3581" s="138" t="s">
        <v>6298</v>
      </c>
      <c r="I3581" s="136">
        <v>961500179</v>
      </c>
      <c r="J3581" s="131" t="s">
        <v>5567</v>
      </c>
      <c r="K3581" s="139">
        <v>94610</v>
      </c>
    </row>
    <row r="3582" spans="1:11">
      <c r="A3582" s="1" t="str">
        <f t="shared" si="55"/>
        <v>15100-47633596-961500193117480</v>
      </c>
      <c r="B3582" s="136" t="s">
        <v>11895</v>
      </c>
      <c r="C3582" s="136" t="s">
        <v>9582</v>
      </c>
      <c r="D3582" s="132" t="s">
        <v>4971</v>
      </c>
      <c r="E3582" s="136" t="s">
        <v>8692</v>
      </c>
      <c r="F3582" s="136" t="s">
        <v>8692</v>
      </c>
      <c r="G3582" s="136" t="s">
        <v>5816</v>
      </c>
      <c r="H3582" s="138" t="s">
        <v>6454</v>
      </c>
      <c r="I3582" s="136">
        <v>961500193</v>
      </c>
      <c r="J3582" s="131" t="s">
        <v>5893</v>
      </c>
      <c r="K3582" s="139">
        <v>117480</v>
      </c>
    </row>
    <row r="3583" spans="1:11">
      <c r="A3583" s="1" t="str">
        <f t="shared" si="55"/>
        <v>15100-46846396-961500368490000</v>
      </c>
      <c r="B3583" s="136" t="s">
        <v>8834</v>
      </c>
      <c r="C3583" s="136" t="s">
        <v>9658</v>
      </c>
      <c r="D3583" s="132" t="s">
        <v>4971</v>
      </c>
      <c r="E3583" s="136" t="s">
        <v>6412</v>
      </c>
      <c r="F3583" s="136" t="s">
        <v>6412</v>
      </c>
      <c r="G3583" s="136" t="s">
        <v>5836</v>
      </c>
      <c r="H3583" s="138" t="s">
        <v>6300</v>
      </c>
      <c r="I3583" s="136">
        <v>961500368</v>
      </c>
      <c r="J3583" s="131" t="s">
        <v>8835</v>
      </c>
      <c r="K3583" s="139">
        <v>490000</v>
      </c>
    </row>
    <row r="3584" spans="1:11">
      <c r="A3584" s="1" t="str">
        <f t="shared" si="55"/>
        <v>15100-47398796-96150042822320</v>
      </c>
      <c r="B3584" s="136" t="s">
        <v>11883</v>
      </c>
      <c r="C3584" s="136" t="s">
        <v>9572</v>
      </c>
      <c r="D3584" s="132" t="s">
        <v>4971</v>
      </c>
      <c r="E3584" s="136" t="s">
        <v>6302</v>
      </c>
      <c r="F3584" s="136" t="s">
        <v>6302</v>
      </c>
      <c r="G3584" s="136" t="s">
        <v>7262</v>
      </c>
      <c r="H3584" s="138" t="s">
        <v>6299</v>
      </c>
      <c r="I3584" s="136">
        <v>961500428</v>
      </c>
      <c r="J3584" s="131" t="s">
        <v>7261</v>
      </c>
      <c r="K3584" s="139">
        <v>22320</v>
      </c>
    </row>
    <row r="3585" spans="1:11">
      <c r="A3585" s="1" t="str">
        <f t="shared" si="55"/>
        <v>15100-47294396-96150040781080</v>
      </c>
      <c r="B3585" s="136" t="s">
        <v>11884</v>
      </c>
      <c r="C3585" s="136" t="s">
        <v>9574</v>
      </c>
      <c r="D3585" s="132" t="s">
        <v>4971</v>
      </c>
      <c r="E3585" s="136" t="s">
        <v>6379</v>
      </c>
      <c r="F3585" s="136" t="s">
        <v>6379</v>
      </c>
      <c r="G3585" s="136" t="s">
        <v>8502</v>
      </c>
      <c r="H3585" s="138" t="s">
        <v>6299</v>
      </c>
      <c r="I3585" s="136">
        <v>961500407</v>
      </c>
      <c r="J3585" s="131" t="s">
        <v>6416</v>
      </c>
      <c r="K3585" s="139">
        <v>81080</v>
      </c>
    </row>
    <row r="3586" spans="1:11">
      <c r="A3586" s="1" t="str">
        <f t="shared" si="55"/>
        <v>15100-47294396-961500418135720</v>
      </c>
      <c r="B3586" s="136" t="s">
        <v>11884</v>
      </c>
      <c r="C3586" s="136" t="s">
        <v>9574</v>
      </c>
      <c r="D3586" s="132" t="s">
        <v>4971</v>
      </c>
      <c r="E3586" s="136" t="s">
        <v>6379</v>
      </c>
      <c r="F3586" s="136" t="s">
        <v>6379</v>
      </c>
      <c r="G3586" s="136" t="s">
        <v>7262</v>
      </c>
      <c r="H3586" s="138" t="s">
        <v>6299</v>
      </c>
      <c r="I3586" s="136">
        <v>961500418</v>
      </c>
      <c r="J3586" s="131" t="s">
        <v>7266</v>
      </c>
      <c r="K3586" s="139">
        <v>135720</v>
      </c>
    </row>
    <row r="3587" spans="1:11">
      <c r="A3587" s="1" t="str">
        <f t="shared" ref="A3587:A3650" si="56">B3587&amp;J3587&amp;K3587</f>
        <v>15100-47294396-961500428111040</v>
      </c>
      <c r="B3587" s="136" t="s">
        <v>11884</v>
      </c>
      <c r="C3587" s="136" t="s">
        <v>9574</v>
      </c>
      <c r="D3587" s="132" t="s">
        <v>4971</v>
      </c>
      <c r="E3587" s="136" t="s">
        <v>6379</v>
      </c>
      <c r="F3587" s="136" t="s">
        <v>6379</v>
      </c>
      <c r="G3587" s="136" t="s">
        <v>7262</v>
      </c>
      <c r="H3587" s="138" t="s">
        <v>6299</v>
      </c>
      <c r="I3587" s="136">
        <v>961500428</v>
      </c>
      <c r="J3587" s="131" t="s">
        <v>7261</v>
      </c>
      <c r="K3587" s="139">
        <v>111040</v>
      </c>
    </row>
    <row r="3588" spans="1:11">
      <c r="A3588" s="1" t="str">
        <f t="shared" si="56"/>
        <v>15100-47180896-961500418114280</v>
      </c>
      <c r="B3588" s="136" t="s">
        <v>11886</v>
      </c>
      <c r="C3588" s="136" t="s">
        <v>9579</v>
      </c>
      <c r="D3588" s="132" t="s">
        <v>4971</v>
      </c>
      <c r="E3588" s="136" t="s">
        <v>6312</v>
      </c>
      <c r="F3588" s="136" t="s">
        <v>6312</v>
      </c>
      <c r="G3588" s="136" t="s">
        <v>7262</v>
      </c>
      <c r="H3588" s="138" t="s">
        <v>6299</v>
      </c>
      <c r="I3588" s="136">
        <v>961500418</v>
      </c>
      <c r="J3588" s="131" t="s">
        <v>7266</v>
      </c>
      <c r="K3588" s="139">
        <v>114280</v>
      </c>
    </row>
    <row r="3589" spans="1:11">
      <c r="A3589" s="1" t="str">
        <f t="shared" si="56"/>
        <v>15100-47641396-96150044421820</v>
      </c>
      <c r="B3589" s="136" t="s">
        <v>8691</v>
      </c>
      <c r="C3589" s="136" t="s">
        <v>9620</v>
      </c>
      <c r="D3589" s="132" t="s">
        <v>4971</v>
      </c>
      <c r="E3589" s="136" t="s">
        <v>8692</v>
      </c>
      <c r="F3589" s="136" t="s">
        <v>8692</v>
      </c>
      <c r="G3589" s="136" t="s">
        <v>7241</v>
      </c>
      <c r="H3589" s="138" t="s">
        <v>6299</v>
      </c>
      <c r="I3589" s="136">
        <v>961500444</v>
      </c>
      <c r="J3589" s="131" t="s">
        <v>7250</v>
      </c>
      <c r="K3589" s="139">
        <v>21820</v>
      </c>
    </row>
    <row r="3590" spans="1:11">
      <c r="A3590" s="1" t="str">
        <f t="shared" si="56"/>
        <v>15100-47447296-961500444188180</v>
      </c>
      <c r="B3590" s="136" t="s">
        <v>11891</v>
      </c>
      <c r="C3590" s="136" t="s">
        <v>9573</v>
      </c>
      <c r="D3590" s="132" t="s">
        <v>4971</v>
      </c>
      <c r="E3590" s="136" t="s">
        <v>6310</v>
      </c>
      <c r="F3590" s="136" t="s">
        <v>6310</v>
      </c>
      <c r="G3590" s="136" t="s">
        <v>7241</v>
      </c>
      <c r="H3590" s="138" t="s">
        <v>6299</v>
      </c>
      <c r="I3590" s="136">
        <v>961500444</v>
      </c>
      <c r="J3590" s="131" t="s">
        <v>7250</v>
      </c>
      <c r="K3590" s="139">
        <v>188180</v>
      </c>
    </row>
    <row r="3591" spans="1:11">
      <c r="A3591" s="1" t="str">
        <f t="shared" si="56"/>
        <v>15100-47518596-96150020650000</v>
      </c>
      <c r="B3591" s="136" t="s">
        <v>8659</v>
      </c>
      <c r="C3591" s="136" t="s">
        <v>9615</v>
      </c>
      <c r="D3591" s="132" t="s">
        <v>4971</v>
      </c>
      <c r="E3591" s="136" t="s">
        <v>6308</v>
      </c>
      <c r="F3591" s="136" t="s">
        <v>6308</v>
      </c>
      <c r="G3591" s="136" t="s">
        <v>5819</v>
      </c>
      <c r="H3591" s="138" t="s">
        <v>6300</v>
      </c>
      <c r="I3591" s="136">
        <v>961500206</v>
      </c>
      <c r="J3591" s="131" t="s">
        <v>5899</v>
      </c>
      <c r="K3591" s="139">
        <v>50000</v>
      </c>
    </row>
    <row r="3592" spans="1:11">
      <c r="A3592" s="1" t="str">
        <f t="shared" si="56"/>
        <v>15100-47345796-961500428116640</v>
      </c>
      <c r="B3592" s="136" t="s">
        <v>8694</v>
      </c>
      <c r="C3592" s="136" t="s">
        <v>9622</v>
      </c>
      <c r="D3592" s="132" t="s">
        <v>4971</v>
      </c>
      <c r="E3592" s="136" t="s">
        <v>6323</v>
      </c>
      <c r="F3592" s="136" t="s">
        <v>6323</v>
      </c>
      <c r="G3592" s="136" t="s">
        <v>7262</v>
      </c>
      <c r="H3592" s="138" t="s">
        <v>6299</v>
      </c>
      <c r="I3592" s="136">
        <v>961500428</v>
      </c>
      <c r="J3592" s="131" t="s">
        <v>7261</v>
      </c>
      <c r="K3592" s="139">
        <v>116640</v>
      </c>
    </row>
    <row r="3593" spans="1:11">
      <c r="A3593" s="1" t="str">
        <f t="shared" si="56"/>
        <v>15100-47455996-961500396208910</v>
      </c>
      <c r="B3593" s="136" t="s">
        <v>11894</v>
      </c>
      <c r="C3593" s="136" t="s">
        <v>9581</v>
      </c>
      <c r="D3593" s="132" t="s">
        <v>4971</v>
      </c>
      <c r="E3593" s="136" t="s">
        <v>6310</v>
      </c>
      <c r="F3593" s="136" t="s">
        <v>6310</v>
      </c>
      <c r="G3593" s="144" t="s">
        <v>7231</v>
      </c>
      <c r="H3593" s="145" t="s">
        <v>6298</v>
      </c>
      <c r="I3593" s="144">
        <v>961500396</v>
      </c>
      <c r="J3593" s="131" t="s">
        <v>6418</v>
      </c>
      <c r="K3593" s="146">
        <v>208910</v>
      </c>
    </row>
    <row r="3594" spans="1:11">
      <c r="A3594" s="1" t="str">
        <f t="shared" si="56"/>
        <v>50100-925537796-9615004271790530</v>
      </c>
      <c r="B3594" s="141" t="s">
        <v>11896</v>
      </c>
      <c r="C3594" s="141" t="s">
        <v>9546</v>
      </c>
      <c r="D3594" s="132" t="s">
        <v>4971</v>
      </c>
      <c r="E3594" s="141" t="s">
        <v>8619</v>
      </c>
      <c r="F3594" s="156" t="s">
        <v>8619</v>
      </c>
      <c r="G3594" s="141" t="s">
        <v>7233</v>
      </c>
      <c r="H3594" s="140" t="s">
        <v>6453</v>
      </c>
      <c r="I3594" s="141">
        <v>961500427</v>
      </c>
      <c r="J3594" s="131" t="s">
        <v>7871</v>
      </c>
      <c r="K3594" s="142">
        <v>1790530</v>
      </c>
    </row>
    <row r="3595" spans="1:11">
      <c r="A3595" s="1" t="str">
        <f t="shared" si="56"/>
        <v>50100-927031896-9641000561743069</v>
      </c>
      <c r="B3595" s="141" t="s">
        <v>11897</v>
      </c>
      <c r="C3595" s="141" t="s">
        <v>9547</v>
      </c>
      <c r="D3595" s="132" t="s">
        <v>4971</v>
      </c>
      <c r="E3595" s="141" t="s">
        <v>8616</v>
      </c>
      <c r="F3595" s="141" t="s">
        <v>8616</v>
      </c>
      <c r="G3595" s="153" t="s">
        <v>7144</v>
      </c>
      <c r="H3595" s="154" t="s">
        <v>6452</v>
      </c>
      <c r="I3595" s="153">
        <v>964100056</v>
      </c>
      <c r="J3595" s="131" t="s">
        <v>8074</v>
      </c>
      <c r="K3595" s="155">
        <v>1743069</v>
      </c>
    </row>
    <row r="3596" spans="1:11">
      <c r="A3596" s="1" t="str">
        <f t="shared" si="56"/>
        <v>50100-924692396-962500045150000</v>
      </c>
      <c r="B3596" s="141" t="s">
        <v>11898</v>
      </c>
      <c r="C3596" s="141" t="s">
        <v>9548</v>
      </c>
      <c r="D3596" s="132" t="s">
        <v>4971</v>
      </c>
      <c r="E3596" s="141" t="s">
        <v>8619</v>
      </c>
      <c r="F3596" s="141" t="s">
        <v>8619</v>
      </c>
      <c r="G3596" s="141" t="s">
        <v>5814</v>
      </c>
      <c r="H3596" s="140" t="s">
        <v>6298</v>
      </c>
      <c r="I3596" s="141">
        <v>962500045</v>
      </c>
      <c r="J3596" s="131" t="s">
        <v>5993</v>
      </c>
      <c r="K3596" s="142">
        <v>150000</v>
      </c>
    </row>
    <row r="3597" spans="1:11">
      <c r="A3597" s="1" t="str">
        <f t="shared" si="56"/>
        <v>50100-924692396-96250004422897</v>
      </c>
      <c r="B3597" s="141" t="s">
        <v>11898</v>
      </c>
      <c r="C3597" s="141" t="s">
        <v>9548</v>
      </c>
      <c r="D3597" s="132" t="s">
        <v>4971</v>
      </c>
      <c r="E3597" s="141" t="s">
        <v>8619</v>
      </c>
      <c r="F3597" s="141" t="s">
        <v>8619</v>
      </c>
      <c r="G3597" s="141" t="s">
        <v>5814</v>
      </c>
      <c r="H3597" s="140" t="s">
        <v>6298</v>
      </c>
      <c r="I3597" s="141">
        <v>962500044</v>
      </c>
      <c r="J3597" s="131" t="s">
        <v>5982</v>
      </c>
      <c r="K3597" s="142">
        <v>22897</v>
      </c>
    </row>
    <row r="3598" spans="1:11">
      <c r="A3598" s="1" t="str">
        <f t="shared" si="56"/>
        <v>50100-929880096-964100060999107</v>
      </c>
      <c r="B3598" s="141" t="s">
        <v>11899</v>
      </c>
      <c r="C3598" s="141" t="s">
        <v>9549</v>
      </c>
      <c r="D3598" s="132" t="s">
        <v>4971</v>
      </c>
      <c r="E3598" s="141" t="s">
        <v>8636</v>
      </c>
      <c r="F3598" s="141" t="s">
        <v>8636</v>
      </c>
      <c r="G3598" s="141" t="s">
        <v>6348</v>
      </c>
      <c r="H3598" s="140" t="s">
        <v>6348</v>
      </c>
      <c r="I3598" s="141">
        <v>964100060</v>
      </c>
      <c r="J3598" s="131" t="s">
        <v>7143</v>
      </c>
      <c r="K3598" s="142">
        <v>999107</v>
      </c>
    </row>
    <row r="3599" spans="1:11">
      <c r="A3599" s="1" t="str">
        <f t="shared" si="56"/>
        <v>50100-930873996-962500113296544</v>
      </c>
      <c r="B3599" s="141" t="s">
        <v>11900</v>
      </c>
      <c r="C3599" s="141" t="s">
        <v>9550</v>
      </c>
      <c r="D3599" s="132" t="s">
        <v>4971</v>
      </c>
      <c r="E3599" s="141" t="s">
        <v>8837</v>
      </c>
      <c r="F3599" s="141" t="s">
        <v>8837</v>
      </c>
      <c r="G3599" s="141" t="s">
        <v>6348</v>
      </c>
      <c r="H3599" s="140" t="s">
        <v>6348</v>
      </c>
      <c r="I3599" s="141">
        <v>962500113</v>
      </c>
      <c r="J3599" s="131" t="s">
        <v>8121</v>
      </c>
      <c r="K3599" s="142">
        <v>296544</v>
      </c>
    </row>
    <row r="3600" spans="1:11">
      <c r="A3600" s="1" t="str">
        <f t="shared" si="56"/>
        <v>50100-924692396-962500046151783</v>
      </c>
      <c r="B3600" s="141" t="s">
        <v>11898</v>
      </c>
      <c r="C3600" s="141" t="s">
        <v>9548</v>
      </c>
      <c r="D3600" s="132" t="s">
        <v>4971</v>
      </c>
      <c r="E3600" s="141" t="s">
        <v>8619</v>
      </c>
      <c r="F3600" s="141" t="s">
        <v>8619</v>
      </c>
      <c r="G3600" s="141" t="s">
        <v>5814</v>
      </c>
      <c r="H3600" s="140" t="s">
        <v>6298</v>
      </c>
      <c r="I3600" s="141">
        <v>962500046</v>
      </c>
      <c r="J3600" s="131" t="s">
        <v>5999</v>
      </c>
      <c r="K3600" s="142">
        <v>151783</v>
      </c>
    </row>
    <row r="3601" spans="1:11">
      <c r="A3601" s="1" t="str">
        <f t="shared" si="56"/>
        <v>50100-925230896-962500032188984</v>
      </c>
      <c r="B3601" s="141" t="s">
        <v>11901</v>
      </c>
      <c r="C3601" s="141" t="s">
        <v>9551</v>
      </c>
      <c r="D3601" s="132" t="s">
        <v>4971</v>
      </c>
      <c r="E3601" s="141" t="s">
        <v>8619</v>
      </c>
      <c r="F3601" s="141" t="s">
        <v>8619</v>
      </c>
      <c r="G3601" s="141" t="s">
        <v>5815</v>
      </c>
      <c r="H3601" s="140" t="s">
        <v>6298</v>
      </c>
      <c r="I3601" s="141">
        <v>962500032</v>
      </c>
      <c r="J3601" s="131" t="s">
        <v>5895</v>
      </c>
      <c r="K3601" s="142">
        <v>188984</v>
      </c>
    </row>
    <row r="3602" spans="1:11">
      <c r="A3602" s="1" t="str">
        <f t="shared" si="56"/>
        <v>50100-927732496-961500269125000</v>
      </c>
      <c r="B3602" s="141" t="s">
        <v>11902</v>
      </c>
      <c r="C3602" s="141" t="s">
        <v>9552</v>
      </c>
      <c r="D3602" s="132" t="s">
        <v>4971</v>
      </c>
      <c r="E3602" s="141" t="s">
        <v>8623</v>
      </c>
      <c r="F3602" s="141" t="s">
        <v>8623</v>
      </c>
      <c r="G3602" s="141" t="s">
        <v>5831</v>
      </c>
      <c r="H3602" s="140" t="s">
        <v>6298</v>
      </c>
      <c r="I3602" s="141">
        <v>961500269</v>
      </c>
      <c r="J3602" s="131" t="s">
        <v>5962</v>
      </c>
      <c r="K3602" s="142">
        <v>125000</v>
      </c>
    </row>
    <row r="3603" spans="1:11">
      <c r="A3603" s="1" t="str">
        <f t="shared" si="56"/>
        <v>50100-927732496-96250007489040</v>
      </c>
      <c r="B3603" s="141" t="s">
        <v>11902</v>
      </c>
      <c r="C3603" s="141" t="s">
        <v>9552</v>
      </c>
      <c r="D3603" s="132" t="s">
        <v>4971</v>
      </c>
      <c r="E3603" s="141" t="s">
        <v>8623</v>
      </c>
      <c r="F3603" s="141" t="s">
        <v>8623</v>
      </c>
      <c r="G3603" s="141" t="s">
        <v>7231</v>
      </c>
      <c r="H3603" s="140" t="s">
        <v>6298</v>
      </c>
      <c r="I3603" s="141">
        <v>962500074</v>
      </c>
      <c r="J3603" s="131" t="s">
        <v>6357</v>
      </c>
      <c r="K3603" s="142">
        <v>89040</v>
      </c>
    </row>
    <row r="3604" spans="1:11">
      <c r="A3604" s="1" t="str">
        <f t="shared" si="56"/>
        <v>50100-927732496-96250003279336</v>
      </c>
      <c r="B3604" s="141" t="s">
        <v>11902</v>
      </c>
      <c r="C3604" s="141" t="s">
        <v>9552</v>
      </c>
      <c r="D3604" s="132" t="s">
        <v>4971</v>
      </c>
      <c r="E3604" s="141" t="s">
        <v>8623</v>
      </c>
      <c r="F3604" s="141" t="s">
        <v>8623</v>
      </c>
      <c r="G3604" s="141" t="s">
        <v>5815</v>
      </c>
      <c r="H3604" s="140" t="s">
        <v>6298</v>
      </c>
      <c r="I3604" s="141">
        <v>962500032</v>
      </c>
      <c r="J3604" s="131" t="s">
        <v>5895</v>
      </c>
      <c r="K3604" s="142">
        <v>79336</v>
      </c>
    </row>
    <row r="3605" spans="1:11">
      <c r="A3605" s="1" t="str">
        <f t="shared" si="56"/>
        <v>50100-927732496-961500420136708</v>
      </c>
      <c r="B3605" s="141" t="s">
        <v>11902</v>
      </c>
      <c r="C3605" s="141" t="s">
        <v>9552</v>
      </c>
      <c r="D3605" s="132" t="s">
        <v>4971</v>
      </c>
      <c r="E3605" s="141" t="s">
        <v>8623</v>
      </c>
      <c r="F3605" s="141" t="s">
        <v>8623</v>
      </c>
      <c r="G3605" s="141" t="s">
        <v>7237</v>
      </c>
      <c r="H3605" s="140" t="s">
        <v>6300</v>
      </c>
      <c r="I3605" s="141">
        <v>961500420</v>
      </c>
      <c r="J3605" s="131" t="s">
        <v>6350</v>
      </c>
      <c r="K3605" s="142">
        <v>136708</v>
      </c>
    </row>
    <row r="3606" spans="1:11">
      <c r="A3606" s="1" t="str">
        <f t="shared" si="56"/>
        <v>50100-928523696-961500433360000</v>
      </c>
      <c r="B3606" s="141" t="s">
        <v>11903</v>
      </c>
      <c r="C3606" s="141" t="s">
        <v>9553</v>
      </c>
      <c r="D3606" s="132" t="s">
        <v>4971</v>
      </c>
      <c r="E3606" s="141" t="s">
        <v>8627</v>
      </c>
      <c r="F3606" s="141" t="s">
        <v>8627</v>
      </c>
      <c r="G3606" s="141" t="s">
        <v>5841</v>
      </c>
      <c r="H3606" s="138" t="s">
        <v>6452</v>
      </c>
      <c r="I3606" s="141">
        <v>961500433</v>
      </c>
      <c r="J3606" s="131" t="s">
        <v>7279</v>
      </c>
      <c r="K3606" s="142">
        <v>360000</v>
      </c>
    </row>
    <row r="3607" spans="1:11">
      <c r="A3607" s="1" t="str">
        <f t="shared" si="56"/>
        <v>50100-928523696-962500060138688</v>
      </c>
      <c r="B3607" s="141" t="s">
        <v>11903</v>
      </c>
      <c r="C3607" s="141" t="s">
        <v>9553</v>
      </c>
      <c r="D3607" s="132" t="s">
        <v>4971</v>
      </c>
      <c r="E3607" s="141" t="s">
        <v>8627</v>
      </c>
      <c r="F3607" s="141" t="s">
        <v>8627</v>
      </c>
      <c r="G3607" s="141" t="s">
        <v>5814</v>
      </c>
      <c r="H3607" s="140" t="s">
        <v>6298</v>
      </c>
      <c r="I3607" s="141">
        <v>962500060</v>
      </c>
      <c r="J3607" s="131" t="s">
        <v>6039</v>
      </c>
      <c r="K3607" s="142">
        <v>138688</v>
      </c>
    </row>
    <row r="3608" spans="1:11">
      <c r="A3608" s="1" t="str">
        <f t="shared" si="56"/>
        <v>50100-925360996-962500054300000</v>
      </c>
      <c r="B3608" s="141" t="s">
        <v>11904</v>
      </c>
      <c r="C3608" s="141" t="s">
        <v>9554</v>
      </c>
      <c r="D3608" s="132" t="s">
        <v>4971</v>
      </c>
      <c r="E3608" s="141" t="s">
        <v>8619</v>
      </c>
      <c r="F3608" s="141" t="s">
        <v>8619</v>
      </c>
      <c r="G3608" s="141" t="s">
        <v>5814</v>
      </c>
      <c r="H3608" s="140" t="s">
        <v>6298</v>
      </c>
      <c r="I3608" s="141">
        <v>962500054</v>
      </c>
      <c r="J3608" s="131" t="s">
        <v>6030</v>
      </c>
      <c r="K3608" s="142">
        <v>300000</v>
      </c>
    </row>
    <row r="3609" spans="1:11">
      <c r="A3609" s="1" t="str">
        <f t="shared" si="56"/>
        <v>50100-925360996-962500050199977</v>
      </c>
      <c r="B3609" s="141" t="s">
        <v>11904</v>
      </c>
      <c r="C3609" s="141" t="s">
        <v>9554</v>
      </c>
      <c r="D3609" s="132" t="s">
        <v>4971</v>
      </c>
      <c r="E3609" s="141" t="s">
        <v>8619</v>
      </c>
      <c r="F3609" s="141" t="s">
        <v>8619</v>
      </c>
      <c r="G3609" s="141" t="s">
        <v>5814</v>
      </c>
      <c r="H3609" s="140" t="s">
        <v>6298</v>
      </c>
      <c r="I3609" s="141">
        <v>962500050</v>
      </c>
      <c r="J3609" s="131" t="s">
        <v>6007</v>
      </c>
      <c r="K3609" s="142">
        <v>199977</v>
      </c>
    </row>
    <row r="3610" spans="1:11">
      <c r="A3610" s="1" t="str">
        <f t="shared" si="56"/>
        <v>50100-928569796-964100059977778</v>
      </c>
      <c r="B3610" s="141" t="s">
        <v>11905</v>
      </c>
      <c r="C3610" s="141" t="s">
        <v>9555</v>
      </c>
      <c r="D3610" s="132" t="s">
        <v>4971</v>
      </c>
      <c r="E3610" s="141" t="s">
        <v>8627</v>
      </c>
      <c r="F3610" s="141" t="s">
        <v>8627</v>
      </c>
      <c r="G3610" s="141" t="s">
        <v>7138</v>
      </c>
      <c r="H3610" s="140" t="s">
        <v>6452</v>
      </c>
      <c r="I3610" s="141">
        <v>964100059</v>
      </c>
      <c r="J3610" s="131" t="s">
        <v>8536</v>
      </c>
      <c r="K3610" s="142">
        <v>977778</v>
      </c>
    </row>
    <row r="3611" spans="1:11">
      <c r="A3611" s="1" t="str">
        <f t="shared" si="56"/>
        <v>50100-925230896-961500404700000</v>
      </c>
      <c r="B3611" s="141" t="s">
        <v>11901</v>
      </c>
      <c r="C3611" s="141" t="s">
        <v>9551</v>
      </c>
      <c r="D3611" s="132" t="s">
        <v>4971</v>
      </c>
      <c r="E3611" s="141" t="s">
        <v>8619</v>
      </c>
      <c r="F3611" s="141" t="s">
        <v>8619</v>
      </c>
      <c r="G3611" s="141" t="s">
        <v>5836</v>
      </c>
      <c r="H3611" s="140" t="s">
        <v>6300</v>
      </c>
      <c r="I3611" s="141">
        <v>961500404</v>
      </c>
      <c r="J3611" s="131" t="s">
        <v>8427</v>
      </c>
      <c r="K3611" s="142">
        <v>700000</v>
      </c>
    </row>
    <row r="3612" spans="1:11">
      <c r="A3612" s="1" t="str">
        <f t="shared" si="56"/>
        <v>50100-925360996-962500053300000</v>
      </c>
      <c r="B3612" s="141" t="s">
        <v>11904</v>
      </c>
      <c r="C3612" s="141" t="s">
        <v>9554</v>
      </c>
      <c r="D3612" s="132" t="s">
        <v>4971</v>
      </c>
      <c r="E3612" s="141" t="s">
        <v>8619</v>
      </c>
      <c r="F3612" s="141" t="s">
        <v>8619</v>
      </c>
      <c r="G3612" s="141" t="s">
        <v>5814</v>
      </c>
      <c r="H3612" s="140" t="s">
        <v>6298</v>
      </c>
      <c r="I3612" s="141">
        <v>962500053</v>
      </c>
      <c r="J3612" s="131" t="s">
        <v>6027</v>
      </c>
      <c r="K3612" s="142">
        <v>300000</v>
      </c>
    </row>
    <row r="3613" spans="1:11">
      <c r="A3613" s="1" t="str">
        <f t="shared" si="56"/>
        <v>50100-927948196-9641000582988339</v>
      </c>
      <c r="B3613" s="141" t="s">
        <v>11906</v>
      </c>
      <c r="C3613" s="141" t="s">
        <v>9556</v>
      </c>
      <c r="D3613" s="132" t="s">
        <v>4971</v>
      </c>
      <c r="E3613" s="141" t="s">
        <v>8629</v>
      </c>
      <c r="F3613" s="141" t="s">
        <v>8629</v>
      </c>
      <c r="G3613" s="141" t="s">
        <v>6348</v>
      </c>
      <c r="H3613" s="140" t="s">
        <v>6348</v>
      </c>
      <c r="I3613" s="141">
        <v>964100058</v>
      </c>
      <c r="J3613" s="131" t="s">
        <v>7123</v>
      </c>
      <c r="K3613" s="142">
        <v>2988339</v>
      </c>
    </row>
    <row r="3614" spans="1:11">
      <c r="A3614" s="1" t="str">
        <f t="shared" si="56"/>
        <v>50100-925185996-964100055999115</v>
      </c>
      <c r="B3614" s="141" t="s">
        <v>11907</v>
      </c>
      <c r="C3614" s="141" t="s">
        <v>9557</v>
      </c>
      <c r="D3614" s="132" t="s">
        <v>4971</v>
      </c>
      <c r="E3614" s="141" t="s">
        <v>8619</v>
      </c>
      <c r="F3614" s="141" t="s">
        <v>8619</v>
      </c>
      <c r="G3614" s="141" t="s">
        <v>7144</v>
      </c>
      <c r="H3614" s="140" t="s">
        <v>6452</v>
      </c>
      <c r="I3614" s="141">
        <v>964100055</v>
      </c>
      <c r="J3614" s="131" t="s">
        <v>8073</v>
      </c>
      <c r="K3614" s="142">
        <v>999115</v>
      </c>
    </row>
    <row r="3615" spans="1:11">
      <c r="A3615" s="1" t="str">
        <f t="shared" si="56"/>
        <v>50100-925360996-962500061150000</v>
      </c>
      <c r="B3615" s="141" t="s">
        <v>11904</v>
      </c>
      <c r="C3615" s="141" t="s">
        <v>9554</v>
      </c>
      <c r="D3615" s="132" t="s">
        <v>4971</v>
      </c>
      <c r="E3615" s="141" t="s">
        <v>8619</v>
      </c>
      <c r="F3615" s="141" t="s">
        <v>8619</v>
      </c>
      <c r="G3615" s="141" t="s">
        <v>5814</v>
      </c>
      <c r="H3615" s="140" t="s">
        <v>6298</v>
      </c>
      <c r="I3615" s="141">
        <v>962500061</v>
      </c>
      <c r="J3615" s="131" t="s">
        <v>6040</v>
      </c>
      <c r="K3615" s="142">
        <v>150000</v>
      </c>
    </row>
    <row r="3616" spans="1:11">
      <c r="A3616" s="1" t="str">
        <f t="shared" si="56"/>
        <v>50100-927732496-961500312579276</v>
      </c>
      <c r="B3616" s="141" t="s">
        <v>11902</v>
      </c>
      <c r="C3616" s="141" t="s">
        <v>9552</v>
      </c>
      <c r="D3616" s="132" t="s">
        <v>4971</v>
      </c>
      <c r="E3616" s="141" t="s">
        <v>8623</v>
      </c>
      <c r="F3616" s="141" t="s">
        <v>8623</v>
      </c>
      <c r="G3616" s="141" t="s">
        <v>5826</v>
      </c>
      <c r="H3616" s="140" t="s">
        <v>6298</v>
      </c>
      <c r="I3616" s="141">
        <v>961500312</v>
      </c>
      <c r="J3616" s="131" t="s">
        <v>6020</v>
      </c>
      <c r="K3616" s="142">
        <v>579276</v>
      </c>
    </row>
    <row r="3617" spans="1:11">
      <c r="A3617" s="1" t="str">
        <f t="shared" si="56"/>
        <v>50100-925360996-96250006040573</v>
      </c>
      <c r="B3617" s="141" t="s">
        <v>11904</v>
      </c>
      <c r="C3617" s="141" t="s">
        <v>9554</v>
      </c>
      <c r="D3617" s="132" t="s">
        <v>4971</v>
      </c>
      <c r="E3617" s="141" t="s">
        <v>8619</v>
      </c>
      <c r="F3617" s="141" t="s">
        <v>8619</v>
      </c>
      <c r="G3617" s="141" t="s">
        <v>5814</v>
      </c>
      <c r="H3617" s="140" t="s">
        <v>6298</v>
      </c>
      <c r="I3617" s="141">
        <v>962500060</v>
      </c>
      <c r="J3617" s="131" t="s">
        <v>6039</v>
      </c>
      <c r="K3617" s="142">
        <v>40573</v>
      </c>
    </row>
    <row r="3618" spans="1:11">
      <c r="A3618" s="1" t="str">
        <f t="shared" si="56"/>
        <v>50100-925230896-962500031101016</v>
      </c>
      <c r="B3618" s="141" t="s">
        <v>11901</v>
      </c>
      <c r="C3618" s="141" t="s">
        <v>9551</v>
      </c>
      <c r="D3618" s="132" t="s">
        <v>4971</v>
      </c>
      <c r="E3618" s="141" t="s">
        <v>8619</v>
      </c>
      <c r="F3618" s="141" t="s">
        <v>8619</v>
      </c>
      <c r="G3618" s="141" t="s">
        <v>5810</v>
      </c>
      <c r="H3618" s="140" t="s">
        <v>6298</v>
      </c>
      <c r="I3618" s="141">
        <v>962500031</v>
      </c>
      <c r="J3618" s="131" t="s">
        <v>5886</v>
      </c>
      <c r="K3618" s="142">
        <v>101016</v>
      </c>
    </row>
    <row r="3619" spans="1:11">
      <c r="A3619" s="1" t="str">
        <f t="shared" si="56"/>
        <v>50100-924692396-962500049180000</v>
      </c>
      <c r="B3619" s="141" t="s">
        <v>11898</v>
      </c>
      <c r="C3619" s="141" t="s">
        <v>9548</v>
      </c>
      <c r="D3619" s="132" t="s">
        <v>4971</v>
      </c>
      <c r="E3619" s="141" t="s">
        <v>8619</v>
      </c>
      <c r="F3619" s="141" t="s">
        <v>8619</v>
      </c>
      <c r="G3619" s="157" t="s">
        <v>5814</v>
      </c>
      <c r="H3619" s="158" t="s">
        <v>6298</v>
      </c>
      <c r="I3619" s="157">
        <v>962500049</v>
      </c>
      <c r="J3619" s="131" t="s">
        <v>6006</v>
      </c>
      <c r="K3619" s="159">
        <v>180000</v>
      </c>
    </row>
    <row r="3620" spans="1:11">
      <c r="A3620" s="1" t="str">
        <f t="shared" si="56"/>
        <v>50100-929412696-961500362804705</v>
      </c>
      <c r="B3620" s="141" t="s">
        <v>11908</v>
      </c>
      <c r="C3620" s="141" t="s">
        <v>9558</v>
      </c>
      <c r="D3620" s="132" t="s">
        <v>4971</v>
      </c>
      <c r="E3620" s="141" t="s">
        <v>8618</v>
      </c>
      <c r="F3620" s="156" t="s">
        <v>8618</v>
      </c>
      <c r="G3620" s="141" t="s">
        <v>7233</v>
      </c>
      <c r="H3620" s="140" t="s">
        <v>6453</v>
      </c>
      <c r="I3620" s="141">
        <v>961500362</v>
      </c>
      <c r="J3620" s="131" t="s">
        <v>7254</v>
      </c>
      <c r="K3620" s="142">
        <v>804705</v>
      </c>
    </row>
    <row r="3621" spans="1:11">
      <c r="A3621" s="1" t="str">
        <f t="shared" si="56"/>
        <v>50100-929412696-961500356544675</v>
      </c>
      <c r="B3621" s="141" t="s">
        <v>11908</v>
      </c>
      <c r="C3621" s="141" t="s">
        <v>9558</v>
      </c>
      <c r="D3621" s="132" t="s">
        <v>4971</v>
      </c>
      <c r="E3621" s="141" t="s">
        <v>8618</v>
      </c>
      <c r="F3621" s="156" t="s">
        <v>8618</v>
      </c>
      <c r="G3621" s="141" t="s">
        <v>7233</v>
      </c>
      <c r="H3621" s="140" t="s">
        <v>6453</v>
      </c>
      <c r="I3621" s="141">
        <v>961500356</v>
      </c>
      <c r="J3621" s="131" t="s">
        <v>6321</v>
      </c>
      <c r="K3621" s="142">
        <v>544675</v>
      </c>
    </row>
    <row r="3622" spans="1:11">
      <c r="A3622" s="1" t="str">
        <f t="shared" si="56"/>
        <v>50100-925900796-96250009725143</v>
      </c>
      <c r="B3622" s="141" t="s">
        <v>11909</v>
      </c>
      <c r="C3622" s="141" t="s">
        <v>9559</v>
      </c>
      <c r="D3622" s="132" t="s">
        <v>4971</v>
      </c>
      <c r="E3622" s="141" t="s">
        <v>8631</v>
      </c>
      <c r="F3622" s="141" t="s">
        <v>8631</v>
      </c>
      <c r="G3622" s="153" t="s">
        <v>7603</v>
      </c>
      <c r="H3622" s="154" t="s">
        <v>6454</v>
      </c>
      <c r="I3622" s="153">
        <v>962500097</v>
      </c>
      <c r="J3622" s="131" t="s">
        <v>6324</v>
      </c>
      <c r="K3622" s="155">
        <v>25143</v>
      </c>
    </row>
    <row r="3623" spans="1:11">
      <c r="A3623" s="1" t="str">
        <f t="shared" si="56"/>
        <v>50100-925900796-962500099467037</v>
      </c>
      <c r="B3623" s="141" t="s">
        <v>11909</v>
      </c>
      <c r="C3623" s="141" t="s">
        <v>9559</v>
      </c>
      <c r="D3623" s="132" t="s">
        <v>4971</v>
      </c>
      <c r="E3623" s="141" t="s">
        <v>8631</v>
      </c>
      <c r="F3623" s="141" t="s">
        <v>8631</v>
      </c>
      <c r="G3623" s="141" t="s">
        <v>7603</v>
      </c>
      <c r="H3623" s="140" t="s">
        <v>6454</v>
      </c>
      <c r="I3623" s="141">
        <v>962500099</v>
      </c>
      <c r="J3623" s="131" t="s">
        <v>7602</v>
      </c>
      <c r="K3623" s="142">
        <v>467037</v>
      </c>
    </row>
    <row r="3624" spans="1:11">
      <c r="A3624" s="1" t="str">
        <f t="shared" si="56"/>
        <v>50100-927058996-96150035819701</v>
      </c>
      <c r="B3624" s="141" t="s">
        <v>11910</v>
      </c>
      <c r="C3624" s="141" t="s">
        <v>9560</v>
      </c>
      <c r="D3624" s="132" t="s">
        <v>4971</v>
      </c>
      <c r="E3624" s="141" t="s">
        <v>8616</v>
      </c>
      <c r="F3624" s="141" t="s">
        <v>8616</v>
      </c>
      <c r="G3624" s="141" t="s">
        <v>5836</v>
      </c>
      <c r="H3624" s="140" t="s">
        <v>6300</v>
      </c>
      <c r="I3624" s="141">
        <v>961500358</v>
      </c>
      <c r="J3624" s="131" t="s">
        <v>6335</v>
      </c>
      <c r="K3624" s="142">
        <v>19701</v>
      </c>
    </row>
    <row r="3625" spans="1:11">
      <c r="A3625" s="1" t="str">
        <f t="shared" si="56"/>
        <v>50100-929271496-9625000701099</v>
      </c>
      <c r="B3625" s="141" t="s">
        <v>11911</v>
      </c>
      <c r="C3625" s="141" t="s">
        <v>9561</v>
      </c>
      <c r="D3625" s="132" t="s">
        <v>4971</v>
      </c>
      <c r="E3625" s="141" t="s">
        <v>8618</v>
      </c>
      <c r="F3625" s="141" t="s">
        <v>8618</v>
      </c>
      <c r="G3625" s="141" t="s">
        <v>5842</v>
      </c>
      <c r="H3625" s="140" t="s">
        <v>6300</v>
      </c>
      <c r="I3625" s="141">
        <v>962500070</v>
      </c>
      <c r="J3625" s="131" t="s">
        <v>6267</v>
      </c>
      <c r="K3625" s="142">
        <v>1099</v>
      </c>
    </row>
    <row r="3626" spans="1:11">
      <c r="A3626" s="1" t="str">
        <f t="shared" si="56"/>
        <v>50100-929271496-96150011110000</v>
      </c>
      <c r="B3626" s="141" t="s">
        <v>11911</v>
      </c>
      <c r="C3626" s="141" t="s">
        <v>9561</v>
      </c>
      <c r="D3626" s="132" t="s">
        <v>4971</v>
      </c>
      <c r="E3626" s="141" t="s">
        <v>8618</v>
      </c>
      <c r="F3626" s="141" t="s">
        <v>8618</v>
      </c>
      <c r="G3626" s="141" t="s">
        <v>5803</v>
      </c>
      <c r="H3626" s="140" t="s">
        <v>6300</v>
      </c>
      <c r="I3626" s="141">
        <v>961500111</v>
      </c>
      <c r="J3626" s="131" t="s">
        <v>5191</v>
      </c>
      <c r="K3626" s="142">
        <v>10000</v>
      </c>
    </row>
    <row r="3627" spans="1:11">
      <c r="A3627" s="1" t="str">
        <f t="shared" si="56"/>
        <v>50100-929271496-96250008852526</v>
      </c>
      <c r="B3627" s="141" t="s">
        <v>11911</v>
      </c>
      <c r="C3627" s="141" t="s">
        <v>9561</v>
      </c>
      <c r="D3627" s="132" t="s">
        <v>4971</v>
      </c>
      <c r="E3627" s="141" t="s">
        <v>8618</v>
      </c>
      <c r="F3627" s="141" t="s">
        <v>8618</v>
      </c>
      <c r="G3627" s="141" t="s">
        <v>5842</v>
      </c>
      <c r="H3627" s="140" t="s">
        <v>6300</v>
      </c>
      <c r="I3627" s="141">
        <v>962500088</v>
      </c>
      <c r="J3627" s="131" t="s">
        <v>6331</v>
      </c>
      <c r="K3627" s="142">
        <v>52526</v>
      </c>
    </row>
    <row r="3628" spans="1:11">
      <c r="A3628" s="1" t="str">
        <f t="shared" si="56"/>
        <v>50100-925316696-961500284284320</v>
      </c>
      <c r="B3628" s="141" t="s">
        <v>11912</v>
      </c>
      <c r="C3628" s="141" t="s">
        <v>9562</v>
      </c>
      <c r="D3628" s="132" t="s">
        <v>4971</v>
      </c>
      <c r="E3628" s="141" t="s">
        <v>8619</v>
      </c>
      <c r="F3628" s="141" t="s">
        <v>8619</v>
      </c>
      <c r="G3628" s="141" t="s">
        <v>5826</v>
      </c>
      <c r="H3628" s="140" t="s">
        <v>6298</v>
      </c>
      <c r="I3628" s="141">
        <v>961500284</v>
      </c>
      <c r="J3628" s="131" t="s">
        <v>5986</v>
      </c>
      <c r="K3628" s="142">
        <v>284320</v>
      </c>
    </row>
    <row r="3629" spans="1:11">
      <c r="A3629" s="1" t="str">
        <f t="shared" si="56"/>
        <v>50100-925913696-962500099492180</v>
      </c>
      <c r="B3629" s="141" t="s">
        <v>11913</v>
      </c>
      <c r="C3629" s="141" t="s">
        <v>9563</v>
      </c>
      <c r="D3629" s="132" t="s">
        <v>4971</v>
      </c>
      <c r="E3629" s="141" t="s">
        <v>8631</v>
      </c>
      <c r="F3629" s="141" t="s">
        <v>8631</v>
      </c>
      <c r="G3629" s="141" t="s">
        <v>7603</v>
      </c>
      <c r="H3629" s="140" t="s">
        <v>6454</v>
      </c>
      <c r="I3629" s="141">
        <v>962500099</v>
      </c>
      <c r="J3629" s="131" t="s">
        <v>7602</v>
      </c>
      <c r="K3629" s="142">
        <v>492180</v>
      </c>
    </row>
    <row r="3630" spans="1:11">
      <c r="A3630" s="1" t="str">
        <f t="shared" si="56"/>
        <v>50100-926024296-962500106324413</v>
      </c>
      <c r="B3630" s="141" t="s">
        <v>11914</v>
      </c>
      <c r="C3630" s="141" t="s">
        <v>9564</v>
      </c>
      <c r="D3630" s="132" t="s">
        <v>4971</v>
      </c>
      <c r="E3630" s="141" t="s">
        <v>8631</v>
      </c>
      <c r="F3630" s="141" t="s">
        <v>8631</v>
      </c>
      <c r="G3630" s="141" t="s">
        <v>5854</v>
      </c>
      <c r="H3630" s="140" t="s">
        <v>8859</v>
      </c>
      <c r="I3630" s="141">
        <v>962500106</v>
      </c>
      <c r="J3630" s="131" t="s">
        <v>8234</v>
      </c>
      <c r="K3630" s="142">
        <v>324413</v>
      </c>
    </row>
    <row r="3631" spans="1:11">
      <c r="A3631" s="1" t="str">
        <f t="shared" si="56"/>
        <v>50100-925499596-962500104500458</v>
      </c>
      <c r="B3631" s="141" t="s">
        <v>11915</v>
      </c>
      <c r="C3631" s="141" t="s">
        <v>9565</v>
      </c>
      <c r="D3631" s="132" t="s">
        <v>4971</v>
      </c>
      <c r="E3631" s="141" t="s">
        <v>8619</v>
      </c>
      <c r="F3631" s="141" t="s">
        <v>8619</v>
      </c>
      <c r="G3631" s="141" t="s">
        <v>5824</v>
      </c>
      <c r="H3631" s="140" t="s">
        <v>10183</v>
      </c>
      <c r="I3631" s="141">
        <v>962500104</v>
      </c>
      <c r="J3631" s="131" t="s">
        <v>7599</v>
      </c>
      <c r="K3631" s="142">
        <v>500458</v>
      </c>
    </row>
    <row r="3632" spans="1:11">
      <c r="A3632" s="1" t="str">
        <f t="shared" si="56"/>
        <v>50100-926052496-961500466991100</v>
      </c>
      <c r="B3632" s="141" t="s">
        <v>11916</v>
      </c>
      <c r="C3632" s="141" t="s">
        <v>9566</v>
      </c>
      <c r="D3632" s="132" t="s">
        <v>4971</v>
      </c>
      <c r="E3632" s="141" t="s">
        <v>8631</v>
      </c>
      <c r="F3632" s="141" t="s">
        <v>8631</v>
      </c>
      <c r="G3632" s="141" t="s">
        <v>5836</v>
      </c>
      <c r="H3632" s="140" t="s">
        <v>6300</v>
      </c>
      <c r="I3632" s="141">
        <v>961500466</v>
      </c>
      <c r="J3632" s="131" t="s">
        <v>8500</v>
      </c>
      <c r="K3632" s="142">
        <v>991100</v>
      </c>
    </row>
    <row r="3633" spans="1:11">
      <c r="A3633" s="1" t="str">
        <f t="shared" si="56"/>
        <v>50100-926024296-9625001052323</v>
      </c>
      <c r="B3633" s="141" t="s">
        <v>11914</v>
      </c>
      <c r="C3633" s="141" t="s">
        <v>9564</v>
      </c>
      <c r="D3633" s="132" t="s">
        <v>4971</v>
      </c>
      <c r="E3633" s="141" t="s">
        <v>8631</v>
      </c>
      <c r="F3633" s="141" t="s">
        <v>8631</v>
      </c>
      <c r="G3633" s="141" t="s">
        <v>5854</v>
      </c>
      <c r="H3633" s="140" t="s">
        <v>8859</v>
      </c>
      <c r="I3633" s="141">
        <v>962500105</v>
      </c>
      <c r="J3633" s="131" t="s">
        <v>7902</v>
      </c>
      <c r="K3633" s="142">
        <v>2323</v>
      </c>
    </row>
    <row r="3634" spans="1:11">
      <c r="A3634" s="1" t="str">
        <f t="shared" si="56"/>
        <v>50100-925474796-961500434489500</v>
      </c>
      <c r="B3634" s="141" t="s">
        <v>11917</v>
      </c>
      <c r="C3634" s="141" t="s">
        <v>9567</v>
      </c>
      <c r="D3634" s="132" t="s">
        <v>4971</v>
      </c>
      <c r="E3634" s="141" t="s">
        <v>8619</v>
      </c>
      <c r="F3634" s="141" t="s">
        <v>8619</v>
      </c>
      <c r="G3634" s="141" t="s">
        <v>5841</v>
      </c>
      <c r="H3634" s="138" t="s">
        <v>6452</v>
      </c>
      <c r="I3634" s="141">
        <v>961500434</v>
      </c>
      <c r="J3634" s="131" t="s">
        <v>7252</v>
      </c>
      <c r="K3634" s="142">
        <v>489500</v>
      </c>
    </row>
    <row r="3635" spans="1:11">
      <c r="A3635" s="1" t="str">
        <f t="shared" si="56"/>
        <v>50100-927115996-96250007410960</v>
      </c>
      <c r="B3635" s="141" t="s">
        <v>11918</v>
      </c>
      <c r="C3635" s="141" t="s">
        <v>9568</v>
      </c>
      <c r="D3635" s="132" t="s">
        <v>4971</v>
      </c>
      <c r="E3635" s="141" t="s">
        <v>8616</v>
      </c>
      <c r="F3635" s="141" t="s">
        <v>8616</v>
      </c>
      <c r="G3635" s="141" t="s">
        <v>7231</v>
      </c>
      <c r="H3635" s="140" t="s">
        <v>6298</v>
      </c>
      <c r="I3635" s="141">
        <v>962500074</v>
      </c>
      <c r="J3635" s="131" t="s">
        <v>6357</v>
      </c>
      <c r="K3635" s="142">
        <v>10960</v>
      </c>
    </row>
    <row r="3636" spans="1:11">
      <c r="A3636" s="1" t="str">
        <f t="shared" si="56"/>
        <v>50100-927115996-962500104494992</v>
      </c>
      <c r="B3636" s="141" t="s">
        <v>11918</v>
      </c>
      <c r="C3636" s="141" t="s">
        <v>9568</v>
      </c>
      <c r="D3636" s="132" t="s">
        <v>4971</v>
      </c>
      <c r="E3636" s="141" t="s">
        <v>8616</v>
      </c>
      <c r="F3636" s="141" t="s">
        <v>8616</v>
      </c>
      <c r="G3636" s="141" t="s">
        <v>5824</v>
      </c>
      <c r="H3636" s="140" t="s">
        <v>10183</v>
      </c>
      <c r="I3636" s="141">
        <v>962500104</v>
      </c>
      <c r="J3636" s="131" t="s">
        <v>7599</v>
      </c>
      <c r="K3636" s="142">
        <v>494992</v>
      </c>
    </row>
    <row r="3637" spans="1:11">
      <c r="A3637" s="1" t="str">
        <f t="shared" si="56"/>
        <v>50100-925997296-962500105492036</v>
      </c>
      <c r="B3637" s="141" t="s">
        <v>11919</v>
      </c>
      <c r="C3637" s="141" t="s">
        <v>9569</v>
      </c>
      <c r="D3637" s="132" t="s">
        <v>4971</v>
      </c>
      <c r="E3637" s="141" t="s">
        <v>8631</v>
      </c>
      <c r="F3637" s="141" t="s">
        <v>8631</v>
      </c>
      <c r="G3637" s="141" t="s">
        <v>5854</v>
      </c>
      <c r="H3637" s="140" t="s">
        <v>8859</v>
      </c>
      <c r="I3637" s="141">
        <v>962500105</v>
      </c>
      <c r="J3637" s="131" t="s">
        <v>7902</v>
      </c>
      <c r="K3637" s="142">
        <v>492036</v>
      </c>
    </row>
    <row r="3638" spans="1:11">
      <c r="A3638" s="1" t="str">
        <f t="shared" si="56"/>
        <v>50100-925316696-96150028551906</v>
      </c>
      <c r="B3638" s="141" t="s">
        <v>11912</v>
      </c>
      <c r="C3638" s="141" t="s">
        <v>9562</v>
      </c>
      <c r="D3638" s="132" t="s">
        <v>4971</v>
      </c>
      <c r="E3638" s="141" t="s">
        <v>8619</v>
      </c>
      <c r="F3638" s="141" t="s">
        <v>8619</v>
      </c>
      <c r="G3638" s="141" t="s">
        <v>5826</v>
      </c>
      <c r="H3638" s="140" t="s">
        <v>6298</v>
      </c>
      <c r="I3638" s="141">
        <v>961500285</v>
      </c>
      <c r="J3638" s="131" t="s">
        <v>5987</v>
      </c>
      <c r="K3638" s="142">
        <v>51906</v>
      </c>
    </row>
    <row r="3639" spans="1:11">
      <c r="A3639" s="1" t="str">
        <f t="shared" si="56"/>
        <v>50100-929271496-96250005114035</v>
      </c>
      <c r="B3639" s="141" t="s">
        <v>11911</v>
      </c>
      <c r="C3639" s="141" t="s">
        <v>9561</v>
      </c>
      <c r="D3639" s="132" t="s">
        <v>4971</v>
      </c>
      <c r="E3639" s="141" t="s">
        <v>8618</v>
      </c>
      <c r="F3639" s="141" t="s">
        <v>8618</v>
      </c>
      <c r="G3639" s="141" t="s">
        <v>5842</v>
      </c>
      <c r="H3639" s="140" t="s">
        <v>6300</v>
      </c>
      <c r="I3639" s="141">
        <v>962500051</v>
      </c>
      <c r="J3639" s="131" t="s">
        <v>6008</v>
      </c>
      <c r="K3639" s="142">
        <v>14035</v>
      </c>
    </row>
    <row r="3640" spans="1:11">
      <c r="A3640" s="1" t="str">
        <f t="shared" si="56"/>
        <v>50100-926024296-962500055164825</v>
      </c>
      <c r="B3640" s="141" t="s">
        <v>11914</v>
      </c>
      <c r="C3640" s="141" t="s">
        <v>9564</v>
      </c>
      <c r="D3640" s="132" t="s">
        <v>4971</v>
      </c>
      <c r="E3640" s="141" t="s">
        <v>8631</v>
      </c>
      <c r="F3640" s="141" t="s">
        <v>8631</v>
      </c>
      <c r="G3640" s="141" t="s">
        <v>5854</v>
      </c>
      <c r="H3640" s="140" t="s">
        <v>8859</v>
      </c>
      <c r="I3640" s="141">
        <v>962500055</v>
      </c>
      <c r="J3640" s="131" t="s">
        <v>6034</v>
      </c>
      <c r="K3640" s="142">
        <v>164825</v>
      </c>
    </row>
    <row r="3641" spans="1:11">
      <c r="A3641" s="1" t="str">
        <f t="shared" si="56"/>
        <v>50100-929089196-961500250254496</v>
      </c>
      <c r="B3641" s="141" t="s">
        <v>11920</v>
      </c>
      <c r="C3641" s="141" t="s">
        <v>9570</v>
      </c>
      <c r="D3641" s="132" t="s">
        <v>4971</v>
      </c>
      <c r="E3641" s="141" t="s">
        <v>8618</v>
      </c>
      <c r="F3641" s="141" t="s">
        <v>8618</v>
      </c>
      <c r="G3641" s="141" t="s">
        <v>5814</v>
      </c>
      <c r="H3641" s="140" t="s">
        <v>6298</v>
      </c>
      <c r="I3641" s="141">
        <v>961500250</v>
      </c>
      <c r="J3641" s="131" t="s">
        <v>5939</v>
      </c>
      <c r="K3641" s="142">
        <v>254496</v>
      </c>
    </row>
    <row r="3642" spans="1:11">
      <c r="A3642" s="1" t="str">
        <f t="shared" si="56"/>
        <v>15100-48163896-96150030049950</v>
      </c>
      <c r="B3642" s="160" t="s">
        <v>8836</v>
      </c>
      <c r="C3642" s="160" t="s">
        <v>9659</v>
      </c>
      <c r="D3642" s="132" t="s">
        <v>4971</v>
      </c>
      <c r="E3642" s="160" t="s">
        <v>8837</v>
      </c>
      <c r="F3642" s="160" t="s">
        <v>8837</v>
      </c>
      <c r="G3642" s="160" t="s">
        <v>5820</v>
      </c>
      <c r="H3642" s="161" t="s">
        <v>6300</v>
      </c>
      <c r="I3642" s="160">
        <v>961500300</v>
      </c>
      <c r="J3642" s="131" t="s">
        <v>6009</v>
      </c>
      <c r="K3642" s="162">
        <v>49950</v>
      </c>
    </row>
    <row r="3643" spans="1:11">
      <c r="A3643" s="1" t="str">
        <f t="shared" si="56"/>
        <v>15100-47897996-961500317103010</v>
      </c>
      <c r="B3643" s="160" t="s">
        <v>8622</v>
      </c>
      <c r="C3643" s="160" t="s">
        <v>9585</v>
      </c>
      <c r="D3643" s="132" t="s">
        <v>4971</v>
      </c>
      <c r="E3643" s="160" t="s">
        <v>8623</v>
      </c>
      <c r="F3643" s="160" t="s">
        <v>8623</v>
      </c>
      <c r="G3643" s="160" t="s">
        <v>5818</v>
      </c>
      <c r="H3643" s="161" t="s">
        <v>6300</v>
      </c>
      <c r="I3643" s="160">
        <v>961500317</v>
      </c>
      <c r="J3643" s="131" t="s">
        <v>6029</v>
      </c>
      <c r="K3643" s="160">
        <v>103010</v>
      </c>
    </row>
    <row r="3644" spans="1:11">
      <c r="A3644" s="1" t="str">
        <f t="shared" si="56"/>
        <v>15100-47897996-96150020750000</v>
      </c>
      <c r="B3644" s="160" t="s">
        <v>8622</v>
      </c>
      <c r="C3644" s="160" t="s">
        <v>9585</v>
      </c>
      <c r="D3644" s="132" t="s">
        <v>4971</v>
      </c>
      <c r="E3644" s="160" t="s">
        <v>8623</v>
      </c>
      <c r="F3644" s="160" t="s">
        <v>8623</v>
      </c>
      <c r="G3644" s="160" t="s">
        <v>5820</v>
      </c>
      <c r="H3644" s="161" t="s">
        <v>6300</v>
      </c>
      <c r="I3644" s="160">
        <v>961500207</v>
      </c>
      <c r="J3644" s="131" t="s">
        <v>5900</v>
      </c>
      <c r="K3644" s="160">
        <v>50000</v>
      </c>
    </row>
    <row r="3645" spans="1:11">
      <c r="A3645" s="1" t="str">
        <f t="shared" si="56"/>
        <v>15100-47897996-961500376148840</v>
      </c>
      <c r="B3645" s="160" t="s">
        <v>8622</v>
      </c>
      <c r="C3645" s="160" t="s">
        <v>9585</v>
      </c>
      <c r="D3645" s="132" t="s">
        <v>4971</v>
      </c>
      <c r="E3645" s="160" t="s">
        <v>8623</v>
      </c>
      <c r="F3645" s="160" t="s">
        <v>8623</v>
      </c>
      <c r="G3645" s="160" t="s">
        <v>5836</v>
      </c>
      <c r="H3645" s="161" t="s">
        <v>6300</v>
      </c>
      <c r="I3645" s="160">
        <v>961500376</v>
      </c>
      <c r="J3645" s="131" t="s">
        <v>7275</v>
      </c>
      <c r="K3645" s="160">
        <v>148840</v>
      </c>
    </row>
    <row r="3646" spans="1:11">
      <c r="A3646" s="1" t="str">
        <f t="shared" si="56"/>
        <v>15100-48177196-96150006232440</v>
      </c>
      <c r="B3646" s="160" t="s">
        <v>8838</v>
      </c>
      <c r="C3646" s="160" t="s">
        <v>9660</v>
      </c>
      <c r="D3646" s="132" t="s">
        <v>4971</v>
      </c>
      <c r="E3646" s="160" t="s">
        <v>8837</v>
      </c>
      <c r="F3646" s="163" t="s">
        <v>8837</v>
      </c>
      <c r="G3646" s="163" t="s">
        <v>5787</v>
      </c>
      <c r="H3646" s="164" t="s">
        <v>8845</v>
      </c>
      <c r="I3646" s="163">
        <v>961500062</v>
      </c>
      <c r="J3646" s="131" t="s">
        <v>5086</v>
      </c>
      <c r="K3646" s="165">
        <v>32440</v>
      </c>
    </row>
    <row r="3647" spans="1:11">
      <c r="A3647" s="1" t="str">
        <f t="shared" si="56"/>
        <v>15100-48177196-961500248144860</v>
      </c>
      <c r="B3647" s="160" t="s">
        <v>8838</v>
      </c>
      <c r="C3647" s="160" t="s">
        <v>9660</v>
      </c>
      <c r="D3647" s="132" t="s">
        <v>4971</v>
      </c>
      <c r="E3647" s="160" t="s">
        <v>8837</v>
      </c>
      <c r="F3647" s="160" t="s">
        <v>8837</v>
      </c>
      <c r="G3647" s="160" t="s">
        <v>5821</v>
      </c>
      <c r="H3647" s="161" t="s">
        <v>6454</v>
      </c>
      <c r="I3647" s="160">
        <v>961500248</v>
      </c>
      <c r="J3647" s="131" t="s">
        <v>5937</v>
      </c>
      <c r="K3647" s="162">
        <v>144860</v>
      </c>
    </row>
    <row r="3648" spans="1:11">
      <c r="A3648" s="1" t="str">
        <f t="shared" si="56"/>
        <v>15100-48177196-96150006545460</v>
      </c>
      <c r="B3648" s="160" t="s">
        <v>8838</v>
      </c>
      <c r="C3648" s="160" t="s">
        <v>9660</v>
      </c>
      <c r="D3648" s="132" t="s">
        <v>4971</v>
      </c>
      <c r="E3648" s="160" t="s">
        <v>8837</v>
      </c>
      <c r="F3648" s="163" t="s">
        <v>8837</v>
      </c>
      <c r="G3648" s="163" t="s">
        <v>5788</v>
      </c>
      <c r="H3648" s="164" t="s">
        <v>8845</v>
      </c>
      <c r="I3648" s="163">
        <v>961500065</v>
      </c>
      <c r="J3648" s="131" t="s">
        <v>5067</v>
      </c>
      <c r="K3648" s="165">
        <v>45460</v>
      </c>
    </row>
    <row r="3649" spans="1:11">
      <c r="A3649" s="1" t="str">
        <f t="shared" si="56"/>
        <v>15100-48177196-96150043688580</v>
      </c>
      <c r="B3649" s="160" t="s">
        <v>8838</v>
      </c>
      <c r="C3649" s="160" t="s">
        <v>9660</v>
      </c>
      <c r="D3649" s="132" t="s">
        <v>4971</v>
      </c>
      <c r="E3649" s="160" t="s">
        <v>8837</v>
      </c>
      <c r="F3649" s="160" t="s">
        <v>8837</v>
      </c>
      <c r="G3649" s="141" t="s">
        <v>7233</v>
      </c>
      <c r="H3649" s="140" t="s">
        <v>6453</v>
      </c>
      <c r="I3649" s="141">
        <v>961500436</v>
      </c>
      <c r="J3649" s="131" t="s">
        <v>7249</v>
      </c>
      <c r="K3649" s="142">
        <v>88580</v>
      </c>
    </row>
    <row r="3650" spans="1:11">
      <c r="A3650" s="1" t="str">
        <f t="shared" si="56"/>
        <v>15100-48177196-96150010554350</v>
      </c>
      <c r="B3650" s="160" t="s">
        <v>8838</v>
      </c>
      <c r="C3650" s="160" t="s">
        <v>9660</v>
      </c>
      <c r="D3650" s="132" t="s">
        <v>4971</v>
      </c>
      <c r="E3650" s="160" t="s">
        <v>8837</v>
      </c>
      <c r="F3650" s="163" t="s">
        <v>8837</v>
      </c>
      <c r="G3650" s="163" t="s">
        <v>5802</v>
      </c>
      <c r="H3650" s="164" t="s">
        <v>8845</v>
      </c>
      <c r="I3650" s="163">
        <v>961500105</v>
      </c>
      <c r="J3650" s="131" t="s">
        <v>5087</v>
      </c>
      <c r="K3650" s="165">
        <v>54350</v>
      </c>
    </row>
    <row r="3651" spans="1:11">
      <c r="A3651" s="1" t="str">
        <f t="shared" ref="A3651:A3714" si="57">B3651&amp;J3651&amp;K3651</f>
        <v>15100-47858296-96150016573380</v>
      </c>
      <c r="B3651" s="160" t="s">
        <v>8624</v>
      </c>
      <c r="C3651" s="160" t="s">
        <v>9586</v>
      </c>
      <c r="D3651" s="132" t="s">
        <v>4971</v>
      </c>
      <c r="E3651" s="160" t="s">
        <v>8616</v>
      </c>
      <c r="F3651" s="160" t="s">
        <v>8616</v>
      </c>
      <c r="G3651" s="160" t="s">
        <v>5810</v>
      </c>
      <c r="H3651" s="161" t="s">
        <v>6298</v>
      </c>
      <c r="I3651" s="160">
        <v>961500165</v>
      </c>
      <c r="J3651" s="131" t="s">
        <v>5881</v>
      </c>
      <c r="K3651" s="160">
        <v>73380</v>
      </c>
    </row>
    <row r="3652" spans="1:11">
      <c r="A3652" s="1" t="str">
        <f t="shared" si="57"/>
        <v>15100-48177196-96150006311750</v>
      </c>
      <c r="B3652" s="160" t="s">
        <v>8838</v>
      </c>
      <c r="C3652" s="160" t="s">
        <v>9660</v>
      </c>
      <c r="D3652" s="132" t="s">
        <v>4971</v>
      </c>
      <c r="E3652" s="160" t="s">
        <v>8837</v>
      </c>
      <c r="F3652" s="163" t="s">
        <v>8837</v>
      </c>
      <c r="G3652" s="163" t="s">
        <v>5787</v>
      </c>
      <c r="H3652" s="164" t="s">
        <v>8845</v>
      </c>
      <c r="I3652" s="163">
        <v>961500063</v>
      </c>
      <c r="J3652" s="131" t="s">
        <v>5055</v>
      </c>
      <c r="K3652" s="165">
        <v>11750</v>
      </c>
    </row>
    <row r="3653" spans="1:11">
      <c r="A3653" s="1" t="str">
        <f t="shared" si="57"/>
        <v>15100-48177196-96150027989600</v>
      </c>
      <c r="B3653" s="160" t="s">
        <v>8838</v>
      </c>
      <c r="C3653" s="160" t="s">
        <v>9660</v>
      </c>
      <c r="D3653" s="132" t="s">
        <v>4971</v>
      </c>
      <c r="E3653" s="160" t="s">
        <v>8837</v>
      </c>
      <c r="F3653" s="160" t="s">
        <v>8837</v>
      </c>
      <c r="G3653" s="160" t="s">
        <v>5822</v>
      </c>
      <c r="H3653" s="161" t="s">
        <v>6454</v>
      </c>
      <c r="I3653" s="160">
        <v>961500279</v>
      </c>
      <c r="J3653" s="131" t="s">
        <v>5978</v>
      </c>
      <c r="K3653" s="162">
        <v>89600</v>
      </c>
    </row>
    <row r="3654" spans="1:11">
      <c r="A3654" s="1" t="str">
        <f t="shared" si="57"/>
        <v>15100-47851196-96150020275550</v>
      </c>
      <c r="B3654" s="160" t="s">
        <v>8625</v>
      </c>
      <c r="C3654" s="160" t="s">
        <v>9587</v>
      </c>
      <c r="D3654" s="132" t="s">
        <v>4971</v>
      </c>
      <c r="E3654" s="160" t="s">
        <v>8616</v>
      </c>
      <c r="F3654" s="160" t="s">
        <v>8616</v>
      </c>
      <c r="G3654" s="160" t="s">
        <v>5815</v>
      </c>
      <c r="H3654" s="161" t="s">
        <v>6298</v>
      </c>
      <c r="I3654" s="160">
        <v>961500202</v>
      </c>
      <c r="J3654" s="131" t="s">
        <v>5576</v>
      </c>
      <c r="K3654" s="160">
        <v>75550</v>
      </c>
    </row>
    <row r="3655" spans="1:11">
      <c r="A3655" s="1" t="str">
        <f t="shared" si="57"/>
        <v>15100-48174496-961500449260070</v>
      </c>
      <c r="B3655" s="160" t="s">
        <v>8839</v>
      </c>
      <c r="C3655" s="160" t="s">
        <v>9661</v>
      </c>
      <c r="D3655" s="132" t="s">
        <v>4971</v>
      </c>
      <c r="E3655" s="160" t="s">
        <v>8837</v>
      </c>
      <c r="F3655" s="160" t="s">
        <v>8837</v>
      </c>
      <c r="G3655" s="160" t="s">
        <v>5836</v>
      </c>
      <c r="H3655" s="161" t="s">
        <v>6300</v>
      </c>
      <c r="I3655" s="160">
        <v>961500449</v>
      </c>
      <c r="J3655" s="131" t="s">
        <v>7238</v>
      </c>
      <c r="K3655" s="162">
        <v>260070</v>
      </c>
    </row>
    <row r="3656" spans="1:11">
      <c r="A3656" s="1" t="str">
        <f t="shared" si="57"/>
        <v>15100-47966596-96150022794520</v>
      </c>
      <c r="B3656" s="160" t="s">
        <v>8626</v>
      </c>
      <c r="C3656" s="160" t="s">
        <v>9588</v>
      </c>
      <c r="D3656" s="132" t="s">
        <v>4971</v>
      </c>
      <c r="E3656" s="160" t="s">
        <v>8627</v>
      </c>
      <c r="F3656" s="160" t="s">
        <v>8627</v>
      </c>
      <c r="G3656" s="160" t="s">
        <v>5813</v>
      </c>
      <c r="H3656" s="161" t="s">
        <v>6298</v>
      </c>
      <c r="I3656" s="160">
        <v>961500227</v>
      </c>
      <c r="J3656" s="131" t="s">
        <v>5917</v>
      </c>
      <c r="K3656" s="160">
        <v>94520</v>
      </c>
    </row>
    <row r="3657" spans="1:11">
      <c r="A3657" s="1" t="str">
        <f t="shared" si="57"/>
        <v>15100-47923796-961500484825440</v>
      </c>
      <c r="B3657" s="141" t="s">
        <v>8628</v>
      </c>
      <c r="C3657" s="141" t="s">
        <v>9589</v>
      </c>
      <c r="D3657" s="132" t="s">
        <v>4971</v>
      </c>
      <c r="E3657" s="141" t="s">
        <v>8629</v>
      </c>
      <c r="F3657" s="141" t="s">
        <v>8629</v>
      </c>
      <c r="G3657" s="137">
        <v>1396514714001</v>
      </c>
      <c r="H3657" s="140" t="s">
        <v>11921</v>
      </c>
      <c r="I3657" s="141">
        <v>961500484</v>
      </c>
      <c r="J3657" s="131" t="s">
        <v>8505</v>
      </c>
      <c r="K3657" s="141">
        <v>825440</v>
      </c>
    </row>
    <row r="3658" spans="1:11">
      <c r="A3658" s="1" t="str">
        <f t="shared" si="57"/>
        <v>15100-47730996-96150024330290</v>
      </c>
      <c r="B3658" s="160" t="s">
        <v>8630</v>
      </c>
      <c r="C3658" s="160" t="s">
        <v>9590</v>
      </c>
      <c r="D3658" s="132" t="s">
        <v>4971</v>
      </c>
      <c r="E3658" s="160" t="s">
        <v>8631</v>
      </c>
      <c r="F3658" s="160" t="s">
        <v>8631</v>
      </c>
      <c r="G3658" s="160" t="s">
        <v>5814</v>
      </c>
      <c r="H3658" s="161" t="s">
        <v>6298</v>
      </c>
      <c r="I3658" s="160">
        <v>961500243</v>
      </c>
      <c r="J3658" s="131" t="s">
        <v>5933</v>
      </c>
      <c r="K3658" s="160">
        <v>30290</v>
      </c>
    </row>
    <row r="3659" spans="1:11">
      <c r="A3659" s="1" t="str">
        <f t="shared" si="57"/>
        <v>15100-47730996-96150019818990</v>
      </c>
      <c r="B3659" s="160" t="s">
        <v>8630</v>
      </c>
      <c r="C3659" s="160" t="s">
        <v>9590</v>
      </c>
      <c r="D3659" s="132" t="s">
        <v>4971</v>
      </c>
      <c r="E3659" s="160" t="s">
        <v>8631</v>
      </c>
      <c r="F3659" s="160" t="s">
        <v>8631</v>
      </c>
      <c r="G3659" s="160" t="s">
        <v>5815</v>
      </c>
      <c r="H3659" s="161" t="s">
        <v>6298</v>
      </c>
      <c r="I3659" s="160">
        <v>961500198</v>
      </c>
      <c r="J3659" s="131" t="s">
        <v>5596</v>
      </c>
      <c r="K3659" s="160">
        <v>18990</v>
      </c>
    </row>
    <row r="3660" spans="1:11">
      <c r="A3660" s="1" t="str">
        <f t="shared" si="57"/>
        <v>15100-48018696-9615002332560</v>
      </c>
      <c r="B3660" s="160" t="s">
        <v>8632</v>
      </c>
      <c r="C3660" s="160" t="s">
        <v>9591</v>
      </c>
      <c r="D3660" s="132" t="s">
        <v>4971</v>
      </c>
      <c r="E3660" s="160" t="s">
        <v>8618</v>
      </c>
      <c r="F3660" s="160" t="s">
        <v>8618</v>
      </c>
      <c r="G3660" s="160" t="s">
        <v>5813</v>
      </c>
      <c r="H3660" s="161" t="s">
        <v>6298</v>
      </c>
      <c r="I3660" s="160">
        <v>961500233</v>
      </c>
      <c r="J3660" s="131" t="s">
        <v>5923</v>
      </c>
      <c r="K3660" s="160">
        <v>2560</v>
      </c>
    </row>
    <row r="3661" spans="1:11">
      <c r="A3661" s="1" t="str">
        <f t="shared" si="57"/>
        <v>15100-47936696-96150020224000</v>
      </c>
      <c r="B3661" s="160" t="s">
        <v>8840</v>
      </c>
      <c r="C3661" s="160" t="s">
        <v>9662</v>
      </c>
      <c r="D3661" s="132" t="s">
        <v>4971</v>
      </c>
      <c r="E3661" s="160" t="s">
        <v>8629</v>
      </c>
      <c r="F3661" s="160" t="s">
        <v>8629</v>
      </c>
      <c r="G3661" s="160" t="s">
        <v>5815</v>
      </c>
      <c r="H3661" s="161" t="s">
        <v>6298</v>
      </c>
      <c r="I3661" s="160">
        <v>961500202</v>
      </c>
      <c r="J3661" s="131" t="s">
        <v>5576</v>
      </c>
      <c r="K3661" s="162">
        <v>24000</v>
      </c>
    </row>
    <row r="3662" spans="1:11">
      <c r="A3662" s="1" t="str">
        <f t="shared" si="57"/>
        <v>15100-48018696-96150021873060</v>
      </c>
      <c r="B3662" s="160" t="s">
        <v>8632</v>
      </c>
      <c r="C3662" s="160" t="s">
        <v>9591</v>
      </c>
      <c r="D3662" s="132" t="s">
        <v>4971</v>
      </c>
      <c r="E3662" s="160" t="s">
        <v>8618</v>
      </c>
      <c r="F3662" s="160" t="s">
        <v>8618</v>
      </c>
      <c r="G3662" s="160" t="s">
        <v>5813</v>
      </c>
      <c r="H3662" s="161" t="s">
        <v>6298</v>
      </c>
      <c r="I3662" s="160">
        <v>961500218</v>
      </c>
      <c r="J3662" s="131" t="s">
        <v>5908</v>
      </c>
      <c r="K3662" s="160">
        <v>73060</v>
      </c>
    </row>
    <row r="3663" spans="1:11">
      <c r="A3663" s="1" t="str">
        <f t="shared" si="57"/>
        <v>15100-47730996-96150017245000</v>
      </c>
      <c r="B3663" s="160" t="s">
        <v>8630</v>
      </c>
      <c r="C3663" s="160" t="s">
        <v>9590</v>
      </c>
      <c r="D3663" s="132" t="s">
        <v>4971</v>
      </c>
      <c r="E3663" s="160" t="s">
        <v>8631</v>
      </c>
      <c r="F3663" s="160" t="s">
        <v>8631</v>
      </c>
      <c r="G3663" s="160" t="s">
        <v>5810</v>
      </c>
      <c r="H3663" s="161" t="s">
        <v>6298</v>
      </c>
      <c r="I3663" s="160">
        <v>961500172</v>
      </c>
      <c r="J3663" s="131" t="s">
        <v>5884</v>
      </c>
      <c r="K3663" s="160">
        <v>45000</v>
      </c>
    </row>
    <row r="3664" spans="1:11">
      <c r="A3664" s="1" t="str">
        <f t="shared" si="57"/>
        <v>15100-47854296-96150031647440</v>
      </c>
      <c r="B3664" s="160" t="s">
        <v>8633</v>
      </c>
      <c r="C3664" s="160" t="s">
        <v>9592</v>
      </c>
      <c r="D3664" s="132" t="s">
        <v>4971</v>
      </c>
      <c r="E3664" s="160" t="s">
        <v>8616</v>
      </c>
      <c r="F3664" s="160" t="s">
        <v>8616</v>
      </c>
      <c r="G3664" s="160" t="s">
        <v>5818</v>
      </c>
      <c r="H3664" s="161" t="s">
        <v>6300</v>
      </c>
      <c r="I3664" s="160">
        <v>961500316</v>
      </c>
      <c r="J3664" s="131" t="s">
        <v>6028</v>
      </c>
      <c r="K3664" s="160">
        <v>47440</v>
      </c>
    </row>
    <row r="3665" spans="1:11">
      <c r="A3665" s="1" t="str">
        <f t="shared" si="57"/>
        <v>15100-47936696-96150016573680</v>
      </c>
      <c r="B3665" s="160" t="s">
        <v>8840</v>
      </c>
      <c r="C3665" s="160" t="s">
        <v>9662</v>
      </c>
      <c r="D3665" s="132" t="s">
        <v>4971</v>
      </c>
      <c r="E3665" s="160" t="s">
        <v>8629</v>
      </c>
      <c r="F3665" s="160" t="s">
        <v>8629</v>
      </c>
      <c r="G3665" s="160" t="s">
        <v>5810</v>
      </c>
      <c r="H3665" s="161" t="s">
        <v>6298</v>
      </c>
      <c r="I3665" s="160">
        <v>961500165</v>
      </c>
      <c r="J3665" s="131" t="s">
        <v>5881</v>
      </c>
      <c r="K3665" s="162">
        <v>73680</v>
      </c>
    </row>
    <row r="3666" spans="1:11">
      <c r="A3666" s="1" t="str">
        <f t="shared" si="57"/>
        <v>15100-48063696-961500451139420</v>
      </c>
      <c r="B3666" s="160" t="s">
        <v>8910</v>
      </c>
      <c r="C3666" s="160" t="s">
        <v>9706</v>
      </c>
      <c r="D3666" s="132" t="s">
        <v>4971</v>
      </c>
      <c r="E3666" s="160" t="s">
        <v>8636</v>
      </c>
      <c r="F3666" s="160" t="s">
        <v>8636</v>
      </c>
      <c r="G3666" s="160" t="s">
        <v>5836</v>
      </c>
      <c r="H3666" s="161" t="s">
        <v>6300</v>
      </c>
      <c r="I3666" s="160">
        <v>961500451</v>
      </c>
      <c r="J3666" s="131" t="s">
        <v>7257</v>
      </c>
      <c r="K3666" s="162">
        <v>139420</v>
      </c>
    </row>
    <row r="3667" spans="1:11">
      <c r="A3667" s="1" t="str">
        <f t="shared" si="57"/>
        <v>15100-47730996-96150017930640</v>
      </c>
      <c r="B3667" s="160" t="s">
        <v>8630</v>
      </c>
      <c r="C3667" s="160" t="s">
        <v>9590</v>
      </c>
      <c r="D3667" s="132" t="s">
        <v>4971</v>
      </c>
      <c r="E3667" s="160" t="s">
        <v>8631</v>
      </c>
      <c r="F3667" s="160" t="s">
        <v>8631</v>
      </c>
      <c r="G3667" s="160" t="s">
        <v>5813</v>
      </c>
      <c r="H3667" s="161" t="s">
        <v>6298</v>
      </c>
      <c r="I3667" s="160">
        <v>961500179</v>
      </c>
      <c r="J3667" s="131" t="s">
        <v>5567</v>
      </c>
      <c r="K3667" s="160">
        <v>30640</v>
      </c>
    </row>
    <row r="3668" spans="1:11">
      <c r="A3668" s="1" t="str">
        <f t="shared" si="57"/>
        <v>15100-48015396-96150020098120</v>
      </c>
      <c r="B3668" s="163" t="s">
        <v>9914</v>
      </c>
      <c r="C3668" s="163" t="s">
        <v>11922</v>
      </c>
      <c r="D3668" s="132" t="s">
        <v>4971</v>
      </c>
      <c r="E3668" s="163" t="s">
        <v>8618</v>
      </c>
      <c r="F3668" s="163" t="s">
        <v>8618</v>
      </c>
      <c r="G3668" s="163" t="s">
        <v>5816</v>
      </c>
      <c r="H3668" s="164" t="s">
        <v>6454</v>
      </c>
      <c r="I3668" s="163">
        <v>961500200</v>
      </c>
      <c r="J3668" s="131" t="s">
        <v>5894</v>
      </c>
      <c r="K3668" s="165">
        <v>98120</v>
      </c>
    </row>
    <row r="3669" spans="1:11">
      <c r="A3669" s="1" t="str">
        <f t="shared" si="57"/>
        <v>15100-48177196-961500265100000</v>
      </c>
      <c r="B3669" s="160" t="s">
        <v>8838</v>
      </c>
      <c r="C3669" s="160" t="s">
        <v>9660</v>
      </c>
      <c r="D3669" s="132" t="s">
        <v>4971</v>
      </c>
      <c r="E3669" s="160" t="s">
        <v>8837</v>
      </c>
      <c r="F3669" s="160" t="s">
        <v>8837</v>
      </c>
      <c r="G3669" s="160" t="s">
        <v>5821</v>
      </c>
      <c r="H3669" s="161" t="s">
        <v>6454</v>
      </c>
      <c r="I3669" s="160">
        <v>961500265</v>
      </c>
      <c r="J3669" s="131" t="s">
        <v>5957</v>
      </c>
      <c r="K3669" s="162">
        <v>100000</v>
      </c>
    </row>
    <row r="3670" spans="1:11">
      <c r="A3670" s="1" t="str">
        <f t="shared" si="57"/>
        <v>15100-47675996-96150038781860</v>
      </c>
      <c r="B3670" s="160" t="s">
        <v>8634</v>
      </c>
      <c r="C3670" s="160" t="s">
        <v>9593</v>
      </c>
      <c r="D3670" s="132" t="s">
        <v>4971</v>
      </c>
      <c r="E3670" s="160" t="s">
        <v>8619</v>
      </c>
      <c r="F3670" s="160" t="s">
        <v>8619</v>
      </c>
      <c r="G3670" s="160" t="s">
        <v>5836</v>
      </c>
      <c r="H3670" s="161" t="s">
        <v>6300</v>
      </c>
      <c r="I3670" s="160">
        <v>961500387</v>
      </c>
      <c r="J3670" s="131" t="s">
        <v>7256</v>
      </c>
      <c r="K3670" s="160">
        <v>81860</v>
      </c>
    </row>
    <row r="3671" spans="1:11">
      <c r="A3671" s="1" t="str">
        <f t="shared" si="57"/>
        <v>15100-48015396-96150020895700</v>
      </c>
      <c r="B3671" s="163" t="s">
        <v>9914</v>
      </c>
      <c r="C3671" s="163" t="s">
        <v>11922</v>
      </c>
      <c r="D3671" s="132" t="s">
        <v>4971</v>
      </c>
      <c r="E3671" s="163" t="s">
        <v>8618</v>
      </c>
      <c r="F3671" s="163" t="s">
        <v>8618</v>
      </c>
      <c r="G3671" s="163" t="s">
        <v>5816</v>
      </c>
      <c r="H3671" s="164" t="s">
        <v>6454</v>
      </c>
      <c r="I3671" s="163">
        <v>961500208</v>
      </c>
      <c r="J3671" s="131" t="s">
        <v>5901</v>
      </c>
      <c r="K3671" s="165">
        <v>95700</v>
      </c>
    </row>
    <row r="3672" spans="1:11">
      <c r="A3672" s="1" t="str">
        <f t="shared" si="57"/>
        <v>15100-47675996-96150042642370</v>
      </c>
      <c r="B3672" s="160" t="s">
        <v>8634</v>
      </c>
      <c r="C3672" s="160" t="s">
        <v>9593</v>
      </c>
      <c r="D3672" s="132" t="s">
        <v>4971</v>
      </c>
      <c r="E3672" s="160" t="s">
        <v>8619</v>
      </c>
      <c r="F3672" s="160" t="s">
        <v>8619</v>
      </c>
      <c r="G3672" s="141" t="s">
        <v>7233</v>
      </c>
      <c r="H3672" s="140" t="s">
        <v>6453</v>
      </c>
      <c r="I3672" s="141">
        <v>961500426</v>
      </c>
      <c r="J3672" s="131" t="s">
        <v>7246</v>
      </c>
      <c r="K3672" s="141">
        <v>42370</v>
      </c>
    </row>
    <row r="3673" spans="1:11">
      <c r="A3673" s="1" t="str">
        <f t="shared" si="57"/>
        <v>15100-48014496-96150045191870</v>
      </c>
      <c r="B3673" s="160" t="s">
        <v>8841</v>
      </c>
      <c r="C3673" s="160" t="s">
        <v>9663</v>
      </c>
      <c r="D3673" s="132" t="s">
        <v>4971</v>
      </c>
      <c r="E3673" s="160" t="s">
        <v>8618</v>
      </c>
      <c r="F3673" s="160" t="s">
        <v>8618</v>
      </c>
      <c r="G3673" s="160" t="s">
        <v>5836</v>
      </c>
      <c r="H3673" s="161" t="s">
        <v>6300</v>
      </c>
      <c r="I3673" s="160">
        <v>961500451</v>
      </c>
      <c r="J3673" s="131" t="s">
        <v>7257</v>
      </c>
      <c r="K3673" s="162">
        <v>91870</v>
      </c>
    </row>
    <row r="3674" spans="1:11">
      <c r="A3674" s="1" t="str">
        <f t="shared" si="57"/>
        <v>15100-48043896-961500484145200</v>
      </c>
      <c r="B3674" s="141" t="s">
        <v>8635</v>
      </c>
      <c r="C3674" s="141" t="s">
        <v>9594</v>
      </c>
      <c r="D3674" s="132" t="s">
        <v>4971</v>
      </c>
      <c r="E3674" s="141" t="s">
        <v>8636</v>
      </c>
      <c r="F3674" s="141" t="s">
        <v>8636</v>
      </c>
      <c r="G3674" s="137">
        <v>1396514714001</v>
      </c>
      <c r="H3674" s="140" t="s">
        <v>11921</v>
      </c>
      <c r="I3674" s="141">
        <v>961500484</v>
      </c>
      <c r="J3674" s="131" t="s">
        <v>8505</v>
      </c>
      <c r="K3674" s="141">
        <v>145200</v>
      </c>
    </row>
    <row r="3675" spans="1:11">
      <c r="A3675" s="1" t="str">
        <f t="shared" si="57"/>
        <v>15100-47977096-96150022781540</v>
      </c>
      <c r="B3675" s="160" t="s">
        <v>8637</v>
      </c>
      <c r="C3675" s="160" t="s">
        <v>9595</v>
      </c>
      <c r="D3675" s="132" t="s">
        <v>4971</v>
      </c>
      <c r="E3675" s="160" t="s">
        <v>8627</v>
      </c>
      <c r="F3675" s="160" t="s">
        <v>8627</v>
      </c>
      <c r="G3675" s="160" t="s">
        <v>5813</v>
      </c>
      <c r="H3675" s="161" t="s">
        <v>6298</v>
      </c>
      <c r="I3675" s="160">
        <v>961500227</v>
      </c>
      <c r="J3675" s="131" t="s">
        <v>5917</v>
      </c>
      <c r="K3675" s="160">
        <v>81540</v>
      </c>
    </row>
    <row r="3676" spans="1:11">
      <c r="A3676" s="1" t="str">
        <f t="shared" si="57"/>
        <v>15100-47969596-961500227100970</v>
      </c>
      <c r="B3676" s="160" t="s">
        <v>8638</v>
      </c>
      <c r="C3676" s="160" t="s">
        <v>9596</v>
      </c>
      <c r="D3676" s="132" t="s">
        <v>4971</v>
      </c>
      <c r="E3676" s="160" t="s">
        <v>8627</v>
      </c>
      <c r="F3676" s="160" t="s">
        <v>8627</v>
      </c>
      <c r="G3676" s="160" t="s">
        <v>5813</v>
      </c>
      <c r="H3676" s="161" t="s">
        <v>6298</v>
      </c>
      <c r="I3676" s="160">
        <v>961500227</v>
      </c>
      <c r="J3676" s="131" t="s">
        <v>5917</v>
      </c>
      <c r="K3676" s="160">
        <v>100970</v>
      </c>
    </row>
    <row r="3677" spans="1:11">
      <c r="A3677" s="1" t="str">
        <f t="shared" si="57"/>
        <v>15100-47937096-961500203101450</v>
      </c>
      <c r="B3677" s="160" t="s">
        <v>8639</v>
      </c>
      <c r="C3677" s="160" t="s">
        <v>9597</v>
      </c>
      <c r="D3677" s="132" t="s">
        <v>4971</v>
      </c>
      <c r="E3677" s="160" t="s">
        <v>8629</v>
      </c>
      <c r="F3677" s="160" t="s">
        <v>8629</v>
      </c>
      <c r="G3677" s="160" t="s">
        <v>5815</v>
      </c>
      <c r="H3677" s="161" t="s">
        <v>6298</v>
      </c>
      <c r="I3677" s="160">
        <v>961500203</v>
      </c>
      <c r="J3677" s="131" t="s">
        <v>5595</v>
      </c>
      <c r="K3677" s="160">
        <v>101450</v>
      </c>
    </row>
    <row r="3678" spans="1:11">
      <c r="A3678" s="1" t="str">
        <f t="shared" si="57"/>
        <v>15100-47977096-96150020334990</v>
      </c>
      <c r="B3678" s="160" t="s">
        <v>8637</v>
      </c>
      <c r="C3678" s="160" t="s">
        <v>9595</v>
      </c>
      <c r="D3678" s="132" t="s">
        <v>4971</v>
      </c>
      <c r="E3678" s="160" t="s">
        <v>8627</v>
      </c>
      <c r="F3678" s="160" t="s">
        <v>8627</v>
      </c>
      <c r="G3678" s="160" t="s">
        <v>5815</v>
      </c>
      <c r="H3678" s="161" t="s">
        <v>6298</v>
      </c>
      <c r="I3678" s="160">
        <v>961500203</v>
      </c>
      <c r="J3678" s="131" t="s">
        <v>5595</v>
      </c>
      <c r="K3678" s="160">
        <v>34990</v>
      </c>
    </row>
    <row r="3679" spans="1:11">
      <c r="A3679" s="1" t="str">
        <f t="shared" si="57"/>
        <v>15100-47977096-961500202106760</v>
      </c>
      <c r="B3679" s="160" t="s">
        <v>8637</v>
      </c>
      <c r="C3679" s="160" t="s">
        <v>9595</v>
      </c>
      <c r="D3679" s="132" t="s">
        <v>4971</v>
      </c>
      <c r="E3679" s="160" t="s">
        <v>8627</v>
      </c>
      <c r="F3679" s="160" t="s">
        <v>8627</v>
      </c>
      <c r="G3679" s="160" t="s">
        <v>5815</v>
      </c>
      <c r="H3679" s="161" t="s">
        <v>6298</v>
      </c>
      <c r="I3679" s="160">
        <v>961500202</v>
      </c>
      <c r="J3679" s="131" t="s">
        <v>5576</v>
      </c>
      <c r="K3679" s="160">
        <v>106760</v>
      </c>
    </row>
    <row r="3680" spans="1:11">
      <c r="A3680" s="1" t="str">
        <f t="shared" si="57"/>
        <v>15100-47977096-961500430400000</v>
      </c>
      <c r="B3680" s="160" t="s">
        <v>8637</v>
      </c>
      <c r="C3680" s="160" t="s">
        <v>9595</v>
      </c>
      <c r="D3680" s="132" t="s">
        <v>4971</v>
      </c>
      <c r="E3680" s="160" t="s">
        <v>8627</v>
      </c>
      <c r="F3680" s="160" t="s">
        <v>8627</v>
      </c>
      <c r="G3680" s="160" t="s">
        <v>7237</v>
      </c>
      <c r="H3680" s="161" t="s">
        <v>6300</v>
      </c>
      <c r="I3680" s="160">
        <v>961500430</v>
      </c>
      <c r="J3680" s="131" t="s">
        <v>8498</v>
      </c>
      <c r="K3680" s="160">
        <v>400000</v>
      </c>
    </row>
    <row r="3681" spans="1:11">
      <c r="A3681" s="1" t="str">
        <f t="shared" si="57"/>
        <v>15100-47977096-961500451205450</v>
      </c>
      <c r="B3681" s="160" t="s">
        <v>8637</v>
      </c>
      <c r="C3681" s="160" t="s">
        <v>9595</v>
      </c>
      <c r="D3681" s="132" t="s">
        <v>4971</v>
      </c>
      <c r="E3681" s="160" t="s">
        <v>8627</v>
      </c>
      <c r="F3681" s="160" t="s">
        <v>8627</v>
      </c>
      <c r="G3681" s="160" t="s">
        <v>5836</v>
      </c>
      <c r="H3681" s="161" t="s">
        <v>6300</v>
      </c>
      <c r="I3681" s="160">
        <v>961500451</v>
      </c>
      <c r="J3681" s="131" t="s">
        <v>7257</v>
      </c>
      <c r="K3681" s="160">
        <v>205450</v>
      </c>
    </row>
    <row r="3682" spans="1:11">
      <c r="A3682" s="1" t="str">
        <f t="shared" si="57"/>
        <v>15100-47938596-96150031657090</v>
      </c>
      <c r="B3682" s="160" t="s">
        <v>8640</v>
      </c>
      <c r="C3682" s="160" t="s">
        <v>9598</v>
      </c>
      <c r="D3682" s="132" t="s">
        <v>4971</v>
      </c>
      <c r="E3682" s="160" t="s">
        <v>8629</v>
      </c>
      <c r="F3682" s="160" t="s">
        <v>8629</v>
      </c>
      <c r="G3682" s="160" t="s">
        <v>5818</v>
      </c>
      <c r="H3682" s="161" t="s">
        <v>6300</v>
      </c>
      <c r="I3682" s="160">
        <v>961500316</v>
      </c>
      <c r="J3682" s="131" t="s">
        <v>6028</v>
      </c>
      <c r="K3682" s="160">
        <v>57090</v>
      </c>
    </row>
    <row r="3683" spans="1:11">
      <c r="A3683" s="1" t="str">
        <f t="shared" si="57"/>
        <v>15100-47938596-96150031716680</v>
      </c>
      <c r="B3683" s="160" t="s">
        <v>8640</v>
      </c>
      <c r="C3683" s="160" t="s">
        <v>9598</v>
      </c>
      <c r="D3683" s="132" t="s">
        <v>4971</v>
      </c>
      <c r="E3683" s="160" t="s">
        <v>8629</v>
      </c>
      <c r="F3683" s="160" t="s">
        <v>8629</v>
      </c>
      <c r="G3683" s="160" t="s">
        <v>5818</v>
      </c>
      <c r="H3683" s="161" t="s">
        <v>6300</v>
      </c>
      <c r="I3683" s="160">
        <v>961500317</v>
      </c>
      <c r="J3683" s="131" t="s">
        <v>6029</v>
      </c>
      <c r="K3683" s="160">
        <v>16680</v>
      </c>
    </row>
    <row r="3684" spans="1:11">
      <c r="A3684" s="1" t="str">
        <f t="shared" si="57"/>
        <v>15100-48013596-961500430100000</v>
      </c>
      <c r="B3684" s="160" t="s">
        <v>8641</v>
      </c>
      <c r="C3684" s="160" t="s">
        <v>9599</v>
      </c>
      <c r="D3684" s="132" t="s">
        <v>4971</v>
      </c>
      <c r="E3684" s="160" t="s">
        <v>8618</v>
      </c>
      <c r="F3684" s="160" t="s">
        <v>8618</v>
      </c>
      <c r="G3684" s="160" t="s">
        <v>7237</v>
      </c>
      <c r="H3684" s="161" t="s">
        <v>6300</v>
      </c>
      <c r="I3684" s="160">
        <v>961500430</v>
      </c>
      <c r="J3684" s="131" t="s">
        <v>8498</v>
      </c>
      <c r="K3684" s="160">
        <v>100000</v>
      </c>
    </row>
    <row r="3685" spans="1:11">
      <c r="A3685" s="1" t="str">
        <f t="shared" si="57"/>
        <v>15100-48013596-961500451117710</v>
      </c>
      <c r="B3685" s="160" t="s">
        <v>8641</v>
      </c>
      <c r="C3685" s="160" t="s">
        <v>9599</v>
      </c>
      <c r="D3685" s="132" t="s">
        <v>4971</v>
      </c>
      <c r="E3685" s="160" t="s">
        <v>8618</v>
      </c>
      <c r="F3685" s="160" t="s">
        <v>8618</v>
      </c>
      <c r="G3685" s="160" t="s">
        <v>5836</v>
      </c>
      <c r="H3685" s="161" t="s">
        <v>6300</v>
      </c>
      <c r="I3685" s="160">
        <v>961500451</v>
      </c>
      <c r="J3685" s="131" t="s">
        <v>7257</v>
      </c>
      <c r="K3685" s="160">
        <v>117710</v>
      </c>
    </row>
    <row r="3686" spans="1:11">
      <c r="A3686" s="1" t="str">
        <f t="shared" si="57"/>
        <v>15100-47742396-96150043623900</v>
      </c>
      <c r="B3686" s="160" t="s">
        <v>8642</v>
      </c>
      <c r="C3686" s="160" t="s">
        <v>9600</v>
      </c>
      <c r="D3686" s="132" t="s">
        <v>4971</v>
      </c>
      <c r="E3686" s="160" t="s">
        <v>8631</v>
      </c>
      <c r="F3686" s="160" t="s">
        <v>8631</v>
      </c>
      <c r="G3686" s="141" t="s">
        <v>7233</v>
      </c>
      <c r="H3686" s="140" t="s">
        <v>6453</v>
      </c>
      <c r="I3686" s="141">
        <v>961500436</v>
      </c>
      <c r="J3686" s="131" t="s">
        <v>7249</v>
      </c>
      <c r="K3686" s="141">
        <v>23900</v>
      </c>
    </row>
    <row r="3687" spans="1:11">
      <c r="A3687" s="1" t="str">
        <f t="shared" si="57"/>
        <v>15100-47734596-96150019892610</v>
      </c>
      <c r="B3687" s="160" t="s">
        <v>8643</v>
      </c>
      <c r="C3687" s="160" t="s">
        <v>9601</v>
      </c>
      <c r="D3687" s="132" t="s">
        <v>4971</v>
      </c>
      <c r="E3687" s="160" t="s">
        <v>8631</v>
      </c>
      <c r="F3687" s="160" t="s">
        <v>8631</v>
      </c>
      <c r="G3687" s="160" t="s">
        <v>5815</v>
      </c>
      <c r="H3687" s="161" t="s">
        <v>6298</v>
      </c>
      <c r="I3687" s="160">
        <v>961500198</v>
      </c>
      <c r="J3687" s="131" t="s">
        <v>5596</v>
      </c>
      <c r="K3687" s="160">
        <v>92610</v>
      </c>
    </row>
    <row r="3688" spans="1:11">
      <c r="A3688" s="1" t="str">
        <f t="shared" si="57"/>
        <v>15100-48113996-96150030073740</v>
      </c>
      <c r="B3688" s="160" t="s">
        <v>8644</v>
      </c>
      <c r="C3688" s="160" t="s">
        <v>9602</v>
      </c>
      <c r="D3688" s="132" t="s">
        <v>4971</v>
      </c>
      <c r="E3688" s="160" t="s">
        <v>8645</v>
      </c>
      <c r="F3688" s="160" t="s">
        <v>8645</v>
      </c>
      <c r="G3688" s="160" t="s">
        <v>5820</v>
      </c>
      <c r="H3688" s="161" t="s">
        <v>6300</v>
      </c>
      <c r="I3688" s="160">
        <v>961500300</v>
      </c>
      <c r="J3688" s="131" t="s">
        <v>6009</v>
      </c>
      <c r="K3688" s="160">
        <v>73740</v>
      </c>
    </row>
    <row r="3689" spans="1:11">
      <c r="A3689" s="1" t="str">
        <f t="shared" si="57"/>
        <v>15100-47978896-96150045111510</v>
      </c>
      <c r="B3689" s="160" t="s">
        <v>8646</v>
      </c>
      <c r="C3689" s="160" t="s">
        <v>9603</v>
      </c>
      <c r="D3689" s="132" t="s">
        <v>4971</v>
      </c>
      <c r="E3689" s="160" t="s">
        <v>8627</v>
      </c>
      <c r="F3689" s="160" t="s">
        <v>8627</v>
      </c>
      <c r="G3689" s="160" t="s">
        <v>5836</v>
      </c>
      <c r="H3689" s="161" t="s">
        <v>6300</v>
      </c>
      <c r="I3689" s="160">
        <v>961500451</v>
      </c>
      <c r="J3689" s="131" t="s">
        <v>7257</v>
      </c>
      <c r="K3689" s="160">
        <v>11510</v>
      </c>
    </row>
    <row r="3690" spans="1:11">
      <c r="A3690" s="1" t="str">
        <f t="shared" si="57"/>
        <v>15100-47937696-96150016551660</v>
      </c>
      <c r="B3690" s="160" t="s">
        <v>8647</v>
      </c>
      <c r="C3690" s="160" t="s">
        <v>9604</v>
      </c>
      <c r="D3690" s="132" t="s">
        <v>4971</v>
      </c>
      <c r="E3690" s="160" t="s">
        <v>8629</v>
      </c>
      <c r="F3690" s="160" t="s">
        <v>8629</v>
      </c>
      <c r="G3690" s="160" t="s">
        <v>5810</v>
      </c>
      <c r="H3690" s="161" t="s">
        <v>6298</v>
      </c>
      <c r="I3690" s="160">
        <v>961500165</v>
      </c>
      <c r="J3690" s="131" t="s">
        <v>5881</v>
      </c>
      <c r="K3690" s="160">
        <v>51660</v>
      </c>
    </row>
    <row r="3691" spans="1:11">
      <c r="A3691" s="1" t="str">
        <f t="shared" si="57"/>
        <v>15100-47937696-96150022748460</v>
      </c>
      <c r="B3691" s="160" t="s">
        <v>8647</v>
      </c>
      <c r="C3691" s="160" t="s">
        <v>9604</v>
      </c>
      <c r="D3691" s="132" t="s">
        <v>4971</v>
      </c>
      <c r="E3691" s="160" t="s">
        <v>8629</v>
      </c>
      <c r="F3691" s="160" t="s">
        <v>8629</v>
      </c>
      <c r="G3691" s="160" t="s">
        <v>5813</v>
      </c>
      <c r="H3691" s="161" t="s">
        <v>6298</v>
      </c>
      <c r="I3691" s="160">
        <v>961500227</v>
      </c>
      <c r="J3691" s="131" t="s">
        <v>5917</v>
      </c>
      <c r="K3691" s="160">
        <v>48460</v>
      </c>
    </row>
    <row r="3692" spans="1:11">
      <c r="A3692" s="1" t="str">
        <f t="shared" si="57"/>
        <v>15100-47978896-961500317177560</v>
      </c>
      <c r="B3692" s="160" t="s">
        <v>8646</v>
      </c>
      <c r="C3692" s="160" t="s">
        <v>9603</v>
      </c>
      <c r="D3692" s="132" t="s">
        <v>4971</v>
      </c>
      <c r="E3692" s="160" t="s">
        <v>8627</v>
      </c>
      <c r="F3692" s="160" t="s">
        <v>8627</v>
      </c>
      <c r="G3692" s="160" t="s">
        <v>5818</v>
      </c>
      <c r="H3692" s="161" t="s">
        <v>6300</v>
      </c>
      <c r="I3692" s="160">
        <v>961500317</v>
      </c>
      <c r="J3692" s="131" t="s">
        <v>6029</v>
      </c>
      <c r="K3692" s="160">
        <v>177560</v>
      </c>
    </row>
    <row r="3693" spans="1:11">
      <c r="A3693" s="1" t="str">
        <f t="shared" si="57"/>
        <v>15100-48105296-96150044946400</v>
      </c>
      <c r="B3693" s="160" t="s">
        <v>8842</v>
      </c>
      <c r="C3693" s="160" t="s">
        <v>9664</v>
      </c>
      <c r="D3693" s="132" t="s">
        <v>4971</v>
      </c>
      <c r="E3693" s="160" t="s">
        <v>8645</v>
      </c>
      <c r="F3693" s="160" t="s">
        <v>8645</v>
      </c>
      <c r="G3693" s="160" t="s">
        <v>5836</v>
      </c>
      <c r="H3693" s="161" t="s">
        <v>6300</v>
      </c>
      <c r="I3693" s="160">
        <v>961500449</v>
      </c>
      <c r="J3693" s="131" t="s">
        <v>7238</v>
      </c>
      <c r="K3693" s="162">
        <v>46400</v>
      </c>
    </row>
    <row r="3694" spans="1:11">
      <c r="A3694" s="1" t="str">
        <f t="shared" si="57"/>
        <v>15100-47742396-96150024323400</v>
      </c>
      <c r="B3694" s="160" t="s">
        <v>8642</v>
      </c>
      <c r="C3694" s="160" t="s">
        <v>9600</v>
      </c>
      <c r="D3694" s="132" t="s">
        <v>4971</v>
      </c>
      <c r="E3694" s="160" t="s">
        <v>8631</v>
      </c>
      <c r="F3694" s="160" t="s">
        <v>8631</v>
      </c>
      <c r="G3694" s="160" t="s">
        <v>5814</v>
      </c>
      <c r="H3694" s="161" t="s">
        <v>6298</v>
      </c>
      <c r="I3694" s="160">
        <v>961500243</v>
      </c>
      <c r="J3694" s="131" t="s">
        <v>5933</v>
      </c>
      <c r="K3694" s="160">
        <v>23400</v>
      </c>
    </row>
    <row r="3695" spans="1:11">
      <c r="A3695" s="1" t="str">
        <f t="shared" si="57"/>
        <v>15100-47937696-961500181100000</v>
      </c>
      <c r="B3695" s="160" t="s">
        <v>8647</v>
      </c>
      <c r="C3695" s="160" t="s">
        <v>9604</v>
      </c>
      <c r="D3695" s="132" t="s">
        <v>4971</v>
      </c>
      <c r="E3695" s="160" t="s">
        <v>8629</v>
      </c>
      <c r="F3695" s="160" t="s">
        <v>8629</v>
      </c>
      <c r="G3695" s="160" t="s">
        <v>5815</v>
      </c>
      <c r="H3695" s="161" t="s">
        <v>6298</v>
      </c>
      <c r="I3695" s="160">
        <v>961500181</v>
      </c>
      <c r="J3695" s="131" t="s">
        <v>5888</v>
      </c>
      <c r="K3695" s="160">
        <v>100000</v>
      </c>
    </row>
    <row r="3696" spans="1:11">
      <c r="A3696" s="1" t="str">
        <f t="shared" si="57"/>
        <v>15100-48068996-961500436126170</v>
      </c>
      <c r="B3696" s="160" t="s">
        <v>8648</v>
      </c>
      <c r="C3696" s="160" t="s">
        <v>9605</v>
      </c>
      <c r="D3696" s="132" t="s">
        <v>4971</v>
      </c>
      <c r="E3696" s="160" t="s">
        <v>8636</v>
      </c>
      <c r="F3696" s="160" t="s">
        <v>8636</v>
      </c>
      <c r="G3696" s="141" t="s">
        <v>7233</v>
      </c>
      <c r="H3696" s="140" t="s">
        <v>6453</v>
      </c>
      <c r="I3696" s="141">
        <v>961500436</v>
      </c>
      <c r="J3696" s="131" t="s">
        <v>7249</v>
      </c>
      <c r="K3696" s="141">
        <v>126170</v>
      </c>
    </row>
    <row r="3697" spans="1:11">
      <c r="A3697" s="1" t="str">
        <f t="shared" si="57"/>
        <v>15100-47734596-96150020329580</v>
      </c>
      <c r="B3697" s="160" t="s">
        <v>8643</v>
      </c>
      <c r="C3697" s="160" t="s">
        <v>9601</v>
      </c>
      <c r="D3697" s="132" t="s">
        <v>4971</v>
      </c>
      <c r="E3697" s="160" t="s">
        <v>8631</v>
      </c>
      <c r="F3697" s="160" t="s">
        <v>8631</v>
      </c>
      <c r="G3697" s="160" t="s">
        <v>5815</v>
      </c>
      <c r="H3697" s="161" t="s">
        <v>6298</v>
      </c>
      <c r="I3697" s="160">
        <v>961500203</v>
      </c>
      <c r="J3697" s="131" t="s">
        <v>5595</v>
      </c>
      <c r="K3697" s="160">
        <v>29580</v>
      </c>
    </row>
    <row r="3698" spans="1:11">
      <c r="A3698" s="1" t="str">
        <f t="shared" si="57"/>
        <v>15100-47937696-96150018478890</v>
      </c>
      <c r="B3698" s="160" t="s">
        <v>8647</v>
      </c>
      <c r="C3698" s="160" t="s">
        <v>9604</v>
      </c>
      <c r="D3698" s="132" t="s">
        <v>4971</v>
      </c>
      <c r="E3698" s="160" t="s">
        <v>8629</v>
      </c>
      <c r="F3698" s="160" t="s">
        <v>8629</v>
      </c>
      <c r="G3698" s="160" t="s">
        <v>5813</v>
      </c>
      <c r="H3698" s="161" t="s">
        <v>6298</v>
      </c>
      <c r="I3698" s="160">
        <v>961500184</v>
      </c>
      <c r="J3698" s="131" t="s">
        <v>5891</v>
      </c>
      <c r="K3698" s="160">
        <v>78890</v>
      </c>
    </row>
    <row r="3699" spans="1:11">
      <c r="A3699" s="1" t="str">
        <f t="shared" si="57"/>
        <v>15100-48068996-96150045114040</v>
      </c>
      <c r="B3699" s="160" t="s">
        <v>8648</v>
      </c>
      <c r="C3699" s="160" t="s">
        <v>9605</v>
      </c>
      <c r="D3699" s="132" t="s">
        <v>4971</v>
      </c>
      <c r="E3699" s="160" t="s">
        <v>8636</v>
      </c>
      <c r="F3699" s="160" t="s">
        <v>8636</v>
      </c>
      <c r="G3699" s="160" t="s">
        <v>5836</v>
      </c>
      <c r="H3699" s="161" t="s">
        <v>6300</v>
      </c>
      <c r="I3699" s="160">
        <v>961500451</v>
      </c>
      <c r="J3699" s="131" t="s">
        <v>7257</v>
      </c>
      <c r="K3699" s="160">
        <v>14040</v>
      </c>
    </row>
    <row r="3700" spans="1:11">
      <c r="A3700" s="1" t="str">
        <f t="shared" si="57"/>
        <v>15100-47791096-96150037629120</v>
      </c>
      <c r="B3700" s="160" t="s">
        <v>8649</v>
      </c>
      <c r="C3700" s="160" t="s">
        <v>9606</v>
      </c>
      <c r="D3700" s="132" t="s">
        <v>4971</v>
      </c>
      <c r="E3700" s="160" t="s">
        <v>8650</v>
      </c>
      <c r="F3700" s="160" t="s">
        <v>8650</v>
      </c>
      <c r="G3700" s="160" t="s">
        <v>5836</v>
      </c>
      <c r="H3700" s="161" t="s">
        <v>6300</v>
      </c>
      <c r="I3700" s="160">
        <v>961500376</v>
      </c>
      <c r="J3700" s="131" t="s">
        <v>7275</v>
      </c>
      <c r="K3700" s="160">
        <v>29120</v>
      </c>
    </row>
    <row r="3701" spans="1:11">
      <c r="A3701" s="1" t="str">
        <f t="shared" si="57"/>
        <v>15100-47980396-961500299115840</v>
      </c>
      <c r="B3701" s="160" t="s">
        <v>8651</v>
      </c>
      <c r="C3701" s="160" t="s">
        <v>9607</v>
      </c>
      <c r="D3701" s="132" t="s">
        <v>4971</v>
      </c>
      <c r="E3701" s="160" t="s">
        <v>8627</v>
      </c>
      <c r="F3701" s="160" t="s">
        <v>8627</v>
      </c>
      <c r="G3701" s="160" t="s">
        <v>5822</v>
      </c>
      <c r="H3701" s="161" t="s">
        <v>6454</v>
      </c>
      <c r="I3701" s="160">
        <v>961500299</v>
      </c>
      <c r="J3701" s="131" t="s">
        <v>6003</v>
      </c>
      <c r="K3701" s="160">
        <v>115840</v>
      </c>
    </row>
    <row r="3702" spans="1:11">
      <c r="A3702" s="1" t="str">
        <f t="shared" si="57"/>
        <v>15100-48068996-96150044935190</v>
      </c>
      <c r="B3702" s="160" t="s">
        <v>8648</v>
      </c>
      <c r="C3702" s="160" t="s">
        <v>9605</v>
      </c>
      <c r="D3702" s="132" t="s">
        <v>4971</v>
      </c>
      <c r="E3702" s="160" t="s">
        <v>8636</v>
      </c>
      <c r="F3702" s="160" t="s">
        <v>8636</v>
      </c>
      <c r="G3702" s="160" t="s">
        <v>5836</v>
      </c>
      <c r="H3702" s="161" t="s">
        <v>6300</v>
      </c>
      <c r="I3702" s="160">
        <v>961500449</v>
      </c>
      <c r="J3702" s="131" t="s">
        <v>7238</v>
      </c>
      <c r="K3702" s="160">
        <v>35190</v>
      </c>
    </row>
    <row r="3703" spans="1:11">
      <c r="A3703" s="1" t="str">
        <f t="shared" si="57"/>
        <v>15100-47673896-96150020274480</v>
      </c>
      <c r="B3703" s="160" t="s">
        <v>8652</v>
      </c>
      <c r="C3703" s="160" t="s">
        <v>9608</v>
      </c>
      <c r="D3703" s="132" t="s">
        <v>4971</v>
      </c>
      <c r="E3703" s="160" t="s">
        <v>8619</v>
      </c>
      <c r="F3703" s="160" t="s">
        <v>8619</v>
      </c>
      <c r="G3703" s="160" t="s">
        <v>5815</v>
      </c>
      <c r="H3703" s="161" t="s">
        <v>6298</v>
      </c>
      <c r="I3703" s="160">
        <v>961500202</v>
      </c>
      <c r="J3703" s="131" t="s">
        <v>5576</v>
      </c>
      <c r="K3703" s="160">
        <v>74480</v>
      </c>
    </row>
    <row r="3704" spans="1:11">
      <c r="A3704" s="1" t="str">
        <f t="shared" si="57"/>
        <v>15100-47790196-96150020376440</v>
      </c>
      <c r="B3704" s="160" t="s">
        <v>8653</v>
      </c>
      <c r="C3704" s="160" t="s">
        <v>9609</v>
      </c>
      <c r="D3704" s="132" t="s">
        <v>4971</v>
      </c>
      <c r="E3704" s="160" t="s">
        <v>8650</v>
      </c>
      <c r="F3704" s="160" t="s">
        <v>8650</v>
      </c>
      <c r="G3704" s="160" t="s">
        <v>5815</v>
      </c>
      <c r="H3704" s="161" t="s">
        <v>6298</v>
      </c>
      <c r="I3704" s="160">
        <v>961500203</v>
      </c>
      <c r="J3704" s="131" t="s">
        <v>5595</v>
      </c>
      <c r="K3704" s="160">
        <v>76440</v>
      </c>
    </row>
    <row r="3705" spans="1:11">
      <c r="A3705" s="1" t="str">
        <f t="shared" si="57"/>
        <v>15100-47924996-96150048423200</v>
      </c>
      <c r="B3705" s="141" t="s">
        <v>8654</v>
      </c>
      <c r="C3705" s="141" t="s">
        <v>9610</v>
      </c>
      <c r="D3705" s="132" t="s">
        <v>4971</v>
      </c>
      <c r="E3705" s="141" t="s">
        <v>8629</v>
      </c>
      <c r="F3705" s="141" t="s">
        <v>8629</v>
      </c>
      <c r="G3705" s="137">
        <v>1396514714001</v>
      </c>
      <c r="H3705" s="140" t="s">
        <v>11921</v>
      </c>
      <c r="I3705" s="141">
        <v>961500484</v>
      </c>
      <c r="J3705" s="131" t="s">
        <v>8505</v>
      </c>
      <c r="K3705" s="141">
        <v>23200</v>
      </c>
    </row>
    <row r="3706" spans="1:11">
      <c r="A3706" s="1" t="str">
        <f t="shared" si="57"/>
        <v>15100-48120596-961500278270440</v>
      </c>
      <c r="B3706" s="160" t="s">
        <v>8843</v>
      </c>
      <c r="C3706" s="160" t="s">
        <v>9665</v>
      </c>
      <c r="D3706" s="132" t="s">
        <v>4971</v>
      </c>
      <c r="E3706" s="160" t="s">
        <v>8645</v>
      </c>
      <c r="F3706" s="160" t="s">
        <v>8645</v>
      </c>
      <c r="G3706" s="160" t="s">
        <v>5821</v>
      </c>
      <c r="H3706" s="161" t="s">
        <v>6454</v>
      </c>
      <c r="I3706" s="160">
        <v>961500278</v>
      </c>
      <c r="J3706" s="131" t="s">
        <v>5977</v>
      </c>
      <c r="K3706" s="162">
        <v>270440</v>
      </c>
    </row>
    <row r="3707" spans="1:11">
      <c r="A3707" s="1" t="str">
        <f t="shared" si="57"/>
        <v>15100-48118196-961500237175240</v>
      </c>
      <c r="B3707" s="136" t="s">
        <v>9799</v>
      </c>
      <c r="C3707" s="136" t="s">
        <v>11923</v>
      </c>
      <c r="D3707" s="132" t="s">
        <v>4971</v>
      </c>
      <c r="E3707" s="136" t="s">
        <v>8645</v>
      </c>
      <c r="F3707" s="136" t="s">
        <v>8645</v>
      </c>
      <c r="G3707" s="141" t="s">
        <v>5813</v>
      </c>
      <c r="H3707" s="138" t="s">
        <v>6298</v>
      </c>
      <c r="I3707" s="136">
        <v>961500237</v>
      </c>
      <c r="J3707" s="131" t="s">
        <v>5927</v>
      </c>
      <c r="K3707" s="139">
        <v>175240</v>
      </c>
    </row>
    <row r="3708" spans="1:11">
      <c r="A3708" s="1" t="str">
        <f t="shared" si="57"/>
        <v>15100-48118196-961500233247070</v>
      </c>
      <c r="B3708" s="136" t="s">
        <v>9799</v>
      </c>
      <c r="C3708" s="136" t="s">
        <v>11923</v>
      </c>
      <c r="D3708" s="132" t="s">
        <v>4971</v>
      </c>
      <c r="E3708" s="136" t="s">
        <v>8645</v>
      </c>
      <c r="F3708" s="136" t="s">
        <v>8645</v>
      </c>
      <c r="G3708" s="141" t="s">
        <v>5813</v>
      </c>
      <c r="H3708" s="138" t="s">
        <v>6298</v>
      </c>
      <c r="I3708" s="136">
        <v>961500233</v>
      </c>
      <c r="J3708" s="131" t="s">
        <v>5923</v>
      </c>
      <c r="K3708" s="139">
        <v>247070</v>
      </c>
    </row>
    <row r="3709" spans="1:11">
      <c r="A3709" s="1" t="str">
        <f t="shared" si="57"/>
        <v>15100-47791096-96150020343520</v>
      </c>
      <c r="B3709" s="160" t="s">
        <v>8649</v>
      </c>
      <c r="C3709" s="160" t="s">
        <v>9606</v>
      </c>
      <c r="D3709" s="132" t="s">
        <v>4971</v>
      </c>
      <c r="E3709" s="160" t="s">
        <v>8650</v>
      </c>
      <c r="F3709" s="160" t="s">
        <v>8650</v>
      </c>
      <c r="G3709" s="160" t="s">
        <v>5815</v>
      </c>
      <c r="H3709" s="161" t="s">
        <v>6298</v>
      </c>
      <c r="I3709" s="160">
        <v>961500203</v>
      </c>
      <c r="J3709" s="131" t="s">
        <v>5595</v>
      </c>
      <c r="K3709" s="160">
        <v>43520</v>
      </c>
    </row>
    <row r="3710" spans="1:11">
      <c r="A3710" s="1" t="str">
        <f t="shared" si="57"/>
        <v>15100-47791396-96150020349230</v>
      </c>
      <c r="B3710" s="160" t="s">
        <v>8655</v>
      </c>
      <c r="C3710" s="160" t="s">
        <v>9611</v>
      </c>
      <c r="D3710" s="132" t="s">
        <v>4971</v>
      </c>
      <c r="E3710" s="160" t="s">
        <v>8650</v>
      </c>
      <c r="F3710" s="160" t="s">
        <v>8650</v>
      </c>
      <c r="G3710" s="160" t="s">
        <v>5815</v>
      </c>
      <c r="H3710" s="161" t="s">
        <v>6298</v>
      </c>
      <c r="I3710" s="160">
        <v>961500203</v>
      </c>
      <c r="J3710" s="131" t="s">
        <v>5595</v>
      </c>
      <c r="K3710" s="160">
        <v>49230</v>
      </c>
    </row>
    <row r="3711" spans="1:11">
      <c r="A3711" s="1" t="str">
        <f t="shared" si="57"/>
        <v>15100-47980396-96150044650000</v>
      </c>
      <c r="B3711" s="160" t="s">
        <v>8651</v>
      </c>
      <c r="C3711" s="160" t="s">
        <v>9607</v>
      </c>
      <c r="D3711" s="132" t="s">
        <v>4971</v>
      </c>
      <c r="E3711" s="160" t="s">
        <v>8627</v>
      </c>
      <c r="F3711" s="160" t="s">
        <v>8627</v>
      </c>
      <c r="G3711" s="160" t="s">
        <v>5836</v>
      </c>
      <c r="H3711" s="161" t="s">
        <v>6300</v>
      </c>
      <c r="I3711" s="160">
        <v>961500446</v>
      </c>
      <c r="J3711" s="131" t="s">
        <v>8499</v>
      </c>
      <c r="K3711" s="160">
        <v>50000</v>
      </c>
    </row>
    <row r="3712" spans="1:11">
      <c r="A3712" s="1" t="str">
        <f t="shared" si="57"/>
        <v>15100-47980396-961500228150000</v>
      </c>
      <c r="B3712" s="160" t="s">
        <v>8651</v>
      </c>
      <c r="C3712" s="160" t="s">
        <v>9607</v>
      </c>
      <c r="D3712" s="132" t="s">
        <v>4971</v>
      </c>
      <c r="E3712" s="160" t="s">
        <v>8627</v>
      </c>
      <c r="F3712" s="160" t="s">
        <v>8627</v>
      </c>
      <c r="G3712" s="160" t="s">
        <v>5822</v>
      </c>
      <c r="H3712" s="161" t="s">
        <v>6454</v>
      </c>
      <c r="I3712" s="160">
        <v>961500228</v>
      </c>
      <c r="J3712" s="131" t="s">
        <v>5918</v>
      </c>
      <c r="K3712" s="160">
        <v>150000</v>
      </c>
    </row>
    <row r="3713" spans="1:11">
      <c r="A3713" s="1" t="str">
        <f t="shared" si="57"/>
        <v>15100-47791396-96150024323630</v>
      </c>
      <c r="B3713" s="160" t="s">
        <v>8655</v>
      </c>
      <c r="C3713" s="160" t="s">
        <v>9611</v>
      </c>
      <c r="D3713" s="132" t="s">
        <v>4971</v>
      </c>
      <c r="E3713" s="160" t="s">
        <v>8650</v>
      </c>
      <c r="F3713" s="160" t="s">
        <v>8650</v>
      </c>
      <c r="G3713" s="160" t="s">
        <v>5814</v>
      </c>
      <c r="H3713" s="161" t="s">
        <v>6298</v>
      </c>
      <c r="I3713" s="160">
        <v>961500243</v>
      </c>
      <c r="J3713" s="131" t="s">
        <v>5933</v>
      </c>
      <c r="K3713" s="160">
        <v>23630</v>
      </c>
    </row>
    <row r="3714" spans="1:11">
      <c r="A3714" s="1" t="str">
        <f t="shared" si="57"/>
        <v>15100-48120596-961500436214900</v>
      </c>
      <c r="B3714" s="160" t="s">
        <v>8843</v>
      </c>
      <c r="C3714" s="160" t="s">
        <v>9665</v>
      </c>
      <c r="D3714" s="132" t="s">
        <v>4971</v>
      </c>
      <c r="E3714" s="160" t="s">
        <v>8645</v>
      </c>
      <c r="F3714" s="160" t="s">
        <v>8645</v>
      </c>
      <c r="G3714" s="141" t="s">
        <v>7233</v>
      </c>
      <c r="H3714" s="140" t="s">
        <v>6453</v>
      </c>
      <c r="I3714" s="141">
        <v>961500436</v>
      </c>
      <c r="J3714" s="131" t="s">
        <v>7249</v>
      </c>
      <c r="K3714" s="142">
        <v>214900</v>
      </c>
    </row>
    <row r="3715" spans="1:11">
      <c r="A3715" s="1" t="str">
        <f t="shared" ref="A3715:A3778" si="58">B3715&amp;J3715&amp;K3715</f>
        <v>15100-47693496-961500314120000</v>
      </c>
      <c r="B3715" s="160" t="s">
        <v>8656</v>
      </c>
      <c r="C3715" s="160" t="s">
        <v>9612</v>
      </c>
      <c r="D3715" s="132" t="s">
        <v>4971</v>
      </c>
      <c r="E3715" s="160" t="s">
        <v>8619</v>
      </c>
      <c r="F3715" s="160" t="s">
        <v>8619</v>
      </c>
      <c r="G3715" s="160" t="s">
        <v>5847</v>
      </c>
      <c r="H3715" s="161" t="s">
        <v>6299</v>
      </c>
      <c r="I3715" s="160">
        <v>961500314</v>
      </c>
      <c r="J3715" s="131" t="s">
        <v>6025</v>
      </c>
      <c r="K3715" s="160">
        <v>120000</v>
      </c>
    </row>
    <row r="3716" spans="1:11">
      <c r="A3716" s="1" t="str">
        <f t="shared" si="58"/>
        <v>15100-47798396-961500301110000</v>
      </c>
      <c r="B3716" s="160" t="s">
        <v>8657</v>
      </c>
      <c r="C3716" s="160" t="s">
        <v>9613</v>
      </c>
      <c r="D3716" s="132" t="s">
        <v>4971</v>
      </c>
      <c r="E3716" s="160" t="s">
        <v>8650</v>
      </c>
      <c r="F3716" s="160" t="s">
        <v>8650</v>
      </c>
      <c r="G3716" s="160" t="s">
        <v>5818</v>
      </c>
      <c r="H3716" s="161" t="s">
        <v>6300</v>
      </c>
      <c r="I3716" s="160">
        <v>961500301</v>
      </c>
      <c r="J3716" s="131" t="s">
        <v>6010</v>
      </c>
      <c r="K3716" s="160">
        <v>110000</v>
      </c>
    </row>
    <row r="3717" spans="1:11">
      <c r="A3717" s="1" t="str">
        <f t="shared" si="58"/>
        <v>15100-47798396-9615003165890</v>
      </c>
      <c r="B3717" s="160" t="s">
        <v>8657</v>
      </c>
      <c r="C3717" s="160" t="s">
        <v>9613</v>
      </c>
      <c r="D3717" s="132" t="s">
        <v>4971</v>
      </c>
      <c r="E3717" s="160" t="s">
        <v>8650</v>
      </c>
      <c r="F3717" s="160" t="s">
        <v>8650</v>
      </c>
      <c r="G3717" s="160" t="s">
        <v>5818</v>
      </c>
      <c r="H3717" s="161" t="s">
        <v>6300</v>
      </c>
      <c r="I3717" s="160">
        <v>961500316</v>
      </c>
      <c r="J3717" s="131" t="s">
        <v>6028</v>
      </c>
      <c r="K3717" s="160">
        <v>5890</v>
      </c>
    </row>
    <row r="3718" spans="1:11">
      <c r="A3718" s="1" t="str">
        <f t="shared" si="58"/>
        <v>15100-48061896-96150020829300</v>
      </c>
      <c r="B3718" s="160" t="s">
        <v>8844</v>
      </c>
      <c r="C3718" s="160" t="s">
        <v>9666</v>
      </c>
      <c r="D3718" s="132" t="s">
        <v>4971</v>
      </c>
      <c r="E3718" s="160" t="s">
        <v>8636</v>
      </c>
      <c r="F3718" s="160" t="s">
        <v>8636</v>
      </c>
      <c r="G3718" s="160" t="s">
        <v>5816</v>
      </c>
      <c r="H3718" s="161" t="s">
        <v>6454</v>
      </c>
      <c r="I3718" s="160">
        <v>961500208</v>
      </c>
      <c r="J3718" s="131" t="s">
        <v>5901</v>
      </c>
      <c r="K3718" s="162">
        <v>29300</v>
      </c>
    </row>
    <row r="3719" spans="1:11">
      <c r="A3719" s="1" t="str">
        <f t="shared" si="58"/>
        <v>15100-47693496-96150046094200</v>
      </c>
      <c r="B3719" s="160" t="s">
        <v>8656</v>
      </c>
      <c r="C3719" s="160" t="s">
        <v>9612</v>
      </c>
      <c r="D3719" s="132" t="s">
        <v>4971</v>
      </c>
      <c r="E3719" s="160" t="s">
        <v>8619</v>
      </c>
      <c r="F3719" s="160" t="s">
        <v>8619</v>
      </c>
      <c r="G3719" s="160" t="s">
        <v>7241</v>
      </c>
      <c r="H3719" s="161" t="s">
        <v>6299</v>
      </c>
      <c r="I3719" s="160">
        <v>961500460</v>
      </c>
      <c r="J3719" s="131" t="s">
        <v>7240</v>
      </c>
      <c r="K3719" s="160">
        <v>94200</v>
      </c>
    </row>
    <row r="3720" spans="1:11">
      <c r="A3720" s="1" t="str">
        <f t="shared" si="58"/>
        <v>15100-47693496-96150041394320</v>
      </c>
      <c r="B3720" s="160" t="s">
        <v>8656</v>
      </c>
      <c r="C3720" s="160" t="s">
        <v>9612</v>
      </c>
      <c r="D3720" s="132" t="s">
        <v>4971</v>
      </c>
      <c r="E3720" s="160" t="s">
        <v>8619</v>
      </c>
      <c r="F3720" s="160" t="s">
        <v>8619</v>
      </c>
      <c r="G3720" s="141" t="s">
        <v>7233</v>
      </c>
      <c r="H3720" s="140" t="s">
        <v>6453</v>
      </c>
      <c r="I3720" s="141">
        <v>961500413</v>
      </c>
      <c r="J3720" s="131" t="s">
        <v>8496</v>
      </c>
      <c r="K3720" s="141">
        <v>94320</v>
      </c>
    </row>
    <row r="3721" spans="1:11">
      <c r="A3721" s="1" t="str">
        <f t="shared" si="58"/>
        <v>15100-47693496-961500436162660</v>
      </c>
      <c r="B3721" s="160" t="s">
        <v>8656</v>
      </c>
      <c r="C3721" s="160" t="s">
        <v>9612</v>
      </c>
      <c r="D3721" s="132" t="s">
        <v>4971</v>
      </c>
      <c r="E3721" s="160" t="s">
        <v>8619</v>
      </c>
      <c r="F3721" s="160" t="s">
        <v>8619</v>
      </c>
      <c r="G3721" s="141" t="s">
        <v>7233</v>
      </c>
      <c r="H3721" s="140" t="s">
        <v>6453</v>
      </c>
      <c r="I3721" s="141">
        <v>961500436</v>
      </c>
      <c r="J3721" s="131" t="s">
        <v>7249</v>
      </c>
      <c r="K3721" s="141">
        <v>162660</v>
      </c>
    </row>
    <row r="3722" spans="1:11">
      <c r="A3722" s="1" t="str">
        <f t="shared" si="58"/>
        <v>15100-47693496-961500426442380</v>
      </c>
      <c r="B3722" s="160" t="s">
        <v>8656</v>
      </c>
      <c r="C3722" s="160" t="s">
        <v>9612</v>
      </c>
      <c r="D3722" s="132" t="s">
        <v>4971</v>
      </c>
      <c r="E3722" s="160" t="s">
        <v>8619</v>
      </c>
      <c r="F3722" s="160" t="s">
        <v>8619</v>
      </c>
      <c r="G3722" s="141" t="s">
        <v>7233</v>
      </c>
      <c r="H3722" s="140" t="s">
        <v>6453</v>
      </c>
      <c r="I3722" s="141">
        <v>961500426</v>
      </c>
      <c r="J3722" s="131" t="s">
        <v>7246</v>
      </c>
      <c r="K3722" s="141">
        <v>442380</v>
      </c>
    </row>
    <row r="3723" spans="1:11">
      <c r="A3723" s="1" t="str">
        <f t="shared" si="58"/>
        <v>15100-47798396-96150031792750</v>
      </c>
      <c r="B3723" s="160" t="s">
        <v>8657</v>
      </c>
      <c r="C3723" s="160" t="s">
        <v>9613</v>
      </c>
      <c r="D3723" s="132" t="s">
        <v>4971</v>
      </c>
      <c r="E3723" s="160" t="s">
        <v>8650</v>
      </c>
      <c r="F3723" s="160" t="s">
        <v>8650</v>
      </c>
      <c r="G3723" s="160" t="s">
        <v>5818</v>
      </c>
      <c r="H3723" s="161" t="s">
        <v>6300</v>
      </c>
      <c r="I3723" s="160">
        <v>961500317</v>
      </c>
      <c r="J3723" s="131" t="s">
        <v>6029</v>
      </c>
      <c r="K3723" s="160">
        <v>92750</v>
      </c>
    </row>
    <row r="3724" spans="1:11">
      <c r="A3724" s="1" t="str">
        <f t="shared" si="58"/>
        <v>15100-48061896-961500183104610</v>
      </c>
      <c r="B3724" s="160" t="s">
        <v>8844</v>
      </c>
      <c r="C3724" s="160" t="s">
        <v>9666</v>
      </c>
      <c r="D3724" s="132" t="s">
        <v>4971</v>
      </c>
      <c r="E3724" s="160" t="s">
        <v>8636</v>
      </c>
      <c r="F3724" s="160" t="s">
        <v>8636</v>
      </c>
      <c r="G3724" s="160" t="s">
        <v>5816</v>
      </c>
      <c r="H3724" s="161" t="s">
        <v>6454</v>
      </c>
      <c r="I3724" s="160">
        <v>961500183</v>
      </c>
      <c r="J3724" s="131" t="s">
        <v>5890</v>
      </c>
      <c r="K3724" s="162">
        <v>104610</v>
      </c>
    </row>
    <row r="3725" spans="1:11">
      <c r="A3725" s="1" t="str">
        <f t="shared" si="58"/>
        <v>15100-48061896-96150022850000</v>
      </c>
      <c r="B3725" s="160" t="s">
        <v>8844</v>
      </c>
      <c r="C3725" s="160" t="s">
        <v>9666</v>
      </c>
      <c r="D3725" s="132" t="s">
        <v>4971</v>
      </c>
      <c r="E3725" s="160" t="s">
        <v>8636</v>
      </c>
      <c r="F3725" s="160" t="s">
        <v>8636</v>
      </c>
      <c r="G3725" s="160" t="s">
        <v>5822</v>
      </c>
      <c r="H3725" s="161" t="s">
        <v>6454</v>
      </c>
      <c r="I3725" s="160">
        <v>961500228</v>
      </c>
      <c r="J3725" s="131" t="s">
        <v>5918</v>
      </c>
      <c r="K3725" s="162">
        <v>50000</v>
      </c>
    </row>
    <row r="3726" spans="1:11">
      <c r="A3726" s="1" t="str">
        <f t="shared" si="58"/>
        <v>15100-48061896-9615002274510</v>
      </c>
      <c r="B3726" s="160" t="s">
        <v>8844</v>
      </c>
      <c r="C3726" s="160" t="s">
        <v>9666</v>
      </c>
      <c r="D3726" s="132" t="s">
        <v>4971</v>
      </c>
      <c r="E3726" s="160" t="s">
        <v>8636</v>
      </c>
      <c r="F3726" s="160" t="s">
        <v>8636</v>
      </c>
      <c r="G3726" s="160" t="s">
        <v>5813</v>
      </c>
      <c r="H3726" s="161" t="s">
        <v>6298</v>
      </c>
      <c r="I3726" s="160">
        <v>961500227</v>
      </c>
      <c r="J3726" s="131" t="s">
        <v>5917</v>
      </c>
      <c r="K3726" s="162">
        <v>4510</v>
      </c>
    </row>
    <row r="3727" spans="1:11">
      <c r="A3727" s="1" t="str">
        <f t="shared" si="58"/>
        <v>15100-47977096-96150017047820</v>
      </c>
      <c r="B3727" s="160" t="s">
        <v>8637</v>
      </c>
      <c r="C3727" s="160" t="s">
        <v>9595</v>
      </c>
      <c r="D3727" s="132" t="s">
        <v>4971</v>
      </c>
      <c r="E3727" s="160" t="s">
        <v>8627</v>
      </c>
      <c r="F3727" s="160" t="s">
        <v>8627</v>
      </c>
      <c r="G3727" s="160" t="s">
        <v>5810</v>
      </c>
      <c r="H3727" s="161" t="s">
        <v>6298</v>
      </c>
      <c r="I3727" s="160">
        <v>961500170</v>
      </c>
      <c r="J3727" s="131" t="s">
        <v>5598</v>
      </c>
      <c r="K3727" s="160">
        <v>47820</v>
      </c>
    </row>
    <row r="3728" spans="1:11">
      <c r="A3728" s="1" t="str">
        <f t="shared" si="58"/>
        <v>15100-48066296-96150024572130</v>
      </c>
      <c r="B3728" s="160" t="s">
        <v>8658</v>
      </c>
      <c r="C3728" s="160" t="s">
        <v>9614</v>
      </c>
      <c r="D3728" s="132" t="s">
        <v>4971</v>
      </c>
      <c r="E3728" s="160" t="s">
        <v>8636</v>
      </c>
      <c r="F3728" s="160" t="s">
        <v>8636</v>
      </c>
      <c r="G3728" s="160" t="s">
        <v>5814</v>
      </c>
      <c r="H3728" s="161" t="s">
        <v>6298</v>
      </c>
      <c r="I3728" s="160">
        <v>961500245</v>
      </c>
      <c r="J3728" s="131" t="s">
        <v>5935</v>
      </c>
      <c r="K3728" s="160">
        <v>72130</v>
      </c>
    </row>
    <row r="3729" spans="1:11">
      <c r="A3729" s="1" t="str">
        <f t="shared" si="58"/>
        <v>15100-47937696-96150017036790</v>
      </c>
      <c r="B3729" s="160" t="s">
        <v>8647</v>
      </c>
      <c r="C3729" s="160" t="s">
        <v>9604</v>
      </c>
      <c r="D3729" s="132" t="s">
        <v>4971</v>
      </c>
      <c r="E3729" s="160" t="s">
        <v>8629</v>
      </c>
      <c r="F3729" s="160" t="s">
        <v>8629</v>
      </c>
      <c r="G3729" s="160" t="s">
        <v>5810</v>
      </c>
      <c r="H3729" s="161" t="s">
        <v>6298</v>
      </c>
      <c r="I3729" s="160">
        <v>961500170</v>
      </c>
      <c r="J3729" s="131" t="s">
        <v>5598</v>
      </c>
      <c r="K3729" s="160">
        <v>36790</v>
      </c>
    </row>
    <row r="3730" spans="1:11">
      <c r="A3730" s="1" t="str">
        <f t="shared" si="58"/>
        <v>15100-47980396-96150017034000</v>
      </c>
      <c r="B3730" s="160" t="s">
        <v>8651</v>
      </c>
      <c r="C3730" s="160" t="s">
        <v>9607</v>
      </c>
      <c r="D3730" s="132" t="s">
        <v>4971</v>
      </c>
      <c r="E3730" s="160" t="s">
        <v>8627</v>
      </c>
      <c r="F3730" s="160" t="s">
        <v>8627</v>
      </c>
      <c r="G3730" s="160" t="s">
        <v>5810</v>
      </c>
      <c r="H3730" s="161" t="s">
        <v>6298</v>
      </c>
      <c r="I3730" s="160">
        <v>961500170</v>
      </c>
      <c r="J3730" s="131" t="s">
        <v>5598</v>
      </c>
      <c r="K3730" s="160">
        <v>34000</v>
      </c>
    </row>
    <row r="3731" spans="1:11">
      <c r="A3731" s="1" t="str">
        <f t="shared" si="58"/>
        <v>15100-48061896-96150022147480</v>
      </c>
      <c r="B3731" s="160" t="s">
        <v>8844</v>
      </c>
      <c r="C3731" s="160" t="s">
        <v>9666</v>
      </c>
      <c r="D3731" s="132" t="s">
        <v>4971</v>
      </c>
      <c r="E3731" s="160" t="s">
        <v>8636</v>
      </c>
      <c r="F3731" s="160" t="s">
        <v>8636</v>
      </c>
      <c r="G3731" s="160" t="s">
        <v>5821</v>
      </c>
      <c r="H3731" s="161" t="s">
        <v>6454</v>
      </c>
      <c r="I3731" s="160">
        <v>961500221</v>
      </c>
      <c r="J3731" s="131" t="s">
        <v>5911</v>
      </c>
      <c r="K3731" s="162">
        <v>47480</v>
      </c>
    </row>
    <row r="3732" spans="1:11">
      <c r="A3732" s="1" t="str">
        <f t="shared" si="58"/>
        <v>50100-934406896-961500461489500</v>
      </c>
      <c r="B3732" s="136" t="s">
        <v>8761</v>
      </c>
      <c r="C3732" s="136" t="s">
        <v>9623</v>
      </c>
      <c r="D3732" s="132" t="s">
        <v>4971</v>
      </c>
      <c r="E3732" s="136" t="s">
        <v>8621</v>
      </c>
      <c r="F3732" s="136" t="s">
        <v>8621</v>
      </c>
      <c r="G3732" s="136" t="s">
        <v>5836</v>
      </c>
      <c r="H3732" s="138" t="s">
        <v>6300</v>
      </c>
      <c r="I3732" s="136">
        <v>961500461</v>
      </c>
      <c r="J3732" s="131" t="s">
        <v>8762</v>
      </c>
      <c r="K3732" s="139">
        <v>489500</v>
      </c>
    </row>
    <row r="3733" spans="1:11">
      <c r="A3733" s="1" t="str">
        <f t="shared" si="58"/>
        <v>50100-933895396-96250008829435</v>
      </c>
      <c r="B3733" s="136" t="s">
        <v>8763</v>
      </c>
      <c r="C3733" s="136" t="s">
        <v>9624</v>
      </c>
      <c r="D3733" s="132" t="s">
        <v>4971</v>
      </c>
      <c r="E3733" s="136" t="s">
        <v>8764</v>
      </c>
      <c r="F3733" s="136" t="s">
        <v>8764</v>
      </c>
      <c r="G3733" s="136" t="s">
        <v>5842</v>
      </c>
      <c r="H3733" s="138" t="s">
        <v>6300</v>
      </c>
      <c r="I3733" s="136">
        <v>962500088</v>
      </c>
      <c r="J3733" s="131" t="s">
        <v>6331</v>
      </c>
      <c r="K3733" s="139">
        <v>29435</v>
      </c>
    </row>
    <row r="3734" spans="1:11">
      <c r="A3734" s="1" t="str">
        <f t="shared" si="58"/>
        <v>50100-933895396-962500122169353</v>
      </c>
      <c r="B3734" s="136" t="s">
        <v>8763</v>
      </c>
      <c r="C3734" s="136" t="s">
        <v>9624</v>
      </c>
      <c r="D3734" s="132" t="s">
        <v>4971</v>
      </c>
      <c r="E3734" s="136" t="s">
        <v>8764</v>
      </c>
      <c r="F3734" s="136" t="s">
        <v>8764</v>
      </c>
      <c r="G3734" s="144" t="s">
        <v>7145</v>
      </c>
      <c r="H3734" s="145" t="s">
        <v>6300</v>
      </c>
      <c r="I3734" s="144">
        <v>962500122</v>
      </c>
      <c r="J3734" s="131" t="s">
        <v>8765</v>
      </c>
      <c r="K3734" s="146">
        <v>169353</v>
      </c>
    </row>
    <row r="3735" spans="1:11">
      <c r="A3735" s="1" t="str">
        <f t="shared" si="58"/>
        <v>50100-932642596-96150036367154</v>
      </c>
      <c r="B3735" s="136" t="s">
        <v>8766</v>
      </c>
      <c r="C3735" s="136" t="s">
        <v>9625</v>
      </c>
      <c r="D3735" s="132" t="s">
        <v>4971</v>
      </c>
      <c r="E3735" s="136" t="s">
        <v>8767</v>
      </c>
      <c r="F3735" s="147" t="s">
        <v>8767</v>
      </c>
      <c r="G3735" s="141" t="s">
        <v>7233</v>
      </c>
      <c r="H3735" s="140" t="s">
        <v>6453</v>
      </c>
      <c r="I3735" s="141">
        <v>961500363</v>
      </c>
      <c r="J3735" s="131" t="s">
        <v>8768</v>
      </c>
      <c r="K3735" s="142">
        <v>67154</v>
      </c>
    </row>
    <row r="3736" spans="1:11">
      <c r="A3736" s="1" t="str">
        <f t="shared" si="58"/>
        <v>50100-936090296-962500123489775</v>
      </c>
      <c r="B3736" s="136" t="s">
        <v>8769</v>
      </c>
      <c r="C3736" s="136" t="s">
        <v>9626</v>
      </c>
      <c r="D3736" s="132" t="s">
        <v>4971</v>
      </c>
      <c r="E3736" s="136" t="s">
        <v>8770</v>
      </c>
      <c r="F3736" s="136" t="s">
        <v>8770</v>
      </c>
      <c r="G3736" s="131" t="s">
        <v>7145</v>
      </c>
      <c r="H3736" s="134" t="s">
        <v>6300</v>
      </c>
      <c r="I3736" s="131">
        <v>962500123</v>
      </c>
      <c r="J3736" s="131" t="s">
        <v>8771</v>
      </c>
      <c r="K3736" s="135">
        <v>489775</v>
      </c>
    </row>
    <row r="3737" spans="1:11">
      <c r="A3737" s="1" t="str">
        <f t="shared" si="58"/>
        <v>50100-936013596-9641000643499363</v>
      </c>
      <c r="B3737" s="136" t="s">
        <v>8772</v>
      </c>
      <c r="C3737" s="136" t="s">
        <v>9627</v>
      </c>
      <c r="D3737" s="132" t="s">
        <v>4971</v>
      </c>
      <c r="E3737" s="136" t="s">
        <v>8770</v>
      </c>
      <c r="F3737" s="136" t="s">
        <v>8770</v>
      </c>
      <c r="G3737" s="136" t="s">
        <v>8706</v>
      </c>
      <c r="H3737" s="138" t="s">
        <v>6452</v>
      </c>
      <c r="I3737" s="136">
        <v>964100064</v>
      </c>
      <c r="J3737" s="131" t="s">
        <v>8773</v>
      </c>
      <c r="K3737" s="139">
        <v>3499363</v>
      </c>
    </row>
    <row r="3738" spans="1:11">
      <c r="A3738" s="1" t="str">
        <f t="shared" si="58"/>
        <v>50100-932118396-962500114499990</v>
      </c>
      <c r="B3738" s="136" t="s">
        <v>8775</v>
      </c>
      <c r="C3738" s="136" t="s">
        <v>9628</v>
      </c>
      <c r="D3738" s="132" t="s">
        <v>4971</v>
      </c>
      <c r="E3738" s="136" t="s">
        <v>6457</v>
      </c>
      <c r="F3738" s="136" t="s">
        <v>6457</v>
      </c>
      <c r="G3738" s="136" t="s">
        <v>7211</v>
      </c>
      <c r="H3738" s="138" t="s">
        <v>6452</v>
      </c>
      <c r="I3738" s="136">
        <v>962500114</v>
      </c>
      <c r="J3738" s="131" t="s">
        <v>8776</v>
      </c>
      <c r="K3738" s="139">
        <v>499990</v>
      </c>
    </row>
    <row r="3739" spans="1:11">
      <c r="A3739" s="1" t="str">
        <f t="shared" si="58"/>
        <v>50100-932084396-962500110793742</v>
      </c>
      <c r="B3739" s="136" t="s">
        <v>8777</v>
      </c>
      <c r="C3739" s="136" t="s">
        <v>9629</v>
      </c>
      <c r="D3739" s="132" t="s">
        <v>4971</v>
      </c>
      <c r="E3739" s="136" t="s">
        <v>6457</v>
      </c>
      <c r="F3739" s="136" t="s">
        <v>6457</v>
      </c>
      <c r="G3739" s="136" t="s">
        <v>7211</v>
      </c>
      <c r="H3739" s="138" t="s">
        <v>6452</v>
      </c>
      <c r="I3739" s="136">
        <v>962500110</v>
      </c>
      <c r="J3739" s="131" t="s">
        <v>8778</v>
      </c>
      <c r="K3739" s="139">
        <v>793742</v>
      </c>
    </row>
    <row r="3740" spans="1:11">
      <c r="A3740" s="1" t="str">
        <f t="shared" si="58"/>
        <v>50100-932084396-9625001133456</v>
      </c>
      <c r="B3740" s="136" t="s">
        <v>8777</v>
      </c>
      <c r="C3740" s="136" t="s">
        <v>9629</v>
      </c>
      <c r="D3740" s="132" t="s">
        <v>4971</v>
      </c>
      <c r="E3740" s="136" t="s">
        <v>6457</v>
      </c>
      <c r="F3740" s="136" t="s">
        <v>6457</v>
      </c>
      <c r="G3740" s="144" t="s">
        <v>7211</v>
      </c>
      <c r="H3740" s="145" t="s">
        <v>6452</v>
      </c>
      <c r="I3740" s="144">
        <v>962500113</v>
      </c>
      <c r="J3740" s="131" t="s">
        <v>8121</v>
      </c>
      <c r="K3740" s="146">
        <v>3456</v>
      </c>
    </row>
    <row r="3741" spans="1:11">
      <c r="A3741" s="1" t="str">
        <f t="shared" si="58"/>
        <v>50100-934469396-96150036316925</v>
      </c>
      <c r="B3741" s="136" t="s">
        <v>8779</v>
      </c>
      <c r="C3741" s="136" t="s">
        <v>9630</v>
      </c>
      <c r="D3741" s="132" t="s">
        <v>4971</v>
      </c>
      <c r="E3741" s="136" t="s">
        <v>8621</v>
      </c>
      <c r="F3741" s="147" t="s">
        <v>8621</v>
      </c>
      <c r="G3741" s="141" t="s">
        <v>7233</v>
      </c>
      <c r="H3741" s="140" t="s">
        <v>6453</v>
      </c>
      <c r="I3741" s="141">
        <v>961500363</v>
      </c>
      <c r="J3741" s="131" t="s">
        <v>8768</v>
      </c>
      <c r="K3741" s="142">
        <v>16925</v>
      </c>
    </row>
    <row r="3742" spans="1:11">
      <c r="A3742" s="1" t="str">
        <f t="shared" si="58"/>
        <v>50100-934469396-961500437498277</v>
      </c>
      <c r="B3742" s="136" t="s">
        <v>8779</v>
      </c>
      <c r="C3742" s="136" t="s">
        <v>9630</v>
      </c>
      <c r="D3742" s="132" t="s">
        <v>4971</v>
      </c>
      <c r="E3742" s="136" t="s">
        <v>8621</v>
      </c>
      <c r="F3742" s="147" t="s">
        <v>8621</v>
      </c>
      <c r="G3742" s="141" t="s">
        <v>7233</v>
      </c>
      <c r="H3742" s="140" t="s">
        <v>6453</v>
      </c>
      <c r="I3742" s="141">
        <v>961500437</v>
      </c>
      <c r="J3742" s="131" t="s">
        <v>8780</v>
      </c>
      <c r="K3742" s="142">
        <v>498277</v>
      </c>
    </row>
    <row r="3743" spans="1:11">
      <c r="A3743" s="1" t="str">
        <f t="shared" si="58"/>
        <v>50100-934092996-961500526291600</v>
      </c>
      <c r="B3743" s="136" t="s">
        <v>8781</v>
      </c>
      <c r="C3743" s="136" t="s">
        <v>9631</v>
      </c>
      <c r="D3743" s="132" t="s">
        <v>4971</v>
      </c>
      <c r="E3743" s="136" t="s">
        <v>8764</v>
      </c>
      <c r="F3743" s="136" t="s">
        <v>8764</v>
      </c>
      <c r="G3743" s="153" t="s">
        <v>8497</v>
      </c>
      <c r="H3743" s="154" t="s">
        <v>6453</v>
      </c>
      <c r="I3743" s="153">
        <v>961500526</v>
      </c>
      <c r="J3743" s="131" t="s">
        <v>8782</v>
      </c>
      <c r="K3743" s="155">
        <v>291600</v>
      </c>
    </row>
    <row r="3744" spans="1:11">
      <c r="A3744" s="1" t="str">
        <f t="shared" si="58"/>
        <v>50100-931381096-9641000611749931</v>
      </c>
      <c r="B3744" s="136" t="s">
        <v>8783</v>
      </c>
      <c r="C3744" s="136" t="s">
        <v>9632</v>
      </c>
      <c r="D3744" s="132" t="s">
        <v>4971</v>
      </c>
      <c r="E3744" s="136" t="s">
        <v>8617</v>
      </c>
      <c r="F3744" s="136" t="s">
        <v>8617</v>
      </c>
      <c r="G3744" s="136" t="s">
        <v>7124</v>
      </c>
      <c r="H3744" s="138" t="s">
        <v>6452</v>
      </c>
      <c r="I3744" s="136">
        <v>964100061</v>
      </c>
      <c r="J3744" s="131" t="s">
        <v>8784</v>
      </c>
      <c r="K3744" s="139">
        <v>1749931</v>
      </c>
    </row>
    <row r="3745" spans="1:11">
      <c r="A3745" s="1" t="str">
        <f t="shared" si="58"/>
        <v>50100-936025896-964100065948498</v>
      </c>
      <c r="B3745" s="136" t="s">
        <v>8785</v>
      </c>
      <c r="C3745" s="136" t="s">
        <v>9633</v>
      </c>
      <c r="D3745" s="132" t="s">
        <v>4971</v>
      </c>
      <c r="E3745" s="136" t="s">
        <v>8770</v>
      </c>
      <c r="F3745" s="136" t="s">
        <v>8770</v>
      </c>
      <c r="G3745" s="166">
        <v>1396510928001</v>
      </c>
      <c r="H3745" s="145" t="s">
        <v>6452</v>
      </c>
      <c r="I3745" s="144">
        <v>964100065</v>
      </c>
      <c r="J3745" s="131" t="s">
        <v>8786</v>
      </c>
      <c r="K3745" s="146">
        <v>948498</v>
      </c>
    </row>
    <row r="3746" spans="1:11">
      <c r="A3746" s="1" t="str">
        <f t="shared" si="58"/>
        <v>50100-934092996-9615004278330</v>
      </c>
      <c r="B3746" s="136" t="s">
        <v>8781</v>
      </c>
      <c r="C3746" s="136" t="s">
        <v>9631</v>
      </c>
      <c r="D3746" s="132" t="s">
        <v>4971</v>
      </c>
      <c r="E3746" s="136" t="s">
        <v>8764</v>
      </c>
      <c r="F3746" s="147" t="s">
        <v>8764</v>
      </c>
      <c r="G3746" s="141" t="s">
        <v>7233</v>
      </c>
      <c r="H3746" s="140" t="s">
        <v>6453</v>
      </c>
      <c r="I3746" s="141">
        <v>961500427</v>
      </c>
      <c r="J3746" s="131" t="s">
        <v>7871</v>
      </c>
      <c r="K3746" s="142">
        <v>8330</v>
      </c>
    </row>
    <row r="3747" spans="1:11">
      <c r="A3747" s="1" t="str">
        <f t="shared" si="58"/>
        <v>50100-932851096-962500114480246</v>
      </c>
      <c r="B3747" s="136" t="s">
        <v>8787</v>
      </c>
      <c r="C3747" s="136" t="s">
        <v>9634</v>
      </c>
      <c r="D3747" s="132" t="s">
        <v>4971</v>
      </c>
      <c r="E3747" s="136" t="s">
        <v>8788</v>
      </c>
      <c r="F3747" s="136" t="s">
        <v>8788</v>
      </c>
      <c r="G3747" s="131" t="s">
        <v>7211</v>
      </c>
      <c r="H3747" s="134" t="s">
        <v>6452</v>
      </c>
      <c r="I3747" s="131">
        <v>962500114</v>
      </c>
      <c r="J3747" s="131" t="s">
        <v>8776</v>
      </c>
      <c r="K3747" s="135">
        <v>480246</v>
      </c>
    </row>
    <row r="3748" spans="1:11">
      <c r="A3748" s="1" t="str">
        <f t="shared" si="58"/>
        <v>50100-931369296-9641000623493888</v>
      </c>
      <c r="B3748" s="136" t="s">
        <v>8789</v>
      </c>
      <c r="C3748" s="136" t="s">
        <v>9635</v>
      </c>
      <c r="D3748" s="132" t="s">
        <v>4971</v>
      </c>
      <c r="E3748" s="136" t="s">
        <v>8617</v>
      </c>
      <c r="F3748" s="136" t="s">
        <v>8617</v>
      </c>
      <c r="G3748" s="136" t="s">
        <v>7124</v>
      </c>
      <c r="H3748" s="138" t="s">
        <v>6452</v>
      </c>
      <c r="I3748" s="136">
        <v>964100062</v>
      </c>
      <c r="J3748" s="131" t="s">
        <v>8790</v>
      </c>
      <c r="K3748" s="139">
        <v>3493888</v>
      </c>
    </row>
    <row r="3749" spans="1:11">
      <c r="A3749" s="1" t="str">
        <f t="shared" si="58"/>
        <v>50100-933684796-961500288487000</v>
      </c>
      <c r="B3749" s="136" t="s">
        <v>8791</v>
      </c>
      <c r="C3749" s="136" t="s">
        <v>9636</v>
      </c>
      <c r="D3749" s="132" t="s">
        <v>4971</v>
      </c>
      <c r="E3749" s="136" t="s">
        <v>8764</v>
      </c>
      <c r="F3749" s="136" t="s">
        <v>8764</v>
      </c>
      <c r="G3749" s="136" t="s">
        <v>5826</v>
      </c>
      <c r="H3749" s="138" t="s">
        <v>6298</v>
      </c>
      <c r="I3749" s="136">
        <v>961500288</v>
      </c>
      <c r="J3749" s="131" t="s">
        <v>5990</v>
      </c>
      <c r="K3749" s="139">
        <v>487000</v>
      </c>
    </row>
    <row r="3750" spans="1:11">
      <c r="A3750" s="1" t="str">
        <f t="shared" si="58"/>
        <v>50100-933684796-961500289300000</v>
      </c>
      <c r="B3750" s="136" t="s">
        <v>8791</v>
      </c>
      <c r="C3750" s="136" t="s">
        <v>9636</v>
      </c>
      <c r="D3750" s="132" t="s">
        <v>4971</v>
      </c>
      <c r="E3750" s="136" t="s">
        <v>8764</v>
      </c>
      <c r="F3750" s="136" t="s">
        <v>8764</v>
      </c>
      <c r="G3750" s="136" t="s">
        <v>5826</v>
      </c>
      <c r="H3750" s="138" t="s">
        <v>6298</v>
      </c>
      <c r="I3750" s="136">
        <v>961500289</v>
      </c>
      <c r="J3750" s="131" t="s">
        <v>5991</v>
      </c>
      <c r="K3750" s="139">
        <v>300000</v>
      </c>
    </row>
    <row r="3751" spans="1:11">
      <c r="A3751" s="1" t="str">
        <f t="shared" si="58"/>
        <v>50100-935526296-961500359445360</v>
      </c>
      <c r="B3751" s="136" t="s">
        <v>8792</v>
      </c>
      <c r="C3751" s="136" t="s">
        <v>9637</v>
      </c>
      <c r="D3751" s="132" t="s">
        <v>4971</v>
      </c>
      <c r="E3751" s="136" t="s">
        <v>8793</v>
      </c>
      <c r="F3751" s="136" t="s">
        <v>8793</v>
      </c>
      <c r="G3751" s="136" t="s">
        <v>5836</v>
      </c>
      <c r="H3751" s="138" t="s">
        <v>6300</v>
      </c>
      <c r="I3751" s="136">
        <v>961500359</v>
      </c>
      <c r="J3751" s="131" t="s">
        <v>8794</v>
      </c>
      <c r="K3751" s="139">
        <v>445360</v>
      </c>
    </row>
    <row r="3752" spans="1:11">
      <c r="A3752" s="1" t="str">
        <f t="shared" si="58"/>
        <v>50100-933795996-961500359299640</v>
      </c>
      <c r="B3752" s="136" t="s">
        <v>8795</v>
      </c>
      <c r="C3752" s="136" t="s">
        <v>9638</v>
      </c>
      <c r="D3752" s="132" t="s">
        <v>4971</v>
      </c>
      <c r="E3752" s="136" t="s">
        <v>8764</v>
      </c>
      <c r="F3752" s="136" t="s">
        <v>8764</v>
      </c>
      <c r="G3752" s="136" t="s">
        <v>5836</v>
      </c>
      <c r="H3752" s="138" t="s">
        <v>6300</v>
      </c>
      <c r="I3752" s="136">
        <v>961500359</v>
      </c>
      <c r="J3752" s="131" t="s">
        <v>8794</v>
      </c>
      <c r="K3752" s="139">
        <v>299640</v>
      </c>
    </row>
    <row r="3753" spans="1:11">
      <c r="A3753" s="1" t="str">
        <f t="shared" si="58"/>
        <v>50100-932099196-96250011419370</v>
      </c>
      <c r="B3753" s="136" t="s">
        <v>8796</v>
      </c>
      <c r="C3753" s="136" t="s">
        <v>9639</v>
      </c>
      <c r="D3753" s="132" t="s">
        <v>4971</v>
      </c>
      <c r="E3753" s="136" t="s">
        <v>6457</v>
      </c>
      <c r="F3753" s="136" t="s">
        <v>6457</v>
      </c>
      <c r="G3753" s="144" t="s">
        <v>7211</v>
      </c>
      <c r="H3753" s="145" t="s">
        <v>6452</v>
      </c>
      <c r="I3753" s="144">
        <v>962500114</v>
      </c>
      <c r="J3753" s="131" t="s">
        <v>8776</v>
      </c>
      <c r="K3753" s="146">
        <v>19370</v>
      </c>
    </row>
    <row r="3754" spans="1:11">
      <c r="A3754" s="1" t="str">
        <f t="shared" si="58"/>
        <v>50100-932548696-961500363915921</v>
      </c>
      <c r="B3754" s="136" t="s">
        <v>8797</v>
      </c>
      <c r="C3754" s="136" t="s">
        <v>9640</v>
      </c>
      <c r="D3754" s="132" t="s">
        <v>4971</v>
      </c>
      <c r="E3754" s="136" t="s">
        <v>8767</v>
      </c>
      <c r="F3754" s="147" t="s">
        <v>8767</v>
      </c>
      <c r="G3754" s="141" t="s">
        <v>7233</v>
      </c>
      <c r="H3754" s="140" t="s">
        <v>6453</v>
      </c>
      <c r="I3754" s="141">
        <v>961500363</v>
      </c>
      <c r="J3754" s="131" t="s">
        <v>8768</v>
      </c>
      <c r="K3754" s="142">
        <v>915921</v>
      </c>
    </row>
    <row r="3755" spans="1:11">
      <c r="A3755" s="1" t="str">
        <f t="shared" si="58"/>
        <v>50100-933684796-961500283160000</v>
      </c>
      <c r="B3755" s="136" t="s">
        <v>8791</v>
      </c>
      <c r="C3755" s="136" t="s">
        <v>9636</v>
      </c>
      <c r="D3755" s="132" t="s">
        <v>4971</v>
      </c>
      <c r="E3755" s="136" t="s">
        <v>8764</v>
      </c>
      <c r="F3755" s="136" t="s">
        <v>8764</v>
      </c>
      <c r="G3755" s="131" t="s">
        <v>5826</v>
      </c>
      <c r="H3755" s="134" t="s">
        <v>6298</v>
      </c>
      <c r="I3755" s="131">
        <v>961500283</v>
      </c>
      <c r="J3755" s="131" t="s">
        <v>5985</v>
      </c>
      <c r="K3755" s="135">
        <v>160000</v>
      </c>
    </row>
    <row r="3756" spans="1:11">
      <c r="A3756" s="1" t="str">
        <f t="shared" si="58"/>
        <v>50100-937315596-961500442150000</v>
      </c>
      <c r="B3756" s="136" t="s">
        <v>8798</v>
      </c>
      <c r="C3756" s="136" t="s">
        <v>9641</v>
      </c>
      <c r="D3756" s="132" t="s">
        <v>4971</v>
      </c>
      <c r="E3756" s="136" t="s">
        <v>8695</v>
      </c>
      <c r="F3756" s="136" t="s">
        <v>8695</v>
      </c>
      <c r="G3756" s="136" t="s">
        <v>5836</v>
      </c>
      <c r="H3756" s="138" t="s">
        <v>6300</v>
      </c>
      <c r="I3756" s="136">
        <v>961500442</v>
      </c>
      <c r="J3756" s="131" t="s">
        <v>8799</v>
      </c>
      <c r="K3756" s="139">
        <v>150000</v>
      </c>
    </row>
    <row r="3757" spans="1:11">
      <c r="A3757" s="1" t="str">
        <f t="shared" si="58"/>
        <v>50100-937315596-961500452800000</v>
      </c>
      <c r="B3757" s="136" t="s">
        <v>8798</v>
      </c>
      <c r="C3757" s="136" t="s">
        <v>9641</v>
      </c>
      <c r="D3757" s="132" t="s">
        <v>4971</v>
      </c>
      <c r="E3757" s="136" t="s">
        <v>8695</v>
      </c>
      <c r="F3757" s="136" t="s">
        <v>8695</v>
      </c>
      <c r="G3757" s="144" t="s">
        <v>5836</v>
      </c>
      <c r="H3757" s="145" t="s">
        <v>6300</v>
      </c>
      <c r="I3757" s="144">
        <v>961500452</v>
      </c>
      <c r="J3757" s="131" t="s">
        <v>8800</v>
      </c>
      <c r="K3757" s="146">
        <v>800000</v>
      </c>
    </row>
    <row r="3758" spans="1:11">
      <c r="A3758" s="1" t="str">
        <f t="shared" si="58"/>
        <v>50100-932548696-961500362193095</v>
      </c>
      <c r="B3758" s="136" t="s">
        <v>8797</v>
      </c>
      <c r="C3758" s="136" t="s">
        <v>9640</v>
      </c>
      <c r="D3758" s="132" t="s">
        <v>4971</v>
      </c>
      <c r="E3758" s="136" t="s">
        <v>8767</v>
      </c>
      <c r="F3758" s="147" t="s">
        <v>8767</v>
      </c>
      <c r="G3758" s="141" t="s">
        <v>7233</v>
      </c>
      <c r="H3758" s="140" t="s">
        <v>6453</v>
      </c>
      <c r="I3758" s="141">
        <v>961500362</v>
      </c>
      <c r="J3758" s="131" t="s">
        <v>7254</v>
      </c>
      <c r="K3758" s="142">
        <v>193095</v>
      </c>
    </row>
    <row r="3759" spans="1:11">
      <c r="A3759" s="1" t="str">
        <f t="shared" si="58"/>
        <v>50100-936200996-96150043791723</v>
      </c>
      <c r="B3759" s="136" t="s">
        <v>8801</v>
      </c>
      <c r="C3759" s="136" t="s">
        <v>9642</v>
      </c>
      <c r="D3759" s="132" t="s">
        <v>4971</v>
      </c>
      <c r="E3759" s="136" t="s">
        <v>8770</v>
      </c>
      <c r="F3759" s="147" t="s">
        <v>8770</v>
      </c>
      <c r="G3759" s="141" t="s">
        <v>7233</v>
      </c>
      <c r="H3759" s="140" t="s">
        <v>6453</v>
      </c>
      <c r="I3759" s="141">
        <v>961500437</v>
      </c>
      <c r="J3759" s="131" t="s">
        <v>8780</v>
      </c>
      <c r="K3759" s="142">
        <v>91723</v>
      </c>
    </row>
    <row r="3760" spans="1:11">
      <c r="A3760" s="1" t="str">
        <f t="shared" si="58"/>
        <v>50100-933684796-96150029449050</v>
      </c>
      <c r="B3760" s="136" t="s">
        <v>8791</v>
      </c>
      <c r="C3760" s="136" t="s">
        <v>9636</v>
      </c>
      <c r="D3760" s="132" t="s">
        <v>4971</v>
      </c>
      <c r="E3760" s="136" t="s">
        <v>8764</v>
      </c>
      <c r="F3760" s="136" t="s">
        <v>8764</v>
      </c>
      <c r="G3760" s="131" t="s">
        <v>5826</v>
      </c>
      <c r="H3760" s="134" t="s">
        <v>6298</v>
      </c>
      <c r="I3760" s="131">
        <v>961500294</v>
      </c>
      <c r="J3760" s="131" t="s">
        <v>5997</v>
      </c>
      <c r="K3760" s="135">
        <v>49050</v>
      </c>
    </row>
    <row r="3761" spans="1:11">
      <c r="A3761" s="1" t="str">
        <f t="shared" si="58"/>
        <v>50100-932851096-96250011719754</v>
      </c>
      <c r="B3761" s="136" t="s">
        <v>8787</v>
      </c>
      <c r="C3761" s="136" t="s">
        <v>9634</v>
      </c>
      <c r="D3761" s="132" t="s">
        <v>4971</v>
      </c>
      <c r="E3761" s="136" t="s">
        <v>8788</v>
      </c>
      <c r="F3761" s="136" t="s">
        <v>8788</v>
      </c>
      <c r="G3761" s="136" t="s">
        <v>7211</v>
      </c>
      <c r="H3761" s="138" t="s">
        <v>6452</v>
      </c>
      <c r="I3761" s="136">
        <v>962500117</v>
      </c>
      <c r="J3761" s="131" t="s">
        <v>8802</v>
      </c>
      <c r="K3761" s="139">
        <v>19754</v>
      </c>
    </row>
    <row r="3762" spans="1:11">
      <c r="A3762" s="1" t="str">
        <f t="shared" si="58"/>
        <v>50100-932099196-962500111280510</v>
      </c>
      <c r="B3762" s="136" t="s">
        <v>8796</v>
      </c>
      <c r="C3762" s="136" t="s">
        <v>9639</v>
      </c>
      <c r="D3762" s="132" t="s">
        <v>4971</v>
      </c>
      <c r="E3762" s="136" t="s">
        <v>6457</v>
      </c>
      <c r="F3762" s="136" t="s">
        <v>6457</v>
      </c>
      <c r="G3762" s="136" t="s">
        <v>7211</v>
      </c>
      <c r="H3762" s="138" t="s">
        <v>6452</v>
      </c>
      <c r="I3762" s="136">
        <v>962500111</v>
      </c>
      <c r="J3762" s="131" t="s">
        <v>8803</v>
      </c>
      <c r="K3762" s="139">
        <v>280510</v>
      </c>
    </row>
    <row r="3763" spans="1:11">
      <c r="A3763" s="1" t="str">
        <f t="shared" si="58"/>
        <v>50100-934434996-9641000632129627</v>
      </c>
      <c r="B3763" s="136" t="s">
        <v>8804</v>
      </c>
      <c r="C3763" s="136" t="s">
        <v>9643</v>
      </c>
      <c r="D3763" s="132" t="s">
        <v>4971</v>
      </c>
      <c r="E3763" s="136" t="s">
        <v>8621</v>
      </c>
      <c r="F3763" s="136" t="s">
        <v>8621</v>
      </c>
      <c r="G3763" s="136" t="s">
        <v>8706</v>
      </c>
      <c r="H3763" s="138" t="s">
        <v>6452</v>
      </c>
      <c r="I3763" s="136">
        <v>964100063</v>
      </c>
      <c r="J3763" s="131" t="s">
        <v>8805</v>
      </c>
      <c r="K3763" s="139">
        <v>2129627</v>
      </c>
    </row>
    <row r="3764" spans="1:11">
      <c r="A3764" s="1" t="str">
        <f t="shared" si="58"/>
        <v>50100-937315596-961500465144836</v>
      </c>
      <c r="B3764" s="136" t="s">
        <v>8798</v>
      </c>
      <c r="C3764" s="136" t="s">
        <v>9641</v>
      </c>
      <c r="D3764" s="132" t="s">
        <v>4971</v>
      </c>
      <c r="E3764" s="136" t="s">
        <v>8695</v>
      </c>
      <c r="F3764" s="136" t="s">
        <v>8695</v>
      </c>
      <c r="G3764" s="136" t="s">
        <v>5836</v>
      </c>
      <c r="H3764" s="138" t="s">
        <v>6300</v>
      </c>
      <c r="I3764" s="136">
        <v>961500465</v>
      </c>
      <c r="J3764" s="131" t="s">
        <v>8806</v>
      </c>
      <c r="K3764" s="139">
        <v>144836</v>
      </c>
    </row>
    <row r="3765" spans="1:11">
      <c r="A3765" s="1" t="str">
        <f t="shared" si="58"/>
        <v>50100-932064596-962500112300000</v>
      </c>
      <c r="B3765" s="136" t="s">
        <v>8807</v>
      </c>
      <c r="C3765" s="136" t="s">
        <v>9644</v>
      </c>
      <c r="D3765" s="132" t="s">
        <v>4971</v>
      </c>
      <c r="E3765" s="136" t="s">
        <v>6457</v>
      </c>
      <c r="F3765" s="136" t="s">
        <v>6457</v>
      </c>
      <c r="G3765" s="136" t="s">
        <v>7211</v>
      </c>
      <c r="H3765" s="138" t="s">
        <v>6452</v>
      </c>
      <c r="I3765" s="136">
        <v>962500112</v>
      </c>
      <c r="J3765" s="131" t="s">
        <v>8808</v>
      </c>
      <c r="K3765" s="139">
        <v>300000</v>
      </c>
    </row>
    <row r="3766" spans="1:11">
      <c r="A3766" s="1" t="str">
        <f t="shared" si="58"/>
        <v>50100-935526296-96150035856070</v>
      </c>
      <c r="B3766" s="136" t="s">
        <v>8792</v>
      </c>
      <c r="C3766" s="136" t="s">
        <v>9637</v>
      </c>
      <c r="D3766" s="132" t="s">
        <v>4971</v>
      </c>
      <c r="E3766" s="136" t="s">
        <v>8793</v>
      </c>
      <c r="F3766" s="136" t="s">
        <v>8793</v>
      </c>
      <c r="G3766" s="136" t="s">
        <v>5836</v>
      </c>
      <c r="H3766" s="138" t="s">
        <v>6300</v>
      </c>
      <c r="I3766" s="136">
        <v>961500358</v>
      </c>
      <c r="J3766" s="131" t="s">
        <v>6335</v>
      </c>
      <c r="K3766" s="139">
        <v>56070</v>
      </c>
    </row>
    <row r="3767" spans="1:11">
      <c r="A3767" s="1" t="str">
        <f t="shared" si="58"/>
        <v>50100-932084396-96250011119112</v>
      </c>
      <c r="B3767" s="136" t="s">
        <v>8777</v>
      </c>
      <c r="C3767" s="136" t="s">
        <v>9629</v>
      </c>
      <c r="D3767" s="132" t="s">
        <v>4971</v>
      </c>
      <c r="E3767" s="136" t="s">
        <v>6457</v>
      </c>
      <c r="F3767" s="136" t="s">
        <v>6457</v>
      </c>
      <c r="G3767" s="136" t="s">
        <v>7211</v>
      </c>
      <c r="H3767" s="138" t="s">
        <v>6452</v>
      </c>
      <c r="I3767" s="136">
        <v>962500111</v>
      </c>
      <c r="J3767" s="131" t="s">
        <v>8803</v>
      </c>
      <c r="K3767" s="139">
        <v>19112</v>
      </c>
    </row>
    <row r="3768" spans="1:11">
      <c r="A3768" s="1" t="str">
        <f t="shared" si="58"/>
        <v>50100-933858096-962500120450000</v>
      </c>
      <c r="B3768" s="136" t="s">
        <v>8809</v>
      </c>
      <c r="C3768" s="136" t="s">
        <v>9645</v>
      </c>
      <c r="D3768" s="132" t="s">
        <v>4971</v>
      </c>
      <c r="E3768" s="136" t="s">
        <v>8764</v>
      </c>
      <c r="F3768" s="136" t="s">
        <v>8764</v>
      </c>
      <c r="G3768" s="136" t="s">
        <v>7145</v>
      </c>
      <c r="H3768" s="138" t="s">
        <v>6300</v>
      </c>
      <c r="I3768" s="136">
        <v>962500120</v>
      </c>
      <c r="J3768" s="131" t="s">
        <v>8810</v>
      </c>
      <c r="K3768" s="139">
        <v>450000</v>
      </c>
    </row>
    <row r="3769" spans="1:11">
      <c r="A3769" s="1" t="str">
        <f t="shared" si="58"/>
        <v>50100-933173696-96250008810000</v>
      </c>
      <c r="B3769" s="136" t="s">
        <v>8811</v>
      </c>
      <c r="C3769" s="136" t="s">
        <v>9646</v>
      </c>
      <c r="D3769" s="132" t="s">
        <v>4971</v>
      </c>
      <c r="E3769" s="136" t="s">
        <v>8788</v>
      </c>
      <c r="F3769" s="136" t="s">
        <v>8788</v>
      </c>
      <c r="G3769" s="136" t="s">
        <v>5842</v>
      </c>
      <c r="H3769" s="138" t="s">
        <v>6300</v>
      </c>
      <c r="I3769" s="136">
        <v>962500088</v>
      </c>
      <c r="J3769" s="131" t="s">
        <v>6331</v>
      </c>
      <c r="K3769" s="139">
        <v>10000</v>
      </c>
    </row>
    <row r="3770" spans="1:11">
      <c r="A3770" s="1" t="str">
        <f t="shared" si="58"/>
        <v>50100-933858096-96250010217122</v>
      </c>
      <c r="B3770" s="136" t="s">
        <v>8809</v>
      </c>
      <c r="C3770" s="136" t="s">
        <v>9645</v>
      </c>
      <c r="D3770" s="132" t="s">
        <v>4971</v>
      </c>
      <c r="E3770" s="136" t="s">
        <v>8764</v>
      </c>
      <c r="F3770" s="136" t="s">
        <v>8764</v>
      </c>
      <c r="G3770" s="136" t="s">
        <v>5842</v>
      </c>
      <c r="H3770" s="138" t="s">
        <v>6300</v>
      </c>
      <c r="I3770" s="136">
        <v>962500102</v>
      </c>
      <c r="J3770" s="131" t="s">
        <v>6367</v>
      </c>
      <c r="K3770" s="139">
        <v>17122</v>
      </c>
    </row>
    <row r="3771" spans="1:11">
      <c r="A3771" s="1" t="str">
        <f t="shared" si="58"/>
        <v>50100-933795996-961500385701460</v>
      </c>
      <c r="B3771" s="136" t="s">
        <v>8795</v>
      </c>
      <c r="C3771" s="136" t="s">
        <v>9638</v>
      </c>
      <c r="D3771" s="132" t="s">
        <v>4971</v>
      </c>
      <c r="E3771" s="136" t="s">
        <v>8764</v>
      </c>
      <c r="F3771" s="136" t="s">
        <v>8764</v>
      </c>
      <c r="G3771" s="136" t="s">
        <v>5836</v>
      </c>
      <c r="H3771" s="138" t="s">
        <v>6300</v>
      </c>
      <c r="I3771" s="136">
        <v>961500385</v>
      </c>
      <c r="J3771" s="131" t="s">
        <v>6358</v>
      </c>
      <c r="K3771" s="139">
        <v>701460</v>
      </c>
    </row>
    <row r="3772" spans="1:11">
      <c r="A3772" s="1" t="str">
        <f t="shared" si="58"/>
        <v>50100-933858096-96250010859418</v>
      </c>
      <c r="B3772" s="136" t="s">
        <v>8809</v>
      </c>
      <c r="C3772" s="136" t="s">
        <v>9645</v>
      </c>
      <c r="D3772" s="132" t="s">
        <v>4971</v>
      </c>
      <c r="E3772" s="136" t="s">
        <v>8764</v>
      </c>
      <c r="F3772" s="136" t="s">
        <v>8764</v>
      </c>
      <c r="G3772" s="136" t="s">
        <v>7145</v>
      </c>
      <c r="H3772" s="138" t="s">
        <v>6300</v>
      </c>
      <c r="I3772" s="136">
        <v>962500108</v>
      </c>
      <c r="J3772" s="131" t="s">
        <v>8812</v>
      </c>
      <c r="K3772" s="139">
        <v>59418</v>
      </c>
    </row>
    <row r="3773" spans="1:11">
      <c r="A3773" s="1" t="str">
        <f t="shared" si="58"/>
        <v>50100-937315596-961500358109664</v>
      </c>
      <c r="B3773" s="136" t="s">
        <v>8798</v>
      </c>
      <c r="C3773" s="136" t="s">
        <v>9641</v>
      </c>
      <c r="D3773" s="132" t="s">
        <v>4971</v>
      </c>
      <c r="E3773" s="136" t="s">
        <v>8695</v>
      </c>
      <c r="F3773" s="136" t="s">
        <v>8695</v>
      </c>
      <c r="G3773" s="136" t="s">
        <v>5836</v>
      </c>
      <c r="H3773" s="138" t="s">
        <v>6300</v>
      </c>
      <c r="I3773" s="136">
        <v>961500358</v>
      </c>
      <c r="J3773" s="131" t="s">
        <v>6335</v>
      </c>
      <c r="K3773" s="139">
        <v>109664</v>
      </c>
    </row>
    <row r="3774" spans="1:11">
      <c r="A3774" s="1" t="str">
        <f t="shared" si="58"/>
        <v>50100-935332296-962500117220133</v>
      </c>
      <c r="B3774" s="136" t="s">
        <v>8813</v>
      </c>
      <c r="C3774" s="136" t="s">
        <v>9647</v>
      </c>
      <c r="D3774" s="132" t="s">
        <v>4971</v>
      </c>
      <c r="E3774" s="136" t="s">
        <v>8793</v>
      </c>
      <c r="F3774" s="136" t="s">
        <v>8793</v>
      </c>
      <c r="G3774" s="136" t="s">
        <v>7211</v>
      </c>
      <c r="H3774" s="138" t="s">
        <v>6452</v>
      </c>
      <c r="I3774" s="136">
        <v>962500117</v>
      </c>
      <c r="J3774" s="131" t="s">
        <v>8802</v>
      </c>
      <c r="K3774" s="139">
        <v>220133</v>
      </c>
    </row>
    <row r="3775" spans="1:11">
      <c r="A3775" s="1" t="str">
        <f t="shared" si="58"/>
        <v>50100-931304496-962500046148217</v>
      </c>
      <c r="B3775" s="136" t="s">
        <v>8814</v>
      </c>
      <c r="C3775" s="136" t="s">
        <v>9648</v>
      </c>
      <c r="D3775" s="132" t="s">
        <v>4971</v>
      </c>
      <c r="E3775" s="136" t="s">
        <v>8617</v>
      </c>
      <c r="F3775" s="136" t="s">
        <v>8617</v>
      </c>
      <c r="G3775" s="136" t="s">
        <v>5814</v>
      </c>
      <c r="H3775" s="138" t="s">
        <v>6298</v>
      </c>
      <c r="I3775" s="136">
        <v>962500046</v>
      </c>
      <c r="J3775" s="131" t="s">
        <v>5999</v>
      </c>
      <c r="K3775" s="139">
        <v>148217</v>
      </c>
    </row>
    <row r="3776" spans="1:11">
      <c r="A3776" s="1" t="str">
        <f t="shared" si="58"/>
        <v>50100-937285396-962500124196536</v>
      </c>
      <c r="B3776" s="136" t="s">
        <v>8815</v>
      </c>
      <c r="C3776" s="136" t="s">
        <v>9649</v>
      </c>
      <c r="D3776" s="132" t="s">
        <v>4971</v>
      </c>
      <c r="E3776" s="136" t="s">
        <v>8695</v>
      </c>
      <c r="F3776" s="136" t="s">
        <v>8695</v>
      </c>
      <c r="G3776" s="136" t="s">
        <v>8080</v>
      </c>
      <c r="H3776" s="138" t="s">
        <v>6300</v>
      </c>
      <c r="I3776" s="136">
        <v>962500124</v>
      </c>
      <c r="J3776" s="131" t="s">
        <v>8816</v>
      </c>
      <c r="K3776" s="139">
        <v>196536</v>
      </c>
    </row>
    <row r="3777" spans="1:11">
      <c r="A3777" s="1" t="str">
        <f t="shared" si="58"/>
        <v>50100-935470196-962500123528571</v>
      </c>
      <c r="B3777" s="136" t="s">
        <v>8817</v>
      </c>
      <c r="C3777" s="136" t="s">
        <v>9650</v>
      </c>
      <c r="D3777" s="132" t="s">
        <v>4971</v>
      </c>
      <c r="E3777" s="136" t="s">
        <v>8793</v>
      </c>
      <c r="F3777" s="136" t="s">
        <v>8793</v>
      </c>
      <c r="G3777" s="144" t="s">
        <v>7145</v>
      </c>
      <c r="H3777" s="145" t="s">
        <v>6300</v>
      </c>
      <c r="I3777" s="144">
        <v>962500123</v>
      </c>
      <c r="J3777" s="131" t="s">
        <v>8771</v>
      </c>
      <c r="K3777" s="146">
        <v>528571</v>
      </c>
    </row>
    <row r="3778" spans="1:11">
      <c r="A3778" s="1" t="str">
        <f t="shared" si="58"/>
        <v>50100-936200996-961500438406302</v>
      </c>
      <c r="B3778" s="136" t="s">
        <v>8801</v>
      </c>
      <c r="C3778" s="136" t="s">
        <v>9642</v>
      </c>
      <c r="D3778" s="132" t="s">
        <v>4971</v>
      </c>
      <c r="E3778" s="136" t="s">
        <v>8770</v>
      </c>
      <c r="F3778" s="147" t="s">
        <v>8770</v>
      </c>
      <c r="G3778" s="141" t="s">
        <v>7233</v>
      </c>
      <c r="H3778" s="140" t="s">
        <v>6453</v>
      </c>
      <c r="I3778" s="141">
        <v>961500438</v>
      </c>
      <c r="J3778" s="131" t="s">
        <v>8818</v>
      </c>
      <c r="K3778" s="142">
        <v>406302</v>
      </c>
    </row>
    <row r="3779" spans="1:11">
      <c r="A3779" s="1" t="str">
        <f t="shared" ref="A3779:A3842" si="59">B3779&amp;J3779&amp;K3779</f>
        <v>50100-931304496-962500060346041</v>
      </c>
      <c r="B3779" s="136" t="s">
        <v>8814</v>
      </c>
      <c r="C3779" s="136" t="s">
        <v>9648</v>
      </c>
      <c r="D3779" s="132" t="s">
        <v>4971</v>
      </c>
      <c r="E3779" s="136" t="s">
        <v>8617</v>
      </c>
      <c r="F3779" s="136" t="s">
        <v>8617</v>
      </c>
      <c r="G3779" s="131" t="s">
        <v>5814</v>
      </c>
      <c r="H3779" s="134" t="s">
        <v>6298</v>
      </c>
      <c r="I3779" s="131">
        <v>962500060</v>
      </c>
      <c r="J3779" s="131" t="s">
        <v>6039</v>
      </c>
      <c r="K3779" s="135">
        <v>346041</v>
      </c>
    </row>
    <row r="3780" spans="1:11">
      <c r="A3780" s="1" t="str">
        <f t="shared" si="59"/>
        <v>50100-931480396-962500094393306</v>
      </c>
      <c r="B3780" s="136" t="s">
        <v>8819</v>
      </c>
      <c r="C3780" s="136" t="s">
        <v>9651</v>
      </c>
      <c r="D3780" s="132" t="s">
        <v>4971</v>
      </c>
      <c r="E3780" s="136" t="s">
        <v>8617</v>
      </c>
      <c r="F3780" s="136" t="s">
        <v>8617</v>
      </c>
      <c r="G3780" s="136" t="s">
        <v>5856</v>
      </c>
      <c r="H3780" s="138" t="s">
        <v>6455</v>
      </c>
      <c r="I3780" s="136">
        <v>962500094</v>
      </c>
      <c r="J3780" s="131" t="s">
        <v>8820</v>
      </c>
      <c r="K3780" s="139">
        <v>393306</v>
      </c>
    </row>
    <row r="3781" spans="1:11">
      <c r="A3781" s="1" t="str">
        <f t="shared" si="59"/>
        <v>50100-931480396-96250009540000</v>
      </c>
      <c r="B3781" s="136" t="s">
        <v>8819</v>
      </c>
      <c r="C3781" s="136" t="s">
        <v>9651</v>
      </c>
      <c r="D3781" s="132" t="s">
        <v>4971</v>
      </c>
      <c r="E3781" s="136" t="s">
        <v>8617</v>
      </c>
      <c r="F3781" s="136" t="s">
        <v>8617</v>
      </c>
      <c r="G3781" s="136" t="s">
        <v>5856</v>
      </c>
      <c r="H3781" s="138" t="s">
        <v>6455</v>
      </c>
      <c r="I3781" s="136">
        <v>962500095</v>
      </c>
      <c r="J3781" s="131" t="s">
        <v>8821</v>
      </c>
      <c r="K3781" s="139">
        <v>40000</v>
      </c>
    </row>
    <row r="3782" spans="1:11">
      <c r="A3782" s="1" t="str">
        <f t="shared" si="59"/>
        <v>50100-936140196-96250012477843</v>
      </c>
      <c r="B3782" s="136" t="s">
        <v>8822</v>
      </c>
      <c r="C3782" s="136" t="s">
        <v>9652</v>
      </c>
      <c r="D3782" s="132" t="s">
        <v>4971</v>
      </c>
      <c r="E3782" s="136" t="s">
        <v>8770</v>
      </c>
      <c r="F3782" s="136" t="s">
        <v>8770</v>
      </c>
      <c r="G3782" s="136" t="s">
        <v>8080</v>
      </c>
      <c r="H3782" s="138" t="s">
        <v>6300</v>
      </c>
      <c r="I3782" s="136">
        <v>962500124</v>
      </c>
      <c r="J3782" s="131" t="s">
        <v>8816</v>
      </c>
      <c r="K3782" s="139">
        <v>77843</v>
      </c>
    </row>
    <row r="3783" spans="1:11">
      <c r="A3783" s="1" t="str">
        <f t="shared" si="59"/>
        <v>50100-936140196-962500123412207</v>
      </c>
      <c r="B3783" s="136" t="s">
        <v>8822</v>
      </c>
      <c r="C3783" s="136" t="s">
        <v>9652</v>
      </c>
      <c r="D3783" s="132" t="s">
        <v>4971</v>
      </c>
      <c r="E3783" s="136" t="s">
        <v>8770</v>
      </c>
      <c r="F3783" s="136" t="s">
        <v>8770</v>
      </c>
      <c r="G3783" s="136" t="s">
        <v>7145</v>
      </c>
      <c r="H3783" s="138" t="s">
        <v>6300</v>
      </c>
      <c r="I3783" s="136">
        <v>962500123</v>
      </c>
      <c r="J3783" s="131" t="s">
        <v>8771</v>
      </c>
      <c r="K3783" s="139">
        <v>412207</v>
      </c>
    </row>
    <row r="3784" spans="1:11">
      <c r="A3784" s="1" t="str">
        <f t="shared" si="59"/>
        <v>50100-936684196-962500124294764</v>
      </c>
      <c r="B3784" s="136" t="s">
        <v>8823</v>
      </c>
      <c r="C3784" s="136" t="s">
        <v>9653</v>
      </c>
      <c r="D3784" s="132" t="s">
        <v>4971</v>
      </c>
      <c r="E3784" s="136" t="s">
        <v>8824</v>
      </c>
      <c r="F3784" s="136" t="s">
        <v>8824</v>
      </c>
      <c r="G3784" s="136" t="s">
        <v>8080</v>
      </c>
      <c r="H3784" s="138" t="s">
        <v>6300</v>
      </c>
      <c r="I3784" s="136">
        <v>962500124</v>
      </c>
      <c r="J3784" s="131" t="s">
        <v>8816</v>
      </c>
      <c r="K3784" s="139">
        <v>294764</v>
      </c>
    </row>
    <row r="3785" spans="1:11">
      <c r="A3785" s="1" t="str">
        <f t="shared" si="59"/>
        <v>50100-935332296-96250011619867</v>
      </c>
      <c r="B3785" s="136" t="s">
        <v>8813</v>
      </c>
      <c r="C3785" s="136" t="s">
        <v>9647</v>
      </c>
      <c r="D3785" s="132" t="s">
        <v>4971</v>
      </c>
      <c r="E3785" s="136" t="s">
        <v>8793</v>
      </c>
      <c r="F3785" s="136" t="s">
        <v>8793</v>
      </c>
      <c r="G3785" s="136" t="s">
        <v>8081</v>
      </c>
      <c r="H3785" s="138" t="s">
        <v>6452</v>
      </c>
      <c r="I3785" s="136">
        <v>962500116</v>
      </c>
      <c r="J3785" s="131" t="s">
        <v>8825</v>
      </c>
      <c r="K3785" s="139">
        <v>19867</v>
      </c>
    </row>
    <row r="3786" spans="1:11">
      <c r="A3786" s="1" t="str">
        <f t="shared" si="59"/>
        <v>50100-933173696-961500466490000</v>
      </c>
      <c r="B3786" s="136" t="s">
        <v>8811</v>
      </c>
      <c r="C3786" s="136" t="s">
        <v>9646</v>
      </c>
      <c r="D3786" s="132" t="s">
        <v>4971</v>
      </c>
      <c r="E3786" s="136" t="s">
        <v>8788</v>
      </c>
      <c r="F3786" s="136" t="s">
        <v>8788</v>
      </c>
      <c r="G3786" s="136" t="s">
        <v>5836</v>
      </c>
      <c r="H3786" s="138" t="s">
        <v>6300</v>
      </c>
      <c r="I3786" s="136">
        <v>961500466</v>
      </c>
      <c r="J3786" s="131" t="s">
        <v>8500</v>
      </c>
      <c r="K3786" s="139">
        <v>490000</v>
      </c>
    </row>
    <row r="3787" spans="1:11">
      <c r="A3787" s="1" t="str">
        <f t="shared" si="59"/>
        <v>50100-933173696-96150028534165</v>
      </c>
      <c r="B3787" s="136" t="s">
        <v>8811</v>
      </c>
      <c r="C3787" s="136" t="s">
        <v>9646</v>
      </c>
      <c r="D3787" s="132" t="s">
        <v>4971</v>
      </c>
      <c r="E3787" s="136" t="s">
        <v>8788</v>
      </c>
      <c r="F3787" s="136" t="s">
        <v>8788</v>
      </c>
      <c r="G3787" s="136" t="s">
        <v>5826</v>
      </c>
      <c r="H3787" s="138" t="s">
        <v>6298</v>
      </c>
      <c r="I3787" s="136">
        <v>961500285</v>
      </c>
      <c r="J3787" s="131" t="s">
        <v>5987</v>
      </c>
      <c r="K3787" s="139">
        <v>34165</v>
      </c>
    </row>
    <row r="3788" spans="1:11">
      <c r="A3788" s="1" t="str">
        <f t="shared" si="59"/>
        <v>50100-933858096-962500122454659</v>
      </c>
      <c r="B3788" s="136" t="s">
        <v>8809</v>
      </c>
      <c r="C3788" s="136" t="s">
        <v>9645</v>
      </c>
      <c r="D3788" s="132" t="s">
        <v>4971</v>
      </c>
      <c r="E3788" s="136" t="s">
        <v>8764</v>
      </c>
      <c r="F3788" s="136" t="s">
        <v>8764</v>
      </c>
      <c r="G3788" s="144" t="s">
        <v>7145</v>
      </c>
      <c r="H3788" s="145" t="s">
        <v>6300</v>
      </c>
      <c r="I3788" s="144">
        <v>962500122</v>
      </c>
      <c r="J3788" s="131" t="s">
        <v>8765</v>
      </c>
      <c r="K3788" s="146">
        <v>454659</v>
      </c>
    </row>
    <row r="3789" spans="1:11">
      <c r="A3789" s="1" t="str">
        <f t="shared" si="59"/>
        <v>50100-936178896-961500438259651</v>
      </c>
      <c r="B3789" s="136" t="s">
        <v>8826</v>
      </c>
      <c r="C3789" s="136" t="s">
        <v>9654</v>
      </c>
      <c r="D3789" s="132" t="s">
        <v>4971</v>
      </c>
      <c r="E3789" s="136" t="s">
        <v>8770</v>
      </c>
      <c r="F3789" s="147" t="s">
        <v>8770</v>
      </c>
      <c r="G3789" s="141" t="s">
        <v>7233</v>
      </c>
      <c r="H3789" s="140" t="s">
        <v>6453</v>
      </c>
      <c r="I3789" s="141">
        <v>961500438</v>
      </c>
      <c r="J3789" s="131" t="s">
        <v>8818</v>
      </c>
      <c r="K3789" s="142">
        <v>259651</v>
      </c>
    </row>
    <row r="3790" spans="1:11">
      <c r="A3790" s="1" t="str">
        <f t="shared" si="59"/>
        <v>50100-934614296-961500519489482</v>
      </c>
      <c r="B3790" s="136" t="s">
        <v>8827</v>
      </c>
      <c r="C3790" s="136" t="s">
        <v>9655</v>
      </c>
      <c r="D3790" s="132" t="s">
        <v>4971</v>
      </c>
      <c r="E3790" s="136" t="s">
        <v>8621</v>
      </c>
      <c r="F3790" s="136" t="s">
        <v>8621</v>
      </c>
      <c r="G3790" s="131" t="s">
        <v>5842</v>
      </c>
      <c r="H3790" s="134" t="s">
        <v>6300</v>
      </c>
      <c r="I3790" s="131">
        <v>961500519</v>
      </c>
      <c r="J3790" s="131" t="s">
        <v>8828</v>
      </c>
      <c r="K3790" s="135">
        <v>489482</v>
      </c>
    </row>
    <row r="3791" spans="1:11">
      <c r="A3791" s="1" t="str">
        <f t="shared" si="59"/>
        <v>50100-935430496-9625001161980000</v>
      </c>
      <c r="B3791" s="136" t="s">
        <v>8829</v>
      </c>
      <c r="C3791" s="136" t="s">
        <v>9656</v>
      </c>
      <c r="D3791" s="132" t="s">
        <v>4971</v>
      </c>
      <c r="E3791" s="136" t="s">
        <v>8793</v>
      </c>
      <c r="F3791" s="136" t="s">
        <v>8793</v>
      </c>
      <c r="G3791" s="136" t="s">
        <v>8081</v>
      </c>
      <c r="H3791" s="138" t="s">
        <v>6452</v>
      </c>
      <c r="I3791" s="136">
        <v>962500116</v>
      </c>
      <c r="J3791" s="131" t="s">
        <v>8825</v>
      </c>
      <c r="K3791" s="139">
        <v>1980000</v>
      </c>
    </row>
    <row r="3792" spans="1:11">
      <c r="A3792" s="1" t="str">
        <f t="shared" si="59"/>
        <v>50100-931304496-96150025035942</v>
      </c>
      <c r="B3792" s="136" t="s">
        <v>8814</v>
      </c>
      <c r="C3792" s="136" t="s">
        <v>9648</v>
      </c>
      <c r="D3792" s="132" t="s">
        <v>4971</v>
      </c>
      <c r="E3792" s="136" t="s">
        <v>8617</v>
      </c>
      <c r="F3792" s="136" t="s">
        <v>8617</v>
      </c>
      <c r="G3792" s="144" t="s">
        <v>5814</v>
      </c>
      <c r="H3792" s="145" t="s">
        <v>6298</v>
      </c>
      <c r="I3792" s="144">
        <v>961500250</v>
      </c>
      <c r="J3792" s="131" t="s">
        <v>5939</v>
      </c>
      <c r="K3792" s="146">
        <v>35942</v>
      </c>
    </row>
    <row r="3793" spans="1:11">
      <c r="A3793" s="1" t="str">
        <f t="shared" si="59"/>
        <v>50100-936185696-961500438198620</v>
      </c>
      <c r="B3793" s="136" t="s">
        <v>8831</v>
      </c>
      <c r="C3793" s="136" t="s">
        <v>9657</v>
      </c>
      <c r="D3793" s="132" t="s">
        <v>4971</v>
      </c>
      <c r="E3793" s="136" t="s">
        <v>8770</v>
      </c>
      <c r="F3793" s="147" t="s">
        <v>8770</v>
      </c>
      <c r="G3793" s="141" t="s">
        <v>7233</v>
      </c>
      <c r="H3793" s="140" t="s">
        <v>6453</v>
      </c>
      <c r="I3793" s="141">
        <v>961500438</v>
      </c>
      <c r="J3793" s="131" t="s">
        <v>8818</v>
      </c>
      <c r="K3793" s="142">
        <v>198620</v>
      </c>
    </row>
    <row r="3794" spans="1:11">
      <c r="A3794" s="1" t="str">
        <f t="shared" si="59"/>
        <v>50100-935470196-962500122375988</v>
      </c>
      <c r="B3794" s="136" t="s">
        <v>8817</v>
      </c>
      <c r="C3794" s="136" t="s">
        <v>9650</v>
      </c>
      <c r="D3794" s="132" t="s">
        <v>4971</v>
      </c>
      <c r="E3794" s="136" t="s">
        <v>8793</v>
      </c>
      <c r="F3794" s="136" t="s">
        <v>8793</v>
      </c>
      <c r="G3794" s="131" t="s">
        <v>7145</v>
      </c>
      <c r="H3794" s="134" t="s">
        <v>6300</v>
      </c>
      <c r="I3794" s="131">
        <v>962500122</v>
      </c>
      <c r="J3794" s="131" t="s">
        <v>8765</v>
      </c>
      <c r="K3794" s="135">
        <v>375988</v>
      </c>
    </row>
    <row r="3795" spans="1:11">
      <c r="A3795" s="1" t="str">
        <f t="shared" si="59"/>
        <v>50100-935470196-96250010780000</v>
      </c>
      <c r="B3795" s="136" t="s">
        <v>8817</v>
      </c>
      <c r="C3795" s="136" t="s">
        <v>9650</v>
      </c>
      <c r="D3795" s="132" t="s">
        <v>4971</v>
      </c>
      <c r="E3795" s="136" t="s">
        <v>8793</v>
      </c>
      <c r="F3795" s="136" t="s">
        <v>8793</v>
      </c>
      <c r="G3795" s="136" t="s">
        <v>8080</v>
      </c>
      <c r="H3795" s="138" t="s">
        <v>6300</v>
      </c>
      <c r="I3795" s="136">
        <v>962500107</v>
      </c>
      <c r="J3795" s="131" t="s">
        <v>8832</v>
      </c>
      <c r="K3795" s="139">
        <v>80000</v>
      </c>
    </row>
    <row r="3796" spans="1:11">
      <c r="A3796" s="1" t="str">
        <f t="shared" si="59"/>
        <v>50100-931480396-962500090158844</v>
      </c>
      <c r="B3796" s="144" t="s">
        <v>8819</v>
      </c>
      <c r="C3796" s="144" t="s">
        <v>9651</v>
      </c>
      <c r="D3796" s="132" t="s">
        <v>4971</v>
      </c>
      <c r="E3796" s="144" t="s">
        <v>8617</v>
      </c>
      <c r="F3796" s="144" t="s">
        <v>8617</v>
      </c>
      <c r="G3796" s="144" t="s">
        <v>5856</v>
      </c>
      <c r="H3796" s="138" t="s">
        <v>6455</v>
      </c>
      <c r="I3796" s="144">
        <v>962500090</v>
      </c>
      <c r="J3796" s="131" t="s">
        <v>6371</v>
      </c>
      <c r="K3796" s="146">
        <v>158844</v>
      </c>
    </row>
    <row r="3797" spans="1:11">
      <c r="A3797" s="1" t="str">
        <f t="shared" si="59"/>
        <v>15100-48973196-96150032285120</v>
      </c>
      <c r="B3797" s="136" t="s">
        <v>8847</v>
      </c>
      <c r="C3797" s="136" t="s">
        <v>9667</v>
      </c>
      <c r="D3797" s="132" t="s">
        <v>4971</v>
      </c>
      <c r="E3797" s="136" t="s">
        <v>8695</v>
      </c>
      <c r="F3797" s="136" t="s">
        <v>8695</v>
      </c>
      <c r="G3797" s="136" t="s">
        <v>5818</v>
      </c>
      <c r="H3797" s="138" t="s">
        <v>6300</v>
      </c>
      <c r="I3797" s="136">
        <v>961500322</v>
      </c>
      <c r="J3797" s="131" t="s">
        <v>6043</v>
      </c>
      <c r="K3797" s="139">
        <v>85120</v>
      </c>
    </row>
    <row r="3798" spans="1:11">
      <c r="A3798" s="1" t="str">
        <f t="shared" si="59"/>
        <v>15100-48973196-96150044971230</v>
      </c>
      <c r="B3798" s="136" t="s">
        <v>8847</v>
      </c>
      <c r="C3798" s="136" t="s">
        <v>9667</v>
      </c>
      <c r="D3798" s="132" t="s">
        <v>4971</v>
      </c>
      <c r="E3798" s="136" t="s">
        <v>8695</v>
      </c>
      <c r="F3798" s="136" t="s">
        <v>8695</v>
      </c>
      <c r="G3798" s="136" t="s">
        <v>5836</v>
      </c>
      <c r="H3798" s="138" t="s">
        <v>6300</v>
      </c>
      <c r="I3798" s="136">
        <v>961500449</v>
      </c>
      <c r="J3798" s="131" t="s">
        <v>7238</v>
      </c>
      <c r="K3798" s="139">
        <v>71230</v>
      </c>
    </row>
    <row r="3799" spans="1:11">
      <c r="A3799" s="1" t="str">
        <f t="shared" si="59"/>
        <v>15100-48334896-9615002456210</v>
      </c>
      <c r="B3799" s="136" t="s">
        <v>8848</v>
      </c>
      <c r="C3799" s="136" t="s">
        <v>9668</v>
      </c>
      <c r="D3799" s="132" t="s">
        <v>4971</v>
      </c>
      <c r="E3799" s="136" t="s">
        <v>8767</v>
      </c>
      <c r="F3799" s="136" t="s">
        <v>8767</v>
      </c>
      <c r="G3799" s="136" t="s">
        <v>5814</v>
      </c>
      <c r="H3799" s="138" t="s">
        <v>6298</v>
      </c>
      <c r="I3799" s="136">
        <v>961500245</v>
      </c>
      <c r="J3799" s="131" t="s">
        <v>5935</v>
      </c>
      <c r="K3799" s="139">
        <v>6210</v>
      </c>
    </row>
    <row r="3800" spans="1:11">
      <c r="A3800" s="1" t="str">
        <f t="shared" si="59"/>
        <v>15100-48973196-9615002734930</v>
      </c>
      <c r="B3800" s="136" t="s">
        <v>8847</v>
      </c>
      <c r="C3800" s="136" t="s">
        <v>9667</v>
      </c>
      <c r="D3800" s="132" t="s">
        <v>4971</v>
      </c>
      <c r="E3800" s="136" t="s">
        <v>8695</v>
      </c>
      <c r="F3800" s="136" t="s">
        <v>8695</v>
      </c>
      <c r="G3800" s="136" t="s">
        <v>5820</v>
      </c>
      <c r="H3800" s="138" t="s">
        <v>6300</v>
      </c>
      <c r="I3800" s="136">
        <v>961500273</v>
      </c>
      <c r="J3800" s="131" t="s">
        <v>5968</v>
      </c>
      <c r="K3800" s="139">
        <v>4930</v>
      </c>
    </row>
    <row r="3801" spans="1:11">
      <c r="A3801" s="1" t="str">
        <f t="shared" si="59"/>
        <v>15100-48686496-96150054423700</v>
      </c>
      <c r="B3801" s="136" t="s">
        <v>8849</v>
      </c>
      <c r="C3801" s="136" t="s">
        <v>9669</v>
      </c>
      <c r="D3801" s="132" t="s">
        <v>4971</v>
      </c>
      <c r="E3801" s="136" t="s">
        <v>8793</v>
      </c>
      <c r="F3801" s="136" t="s">
        <v>8793</v>
      </c>
      <c r="G3801" s="136" t="s">
        <v>8727</v>
      </c>
      <c r="H3801" s="138" t="s">
        <v>6299</v>
      </c>
      <c r="I3801" s="136">
        <v>961500544</v>
      </c>
      <c r="J3801" s="131" t="s">
        <v>8850</v>
      </c>
      <c r="K3801" s="139">
        <v>23700</v>
      </c>
    </row>
    <row r="3802" spans="1:11">
      <c r="A3802" s="1" t="str">
        <f t="shared" si="59"/>
        <v>15100-48912996-96150030323600</v>
      </c>
      <c r="B3802" s="136" t="s">
        <v>8851</v>
      </c>
      <c r="C3802" s="136" t="s">
        <v>9670</v>
      </c>
      <c r="D3802" s="132" t="s">
        <v>4971</v>
      </c>
      <c r="E3802" s="136" t="s">
        <v>8824</v>
      </c>
      <c r="F3802" s="136" t="s">
        <v>8824</v>
      </c>
      <c r="G3802" s="136" t="s">
        <v>5826</v>
      </c>
      <c r="H3802" s="138" t="s">
        <v>6298</v>
      </c>
      <c r="I3802" s="136">
        <v>961500303</v>
      </c>
      <c r="J3802" s="131" t="s">
        <v>6012</v>
      </c>
      <c r="K3802" s="139">
        <v>23600</v>
      </c>
    </row>
    <row r="3803" spans="1:11">
      <c r="A3803" s="1" t="str">
        <f t="shared" si="59"/>
        <v>15100-48973196-96150046229010</v>
      </c>
      <c r="B3803" s="136" t="s">
        <v>8847</v>
      </c>
      <c r="C3803" s="136" t="s">
        <v>9667</v>
      </c>
      <c r="D3803" s="132" t="s">
        <v>4971</v>
      </c>
      <c r="E3803" s="136" t="s">
        <v>8695</v>
      </c>
      <c r="F3803" s="136" t="s">
        <v>8695</v>
      </c>
      <c r="G3803" s="136" t="s">
        <v>5836</v>
      </c>
      <c r="H3803" s="138" t="s">
        <v>6300</v>
      </c>
      <c r="I3803" s="136">
        <v>961500462</v>
      </c>
      <c r="J3803" s="131" t="s">
        <v>8852</v>
      </c>
      <c r="K3803" s="139">
        <v>29010</v>
      </c>
    </row>
    <row r="3804" spans="1:11">
      <c r="A3804" s="1" t="str">
        <f t="shared" si="59"/>
        <v>15100-48973196-96150042195770</v>
      </c>
      <c r="B3804" s="136" t="s">
        <v>8847</v>
      </c>
      <c r="C3804" s="136" t="s">
        <v>9667</v>
      </c>
      <c r="D3804" s="132" t="s">
        <v>4971</v>
      </c>
      <c r="E3804" s="136" t="s">
        <v>8695</v>
      </c>
      <c r="F3804" s="136" t="s">
        <v>8695</v>
      </c>
      <c r="G3804" s="136" t="s">
        <v>7237</v>
      </c>
      <c r="H3804" s="138" t="s">
        <v>6300</v>
      </c>
      <c r="I3804" s="136">
        <v>961500421</v>
      </c>
      <c r="J3804" s="131" t="s">
        <v>8853</v>
      </c>
      <c r="K3804" s="139">
        <v>95770</v>
      </c>
    </row>
    <row r="3805" spans="1:11">
      <c r="A3805" s="1" t="str">
        <f t="shared" si="59"/>
        <v>15100-48821096-96150030347740</v>
      </c>
      <c r="B3805" s="136" t="s">
        <v>8854</v>
      </c>
      <c r="C3805" s="136" t="s">
        <v>9671</v>
      </c>
      <c r="D3805" s="132" t="s">
        <v>4971</v>
      </c>
      <c r="E3805" s="136" t="s">
        <v>8855</v>
      </c>
      <c r="F3805" s="136" t="s">
        <v>8855</v>
      </c>
      <c r="G3805" s="136" t="s">
        <v>5826</v>
      </c>
      <c r="H3805" s="138" t="s">
        <v>6298</v>
      </c>
      <c r="I3805" s="136">
        <v>961500303</v>
      </c>
      <c r="J3805" s="131" t="s">
        <v>6012</v>
      </c>
      <c r="K3805" s="139">
        <v>47740</v>
      </c>
    </row>
    <row r="3806" spans="1:11">
      <c r="A3806" s="1" t="str">
        <f t="shared" si="59"/>
        <v>15100-48334896-96150025487270</v>
      </c>
      <c r="B3806" s="136" t="s">
        <v>8848</v>
      </c>
      <c r="C3806" s="136" t="s">
        <v>9668</v>
      </c>
      <c r="D3806" s="132" t="s">
        <v>4971</v>
      </c>
      <c r="E3806" s="136" t="s">
        <v>8767</v>
      </c>
      <c r="F3806" s="136" t="s">
        <v>8767</v>
      </c>
      <c r="G3806" s="136" t="s">
        <v>5814</v>
      </c>
      <c r="H3806" s="138" t="s">
        <v>6298</v>
      </c>
      <c r="I3806" s="136">
        <v>961500254</v>
      </c>
      <c r="J3806" s="131" t="s">
        <v>5943</v>
      </c>
      <c r="K3806" s="139">
        <v>87270</v>
      </c>
    </row>
    <row r="3807" spans="1:11">
      <c r="A3807" s="1" t="str">
        <f t="shared" si="59"/>
        <v>15100-48686496-961500517167300</v>
      </c>
      <c r="B3807" s="136" t="s">
        <v>8849</v>
      </c>
      <c r="C3807" s="136" t="s">
        <v>9669</v>
      </c>
      <c r="D3807" s="132" t="s">
        <v>4971</v>
      </c>
      <c r="E3807" s="136" t="s">
        <v>8793</v>
      </c>
      <c r="F3807" s="136" t="s">
        <v>8793</v>
      </c>
      <c r="G3807" s="136" t="s">
        <v>5842</v>
      </c>
      <c r="H3807" s="138" t="s">
        <v>6300</v>
      </c>
      <c r="I3807" s="136">
        <v>961500517</v>
      </c>
      <c r="J3807" s="131" t="s">
        <v>8856</v>
      </c>
      <c r="K3807" s="139">
        <v>167300</v>
      </c>
    </row>
    <row r="3808" spans="1:11">
      <c r="A3808" s="1" t="str">
        <f t="shared" si="59"/>
        <v>15100-48842896-96150030394840</v>
      </c>
      <c r="B3808" s="136" t="s">
        <v>9800</v>
      </c>
      <c r="C3808" s="136" t="s">
        <v>11924</v>
      </c>
      <c r="D3808" s="132" t="s">
        <v>4971</v>
      </c>
      <c r="E3808" s="136" t="s">
        <v>8855</v>
      </c>
      <c r="F3808" s="136" t="s">
        <v>8855</v>
      </c>
      <c r="G3808" s="141" t="s">
        <v>5826</v>
      </c>
      <c r="H3808" s="138" t="s">
        <v>6298</v>
      </c>
      <c r="I3808" s="136">
        <v>961500303</v>
      </c>
      <c r="J3808" s="131" t="s">
        <v>6012</v>
      </c>
      <c r="K3808" s="139">
        <v>94840</v>
      </c>
    </row>
    <row r="3809" spans="1:11">
      <c r="A3809" s="1" t="str">
        <f t="shared" si="59"/>
        <v>15100-48686496-96150050622960</v>
      </c>
      <c r="B3809" s="131" t="s">
        <v>8849</v>
      </c>
      <c r="C3809" s="131" t="s">
        <v>9669</v>
      </c>
      <c r="D3809" s="132" t="s">
        <v>4971</v>
      </c>
      <c r="E3809" s="131" t="s">
        <v>8793</v>
      </c>
      <c r="F3809" s="131" t="s">
        <v>8793</v>
      </c>
      <c r="G3809" s="153" t="s">
        <v>8497</v>
      </c>
      <c r="H3809" s="154" t="s">
        <v>6453</v>
      </c>
      <c r="I3809" s="153">
        <v>961500506</v>
      </c>
      <c r="J3809" s="131" t="s">
        <v>8857</v>
      </c>
      <c r="K3809" s="155">
        <v>22960</v>
      </c>
    </row>
    <row r="3810" spans="1:11">
      <c r="A3810" s="1" t="str">
        <f t="shared" si="59"/>
        <v>15100-48686496-96150054245120</v>
      </c>
      <c r="B3810" s="136" t="s">
        <v>8849</v>
      </c>
      <c r="C3810" s="136" t="s">
        <v>9669</v>
      </c>
      <c r="D3810" s="132" t="s">
        <v>4971</v>
      </c>
      <c r="E3810" s="136" t="s">
        <v>8793</v>
      </c>
      <c r="F3810" s="136" t="s">
        <v>8793</v>
      </c>
      <c r="G3810" s="141" t="s">
        <v>5854</v>
      </c>
      <c r="H3810" s="140" t="s">
        <v>8859</v>
      </c>
      <c r="I3810" s="141">
        <v>961500542</v>
      </c>
      <c r="J3810" s="131" t="s">
        <v>8858</v>
      </c>
      <c r="K3810" s="142">
        <v>45120</v>
      </c>
    </row>
    <row r="3811" spans="1:11">
      <c r="A3811" s="1" t="str">
        <f t="shared" si="59"/>
        <v>15100-48840096-961500464300220</v>
      </c>
      <c r="B3811" s="136" t="s">
        <v>8860</v>
      </c>
      <c r="C3811" s="136" t="s">
        <v>9672</v>
      </c>
      <c r="D3811" s="132" t="s">
        <v>4971</v>
      </c>
      <c r="E3811" s="136" t="s">
        <v>8855</v>
      </c>
      <c r="F3811" s="136" t="s">
        <v>8855</v>
      </c>
      <c r="G3811" s="136" t="s">
        <v>7255</v>
      </c>
      <c r="H3811" s="138" t="s">
        <v>6454</v>
      </c>
      <c r="I3811" s="136">
        <v>961500464</v>
      </c>
      <c r="J3811" s="131" t="s">
        <v>8861</v>
      </c>
      <c r="K3811" s="139">
        <v>300220</v>
      </c>
    </row>
    <row r="3812" spans="1:11">
      <c r="A3812" s="1" t="str">
        <f t="shared" si="59"/>
        <v>15100-48915196-961500464191880</v>
      </c>
      <c r="B3812" s="136" t="s">
        <v>8862</v>
      </c>
      <c r="C3812" s="136" t="s">
        <v>9673</v>
      </c>
      <c r="D3812" s="132" t="s">
        <v>4971</v>
      </c>
      <c r="E3812" s="136" t="s">
        <v>8824</v>
      </c>
      <c r="F3812" s="136" t="s">
        <v>8824</v>
      </c>
      <c r="G3812" s="136" t="s">
        <v>7255</v>
      </c>
      <c r="H3812" s="138" t="s">
        <v>6454</v>
      </c>
      <c r="I3812" s="136">
        <v>961500464</v>
      </c>
      <c r="J3812" s="131" t="s">
        <v>8861</v>
      </c>
      <c r="K3812" s="139">
        <v>191880</v>
      </c>
    </row>
    <row r="3813" spans="1:11">
      <c r="A3813" s="1" t="str">
        <f t="shared" si="59"/>
        <v>15100-48756196-96150025546980</v>
      </c>
      <c r="B3813" s="136" t="s">
        <v>8863</v>
      </c>
      <c r="C3813" s="136" t="s">
        <v>9674</v>
      </c>
      <c r="D3813" s="132" t="s">
        <v>4971</v>
      </c>
      <c r="E3813" s="136" t="s">
        <v>8770</v>
      </c>
      <c r="F3813" s="136" t="s">
        <v>8770</v>
      </c>
      <c r="G3813" s="136" t="s">
        <v>5821</v>
      </c>
      <c r="H3813" s="138" t="s">
        <v>6454</v>
      </c>
      <c r="I3813" s="136">
        <v>961500255</v>
      </c>
      <c r="J3813" s="131" t="s">
        <v>5944</v>
      </c>
      <c r="K3813" s="139">
        <v>46980</v>
      </c>
    </row>
    <row r="3814" spans="1:11">
      <c r="A3814" s="1" t="str">
        <f t="shared" si="59"/>
        <v>15100-48837396-96150042249300</v>
      </c>
      <c r="B3814" s="136" t="s">
        <v>8864</v>
      </c>
      <c r="C3814" s="136" t="s">
        <v>9675</v>
      </c>
      <c r="D3814" s="132" t="s">
        <v>4971</v>
      </c>
      <c r="E3814" s="136" t="s">
        <v>8855</v>
      </c>
      <c r="F3814" s="136" t="s">
        <v>8855</v>
      </c>
      <c r="G3814" s="136" t="s">
        <v>5852</v>
      </c>
      <c r="H3814" s="138" t="s">
        <v>6454</v>
      </c>
      <c r="I3814" s="136">
        <v>961500422</v>
      </c>
      <c r="J3814" s="131" t="s">
        <v>8865</v>
      </c>
      <c r="K3814" s="139">
        <v>49300</v>
      </c>
    </row>
    <row r="3815" spans="1:11">
      <c r="A3815" s="1" t="str">
        <f t="shared" si="59"/>
        <v>15100-48837396-96150045578140</v>
      </c>
      <c r="B3815" s="136" t="s">
        <v>8864</v>
      </c>
      <c r="C3815" s="136" t="s">
        <v>9675</v>
      </c>
      <c r="D3815" s="132" t="s">
        <v>4971</v>
      </c>
      <c r="E3815" s="136" t="s">
        <v>8855</v>
      </c>
      <c r="F3815" s="136" t="s">
        <v>8855</v>
      </c>
      <c r="G3815" s="136" t="s">
        <v>7255</v>
      </c>
      <c r="H3815" s="138" t="s">
        <v>6454</v>
      </c>
      <c r="I3815" s="136">
        <v>961500455</v>
      </c>
      <c r="J3815" s="131" t="s">
        <v>8866</v>
      </c>
      <c r="K3815" s="139">
        <v>78140</v>
      </c>
    </row>
    <row r="3816" spans="1:11">
      <c r="A3816" s="1" t="str">
        <f t="shared" si="59"/>
        <v>15100-48840096-96150027725500</v>
      </c>
      <c r="B3816" s="136" t="s">
        <v>8860</v>
      </c>
      <c r="C3816" s="136" t="s">
        <v>9672</v>
      </c>
      <c r="D3816" s="132" t="s">
        <v>4971</v>
      </c>
      <c r="E3816" s="136" t="s">
        <v>8855</v>
      </c>
      <c r="F3816" s="136" t="s">
        <v>8855</v>
      </c>
      <c r="G3816" s="136" t="s">
        <v>5820</v>
      </c>
      <c r="H3816" s="138" t="s">
        <v>6300</v>
      </c>
      <c r="I3816" s="136">
        <v>961500277</v>
      </c>
      <c r="J3816" s="131" t="s">
        <v>5976</v>
      </c>
      <c r="K3816" s="139">
        <v>25500</v>
      </c>
    </row>
    <row r="3817" spans="1:11">
      <c r="A3817" s="1" t="str">
        <f t="shared" si="59"/>
        <v>15100-48840096-961500303100790</v>
      </c>
      <c r="B3817" s="136" t="s">
        <v>8860</v>
      </c>
      <c r="C3817" s="136" t="s">
        <v>9672</v>
      </c>
      <c r="D3817" s="132" t="s">
        <v>4971</v>
      </c>
      <c r="E3817" s="136" t="s">
        <v>8855</v>
      </c>
      <c r="F3817" s="136" t="s">
        <v>8855</v>
      </c>
      <c r="G3817" s="136" t="s">
        <v>5826</v>
      </c>
      <c r="H3817" s="138" t="s">
        <v>6298</v>
      </c>
      <c r="I3817" s="136">
        <v>961500303</v>
      </c>
      <c r="J3817" s="131" t="s">
        <v>6012</v>
      </c>
      <c r="K3817" s="139">
        <v>100790</v>
      </c>
    </row>
    <row r="3818" spans="1:11">
      <c r="A3818" s="1" t="str">
        <f t="shared" si="59"/>
        <v>15100-48837396-9615002784560</v>
      </c>
      <c r="B3818" s="136" t="s">
        <v>8864</v>
      </c>
      <c r="C3818" s="136" t="s">
        <v>9675</v>
      </c>
      <c r="D3818" s="132" t="s">
        <v>4971</v>
      </c>
      <c r="E3818" s="136" t="s">
        <v>8855</v>
      </c>
      <c r="F3818" s="136" t="s">
        <v>8855</v>
      </c>
      <c r="G3818" s="136" t="s">
        <v>5821</v>
      </c>
      <c r="H3818" s="138" t="s">
        <v>6454</v>
      </c>
      <c r="I3818" s="136">
        <v>961500278</v>
      </c>
      <c r="J3818" s="131" t="s">
        <v>5977</v>
      </c>
      <c r="K3818" s="139">
        <v>4560</v>
      </c>
    </row>
    <row r="3819" spans="1:11">
      <c r="A3819" s="1" t="str">
        <f t="shared" si="59"/>
        <v>15100-48837396-961500360123080</v>
      </c>
      <c r="B3819" s="136" t="s">
        <v>8864</v>
      </c>
      <c r="C3819" s="136" t="s">
        <v>9675</v>
      </c>
      <c r="D3819" s="132" t="s">
        <v>4971</v>
      </c>
      <c r="E3819" s="136" t="s">
        <v>8855</v>
      </c>
      <c r="F3819" s="136" t="s">
        <v>8855</v>
      </c>
      <c r="G3819" s="136" t="s">
        <v>5852</v>
      </c>
      <c r="H3819" s="138" t="s">
        <v>6454</v>
      </c>
      <c r="I3819" s="136">
        <v>961500360</v>
      </c>
      <c r="J3819" s="131" t="s">
        <v>8867</v>
      </c>
      <c r="K3819" s="139">
        <v>123080</v>
      </c>
    </row>
    <row r="3820" spans="1:11">
      <c r="A3820" s="1" t="str">
        <f t="shared" si="59"/>
        <v>15100-48753896-96150025553020</v>
      </c>
      <c r="B3820" s="136" t="s">
        <v>8868</v>
      </c>
      <c r="C3820" s="136" t="s">
        <v>9676</v>
      </c>
      <c r="D3820" s="132" t="s">
        <v>4971</v>
      </c>
      <c r="E3820" s="136" t="s">
        <v>8770</v>
      </c>
      <c r="F3820" s="136" t="s">
        <v>8770</v>
      </c>
      <c r="G3820" s="136" t="s">
        <v>5821</v>
      </c>
      <c r="H3820" s="138" t="s">
        <v>6454</v>
      </c>
      <c r="I3820" s="136">
        <v>961500255</v>
      </c>
      <c r="J3820" s="131" t="s">
        <v>5944</v>
      </c>
      <c r="K3820" s="139">
        <v>53020</v>
      </c>
    </row>
    <row r="3821" spans="1:11">
      <c r="A3821" s="1" t="str">
        <f t="shared" si="59"/>
        <v>15100-48917996-96150011752929</v>
      </c>
      <c r="B3821" s="136" t="s">
        <v>8869</v>
      </c>
      <c r="C3821" s="136" t="s">
        <v>9677</v>
      </c>
      <c r="D3821" s="132" t="s">
        <v>4971</v>
      </c>
      <c r="E3821" s="136" t="s">
        <v>8824</v>
      </c>
      <c r="F3821" s="136" t="s">
        <v>8824</v>
      </c>
      <c r="G3821" s="136" t="s">
        <v>5762</v>
      </c>
      <c r="H3821" s="138" t="s">
        <v>6298</v>
      </c>
      <c r="I3821" s="136">
        <v>961500117</v>
      </c>
      <c r="J3821" s="131" t="s">
        <v>5226</v>
      </c>
      <c r="K3821" s="139">
        <v>52929</v>
      </c>
    </row>
    <row r="3822" spans="1:11">
      <c r="A3822" s="1" t="str">
        <f t="shared" si="59"/>
        <v>15100-48697296-96150051751160</v>
      </c>
      <c r="B3822" s="136" t="s">
        <v>8870</v>
      </c>
      <c r="C3822" s="136" t="s">
        <v>9678</v>
      </c>
      <c r="D3822" s="132" t="s">
        <v>4971</v>
      </c>
      <c r="E3822" s="136" t="s">
        <v>8793</v>
      </c>
      <c r="F3822" s="136" t="s">
        <v>8793</v>
      </c>
      <c r="G3822" s="136" t="s">
        <v>5842</v>
      </c>
      <c r="H3822" s="138" t="s">
        <v>6300</v>
      </c>
      <c r="I3822" s="136">
        <v>961500517</v>
      </c>
      <c r="J3822" s="131" t="s">
        <v>8856</v>
      </c>
      <c r="K3822" s="139">
        <v>51160</v>
      </c>
    </row>
    <row r="3823" spans="1:11">
      <c r="A3823" s="1" t="str">
        <f t="shared" si="59"/>
        <v>15100-48348496-9615005113360</v>
      </c>
      <c r="B3823" s="136" t="s">
        <v>8871</v>
      </c>
      <c r="C3823" s="136" t="s">
        <v>9679</v>
      </c>
      <c r="D3823" s="132" t="s">
        <v>4971</v>
      </c>
      <c r="E3823" s="136" t="s">
        <v>8767</v>
      </c>
      <c r="F3823" s="136" t="s">
        <v>8767</v>
      </c>
      <c r="G3823" s="136" t="s">
        <v>7253</v>
      </c>
      <c r="H3823" s="138" t="s">
        <v>8873</v>
      </c>
      <c r="I3823" s="136">
        <v>961500511</v>
      </c>
      <c r="J3823" s="131" t="s">
        <v>8872</v>
      </c>
      <c r="K3823" s="139">
        <v>3360</v>
      </c>
    </row>
    <row r="3824" spans="1:11">
      <c r="A3824" s="1" t="str">
        <f t="shared" si="59"/>
        <v>15100-48300596-96150044969380</v>
      </c>
      <c r="B3824" s="136" t="s">
        <v>8874</v>
      </c>
      <c r="C3824" s="136" t="s">
        <v>9680</v>
      </c>
      <c r="D3824" s="132" t="s">
        <v>4971</v>
      </c>
      <c r="E3824" s="136" t="s">
        <v>6457</v>
      </c>
      <c r="F3824" s="136" t="s">
        <v>6457</v>
      </c>
      <c r="G3824" s="136" t="s">
        <v>5836</v>
      </c>
      <c r="H3824" s="138" t="s">
        <v>6300</v>
      </c>
      <c r="I3824" s="136">
        <v>961500449</v>
      </c>
      <c r="J3824" s="131" t="s">
        <v>7238</v>
      </c>
      <c r="K3824" s="139">
        <v>69380</v>
      </c>
    </row>
    <row r="3825" spans="1:11">
      <c r="A3825" s="1" t="str">
        <f t="shared" si="59"/>
        <v>15100-48300596-96150044620</v>
      </c>
      <c r="B3825" s="136" t="s">
        <v>8874</v>
      </c>
      <c r="C3825" s="136" t="s">
        <v>9680</v>
      </c>
      <c r="D3825" s="132" t="s">
        <v>4971</v>
      </c>
      <c r="E3825" s="136" t="s">
        <v>6457</v>
      </c>
      <c r="F3825" s="136" t="s">
        <v>6457</v>
      </c>
      <c r="G3825" s="136" t="s">
        <v>5836</v>
      </c>
      <c r="H3825" s="138" t="s">
        <v>6300</v>
      </c>
      <c r="I3825" s="136">
        <v>961500446</v>
      </c>
      <c r="J3825" s="131" t="s">
        <v>8499</v>
      </c>
      <c r="K3825" s="139">
        <v>20</v>
      </c>
    </row>
    <row r="3826" spans="1:11">
      <c r="A3826" s="1" t="str">
        <f t="shared" si="59"/>
        <v>15100-48534196-96150023655330</v>
      </c>
      <c r="B3826" s="136" t="s">
        <v>8875</v>
      </c>
      <c r="C3826" s="136" t="s">
        <v>9681</v>
      </c>
      <c r="D3826" s="132" t="s">
        <v>4971</v>
      </c>
      <c r="E3826" s="136" t="s">
        <v>8764</v>
      </c>
      <c r="F3826" s="136" t="s">
        <v>8764</v>
      </c>
      <c r="G3826" s="136" t="s">
        <v>5813</v>
      </c>
      <c r="H3826" s="138" t="s">
        <v>6298</v>
      </c>
      <c r="I3826" s="136">
        <v>961500236</v>
      </c>
      <c r="J3826" s="131" t="s">
        <v>5926</v>
      </c>
      <c r="K3826" s="139">
        <v>55330</v>
      </c>
    </row>
    <row r="3827" spans="1:11">
      <c r="A3827" s="1" t="str">
        <f t="shared" si="59"/>
        <v>15100-48405096-96150050544160</v>
      </c>
      <c r="B3827" s="136" t="s">
        <v>8876</v>
      </c>
      <c r="C3827" s="136" t="s">
        <v>9682</v>
      </c>
      <c r="D3827" s="132" t="s">
        <v>4971</v>
      </c>
      <c r="E3827" s="136" t="s">
        <v>8788</v>
      </c>
      <c r="F3827" s="141" t="s">
        <v>8788</v>
      </c>
      <c r="G3827" s="141" t="s">
        <v>7114</v>
      </c>
      <c r="H3827" s="140" t="s">
        <v>6454</v>
      </c>
      <c r="I3827" s="141">
        <v>961500505</v>
      </c>
      <c r="J3827" s="131" t="s">
        <v>8877</v>
      </c>
      <c r="K3827" s="142">
        <v>44160</v>
      </c>
    </row>
    <row r="3828" spans="1:11">
      <c r="A3828" s="1" t="str">
        <f t="shared" si="59"/>
        <v>15100-48762996-96150027750000</v>
      </c>
      <c r="B3828" s="136" t="s">
        <v>8878</v>
      </c>
      <c r="C3828" s="136" t="s">
        <v>9683</v>
      </c>
      <c r="D3828" s="132" t="s">
        <v>4971</v>
      </c>
      <c r="E3828" s="136" t="s">
        <v>8770</v>
      </c>
      <c r="F3828" s="136" t="s">
        <v>8770</v>
      </c>
      <c r="G3828" s="136" t="s">
        <v>5820</v>
      </c>
      <c r="H3828" s="138" t="s">
        <v>6300</v>
      </c>
      <c r="I3828" s="136">
        <v>961500277</v>
      </c>
      <c r="J3828" s="131" t="s">
        <v>5976</v>
      </c>
      <c r="K3828" s="139">
        <v>50000</v>
      </c>
    </row>
    <row r="3829" spans="1:11">
      <c r="A3829" s="1" t="str">
        <f t="shared" si="59"/>
        <v>15100-48404196-96150023611480</v>
      </c>
      <c r="B3829" s="136" t="s">
        <v>8879</v>
      </c>
      <c r="C3829" s="136" t="s">
        <v>9684</v>
      </c>
      <c r="D3829" s="132" t="s">
        <v>4971</v>
      </c>
      <c r="E3829" s="136" t="s">
        <v>8788</v>
      </c>
      <c r="F3829" s="136" t="s">
        <v>8788</v>
      </c>
      <c r="G3829" s="136" t="s">
        <v>5813</v>
      </c>
      <c r="H3829" s="138" t="s">
        <v>6298</v>
      </c>
      <c r="I3829" s="136">
        <v>961500236</v>
      </c>
      <c r="J3829" s="131" t="s">
        <v>5926</v>
      </c>
      <c r="K3829" s="139">
        <v>11480</v>
      </c>
    </row>
    <row r="3830" spans="1:11">
      <c r="A3830" s="1" t="str">
        <f t="shared" si="59"/>
        <v>15100-48645496-961500405170940</v>
      </c>
      <c r="B3830" s="136" t="s">
        <v>8880</v>
      </c>
      <c r="C3830" s="136" t="s">
        <v>9685</v>
      </c>
      <c r="D3830" s="132" t="s">
        <v>4971</v>
      </c>
      <c r="E3830" s="136" t="s">
        <v>8830</v>
      </c>
      <c r="F3830" s="136" t="s">
        <v>8830</v>
      </c>
      <c r="G3830" s="136" t="s">
        <v>5836</v>
      </c>
      <c r="H3830" s="138" t="s">
        <v>6300</v>
      </c>
      <c r="I3830" s="136">
        <v>961500405</v>
      </c>
      <c r="J3830" s="131" t="s">
        <v>8881</v>
      </c>
      <c r="K3830" s="139">
        <v>170940</v>
      </c>
    </row>
    <row r="3831" spans="1:11">
      <c r="A3831" s="1" t="str">
        <f t="shared" si="59"/>
        <v>15100-48538096-96150040568880</v>
      </c>
      <c r="B3831" s="136" t="s">
        <v>8882</v>
      </c>
      <c r="C3831" s="136" t="s">
        <v>9686</v>
      </c>
      <c r="D3831" s="132" t="s">
        <v>4971</v>
      </c>
      <c r="E3831" s="136" t="s">
        <v>8764</v>
      </c>
      <c r="F3831" s="136" t="s">
        <v>8764</v>
      </c>
      <c r="G3831" s="144" t="s">
        <v>5836</v>
      </c>
      <c r="H3831" s="145" t="s">
        <v>6300</v>
      </c>
      <c r="I3831" s="144">
        <v>961500405</v>
      </c>
      <c r="J3831" s="131" t="s">
        <v>8881</v>
      </c>
      <c r="K3831" s="146">
        <v>68880</v>
      </c>
    </row>
    <row r="3832" spans="1:11">
      <c r="A3832" s="1" t="str">
        <f t="shared" si="59"/>
        <v>15100-48296396-961500436162760</v>
      </c>
      <c r="B3832" s="136" t="s">
        <v>8883</v>
      </c>
      <c r="C3832" s="136" t="s">
        <v>9687</v>
      </c>
      <c r="D3832" s="132" t="s">
        <v>4971</v>
      </c>
      <c r="E3832" s="136" t="s">
        <v>6457</v>
      </c>
      <c r="F3832" s="147" t="s">
        <v>6457</v>
      </c>
      <c r="G3832" s="141" t="s">
        <v>7233</v>
      </c>
      <c r="H3832" s="140" t="s">
        <v>6453</v>
      </c>
      <c r="I3832" s="141">
        <v>961500436</v>
      </c>
      <c r="J3832" s="131" t="s">
        <v>7249</v>
      </c>
      <c r="K3832" s="142">
        <v>162760</v>
      </c>
    </row>
    <row r="3833" spans="1:11">
      <c r="A3833" s="1" t="str">
        <f t="shared" si="59"/>
        <v>15100-48517696-961500491570000</v>
      </c>
      <c r="B3833" s="136" t="s">
        <v>8884</v>
      </c>
      <c r="C3833" s="136" t="s">
        <v>9688</v>
      </c>
      <c r="D3833" s="132" t="s">
        <v>4971</v>
      </c>
      <c r="E3833" s="136" t="s">
        <v>8764</v>
      </c>
      <c r="F3833" s="136" t="s">
        <v>8764</v>
      </c>
      <c r="G3833" s="131" t="s">
        <v>7234</v>
      </c>
      <c r="H3833" s="134" t="s">
        <v>6454</v>
      </c>
      <c r="I3833" s="131">
        <v>961500491</v>
      </c>
      <c r="J3833" s="131" t="s">
        <v>8885</v>
      </c>
      <c r="K3833" s="135">
        <v>570000</v>
      </c>
    </row>
    <row r="3834" spans="1:11">
      <c r="A3834" s="1" t="str">
        <f t="shared" si="59"/>
        <v>15100-48343596-96150051146620</v>
      </c>
      <c r="B3834" s="136" t="s">
        <v>8886</v>
      </c>
      <c r="C3834" s="136" t="s">
        <v>9689</v>
      </c>
      <c r="D3834" s="132" t="s">
        <v>4971</v>
      </c>
      <c r="E3834" s="136" t="s">
        <v>8767</v>
      </c>
      <c r="F3834" s="136" t="s">
        <v>8767</v>
      </c>
      <c r="G3834" s="136" t="s">
        <v>7253</v>
      </c>
      <c r="H3834" s="138" t="s">
        <v>8873</v>
      </c>
      <c r="I3834" s="136">
        <v>961500511</v>
      </c>
      <c r="J3834" s="131" t="s">
        <v>8872</v>
      </c>
      <c r="K3834" s="139">
        <v>46620</v>
      </c>
    </row>
    <row r="3835" spans="1:11">
      <c r="A3835" s="1" t="str">
        <f t="shared" si="59"/>
        <v>15100-48405096-96150051025040</v>
      </c>
      <c r="B3835" s="136" t="s">
        <v>8876</v>
      </c>
      <c r="C3835" s="136" t="s">
        <v>9682</v>
      </c>
      <c r="D3835" s="132" t="s">
        <v>4971</v>
      </c>
      <c r="E3835" s="136" t="s">
        <v>8788</v>
      </c>
      <c r="F3835" s="136" t="s">
        <v>8788</v>
      </c>
      <c r="G3835" s="136" t="s">
        <v>7276</v>
      </c>
      <c r="H3835" s="138" t="s">
        <v>6299</v>
      </c>
      <c r="I3835" s="136">
        <v>961500510</v>
      </c>
      <c r="J3835" s="131" t="s">
        <v>8887</v>
      </c>
      <c r="K3835" s="139">
        <v>25040</v>
      </c>
    </row>
    <row r="3836" spans="1:11">
      <c r="A3836" s="1" t="str">
        <f t="shared" si="59"/>
        <v>15100-48404196-96150025412730</v>
      </c>
      <c r="B3836" s="136" t="s">
        <v>8879</v>
      </c>
      <c r="C3836" s="136" t="s">
        <v>9684</v>
      </c>
      <c r="D3836" s="132" t="s">
        <v>4971</v>
      </c>
      <c r="E3836" s="136" t="s">
        <v>8788</v>
      </c>
      <c r="F3836" s="136" t="s">
        <v>8788</v>
      </c>
      <c r="G3836" s="136" t="s">
        <v>5814</v>
      </c>
      <c r="H3836" s="138" t="s">
        <v>6298</v>
      </c>
      <c r="I3836" s="136">
        <v>961500254</v>
      </c>
      <c r="J3836" s="131" t="s">
        <v>5943</v>
      </c>
      <c r="K3836" s="139">
        <v>12730</v>
      </c>
    </row>
    <row r="3837" spans="1:11">
      <c r="A3837" s="1" t="str">
        <f t="shared" si="59"/>
        <v>15100-48533296-961500405116900</v>
      </c>
      <c r="B3837" s="136" t="s">
        <v>8888</v>
      </c>
      <c r="C3837" s="136" t="s">
        <v>9690</v>
      </c>
      <c r="D3837" s="132" t="s">
        <v>4971</v>
      </c>
      <c r="E3837" s="136" t="s">
        <v>8764</v>
      </c>
      <c r="F3837" s="136" t="s">
        <v>8764</v>
      </c>
      <c r="G3837" s="136" t="s">
        <v>5836</v>
      </c>
      <c r="H3837" s="138" t="s">
        <v>6300</v>
      </c>
      <c r="I3837" s="136">
        <v>961500405</v>
      </c>
      <c r="J3837" s="131" t="s">
        <v>8881</v>
      </c>
      <c r="K3837" s="139">
        <v>116900</v>
      </c>
    </row>
    <row r="3838" spans="1:11">
      <c r="A3838" s="1" t="str">
        <f t="shared" si="59"/>
        <v>15100-48517696-961500405167700</v>
      </c>
      <c r="B3838" s="144" t="s">
        <v>8884</v>
      </c>
      <c r="C3838" s="144" t="s">
        <v>9688</v>
      </c>
      <c r="D3838" s="132" t="s">
        <v>4971</v>
      </c>
      <c r="E3838" s="144" t="s">
        <v>8764</v>
      </c>
      <c r="F3838" s="144" t="s">
        <v>8764</v>
      </c>
      <c r="G3838" s="144" t="s">
        <v>5836</v>
      </c>
      <c r="H3838" s="145" t="s">
        <v>6300</v>
      </c>
      <c r="I3838" s="144">
        <v>961500405</v>
      </c>
      <c r="J3838" s="131" t="s">
        <v>8881</v>
      </c>
      <c r="K3838" s="146">
        <v>167700</v>
      </c>
    </row>
    <row r="3839" spans="1:11">
      <c r="A3839" s="1" t="str">
        <f t="shared" si="59"/>
        <v>15100-48237396-96150044649980</v>
      </c>
      <c r="B3839" s="141" t="s">
        <v>8889</v>
      </c>
      <c r="C3839" s="141" t="s">
        <v>9691</v>
      </c>
      <c r="D3839" s="132" t="s">
        <v>4971</v>
      </c>
      <c r="E3839" s="141" t="s">
        <v>8617</v>
      </c>
      <c r="F3839" s="141" t="s">
        <v>8617</v>
      </c>
      <c r="G3839" s="141" t="s">
        <v>5836</v>
      </c>
      <c r="H3839" s="140" t="s">
        <v>6300</v>
      </c>
      <c r="I3839" s="141">
        <v>961500446</v>
      </c>
      <c r="J3839" s="131" t="s">
        <v>8499</v>
      </c>
      <c r="K3839" s="142">
        <v>49980</v>
      </c>
    </row>
    <row r="3840" spans="1:11">
      <c r="A3840" s="1" t="str">
        <f t="shared" si="59"/>
        <v>15100-48837396-96150029926840</v>
      </c>
      <c r="B3840" s="131" t="s">
        <v>8864</v>
      </c>
      <c r="C3840" s="131" t="s">
        <v>9675</v>
      </c>
      <c r="D3840" s="132" t="s">
        <v>4971</v>
      </c>
      <c r="E3840" s="131" t="s">
        <v>8855</v>
      </c>
      <c r="F3840" s="131" t="s">
        <v>8855</v>
      </c>
      <c r="G3840" s="131" t="s">
        <v>5822</v>
      </c>
      <c r="H3840" s="134" t="s">
        <v>6454</v>
      </c>
      <c r="I3840" s="131">
        <v>961500299</v>
      </c>
      <c r="J3840" s="131" t="s">
        <v>6003</v>
      </c>
      <c r="K3840" s="135">
        <v>26840</v>
      </c>
    </row>
    <row r="3841" spans="1:11">
      <c r="A3841" s="1" t="str">
        <f t="shared" si="59"/>
        <v>15100-48837396-96150054290900</v>
      </c>
      <c r="B3841" s="136" t="s">
        <v>8864</v>
      </c>
      <c r="C3841" s="136" t="s">
        <v>9675</v>
      </c>
      <c r="D3841" s="132" t="s">
        <v>4971</v>
      </c>
      <c r="E3841" s="136" t="s">
        <v>8855</v>
      </c>
      <c r="F3841" s="136" t="s">
        <v>8855</v>
      </c>
      <c r="G3841" s="141" t="s">
        <v>5854</v>
      </c>
      <c r="H3841" s="140" t="s">
        <v>8859</v>
      </c>
      <c r="I3841" s="141">
        <v>961500542</v>
      </c>
      <c r="J3841" s="131" t="s">
        <v>8858</v>
      </c>
      <c r="K3841" s="142">
        <v>90900</v>
      </c>
    </row>
    <row r="3842" spans="1:11">
      <c r="A3842" s="1" t="str">
        <f t="shared" si="59"/>
        <v>15100-48753896-96150053896060</v>
      </c>
      <c r="B3842" s="136" t="s">
        <v>8868</v>
      </c>
      <c r="C3842" s="136" t="s">
        <v>9676</v>
      </c>
      <c r="D3842" s="132" t="s">
        <v>4971</v>
      </c>
      <c r="E3842" s="136" t="s">
        <v>8770</v>
      </c>
      <c r="F3842" s="136" t="s">
        <v>8770</v>
      </c>
      <c r="G3842" s="141" t="s">
        <v>8497</v>
      </c>
      <c r="H3842" s="140" t="s">
        <v>6453</v>
      </c>
      <c r="I3842" s="141">
        <v>961500538</v>
      </c>
      <c r="J3842" s="131" t="s">
        <v>8890</v>
      </c>
      <c r="K3842" s="142">
        <v>96060</v>
      </c>
    </row>
    <row r="3843" spans="1:11">
      <c r="A3843" s="1" t="str">
        <f t="shared" ref="A3843:A3906" si="60">B3843&amp;J3843&amp;K3843</f>
        <v>15100-48296396-961500501245500</v>
      </c>
      <c r="B3843" s="136" t="s">
        <v>8883</v>
      </c>
      <c r="C3843" s="136" t="s">
        <v>9687</v>
      </c>
      <c r="D3843" s="132" t="s">
        <v>4971</v>
      </c>
      <c r="E3843" s="136" t="s">
        <v>6457</v>
      </c>
      <c r="F3843" s="141" t="s">
        <v>6457</v>
      </c>
      <c r="G3843" s="141" t="s">
        <v>7121</v>
      </c>
      <c r="H3843" s="140" t="s">
        <v>6454</v>
      </c>
      <c r="I3843" s="141">
        <v>961500501</v>
      </c>
      <c r="J3843" s="131" t="s">
        <v>8891</v>
      </c>
      <c r="K3843" s="142">
        <v>245500</v>
      </c>
    </row>
    <row r="3844" spans="1:11">
      <c r="A3844" s="1" t="str">
        <f t="shared" si="60"/>
        <v>15100-48533296-961500300118900</v>
      </c>
      <c r="B3844" s="136" t="s">
        <v>8888</v>
      </c>
      <c r="C3844" s="136" t="s">
        <v>9690</v>
      </c>
      <c r="D3844" s="132" t="s">
        <v>4971</v>
      </c>
      <c r="E3844" s="136" t="s">
        <v>8764</v>
      </c>
      <c r="F3844" s="136" t="s">
        <v>8764</v>
      </c>
      <c r="G3844" s="136" t="s">
        <v>5820</v>
      </c>
      <c r="H3844" s="138" t="s">
        <v>6300</v>
      </c>
      <c r="I3844" s="136">
        <v>961500300</v>
      </c>
      <c r="J3844" s="131" t="s">
        <v>6009</v>
      </c>
      <c r="K3844" s="139">
        <v>118900</v>
      </c>
    </row>
    <row r="3845" spans="1:11">
      <c r="A3845" s="1" t="str">
        <f t="shared" si="60"/>
        <v>15100-48300596-96150030051410</v>
      </c>
      <c r="B3845" s="136" t="s">
        <v>8874</v>
      </c>
      <c r="C3845" s="136" t="s">
        <v>9680</v>
      </c>
      <c r="D3845" s="132" t="s">
        <v>4971</v>
      </c>
      <c r="E3845" s="136" t="s">
        <v>6457</v>
      </c>
      <c r="F3845" s="136" t="s">
        <v>6457</v>
      </c>
      <c r="G3845" s="136" t="s">
        <v>5820</v>
      </c>
      <c r="H3845" s="138" t="s">
        <v>6300</v>
      </c>
      <c r="I3845" s="136">
        <v>961500300</v>
      </c>
      <c r="J3845" s="131" t="s">
        <v>6009</v>
      </c>
      <c r="K3845" s="139">
        <v>51410</v>
      </c>
    </row>
    <row r="3846" spans="1:11">
      <c r="A3846" s="1" t="str">
        <f t="shared" si="60"/>
        <v>15100-48536296-96150029349550</v>
      </c>
      <c r="B3846" s="136" t="s">
        <v>8892</v>
      </c>
      <c r="C3846" s="136" t="s">
        <v>9692</v>
      </c>
      <c r="D3846" s="132" t="s">
        <v>4971</v>
      </c>
      <c r="E3846" s="136" t="s">
        <v>8764</v>
      </c>
      <c r="F3846" s="136" t="s">
        <v>8764</v>
      </c>
      <c r="G3846" s="136" t="s">
        <v>5826</v>
      </c>
      <c r="H3846" s="138" t="s">
        <v>6298</v>
      </c>
      <c r="I3846" s="136">
        <v>961500293</v>
      </c>
      <c r="J3846" s="131" t="s">
        <v>5996</v>
      </c>
      <c r="K3846" s="139">
        <v>49550</v>
      </c>
    </row>
    <row r="3847" spans="1:11">
      <c r="A3847" s="1" t="str">
        <f t="shared" si="60"/>
        <v>15100-48534196-96150029321040</v>
      </c>
      <c r="B3847" s="136" t="s">
        <v>8875</v>
      </c>
      <c r="C3847" s="136" t="s">
        <v>9681</v>
      </c>
      <c r="D3847" s="132" t="s">
        <v>4971</v>
      </c>
      <c r="E3847" s="136" t="s">
        <v>8764</v>
      </c>
      <c r="F3847" s="136" t="s">
        <v>8764</v>
      </c>
      <c r="G3847" s="136" t="s">
        <v>5826</v>
      </c>
      <c r="H3847" s="138" t="s">
        <v>6298</v>
      </c>
      <c r="I3847" s="136">
        <v>961500293</v>
      </c>
      <c r="J3847" s="131" t="s">
        <v>5996</v>
      </c>
      <c r="K3847" s="139">
        <v>21040</v>
      </c>
    </row>
    <row r="3848" spans="1:11">
      <c r="A3848" s="1" t="str">
        <f t="shared" si="60"/>
        <v>15100-48592296-96150027773000</v>
      </c>
      <c r="B3848" s="136" t="s">
        <v>8893</v>
      </c>
      <c r="C3848" s="136" t="s">
        <v>9693</v>
      </c>
      <c r="D3848" s="132" t="s">
        <v>4971</v>
      </c>
      <c r="E3848" s="136" t="s">
        <v>8621</v>
      </c>
      <c r="F3848" s="136" t="s">
        <v>8621</v>
      </c>
      <c r="G3848" s="136" t="s">
        <v>5820</v>
      </c>
      <c r="H3848" s="138" t="s">
        <v>6300</v>
      </c>
      <c r="I3848" s="136">
        <v>961500277</v>
      </c>
      <c r="J3848" s="131" t="s">
        <v>5976</v>
      </c>
      <c r="K3848" s="139">
        <v>73000</v>
      </c>
    </row>
    <row r="3849" spans="1:11">
      <c r="A3849" s="1" t="str">
        <f t="shared" si="60"/>
        <v>15100-48978596-96150042148900</v>
      </c>
      <c r="B3849" s="136" t="s">
        <v>8894</v>
      </c>
      <c r="C3849" s="136" t="s">
        <v>9694</v>
      </c>
      <c r="D3849" s="132" t="s">
        <v>4971</v>
      </c>
      <c r="E3849" s="136" t="s">
        <v>8695</v>
      </c>
      <c r="F3849" s="136" t="s">
        <v>8695</v>
      </c>
      <c r="G3849" s="136" t="s">
        <v>7237</v>
      </c>
      <c r="H3849" s="138" t="s">
        <v>6300</v>
      </c>
      <c r="I3849" s="136">
        <v>961500421</v>
      </c>
      <c r="J3849" s="131" t="s">
        <v>8853</v>
      </c>
      <c r="K3849" s="139">
        <v>48900</v>
      </c>
    </row>
    <row r="3850" spans="1:11">
      <c r="A3850" s="1" t="str">
        <f t="shared" si="60"/>
        <v>15100-48753896-96150029937320</v>
      </c>
      <c r="B3850" s="136" t="s">
        <v>8868</v>
      </c>
      <c r="C3850" s="136" t="s">
        <v>9676</v>
      </c>
      <c r="D3850" s="132" t="s">
        <v>4971</v>
      </c>
      <c r="E3850" s="136" t="s">
        <v>8770</v>
      </c>
      <c r="F3850" s="136" t="s">
        <v>8770</v>
      </c>
      <c r="G3850" s="136" t="s">
        <v>5822</v>
      </c>
      <c r="H3850" s="138" t="s">
        <v>6454</v>
      </c>
      <c r="I3850" s="136">
        <v>961500299</v>
      </c>
      <c r="J3850" s="131" t="s">
        <v>6003</v>
      </c>
      <c r="K3850" s="139">
        <v>37320</v>
      </c>
    </row>
    <row r="3851" spans="1:11">
      <c r="A3851" s="1" t="str">
        <f t="shared" si="60"/>
        <v>15100-48404196-96150030025030</v>
      </c>
      <c r="B3851" s="136" t="s">
        <v>8879</v>
      </c>
      <c r="C3851" s="136" t="s">
        <v>9684</v>
      </c>
      <c r="D3851" s="132" t="s">
        <v>4971</v>
      </c>
      <c r="E3851" s="136" t="s">
        <v>8788</v>
      </c>
      <c r="F3851" s="136" t="s">
        <v>8788</v>
      </c>
      <c r="G3851" s="136" t="s">
        <v>5820</v>
      </c>
      <c r="H3851" s="138" t="s">
        <v>6300</v>
      </c>
      <c r="I3851" s="136">
        <v>961500300</v>
      </c>
      <c r="J3851" s="131" t="s">
        <v>6009</v>
      </c>
      <c r="K3851" s="139">
        <v>25030</v>
      </c>
    </row>
    <row r="3852" spans="1:11">
      <c r="A3852" s="1" t="str">
        <f t="shared" si="60"/>
        <v>15100-48759896-96150029354810</v>
      </c>
      <c r="B3852" s="136" t="s">
        <v>8895</v>
      </c>
      <c r="C3852" s="136" t="s">
        <v>9695</v>
      </c>
      <c r="D3852" s="132" t="s">
        <v>4971</v>
      </c>
      <c r="E3852" s="136" t="s">
        <v>8770</v>
      </c>
      <c r="F3852" s="136" t="s">
        <v>8770</v>
      </c>
      <c r="G3852" s="136" t="s">
        <v>5826</v>
      </c>
      <c r="H3852" s="138" t="s">
        <v>6298</v>
      </c>
      <c r="I3852" s="136">
        <v>961500293</v>
      </c>
      <c r="J3852" s="131" t="s">
        <v>5996</v>
      </c>
      <c r="K3852" s="139">
        <v>54810</v>
      </c>
    </row>
    <row r="3853" spans="1:11">
      <c r="A3853" s="1" t="str">
        <f t="shared" si="60"/>
        <v>15100-48917996-96150030923420</v>
      </c>
      <c r="B3853" s="136" t="s">
        <v>8869</v>
      </c>
      <c r="C3853" s="136" t="s">
        <v>9677</v>
      </c>
      <c r="D3853" s="132" t="s">
        <v>4971</v>
      </c>
      <c r="E3853" s="136" t="s">
        <v>8824</v>
      </c>
      <c r="F3853" s="136" t="s">
        <v>8824</v>
      </c>
      <c r="G3853" s="136" t="s">
        <v>5831</v>
      </c>
      <c r="H3853" s="138" t="s">
        <v>6298</v>
      </c>
      <c r="I3853" s="136">
        <v>961500309</v>
      </c>
      <c r="J3853" s="131" t="s">
        <v>6017</v>
      </c>
      <c r="K3853" s="139">
        <v>23420</v>
      </c>
    </row>
    <row r="3854" spans="1:11">
      <c r="A3854" s="1" t="str">
        <f t="shared" si="60"/>
        <v>15100-48759896-96150029742790</v>
      </c>
      <c r="B3854" s="136" t="s">
        <v>8895</v>
      </c>
      <c r="C3854" s="136" t="s">
        <v>9695</v>
      </c>
      <c r="D3854" s="132" t="s">
        <v>4971</v>
      </c>
      <c r="E3854" s="136" t="s">
        <v>8770</v>
      </c>
      <c r="F3854" s="136" t="s">
        <v>8770</v>
      </c>
      <c r="G3854" s="136" t="s">
        <v>5826</v>
      </c>
      <c r="H3854" s="138" t="s">
        <v>6298</v>
      </c>
      <c r="I3854" s="136">
        <v>961500297</v>
      </c>
      <c r="J3854" s="131" t="s">
        <v>6001</v>
      </c>
      <c r="K3854" s="139">
        <v>42790</v>
      </c>
    </row>
    <row r="3855" spans="1:11">
      <c r="A3855" s="1" t="str">
        <f t="shared" si="60"/>
        <v>15100-48300596-961500441118670</v>
      </c>
      <c r="B3855" s="136" t="s">
        <v>8874</v>
      </c>
      <c r="C3855" s="136" t="s">
        <v>9680</v>
      </c>
      <c r="D3855" s="132" t="s">
        <v>4971</v>
      </c>
      <c r="E3855" s="136" t="s">
        <v>6457</v>
      </c>
      <c r="F3855" s="136" t="s">
        <v>6457</v>
      </c>
      <c r="G3855" s="136" t="s">
        <v>7237</v>
      </c>
      <c r="H3855" s="138" t="s">
        <v>6300</v>
      </c>
      <c r="I3855" s="136">
        <v>961500441</v>
      </c>
      <c r="J3855" s="131" t="s">
        <v>8896</v>
      </c>
      <c r="K3855" s="139">
        <v>118670</v>
      </c>
    </row>
    <row r="3856" spans="1:11">
      <c r="A3856" s="1" t="str">
        <f t="shared" si="60"/>
        <v>15100-48517696-961500506311740</v>
      </c>
      <c r="B3856" s="136" t="s">
        <v>8884</v>
      </c>
      <c r="C3856" s="136" t="s">
        <v>9688</v>
      </c>
      <c r="D3856" s="132" t="s">
        <v>4971</v>
      </c>
      <c r="E3856" s="136" t="s">
        <v>8764</v>
      </c>
      <c r="F3856" s="136" t="s">
        <v>8764</v>
      </c>
      <c r="G3856" s="141" t="s">
        <v>8497</v>
      </c>
      <c r="H3856" s="140" t="s">
        <v>6453</v>
      </c>
      <c r="I3856" s="141">
        <v>961500506</v>
      </c>
      <c r="J3856" s="131" t="s">
        <v>8857</v>
      </c>
      <c r="K3856" s="142">
        <v>311740</v>
      </c>
    </row>
    <row r="3857" spans="1:11">
      <c r="A3857" s="1" t="str">
        <f t="shared" si="60"/>
        <v>15100-48348496-96150044147100</v>
      </c>
      <c r="B3857" s="136" t="s">
        <v>8871</v>
      </c>
      <c r="C3857" s="136" t="s">
        <v>9679</v>
      </c>
      <c r="D3857" s="132" t="s">
        <v>4971</v>
      </c>
      <c r="E3857" s="136" t="s">
        <v>8767</v>
      </c>
      <c r="F3857" s="136" t="s">
        <v>8767</v>
      </c>
      <c r="G3857" s="136" t="s">
        <v>7237</v>
      </c>
      <c r="H3857" s="138" t="s">
        <v>6300</v>
      </c>
      <c r="I3857" s="136">
        <v>961500441</v>
      </c>
      <c r="J3857" s="131" t="s">
        <v>8896</v>
      </c>
      <c r="K3857" s="139">
        <v>47100</v>
      </c>
    </row>
    <row r="3858" spans="1:11">
      <c r="A3858" s="1" t="str">
        <f t="shared" si="60"/>
        <v>15100-48645496-96150030054860</v>
      </c>
      <c r="B3858" s="136" t="s">
        <v>8880</v>
      </c>
      <c r="C3858" s="136" t="s">
        <v>9685</v>
      </c>
      <c r="D3858" s="132" t="s">
        <v>4971</v>
      </c>
      <c r="E3858" s="136" t="s">
        <v>8830</v>
      </c>
      <c r="F3858" s="136" t="s">
        <v>8830</v>
      </c>
      <c r="G3858" s="136" t="s">
        <v>5820</v>
      </c>
      <c r="H3858" s="138" t="s">
        <v>6300</v>
      </c>
      <c r="I3858" s="136">
        <v>961500300</v>
      </c>
      <c r="J3858" s="131" t="s">
        <v>6009</v>
      </c>
      <c r="K3858" s="139">
        <v>54860</v>
      </c>
    </row>
    <row r="3859" spans="1:11">
      <c r="A3859" s="1" t="str">
        <f t="shared" si="60"/>
        <v>15100-48645496-961500462272000</v>
      </c>
      <c r="B3859" s="136" t="s">
        <v>8880</v>
      </c>
      <c r="C3859" s="136" t="s">
        <v>9685</v>
      </c>
      <c r="D3859" s="132" t="s">
        <v>4971</v>
      </c>
      <c r="E3859" s="136" t="s">
        <v>8830</v>
      </c>
      <c r="F3859" s="136" t="s">
        <v>8830</v>
      </c>
      <c r="G3859" s="136" t="s">
        <v>5836</v>
      </c>
      <c r="H3859" s="138" t="s">
        <v>6300</v>
      </c>
      <c r="I3859" s="136">
        <v>961500462</v>
      </c>
      <c r="J3859" s="131" t="s">
        <v>8852</v>
      </c>
      <c r="K3859" s="139">
        <v>272000</v>
      </c>
    </row>
    <row r="3860" spans="1:11">
      <c r="A3860" s="1" t="str">
        <f t="shared" si="60"/>
        <v>15100-48483096-961500462124850</v>
      </c>
      <c r="B3860" s="136" t="s">
        <v>8897</v>
      </c>
      <c r="C3860" s="136" t="s">
        <v>9696</v>
      </c>
      <c r="D3860" s="132" t="s">
        <v>4971</v>
      </c>
      <c r="E3860" s="136" t="s">
        <v>8898</v>
      </c>
      <c r="F3860" s="136" t="s">
        <v>8898</v>
      </c>
      <c r="G3860" s="136" t="s">
        <v>5836</v>
      </c>
      <c r="H3860" s="138" t="s">
        <v>6300</v>
      </c>
      <c r="I3860" s="136">
        <v>961500462</v>
      </c>
      <c r="J3860" s="131" t="s">
        <v>8852</v>
      </c>
      <c r="K3860" s="139">
        <v>124850</v>
      </c>
    </row>
    <row r="3861" spans="1:11">
      <c r="A3861" s="1" t="str">
        <f t="shared" si="60"/>
        <v>15100-48584696-961500517262840</v>
      </c>
      <c r="B3861" s="136" t="s">
        <v>8899</v>
      </c>
      <c r="C3861" s="136" t="s">
        <v>9697</v>
      </c>
      <c r="D3861" s="132" t="s">
        <v>4971</v>
      </c>
      <c r="E3861" s="136" t="s">
        <v>8621</v>
      </c>
      <c r="F3861" s="136" t="s">
        <v>8621</v>
      </c>
      <c r="G3861" s="136" t="s">
        <v>5842</v>
      </c>
      <c r="H3861" s="138" t="s">
        <v>6300</v>
      </c>
      <c r="I3861" s="136">
        <v>961500517</v>
      </c>
      <c r="J3861" s="131" t="s">
        <v>8856</v>
      </c>
      <c r="K3861" s="139">
        <v>262840</v>
      </c>
    </row>
    <row r="3862" spans="1:11">
      <c r="A3862" s="1" t="str">
        <f t="shared" si="60"/>
        <v>15100-48343596-961500510144940</v>
      </c>
      <c r="B3862" s="136" t="s">
        <v>8886</v>
      </c>
      <c r="C3862" s="136" t="s">
        <v>9689</v>
      </c>
      <c r="D3862" s="132" t="s">
        <v>4971</v>
      </c>
      <c r="E3862" s="136" t="s">
        <v>8767</v>
      </c>
      <c r="F3862" s="136" t="s">
        <v>8767</v>
      </c>
      <c r="G3862" s="136" t="s">
        <v>7276</v>
      </c>
      <c r="H3862" s="138" t="s">
        <v>6299</v>
      </c>
      <c r="I3862" s="136">
        <v>961500510</v>
      </c>
      <c r="J3862" s="131" t="s">
        <v>8887</v>
      </c>
      <c r="K3862" s="139">
        <v>144940</v>
      </c>
    </row>
    <row r="3863" spans="1:11">
      <c r="A3863" s="1" t="str">
        <f t="shared" si="60"/>
        <v>15100-48483096-96150051046780</v>
      </c>
      <c r="B3863" s="136" t="s">
        <v>8897</v>
      </c>
      <c r="C3863" s="136" t="s">
        <v>9696</v>
      </c>
      <c r="D3863" s="132" t="s">
        <v>4971</v>
      </c>
      <c r="E3863" s="136" t="s">
        <v>8898</v>
      </c>
      <c r="F3863" s="136" t="s">
        <v>8898</v>
      </c>
      <c r="G3863" s="136" t="s">
        <v>7276</v>
      </c>
      <c r="H3863" s="138" t="s">
        <v>6299</v>
      </c>
      <c r="I3863" s="136">
        <v>961500510</v>
      </c>
      <c r="J3863" s="131" t="s">
        <v>8887</v>
      </c>
      <c r="K3863" s="139">
        <v>46780</v>
      </c>
    </row>
    <row r="3864" spans="1:11">
      <c r="A3864" s="1" t="str">
        <f t="shared" si="60"/>
        <v>15100-48584696-96150051032240</v>
      </c>
      <c r="B3864" s="136" t="s">
        <v>8899</v>
      </c>
      <c r="C3864" s="136" t="s">
        <v>9697</v>
      </c>
      <c r="D3864" s="132" t="s">
        <v>4971</v>
      </c>
      <c r="E3864" s="136" t="s">
        <v>8621</v>
      </c>
      <c r="F3864" s="136" t="s">
        <v>8621</v>
      </c>
      <c r="G3864" s="136" t="s">
        <v>7276</v>
      </c>
      <c r="H3864" s="138" t="s">
        <v>6299</v>
      </c>
      <c r="I3864" s="136">
        <v>961500510</v>
      </c>
      <c r="J3864" s="131" t="s">
        <v>8887</v>
      </c>
      <c r="K3864" s="139">
        <v>32240</v>
      </c>
    </row>
    <row r="3865" spans="1:11">
      <c r="A3865" s="1" t="str">
        <f t="shared" si="60"/>
        <v>15100-48343596-96150050626170</v>
      </c>
      <c r="B3865" s="136" t="s">
        <v>8886</v>
      </c>
      <c r="C3865" s="136" t="s">
        <v>9689</v>
      </c>
      <c r="D3865" s="132" t="s">
        <v>4971</v>
      </c>
      <c r="E3865" s="136" t="s">
        <v>8767</v>
      </c>
      <c r="F3865" s="136" t="s">
        <v>8767</v>
      </c>
      <c r="G3865" s="141" t="s">
        <v>8497</v>
      </c>
      <c r="H3865" s="140" t="s">
        <v>6453</v>
      </c>
      <c r="I3865" s="141">
        <v>961500506</v>
      </c>
      <c r="J3865" s="131" t="s">
        <v>8857</v>
      </c>
      <c r="K3865" s="142">
        <v>26170</v>
      </c>
    </row>
    <row r="3866" spans="1:11">
      <c r="A3866" s="1" t="str">
        <f t="shared" si="60"/>
        <v>15100-48483096-961500506116160</v>
      </c>
      <c r="B3866" s="136" t="s">
        <v>8897</v>
      </c>
      <c r="C3866" s="136" t="s">
        <v>9696</v>
      </c>
      <c r="D3866" s="132" t="s">
        <v>4971</v>
      </c>
      <c r="E3866" s="136" t="s">
        <v>8898</v>
      </c>
      <c r="F3866" s="136" t="s">
        <v>8898</v>
      </c>
      <c r="G3866" s="141" t="s">
        <v>8497</v>
      </c>
      <c r="H3866" s="140" t="s">
        <v>6453</v>
      </c>
      <c r="I3866" s="141">
        <v>961500506</v>
      </c>
      <c r="J3866" s="131" t="s">
        <v>8857</v>
      </c>
      <c r="K3866" s="142">
        <v>116160</v>
      </c>
    </row>
    <row r="3867" spans="1:11">
      <c r="A3867" s="1" t="str">
        <f t="shared" si="60"/>
        <v>15100-48483096-96150044120850</v>
      </c>
      <c r="B3867" s="136" t="s">
        <v>8897</v>
      </c>
      <c r="C3867" s="136" t="s">
        <v>9696</v>
      </c>
      <c r="D3867" s="132" t="s">
        <v>4971</v>
      </c>
      <c r="E3867" s="136" t="s">
        <v>8898</v>
      </c>
      <c r="F3867" s="136" t="s">
        <v>8898</v>
      </c>
      <c r="G3867" s="136" t="s">
        <v>7237</v>
      </c>
      <c r="H3867" s="138" t="s">
        <v>6300</v>
      </c>
      <c r="I3867" s="136">
        <v>961500441</v>
      </c>
      <c r="J3867" s="131" t="s">
        <v>8896</v>
      </c>
      <c r="K3867" s="139">
        <v>20850</v>
      </c>
    </row>
    <row r="3868" spans="1:11">
      <c r="A3868" s="1" t="str">
        <f t="shared" si="60"/>
        <v>15100-48584696-961500506183200</v>
      </c>
      <c r="B3868" s="136" t="s">
        <v>8899</v>
      </c>
      <c r="C3868" s="136" t="s">
        <v>9697</v>
      </c>
      <c r="D3868" s="132" t="s">
        <v>4971</v>
      </c>
      <c r="E3868" s="136" t="s">
        <v>8621</v>
      </c>
      <c r="F3868" s="136" t="s">
        <v>8621</v>
      </c>
      <c r="G3868" s="157" t="s">
        <v>8497</v>
      </c>
      <c r="H3868" s="158" t="s">
        <v>6453</v>
      </c>
      <c r="I3868" s="157">
        <v>961500506</v>
      </c>
      <c r="J3868" s="131" t="s">
        <v>8857</v>
      </c>
      <c r="K3868" s="159">
        <v>183200</v>
      </c>
    </row>
    <row r="3869" spans="1:11">
      <c r="A3869" s="1" t="str">
        <f t="shared" si="60"/>
        <v>15100-48343596-96150043693250</v>
      </c>
      <c r="B3869" s="136" t="s">
        <v>8886</v>
      </c>
      <c r="C3869" s="136" t="s">
        <v>9689</v>
      </c>
      <c r="D3869" s="132" t="s">
        <v>4971</v>
      </c>
      <c r="E3869" s="136" t="s">
        <v>8767</v>
      </c>
      <c r="F3869" s="147" t="s">
        <v>8767</v>
      </c>
      <c r="G3869" s="141" t="s">
        <v>7233</v>
      </c>
      <c r="H3869" s="140" t="s">
        <v>6453</v>
      </c>
      <c r="I3869" s="141">
        <v>961500436</v>
      </c>
      <c r="J3869" s="131" t="s">
        <v>7249</v>
      </c>
      <c r="K3869" s="142">
        <v>93250</v>
      </c>
    </row>
    <row r="3870" spans="1:11">
      <c r="A3870" s="1" t="str">
        <f t="shared" si="60"/>
        <v>15100-48483096-96150039949300</v>
      </c>
      <c r="B3870" s="136" t="s">
        <v>8897</v>
      </c>
      <c r="C3870" s="136" t="s">
        <v>9696</v>
      </c>
      <c r="D3870" s="132" t="s">
        <v>4971</v>
      </c>
      <c r="E3870" s="136" t="s">
        <v>8898</v>
      </c>
      <c r="F3870" s="136" t="s">
        <v>8898</v>
      </c>
      <c r="G3870" s="153" t="s">
        <v>7265</v>
      </c>
      <c r="H3870" s="154" t="s">
        <v>8859</v>
      </c>
      <c r="I3870" s="153">
        <v>961500399</v>
      </c>
      <c r="J3870" s="131" t="s">
        <v>7264</v>
      </c>
      <c r="K3870" s="155">
        <v>49300</v>
      </c>
    </row>
    <row r="3871" spans="1:11">
      <c r="A3871" s="1" t="str">
        <f t="shared" si="60"/>
        <v>15100-48584696-961500524136480</v>
      </c>
      <c r="B3871" s="136" t="s">
        <v>8899</v>
      </c>
      <c r="C3871" s="136" t="s">
        <v>9697</v>
      </c>
      <c r="D3871" s="132" t="s">
        <v>4971</v>
      </c>
      <c r="E3871" s="136" t="s">
        <v>8621</v>
      </c>
      <c r="F3871" s="136" t="s">
        <v>8621</v>
      </c>
      <c r="G3871" s="136" t="s">
        <v>8727</v>
      </c>
      <c r="H3871" s="138" t="s">
        <v>6299</v>
      </c>
      <c r="I3871" s="136">
        <v>961500524</v>
      </c>
      <c r="J3871" s="131" t="s">
        <v>8900</v>
      </c>
      <c r="K3871" s="139">
        <v>136480</v>
      </c>
    </row>
    <row r="3872" spans="1:11">
      <c r="A3872" s="1" t="str">
        <f t="shared" si="60"/>
        <v>15100-48348196-96150044146240</v>
      </c>
      <c r="B3872" s="136" t="s">
        <v>8901</v>
      </c>
      <c r="C3872" s="136" t="s">
        <v>9698</v>
      </c>
      <c r="D3872" s="132" t="s">
        <v>4971</v>
      </c>
      <c r="E3872" s="136" t="s">
        <v>8767</v>
      </c>
      <c r="F3872" s="136" t="s">
        <v>8767</v>
      </c>
      <c r="G3872" s="136" t="s">
        <v>7237</v>
      </c>
      <c r="H3872" s="138" t="s">
        <v>6300</v>
      </c>
      <c r="I3872" s="136">
        <v>961500441</v>
      </c>
      <c r="J3872" s="131" t="s">
        <v>8896</v>
      </c>
      <c r="K3872" s="139">
        <v>46240</v>
      </c>
    </row>
    <row r="3873" spans="1:11">
      <c r="A3873" s="1" t="str">
        <f t="shared" si="60"/>
        <v>15100-48465696-96150046271240</v>
      </c>
      <c r="B3873" s="136" t="s">
        <v>8902</v>
      </c>
      <c r="C3873" s="136" t="s">
        <v>9699</v>
      </c>
      <c r="D3873" s="132" t="s">
        <v>4971</v>
      </c>
      <c r="E3873" s="136" t="s">
        <v>8898</v>
      </c>
      <c r="F3873" s="136" t="s">
        <v>8898</v>
      </c>
      <c r="G3873" s="136" t="s">
        <v>5836</v>
      </c>
      <c r="H3873" s="138" t="s">
        <v>6300</v>
      </c>
      <c r="I3873" s="136">
        <v>961500462</v>
      </c>
      <c r="J3873" s="131" t="s">
        <v>8852</v>
      </c>
      <c r="K3873" s="139">
        <v>71240</v>
      </c>
    </row>
    <row r="3874" spans="1:11">
      <c r="A3874" s="1" t="str">
        <f t="shared" si="60"/>
        <v>15100-48837396-961500544139500</v>
      </c>
      <c r="B3874" s="136" t="s">
        <v>8864</v>
      </c>
      <c r="C3874" s="136" t="s">
        <v>9675</v>
      </c>
      <c r="D3874" s="132" t="s">
        <v>4971</v>
      </c>
      <c r="E3874" s="136" t="s">
        <v>8855</v>
      </c>
      <c r="F3874" s="136" t="s">
        <v>8855</v>
      </c>
      <c r="G3874" s="136" t="s">
        <v>8727</v>
      </c>
      <c r="H3874" s="138" t="s">
        <v>6299</v>
      </c>
      <c r="I3874" s="136">
        <v>961500544</v>
      </c>
      <c r="J3874" s="131" t="s">
        <v>8850</v>
      </c>
      <c r="K3874" s="139">
        <v>139500</v>
      </c>
    </row>
    <row r="3875" spans="1:11">
      <c r="A3875" s="1" t="str">
        <f t="shared" si="60"/>
        <v>15100-48837396-961500221277520</v>
      </c>
      <c r="B3875" s="136" t="s">
        <v>8864</v>
      </c>
      <c r="C3875" s="136" t="s">
        <v>9675</v>
      </c>
      <c r="D3875" s="132" t="s">
        <v>4971</v>
      </c>
      <c r="E3875" s="136" t="s">
        <v>8855</v>
      </c>
      <c r="F3875" s="136" t="s">
        <v>8855</v>
      </c>
      <c r="G3875" s="136" t="s">
        <v>5821</v>
      </c>
      <c r="H3875" s="138" t="s">
        <v>6454</v>
      </c>
      <c r="I3875" s="136">
        <v>961500221</v>
      </c>
      <c r="J3875" s="131" t="s">
        <v>5911</v>
      </c>
      <c r="K3875" s="139">
        <v>277520</v>
      </c>
    </row>
    <row r="3876" spans="1:11">
      <c r="A3876" s="1" t="str">
        <f t="shared" si="60"/>
        <v>15100-48645496-961500506118880</v>
      </c>
      <c r="B3876" s="136" t="s">
        <v>8880</v>
      </c>
      <c r="C3876" s="136" t="s">
        <v>9685</v>
      </c>
      <c r="D3876" s="132" t="s">
        <v>4971</v>
      </c>
      <c r="E3876" s="136" t="s">
        <v>8830</v>
      </c>
      <c r="F3876" s="136" t="s">
        <v>8830</v>
      </c>
      <c r="G3876" s="141" t="s">
        <v>8497</v>
      </c>
      <c r="H3876" s="140" t="s">
        <v>6453</v>
      </c>
      <c r="I3876" s="141">
        <v>961500506</v>
      </c>
      <c r="J3876" s="131" t="s">
        <v>8857</v>
      </c>
      <c r="K3876" s="142">
        <v>118880</v>
      </c>
    </row>
    <row r="3877" spans="1:11">
      <c r="A3877" s="1" t="str">
        <f t="shared" si="60"/>
        <v>15100-48404196-961500441167630</v>
      </c>
      <c r="B3877" s="136" t="s">
        <v>8879</v>
      </c>
      <c r="C3877" s="136" t="s">
        <v>9684</v>
      </c>
      <c r="D3877" s="132" t="s">
        <v>4971</v>
      </c>
      <c r="E3877" s="136" t="s">
        <v>8788</v>
      </c>
      <c r="F3877" s="136" t="s">
        <v>8788</v>
      </c>
      <c r="G3877" s="136" t="s">
        <v>7237</v>
      </c>
      <c r="H3877" s="138" t="s">
        <v>6300</v>
      </c>
      <c r="I3877" s="136">
        <v>961500441</v>
      </c>
      <c r="J3877" s="131" t="s">
        <v>8896</v>
      </c>
      <c r="K3877" s="139">
        <v>167630</v>
      </c>
    </row>
    <row r="3878" spans="1:11">
      <c r="A3878" s="1" t="str">
        <f t="shared" si="60"/>
        <v>15100-48242196-96150024855140</v>
      </c>
      <c r="B3878" s="136" t="s">
        <v>8903</v>
      </c>
      <c r="C3878" s="136" t="s">
        <v>9700</v>
      </c>
      <c r="D3878" s="132" t="s">
        <v>4971</v>
      </c>
      <c r="E3878" s="136" t="s">
        <v>8617</v>
      </c>
      <c r="F3878" s="136" t="s">
        <v>8617</v>
      </c>
      <c r="G3878" s="144" t="s">
        <v>5821</v>
      </c>
      <c r="H3878" s="145" t="s">
        <v>6454</v>
      </c>
      <c r="I3878" s="144">
        <v>961500248</v>
      </c>
      <c r="J3878" s="131" t="s">
        <v>5937</v>
      </c>
      <c r="K3878" s="146">
        <v>55140</v>
      </c>
    </row>
    <row r="3879" spans="1:11">
      <c r="A3879" s="1" t="str">
        <f t="shared" si="60"/>
        <v>15100-48242196-961500436118080</v>
      </c>
      <c r="B3879" s="136" t="s">
        <v>8903</v>
      </c>
      <c r="C3879" s="136" t="s">
        <v>9700</v>
      </c>
      <c r="D3879" s="132" t="s">
        <v>4971</v>
      </c>
      <c r="E3879" s="136" t="s">
        <v>8617</v>
      </c>
      <c r="F3879" s="147" t="s">
        <v>8617</v>
      </c>
      <c r="G3879" s="141" t="s">
        <v>7233</v>
      </c>
      <c r="H3879" s="140" t="s">
        <v>6453</v>
      </c>
      <c r="I3879" s="141">
        <v>961500436</v>
      </c>
      <c r="J3879" s="131" t="s">
        <v>7249</v>
      </c>
      <c r="K3879" s="142">
        <v>118080</v>
      </c>
    </row>
    <row r="3880" spans="1:11">
      <c r="A3880" s="1" t="str">
        <f t="shared" si="60"/>
        <v>15100-48242196-961500422225700</v>
      </c>
      <c r="B3880" s="136" t="s">
        <v>8903</v>
      </c>
      <c r="C3880" s="136" t="s">
        <v>9700</v>
      </c>
      <c r="D3880" s="132" t="s">
        <v>4971</v>
      </c>
      <c r="E3880" s="136" t="s">
        <v>8617</v>
      </c>
      <c r="F3880" s="136" t="s">
        <v>8617</v>
      </c>
      <c r="G3880" s="131" t="s">
        <v>5852</v>
      </c>
      <c r="H3880" s="134" t="s">
        <v>6454</v>
      </c>
      <c r="I3880" s="131">
        <v>961500422</v>
      </c>
      <c r="J3880" s="131" t="s">
        <v>8865</v>
      </c>
      <c r="K3880" s="135">
        <v>225700</v>
      </c>
    </row>
    <row r="3881" spans="1:11">
      <c r="A3881" s="1" t="str">
        <f t="shared" si="60"/>
        <v>15100-48753896-96150054421880</v>
      </c>
      <c r="B3881" s="136" t="s">
        <v>8868</v>
      </c>
      <c r="C3881" s="136" t="s">
        <v>9676</v>
      </c>
      <c r="D3881" s="132" t="s">
        <v>4971</v>
      </c>
      <c r="E3881" s="136" t="s">
        <v>8770</v>
      </c>
      <c r="F3881" s="136" t="s">
        <v>8770</v>
      </c>
      <c r="G3881" s="136" t="s">
        <v>8727</v>
      </c>
      <c r="H3881" s="138" t="s">
        <v>6299</v>
      </c>
      <c r="I3881" s="136">
        <v>961500544</v>
      </c>
      <c r="J3881" s="131" t="s">
        <v>8850</v>
      </c>
      <c r="K3881" s="139">
        <v>21880</v>
      </c>
    </row>
    <row r="3882" spans="1:11">
      <c r="A3882" s="1" t="str">
        <f t="shared" si="60"/>
        <v>15100-48693996-96150027351290</v>
      </c>
      <c r="B3882" s="136" t="s">
        <v>8904</v>
      </c>
      <c r="C3882" s="136" t="s">
        <v>9701</v>
      </c>
      <c r="D3882" s="132" t="s">
        <v>4971</v>
      </c>
      <c r="E3882" s="136" t="s">
        <v>8793</v>
      </c>
      <c r="F3882" s="136" t="s">
        <v>8793</v>
      </c>
      <c r="G3882" s="136" t="s">
        <v>5820</v>
      </c>
      <c r="H3882" s="138" t="s">
        <v>6300</v>
      </c>
      <c r="I3882" s="136">
        <v>961500273</v>
      </c>
      <c r="J3882" s="131" t="s">
        <v>5968</v>
      </c>
      <c r="K3882" s="139">
        <v>51290</v>
      </c>
    </row>
    <row r="3883" spans="1:11">
      <c r="A3883" s="1" t="str">
        <f t="shared" si="60"/>
        <v>15100-48401796-96150044124510</v>
      </c>
      <c r="B3883" s="136" t="s">
        <v>8905</v>
      </c>
      <c r="C3883" s="136" t="s">
        <v>9702</v>
      </c>
      <c r="D3883" s="132" t="s">
        <v>4971</v>
      </c>
      <c r="E3883" s="136" t="s">
        <v>8788</v>
      </c>
      <c r="F3883" s="136" t="s">
        <v>8788</v>
      </c>
      <c r="G3883" s="136" t="s">
        <v>7237</v>
      </c>
      <c r="H3883" s="138" t="s">
        <v>6300</v>
      </c>
      <c r="I3883" s="136">
        <v>961500441</v>
      </c>
      <c r="J3883" s="131" t="s">
        <v>8896</v>
      </c>
      <c r="K3883" s="139">
        <v>24510</v>
      </c>
    </row>
    <row r="3884" spans="1:11">
      <c r="A3884" s="1" t="str">
        <f t="shared" si="60"/>
        <v>15100-48476396-96150032275710</v>
      </c>
      <c r="B3884" s="136" t="s">
        <v>8906</v>
      </c>
      <c r="C3884" s="136" t="s">
        <v>9703</v>
      </c>
      <c r="D3884" s="132" t="s">
        <v>4971</v>
      </c>
      <c r="E3884" s="136" t="s">
        <v>8898</v>
      </c>
      <c r="F3884" s="136" t="s">
        <v>8898</v>
      </c>
      <c r="G3884" s="136" t="s">
        <v>5818</v>
      </c>
      <c r="H3884" s="138" t="s">
        <v>6300</v>
      </c>
      <c r="I3884" s="136">
        <v>961500322</v>
      </c>
      <c r="J3884" s="131" t="s">
        <v>6043</v>
      </c>
      <c r="K3884" s="139">
        <v>75710</v>
      </c>
    </row>
    <row r="3885" spans="1:11">
      <c r="A3885" s="1" t="str">
        <f t="shared" si="60"/>
        <v>15100-48645496-961500273143780</v>
      </c>
      <c r="B3885" s="136" t="s">
        <v>8880</v>
      </c>
      <c r="C3885" s="136" t="s">
        <v>9685</v>
      </c>
      <c r="D3885" s="132" t="s">
        <v>4971</v>
      </c>
      <c r="E3885" s="136" t="s">
        <v>8830</v>
      </c>
      <c r="F3885" s="136" t="s">
        <v>8830</v>
      </c>
      <c r="G3885" s="136" t="s">
        <v>5820</v>
      </c>
      <c r="H3885" s="138" t="s">
        <v>6300</v>
      </c>
      <c r="I3885" s="136">
        <v>961500273</v>
      </c>
      <c r="J3885" s="131" t="s">
        <v>5968</v>
      </c>
      <c r="K3885" s="139">
        <v>143780</v>
      </c>
    </row>
    <row r="3886" spans="1:11">
      <c r="A3886" s="1" t="str">
        <f t="shared" si="60"/>
        <v>15100-48252396-96150044947730</v>
      </c>
      <c r="B3886" s="144" t="s">
        <v>8907</v>
      </c>
      <c r="C3886" s="144" t="s">
        <v>9704</v>
      </c>
      <c r="D3886" s="132" t="s">
        <v>4971</v>
      </c>
      <c r="E3886" s="144" t="s">
        <v>8617</v>
      </c>
      <c r="F3886" s="144" t="s">
        <v>8617</v>
      </c>
      <c r="G3886" s="144" t="s">
        <v>5836</v>
      </c>
      <c r="H3886" s="145" t="s">
        <v>6300</v>
      </c>
      <c r="I3886" s="144">
        <v>961500449</v>
      </c>
      <c r="J3886" s="131" t="s">
        <v>7238</v>
      </c>
      <c r="K3886" s="146">
        <v>47730</v>
      </c>
    </row>
    <row r="3887" spans="1:11">
      <c r="A3887" s="1" t="str">
        <f t="shared" si="60"/>
        <v>15100-48237396-96150024521660</v>
      </c>
      <c r="B3887" s="141" t="s">
        <v>8889</v>
      </c>
      <c r="C3887" s="141" t="s">
        <v>9691</v>
      </c>
      <c r="D3887" s="132" t="s">
        <v>4971</v>
      </c>
      <c r="E3887" s="141" t="s">
        <v>8617</v>
      </c>
      <c r="F3887" s="141" t="s">
        <v>8617</v>
      </c>
      <c r="G3887" s="141" t="s">
        <v>5814</v>
      </c>
      <c r="H3887" s="140" t="s">
        <v>6298</v>
      </c>
      <c r="I3887" s="141">
        <v>961500245</v>
      </c>
      <c r="J3887" s="131" t="s">
        <v>5935</v>
      </c>
      <c r="K3887" s="142">
        <v>21660</v>
      </c>
    </row>
    <row r="3888" spans="1:11">
      <c r="A3888" s="1" t="str">
        <f t="shared" si="60"/>
        <v>15100-48911796-961500517386040</v>
      </c>
      <c r="B3888" s="131" t="s">
        <v>8908</v>
      </c>
      <c r="C3888" s="131" t="s">
        <v>9705</v>
      </c>
      <c r="D3888" s="132" t="s">
        <v>4971</v>
      </c>
      <c r="E3888" s="131" t="s">
        <v>8824</v>
      </c>
      <c r="F3888" s="131" t="s">
        <v>8824</v>
      </c>
      <c r="G3888" s="148" t="s">
        <v>5842</v>
      </c>
      <c r="H3888" s="149" t="s">
        <v>6300</v>
      </c>
      <c r="I3888" s="148">
        <v>961500517</v>
      </c>
      <c r="J3888" s="131" t="s">
        <v>8856</v>
      </c>
      <c r="K3888" s="148">
        <v>386040</v>
      </c>
    </row>
    <row r="3889" spans="1:11">
      <c r="A3889" s="1" t="str">
        <f t="shared" si="60"/>
        <v>15100-48911796-961500425254200</v>
      </c>
      <c r="B3889" s="136" t="s">
        <v>8908</v>
      </c>
      <c r="C3889" s="136" t="s">
        <v>9705</v>
      </c>
      <c r="D3889" s="132" t="s">
        <v>4971</v>
      </c>
      <c r="E3889" s="136" t="s">
        <v>8824</v>
      </c>
      <c r="F3889" s="147" t="s">
        <v>8824</v>
      </c>
      <c r="G3889" s="141" t="s">
        <v>7233</v>
      </c>
      <c r="H3889" s="140" t="s">
        <v>6453</v>
      </c>
      <c r="I3889" s="141">
        <v>961500425</v>
      </c>
      <c r="J3889" s="131" t="s">
        <v>8909</v>
      </c>
      <c r="K3889" s="141">
        <v>254200</v>
      </c>
    </row>
    <row r="3890" spans="1:11">
      <c r="A3890" s="1" t="str">
        <f t="shared" si="60"/>
        <v>15100-48911796-96150054271640</v>
      </c>
      <c r="B3890" s="136" t="s">
        <v>8908</v>
      </c>
      <c r="C3890" s="136" t="s">
        <v>9705</v>
      </c>
      <c r="D3890" s="132" t="s">
        <v>4971</v>
      </c>
      <c r="E3890" s="136" t="s">
        <v>8824</v>
      </c>
      <c r="F3890" s="136" t="s">
        <v>8824</v>
      </c>
      <c r="G3890" s="153" t="s">
        <v>5854</v>
      </c>
      <c r="H3890" s="154" t="s">
        <v>8859</v>
      </c>
      <c r="I3890" s="153">
        <v>961500542</v>
      </c>
      <c r="J3890" s="131" t="s">
        <v>8858</v>
      </c>
      <c r="K3890" s="153">
        <v>71640</v>
      </c>
    </row>
    <row r="3891" spans="1:11">
      <c r="A3891" s="1" t="str">
        <f t="shared" si="60"/>
        <v>15100-48968696-9615003134510</v>
      </c>
      <c r="B3891" s="136" t="s">
        <v>9801</v>
      </c>
      <c r="C3891" s="136" t="s">
        <v>11925</v>
      </c>
      <c r="D3891" s="132" t="s">
        <v>4971</v>
      </c>
      <c r="E3891" s="136" t="s">
        <v>8695</v>
      </c>
      <c r="F3891" s="136" t="s">
        <v>8695</v>
      </c>
      <c r="G3891" s="157" t="s">
        <v>5831</v>
      </c>
      <c r="H3891" s="145" t="s">
        <v>6298</v>
      </c>
      <c r="I3891" s="144">
        <v>961500313</v>
      </c>
      <c r="J3891" s="131" t="s">
        <v>6024</v>
      </c>
      <c r="K3891" s="144">
        <v>4510</v>
      </c>
    </row>
    <row r="3892" spans="1:11">
      <c r="A3892" s="1" t="str">
        <f t="shared" si="60"/>
        <v>15100-48968696-96150042568960</v>
      </c>
      <c r="B3892" s="136" t="s">
        <v>9801</v>
      </c>
      <c r="C3892" s="136" t="s">
        <v>11925</v>
      </c>
      <c r="D3892" s="132" t="s">
        <v>4971</v>
      </c>
      <c r="E3892" s="136" t="s">
        <v>8695</v>
      </c>
      <c r="F3892" s="147" t="s">
        <v>8695</v>
      </c>
      <c r="G3892" s="141" t="s">
        <v>7233</v>
      </c>
      <c r="H3892" s="140" t="s">
        <v>6453</v>
      </c>
      <c r="I3892" s="141">
        <v>961500425</v>
      </c>
      <c r="J3892" s="131" t="s">
        <v>8909</v>
      </c>
      <c r="K3892" s="141">
        <v>68960</v>
      </c>
    </row>
    <row r="3893" spans="1:11">
      <c r="A3893" s="1" t="str">
        <f t="shared" si="60"/>
        <v>15100-48968696-961500297257210</v>
      </c>
      <c r="B3893" s="136" t="s">
        <v>9801</v>
      </c>
      <c r="C3893" s="136" t="s">
        <v>11925</v>
      </c>
      <c r="D3893" s="132" t="s">
        <v>4971</v>
      </c>
      <c r="E3893" s="136" t="s">
        <v>8695</v>
      </c>
      <c r="F3893" s="136" t="s">
        <v>8695</v>
      </c>
      <c r="G3893" s="153" t="s">
        <v>5826</v>
      </c>
      <c r="H3893" s="134" t="s">
        <v>6298</v>
      </c>
      <c r="I3893" s="131">
        <v>961500297</v>
      </c>
      <c r="J3893" s="131" t="s">
        <v>6001</v>
      </c>
      <c r="K3893" s="131">
        <v>257210</v>
      </c>
    </row>
    <row r="3894" spans="1:11">
      <c r="A3894" s="1" t="str">
        <f t="shared" si="60"/>
        <v>15100-48968696-96150054246360</v>
      </c>
      <c r="B3894" s="136" t="s">
        <v>9801</v>
      </c>
      <c r="C3894" s="136" t="s">
        <v>11925</v>
      </c>
      <c r="D3894" s="132" t="s">
        <v>4971</v>
      </c>
      <c r="E3894" s="136" t="s">
        <v>8695</v>
      </c>
      <c r="F3894" s="136" t="s">
        <v>8695</v>
      </c>
      <c r="G3894" s="141" t="s">
        <v>5854</v>
      </c>
      <c r="H3894" s="140" t="s">
        <v>8859</v>
      </c>
      <c r="I3894" s="141">
        <v>961500542</v>
      </c>
      <c r="J3894" s="131" t="s">
        <v>8858</v>
      </c>
      <c r="K3894" s="141">
        <v>46360</v>
      </c>
    </row>
    <row r="3895" spans="1:11">
      <c r="A3895" s="1" t="str">
        <f t="shared" si="60"/>
        <v>15100-48172996-961500233100370</v>
      </c>
      <c r="B3895" s="153" t="s">
        <v>9915</v>
      </c>
      <c r="C3895" s="153" t="s">
        <v>11926</v>
      </c>
      <c r="D3895" s="132" t="s">
        <v>4971</v>
      </c>
      <c r="E3895" s="153" t="s">
        <v>8837</v>
      </c>
      <c r="F3895" s="153" t="s">
        <v>8837</v>
      </c>
      <c r="G3895" s="153" t="s">
        <v>5813</v>
      </c>
      <c r="H3895" s="154" t="s">
        <v>6298</v>
      </c>
      <c r="I3895" s="153">
        <v>961500233</v>
      </c>
      <c r="J3895" s="131" t="s">
        <v>5923</v>
      </c>
      <c r="K3895" s="153">
        <v>100370</v>
      </c>
    </row>
    <row r="3896" spans="1:11">
      <c r="A3896" s="1" t="str">
        <f t="shared" si="60"/>
        <v>15100-48172996-96150023782610</v>
      </c>
      <c r="B3896" s="141" t="s">
        <v>9915</v>
      </c>
      <c r="C3896" s="141" t="s">
        <v>11926</v>
      </c>
      <c r="D3896" s="132" t="s">
        <v>4971</v>
      </c>
      <c r="E3896" s="141" t="s">
        <v>8837</v>
      </c>
      <c r="F3896" s="141" t="s">
        <v>8837</v>
      </c>
      <c r="G3896" s="141" t="s">
        <v>5813</v>
      </c>
      <c r="H3896" s="140" t="s">
        <v>6298</v>
      </c>
      <c r="I3896" s="141">
        <v>961500237</v>
      </c>
      <c r="J3896" s="131" t="s">
        <v>5927</v>
      </c>
      <c r="K3896" s="141">
        <v>82610</v>
      </c>
    </row>
    <row r="3897" spans="1:11">
      <c r="A3897" s="1" t="str">
        <f t="shared" si="60"/>
        <v>15100-48172996-96150023683190</v>
      </c>
      <c r="B3897" s="141" t="s">
        <v>9915</v>
      </c>
      <c r="C3897" s="141" t="s">
        <v>11926</v>
      </c>
      <c r="D3897" s="132" t="s">
        <v>4971</v>
      </c>
      <c r="E3897" s="141" t="s">
        <v>8837</v>
      </c>
      <c r="F3897" s="141" t="s">
        <v>8837</v>
      </c>
      <c r="G3897" s="157" t="s">
        <v>5813</v>
      </c>
      <c r="H3897" s="158" t="s">
        <v>6298</v>
      </c>
      <c r="I3897" s="157">
        <v>961500236</v>
      </c>
      <c r="J3897" s="131" t="s">
        <v>5926</v>
      </c>
      <c r="K3897" s="157">
        <v>83190</v>
      </c>
    </row>
    <row r="3898" spans="1:11">
      <c r="A3898" s="1" t="str">
        <f t="shared" si="60"/>
        <v>50100-944278896-961500357994150</v>
      </c>
      <c r="B3898" s="136" t="str">
        <f>"50100-9442788"</f>
        <v>50100-9442788</v>
      </c>
      <c r="C3898" s="136" t="str">
        <f>"9442788"</f>
        <v>9442788</v>
      </c>
      <c r="D3898" s="132" t="s">
        <v>4971</v>
      </c>
      <c r="E3898" s="136" t="str">
        <f>"96/08/15"</f>
        <v>96/08/15</v>
      </c>
      <c r="F3898" s="147" t="str">
        <f>"96/08/15"</f>
        <v>96/08/15</v>
      </c>
      <c r="G3898" s="141" t="str">
        <f>"1396502500001"</f>
        <v>1396502500001</v>
      </c>
      <c r="H3898" s="140" t="str">
        <f>"SHINING GREEN STAR FZE"</f>
        <v>SHINING GREEN STAR FZE</v>
      </c>
      <c r="I3898" s="141">
        <v>961500357</v>
      </c>
      <c r="J3898" s="131" t="s">
        <v>9707</v>
      </c>
      <c r="K3898" s="142">
        <v>994150</v>
      </c>
    </row>
    <row r="3899" spans="1:11">
      <c r="A3899" s="1" t="str">
        <f t="shared" si="60"/>
        <v>50100-939426196-9641000662996378</v>
      </c>
      <c r="B3899" s="136" t="str">
        <f>"50100-9394261"</f>
        <v>50100-9394261</v>
      </c>
      <c r="C3899" s="136" t="str">
        <f>"9394261"</f>
        <v>9394261</v>
      </c>
      <c r="D3899" s="132" t="s">
        <v>4971</v>
      </c>
      <c r="E3899" s="136" t="str">
        <f>"96/08/05"</f>
        <v>96/08/05</v>
      </c>
      <c r="F3899" s="136" t="str">
        <f>"96/08/05"</f>
        <v>96/08/05</v>
      </c>
      <c r="G3899" s="131" t="str">
        <f>"1396517658001"</f>
        <v>1396517658001</v>
      </c>
      <c r="H3899" s="134" t="str">
        <f>"AL MASAR PETROLUME L.L.C"</f>
        <v>AL MASAR PETROLUME L.L.C</v>
      </c>
      <c r="I3899" s="131">
        <v>964100066</v>
      </c>
      <c r="J3899" s="131" t="s">
        <v>9708</v>
      </c>
      <c r="K3899" s="135">
        <v>2996378</v>
      </c>
    </row>
    <row r="3900" spans="1:11">
      <c r="A3900" s="1" t="str">
        <f t="shared" si="60"/>
        <v>50100-938272596-9615005415830</v>
      </c>
      <c r="B3900" s="136" t="str">
        <f>"50100-9382725"</f>
        <v>50100-9382725</v>
      </c>
      <c r="C3900" s="136" t="str">
        <f>"9382725"</f>
        <v>9382725</v>
      </c>
      <c r="D3900" s="132" t="s">
        <v>4971</v>
      </c>
      <c r="E3900" s="136" t="str">
        <f>"96/08/02"</f>
        <v>96/08/02</v>
      </c>
      <c r="F3900" s="136" t="str">
        <f>"96/08/02"</f>
        <v>96/08/02</v>
      </c>
      <c r="G3900" s="141" t="str">
        <f>"1396511639001"</f>
        <v>1396511639001</v>
      </c>
      <c r="H3900" s="140" t="str">
        <f>"SHINING GREEN STAR FZE"</f>
        <v>SHINING GREEN STAR FZE</v>
      </c>
      <c r="I3900" s="141">
        <v>961500541</v>
      </c>
      <c r="J3900" s="131" t="s">
        <v>9709</v>
      </c>
      <c r="K3900" s="142">
        <v>5830</v>
      </c>
    </row>
    <row r="3901" spans="1:11">
      <c r="A3901" s="1" t="str">
        <f t="shared" si="60"/>
        <v>50100-938272596-961500551983670</v>
      </c>
      <c r="B3901" s="136" t="str">
        <f>"50100-9382725"</f>
        <v>50100-9382725</v>
      </c>
      <c r="C3901" s="136" t="str">
        <f>"9382725"</f>
        <v>9382725</v>
      </c>
      <c r="D3901" s="132" t="s">
        <v>4971</v>
      </c>
      <c r="E3901" s="136" t="str">
        <f>"96/08/02"</f>
        <v>96/08/02</v>
      </c>
      <c r="F3901" s="136" t="str">
        <f>"96/08/02"</f>
        <v>96/08/02</v>
      </c>
      <c r="G3901" s="141" t="str">
        <f>"1396511639001"</f>
        <v>1396511639001</v>
      </c>
      <c r="H3901" s="140" t="str">
        <f>"SHINING GREEN STAR FZE"</f>
        <v>SHINING GREEN STAR FZE</v>
      </c>
      <c r="I3901" s="141">
        <v>961500551</v>
      </c>
      <c r="J3901" s="131" t="s">
        <v>9710</v>
      </c>
      <c r="K3901" s="142">
        <v>983670</v>
      </c>
    </row>
    <row r="3902" spans="1:11">
      <c r="A3902" s="1" t="str">
        <f t="shared" si="60"/>
        <v>50100-940714996-961500552679521</v>
      </c>
      <c r="B3902" s="136" t="str">
        <f>"50100-9407149"</f>
        <v>50100-9407149</v>
      </c>
      <c r="C3902" s="136" t="str">
        <f>"9407149"</f>
        <v>9407149</v>
      </c>
      <c r="D3902" s="132" t="s">
        <v>4971</v>
      </c>
      <c r="E3902" s="136" t="str">
        <f>"96/08/07"</f>
        <v>96/08/07</v>
      </c>
      <c r="F3902" s="136" t="str">
        <f>"96/08/07"</f>
        <v>96/08/07</v>
      </c>
      <c r="G3902" s="141" t="str">
        <f>"1396511639001"</f>
        <v>1396511639001</v>
      </c>
      <c r="H3902" s="140" t="str">
        <f>"SHINING GREEN STAR FZE"</f>
        <v>SHINING GREEN STAR FZE</v>
      </c>
      <c r="I3902" s="141">
        <v>961500552</v>
      </c>
      <c r="J3902" s="131" t="s">
        <v>9711</v>
      </c>
      <c r="K3902" s="142">
        <v>679521</v>
      </c>
    </row>
    <row r="3903" spans="1:11">
      <c r="A3903" s="1" t="str">
        <f t="shared" si="60"/>
        <v>50100-939187196-9641000685178555</v>
      </c>
      <c r="B3903" s="136" t="str">
        <f>"50100-9391871"</f>
        <v>50100-9391871</v>
      </c>
      <c r="C3903" s="136" t="str">
        <f>"9391871"</f>
        <v>9391871</v>
      </c>
      <c r="D3903" s="132" t="s">
        <v>4971</v>
      </c>
      <c r="E3903" s="136" t="str">
        <f>"96/08/04"</f>
        <v>96/08/04</v>
      </c>
      <c r="F3903" s="136" t="str">
        <f>"96/08/04"</f>
        <v>96/08/04</v>
      </c>
      <c r="G3903" s="136" t="str">
        <f>"1396520264001"</f>
        <v>1396520264001</v>
      </c>
      <c r="H3903" s="138" t="str">
        <f>"GLOBUS INTERNATIONAL FZE"</f>
        <v>GLOBUS INTERNATIONAL FZE</v>
      </c>
      <c r="I3903" s="136">
        <v>964100068</v>
      </c>
      <c r="J3903" s="131" t="s">
        <v>9712</v>
      </c>
      <c r="K3903" s="139">
        <v>5178555</v>
      </c>
    </row>
    <row r="3904" spans="1:11">
      <c r="A3904" s="1" t="str">
        <f t="shared" si="60"/>
        <v>50100-941650496-9641000691743814</v>
      </c>
      <c r="B3904" s="136" t="str">
        <f>"50100-9416504"</f>
        <v>50100-9416504</v>
      </c>
      <c r="C3904" s="136" t="str">
        <f>"9416504"</f>
        <v>9416504</v>
      </c>
      <c r="D3904" s="132" t="s">
        <v>4971</v>
      </c>
      <c r="E3904" s="136" t="str">
        <f>"96/08/09"</f>
        <v>96/08/09</v>
      </c>
      <c r="F3904" s="136" t="str">
        <f>"96/08/09"</f>
        <v>96/08/09</v>
      </c>
      <c r="G3904" s="136" t="str">
        <f>"1396521456001"</f>
        <v>1396521456001</v>
      </c>
      <c r="H3904" s="138" t="str">
        <f>"AL MASAR PETROLUME L.L.C"</f>
        <v>AL MASAR PETROLUME L.L.C</v>
      </c>
      <c r="I3904" s="136">
        <v>964100069</v>
      </c>
      <c r="J3904" s="131" t="s">
        <v>9714</v>
      </c>
      <c r="K3904" s="139">
        <v>1743814</v>
      </c>
    </row>
    <row r="3905" spans="1:11">
      <c r="A3905" s="1" t="str">
        <f t="shared" si="60"/>
        <v>50100-940702296-96150055116330</v>
      </c>
      <c r="B3905" s="136" t="str">
        <f>"50100-9407022"</f>
        <v>50100-9407022</v>
      </c>
      <c r="C3905" s="136" t="str">
        <f>"9407022"</f>
        <v>9407022</v>
      </c>
      <c r="D3905" s="132" t="s">
        <v>4971</v>
      </c>
      <c r="E3905" s="136" t="str">
        <f t="shared" ref="E3905:F3907" si="61">"96/08/07"</f>
        <v>96/08/07</v>
      </c>
      <c r="F3905" s="136" t="str">
        <f t="shared" si="61"/>
        <v>96/08/07</v>
      </c>
      <c r="G3905" s="141" t="str">
        <f>"1396511639001"</f>
        <v>1396511639001</v>
      </c>
      <c r="H3905" s="140" t="str">
        <f>"SHINING GREEN STAR FZE"</f>
        <v>SHINING GREEN STAR FZE</v>
      </c>
      <c r="I3905" s="141">
        <v>961500551</v>
      </c>
      <c r="J3905" s="131" t="s">
        <v>9710</v>
      </c>
      <c r="K3905" s="142">
        <v>16330</v>
      </c>
    </row>
    <row r="3906" spans="1:11">
      <c r="A3906" s="1" t="str">
        <f t="shared" si="60"/>
        <v>50100-940702296-961500552320479</v>
      </c>
      <c r="B3906" s="136" t="str">
        <f>"50100-9407022"</f>
        <v>50100-9407022</v>
      </c>
      <c r="C3906" s="136" t="str">
        <f>"9407022"</f>
        <v>9407022</v>
      </c>
      <c r="D3906" s="132" t="s">
        <v>4971</v>
      </c>
      <c r="E3906" s="136" t="str">
        <f t="shared" si="61"/>
        <v>96/08/07</v>
      </c>
      <c r="F3906" s="136" t="str">
        <f t="shared" si="61"/>
        <v>96/08/07</v>
      </c>
      <c r="G3906" s="141" t="str">
        <f>"1396511639001"</f>
        <v>1396511639001</v>
      </c>
      <c r="H3906" s="140" t="str">
        <f>"SHINING GREEN STAR FZE"</f>
        <v>SHINING GREEN STAR FZE</v>
      </c>
      <c r="I3906" s="141">
        <v>961500552</v>
      </c>
      <c r="J3906" s="131" t="s">
        <v>9711</v>
      </c>
      <c r="K3906" s="142">
        <v>320479</v>
      </c>
    </row>
    <row r="3907" spans="1:11">
      <c r="A3907" s="1" t="str">
        <f t="shared" ref="A3907:A3970" si="62">B3907&amp;J3907&amp;K3907</f>
        <v>50100-940714996-961500572320479</v>
      </c>
      <c r="B3907" s="136" t="str">
        <f>"50100-9407149"</f>
        <v>50100-9407149</v>
      </c>
      <c r="C3907" s="136" t="str">
        <f>"9407149"</f>
        <v>9407149</v>
      </c>
      <c r="D3907" s="132" t="s">
        <v>4971</v>
      </c>
      <c r="E3907" s="136" t="str">
        <f t="shared" si="61"/>
        <v>96/08/07</v>
      </c>
      <c r="F3907" s="136" t="str">
        <f t="shared" si="61"/>
        <v>96/08/07</v>
      </c>
      <c r="G3907" s="141" t="str">
        <f>"1396511639001"</f>
        <v>1396511639001</v>
      </c>
      <c r="H3907" s="140" t="str">
        <f>"SHINING GREEN STAR FZE"</f>
        <v>SHINING GREEN STAR FZE</v>
      </c>
      <c r="I3907" s="141">
        <v>961500572</v>
      </c>
      <c r="J3907" s="131" t="s">
        <v>9716</v>
      </c>
      <c r="K3907" s="142">
        <v>320479</v>
      </c>
    </row>
    <row r="3908" spans="1:11">
      <c r="A3908" s="1" t="str">
        <f t="shared" si="62"/>
        <v>50100-941954196-961500465155164</v>
      </c>
      <c r="B3908" s="136" t="str">
        <f>"50100-9419541"</f>
        <v>50100-9419541</v>
      </c>
      <c r="C3908" s="136" t="str">
        <f>"9419541"</f>
        <v>9419541</v>
      </c>
      <c r="D3908" s="132" t="s">
        <v>4971</v>
      </c>
      <c r="E3908" s="136" t="str">
        <f>"96/08/10"</f>
        <v>96/08/10</v>
      </c>
      <c r="F3908" s="136" t="str">
        <f>"96/08/10"</f>
        <v>96/08/10</v>
      </c>
      <c r="G3908" s="136" t="str">
        <f>"1396497794001"</f>
        <v>1396497794001</v>
      </c>
      <c r="H3908" s="138" t="str">
        <f>"Black Gold Traders FZE"</f>
        <v>Black Gold Traders FZE</v>
      </c>
      <c r="I3908" s="136">
        <v>961500465</v>
      </c>
      <c r="J3908" s="131" t="s">
        <v>8806</v>
      </c>
      <c r="K3908" s="139">
        <v>155164</v>
      </c>
    </row>
    <row r="3909" spans="1:11">
      <c r="A3909" s="1" t="e">
        <f t="shared" si="62"/>
        <v>#REF!</v>
      </c>
      <c r="B3909" s="136" t="str">
        <f>"50100-9415486"</f>
        <v>50100-9415486</v>
      </c>
      <c r="C3909" s="136" t="str">
        <f>"9415486"</f>
        <v>9415486</v>
      </c>
      <c r="D3909" s="132" t="s">
        <v>4971</v>
      </c>
      <c r="E3909" s="136" t="str">
        <f>"96/08/09"</f>
        <v>96/08/09</v>
      </c>
      <c r="F3909" s="136" t="str">
        <f>"96/08/09"</f>
        <v>96/08/09</v>
      </c>
      <c r="G3909" s="143">
        <v>1396516773001</v>
      </c>
      <c r="H3909" s="138" t="s">
        <v>6452</v>
      </c>
      <c r="I3909" s="136" t="e">
        <f>#REF!</f>
        <v>#REF!</v>
      </c>
      <c r="J3909" s="131" t="e">
        <v>#REF!</v>
      </c>
      <c r="K3909" s="139">
        <v>1978011</v>
      </c>
    </row>
    <row r="3910" spans="1:11">
      <c r="A3910" s="1" t="str">
        <f t="shared" si="62"/>
        <v>50100-941954196-961500429600000</v>
      </c>
      <c r="B3910" s="136" t="str">
        <f>"50100-9419541"</f>
        <v>50100-9419541</v>
      </c>
      <c r="C3910" s="136" t="str">
        <f>"9419541"</f>
        <v>9419541</v>
      </c>
      <c r="D3910" s="132" t="s">
        <v>4971</v>
      </c>
      <c r="E3910" s="136" t="str">
        <f>"96/08/10"</f>
        <v>96/08/10</v>
      </c>
      <c r="F3910" s="136" t="str">
        <f>"96/08/10"</f>
        <v>96/08/10</v>
      </c>
      <c r="G3910" s="136" t="str">
        <f>"1396502986001"</f>
        <v>1396502986001</v>
      </c>
      <c r="H3910" s="138" t="str">
        <f>"Black Gold Traders FZE"</f>
        <v>Black Gold Traders FZE</v>
      </c>
      <c r="I3910" s="136">
        <v>961500429</v>
      </c>
      <c r="J3910" s="131" t="s">
        <v>9717</v>
      </c>
      <c r="K3910" s="139">
        <v>600000</v>
      </c>
    </row>
    <row r="3911" spans="1:11">
      <c r="A3911" s="1" t="str">
        <f t="shared" si="62"/>
        <v>50100-941954196-96150041139396</v>
      </c>
      <c r="B3911" s="136" t="str">
        <f>"50100-9419541"</f>
        <v>50100-9419541</v>
      </c>
      <c r="C3911" s="136" t="str">
        <f>"9419541"</f>
        <v>9419541</v>
      </c>
      <c r="D3911" s="132" t="s">
        <v>4971</v>
      </c>
      <c r="E3911" s="136" t="str">
        <f>"96/08/10"</f>
        <v>96/08/10</v>
      </c>
      <c r="F3911" s="136" t="str">
        <f>"96/08/10"</f>
        <v>96/08/10</v>
      </c>
      <c r="G3911" s="136" t="str">
        <f>"1396502986001"</f>
        <v>1396502986001</v>
      </c>
      <c r="H3911" s="138" t="str">
        <f>"Black Gold Traders FZE"</f>
        <v>Black Gold Traders FZE</v>
      </c>
      <c r="I3911" s="136">
        <v>961500411</v>
      </c>
      <c r="J3911" s="131" t="s">
        <v>9718</v>
      </c>
      <c r="K3911" s="139">
        <v>39396</v>
      </c>
    </row>
    <row r="3912" spans="1:11">
      <c r="A3912" s="1" t="str">
        <f t="shared" si="62"/>
        <v>50100-940357396-9641000672926104</v>
      </c>
      <c r="B3912" s="136" t="str">
        <f>"50100-9403573"</f>
        <v>50100-9403573</v>
      </c>
      <c r="C3912" s="136" t="str">
        <f>"9403573"</f>
        <v>9403573</v>
      </c>
      <c r="D3912" s="132" t="s">
        <v>4971</v>
      </c>
      <c r="E3912" s="136" t="str">
        <f>"96/08/07"</f>
        <v>96/08/07</v>
      </c>
      <c r="F3912" s="136" t="str">
        <f>"96/08/07"</f>
        <v>96/08/07</v>
      </c>
      <c r="G3912" s="136" t="str">
        <f>"1396521456001"</f>
        <v>1396521456001</v>
      </c>
      <c r="H3912" s="138" t="str">
        <f>"AL MASAR PETROLUME L.L.C"</f>
        <v>AL MASAR PETROLUME L.L.C</v>
      </c>
      <c r="I3912" s="136">
        <v>964100067</v>
      </c>
      <c r="J3912" s="131" t="s">
        <v>9719</v>
      </c>
      <c r="K3912" s="139">
        <v>2926104</v>
      </c>
    </row>
    <row r="3913" spans="1:11">
      <c r="A3913" s="1" t="str">
        <f t="shared" si="62"/>
        <v>50100-938195496-9615005265680</v>
      </c>
      <c r="B3913" s="136" t="str">
        <f>"50100-9381954"</f>
        <v>50100-9381954</v>
      </c>
      <c r="C3913" s="136" t="str">
        <f>"9381954"</f>
        <v>9381954</v>
      </c>
      <c r="D3913" s="132" t="s">
        <v>4971</v>
      </c>
      <c r="E3913" s="136" t="str">
        <f>"96/08/02"</f>
        <v>96/08/02</v>
      </c>
      <c r="F3913" s="136" t="str">
        <f>"96/08/02"</f>
        <v>96/08/02</v>
      </c>
      <c r="G3913" s="141" t="str">
        <f>"1396511639001"</f>
        <v>1396511639001</v>
      </c>
      <c r="H3913" s="140" t="str">
        <f>"SHINING GREEN STAR FZE"</f>
        <v>SHINING GREEN STAR FZE</v>
      </c>
      <c r="I3913" s="141">
        <v>961500526</v>
      </c>
      <c r="J3913" s="131" t="s">
        <v>8782</v>
      </c>
      <c r="K3913" s="142">
        <v>5680</v>
      </c>
    </row>
    <row r="3914" spans="1:11">
      <c r="A3914" s="1" t="str">
        <f t="shared" si="62"/>
        <v>50100-938195496-961500541994170</v>
      </c>
      <c r="B3914" s="136" t="str">
        <f>"50100-9381954"</f>
        <v>50100-9381954</v>
      </c>
      <c r="C3914" s="136" t="str">
        <f>"9381954"</f>
        <v>9381954</v>
      </c>
      <c r="D3914" s="132" t="s">
        <v>4971</v>
      </c>
      <c r="E3914" s="136" t="str">
        <f>"96/08/02"</f>
        <v>96/08/02</v>
      </c>
      <c r="F3914" s="136" t="str">
        <f>"96/08/02"</f>
        <v>96/08/02</v>
      </c>
      <c r="G3914" s="141" t="str">
        <f>"1396511639001"</f>
        <v>1396511639001</v>
      </c>
      <c r="H3914" s="140" t="str">
        <f>"SHINING GREEN STAR FZE"</f>
        <v>SHINING GREEN STAR FZE</v>
      </c>
      <c r="I3914" s="141">
        <v>961500541</v>
      </c>
      <c r="J3914" s="131" t="s">
        <v>9709</v>
      </c>
      <c r="K3914" s="142">
        <v>994170</v>
      </c>
    </row>
    <row r="3915" spans="1:11">
      <c r="A3915" s="1" t="str">
        <f t="shared" si="62"/>
        <v>50100-941954196-961500461206440</v>
      </c>
      <c r="B3915" s="136" t="str">
        <f>"50100-9419541"</f>
        <v>50100-9419541</v>
      </c>
      <c r="C3915" s="136" t="str">
        <f>"9419541"</f>
        <v>9419541</v>
      </c>
      <c r="D3915" s="132" t="s">
        <v>4971</v>
      </c>
      <c r="E3915" s="136" t="str">
        <f>"96/08/10"</f>
        <v>96/08/10</v>
      </c>
      <c r="F3915" s="136" t="str">
        <f>"96/08/10"</f>
        <v>96/08/10</v>
      </c>
      <c r="G3915" s="136" t="str">
        <f>"1396497794001"</f>
        <v>1396497794001</v>
      </c>
      <c r="H3915" s="138" t="str">
        <f>"Black Gold Traders FZE"</f>
        <v>Black Gold Traders FZE</v>
      </c>
      <c r="I3915" s="136">
        <v>961500461</v>
      </c>
      <c r="J3915" s="131" t="s">
        <v>8762</v>
      </c>
      <c r="K3915" s="139">
        <v>206440</v>
      </c>
    </row>
    <row r="3916" spans="1:11">
      <c r="A3916" s="1" t="str">
        <f t="shared" si="62"/>
        <v>50100-940739096-961500466100000</v>
      </c>
      <c r="B3916" s="136" t="str">
        <f>"50100-9407390"</f>
        <v>50100-9407390</v>
      </c>
      <c r="C3916" s="136" t="str">
        <f>"9407390"</f>
        <v>9407390</v>
      </c>
      <c r="D3916" s="132" t="s">
        <v>4971</v>
      </c>
      <c r="E3916" s="136" t="str">
        <f>"96/08/07"</f>
        <v>96/08/07</v>
      </c>
      <c r="F3916" s="136" t="str">
        <f>"96/08/07"</f>
        <v>96/08/07</v>
      </c>
      <c r="G3916" s="136" t="str">
        <f>"1396497794001"</f>
        <v>1396497794001</v>
      </c>
      <c r="H3916" s="138" t="str">
        <f>"Black Gold Traders FZE"</f>
        <v>Black Gold Traders FZE</v>
      </c>
      <c r="I3916" s="136">
        <v>961500466</v>
      </c>
      <c r="J3916" s="131" t="s">
        <v>8500</v>
      </c>
      <c r="K3916" s="139">
        <v>100000</v>
      </c>
    </row>
    <row r="3917" spans="1:11">
      <c r="A3917" s="1" t="str">
        <f t="shared" si="62"/>
        <v>50100-943586796-962500094106571</v>
      </c>
      <c r="B3917" s="136" t="str">
        <f>"50100-9435867"</f>
        <v>50100-9435867</v>
      </c>
      <c r="C3917" s="136" t="str">
        <f>"9435867"</f>
        <v>9435867</v>
      </c>
      <c r="D3917" s="132" t="s">
        <v>4971</v>
      </c>
      <c r="E3917" s="136" t="str">
        <f>"96/08/14"</f>
        <v>96/08/14</v>
      </c>
      <c r="F3917" s="136" t="str">
        <f>"96/08/14"</f>
        <v>96/08/14</v>
      </c>
      <c r="G3917" s="136" t="str">
        <f>"1396500397001"</f>
        <v>1396500397001</v>
      </c>
      <c r="H3917" s="138" t="s">
        <v>6455</v>
      </c>
      <c r="I3917" s="136">
        <v>962500094</v>
      </c>
      <c r="J3917" s="131" t="s">
        <v>8820</v>
      </c>
      <c r="K3917" s="139">
        <v>106571</v>
      </c>
    </row>
    <row r="3918" spans="1:11">
      <c r="A3918" s="1" t="str">
        <f t="shared" si="62"/>
        <v>50100-938330896-962500129835469</v>
      </c>
      <c r="B3918" s="136" t="str">
        <f>"50100-9383308"</f>
        <v>50100-9383308</v>
      </c>
      <c r="C3918" s="136" t="str">
        <f>"9383308"</f>
        <v>9383308</v>
      </c>
      <c r="D3918" s="132" t="s">
        <v>4971</v>
      </c>
      <c r="E3918" s="136" t="str">
        <f>"96/08/02"</f>
        <v>96/08/02</v>
      </c>
      <c r="F3918" s="136" t="str">
        <f>"96/08/02"</f>
        <v>96/08/02</v>
      </c>
      <c r="G3918" s="136" t="str">
        <f>"1396511591001"</f>
        <v>1396511591001</v>
      </c>
      <c r="H3918" s="138" t="str">
        <f>"AL MASAR PETROLUME L.L.C"</f>
        <v>AL MASAR PETROLUME L.L.C</v>
      </c>
      <c r="I3918" s="136">
        <v>962500129</v>
      </c>
      <c r="J3918" s="131" t="s">
        <v>9721</v>
      </c>
      <c r="K3918" s="139">
        <v>835469</v>
      </c>
    </row>
    <row r="3919" spans="1:11">
      <c r="A3919" s="1" t="str">
        <f t="shared" si="62"/>
        <v>50100-943586796-961500587195379</v>
      </c>
      <c r="B3919" s="136" t="str">
        <f>"50100-9435867"</f>
        <v>50100-9435867</v>
      </c>
      <c r="C3919" s="136" t="str">
        <f>"9435867"</f>
        <v>9435867</v>
      </c>
      <c r="D3919" s="132" t="s">
        <v>4971</v>
      </c>
      <c r="E3919" s="136" t="str">
        <f>"96/08/14"</f>
        <v>96/08/14</v>
      </c>
      <c r="F3919" s="141" t="str">
        <f>"96/08/14"</f>
        <v>96/08/14</v>
      </c>
      <c r="G3919" s="141" t="str">
        <f>"1396516821001"</f>
        <v>1396516821001</v>
      </c>
      <c r="H3919" s="140" t="str">
        <f>"DAXON PETROLEUM"</f>
        <v>DAXON PETROLEUM</v>
      </c>
      <c r="I3919" s="141">
        <v>961500587</v>
      </c>
      <c r="J3919" s="131" t="s">
        <v>9722</v>
      </c>
      <c r="K3919" s="142">
        <v>195379</v>
      </c>
    </row>
    <row r="3920" spans="1:11">
      <c r="A3920" s="1" t="str">
        <f t="shared" si="62"/>
        <v>50100-944178396-9615000886787</v>
      </c>
      <c r="B3920" s="136" t="str">
        <f>"50100-9441783"</f>
        <v>50100-9441783</v>
      </c>
      <c r="C3920" s="136" t="str">
        <f>"9441783"</f>
        <v>9441783</v>
      </c>
      <c r="D3920" s="132" t="s">
        <v>4971</v>
      </c>
      <c r="E3920" s="136" t="str">
        <f t="shared" ref="E3920:F3922" si="63">"96/08/15"</f>
        <v>96/08/15</v>
      </c>
      <c r="F3920" s="136" t="str">
        <f t="shared" si="63"/>
        <v>96/08/15</v>
      </c>
      <c r="G3920" s="136" t="str">
        <f>"1395457969001"</f>
        <v>1395457969001</v>
      </c>
      <c r="H3920" s="138" t="str">
        <f>"Black Gold Traders FZE"</f>
        <v>Black Gold Traders FZE</v>
      </c>
      <c r="I3920" s="136">
        <v>961500088</v>
      </c>
      <c r="J3920" s="131" t="s">
        <v>5862</v>
      </c>
      <c r="K3920" s="139">
        <v>6787</v>
      </c>
    </row>
    <row r="3921" spans="1:11">
      <c r="A3921" s="1" t="str">
        <f t="shared" si="62"/>
        <v>50100-944178396-96150042058612</v>
      </c>
      <c r="B3921" s="136" t="str">
        <f>"50100-9441783"</f>
        <v>50100-9441783</v>
      </c>
      <c r="C3921" s="136" t="str">
        <f>"9441783"</f>
        <v>9441783</v>
      </c>
      <c r="D3921" s="132" t="s">
        <v>4971</v>
      </c>
      <c r="E3921" s="136" t="str">
        <f t="shared" si="63"/>
        <v>96/08/15</v>
      </c>
      <c r="F3921" s="136" t="str">
        <f t="shared" si="63"/>
        <v>96/08/15</v>
      </c>
      <c r="G3921" s="136" t="str">
        <f>"1396502986001"</f>
        <v>1396502986001</v>
      </c>
      <c r="H3921" s="138" t="str">
        <f>"Black Gold Traders FZE"</f>
        <v>Black Gold Traders FZE</v>
      </c>
      <c r="I3921" s="136">
        <v>961500420</v>
      </c>
      <c r="J3921" s="131" t="s">
        <v>6350</v>
      </c>
      <c r="K3921" s="139">
        <v>58612</v>
      </c>
    </row>
    <row r="3922" spans="1:11">
      <c r="A3922" s="1" t="str">
        <f t="shared" si="62"/>
        <v>50100-944178396-961500520434601</v>
      </c>
      <c r="B3922" s="136" t="str">
        <f>"50100-9441783"</f>
        <v>50100-9441783</v>
      </c>
      <c r="C3922" s="136" t="str">
        <f>"9441783"</f>
        <v>9441783</v>
      </c>
      <c r="D3922" s="132" t="s">
        <v>4971</v>
      </c>
      <c r="E3922" s="136" t="str">
        <f t="shared" si="63"/>
        <v>96/08/15</v>
      </c>
      <c r="F3922" s="136" t="str">
        <f t="shared" si="63"/>
        <v>96/08/15</v>
      </c>
      <c r="G3922" s="144" t="str">
        <f>"1396500348001"</f>
        <v>1396500348001</v>
      </c>
      <c r="H3922" s="145" t="str">
        <f>"Black Gold Traders FZE"</f>
        <v>Black Gold Traders FZE</v>
      </c>
      <c r="I3922" s="144">
        <v>961500520</v>
      </c>
      <c r="J3922" s="131" t="s">
        <v>9724</v>
      </c>
      <c r="K3922" s="146">
        <v>434601</v>
      </c>
    </row>
    <row r="3923" spans="1:11">
      <c r="A3923" s="1" t="str">
        <f t="shared" si="62"/>
        <v>50100-939186596-961500439361858</v>
      </c>
      <c r="B3923" s="136" t="str">
        <f>"50100-9391865"</f>
        <v>50100-9391865</v>
      </c>
      <c r="C3923" s="136" t="str">
        <f>"9391865"</f>
        <v>9391865</v>
      </c>
      <c r="D3923" s="132" t="s">
        <v>4971</v>
      </c>
      <c r="E3923" s="136" t="str">
        <f>"96/08/04"</f>
        <v>96/08/04</v>
      </c>
      <c r="F3923" s="147" t="str">
        <f>"96/08/04"</f>
        <v>96/08/04</v>
      </c>
      <c r="G3923" s="141" t="str">
        <f>"1396502500001"</f>
        <v>1396502500001</v>
      </c>
      <c r="H3923" s="140" t="str">
        <f>"SHINING GREEN STAR FZE"</f>
        <v>SHINING GREEN STAR FZE</v>
      </c>
      <c r="I3923" s="141">
        <v>961500439</v>
      </c>
      <c r="J3923" s="131" t="s">
        <v>9725</v>
      </c>
      <c r="K3923" s="142">
        <v>361858</v>
      </c>
    </row>
    <row r="3924" spans="1:11">
      <c r="A3924" s="1" t="str">
        <f t="shared" si="62"/>
        <v>50100-944178396-961500518500000</v>
      </c>
      <c r="B3924" s="136" t="str">
        <f>"50100-9441783"</f>
        <v>50100-9441783</v>
      </c>
      <c r="C3924" s="136" t="str">
        <f>"9441783"</f>
        <v>9441783</v>
      </c>
      <c r="D3924" s="132" t="s">
        <v>4971</v>
      </c>
      <c r="E3924" s="136" t="str">
        <f>"96/08/15"</f>
        <v>96/08/15</v>
      </c>
      <c r="F3924" s="136" t="str">
        <f>"96/08/15"</f>
        <v>96/08/15</v>
      </c>
      <c r="G3924" s="131" t="str">
        <f>"1396500348001"</f>
        <v>1396500348001</v>
      </c>
      <c r="H3924" s="134" t="str">
        <f>"Black Gold Traders FZE"</f>
        <v>Black Gold Traders FZE</v>
      </c>
      <c r="I3924" s="131">
        <v>961500518</v>
      </c>
      <c r="J3924" s="131" t="s">
        <v>9726</v>
      </c>
      <c r="K3924" s="135">
        <v>500000</v>
      </c>
    </row>
    <row r="3925" spans="1:11">
      <c r="A3925" s="1" t="str">
        <f t="shared" si="62"/>
        <v>50100-938221796-962500124492688</v>
      </c>
      <c r="B3925" s="136" t="str">
        <f>"50100-9382217"</f>
        <v>50100-9382217</v>
      </c>
      <c r="C3925" s="136" t="str">
        <f>"9382217"</f>
        <v>9382217</v>
      </c>
      <c r="D3925" s="132" t="s">
        <v>4971</v>
      </c>
      <c r="E3925" s="136" t="str">
        <f>"96/08/02"</f>
        <v>96/08/02</v>
      </c>
      <c r="F3925" s="136" t="str">
        <f>"96/08/02"</f>
        <v>96/08/02</v>
      </c>
      <c r="G3925" s="136" t="str">
        <f>"1396507445001"</f>
        <v>1396507445001</v>
      </c>
      <c r="H3925" s="138" t="str">
        <f>"Black Gold Traders FZE"</f>
        <v>Black Gold Traders FZE</v>
      </c>
      <c r="I3925" s="136">
        <v>962500124</v>
      </c>
      <c r="J3925" s="131" t="s">
        <v>8816</v>
      </c>
      <c r="K3925" s="139">
        <v>492688</v>
      </c>
    </row>
    <row r="3926" spans="1:11">
      <c r="A3926" s="1" t="str">
        <f t="shared" si="62"/>
        <v>50100-944091096-962500140490219</v>
      </c>
      <c r="B3926" s="136" t="str">
        <f>"50100-9440910"</f>
        <v>50100-9440910</v>
      </c>
      <c r="C3926" s="136" t="str">
        <f>"9440910"</f>
        <v>9440910</v>
      </c>
      <c r="D3926" s="132" t="s">
        <v>4971</v>
      </c>
      <c r="E3926" s="136" t="str">
        <f>"96/08/15"</f>
        <v>96/08/15</v>
      </c>
      <c r="F3926" s="136" t="str">
        <f>"96/08/15"</f>
        <v>96/08/15</v>
      </c>
      <c r="G3926" s="143">
        <v>139647285001</v>
      </c>
      <c r="H3926" s="138" t="s">
        <v>11406</v>
      </c>
      <c r="I3926" s="136">
        <v>962500140</v>
      </c>
      <c r="J3926" s="131" t="s">
        <v>9727</v>
      </c>
      <c r="K3926" s="139">
        <v>490219</v>
      </c>
    </row>
    <row r="3927" spans="1:11">
      <c r="A3927" s="1" t="e">
        <f t="shared" si="62"/>
        <v>#REF!</v>
      </c>
      <c r="B3927" s="136" t="str">
        <f>"50100-9415920"</f>
        <v>50100-9415920</v>
      </c>
      <c r="C3927" s="136" t="str">
        <f>"9415920"</f>
        <v>9415920</v>
      </c>
      <c r="D3927" s="132" t="s">
        <v>4971</v>
      </c>
      <c r="E3927" s="136" t="str">
        <f t="shared" ref="E3927:F3930" si="64">"96/08/09"</f>
        <v>96/08/09</v>
      </c>
      <c r="F3927" s="136" t="str">
        <f t="shared" si="64"/>
        <v>96/08/09</v>
      </c>
      <c r="G3927" s="143">
        <v>1396507445001</v>
      </c>
      <c r="H3927" s="138" t="s">
        <v>6300</v>
      </c>
      <c r="I3927" s="136" t="e">
        <f>#REF!</f>
        <v>#REF!</v>
      </c>
      <c r="J3927" s="131" t="e">
        <v>#REF!</v>
      </c>
      <c r="K3927" s="139">
        <v>490503</v>
      </c>
    </row>
    <row r="3928" spans="1:11">
      <c r="A3928" s="1" t="str">
        <f t="shared" si="62"/>
        <v>50100-941437596-962500133489500</v>
      </c>
      <c r="B3928" s="136" t="str">
        <f>"50100-9414375"</f>
        <v>50100-9414375</v>
      </c>
      <c r="C3928" s="136" t="str">
        <f>"9414375"</f>
        <v>9414375</v>
      </c>
      <c r="D3928" s="132" t="s">
        <v>4971</v>
      </c>
      <c r="E3928" s="136" t="str">
        <f t="shared" si="64"/>
        <v>96/08/09</v>
      </c>
      <c r="F3928" s="136" t="str">
        <f t="shared" si="64"/>
        <v>96/08/09</v>
      </c>
      <c r="G3928" s="143">
        <v>1396517982001</v>
      </c>
      <c r="H3928" s="138" t="s">
        <v>2369</v>
      </c>
      <c r="I3928" s="136">
        <v>962500133</v>
      </c>
      <c r="J3928" s="131" t="s">
        <v>9729</v>
      </c>
      <c r="K3928" s="139">
        <v>489500</v>
      </c>
    </row>
    <row r="3929" spans="1:11">
      <c r="A3929" s="1" t="e">
        <f t="shared" si="62"/>
        <v>#REF!</v>
      </c>
      <c r="B3929" s="136" t="str">
        <f>"50100-9414758"</f>
        <v>50100-9414758</v>
      </c>
      <c r="C3929" s="136" t="str">
        <f>"9414758"</f>
        <v>9414758</v>
      </c>
      <c r="D3929" s="132" t="s">
        <v>4971</v>
      </c>
      <c r="E3929" s="136" t="str">
        <f t="shared" si="64"/>
        <v>96/08/09</v>
      </c>
      <c r="F3929" s="136" t="str">
        <f t="shared" si="64"/>
        <v>96/08/09</v>
      </c>
      <c r="G3929" s="143">
        <v>1396517982001</v>
      </c>
      <c r="H3929" s="138" t="s">
        <v>2369</v>
      </c>
      <c r="I3929" s="136" t="e">
        <f>#REF!</f>
        <v>#REF!</v>
      </c>
      <c r="J3929" s="131" t="e">
        <v>#REF!</v>
      </c>
      <c r="K3929" s="139">
        <v>7835</v>
      </c>
    </row>
    <row r="3930" spans="1:11">
      <c r="A3930" s="1" t="e">
        <f t="shared" si="62"/>
        <v>#REF!</v>
      </c>
      <c r="B3930" s="136" t="str">
        <f>"50100-9414758"</f>
        <v>50100-9414758</v>
      </c>
      <c r="C3930" s="136" t="str">
        <f>"9414758"</f>
        <v>9414758</v>
      </c>
      <c r="D3930" s="132" t="s">
        <v>4971</v>
      </c>
      <c r="E3930" s="136" t="str">
        <f t="shared" si="64"/>
        <v>96/08/09</v>
      </c>
      <c r="F3930" s="136" t="str">
        <f t="shared" si="64"/>
        <v>96/08/09</v>
      </c>
      <c r="G3930" s="143">
        <v>1396517982001</v>
      </c>
      <c r="H3930" s="138" t="s">
        <v>2369</v>
      </c>
      <c r="I3930" s="136" t="e">
        <f>#REF!</f>
        <v>#REF!</v>
      </c>
      <c r="J3930" s="131" t="e">
        <v>#REF!</v>
      </c>
      <c r="K3930" s="139">
        <v>481665</v>
      </c>
    </row>
    <row r="3931" spans="1:11">
      <c r="A3931" s="1" t="str">
        <f t="shared" si="62"/>
        <v>50100-939706896-962500124356911</v>
      </c>
      <c r="B3931" s="136" t="str">
        <f>"50100-9397068"</f>
        <v>50100-9397068</v>
      </c>
      <c r="C3931" s="136" t="str">
        <f>"9397068"</f>
        <v>9397068</v>
      </c>
      <c r="D3931" s="132" t="s">
        <v>4971</v>
      </c>
      <c r="E3931" s="136" t="str">
        <f t="shared" ref="E3931:F3933" si="65">"96/08/06"</f>
        <v>96/08/06</v>
      </c>
      <c r="F3931" s="136" t="str">
        <f t="shared" si="65"/>
        <v>96/08/06</v>
      </c>
      <c r="G3931" s="136" t="str">
        <f>"1396507445001"</f>
        <v>1396507445001</v>
      </c>
      <c r="H3931" s="138" t="str">
        <f>"Black Gold Traders FZE"</f>
        <v>Black Gold Traders FZE</v>
      </c>
      <c r="I3931" s="136">
        <v>962500124</v>
      </c>
      <c r="J3931" s="131" t="s">
        <v>8816</v>
      </c>
      <c r="K3931" s="139">
        <v>356911</v>
      </c>
    </row>
    <row r="3932" spans="1:11">
      <c r="A3932" s="1" t="str">
        <f t="shared" si="62"/>
        <v>50100-939706896-962500127433783</v>
      </c>
      <c r="B3932" s="136" t="str">
        <f>"50100-9397068"</f>
        <v>50100-9397068</v>
      </c>
      <c r="C3932" s="136" t="str">
        <f>"9397068"</f>
        <v>9397068</v>
      </c>
      <c r="D3932" s="132" t="s">
        <v>4971</v>
      </c>
      <c r="E3932" s="136" t="str">
        <f t="shared" si="65"/>
        <v>96/08/06</v>
      </c>
      <c r="F3932" s="136" t="str">
        <f t="shared" si="65"/>
        <v>96/08/06</v>
      </c>
      <c r="G3932" s="136" t="str">
        <f>"1396507445001"</f>
        <v>1396507445001</v>
      </c>
      <c r="H3932" s="138" t="str">
        <f>"Black Gold Traders FZE"</f>
        <v>Black Gold Traders FZE</v>
      </c>
      <c r="I3932" s="136">
        <v>962500127</v>
      </c>
      <c r="J3932" s="131" t="s">
        <v>9728</v>
      </c>
      <c r="K3932" s="139">
        <v>433783</v>
      </c>
    </row>
    <row r="3933" spans="1:11">
      <c r="A3933" s="1" t="str">
        <f t="shared" si="62"/>
        <v>50100-939706896-962500125194906</v>
      </c>
      <c r="B3933" s="136" t="str">
        <f>"50100-9397068"</f>
        <v>50100-9397068</v>
      </c>
      <c r="C3933" s="136" t="str">
        <f>"9397068"</f>
        <v>9397068</v>
      </c>
      <c r="D3933" s="132" t="s">
        <v>4971</v>
      </c>
      <c r="E3933" s="136" t="str">
        <f t="shared" si="65"/>
        <v>96/08/06</v>
      </c>
      <c r="F3933" s="136" t="str">
        <f t="shared" si="65"/>
        <v>96/08/06</v>
      </c>
      <c r="G3933" s="136" t="str">
        <f>"1396507445001"</f>
        <v>1396507445001</v>
      </c>
      <c r="H3933" s="138" t="str">
        <f>"Black Gold Traders FZE"</f>
        <v>Black Gold Traders FZE</v>
      </c>
      <c r="I3933" s="136">
        <v>962500125</v>
      </c>
      <c r="J3933" s="131" t="s">
        <v>9731</v>
      </c>
      <c r="K3933" s="139">
        <v>194906</v>
      </c>
    </row>
    <row r="3934" spans="1:11">
      <c r="A3934" s="1" t="str">
        <f t="shared" si="62"/>
        <v>50100-942946896-961500330110000</v>
      </c>
      <c r="B3934" s="136" t="str">
        <f>"50100-9429468"</f>
        <v>50100-9429468</v>
      </c>
      <c r="C3934" s="136" t="str">
        <f>"9429468"</f>
        <v>9429468</v>
      </c>
      <c r="D3934" s="132" t="s">
        <v>4971</v>
      </c>
      <c r="E3934" s="136" t="str">
        <f>"96/08/13"</f>
        <v>96/08/13</v>
      </c>
      <c r="F3934" s="136" t="str">
        <f>"96/08/13"</f>
        <v>96/08/13</v>
      </c>
      <c r="G3934" s="136" t="str">
        <f>"1396497354001"</f>
        <v>1396497354001</v>
      </c>
      <c r="H3934" s="138" t="str">
        <f>"LLC Sebco Bitumen"</f>
        <v>LLC Sebco Bitumen</v>
      </c>
      <c r="I3934" s="136">
        <v>961500330</v>
      </c>
      <c r="J3934" s="131" t="s">
        <v>9732</v>
      </c>
      <c r="K3934" s="139">
        <v>110000</v>
      </c>
    </row>
    <row r="3935" spans="1:11">
      <c r="A3935" s="1" t="str">
        <f t="shared" si="62"/>
        <v>50100-942097396-961500349329957</v>
      </c>
      <c r="B3935" s="136" t="str">
        <f>"50100-9420973"</f>
        <v>50100-9420973</v>
      </c>
      <c r="C3935" s="136" t="str">
        <f>"9420973"</f>
        <v>9420973</v>
      </c>
      <c r="D3935" s="132" t="s">
        <v>4971</v>
      </c>
      <c r="E3935" s="136" t="str">
        <f>"96/08/10"</f>
        <v>96/08/10</v>
      </c>
      <c r="F3935" s="136" t="str">
        <f>"96/08/10"</f>
        <v>96/08/10</v>
      </c>
      <c r="G3935" s="136" t="str">
        <f>"1396497354001"</f>
        <v>1396497354001</v>
      </c>
      <c r="H3935" s="138" t="str">
        <f>"LLC Sebco Bitumen"</f>
        <v>LLC Sebco Bitumen</v>
      </c>
      <c r="I3935" s="136">
        <v>961500349</v>
      </c>
      <c r="J3935" s="131" t="s">
        <v>9733</v>
      </c>
      <c r="K3935" s="139">
        <v>329957</v>
      </c>
    </row>
    <row r="3936" spans="1:11">
      <c r="A3936" s="1" t="str">
        <f t="shared" si="62"/>
        <v>50100-938244496-962500124490975</v>
      </c>
      <c r="B3936" s="136" t="str">
        <f>"50100-9382444"</f>
        <v>50100-9382444</v>
      </c>
      <c r="C3936" s="136" t="str">
        <f>"9382444"</f>
        <v>9382444</v>
      </c>
      <c r="D3936" s="132" t="s">
        <v>4971</v>
      </c>
      <c r="E3936" s="136" t="str">
        <f>"96/08/02"</f>
        <v>96/08/02</v>
      </c>
      <c r="F3936" s="136" t="str">
        <f>"96/08/02"</f>
        <v>96/08/02</v>
      </c>
      <c r="G3936" s="136" t="str">
        <f>"1396507445001"</f>
        <v>1396507445001</v>
      </c>
      <c r="H3936" s="138" t="str">
        <f>"Black Gold Traders FZE"</f>
        <v>Black Gold Traders FZE</v>
      </c>
      <c r="I3936" s="136">
        <v>962500124</v>
      </c>
      <c r="J3936" s="131" t="s">
        <v>8816</v>
      </c>
      <c r="K3936" s="139">
        <v>490975</v>
      </c>
    </row>
    <row r="3937" spans="1:11">
      <c r="A3937" s="1" t="str">
        <f t="shared" si="62"/>
        <v>50100-942097396-96150030290000</v>
      </c>
      <c r="B3937" s="136" t="str">
        <f>"50100-9420973"</f>
        <v>50100-9420973</v>
      </c>
      <c r="C3937" s="136" t="str">
        <f>"9420973"</f>
        <v>9420973</v>
      </c>
      <c r="D3937" s="132" t="s">
        <v>4971</v>
      </c>
      <c r="E3937" s="136" t="str">
        <f t="shared" ref="E3937:F3939" si="66">"96/08/10"</f>
        <v>96/08/10</v>
      </c>
      <c r="F3937" s="136" t="str">
        <f t="shared" si="66"/>
        <v>96/08/10</v>
      </c>
      <c r="G3937" s="136" t="str">
        <f>"1396496232001"</f>
        <v>1396496232001</v>
      </c>
      <c r="H3937" s="138" t="str">
        <f t="shared" ref="H3937:H3944" si="67">"LLC Sebco Bitumen"</f>
        <v>LLC Sebco Bitumen</v>
      </c>
      <c r="I3937" s="136">
        <v>961500302</v>
      </c>
      <c r="J3937" s="131" t="s">
        <v>6011</v>
      </c>
      <c r="K3937" s="139">
        <v>90000</v>
      </c>
    </row>
    <row r="3938" spans="1:11">
      <c r="A3938" s="1" t="str">
        <f t="shared" si="62"/>
        <v>50100-942097396-96150031260724</v>
      </c>
      <c r="B3938" s="136" t="str">
        <f>"50100-9420973"</f>
        <v>50100-9420973</v>
      </c>
      <c r="C3938" s="136" t="str">
        <f>"9420973"</f>
        <v>9420973</v>
      </c>
      <c r="D3938" s="132" t="s">
        <v>4971</v>
      </c>
      <c r="E3938" s="136" t="str">
        <f t="shared" si="66"/>
        <v>96/08/10</v>
      </c>
      <c r="F3938" s="136" t="str">
        <f t="shared" si="66"/>
        <v>96/08/10</v>
      </c>
      <c r="G3938" s="136" t="str">
        <f>"1396496232001"</f>
        <v>1396496232001</v>
      </c>
      <c r="H3938" s="138" t="str">
        <f t="shared" si="67"/>
        <v>LLC Sebco Bitumen</v>
      </c>
      <c r="I3938" s="136">
        <v>961500312</v>
      </c>
      <c r="J3938" s="131" t="s">
        <v>6020</v>
      </c>
      <c r="K3938" s="139">
        <v>60724</v>
      </c>
    </row>
    <row r="3939" spans="1:11">
      <c r="A3939" s="1" t="str">
        <f t="shared" si="62"/>
        <v>50100-942097396-96150029415950</v>
      </c>
      <c r="B3939" s="136" t="str">
        <f>"50100-9420973"</f>
        <v>50100-9420973</v>
      </c>
      <c r="C3939" s="136" t="str">
        <f>"9420973"</f>
        <v>9420973</v>
      </c>
      <c r="D3939" s="132" t="s">
        <v>4971</v>
      </c>
      <c r="E3939" s="136" t="str">
        <f t="shared" si="66"/>
        <v>96/08/10</v>
      </c>
      <c r="F3939" s="136" t="str">
        <f t="shared" si="66"/>
        <v>96/08/10</v>
      </c>
      <c r="G3939" s="136" t="str">
        <f>"1396496232001"</f>
        <v>1396496232001</v>
      </c>
      <c r="H3939" s="138" t="str">
        <f t="shared" si="67"/>
        <v>LLC Sebco Bitumen</v>
      </c>
      <c r="I3939" s="136">
        <v>961500294</v>
      </c>
      <c r="J3939" s="131" t="s">
        <v>5997</v>
      </c>
      <c r="K3939" s="139">
        <v>15950</v>
      </c>
    </row>
    <row r="3940" spans="1:11">
      <c r="A3940" s="1" t="str">
        <f t="shared" si="62"/>
        <v>50100-942946896-96150033947000</v>
      </c>
      <c r="B3940" s="136" t="str">
        <f>"50100-9429468"</f>
        <v>50100-9429468</v>
      </c>
      <c r="C3940" s="136" t="str">
        <f>"9429468"</f>
        <v>9429468</v>
      </c>
      <c r="D3940" s="132" t="s">
        <v>4971</v>
      </c>
      <c r="E3940" s="136" t="str">
        <f>"96/08/13"</f>
        <v>96/08/13</v>
      </c>
      <c r="F3940" s="136" t="str">
        <f>"96/08/13"</f>
        <v>96/08/13</v>
      </c>
      <c r="G3940" s="136" t="str">
        <f>"1396497354001"</f>
        <v>1396497354001</v>
      </c>
      <c r="H3940" s="138" t="str">
        <f t="shared" si="67"/>
        <v>LLC Sebco Bitumen</v>
      </c>
      <c r="I3940" s="136">
        <v>961500339</v>
      </c>
      <c r="J3940" s="131" t="s">
        <v>9734</v>
      </c>
      <c r="K3940" s="139">
        <v>47000</v>
      </c>
    </row>
    <row r="3941" spans="1:11">
      <c r="A3941" s="1" t="str">
        <f t="shared" si="62"/>
        <v>50100-942946896-96150029637200</v>
      </c>
      <c r="B3941" s="136" t="str">
        <f>"50100-9429468"</f>
        <v>50100-9429468</v>
      </c>
      <c r="C3941" s="136" t="str">
        <f>"9429468"</f>
        <v>9429468</v>
      </c>
      <c r="D3941" s="132" t="s">
        <v>4971</v>
      </c>
      <c r="E3941" s="136" t="str">
        <f>"96/08/13"</f>
        <v>96/08/13</v>
      </c>
      <c r="F3941" s="136" t="str">
        <f>"96/08/13"</f>
        <v>96/08/13</v>
      </c>
      <c r="G3941" s="136" t="str">
        <f>"1396496232001"</f>
        <v>1396496232001</v>
      </c>
      <c r="H3941" s="138" t="str">
        <f t="shared" si="67"/>
        <v>LLC Sebco Bitumen</v>
      </c>
      <c r="I3941" s="136">
        <v>961500296</v>
      </c>
      <c r="J3941" s="131" t="s">
        <v>6000</v>
      </c>
      <c r="K3941" s="139">
        <v>37200</v>
      </c>
    </row>
    <row r="3942" spans="1:11">
      <c r="A3942" s="1" t="str">
        <f t="shared" si="62"/>
        <v>50100-937552696-961500298200000</v>
      </c>
      <c r="B3942" s="136" t="str">
        <f>"50100-9375526"</f>
        <v>50100-9375526</v>
      </c>
      <c r="C3942" s="136" t="str">
        <f>"9375526"</f>
        <v>9375526</v>
      </c>
      <c r="D3942" s="132" t="s">
        <v>4971</v>
      </c>
      <c r="E3942" s="136" t="str">
        <f>"96/08/01"</f>
        <v>96/08/01</v>
      </c>
      <c r="F3942" s="136" t="str">
        <f>"96/08/01"</f>
        <v>96/08/01</v>
      </c>
      <c r="G3942" s="136" t="str">
        <f>"1396496232001"</f>
        <v>1396496232001</v>
      </c>
      <c r="H3942" s="138" t="str">
        <f t="shared" si="67"/>
        <v>LLC Sebco Bitumen</v>
      </c>
      <c r="I3942" s="136">
        <v>961500298</v>
      </c>
      <c r="J3942" s="131" t="s">
        <v>6002</v>
      </c>
      <c r="K3942" s="139">
        <v>200000</v>
      </c>
    </row>
    <row r="3943" spans="1:11">
      <c r="A3943" s="1" t="str">
        <f t="shared" si="62"/>
        <v>50100-937552696-961500296112800</v>
      </c>
      <c r="B3943" s="136" t="str">
        <f>"50100-9375526"</f>
        <v>50100-9375526</v>
      </c>
      <c r="C3943" s="136" t="str">
        <f>"9375526"</f>
        <v>9375526</v>
      </c>
      <c r="D3943" s="132" t="s">
        <v>4971</v>
      </c>
      <c r="E3943" s="136" t="str">
        <f>"96/08/01"</f>
        <v>96/08/01</v>
      </c>
      <c r="F3943" s="136" t="str">
        <f>"96/08/01"</f>
        <v>96/08/01</v>
      </c>
      <c r="G3943" s="136" t="str">
        <f>"1396496232001"</f>
        <v>1396496232001</v>
      </c>
      <c r="H3943" s="138" t="str">
        <f t="shared" si="67"/>
        <v>LLC Sebco Bitumen</v>
      </c>
      <c r="I3943" s="136">
        <v>961500296</v>
      </c>
      <c r="J3943" s="131" t="s">
        <v>6000</v>
      </c>
      <c r="K3943" s="139">
        <v>112800</v>
      </c>
    </row>
    <row r="3944" spans="1:11">
      <c r="A3944" s="1" t="str">
        <f t="shared" si="62"/>
        <v>50100-942097396-96150028538929</v>
      </c>
      <c r="B3944" s="136" t="str">
        <f>"50100-9420973"</f>
        <v>50100-9420973</v>
      </c>
      <c r="C3944" s="136" t="str">
        <f>"9420973"</f>
        <v>9420973</v>
      </c>
      <c r="D3944" s="132" t="s">
        <v>4971</v>
      </c>
      <c r="E3944" s="136" t="str">
        <f>"96/08/10"</f>
        <v>96/08/10</v>
      </c>
      <c r="F3944" s="136" t="str">
        <f>"96/08/10"</f>
        <v>96/08/10</v>
      </c>
      <c r="G3944" s="136" t="str">
        <f>"1396496232001"</f>
        <v>1396496232001</v>
      </c>
      <c r="H3944" s="138" t="str">
        <f t="shared" si="67"/>
        <v>LLC Sebco Bitumen</v>
      </c>
      <c r="I3944" s="136">
        <v>961500285</v>
      </c>
      <c r="J3944" s="131" t="s">
        <v>5987</v>
      </c>
      <c r="K3944" s="139">
        <v>38929</v>
      </c>
    </row>
    <row r="3945" spans="1:11">
      <c r="A3945" s="1" t="str">
        <f t="shared" si="62"/>
        <v>50100-941323096-962500093500000</v>
      </c>
      <c r="B3945" s="136" t="str">
        <f>"50100-9413230"</f>
        <v>50100-9413230</v>
      </c>
      <c r="C3945" s="136" t="str">
        <f>"9413230"</f>
        <v>9413230</v>
      </c>
      <c r="D3945" s="132" t="s">
        <v>4971</v>
      </c>
      <c r="E3945" s="136" t="str">
        <f>"96/08/09"</f>
        <v>96/08/09</v>
      </c>
      <c r="F3945" s="136" t="str">
        <f>"96/08/09"</f>
        <v>96/08/09</v>
      </c>
      <c r="G3945" s="144" t="str">
        <f>"1396500397001"</f>
        <v>1396500397001</v>
      </c>
      <c r="H3945" s="145" t="s">
        <v>6455</v>
      </c>
      <c r="I3945" s="144">
        <v>962500093</v>
      </c>
      <c r="J3945" s="131" t="s">
        <v>9735</v>
      </c>
      <c r="K3945" s="146">
        <v>500000</v>
      </c>
    </row>
    <row r="3946" spans="1:11">
      <c r="A3946" s="1" t="str">
        <f t="shared" si="62"/>
        <v>50100-939186596-961500438135067</v>
      </c>
      <c r="B3946" s="136" t="str">
        <f>"50100-9391865"</f>
        <v>50100-9391865</v>
      </c>
      <c r="C3946" s="136" t="str">
        <f>"9391865"</f>
        <v>9391865</v>
      </c>
      <c r="D3946" s="132" t="s">
        <v>4971</v>
      </c>
      <c r="E3946" s="136" t="str">
        <f>"96/08/04"</f>
        <v>96/08/04</v>
      </c>
      <c r="F3946" s="147" t="str">
        <f>"96/08/04"</f>
        <v>96/08/04</v>
      </c>
      <c r="G3946" s="141" t="str">
        <f>"1396502500001"</f>
        <v>1396502500001</v>
      </c>
      <c r="H3946" s="140" t="str">
        <f>"SHINING GREEN STAR FZE"</f>
        <v>SHINING GREEN STAR FZE</v>
      </c>
      <c r="I3946" s="141">
        <v>961500438</v>
      </c>
      <c r="J3946" s="131" t="s">
        <v>8818</v>
      </c>
      <c r="K3946" s="142">
        <v>135067</v>
      </c>
    </row>
    <row r="3947" spans="1:11">
      <c r="A3947" s="1" t="str">
        <f t="shared" si="62"/>
        <v>50100-942946896-96150034710500</v>
      </c>
      <c r="B3947" s="136" t="str">
        <f>"50100-9429468"</f>
        <v>50100-9429468</v>
      </c>
      <c r="C3947" s="136" t="str">
        <f>"9429468"</f>
        <v>9429468</v>
      </c>
      <c r="D3947" s="132" t="s">
        <v>4971</v>
      </c>
      <c r="E3947" s="136" t="str">
        <f>"96/08/13"</f>
        <v>96/08/13</v>
      </c>
      <c r="F3947" s="136" t="str">
        <f>"96/08/13"</f>
        <v>96/08/13</v>
      </c>
      <c r="G3947" s="131" t="str">
        <f>"1396497354001"</f>
        <v>1396497354001</v>
      </c>
      <c r="H3947" s="134" t="str">
        <f>"LLC Sebco Bitumen"</f>
        <v>LLC Sebco Bitumen</v>
      </c>
      <c r="I3947" s="131">
        <v>961500347</v>
      </c>
      <c r="J3947" s="131" t="s">
        <v>9736</v>
      </c>
      <c r="K3947" s="135">
        <v>10500</v>
      </c>
    </row>
    <row r="3948" spans="1:11">
      <c r="A3948" s="1" t="str">
        <f t="shared" si="62"/>
        <v>50100-937552696-961500292200000</v>
      </c>
      <c r="B3948" s="136" t="str">
        <f>"50100-9375526"</f>
        <v>50100-9375526</v>
      </c>
      <c r="C3948" s="136" t="str">
        <f>"9375526"</f>
        <v>9375526</v>
      </c>
      <c r="D3948" s="132" t="s">
        <v>4971</v>
      </c>
      <c r="E3948" s="136" t="str">
        <f>"96/08/01"</f>
        <v>96/08/01</v>
      </c>
      <c r="F3948" s="136" t="str">
        <f>"96/08/01"</f>
        <v>96/08/01</v>
      </c>
      <c r="G3948" s="136" t="str">
        <f>"1396496232001"</f>
        <v>1396496232001</v>
      </c>
      <c r="H3948" s="138" t="str">
        <f>"LLC Sebco Bitumen"</f>
        <v>LLC Sebco Bitumen</v>
      </c>
      <c r="I3948" s="136">
        <v>961500292</v>
      </c>
      <c r="J3948" s="131" t="s">
        <v>5995</v>
      </c>
      <c r="K3948" s="139">
        <v>200000</v>
      </c>
    </row>
    <row r="3949" spans="1:11">
      <c r="A3949" s="1" t="str">
        <f t="shared" si="62"/>
        <v>15100-49281196-961500351100000</v>
      </c>
      <c r="B3949" s="141" t="str">
        <f>"15100-492811"</f>
        <v>15100-492811</v>
      </c>
      <c r="C3949" s="141" t="str">
        <f>"492811"</f>
        <v>492811</v>
      </c>
      <c r="D3949" s="132" t="s">
        <v>4971</v>
      </c>
      <c r="E3949" s="141" t="str">
        <f>"96/08/06"</f>
        <v>96/08/06</v>
      </c>
      <c r="F3949" s="141" t="str">
        <f>"96/08/06"</f>
        <v>96/08/06</v>
      </c>
      <c r="G3949" s="141" t="str">
        <f>"1396497354001"</f>
        <v>1396497354001</v>
      </c>
      <c r="H3949" s="140" t="str">
        <f>"LLC Sebco Bitumen"</f>
        <v>LLC Sebco Bitumen</v>
      </c>
      <c r="I3949" s="141">
        <v>961500351</v>
      </c>
      <c r="J3949" s="131" t="s">
        <v>9737</v>
      </c>
      <c r="K3949" s="142">
        <v>100000</v>
      </c>
    </row>
    <row r="3950" spans="1:11">
      <c r="A3950" s="1" t="str">
        <f t="shared" si="62"/>
        <v>15100-49596096-96150039752720</v>
      </c>
      <c r="B3950" s="141" t="str">
        <f>"15100-495960"</f>
        <v>15100-495960</v>
      </c>
      <c r="C3950" s="141" t="str">
        <f>"495960"</f>
        <v>495960</v>
      </c>
      <c r="D3950" s="132" t="s">
        <v>4971</v>
      </c>
      <c r="E3950" s="141" t="str">
        <f>"96/08/13"</f>
        <v>96/08/13</v>
      </c>
      <c r="F3950" s="141" t="str">
        <f>"96/08/13"</f>
        <v>96/08/13</v>
      </c>
      <c r="G3950" s="141" t="str">
        <f>"1396502696001"</f>
        <v>1396502696001</v>
      </c>
      <c r="H3950" s="140" t="str">
        <f>"LLC Sebco Bitumen"</f>
        <v>LLC Sebco Bitumen</v>
      </c>
      <c r="I3950" s="141">
        <v>961500397</v>
      </c>
      <c r="J3950" s="131" t="s">
        <v>6392</v>
      </c>
      <c r="K3950" s="142">
        <v>52720</v>
      </c>
    </row>
    <row r="3951" spans="1:11">
      <c r="A3951" s="1" t="str">
        <f t="shared" si="62"/>
        <v>15100-49596096-96150040515580</v>
      </c>
      <c r="B3951" s="141" t="str">
        <f>"15100-495960"</f>
        <v>15100-495960</v>
      </c>
      <c r="C3951" s="141" t="str">
        <f>"495960"</f>
        <v>495960</v>
      </c>
      <c r="D3951" s="132" t="s">
        <v>4971</v>
      </c>
      <c r="E3951" s="141" t="str">
        <f>"96/08/13"</f>
        <v>96/08/13</v>
      </c>
      <c r="F3951" s="141" t="str">
        <f>"96/08/13"</f>
        <v>96/08/13</v>
      </c>
      <c r="G3951" s="141" t="str">
        <f>"1396497794001"</f>
        <v>1396497794001</v>
      </c>
      <c r="H3951" s="140" t="str">
        <f>"Black Gold Traders FZE"</f>
        <v>Black Gold Traders FZE</v>
      </c>
      <c r="I3951" s="141">
        <v>961500405</v>
      </c>
      <c r="J3951" s="131" t="s">
        <v>8881</v>
      </c>
      <c r="K3951" s="142">
        <v>15580</v>
      </c>
    </row>
    <row r="3952" spans="1:11">
      <c r="A3952" s="1" t="str">
        <f t="shared" si="62"/>
        <v>15100-49643796-96150054435230</v>
      </c>
      <c r="B3952" s="141" t="str">
        <f>"15100-496437"</f>
        <v>15100-496437</v>
      </c>
      <c r="C3952" s="141" t="str">
        <f>"496437"</f>
        <v>496437</v>
      </c>
      <c r="D3952" s="132" t="s">
        <v>4971</v>
      </c>
      <c r="E3952" s="141" t="str">
        <f>"96/08/14"</f>
        <v>96/08/14</v>
      </c>
      <c r="F3952" s="141" t="str">
        <f>"96/08/14"</f>
        <v>96/08/14</v>
      </c>
      <c r="G3952" s="141" t="str">
        <f>"1396511682001"</f>
        <v>1396511682001</v>
      </c>
      <c r="H3952" s="140" t="str">
        <f>"M/S J.K. Khan Group"</f>
        <v>M/S J.K. Khan Group</v>
      </c>
      <c r="I3952" s="141">
        <v>961500544</v>
      </c>
      <c r="J3952" s="131" t="s">
        <v>8850</v>
      </c>
      <c r="K3952" s="142">
        <v>35230</v>
      </c>
    </row>
    <row r="3953" spans="1:11">
      <c r="A3953" s="1" t="str">
        <f t="shared" si="62"/>
        <v>15100-49208796-96150042123300</v>
      </c>
      <c r="B3953" s="141" t="str">
        <f>"15100-492087"</f>
        <v>15100-492087</v>
      </c>
      <c r="C3953" s="141" t="str">
        <f>"492087"</f>
        <v>492087</v>
      </c>
      <c r="D3953" s="132" t="s">
        <v>4971</v>
      </c>
      <c r="E3953" s="141" t="str">
        <f>"96/08/04"</f>
        <v>96/08/04</v>
      </c>
      <c r="F3953" s="141" t="str">
        <f>"96/08/04"</f>
        <v>96/08/04</v>
      </c>
      <c r="G3953" s="141" t="str">
        <f>"1396502986001"</f>
        <v>1396502986001</v>
      </c>
      <c r="H3953" s="140" t="str">
        <f>"Black Gold Traders FZE"</f>
        <v>Black Gold Traders FZE</v>
      </c>
      <c r="I3953" s="141">
        <v>961500421</v>
      </c>
      <c r="J3953" s="131" t="s">
        <v>8853</v>
      </c>
      <c r="K3953" s="142">
        <v>23300</v>
      </c>
    </row>
    <row r="3954" spans="1:11">
      <c r="A3954" s="1" t="str">
        <f t="shared" si="62"/>
        <v>15100-49281196-96150034619670</v>
      </c>
      <c r="B3954" s="141" t="str">
        <f>"15100-492811"</f>
        <v>15100-492811</v>
      </c>
      <c r="C3954" s="141" t="str">
        <f>"492811"</f>
        <v>492811</v>
      </c>
      <c r="D3954" s="132" t="s">
        <v>4971</v>
      </c>
      <c r="E3954" s="141" t="str">
        <f>"96/08/06"</f>
        <v>96/08/06</v>
      </c>
      <c r="F3954" s="141" t="str">
        <f>"96/08/06"</f>
        <v>96/08/06</v>
      </c>
      <c r="G3954" s="141" t="str">
        <f>"1396497354001"</f>
        <v>1396497354001</v>
      </c>
      <c r="H3954" s="140" t="str">
        <f>"LLC Sebco Bitumen"</f>
        <v>LLC Sebco Bitumen</v>
      </c>
      <c r="I3954" s="141">
        <v>961500346</v>
      </c>
      <c r="J3954" s="131" t="s">
        <v>9738</v>
      </c>
      <c r="K3954" s="142">
        <v>19670</v>
      </c>
    </row>
    <row r="3955" spans="1:11">
      <c r="A3955" s="1" t="str">
        <f t="shared" si="62"/>
        <v>15100-49283696-96150057476890</v>
      </c>
      <c r="B3955" s="141" t="str">
        <f>"15100-492836"</f>
        <v>15100-492836</v>
      </c>
      <c r="C3955" s="141" t="str">
        <f>"492836"</f>
        <v>492836</v>
      </c>
      <c r="D3955" s="132" t="s">
        <v>4971</v>
      </c>
      <c r="E3955" s="141" t="str">
        <f>"96/08/06"</f>
        <v>96/08/06</v>
      </c>
      <c r="F3955" s="141" t="str">
        <f>"96/08/06"</f>
        <v>96/08/06</v>
      </c>
      <c r="G3955" s="141" t="str">
        <f>"1396514771001"</f>
        <v>1396514771001</v>
      </c>
      <c r="H3955" s="140" t="str">
        <f>"DAXON PETROLEUM"</f>
        <v>DAXON PETROLEUM</v>
      </c>
      <c r="I3955" s="141">
        <v>961500574</v>
      </c>
      <c r="J3955" s="131" t="s">
        <v>9739</v>
      </c>
      <c r="K3955" s="142">
        <v>76890</v>
      </c>
    </row>
    <row r="3956" spans="1:11">
      <c r="A3956" s="1" t="str">
        <f t="shared" si="62"/>
        <v>15100-49443296-96150051499160</v>
      </c>
      <c r="B3956" s="141" t="str">
        <f>"15100-494432"</f>
        <v>15100-494432</v>
      </c>
      <c r="C3956" s="141" t="str">
        <f>"494432"</f>
        <v>494432</v>
      </c>
      <c r="D3956" s="132" t="s">
        <v>4971</v>
      </c>
      <c r="E3956" s="141" t="str">
        <f>"96/08/09"</f>
        <v>96/08/09</v>
      </c>
      <c r="F3956" s="141" t="str">
        <f>"96/08/09"</f>
        <v>96/08/09</v>
      </c>
      <c r="G3956" s="141" t="str">
        <f>"1396513213001"</f>
        <v>1396513213001</v>
      </c>
      <c r="H3956" s="140" t="str">
        <f>"DAXON PETROLEUM"</f>
        <v>DAXON PETROLEUM</v>
      </c>
      <c r="I3956" s="141">
        <v>961500514</v>
      </c>
      <c r="J3956" s="131" t="s">
        <v>9740</v>
      </c>
      <c r="K3956" s="142">
        <v>99160</v>
      </c>
    </row>
    <row r="3957" spans="1:11">
      <c r="A3957" s="1" t="str">
        <f t="shared" si="62"/>
        <v>15100-49686896-96150058227650</v>
      </c>
      <c r="B3957" s="141" t="str">
        <f>"15100-496868"</f>
        <v>15100-496868</v>
      </c>
      <c r="C3957" s="141" t="str">
        <f>"496868"</f>
        <v>496868</v>
      </c>
      <c r="D3957" s="132" t="s">
        <v>4971</v>
      </c>
      <c r="E3957" s="141" t="str">
        <f>"96/08/15"</f>
        <v>96/08/15</v>
      </c>
      <c r="F3957" s="141" t="str">
        <f>"96/08/15"</f>
        <v>96/08/15</v>
      </c>
      <c r="G3957" s="141" t="str">
        <f>"1396511683001"</f>
        <v>1396511683001</v>
      </c>
      <c r="H3957" s="140" t="str">
        <f>"M/S J.K. Khan Group"</f>
        <v>M/S J.K. Khan Group</v>
      </c>
      <c r="I3957" s="141">
        <v>961500582</v>
      </c>
      <c r="J3957" s="131" t="s">
        <v>9747</v>
      </c>
      <c r="K3957" s="142">
        <v>27650</v>
      </c>
    </row>
    <row r="3958" spans="1:11">
      <c r="A3958" s="1" t="str">
        <f t="shared" si="62"/>
        <v>15100-49281196-96150036925870</v>
      </c>
      <c r="B3958" s="141" t="str">
        <f>"15100-492811"</f>
        <v>15100-492811</v>
      </c>
      <c r="C3958" s="141" t="str">
        <f>"492811"</f>
        <v>492811</v>
      </c>
      <c r="D3958" s="132" t="s">
        <v>4971</v>
      </c>
      <c r="E3958" s="141" t="str">
        <f>"96/08/06"</f>
        <v>96/08/06</v>
      </c>
      <c r="F3958" s="141" t="str">
        <f>"96/08/06"</f>
        <v>96/08/06</v>
      </c>
      <c r="G3958" s="141" t="str">
        <f>"1396502696001"</f>
        <v>1396502696001</v>
      </c>
      <c r="H3958" s="140" t="str">
        <f>"LLC Sebco Bitumen"</f>
        <v>LLC Sebco Bitumen</v>
      </c>
      <c r="I3958" s="141">
        <v>961500369</v>
      </c>
      <c r="J3958" s="131" t="s">
        <v>9741</v>
      </c>
      <c r="K3958" s="142">
        <v>25870</v>
      </c>
    </row>
    <row r="3959" spans="1:11">
      <c r="A3959" s="1" t="str">
        <f t="shared" si="62"/>
        <v>15100-49283696-96150036950220</v>
      </c>
      <c r="B3959" s="141" t="str">
        <f>"15100-492836"</f>
        <v>15100-492836</v>
      </c>
      <c r="C3959" s="141" t="str">
        <f>"492836"</f>
        <v>492836</v>
      </c>
      <c r="D3959" s="132" t="s">
        <v>4971</v>
      </c>
      <c r="E3959" s="141" t="str">
        <f>"96/08/06"</f>
        <v>96/08/06</v>
      </c>
      <c r="F3959" s="141" t="str">
        <f>"96/08/06"</f>
        <v>96/08/06</v>
      </c>
      <c r="G3959" s="141" t="str">
        <f>"1396502696001"</f>
        <v>1396502696001</v>
      </c>
      <c r="H3959" s="140" t="str">
        <f>"LLC Sebco Bitumen"</f>
        <v>LLC Sebco Bitumen</v>
      </c>
      <c r="I3959" s="141">
        <v>961500369</v>
      </c>
      <c r="J3959" s="131" t="s">
        <v>9741</v>
      </c>
      <c r="K3959" s="142">
        <v>50220</v>
      </c>
    </row>
    <row r="3960" spans="1:11">
      <c r="A3960" s="1" t="str">
        <f t="shared" si="62"/>
        <v>15100-49596096-96150052232060</v>
      </c>
      <c r="B3960" s="141" t="str">
        <f>"15100-495960"</f>
        <v>15100-495960</v>
      </c>
      <c r="C3960" s="141" t="str">
        <f>"495960"</f>
        <v>495960</v>
      </c>
      <c r="D3960" s="132" t="s">
        <v>4971</v>
      </c>
      <c r="E3960" s="141" t="str">
        <f>"96/08/13"</f>
        <v>96/08/13</v>
      </c>
      <c r="F3960" s="141" t="str">
        <f>"96/08/13"</f>
        <v>96/08/13</v>
      </c>
      <c r="G3960" s="141" t="str">
        <f>"1396500348001"</f>
        <v>1396500348001</v>
      </c>
      <c r="H3960" s="140" t="str">
        <f>"Black Gold Traders FZE"</f>
        <v>Black Gold Traders FZE</v>
      </c>
      <c r="I3960" s="141">
        <v>961500522</v>
      </c>
      <c r="J3960" s="131" t="s">
        <v>9742</v>
      </c>
      <c r="K3960" s="142">
        <v>32060</v>
      </c>
    </row>
    <row r="3961" spans="1:11">
      <c r="A3961" s="1" t="str">
        <f t="shared" si="62"/>
        <v>15100-49283696-96150045528890</v>
      </c>
      <c r="B3961" s="141" t="str">
        <f>"15100-492836"</f>
        <v>15100-492836</v>
      </c>
      <c r="C3961" s="141" t="str">
        <f>"492836"</f>
        <v>492836</v>
      </c>
      <c r="D3961" s="132" t="s">
        <v>4971</v>
      </c>
      <c r="E3961" s="141" t="str">
        <f>"96/08/06"</f>
        <v>96/08/06</v>
      </c>
      <c r="F3961" s="141" t="str">
        <f>"96/08/06"</f>
        <v>96/08/06</v>
      </c>
      <c r="G3961" s="141" t="str">
        <f>"1396506113001"</f>
        <v>1396506113001</v>
      </c>
      <c r="H3961" s="140" t="str">
        <f>"DAXON PETROLEUM"</f>
        <v>DAXON PETROLEUM</v>
      </c>
      <c r="I3961" s="141">
        <v>961500455</v>
      </c>
      <c r="J3961" s="131" t="s">
        <v>8866</v>
      </c>
      <c r="K3961" s="142">
        <v>28890</v>
      </c>
    </row>
    <row r="3962" spans="1:11">
      <c r="A3962" s="1" t="str">
        <f t="shared" si="62"/>
        <v>15100-49491696-96150039728590</v>
      </c>
      <c r="B3962" s="141" t="str">
        <f>"15100-494916"</f>
        <v>15100-494916</v>
      </c>
      <c r="C3962" s="141" t="str">
        <f>"494916"</f>
        <v>494916</v>
      </c>
      <c r="D3962" s="132" t="s">
        <v>4971</v>
      </c>
      <c r="E3962" s="141" t="str">
        <f>"96/08/10"</f>
        <v>96/08/10</v>
      </c>
      <c r="F3962" s="141" t="str">
        <f>"96/08/10"</f>
        <v>96/08/10</v>
      </c>
      <c r="G3962" s="141" t="str">
        <f>"1396502696001"</f>
        <v>1396502696001</v>
      </c>
      <c r="H3962" s="140" t="str">
        <f>"LLC Sebco Bitumen"</f>
        <v>LLC Sebco Bitumen</v>
      </c>
      <c r="I3962" s="141">
        <v>961500397</v>
      </c>
      <c r="J3962" s="131" t="s">
        <v>6392</v>
      </c>
      <c r="K3962" s="142">
        <v>28590</v>
      </c>
    </row>
    <row r="3963" spans="1:11">
      <c r="A3963" s="1" t="str">
        <f t="shared" si="62"/>
        <v>15100-49588296-96150054444320</v>
      </c>
      <c r="B3963" s="153" t="str">
        <f>"15100-495882"</f>
        <v>15100-495882</v>
      </c>
      <c r="C3963" s="153" t="str">
        <f>"495882"</f>
        <v>495882</v>
      </c>
      <c r="D3963" s="132" t="s">
        <v>4971</v>
      </c>
      <c r="E3963" s="153" t="str">
        <f>"96/08/13"</f>
        <v>96/08/13</v>
      </c>
      <c r="F3963" s="153" t="str">
        <f>"96/08/13"</f>
        <v>96/08/13</v>
      </c>
      <c r="G3963" s="153" t="str">
        <f>"1396511682001"</f>
        <v>1396511682001</v>
      </c>
      <c r="H3963" s="154" t="str">
        <f>"M/S J.K. Khan Group"</f>
        <v>M/S J.K. Khan Group</v>
      </c>
      <c r="I3963" s="153">
        <v>961500544</v>
      </c>
      <c r="J3963" s="131" t="s">
        <v>8850</v>
      </c>
      <c r="K3963" s="155">
        <v>44320</v>
      </c>
    </row>
    <row r="3964" spans="1:11">
      <c r="A3964" s="1" t="str">
        <f t="shared" si="62"/>
        <v>15100-49336996-961500375222810</v>
      </c>
      <c r="B3964" s="141" t="str">
        <f>"15100-493369"</f>
        <v>15100-493369</v>
      </c>
      <c r="C3964" s="141" t="str">
        <f>"493369"</f>
        <v>493369</v>
      </c>
      <c r="D3964" s="132" t="s">
        <v>4971</v>
      </c>
      <c r="E3964" s="141" t="str">
        <f>"96/08/07"</f>
        <v>96/08/07</v>
      </c>
      <c r="F3964" s="141" t="str">
        <f>"96/08/07"</f>
        <v>96/08/07</v>
      </c>
      <c r="G3964" s="141" t="str">
        <f>"1396502696001"</f>
        <v>1396502696001</v>
      </c>
      <c r="H3964" s="140" t="str">
        <f>"LLC Sebco Bitumen"</f>
        <v>LLC Sebco Bitumen</v>
      </c>
      <c r="I3964" s="141">
        <v>961500375</v>
      </c>
      <c r="J3964" s="131" t="s">
        <v>9743</v>
      </c>
      <c r="K3964" s="142">
        <v>222810</v>
      </c>
    </row>
    <row r="3965" spans="1:11">
      <c r="A3965" s="1" t="str">
        <f t="shared" si="62"/>
        <v>15100-49491696-961500421122010</v>
      </c>
      <c r="B3965" s="141" t="str">
        <f>"15100-494916"</f>
        <v>15100-494916</v>
      </c>
      <c r="C3965" s="141" t="str">
        <f>"494916"</f>
        <v>494916</v>
      </c>
      <c r="D3965" s="132" t="s">
        <v>4971</v>
      </c>
      <c r="E3965" s="141" t="str">
        <f>"96/08/10"</f>
        <v>96/08/10</v>
      </c>
      <c r="F3965" s="141" t="str">
        <f>"96/08/10"</f>
        <v>96/08/10</v>
      </c>
      <c r="G3965" s="141" t="str">
        <f>"1396502986001"</f>
        <v>1396502986001</v>
      </c>
      <c r="H3965" s="140" t="str">
        <f>"Black Gold Traders FZE"</f>
        <v>Black Gold Traders FZE</v>
      </c>
      <c r="I3965" s="141">
        <v>961500421</v>
      </c>
      <c r="J3965" s="131" t="s">
        <v>8853</v>
      </c>
      <c r="K3965" s="142">
        <v>122010</v>
      </c>
    </row>
    <row r="3966" spans="1:11">
      <c r="A3966" s="1" t="str">
        <f t="shared" si="62"/>
        <v>15100-49643796-96150050622120</v>
      </c>
      <c r="B3966" s="153" t="str">
        <f>"15100-496437"</f>
        <v>15100-496437</v>
      </c>
      <c r="C3966" s="153" t="str">
        <f>"496437"</f>
        <v>496437</v>
      </c>
      <c r="D3966" s="132" t="s">
        <v>4971</v>
      </c>
      <c r="E3966" s="153" t="str">
        <f>"96/08/14"</f>
        <v>96/08/14</v>
      </c>
      <c r="F3966" s="153" t="str">
        <f>"96/08/14"</f>
        <v>96/08/14</v>
      </c>
      <c r="G3966" s="153" t="str">
        <f>"1396511639001"</f>
        <v>1396511639001</v>
      </c>
      <c r="H3966" s="154" t="str">
        <f>"SHINING GREEN STAR FZE"</f>
        <v>SHINING GREEN STAR FZE</v>
      </c>
      <c r="I3966" s="153">
        <v>961500506</v>
      </c>
      <c r="J3966" s="131" t="s">
        <v>8857</v>
      </c>
      <c r="K3966" s="155">
        <v>22120</v>
      </c>
    </row>
    <row r="3967" spans="1:11">
      <c r="A3967" s="1" t="str">
        <f t="shared" si="62"/>
        <v>15100-49283696-96150051518560</v>
      </c>
      <c r="B3967" s="141" t="str">
        <f>"15100-492836"</f>
        <v>15100-492836</v>
      </c>
      <c r="C3967" s="141" t="str">
        <f>"492836"</f>
        <v>492836</v>
      </c>
      <c r="D3967" s="132" t="s">
        <v>4971</v>
      </c>
      <c r="E3967" s="141" t="str">
        <f>"96/08/06"</f>
        <v>96/08/06</v>
      </c>
      <c r="F3967" s="141" t="str">
        <f>"96/08/06"</f>
        <v>96/08/06</v>
      </c>
      <c r="G3967" s="141" t="str">
        <f>"1396513011001"</f>
        <v>1396513011001</v>
      </c>
      <c r="H3967" s="140" t="str">
        <f>"DAXON PETROLEUM"</f>
        <v>DAXON PETROLEUM</v>
      </c>
      <c r="I3967" s="141">
        <v>961500515</v>
      </c>
      <c r="J3967" s="131" t="s">
        <v>9744</v>
      </c>
      <c r="K3967" s="142">
        <v>18560</v>
      </c>
    </row>
    <row r="3968" spans="1:11">
      <c r="A3968" s="1" t="str">
        <f t="shared" si="62"/>
        <v>15100-49588296-961500506242440</v>
      </c>
      <c r="B3968" s="141" t="str">
        <f>"15100-495882"</f>
        <v>15100-495882</v>
      </c>
      <c r="C3968" s="141" t="str">
        <f>"495882"</f>
        <v>495882</v>
      </c>
      <c r="D3968" s="132" t="s">
        <v>4971</v>
      </c>
      <c r="E3968" s="141" t="str">
        <f>"96/08/13"</f>
        <v>96/08/13</v>
      </c>
      <c r="F3968" s="141" t="str">
        <f>"96/08/13"</f>
        <v>96/08/13</v>
      </c>
      <c r="G3968" s="141" t="str">
        <f>"1396511639001"</f>
        <v>1396511639001</v>
      </c>
      <c r="H3968" s="140" t="str">
        <f>"SHINING GREEN STAR FZE"</f>
        <v>SHINING GREEN STAR FZE</v>
      </c>
      <c r="I3968" s="141">
        <v>961500506</v>
      </c>
      <c r="J3968" s="131" t="s">
        <v>8857</v>
      </c>
      <c r="K3968" s="142">
        <v>242440</v>
      </c>
    </row>
    <row r="3969" spans="1:11">
      <c r="A3969" s="1" t="str">
        <f t="shared" si="62"/>
        <v>15100-49497696-96150054968960</v>
      </c>
      <c r="B3969" s="141" t="str">
        <f>"15100-494976"</f>
        <v>15100-494976</v>
      </c>
      <c r="C3969" s="141" t="str">
        <f>"494976"</f>
        <v>494976</v>
      </c>
      <c r="D3969" s="132" t="s">
        <v>4971</v>
      </c>
      <c r="E3969" s="141" t="str">
        <f>"96/08/10"</f>
        <v>96/08/10</v>
      </c>
      <c r="F3969" s="141" t="str">
        <f>"96/08/10"</f>
        <v>96/08/10</v>
      </c>
      <c r="G3969" s="141" t="str">
        <f>"1396511683001"</f>
        <v>1396511683001</v>
      </c>
      <c r="H3969" s="140" t="str">
        <f>"M/S J.K. Khan Group"</f>
        <v>M/S J.K. Khan Group</v>
      </c>
      <c r="I3969" s="141">
        <v>961500549</v>
      </c>
      <c r="J3969" s="131" t="s">
        <v>9745</v>
      </c>
      <c r="K3969" s="142">
        <v>68960</v>
      </c>
    </row>
    <row r="3970" spans="1:11">
      <c r="A3970" s="1" t="str">
        <f t="shared" si="62"/>
        <v>15100-49336996-96150037250000</v>
      </c>
      <c r="B3970" s="141" t="str">
        <f>"15100-493369"</f>
        <v>15100-493369</v>
      </c>
      <c r="C3970" s="141" t="str">
        <f>"493369"</f>
        <v>493369</v>
      </c>
      <c r="D3970" s="132" t="s">
        <v>4971</v>
      </c>
      <c r="E3970" s="141" t="str">
        <f>"96/08/07"</f>
        <v>96/08/07</v>
      </c>
      <c r="F3970" s="141" t="str">
        <f>"96/08/07"</f>
        <v>96/08/07</v>
      </c>
      <c r="G3970" s="141" t="str">
        <f>"1396502696001"</f>
        <v>1396502696001</v>
      </c>
      <c r="H3970" s="140" t="str">
        <f>"LLC Sebco Bitumen"</f>
        <v>LLC Sebco Bitumen</v>
      </c>
      <c r="I3970" s="141">
        <v>961500372</v>
      </c>
      <c r="J3970" s="131" t="s">
        <v>9746</v>
      </c>
      <c r="K3970" s="142">
        <v>50000</v>
      </c>
    </row>
    <row r="3971" spans="1:11">
      <c r="A3971" s="1" t="str">
        <f t="shared" ref="A3971:A4034" si="68">B3971&amp;J3971&amp;K3971</f>
        <v>15100-49088996-961500421141220</v>
      </c>
      <c r="B3971" s="141" t="str">
        <f>"15100-490889"</f>
        <v>15100-490889</v>
      </c>
      <c r="C3971" s="141" t="str">
        <f>"490889"</f>
        <v>490889</v>
      </c>
      <c r="D3971" s="132" t="s">
        <v>4971</v>
      </c>
      <c r="E3971" s="141" t="str">
        <f>"96/08/02"</f>
        <v>96/08/02</v>
      </c>
      <c r="F3971" s="141" t="str">
        <f>"96/08/02"</f>
        <v>96/08/02</v>
      </c>
      <c r="G3971" s="141" t="str">
        <f>"1396502986001"</f>
        <v>1396502986001</v>
      </c>
      <c r="H3971" s="140" t="str">
        <f>"Black Gold Traders FZE"</f>
        <v>Black Gold Traders FZE</v>
      </c>
      <c r="I3971" s="141">
        <v>961500421</v>
      </c>
      <c r="J3971" s="131" t="s">
        <v>8853</v>
      </c>
      <c r="K3971" s="142">
        <v>141220</v>
      </c>
    </row>
    <row r="3972" spans="1:11">
      <c r="A3972" s="1" t="str">
        <f t="shared" si="68"/>
        <v>15100-49639296-9615003976100</v>
      </c>
      <c r="B3972" s="141" t="str">
        <f>"15100-496392"</f>
        <v>15100-496392</v>
      </c>
      <c r="C3972" s="141" t="str">
        <f>"496392"</f>
        <v>496392</v>
      </c>
      <c r="D3972" s="132" t="s">
        <v>4971</v>
      </c>
      <c r="E3972" s="141" t="str">
        <f>"96/08/14"</f>
        <v>96/08/14</v>
      </c>
      <c r="F3972" s="141" t="str">
        <f>"96/08/14"</f>
        <v>96/08/14</v>
      </c>
      <c r="G3972" s="141" t="str">
        <f>"1396502696001"</f>
        <v>1396502696001</v>
      </c>
      <c r="H3972" s="140" t="str">
        <f>"LLC Sebco Bitumen"</f>
        <v>LLC Sebco Bitumen</v>
      </c>
      <c r="I3972" s="141">
        <v>961500397</v>
      </c>
      <c r="J3972" s="131" t="s">
        <v>6392</v>
      </c>
      <c r="K3972" s="142">
        <v>6100</v>
      </c>
    </row>
    <row r="3973" spans="1:11">
      <c r="A3973" s="1" t="str">
        <f t="shared" si="68"/>
        <v>15100-49336996-961500369123910</v>
      </c>
      <c r="B3973" s="141" t="str">
        <f>"15100-493369"</f>
        <v>15100-493369</v>
      </c>
      <c r="C3973" s="141" t="str">
        <f>"493369"</f>
        <v>493369</v>
      </c>
      <c r="D3973" s="132" t="s">
        <v>4971</v>
      </c>
      <c r="E3973" s="141" t="str">
        <f>"96/08/07"</f>
        <v>96/08/07</v>
      </c>
      <c r="F3973" s="141" t="str">
        <f>"96/08/07"</f>
        <v>96/08/07</v>
      </c>
      <c r="G3973" s="141" t="str">
        <f>"1396502696001"</f>
        <v>1396502696001</v>
      </c>
      <c r="H3973" s="140" t="str">
        <f>"LLC Sebco Bitumen"</f>
        <v>LLC Sebco Bitumen</v>
      </c>
      <c r="I3973" s="141">
        <v>961500369</v>
      </c>
      <c r="J3973" s="131" t="s">
        <v>9741</v>
      </c>
      <c r="K3973" s="142">
        <v>123910</v>
      </c>
    </row>
    <row r="3974" spans="1:11">
      <c r="A3974" s="1" t="str">
        <f t="shared" si="68"/>
        <v>15100-49547496-96150052244380</v>
      </c>
      <c r="B3974" s="141" t="str">
        <f>"15100-495474"</f>
        <v>15100-495474</v>
      </c>
      <c r="C3974" s="141" t="str">
        <f>"495474"</f>
        <v>495474</v>
      </c>
      <c r="D3974" s="132" t="s">
        <v>4971</v>
      </c>
      <c r="E3974" s="141" t="str">
        <f>"96/08/11"</f>
        <v>96/08/11</v>
      </c>
      <c r="F3974" s="141" t="str">
        <f>"96/08/11"</f>
        <v>96/08/11</v>
      </c>
      <c r="G3974" s="141" t="str">
        <f>"1396500348001"</f>
        <v>1396500348001</v>
      </c>
      <c r="H3974" s="140" t="str">
        <f>"Black Gold Traders FZE"</f>
        <v>Black Gold Traders FZE</v>
      </c>
      <c r="I3974" s="141">
        <v>961500522</v>
      </c>
      <c r="J3974" s="131" t="s">
        <v>9742</v>
      </c>
      <c r="K3974" s="142">
        <v>44380</v>
      </c>
    </row>
    <row r="3975" spans="1:11">
      <c r="A3975" s="1" t="str">
        <f t="shared" si="68"/>
        <v>15100-49491696-96150027751500</v>
      </c>
      <c r="B3975" s="141" t="str">
        <f>"15100-494916"</f>
        <v>15100-494916</v>
      </c>
      <c r="C3975" s="141" t="str">
        <f>"494916"</f>
        <v>494916</v>
      </c>
      <c r="D3975" s="132" t="s">
        <v>4971</v>
      </c>
      <c r="E3975" s="141" t="str">
        <f>"96/08/10"</f>
        <v>96/08/10</v>
      </c>
      <c r="F3975" s="141" t="str">
        <f>"96/08/10"</f>
        <v>96/08/10</v>
      </c>
      <c r="G3975" s="141" t="str">
        <f>"1396492151001"</f>
        <v>1396492151001</v>
      </c>
      <c r="H3975" s="140" t="str">
        <f>"Black Gold Traders FZE"</f>
        <v>Black Gold Traders FZE</v>
      </c>
      <c r="I3975" s="141">
        <v>961500277</v>
      </c>
      <c r="J3975" s="131" t="s">
        <v>5976</v>
      </c>
      <c r="K3975" s="142">
        <v>51500</v>
      </c>
    </row>
    <row r="3976" spans="1:11">
      <c r="A3976" s="1" t="str">
        <f t="shared" si="68"/>
        <v>15100-49491696-961500514125860</v>
      </c>
      <c r="B3976" s="141" t="str">
        <f>"15100-494916"</f>
        <v>15100-494916</v>
      </c>
      <c r="C3976" s="141" t="str">
        <f>"494916"</f>
        <v>494916</v>
      </c>
      <c r="D3976" s="132" t="s">
        <v>4971</v>
      </c>
      <c r="E3976" s="141" t="str">
        <f>"96/08/10"</f>
        <v>96/08/10</v>
      </c>
      <c r="F3976" s="141" t="str">
        <f>"96/08/10"</f>
        <v>96/08/10</v>
      </c>
      <c r="G3976" s="141" t="str">
        <f>"1396513213001"</f>
        <v>1396513213001</v>
      </c>
      <c r="H3976" s="140" t="str">
        <f>"DAXON PETROLEUM"</f>
        <v>DAXON PETROLEUM</v>
      </c>
      <c r="I3976" s="141">
        <v>961500514</v>
      </c>
      <c r="J3976" s="131" t="s">
        <v>9740</v>
      </c>
      <c r="K3976" s="142">
        <v>125860</v>
      </c>
    </row>
    <row r="3977" spans="1:11">
      <c r="A3977" s="1" t="str">
        <f t="shared" si="68"/>
        <v>15100-49643796-96150058282210</v>
      </c>
      <c r="B3977" s="153" t="str">
        <f>"15100-496437"</f>
        <v>15100-496437</v>
      </c>
      <c r="C3977" s="153" t="str">
        <f>"496437"</f>
        <v>496437</v>
      </c>
      <c r="D3977" s="132" t="s">
        <v>4971</v>
      </c>
      <c r="E3977" s="153" t="str">
        <f>"96/08/14"</f>
        <v>96/08/14</v>
      </c>
      <c r="F3977" s="153" t="str">
        <f>"96/08/14"</f>
        <v>96/08/14</v>
      </c>
      <c r="G3977" s="153" t="str">
        <f>"1396511683001"</f>
        <v>1396511683001</v>
      </c>
      <c r="H3977" s="154" t="str">
        <f>"M/S J.K. Khan Group"</f>
        <v>M/S J.K. Khan Group</v>
      </c>
      <c r="I3977" s="153">
        <v>961500582</v>
      </c>
      <c r="J3977" s="131" t="s">
        <v>9747</v>
      </c>
      <c r="K3977" s="155">
        <v>82210</v>
      </c>
    </row>
    <row r="3978" spans="1:11">
      <c r="A3978" s="1" t="str">
        <f t="shared" si="68"/>
        <v>15100-49494396-96150042149540</v>
      </c>
      <c r="B3978" s="141" t="str">
        <f>"15100-494943"</f>
        <v>15100-494943</v>
      </c>
      <c r="C3978" s="141" t="str">
        <f>"494943"</f>
        <v>494943</v>
      </c>
      <c r="D3978" s="132" t="s">
        <v>4971</v>
      </c>
      <c r="E3978" s="141" t="str">
        <f>"96/08/10"</f>
        <v>96/08/10</v>
      </c>
      <c r="F3978" s="141" t="str">
        <f>"96/08/10"</f>
        <v>96/08/10</v>
      </c>
      <c r="G3978" s="141" t="str">
        <f>"1396502986001"</f>
        <v>1396502986001</v>
      </c>
      <c r="H3978" s="140" t="str">
        <f>"Black Gold Traders FZE"</f>
        <v>Black Gold Traders FZE</v>
      </c>
      <c r="I3978" s="141">
        <v>961500421</v>
      </c>
      <c r="J3978" s="131" t="s">
        <v>8853</v>
      </c>
      <c r="K3978" s="142">
        <v>49540</v>
      </c>
    </row>
    <row r="3979" spans="1:11">
      <c r="A3979" s="1" t="str">
        <f t="shared" si="68"/>
        <v>15100-49547496-961500517132660</v>
      </c>
      <c r="B3979" s="141" t="str">
        <f>"15100-495474"</f>
        <v>15100-495474</v>
      </c>
      <c r="C3979" s="141" t="str">
        <f>"495474"</f>
        <v>495474</v>
      </c>
      <c r="D3979" s="132" t="s">
        <v>4971</v>
      </c>
      <c r="E3979" s="141" t="str">
        <f>"96/08/11"</f>
        <v>96/08/11</v>
      </c>
      <c r="F3979" s="141" t="str">
        <f>"96/08/11"</f>
        <v>96/08/11</v>
      </c>
      <c r="G3979" s="141" t="str">
        <f>"1396500348001"</f>
        <v>1396500348001</v>
      </c>
      <c r="H3979" s="140" t="str">
        <f>"Black Gold Traders FZE"</f>
        <v>Black Gold Traders FZE</v>
      </c>
      <c r="I3979" s="141">
        <v>961500517</v>
      </c>
      <c r="J3979" s="131" t="s">
        <v>8856</v>
      </c>
      <c r="K3979" s="142">
        <v>132660</v>
      </c>
    </row>
    <row r="3980" spans="1:11">
      <c r="A3980" s="1" t="str">
        <f t="shared" si="68"/>
        <v>15100-49593396-96150039775430</v>
      </c>
      <c r="B3980" s="153" t="str">
        <f>"15100-495933"</f>
        <v>15100-495933</v>
      </c>
      <c r="C3980" s="153" t="str">
        <f>"495933"</f>
        <v>495933</v>
      </c>
      <c r="D3980" s="132" t="s">
        <v>4971</v>
      </c>
      <c r="E3980" s="153" t="str">
        <f>"96/08/13"</f>
        <v>96/08/13</v>
      </c>
      <c r="F3980" s="153" t="str">
        <f>"96/08/13"</f>
        <v>96/08/13</v>
      </c>
      <c r="G3980" s="153" t="str">
        <f>"1396502696001"</f>
        <v>1396502696001</v>
      </c>
      <c r="H3980" s="154" t="str">
        <f>"LLC Sebco Bitumen"</f>
        <v>LLC Sebco Bitumen</v>
      </c>
      <c r="I3980" s="153">
        <v>961500397</v>
      </c>
      <c r="J3980" s="131" t="s">
        <v>6392</v>
      </c>
      <c r="K3980" s="155">
        <v>75430</v>
      </c>
    </row>
    <row r="3981" spans="1:11">
      <c r="A3981" s="1" t="str">
        <f t="shared" si="68"/>
        <v>15100-49593996-96150039473820</v>
      </c>
      <c r="B3981" s="141" t="str">
        <f>"15100-495939"</f>
        <v>15100-495939</v>
      </c>
      <c r="C3981" s="141" t="str">
        <f>"495939"</f>
        <v>495939</v>
      </c>
      <c r="D3981" s="132" t="s">
        <v>4971</v>
      </c>
      <c r="E3981" s="141" t="str">
        <f>"96/08/13"</f>
        <v>96/08/13</v>
      </c>
      <c r="F3981" s="141" t="str">
        <f>"96/08/13"</f>
        <v>96/08/13</v>
      </c>
      <c r="G3981" s="141" t="str">
        <f>"1396502696001"</f>
        <v>1396502696001</v>
      </c>
      <c r="H3981" s="140" t="str">
        <f>"LLC Sebco Bitumen"</f>
        <v>LLC Sebco Bitumen</v>
      </c>
      <c r="I3981" s="141">
        <v>961500394</v>
      </c>
      <c r="J3981" s="131" t="s">
        <v>9917</v>
      </c>
      <c r="K3981" s="142">
        <v>73820</v>
      </c>
    </row>
    <row r="3982" spans="1:11">
      <c r="A3982" s="1" t="str">
        <f t="shared" si="68"/>
        <v>15100-49639296-96150045053050</v>
      </c>
      <c r="B3982" s="141" t="str">
        <f>"15100-496392"</f>
        <v>15100-496392</v>
      </c>
      <c r="C3982" s="141" t="str">
        <f>"496392"</f>
        <v>496392</v>
      </c>
      <c r="D3982" s="132" t="s">
        <v>4971</v>
      </c>
      <c r="E3982" s="141" t="str">
        <f>"96/08/14"</f>
        <v>96/08/14</v>
      </c>
      <c r="F3982" s="141" t="str">
        <f>"96/08/14"</f>
        <v>96/08/14</v>
      </c>
      <c r="G3982" s="157" t="str">
        <f>"1396506115001"</f>
        <v>1396506115001</v>
      </c>
      <c r="H3982" s="158" t="str">
        <f>"LLC Sebco Bitumen"</f>
        <v>LLC Sebco Bitumen</v>
      </c>
      <c r="I3982" s="157">
        <v>961500450</v>
      </c>
      <c r="J3982" s="131" t="s">
        <v>9748</v>
      </c>
      <c r="K3982" s="159">
        <v>53050</v>
      </c>
    </row>
    <row r="3983" spans="1:11">
      <c r="A3983" s="1" t="str">
        <f t="shared" si="68"/>
        <v>15100-49550196-96150040295360</v>
      </c>
      <c r="B3983" s="141" t="str">
        <f>"15100-495501"</f>
        <v>15100-495501</v>
      </c>
      <c r="C3983" s="141" t="str">
        <f>"495501"</f>
        <v>495501</v>
      </c>
      <c r="D3983" s="132" t="s">
        <v>4971</v>
      </c>
      <c r="E3983" s="141" t="str">
        <f>"96/08/11"</f>
        <v>96/08/11</v>
      </c>
      <c r="F3983" s="156" t="str">
        <f>"96/08/11"</f>
        <v>96/08/11</v>
      </c>
      <c r="G3983" s="141" t="str">
        <f>"1396502500001"</f>
        <v>1396502500001</v>
      </c>
      <c r="H3983" s="140" t="str">
        <f>"SHINING GREEN STAR FZE"</f>
        <v>SHINING GREEN STAR FZE</v>
      </c>
      <c r="I3983" s="141">
        <v>961500402</v>
      </c>
      <c r="J3983" s="131" t="s">
        <v>9749</v>
      </c>
      <c r="K3983" s="142">
        <v>95360</v>
      </c>
    </row>
    <row r="3984" spans="1:11">
      <c r="A3984" s="1" t="str">
        <f t="shared" si="68"/>
        <v>15100-49496496-96150039717690</v>
      </c>
      <c r="B3984" s="141" t="str">
        <f>"15100-494964"</f>
        <v>15100-494964</v>
      </c>
      <c r="C3984" s="141" t="str">
        <f>"494964"</f>
        <v>494964</v>
      </c>
      <c r="D3984" s="132" t="s">
        <v>4971</v>
      </c>
      <c r="E3984" s="141" t="str">
        <f>"96/08/10"</f>
        <v>96/08/10</v>
      </c>
      <c r="F3984" s="141" t="str">
        <f>"96/08/10"</f>
        <v>96/08/10</v>
      </c>
      <c r="G3984" s="153" t="str">
        <f>"1396502696001"</f>
        <v>1396502696001</v>
      </c>
      <c r="H3984" s="154" t="str">
        <f>"LLC Sebco Bitumen"</f>
        <v>LLC Sebco Bitumen</v>
      </c>
      <c r="I3984" s="153">
        <v>961500397</v>
      </c>
      <c r="J3984" s="131" t="s">
        <v>6392</v>
      </c>
      <c r="K3984" s="155">
        <v>17690</v>
      </c>
    </row>
    <row r="3985" spans="1:11">
      <c r="A3985" s="1" t="str">
        <f t="shared" si="68"/>
        <v>15100-49638396-96150044810740</v>
      </c>
      <c r="B3985" s="141" t="str">
        <f>"15100-496383"</f>
        <v>15100-496383</v>
      </c>
      <c r="C3985" s="141" t="str">
        <f>"496383"</f>
        <v>496383</v>
      </c>
      <c r="D3985" s="132" t="s">
        <v>4971</v>
      </c>
      <c r="E3985" s="141" t="str">
        <f>"96/08/14"</f>
        <v>96/08/14</v>
      </c>
      <c r="F3985" s="141" t="str">
        <f>"96/08/14"</f>
        <v>96/08/14</v>
      </c>
      <c r="G3985" s="141" t="str">
        <f>"1396497794001"</f>
        <v>1396497794001</v>
      </c>
      <c r="H3985" s="140" t="str">
        <f>"Black Gold Traders FZE"</f>
        <v>Black Gold Traders FZE</v>
      </c>
      <c r="I3985" s="141">
        <v>961500448</v>
      </c>
      <c r="J3985" s="131" t="s">
        <v>9750</v>
      </c>
      <c r="K3985" s="142">
        <v>10740</v>
      </c>
    </row>
    <row r="3986" spans="1:11">
      <c r="A3986" s="1" t="str">
        <f t="shared" si="68"/>
        <v>15100-49338496-96150051330000</v>
      </c>
      <c r="B3986" s="141" t="str">
        <f>"15100-493384"</f>
        <v>15100-493384</v>
      </c>
      <c r="C3986" s="141" t="str">
        <f>"493384"</f>
        <v>493384</v>
      </c>
      <c r="D3986" s="132" t="s">
        <v>4971</v>
      </c>
      <c r="E3986" s="141" t="str">
        <f>"96/08/07"</f>
        <v>96/08/07</v>
      </c>
      <c r="F3986" s="141" t="str">
        <f>"96/08/07"</f>
        <v>96/08/07</v>
      </c>
      <c r="G3986" s="141" t="str">
        <f>"1396514771001"</f>
        <v>1396514771001</v>
      </c>
      <c r="H3986" s="140" t="str">
        <f>"DAXON PETROLEUM"</f>
        <v>DAXON PETROLEUM</v>
      </c>
      <c r="I3986" s="141">
        <v>961500513</v>
      </c>
      <c r="J3986" s="131" t="s">
        <v>9751</v>
      </c>
      <c r="K3986" s="142">
        <v>30000</v>
      </c>
    </row>
    <row r="3987" spans="1:11">
      <c r="A3987" s="1" t="str">
        <f t="shared" si="68"/>
        <v>15100-49392996-96150054944960</v>
      </c>
      <c r="B3987" s="141" t="str">
        <f>"15100-493929"</f>
        <v>15100-493929</v>
      </c>
      <c r="C3987" s="141" t="str">
        <f>"493929"</f>
        <v>493929</v>
      </c>
      <c r="D3987" s="132" t="s">
        <v>4971</v>
      </c>
      <c r="E3987" s="141" t="str">
        <f>"96/08/08"</f>
        <v>96/08/08</v>
      </c>
      <c r="F3987" s="141" t="str">
        <f>"96/08/08"</f>
        <v>96/08/08</v>
      </c>
      <c r="G3987" s="141" t="str">
        <f>"1396511683001"</f>
        <v>1396511683001</v>
      </c>
      <c r="H3987" s="140" t="str">
        <f>"M/S J.K. Khan Group"</f>
        <v>M/S J.K. Khan Group</v>
      </c>
      <c r="I3987" s="141">
        <v>961500549</v>
      </c>
      <c r="J3987" s="131" t="s">
        <v>9745</v>
      </c>
      <c r="K3987" s="142">
        <v>44960</v>
      </c>
    </row>
    <row r="3988" spans="1:11">
      <c r="A3988" s="1" t="str">
        <f t="shared" si="68"/>
        <v>15100-49277896-96150044889260</v>
      </c>
      <c r="B3988" s="141" t="str">
        <f>"15100-492778"</f>
        <v>15100-492778</v>
      </c>
      <c r="C3988" s="141" t="str">
        <f>"492778"</f>
        <v>492778</v>
      </c>
      <c r="D3988" s="132" t="s">
        <v>4971</v>
      </c>
      <c r="E3988" s="141" t="str">
        <f>"96/08/06"</f>
        <v>96/08/06</v>
      </c>
      <c r="F3988" s="141" t="str">
        <f>"96/08/06"</f>
        <v>96/08/06</v>
      </c>
      <c r="G3988" s="141" t="str">
        <f>"1396497794001"</f>
        <v>1396497794001</v>
      </c>
      <c r="H3988" s="140" t="str">
        <f>"Black Gold Traders FZE"</f>
        <v>Black Gold Traders FZE</v>
      </c>
      <c r="I3988" s="141">
        <v>961500448</v>
      </c>
      <c r="J3988" s="131" t="s">
        <v>9750</v>
      </c>
      <c r="K3988" s="142">
        <v>89260</v>
      </c>
    </row>
    <row r="3989" spans="1:11">
      <c r="A3989" s="1" t="str">
        <f t="shared" si="68"/>
        <v>15100-49638396-96150052235890</v>
      </c>
      <c r="B3989" s="141" t="str">
        <f>"15100-496383"</f>
        <v>15100-496383</v>
      </c>
      <c r="C3989" s="141" t="str">
        <f>"496383"</f>
        <v>496383</v>
      </c>
      <c r="D3989" s="132" t="s">
        <v>4971</v>
      </c>
      <c r="E3989" s="141" t="str">
        <f>"96/08/14"</f>
        <v>96/08/14</v>
      </c>
      <c r="F3989" s="141" t="str">
        <f>"96/08/14"</f>
        <v>96/08/14</v>
      </c>
      <c r="G3989" s="141" t="str">
        <f>"1396500348001"</f>
        <v>1396500348001</v>
      </c>
      <c r="H3989" s="140" t="str">
        <f>"Black Gold Traders FZE"</f>
        <v>Black Gold Traders FZE</v>
      </c>
      <c r="I3989" s="141">
        <v>961500522</v>
      </c>
      <c r="J3989" s="131" t="s">
        <v>9742</v>
      </c>
      <c r="K3989" s="142">
        <v>35890</v>
      </c>
    </row>
    <row r="3990" spans="1:11">
      <c r="A3990" s="1" t="str">
        <f t="shared" si="68"/>
        <v>15100-49444796-96150038646400</v>
      </c>
      <c r="B3990" s="141" t="str">
        <f>"15100-494447"</f>
        <v>15100-494447</v>
      </c>
      <c r="C3990" s="141" t="str">
        <f>"494447"</f>
        <v>494447</v>
      </c>
      <c r="D3990" s="132" t="s">
        <v>4971</v>
      </c>
      <c r="E3990" s="141" t="str">
        <f>"96/08/09"</f>
        <v>96/08/09</v>
      </c>
      <c r="F3990" s="141" t="str">
        <f>"96/08/09"</f>
        <v>96/08/09</v>
      </c>
      <c r="G3990" s="141" t="str">
        <f>"1396502696001"</f>
        <v>1396502696001</v>
      </c>
      <c r="H3990" s="140" t="str">
        <f>"LLC Sebco Bitumen"</f>
        <v>LLC Sebco Bitumen</v>
      </c>
      <c r="I3990" s="141">
        <v>961500386</v>
      </c>
      <c r="J3990" s="131" t="s">
        <v>9752</v>
      </c>
      <c r="K3990" s="142">
        <v>46400</v>
      </c>
    </row>
    <row r="3991" spans="1:11">
      <c r="A3991" s="1" t="str">
        <f t="shared" si="68"/>
        <v>15100-49496496-96150038653600</v>
      </c>
      <c r="B3991" s="141" t="str">
        <f>"15100-494964"</f>
        <v>15100-494964</v>
      </c>
      <c r="C3991" s="141" t="str">
        <f>"494964"</f>
        <v>494964</v>
      </c>
      <c r="D3991" s="132" t="s">
        <v>4971</v>
      </c>
      <c r="E3991" s="141" t="str">
        <f>"96/08/10"</f>
        <v>96/08/10</v>
      </c>
      <c r="F3991" s="141" t="str">
        <f>"96/08/10"</f>
        <v>96/08/10</v>
      </c>
      <c r="G3991" s="141" t="str">
        <f>"1396502696001"</f>
        <v>1396502696001</v>
      </c>
      <c r="H3991" s="140" t="str">
        <f>"LLC Sebco Bitumen"</f>
        <v>LLC Sebco Bitumen</v>
      </c>
      <c r="I3991" s="141">
        <v>961500386</v>
      </c>
      <c r="J3991" s="131" t="s">
        <v>9752</v>
      </c>
      <c r="K3991" s="142">
        <v>53600</v>
      </c>
    </row>
    <row r="3992" spans="1:11">
      <c r="A3992" s="1" t="str">
        <f t="shared" si="68"/>
        <v>15100-49286096-9615002915940</v>
      </c>
      <c r="B3992" s="141" t="str">
        <f>"15100-492860"</f>
        <v>15100-492860</v>
      </c>
      <c r="C3992" s="141" t="str">
        <f>"492860"</f>
        <v>492860</v>
      </c>
      <c r="D3992" s="132" t="s">
        <v>4971</v>
      </c>
      <c r="E3992" s="141" t="str">
        <f>"96/08/06"</f>
        <v>96/08/06</v>
      </c>
      <c r="F3992" s="141" t="str">
        <f>"96/08/06"</f>
        <v>96/08/06</v>
      </c>
      <c r="G3992" s="141" t="str">
        <f>"1396498074001"</f>
        <v>1396498074001</v>
      </c>
      <c r="H3992" s="140" t="str">
        <f>"M/S J.K. Khan Group"</f>
        <v>M/S J.K. Khan Group</v>
      </c>
      <c r="I3992" s="141">
        <v>961500291</v>
      </c>
      <c r="J3992" s="131" t="s">
        <v>5994</v>
      </c>
      <c r="K3992" s="142">
        <v>5940</v>
      </c>
    </row>
    <row r="3993" spans="1:11">
      <c r="A3993" s="1" t="str">
        <f t="shared" si="68"/>
        <v>15100-49030996-96150030333030</v>
      </c>
      <c r="B3993" s="141" t="str">
        <f>"15100-490309"</f>
        <v>15100-490309</v>
      </c>
      <c r="C3993" s="141" t="str">
        <f>"490309"</f>
        <v>490309</v>
      </c>
      <c r="D3993" s="132" t="s">
        <v>4971</v>
      </c>
      <c r="E3993" s="141" t="str">
        <f>"96/08/01"</f>
        <v>96/08/01</v>
      </c>
      <c r="F3993" s="141" t="str">
        <f>"96/08/01"</f>
        <v>96/08/01</v>
      </c>
      <c r="G3993" s="141" t="str">
        <f>"1396496232001"</f>
        <v>1396496232001</v>
      </c>
      <c r="H3993" s="140" t="str">
        <f>"LLC Sebco Bitumen"</f>
        <v>LLC Sebco Bitumen</v>
      </c>
      <c r="I3993" s="141">
        <v>961500303</v>
      </c>
      <c r="J3993" s="131" t="s">
        <v>6012</v>
      </c>
      <c r="K3993" s="142">
        <v>33030</v>
      </c>
    </row>
    <row r="3994" spans="1:11">
      <c r="A3994" s="1" t="str">
        <f t="shared" si="68"/>
        <v>15100-49538196-96150058260140</v>
      </c>
      <c r="B3994" s="141" t="str">
        <f>"15100-495381"</f>
        <v>15100-495381</v>
      </c>
      <c r="C3994" s="141" t="str">
        <f>"495381"</f>
        <v>495381</v>
      </c>
      <c r="D3994" s="132" t="s">
        <v>4971</v>
      </c>
      <c r="E3994" s="141" t="str">
        <f t="shared" ref="E3994:F3996" si="69">"96/08/11"</f>
        <v>96/08/11</v>
      </c>
      <c r="F3994" s="141" t="str">
        <f t="shared" si="69"/>
        <v>96/08/11</v>
      </c>
      <c r="G3994" s="141" t="str">
        <f>"1396511683001"</f>
        <v>1396511683001</v>
      </c>
      <c r="H3994" s="140" t="str">
        <f>"M/S J.K. Khan Group"</f>
        <v>M/S J.K. Khan Group</v>
      </c>
      <c r="I3994" s="141">
        <v>961500582</v>
      </c>
      <c r="J3994" s="131" t="s">
        <v>9747</v>
      </c>
      <c r="K3994" s="142">
        <v>60140</v>
      </c>
    </row>
    <row r="3995" spans="1:11">
      <c r="A3995" s="1" t="str">
        <f t="shared" si="68"/>
        <v>15100-49538196-9615005101000</v>
      </c>
      <c r="B3995" s="141" t="str">
        <f>"15100-495381"</f>
        <v>15100-495381</v>
      </c>
      <c r="C3995" s="141" t="str">
        <f>"495381"</f>
        <v>495381</v>
      </c>
      <c r="D3995" s="132" t="s">
        <v>4971</v>
      </c>
      <c r="E3995" s="141" t="str">
        <f t="shared" si="69"/>
        <v>96/08/11</v>
      </c>
      <c r="F3995" s="141" t="str">
        <f t="shared" si="69"/>
        <v>96/08/11</v>
      </c>
      <c r="G3995" s="141" t="str">
        <f>"1396516972001"</f>
        <v>1396516972001</v>
      </c>
      <c r="H3995" s="140" t="str">
        <f>"M/S J.K. Khan Group"</f>
        <v>M/S J.K. Khan Group</v>
      </c>
      <c r="I3995" s="141">
        <v>961500510</v>
      </c>
      <c r="J3995" s="131" t="s">
        <v>8887</v>
      </c>
      <c r="K3995" s="142">
        <v>1000</v>
      </c>
    </row>
    <row r="3996" spans="1:11">
      <c r="A3996" s="1" t="str">
        <f t="shared" si="68"/>
        <v>15100-49538196-96150052413520</v>
      </c>
      <c r="B3996" s="141" t="str">
        <f>"15100-495381"</f>
        <v>15100-495381</v>
      </c>
      <c r="C3996" s="141" t="str">
        <f>"495381"</f>
        <v>495381</v>
      </c>
      <c r="D3996" s="132" t="s">
        <v>4971</v>
      </c>
      <c r="E3996" s="141" t="str">
        <f t="shared" si="69"/>
        <v>96/08/11</v>
      </c>
      <c r="F3996" s="141" t="str">
        <f t="shared" si="69"/>
        <v>96/08/11</v>
      </c>
      <c r="G3996" s="141" t="str">
        <f>"1396511682001"</f>
        <v>1396511682001</v>
      </c>
      <c r="H3996" s="140" t="str">
        <f>"M/S J.K. Khan Group"</f>
        <v>M/S J.K. Khan Group</v>
      </c>
      <c r="I3996" s="141">
        <v>961500524</v>
      </c>
      <c r="J3996" s="131" t="s">
        <v>8900</v>
      </c>
      <c r="K3996" s="142">
        <v>13520</v>
      </c>
    </row>
    <row r="3997" spans="1:11">
      <c r="A3997" s="1" t="str">
        <f t="shared" si="68"/>
        <v>15100-49338496-96150051444120</v>
      </c>
      <c r="B3997" s="141" t="str">
        <f>"15100-493384"</f>
        <v>15100-493384</v>
      </c>
      <c r="C3997" s="141" t="str">
        <f>"493384"</f>
        <v>493384</v>
      </c>
      <c r="D3997" s="132" t="s">
        <v>4971</v>
      </c>
      <c r="E3997" s="141" t="str">
        <f>"96/08/07"</f>
        <v>96/08/07</v>
      </c>
      <c r="F3997" s="141" t="str">
        <f>"96/08/07"</f>
        <v>96/08/07</v>
      </c>
      <c r="G3997" s="141" t="str">
        <f>"1396513213001"</f>
        <v>1396513213001</v>
      </c>
      <c r="H3997" s="140" t="str">
        <f>"DAXON PETROLEUM"</f>
        <v>DAXON PETROLEUM</v>
      </c>
      <c r="I3997" s="141">
        <v>961500514</v>
      </c>
      <c r="J3997" s="131" t="s">
        <v>9740</v>
      </c>
      <c r="K3997" s="142">
        <v>44120</v>
      </c>
    </row>
    <row r="3998" spans="1:11">
      <c r="A3998" s="1" t="str">
        <f t="shared" si="68"/>
        <v>15100-49286096-96150054960060</v>
      </c>
      <c r="B3998" s="141" t="str">
        <f>"15100-492860"</f>
        <v>15100-492860</v>
      </c>
      <c r="C3998" s="141" t="str">
        <f>"492860"</f>
        <v>492860</v>
      </c>
      <c r="D3998" s="132" t="s">
        <v>4971</v>
      </c>
      <c r="E3998" s="141" t="str">
        <f>"96/08/06"</f>
        <v>96/08/06</v>
      </c>
      <c r="F3998" s="141" t="str">
        <f>"96/08/06"</f>
        <v>96/08/06</v>
      </c>
      <c r="G3998" s="141" t="str">
        <f>"1396511683001"</f>
        <v>1396511683001</v>
      </c>
      <c r="H3998" s="140" t="str">
        <f>"M/S J.K. Khan Group"</f>
        <v>M/S J.K. Khan Group</v>
      </c>
      <c r="I3998" s="141">
        <v>961500549</v>
      </c>
      <c r="J3998" s="131" t="s">
        <v>9745</v>
      </c>
      <c r="K3998" s="142">
        <v>60060</v>
      </c>
    </row>
    <row r="3999" spans="1:11">
      <c r="A3999" s="1" t="str">
        <f t="shared" si="68"/>
        <v>15100-49389096-961500396140270</v>
      </c>
      <c r="B3999" s="141" t="str">
        <f>"15100-493890"</f>
        <v>15100-493890</v>
      </c>
      <c r="C3999" s="141" t="str">
        <f>"493890"</f>
        <v>493890</v>
      </c>
      <c r="D3999" s="132" t="s">
        <v>4971</v>
      </c>
      <c r="E3999" s="141" t="str">
        <f>"96/08/08"</f>
        <v>96/08/08</v>
      </c>
      <c r="F3999" s="141" t="str">
        <f>"96/08/08"</f>
        <v>96/08/08</v>
      </c>
      <c r="G3999" s="141" t="str">
        <f>"1396502696001"</f>
        <v>1396502696001</v>
      </c>
      <c r="H3999" s="140" t="str">
        <f>"LLC Sebco Bitumen"</f>
        <v>LLC Sebco Bitumen</v>
      </c>
      <c r="I3999" s="141">
        <v>961500396</v>
      </c>
      <c r="J3999" s="131" t="s">
        <v>6418</v>
      </c>
      <c r="K3999" s="142">
        <v>140270</v>
      </c>
    </row>
    <row r="4000" spans="1:11">
      <c r="A4000" s="1" t="str">
        <f t="shared" si="68"/>
        <v>15100-49538196-96150054918900</v>
      </c>
      <c r="B4000" s="153" t="str">
        <f>"15100-495381"</f>
        <v>15100-495381</v>
      </c>
      <c r="C4000" s="153" t="str">
        <f>"495381"</f>
        <v>495381</v>
      </c>
      <c r="D4000" s="132" t="s">
        <v>4971</v>
      </c>
      <c r="E4000" s="153" t="str">
        <f>"96/08/11"</f>
        <v>96/08/11</v>
      </c>
      <c r="F4000" s="153" t="str">
        <f>"96/08/11"</f>
        <v>96/08/11</v>
      </c>
      <c r="G4000" s="153" t="str">
        <f>"1396511683001"</f>
        <v>1396511683001</v>
      </c>
      <c r="H4000" s="154" t="str">
        <f>"M/S J.K. Khan Group"</f>
        <v>M/S J.K. Khan Group</v>
      </c>
      <c r="I4000" s="153">
        <v>961500549</v>
      </c>
      <c r="J4000" s="131" t="s">
        <v>9745</v>
      </c>
      <c r="K4000" s="155">
        <v>18900</v>
      </c>
    </row>
    <row r="4001" spans="1:11">
      <c r="A4001" s="1" t="str">
        <f t="shared" si="68"/>
        <v>15100-49389096-96150037527190</v>
      </c>
      <c r="B4001" s="141" t="str">
        <f>"15100-493890"</f>
        <v>15100-493890</v>
      </c>
      <c r="C4001" s="141" t="str">
        <f>"493890"</f>
        <v>493890</v>
      </c>
      <c r="D4001" s="132" t="s">
        <v>4971</v>
      </c>
      <c r="E4001" s="141" t="str">
        <f>"96/08/08"</f>
        <v>96/08/08</v>
      </c>
      <c r="F4001" s="141" t="str">
        <f>"96/08/08"</f>
        <v>96/08/08</v>
      </c>
      <c r="G4001" s="141" t="str">
        <f>"1396502696001"</f>
        <v>1396502696001</v>
      </c>
      <c r="H4001" s="140" t="str">
        <f>"LLC Sebco Bitumen"</f>
        <v>LLC Sebco Bitumen</v>
      </c>
      <c r="I4001" s="141">
        <v>961500375</v>
      </c>
      <c r="J4001" s="131" t="s">
        <v>9743</v>
      </c>
      <c r="K4001" s="142">
        <v>27190</v>
      </c>
    </row>
    <row r="4002" spans="1:11">
      <c r="A4002" s="1" t="str">
        <f t="shared" si="68"/>
        <v>15100-49547796-96150052270900</v>
      </c>
      <c r="B4002" s="153" t="str">
        <f>"15100-495477"</f>
        <v>15100-495477</v>
      </c>
      <c r="C4002" s="153" t="str">
        <f>"495477"</f>
        <v>495477</v>
      </c>
      <c r="D4002" s="132" t="s">
        <v>4971</v>
      </c>
      <c r="E4002" s="153" t="str">
        <f>"96/08/11"</f>
        <v>96/08/11</v>
      </c>
      <c r="F4002" s="153" t="str">
        <f>"96/08/11"</f>
        <v>96/08/11</v>
      </c>
      <c r="G4002" s="153" t="str">
        <f>"1396500348001"</f>
        <v>1396500348001</v>
      </c>
      <c r="H4002" s="154" t="str">
        <f>"Black Gold Traders FZE"</f>
        <v>Black Gold Traders FZE</v>
      </c>
      <c r="I4002" s="153">
        <v>961500522</v>
      </c>
      <c r="J4002" s="131" t="s">
        <v>9742</v>
      </c>
      <c r="K4002" s="155">
        <v>70900</v>
      </c>
    </row>
    <row r="4003" spans="1:11">
      <c r="A4003" s="1" t="str">
        <f t="shared" si="68"/>
        <v>15100-49171996-961500455174000</v>
      </c>
      <c r="B4003" s="141" t="str">
        <f>"15100-491719"</f>
        <v>15100-491719</v>
      </c>
      <c r="C4003" s="141" t="str">
        <f>"491719"</f>
        <v>491719</v>
      </c>
      <c r="D4003" s="132" t="s">
        <v>4971</v>
      </c>
      <c r="E4003" s="141" t="str">
        <f>"96/08/03"</f>
        <v>96/08/03</v>
      </c>
      <c r="F4003" s="141" t="str">
        <f>"96/08/03"</f>
        <v>96/08/03</v>
      </c>
      <c r="G4003" s="141" t="str">
        <f>"1396506113001"</f>
        <v>1396506113001</v>
      </c>
      <c r="H4003" s="140" t="str">
        <f>"DAXON PETROLEUM"</f>
        <v>DAXON PETROLEUM</v>
      </c>
      <c r="I4003" s="141">
        <v>961500455</v>
      </c>
      <c r="J4003" s="131" t="s">
        <v>8866</v>
      </c>
      <c r="K4003" s="142">
        <v>174000</v>
      </c>
    </row>
    <row r="4004" spans="1:11">
      <c r="A4004" s="1" t="str">
        <f t="shared" si="68"/>
        <v>15100-49030996-96150031966740</v>
      </c>
      <c r="B4004" s="141" t="str">
        <f>"15100-490309"</f>
        <v>15100-490309</v>
      </c>
      <c r="C4004" s="141" t="str">
        <f>"490309"</f>
        <v>490309</v>
      </c>
      <c r="D4004" s="132" t="s">
        <v>4971</v>
      </c>
      <c r="E4004" s="141" t="str">
        <f>"96/08/01"</f>
        <v>96/08/01</v>
      </c>
      <c r="F4004" s="141" t="str">
        <f>"96/08/01"</f>
        <v>96/08/01</v>
      </c>
      <c r="G4004" s="141" t="str">
        <f>"1396497354001"</f>
        <v>1396497354001</v>
      </c>
      <c r="H4004" s="140" t="str">
        <f>"LLC Sebco Bitumen"</f>
        <v>LLC Sebco Bitumen</v>
      </c>
      <c r="I4004" s="141">
        <v>961500319</v>
      </c>
      <c r="J4004" s="131" t="s">
        <v>6032</v>
      </c>
      <c r="K4004" s="142">
        <v>66740</v>
      </c>
    </row>
    <row r="4005" spans="1:11">
      <c r="A4005" s="1" t="str">
        <f t="shared" si="68"/>
        <v>15100-49030996-96150045975000</v>
      </c>
      <c r="B4005" s="141" t="str">
        <f>"15100-490309"</f>
        <v>15100-490309</v>
      </c>
      <c r="C4005" s="141" t="str">
        <f>"490309"</f>
        <v>490309</v>
      </c>
      <c r="D4005" s="132" t="s">
        <v>4971</v>
      </c>
      <c r="E4005" s="141" t="str">
        <f>"96/08/01"</f>
        <v>96/08/01</v>
      </c>
      <c r="F4005" s="141" t="str">
        <f>"96/08/01"</f>
        <v>96/08/01</v>
      </c>
      <c r="G4005" s="141" t="str">
        <f>"1396511593001"</f>
        <v>1396511593001</v>
      </c>
      <c r="H4005" s="140" t="str">
        <f>"DAXON PETROLEUM"</f>
        <v>DAXON PETROLEUM</v>
      </c>
      <c r="I4005" s="141">
        <v>961500459</v>
      </c>
      <c r="J4005" s="131" t="s">
        <v>9753</v>
      </c>
      <c r="K4005" s="142">
        <v>75000</v>
      </c>
    </row>
    <row r="4006" spans="1:11">
      <c r="A4006" s="1" t="str">
        <f t="shared" si="68"/>
        <v>15100-49209696-96150033872560</v>
      </c>
      <c r="B4006" s="141" t="str">
        <f>"15100-492096"</f>
        <v>15100-492096</v>
      </c>
      <c r="C4006" s="141" t="str">
        <f>"492096"</f>
        <v>492096</v>
      </c>
      <c r="D4006" s="132" t="s">
        <v>4971</v>
      </c>
      <c r="E4006" s="141" t="str">
        <f t="shared" ref="E4006:F4008" si="70">"96/08/04"</f>
        <v>96/08/04</v>
      </c>
      <c r="F4006" s="141" t="str">
        <f t="shared" si="70"/>
        <v>96/08/04</v>
      </c>
      <c r="G4006" s="141" t="str">
        <f>"1396497354001"</f>
        <v>1396497354001</v>
      </c>
      <c r="H4006" s="140" t="str">
        <f>"LLC Sebco Bitumen"</f>
        <v>LLC Sebco Bitumen</v>
      </c>
      <c r="I4006" s="141">
        <v>961500338</v>
      </c>
      <c r="J4006" s="131" t="s">
        <v>6275</v>
      </c>
      <c r="K4006" s="142">
        <v>72560</v>
      </c>
    </row>
    <row r="4007" spans="1:11">
      <c r="A4007" s="1" t="str">
        <f t="shared" si="68"/>
        <v>15100-49209696-961500366104980</v>
      </c>
      <c r="B4007" s="141" t="str">
        <f>"15100-492096"</f>
        <v>15100-492096</v>
      </c>
      <c r="C4007" s="141" t="str">
        <f>"492096"</f>
        <v>492096</v>
      </c>
      <c r="D4007" s="132" t="s">
        <v>4971</v>
      </c>
      <c r="E4007" s="141" t="str">
        <f t="shared" si="70"/>
        <v>96/08/04</v>
      </c>
      <c r="F4007" s="141" t="str">
        <f t="shared" si="70"/>
        <v>96/08/04</v>
      </c>
      <c r="G4007" s="141" t="str">
        <f>"1396502696001"</f>
        <v>1396502696001</v>
      </c>
      <c r="H4007" s="140" t="str">
        <f>"LLC Sebco Bitumen"</f>
        <v>LLC Sebco Bitumen</v>
      </c>
      <c r="I4007" s="141">
        <v>961500366</v>
      </c>
      <c r="J4007" s="131" t="s">
        <v>9754</v>
      </c>
      <c r="K4007" s="142">
        <v>104980</v>
      </c>
    </row>
    <row r="4008" spans="1:11">
      <c r="A4008" s="1" t="str">
        <f t="shared" si="68"/>
        <v>15100-49221696-96150054422260</v>
      </c>
      <c r="B4008" s="141" t="str">
        <f>"15100-492216"</f>
        <v>15100-492216</v>
      </c>
      <c r="C4008" s="141" t="str">
        <f>"492216"</f>
        <v>492216</v>
      </c>
      <c r="D4008" s="132" t="s">
        <v>4971</v>
      </c>
      <c r="E4008" s="141" t="str">
        <f t="shared" si="70"/>
        <v>96/08/04</v>
      </c>
      <c r="F4008" s="141" t="str">
        <f t="shared" si="70"/>
        <v>96/08/04</v>
      </c>
      <c r="G4008" s="141" t="str">
        <f>"1396511682001"</f>
        <v>1396511682001</v>
      </c>
      <c r="H4008" s="140" t="str">
        <f>"M/S J.K. Khan Group"</f>
        <v>M/S J.K. Khan Group</v>
      </c>
      <c r="I4008" s="141">
        <v>961500544</v>
      </c>
      <c r="J4008" s="131" t="s">
        <v>8850</v>
      </c>
      <c r="K4008" s="142">
        <v>22260</v>
      </c>
    </row>
    <row r="4009" spans="1:11">
      <c r="A4009" s="1" t="str">
        <f t="shared" si="68"/>
        <v>15100-49639296-9615004157700</v>
      </c>
      <c r="B4009" s="141" t="str">
        <f>"15100-496392"</f>
        <v>15100-496392</v>
      </c>
      <c r="C4009" s="141" t="str">
        <f>"496392"</f>
        <v>496392</v>
      </c>
      <c r="D4009" s="132" t="s">
        <v>4971</v>
      </c>
      <c r="E4009" s="141" t="str">
        <f>"96/08/14"</f>
        <v>96/08/14</v>
      </c>
      <c r="F4009" s="141" t="str">
        <f>"96/08/14"</f>
        <v>96/08/14</v>
      </c>
      <c r="G4009" s="141" t="str">
        <f>"1396502696001"</f>
        <v>1396502696001</v>
      </c>
      <c r="H4009" s="140" t="str">
        <f>"LLC Sebco Bitumen"</f>
        <v>LLC Sebco Bitumen</v>
      </c>
      <c r="I4009" s="141">
        <v>961500415</v>
      </c>
      <c r="J4009" s="131" t="s">
        <v>6398</v>
      </c>
      <c r="K4009" s="142">
        <v>7700</v>
      </c>
    </row>
    <row r="4010" spans="1:11">
      <c r="A4010" s="1" t="str">
        <f t="shared" si="68"/>
        <v>15100-49639296-9615003774060</v>
      </c>
      <c r="B4010" s="141" t="str">
        <f>"15100-496392"</f>
        <v>15100-496392</v>
      </c>
      <c r="C4010" s="141" t="str">
        <f>"496392"</f>
        <v>496392</v>
      </c>
      <c r="D4010" s="132" t="s">
        <v>4971</v>
      </c>
      <c r="E4010" s="141" t="str">
        <f>"96/08/14"</f>
        <v>96/08/14</v>
      </c>
      <c r="F4010" s="141" t="str">
        <f>"96/08/14"</f>
        <v>96/08/14</v>
      </c>
      <c r="G4010" s="141" t="str">
        <f>"1396502696001"</f>
        <v>1396502696001</v>
      </c>
      <c r="H4010" s="140" t="str">
        <f>"LLC Sebco Bitumen"</f>
        <v>LLC Sebco Bitumen</v>
      </c>
      <c r="I4010" s="141">
        <v>961500377</v>
      </c>
      <c r="J4010" s="131" t="s">
        <v>9755</v>
      </c>
      <c r="K4010" s="142">
        <v>4060</v>
      </c>
    </row>
    <row r="4011" spans="1:11">
      <c r="A4011" s="1" t="str">
        <f t="shared" si="68"/>
        <v>15100-49686896-961500506243740</v>
      </c>
      <c r="B4011" s="141" t="str">
        <f>"15100-496868"</f>
        <v>15100-496868</v>
      </c>
      <c r="C4011" s="141" t="str">
        <f>"496868"</f>
        <v>496868</v>
      </c>
      <c r="D4011" s="132" t="s">
        <v>4971</v>
      </c>
      <c r="E4011" s="141" t="str">
        <f>"96/08/15"</f>
        <v>96/08/15</v>
      </c>
      <c r="F4011" s="141" t="str">
        <f>"96/08/15"</f>
        <v>96/08/15</v>
      </c>
      <c r="G4011" s="141" t="str">
        <f>"1396511639001"</f>
        <v>1396511639001</v>
      </c>
      <c r="H4011" s="140" t="str">
        <f>"SHINING GREEN STAR FZE"</f>
        <v>SHINING GREEN STAR FZE</v>
      </c>
      <c r="I4011" s="141">
        <v>961500506</v>
      </c>
      <c r="J4011" s="131" t="s">
        <v>8857</v>
      </c>
      <c r="K4011" s="142">
        <v>243740</v>
      </c>
    </row>
    <row r="4012" spans="1:11">
      <c r="A4012" s="1" t="str">
        <f t="shared" si="68"/>
        <v>15100-49686896-96150058946490</v>
      </c>
      <c r="B4012" s="141" t="str">
        <f>"15100-496868"</f>
        <v>15100-496868</v>
      </c>
      <c r="C4012" s="141" t="str">
        <f>"496868"</f>
        <v>496868</v>
      </c>
      <c r="D4012" s="132" t="s">
        <v>4971</v>
      </c>
      <c r="E4012" s="141" t="str">
        <f>"96/08/15"</f>
        <v>96/08/15</v>
      </c>
      <c r="F4012" s="141" t="str">
        <f>"96/08/15"</f>
        <v>96/08/15</v>
      </c>
      <c r="G4012" s="141" t="str">
        <f>"1396521454001"</f>
        <v>1396521454001</v>
      </c>
      <c r="H4012" s="140" t="str">
        <f>"M/S J.K. Khan Group"</f>
        <v>M/S J.K. Khan Group</v>
      </c>
      <c r="I4012" s="141">
        <v>961500589</v>
      </c>
      <c r="J4012" s="131" t="s">
        <v>9814</v>
      </c>
      <c r="K4012" s="142">
        <v>46490</v>
      </c>
    </row>
    <row r="4013" spans="1:11">
      <c r="A4013" s="1" t="str">
        <f t="shared" si="68"/>
        <v>15100-49093396-96150031988000</v>
      </c>
      <c r="B4013" s="141" t="str">
        <f>"15100-490933"</f>
        <v>15100-490933</v>
      </c>
      <c r="C4013" s="141" t="str">
        <f>"490933"</f>
        <v>490933</v>
      </c>
      <c r="D4013" s="132" t="s">
        <v>4971</v>
      </c>
      <c r="E4013" s="141" t="str">
        <f>"96/08/02"</f>
        <v>96/08/02</v>
      </c>
      <c r="F4013" s="141" t="str">
        <f>"96/08/02"</f>
        <v>96/08/02</v>
      </c>
      <c r="G4013" s="141" t="str">
        <f>"1396497354001"</f>
        <v>1396497354001</v>
      </c>
      <c r="H4013" s="140" t="str">
        <f>"LLC Sebco Bitumen"</f>
        <v>LLC Sebco Bitumen</v>
      </c>
      <c r="I4013" s="141">
        <v>961500319</v>
      </c>
      <c r="J4013" s="131" t="s">
        <v>6032</v>
      </c>
      <c r="K4013" s="142">
        <v>88000</v>
      </c>
    </row>
    <row r="4014" spans="1:11">
      <c r="A4014" s="1" t="str">
        <f t="shared" si="68"/>
        <v>15100-49100896-96150032325490</v>
      </c>
      <c r="B4014" s="157" t="str">
        <f>"15100-491008"</f>
        <v>15100-491008</v>
      </c>
      <c r="C4014" s="157" t="str">
        <f>"491008"</f>
        <v>491008</v>
      </c>
      <c r="D4014" s="132" t="s">
        <v>4971</v>
      </c>
      <c r="E4014" s="157" t="str">
        <f>"96/08/02"</f>
        <v>96/08/02</v>
      </c>
      <c r="F4014" s="157" t="str">
        <f>"96/08/02"</f>
        <v>96/08/02</v>
      </c>
      <c r="G4014" s="157" t="str">
        <f>"1396497354001"</f>
        <v>1396497354001</v>
      </c>
      <c r="H4014" s="158" t="str">
        <f>"LLC Sebco Bitumen"</f>
        <v>LLC Sebco Bitumen</v>
      </c>
      <c r="I4014" s="157">
        <v>961500323</v>
      </c>
      <c r="J4014" s="131" t="s">
        <v>6044</v>
      </c>
      <c r="K4014" s="159">
        <v>25490</v>
      </c>
    </row>
    <row r="4015" spans="1:11">
      <c r="A4015" s="1" t="str">
        <f t="shared" si="68"/>
        <v>15100-49204296-96150051123660</v>
      </c>
      <c r="B4015" s="141" t="str">
        <f>"15100-492042"</f>
        <v>15100-492042</v>
      </c>
      <c r="C4015" s="141" t="str">
        <f>"492042"</f>
        <v>492042</v>
      </c>
      <c r="D4015" s="132" t="s">
        <v>4971</v>
      </c>
      <c r="E4015" s="141" t="str">
        <f>"96/08/04"</f>
        <v>96/08/04</v>
      </c>
      <c r="F4015" s="141" t="str">
        <f>"96/08/04"</f>
        <v>96/08/04</v>
      </c>
      <c r="G4015" s="141" t="str">
        <f>"1396516771001"</f>
        <v>1396516771001</v>
      </c>
      <c r="H4015" s="140" t="str">
        <f>"Shahab llc"</f>
        <v>Shahab llc</v>
      </c>
      <c r="I4015" s="141">
        <v>961500511</v>
      </c>
      <c r="J4015" s="131" t="s">
        <v>8872</v>
      </c>
      <c r="K4015" s="142">
        <v>23660</v>
      </c>
    </row>
    <row r="4016" spans="1:11">
      <c r="A4016" s="1" t="str">
        <f t="shared" si="68"/>
        <v>15100-49204296-96150042169420</v>
      </c>
      <c r="B4016" s="141" t="str">
        <f>"15100-492042"</f>
        <v>15100-492042</v>
      </c>
      <c r="C4016" s="141" t="str">
        <f>"492042"</f>
        <v>492042</v>
      </c>
      <c r="D4016" s="132" t="s">
        <v>4971</v>
      </c>
      <c r="E4016" s="141" t="str">
        <f>"96/08/04"</f>
        <v>96/08/04</v>
      </c>
      <c r="F4016" s="141" t="str">
        <f>"96/08/04"</f>
        <v>96/08/04</v>
      </c>
      <c r="G4016" s="141" t="str">
        <f>"1396502986001"</f>
        <v>1396502986001</v>
      </c>
      <c r="H4016" s="140" t="str">
        <f>"Black Gold Traders FZE"</f>
        <v>Black Gold Traders FZE</v>
      </c>
      <c r="I4016" s="141">
        <v>961500421</v>
      </c>
      <c r="J4016" s="131" t="s">
        <v>8853</v>
      </c>
      <c r="K4016" s="142">
        <v>69420</v>
      </c>
    </row>
    <row r="4017" spans="1:11">
      <c r="A4017" s="1" t="str">
        <f t="shared" si="68"/>
        <v>15100-49099696-96150045593110</v>
      </c>
      <c r="B4017" s="153" t="str">
        <f>"15100-490996"</f>
        <v>15100-490996</v>
      </c>
      <c r="C4017" s="153" t="str">
        <f>"490996"</f>
        <v>490996</v>
      </c>
      <c r="D4017" s="132" t="s">
        <v>4971</v>
      </c>
      <c r="E4017" s="153" t="str">
        <f>"96/08/02"</f>
        <v>96/08/02</v>
      </c>
      <c r="F4017" s="153" t="str">
        <f>"96/08/02"</f>
        <v>96/08/02</v>
      </c>
      <c r="G4017" s="153" t="str">
        <f>"1396506113001"</f>
        <v>1396506113001</v>
      </c>
      <c r="H4017" s="154" t="str">
        <f>"DAXON PETROLEUM"</f>
        <v>DAXON PETROLEUM</v>
      </c>
      <c r="I4017" s="153">
        <v>961500455</v>
      </c>
      <c r="J4017" s="131" t="s">
        <v>8866</v>
      </c>
      <c r="K4017" s="155">
        <v>93110</v>
      </c>
    </row>
    <row r="4018" spans="1:11">
      <c r="A4018" s="1" t="str">
        <f t="shared" si="68"/>
        <v>15100-49099696-96150032346980</v>
      </c>
      <c r="B4018" s="141" t="str">
        <f>"15100-490996"</f>
        <v>15100-490996</v>
      </c>
      <c r="C4018" s="141" t="str">
        <f>"490996"</f>
        <v>490996</v>
      </c>
      <c r="D4018" s="132" t="s">
        <v>4971</v>
      </c>
      <c r="E4018" s="141" t="str">
        <f>"96/08/02"</f>
        <v>96/08/02</v>
      </c>
      <c r="F4018" s="141" t="str">
        <f>"96/08/02"</f>
        <v>96/08/02</v>
      </c>
      <c r="G4018" s="141" t="str">
        <f>"1396497354001"</f>
        <v>1396497354001</v>
      </c>
      <c r="H4018" s="140" t="str">
        <f>"LLC Sebco Bitumen"</f>
        <v>LLC Sebco Bitumen</v>
      </c>
      <c r="I4018" s="141">
        <v>961500323</v>
      </c>
      <c r="J4018" s="131" t="s">
        <v>6044</v>
      </c>
      <c r="K4018" s="142">
        <v>46980</v>
      </c>
    </row>
    <row r="4019" spans="1:11">
      <c r="A4019" s="1" t="str">
        <f t="shared" si="68"/>
        <v>15100-49170496-961500323202530</v>
      </c>
      <c r="B4019" s="141" t="str">
        <f>"15100-491704"</f>
        <v>15100-491704</v>
      </c>
      <c r="C4019" s="141" t="str">
        <f>"491704"</f>
        <v>491704</v>
      </c>
      <c r="D4019" s="132" t="s">
        <v>4971</v>
      </c>
      <c r="E4019" s="141" t="str">
        <f t="shared" ref="E4019:F4021" si="71">"96/08/03"</f>
        <v>96/08/03</v>
      </c>
      <c r="F4019" s="141" t="str">
        <f t="shared" si="71"/>
        <v>96/08/03</v>
      </c>
      <c r="G4019" s="141" t="str">
        <f>"1396497354001"</f>
        <v>1396497354001</v>
      </c>
      <c r="H4019" s="140" t="str">
        <f>"LLC Sebco Bitumen"</f>
        <v>LLC Sebco Bitumen</v>
      </c>
      <c r="I4019" s="141">
        <v>961500323</v>
      </c>
      <c r="J4019" s="131" t="s">
        <v>6044</v>
      </c>
      <c r="K4019" s="142">
        <v>202530</v>
      </c>
    </row>
    <row r="4020" spans="1:11">
      <c r="A4020" s="1" t="str">
        <f t="shared" si="68"/>
        <v>15100-49170496-96150036625020</v>
      </c>
      <c r="B4020" s="141" t="str">
        <f>"15100-491704"</f>
        <v>15100-491704</v>
      </c>
      <c r="C4020" s="141" t="str">
        <f>"491704"</f>
        <v>491704</v>
      </c>
      <c r="D4020" s="132" t="s">
        <v>4971</v>
      </c>
      <c r="E4020" s="141" t="str">
        <f t="shared" si="71"/>
        <v>96/08/03</v>
      </c>
      <c r="F4020" s="141" t="str">
        <f t="shared" si="71"/>
        <v>96/08/03</v>
      </c>
      <c r="G4020" s="141" t="str">
        <f>"1396502696001"</f>
        <v>1396502696001</v>
      </c>
      <c r="H4020" s="140" t="str">
        <f>"LLC Sebco Bitumen"</f>
        <v>LLC Sebco Bitumen</v>
      </c>
      <c r="I4020" s="141">
        <v>961500366</v>
      </c>
      <c r="J4020" s="131" t="s">
        <v>9754</v>
      </c>
      <c r="K4020" s="142">
        <v>25020</v>
      </c>
    </row>
    <row r="4021" spans="1:11">
      <c r="A4021" s="1" t="str">
        <f t="shared" si="68"/>
        <v>15100-49170496-9615003197470</v>
      </c>
      <c r="B4021" s="141" t="str">
        <f>"15100-491704"</f>
        <v>15100-491704</v>
      </c>
      <c r="C4021" s="141" t="str">
        <f>"491704"</f>
        <v>491704</v>
      </c>
      <c r="D4021" s="132" t="s">
        <v>4971</v>
      </c>
      <c r="E4021" s="141" t="str">
        <f t="shared" si="71"/>
        <v>96/08/03</v>
      </c>
      <c r="F4021" s="141" t="str">
        <f t="shared" si="71"/>
        <v>96/08/03</v>
      </c>
      <c r="G4021" s="141" t="str">
        <f>"1396497354001"</f>
        <v>1396497354001</v>
      </c>
      <c r="H4021" s="140" t="str">
        <f>"LLC Sebco Bitumen"</f>
        <v>LLC Sebco Bitumen</v>
      </c>
      <c r="I4021" s="141">
        <v>961500319</v>
      </c>
      <c r="J4021" s="131" t="s">
        <v>6032</v>
      </c>
      <c r="K4021" s="142">
        <v>7470</v>
      </c>
    </row>
    <row r="4022" spans="1:11">
      <c r="A4022" s="1" t="str">
        <f t="shared" si="68"/>
        <v>15100-49389096-961500377175940</v>
      </c>
      <c r="B4022" s="141" t="str">
        <f>"15100-493890"</f>
        <v>15100-493890</v>
      </c>
      <c r="C4022" s="141" t="str">
        <f>"493890"</f>
        <v>493890</v>
      </c>
      <c r="D4022" s="132" t="s">
        <v>4971</v>
      </c>
      <c r="E4022" s="141" t="str">
        <f>"96/08/08"</f>
        <v>96/08/08</v>
      </c>
      <c r="F4022" s="141" t="str">
        <f>"96/08/08"</f>
        <v>96/08/08</v>
      </c>
      <c r="G4022" s="141" t="str">
        <f>"1396502696001"</f>
        <v>1396502696001</v>
      </c>
      <c r="H4022" s="140" t="str">
        <f>"LLC Sebco Bitumen"</f>
        <v>LLC Sebco Bitumen</v>
      </c>
      <c r="I4022" s="141">
        <v>961500377</v>
      </c>
      <c r="J4022" s="131" t="s">
        <v>9755</v>
      </c>
      <c r="K4022" s="142">
        <v>175940</v>
      </c>
    </row>
    <row r="4023" spans="1:11">
      <c r="A4023" s="1" t="str">
        <f t="shared" si="68"/>
        <v>15100-49286096-9615003185620</v>
      </c>
      <c r="B4023" s="153" t="str">
        <f>"15100-492860"</f>
        <v>15100-492860</v>
      </c>
      <c r="C4023" s="153" t="str">
        <f>"492860"</f>
        <v>492860</v>
      </c>
      <c r="D4023" s="132" t="s">
        <v>4971</v>
      </c>
      <c r="E4023" s="153" t="str">
        <f>"96/08/06"</f>
        <v>96/08/06</v>
      </c>
      <c r="F4023" s="153" t="str">
        <f>"96/08/06"</f>
        <v>96/08/06</v>
      </c>
      <c r="G4023" s="153" t="str">
        <f>"1396500345001"</f>
        <v>1396500345001</v>
      </c>
      <c r="H4023" s="154" t="str">
        <f>"M/S J.K. Khan Group"</f>
        <v>M/S J.K. Khan Group</v>
      </c>
      <c r="I4023" s="153">
        <v>961500318</v>
      </c>
      <c r="J4023" s="131" t="s">
        <v>6031</v>
      </c>
      <c r="K4023" s="155">
        <v>5620</v>
      </c>
    </row>
    <row r="4024" spans="1:11">
      <c r="A4024" s="1" t="str">
        <f t="shared" si="68"/>
        <v>15100-49220496-961500338177440</v>
      </c>
      <c r="B4024" s="141" t="str">
        <f>"15100-492204"</f>
        <v>15100-492204</v>
      </c>
      <c r="C4024" s="141" t="str">
        <f>"492204"</f>
        <v>492204</v>
      </c>
      <c r="D4024" s="132" t="s">
        <v>4971</v>
      </c>
      <c r="E4024" s="141" t="str">
        <f t="shared" ref="E4024:F4027" si="72">"96/08/04"</f>
        <v>96/08/04</v>
      </c>
      <c r="F4024" s="141" t="str">
        <f t="shared" si="72"/>
        <v>96/08/04</v>
      </c>
      <c r="G4024" s="141" t="str">
        <f>"1396497354001"</f>
        <v>1396497354001</v>
      </c>
      <c r="H4024" s="140" t="str">
        <f>"LLC Sebco Bitumen"</f>
        <v>LLC Sebco Bitumen</v>
      </c>
      <c r="I4024" s="141">
        <v>961500338</v>
      </c>
      <c r="J4024" s="131" t="s">
        <v>6275</v>
      </c>
      <c r="K4024" s="142">
        <v>177440</v>
      </c>
    </row>
    <row r="4025" spans="1:11">
      <c r="A4025" s="1" t="str">
        <f t="shared" si="68"/>
        <v>15100-49220496-961500455125860</v>
      </c>
      <c r="B4025" s="141" t="str">
        <f>"15100-492204"</f>
        <v>15100-492204</v>
      </c>
      <c r="C4025" s="141" t="str">
        <f>"492204"</f>
        <v>492204</v>
      </c>
      <c r="D4025" s="132" t="s">
        <v>4971</v>
      </c>
      <c r="E4025" s="141" t="str">
        <f t="shared" si="72"/>
        <v>96/08/04</v>
      </c>
      <c r="F4025" s="141" t="str">
        <f t="shared" si="72"/>
        <v>96/08/04</v>
      </c>
      <c r="G4025" s="141" t="str">
        <f>"1396506113001"</f>
        <v>1396506113001</v>
      </c>
      <c r="H4025" s="140" t="str">
        <f>"DAXON PETROLEUM"</f>
        <v>DAXON PETROLEUM</v>
      </c>
      <c r="I4025" s="141">
        <v>961500455</v>
      </c>
      <c r="J4025" s="131" t="s">
        <v>8866</v>
      </c>
      <c r="K4025" s="142">
        <v>125860</v>
      </c>
    </row>
    <row r="4026" spans="1:11">
      <c r="A4026" s="1" t="str">
        <f t="shared" si="68"/>
        <v>15100-49221696-96150051551440</v>
      </c>
      <c r="B4026" s="141" t="str">
        <f>"15100-492216"</f>
        <v>15100-492216</v>
      </c>
      <c r="C4026" s="141" t="str">
        <f>"492216"</f>
        <v>492216</v>
      </c>
      <c r="D4026" s="132" t="s">
        <v>4971</v>
      </c>
      <c r="E4026" s="141" t="str">
        <f t="shared" si="72"/>
        <v>96/08/04</v>
      </c>
      <c r="F4026" s="141" t="str">
        <f t="shared" si="72"/>
        <v>96/08/04</v>
      </c>
      <c r="G4026" s="141" t="str">
        <f>"1396513011001"</f>
        <v>1396513011001</v>
      </c>
      <c r="H4026" s="140" t="str">
        <f>"DAXON PETROLEUM"</f>
        <v>DAXON PETROLEUM</v>
      </c>
      <c r="I4026" s="141">
        <v>961500515</v>
      </c>
      <c r="J4026" s="131" t="s">
        <v>9744</v>
      </c>
      <c r="K4026" s="142">
        <v>51440</v>
      </c>
    </row>
    <row r="4027" spans="1:11">
      <c r="A4027" s="1" t="str">
        <f t="shared" si="68"/>
        <v>15100-49209696-961500346130330</v>
      </c>
      <c r="B4027" s="141" t="str">
        <f>"15100-492096"</f>
        <v>15100-492096</v>
      </c>
      <c r="C4027" s="141" t="str">
        <f>"492096"</f>
        <v>492096</v>
      </c>
      <c r="D4027" s="132" t="s">
        <v>4971</v>
      </c>
      <c r="E4027" s="141" t="str">
        <f t="shared" si="72"/>
        <v>96/08/04</v>
      </c>
      <c r="F4027" s="141" t="str">
        <f t="shared" si="72"/>
        <v>96/08/04</v>
      </c>
      <c r="G4027" s="141" t="str">
        <f>"1396497354001"</f>
        <v>1396497354001</v>
      </c>
      <c r="H4027" s="140" t="str">
        <f>"LLC Sebco Bitumen"</f>
        <v>LLC Sebco Bitumen</v>
      </c>
      <c r="I4027" s="141">
        <v>961500346</v>
      </c>
      <c r="J4027" s="131" t="s">
        <v>9738</v>
      </c>
      <c r="K4027" s="142">
        <v>130330</v>
      </c>
    </row>
    <row r="4028" spans="1:11">
      <c r="A4028" s="1" t="str">
        <f t="shared" si="68"/>
        <v>15100-49021896-96150031924460</v>
      </c>
      <c r="B4028" s="141" t="s">
        <v>9757</v>
      </c>
      <c r="C4028" s="141" t="s">
        <v>11927</v>
      </c>
      <c r="D4028" s="132" t="s">
        <v>4971</v>
      </c>
      <c r="E4028" s="141" t="s">
        <v>8774</v>
      </c>
      <c r="F4028" s="141" t="s">
        <v>8774</v>
      </c>
      <c r="G4028" s="141" t="s">
        <v>5831</v>
      </c>
      <c r="H4028" s="140" t="s">
        <v>6298</v>
      </c>
      <c r="I4028" s="141">
        <v>961500319</v>
      </c>
      <c r="J4028" s="131" t="s">
        <v>6032</v>
      </c>
      <c r="K4028" s="142">
        <v>24460</v>
      </c>
    </row>
    <row r="4029" spans="1:11">
      <c r="A4029" s="1" t="str">
        <f t="shared" si="68"/>
        <v>15100-49021896-96150033231020</v>
      </c>
      <c r="B4029" s="141" t="s">
        <v>9757</v>
      </c>
      <c r="C4029" s="141" t="s">
        <v>11927</v>
      </c>
      <c r="D4029" s="132" t="s">
        <v>4971</v>
      </c>
      <c r="E4029" s="141" t="s">
        <v>8774</v>
      </c>
      <c r="F4029" s="141" t="s">
        <v>8774</v>
      </c>
      <c r="G4029" s="141" t="s">
        <v>7258</v>
      </c>
      <c r="H4029" s="140" t="s">
        <v>6299</v>
      </c>
      <c r="I4029" s="141">
        <v>961500332</v>
      </c>
      <c r="J4029" s="131" t="s">
        <v>6272</v>
      </c>
      <c r="K4029" s="142">
        <v>31020</v>
      </c>
    </row>
    <row r="4030" spans="1:11">
      <c r="A4030" s="1" t="str">
        <f t="shared" si="68"/>
        <v>15100-49021896-96150054463110</v>
      </c>
      <c r="B4030" s="141" t="s">
        <v>9757</v>
      </c>
      <c r="C4030" s="141" t="s">
        <v>11927</v>
      </c>
      <c r="D4030" s="132" t="s">
        <v>4971</v>
      </c>
      <c r="E4030" s="141" t="s">
        <v>8774</v>
      </c>
      <c r="F4030" s="141" t="s">
        <v>8774</v>
      </c>
      <c r="G4030" s="141" t="s">
        <v>8727</v>
      </c>
      <c r="H4030" s="140" t="s">
        <v>6299</v>
      </c>
      <c r="I4030" s="141">
        <v>961500544</v>
      </c>
      <c r="J4030" s="131" t="s">
        <v>8850</v>
      </c>
      <c r="K4030" s="142">
        <v>63110</v>
      </c>
    </row>
    <row r="4031" spans="1:11">
      <c r="A4031" s="1" t="str">
        <f t="shared" si="68"/>
        <v>15100-49021896-96150031315590</v>
      </c>
      <c r="B4031" s="141" t="s">
        <v>9757</v>
      </c>
      <c r="C4031" s="141" t="s">
        <v>11927</v>
      </c>
      <c r="D4031" s="132" t="s">
        <v>4971</v>
      </c>
      <c r="E4031" s="141" t="s">
        <v>8774</v>
      </c>
      <c r="F4031" s="141" t="s">
        <v>8774</v>
      </c>
      <c r="G4031" s="141" t="s">
        <v>5831</v>
      </c>
      <c r="H4031" s="140" t="s">
        <v>6298</v>
      </c>
      <c r="I4031" s="141">
        <v>961500313</v>
      </c>
      <c r="J4031" s="131" t="s">
        <v>6024</v>
      </c>
      <c r="K4031" s="142">
        <v>15590</v>
      </c>
    </row>
    <row r="4032" spans="1:11">
      <c r="A4032" s="1" t="str">
        <f t="shared" si="68"/>
        <v>15100-49021896-961500306150700</v>
      </c>
      <c r="B4032" s="141" t="s">
        <v>9757</v>
      </c>
      <c r="C4032" s="141" t="s">
        <v>11927</v>
      </c>
      <c r="D4032" s="132" t="s">
        <v>4971</v>
      </c>
      <c r="E4032" s="141" t="s">
        <v>8774</v>
      </c>
      <c r="F4032" s="141" t="s">
        <v>8774</v>
      </c>
      <c r="G4032" s="141" t="s">
        <v>5826</v>
      </c>
      <c r="H4032" s="140" t="s">
        <v>6298</v>
      </c>
      <c r="I4032" s="141">
        <v>961500306</v>
      </c>
      <c r="J4032" s="131" t="s">
        <v>6015</v>
      </c>
      <c r="K4032" s="142">
        <v>150700</v>
      </c>
    </row>
    <row r="4033" spans="1:11">
      <c r="A4033" s="1" t="str">
        <f t="shared" si="68"/>
        <v>15100-49096396-96150042149840</v>
      </c>
      <c r="B4033" s="141" t="s">
        <v>9758</v>
      </c>
      <c r="C4033" s="141" t="s">
        <v>11928</v>
      </c>
      <c r="D4033" s="132" t="s">
        <v>4971</v>
      </c>
      <c r="E4033" s="141" t="s">
        <v>8760</v>
      </c>
      <c r="F4033" s="141" t="s">
        <v>9933</v>
      </c>
      <c r="G4033" s="141" t="s">
        <v>7237</v>
      </c>
      <c r="H4033" s="140" t="s">
        <v>6300</v>
      </c>
      <c r="I4033" s="141">
        <v>961500421</v>
      </c>
      <c r="J4033" s="131" t="s">
        <v>8853</v>
      </c>
      <c r="K4033" s="142">
        <v>49840</v>
      </c>
    </row>
    <row r="4034" spans="1:11">
      <c r="A4034" s="1" t="str">
        <f t="shared" si="68"/>
        <v>15100-44153796-96150017374320</v>
      </c>
      <c r="B4034" s="141" t="s">
        <v>9806</v>
      </c>
      <c r="C4034" s="141" t="s">
        <v>11929</v>
      </c>
      <c r="D4034" s="132" t="s">
        <v>4971</v>
      </c>
      <c r="E4034" s="141" t="s">
        <v>5558</v>
      </c>
      <c r="F4034" s="141" t="s">
        <v>5558</v>
      </c>
      <c r="G4034" s="141" t="s">
        <v>5807</v>
      </c>
      <c r="H4034" s="140" t="s">
        <v>6300</v>
      </c>
      <c r="I4034" s="141">
        <v>961500173</v>
      </c>
      <c r="J4034" s="131" t="s">
        <v>5594</v>
      </c>
      <c r="K4034" s="142">
        <v>74320</v>
      </c>
    </row>
    <row r="4035" spans="1:11">
      <c r="A4035" s="1" t="str">
        <f t="shared" ref="A4035:A4098" si="73">B4035&amp;J4035&amp;K4035</f>
        <v>15100-45601496-96150021475880</v>
      </c>
      <c r="B4035" s="141" t="s">
        <v>9807</v>
      </c>
      <c r="C4035" s="141" t="s">
        <v>11930</v>
      </c>
      <c r="D4035" s="132" t="s">
        <v>4971</v>
      </c>
      <c r="E4035" s="141" t="s">
        <v>5848</v>
      </c>
      <c r="F4035" s="141" t="s">
        <v>5848</v>
      </c>
      <c r="G4035" s="141" t="s">
        <v>5813</v>
      </c>
      <c r="H4035" s="140" t="s">
        <v>6298</v>
      </c>
      <c r="I4035" s="141">
        <v>961500214</v>
      </c>
      <c r="J4035" s="131" t="s">
        <v>5905</v>
      </c>
      <c r="K4035" s="142">
        <v>75880</v>
      </c>
    </row>
    <row r="4036" spans="1:11">
      <c r="A4036" s="1" t="str">
        <f t="shared" si="73"/>
        <v>15100-48649696-96150030648860</v>
      </c>
      <c r="B4036" s="141" t="s">
        <v>9808</v>
      </c>
      <c r="C4036" s="141" t="s">
        <v>11931</v>
      </c>
      <c r="D4036" s="132" t="s">
        <v>4971</v>
      </c>
      <c r="E4036" s="141" t="s">
        <v>8830</v>
      </c>
      <c r="F4036" s="141" t="s">
        <v>8830</v>
      </c>
      <c r="G4036" s="141" t="s">
        <v>5826</v>
      </c>
      <c r="H4036" s="140" t="s">
        <v>6298</v>
      </c>
      <c r="I4036" s="141">
        <v>961500306</v>
      </c>
      <c r="J4036" s="131" t="s">
        <v>6015</v>
      </c>
      <c r="K4036" s="142">
        <v>48860</v>
      </c>
    </row>
    <row r="4037" spans="1:11">
      <c r="A4037" s="1" t="str">
        <f t="shared" si="73"/>
        <v>15100-48649696-961500307163000</v>
      </c>
      <c r="B4037" s="141" t="s">
        <v>9808</v>
      </c>
      <c r="C4037" s="141" t="s">
        <v>11931</v>
      </c>
      <c r="D4037" s="132" t="s">
        <v>4971</v>
      </c>
      <c r="E4037" s="141" t="s">
        <v>8830</v>
      </c>
      <c r="F4037" s="141" t="s">
        <v>8830</v>
      </c>
      <c r="G4037" s="141" t="s">
        <v>5826</v>
      </c>
      <c r="H4037" s="140" t="s">
        <v>6298</v>
      </c>
      <c r="I4037" s="141">
        <v>961500307</v>
      </c>
      <c r="J4037" s="131" t="s">
        <v>9809</v>
      </c>
      <c r="K4037" s="142">
        <v>163000</v>
      </c>
    </row>
    <row r="4038" spans="1:11">
      <c r="A4038" s="1" t="str">
        <f t="shared" si="73"/>
        <v>15100-48651896-96150029324600</v>
      </c>
      <c r="B4038" s="141" t="s">
        <v>9810</v>
      </c>
      <c r="C4038" s="141" t="s">
        <v>11932</v>
      </c>
      <c r="D4038" s="132" t="s">
        <v>4971</v>
      </c>
      <c r="E4038" s="141" t="s">
        <v>8830</v>
      </c>
      <c r="F4038" s="141" t="s">
        <v>8830</v>
      </c>
      <c r="G4038" s="141" t="s">
        <v>5826</v>
      </c>
      <c r="H4038" s="140" t="s">
        <v>6298</v>
      </c>
      <c r="I4038" s="141">
        <v>961500293</v>
      </c>
      <c r="J4038" s="131" t="s">
        <v>5996</v>
      </c>
      <c r="K4038" s="142">
        <v>24600</v>
      </c>
    </row>
    <row r="4039" spans="1:11">
      <c r="A4039" s="1" t="str">
        <f t="shared" si="73"/>
        <v>15100-50257996-96150050595920</v>
      </c>
      <c r="B4039" s="141" t="s">
        <v>9920</v>
      </c>
      <c r="C4039" s="141" t="s">
        <v>11933</v>
      </c>
      <c r="D4039" s="132" t="s">
        <v>4971</v>
      </c>
      <c r="E4039" s="141" t="s">
        <v>9759</v>
      </c>
      <c r="F4039" s="141" t="s">
        <v>9759</v>
      </c>
      <c r="G4039" s="141" t="s">
        <v>7114</v>
      </c>
      <c r="H4039" s="140" t="s">
        <v>6454</v>
      </c>
      <c r="I4039" s="141">
        <v>961500505</v>
      </c>
      <c r="J4039" s="131" t="s">
        <v>8877</v>
      </c>
      <c r="K4039" s="142">
        <v>95920</v>
      </c>
    </row>
    <row r="4040" spans="1:11">
      <c r="A4040" s="1" t="str">
        <f t="shared" si="73"/>
        <v>15100-50257696-9615005059500</v>
      </c>
      <c r="B4040" s="141" t="s">
        <v>9921</v>
      </c>
      <c r="C4040" s="141" t="s">
        <v>11934</v>
      </c>
      <c r="D4040" s="132" t="s">
        <v>4971</v>
      </c>
      <c r="E4040" s="141" t="s">
        <v>9759</v>
      </c>
      <c r="F4040" s="141" t="s">
        <v>9759</v>
      </c>
      <c r="G4040" s="141" t="s">
        <v>7114</v>
      </c>
      <c r="H4040" s="140" t="s">
        <v>6454</v>
      </c>
      <c r="I4040" s="141">
        <v>961500505</v>
      </c>
      <c r="J4040" s="131" t="s">
        <v>8877</v>
      </c>
      <c r="K4040" s="142">
        <v>9500</v>
      </c>
    </row>
    <row r="4041" spans="1:11">
      <c r="A4041" s="1" t="str">
        <f t="shared" si="73"/>
        <v>15100-50138996-961500488146300</v>
      </c>
      <c r="B4041" s="141" t="s">
        <v>9922</v>
      </c>
      <c r="C4041" s="141" t="s">
        <v>11935</v>
      </c>
      <c r="D4041" s="132" t="s">
        <v>4971</v>
      </c>
      <c r="E4041" s="141" t="s">
        <v>9817</v>
      </c>
      <c r="F4041" s="141" t="s">
        <v>9817</v>
      </c>
      <c r="G4041" s="141" t="s">
        <v>7111</v>
      </c>
      <c r="H4041" s="140" t="s">
        <v>6298</v>
      </c>
      <c r="I4041" s="141">
        <v>961500488</v>
      </c>
      <c r="J4041" s="131" t="s">
        <v>9923</v>
      </c>
      <c r="K4041" s="142">
        <v>146300</v>
      </c>
    </row>
    <row r="4042" spans="1:11">
      <c r="A4042" s="1" t="str">
        <f t="shared" si="73"/>
        <v>15100-50195196-961500488102019</v>
      </c>
      <c r="B4042" s="141" t="s">
        <v>9924</v>
      </c>
      <c r="C4042" s="141" t="s">
        <v>11936</v>
      </c>
      <c r="D4042" s="132" t="s">
        <v>4971</v>
      </c>
      <c r="E4042" s="141" t="s">
        <v>9925</v>
      </c>
      <c r="F4042" s="141" t="s">
        <v>9925</v>
      </c>
      <c r="G4042" s="157" t="s">
        <v>7111</v>
      </c>
      <c r="H4042" s="158" t="s">
        <v>6298</v>
      </c>
      <c r="I4042" s="157">
        <v>961500488</v>
      </c>
      <c r="J4042" s="131" t="s">
        <v>9923</v>
      </c>
      <c r="K4042" s="159">
        <v>102019</v>
      </c>
    </row>
    <row r="4043" spans="1:11">
      <c r="A4043" s="1" t="str">
        <f t="shared" si="73"/>
        <v>15100-50195196-9615004256291</v>
      </c>
      <c r="B4043" s="141" t="s">
        <v>9924</v>
      </c>
      <c r="C4043" s="141" t="s">
        <v>11936</v>
      </c>
      <c r="D4043" s="132" t="s">
        <v>4971</v>
      </c>
      <c r="E4043" s="141" t="s">
        <v>9925</v>
      </c>
      <c r="F4043" s="156" t="s">
        <v>9925</v>
      </c>
      <c r="G4043" s="141" t="s">
        <v>7233</v>
      </c>
      <c r="H4043" s="140" t="s">
        <v>6453</v>
      </c>
      <c r="I4043" s="141">
        <v>961500425</v>
      </c>
      <c r="J4043" s="131" t="s">
        <v>8909</v>
      </c>
      <c r="K4043" s="142">
        <v>6291</v>
      </c>
    </row>
    <row r="4044" spans="1:11">
      <c r="A4044" s="1" t="str">
        <f t="shared" si="73"/>
        <v>15100-50195196-96150042613770</v>
      </c>
      <c r="B4044" s="141" t="s">
        <v>9924</v>
      </c>
      <c r="C4044" s="141" t="s">
        <v>11936</v>
      </c>
      <c r="D4044" s="132" t="s">
        <v>4971</v>
      </c>
      <c r="E4044" s="141" t="s">
        <v>9925</v>
      </c>
      <c r="F4044" s="156" t="s">
        <v>9925</v>
      </c>
      <c r="G4044" s="141" t="s">
        <v>7233</v>
      </c>
      <c r="H4044" s="140" t="s">
        <v>6453</v>
      </c>
      <c r="I4044" s="141">
        <v>961500426</v>
      </c>
      <c r="J4044" s="131" t="s">
        <v>7246</v>
      </c>
      <c r="K4044" s="142">
        <v>13770</v>
      </c>
    </row>
    <row r="4045" spans="1:11">
      <c r="A4045" s="1" t="str">
        <f t="shared" si="73"/>
        <v>15100-50193396-961500425159799</v>
      </c>
      <c r="B4045" s="141" t="s">
        <v>9926</v>
      </c>
      <c r="C4045" s="141" t="s">
        <v>11937</v>
      </c>
      <c r="D4045" s="132" t="s">
        <v>4971</v>
      </c>
      <c r="E4045" s="141" t="s">
        <v>9925</v>
      </c>
      <c r="F4045" s="156" t="s">
        <v>9925</v>
      </c>
      <c r="G4045" s="141" t="s">
        <v>7233</v>
      </c>
      <c r="H4045" s="140" t="s">
        <v>6453</v>
      </c>
      <c r="I4045" s="141">
        <v>961500425</v>
      </c>
      <c r="J4045" s="131" t="s">
        <v>8909</v>
      </c>
      <c r="K4045" s="142">
        <v>159799</v>
      </c>
    </row>
    <row r="4046" spans="1:11">
      <c r="A4046" s="1" t="str">
        <f t="shared" si="73"/>
        <v>15100-49791496-96150058922560</v>
      </c>
      <c r="B4046" s="136" t="s">
        <v>9812</v>
      </c>
      <c r="C4046" s="136" t="s">
        <v>11938</v>
      </c>
      <c r="D4046" s="132" t="s">
        <v>4971</v>
      </c>
      <c r="E4046" s="136" t="s">
        <v>9813</v>
      </c>
      <c r="F4046" s="136" t="s">
        <v>9813</v>
      </c>
      <c r="G4046" s="153" t="s">
        <v>9775</v>
      </c>
      <c r="H4046" s="154" t="s">
        <v>6299</v>
      </c>
      <c r="I4046" s="153">
        <v>961500589</v>
      </c>
      <c r="J4046" s="131" t="s">
        <v>9814</v>
      </c>
      <c r="K4046" s="155">
        <v>22560</v>
      </c>
    </row>
    <row r="4047" spans="1:11">
      <c r="A4047" s="1" t="str">
        <f t="shared" si="73"/>
        <v>15100-50137796-9615004645820</v>
      </c>
      <c r="B4047" s="136" t="s">
        <v>9816</v>
      </c>
      <c r="C4047" s="136" t="s">
        <v>11939</v>
      </c>
      <c r="D4047" s="132" t="s">
        <v>4971</v>
      </c>
      <c r="E4047" s="136" t="s">
        <v>9817</v>
      </c>
      <c r="F4047" s="136" t="s">
        <v>9817</v>
      </c>
      <c r="G4047" s="136" t="s">
        <v>7255</v>
      </c>
      <c r="H4047" s="138" t="s">
        <v>6454</v>
      </c>
      <c r="I4047" s="136">
        <v>961500464</v>
      </c>
      <c r="J4047" s="131" t="s">
        <v>8861</v>
      </c>
      <c r="K4047" s="139">
        <v>5820</v>
      </c>
    </row>
    <row r="4048" spans="1:11">
      <c r="A4048" s="1" t="str">
        <f t="shared" si="73"/>
        <v>15100-49922296-96150048692580</v>
      </c>
      <c r="B4048" s="136" t="s">
        <v>9818</v>
      </c>
      <c r="C4048" s="136" t="s">
        <v>11940</v>
      </c>
      <c r="D4048" s="132" t="s">
        <v>4971</v>
      </c>
      <c r="E4048" s="136" t="s">
        <v>9819</v>
      </c>
      <c r="F4048" s="136" t="s">
        <v>9819</v>
      </c>
      <c r="G4048" s="157" t="s">
        <v>7111</v>
      </c>
      <c r="H4048" s="158" t="s">
        <v>6298</v>
      </c>
      <c r="I4048" s="157">
        <v>961500486</v>
      </c>
      <c r="J4048" s="131" t="s">
        <v>9820</v>
      </c>
      <c r="K4048" s="159">
        <v>92580</v>
      </c>
    </row>
    <row r="4049" spans="1:11">
      <c r="A4049" s="1" t="str">
        <f t="shared" si="73"/>
        <v>15100-50137796-961500402204640</v>
      </c>
      <c r="B4049" s="136" t="s">
        <v>9816</v>
      </c>
      <c r="C4049" s="136" t="s">
        <v>11939</v>
      </c>
      <c r="D4049" s="132" t="s">
        <v>4971</v>
      </c>
      <c r="E4049" s="136" t="s">
        <v>9817</v>
      </c>
      <c r="F4049" s="147" t="s">
        <v>9817</v>
      </c>
      <c r="G4049" s="141" t="s">
        <v>7233</v>
      </c>
      <c r="H4049" s="140" t="s">
        <v>6453</v>
      </c>
      <c r="I4049" s="141">
        <v>961500402</v>
      </c>
      <c r="J4049" s="131" t="s">
        <v>9749</v>
      </c>
      <c r="K4049" s="142">
        <v>204640</v>
      </c>
    </row>
    <row r="4050" spans="1:11">
      <c r="A4050" s="1" t="str">
        <f t="shared" si="73"/>
        <v>15100-49966496-96150052375960</v>
      </c>
      <c r="B4050" s="136" t="s">
        <v>9927</v>
      </c>
      <c r="C4050" s="136" t="s">
        <v>11941</v>
      </c>
      <c r="D4050" s="132" t="s">
        <v>4971</v>
      </c>
      <c r="E4050" s="136" t="s">
        <v>9832</v>
      </c>
      <c r="F4050" s="136" t="s">
        <v>9832</v>
      </c>
      <c r="G4050" s="131" t="s">
        <v>5842</v>
      </c>
      <c r="H4050" s="134" t="s">
        <v>6300</v>
      </c>
      <c r="I4050" s="131">
        <v>961500523</v>
      </c>
      <c r="J4050" s="131" t="s">
        <v>9833</v>
      </c>
      <c r="K4050" s="135">
        <v>75960</v>
      </c>
    </row>
    <row r="4051" spans="1:11">
      <c r="A4051" s="1" t="str">
        <f t="shared" si="73"/>
        <v>15100-50025496-96150052325090</v>
      </c>
      <c r="B4051" s="141" t="s">
        <v>9928</v>
      </c>
      <c r="C4051" s="141" t="s">
        <v>11942</v>
      </c>
      <c r="D4051" s="132" t="s">
        <v>4971</v>
      </c>
      <c r="E4051" s="141" t="s">
        <v>9929</v>
      </c>
      <c r="F4051" s="141" t="s">
        <v>9929</v>
      </c>
      <c r="G4051" s="141" t="s">
        <v>5842</v>
      </c>
      <c r="H4051" s="140" t="s">
        <v>6300</v>
      </c>
      <c r="I4051" s="141">
        <v>961500523</v>
      </c>
      <c r="J4051" s="131" t="s">
        <v>9833</v>
      </c>
      <c r="K4051" s="142">
        <v>25090</v>
      </c>
    </row>
    <row r="4052" spans="1:11">
      <c r="A4052" s="1" t="str">
        <f t="shared" si="73"/>
        <v>15100-50083096-961500450118830</v>
      </c>
      <c r="B4052" s="136" t="s">
        <v>9821</v>
      </c>
      <c r="C4052" s="136" t="s">
        <v>11943</v>
      </c>
      <c r="D4052" s="132" t="s">
        <v>4971</v>
      </c>
      <c r="E4052" s="136" t="s">
        <v>9822</v>
      </c>
      <c r="F4052" s="141" t="s">
        <v>9822</v>
      </c>
      <c r="G4052" s="141" t="s">
        <v>7175</v>
      </c>
      <c r="H4052" s="140" t="s">
        <v>6298</v>
      </c>
      <c r="I4052" s="141">
        <v>961500450</v>
      </c>
      <c r="J4052" s="131" t="s">
        <v>9748</v>
      </c>
      <c r="K4052" s="142">
        <v>118830</v>
      </c>
    </row>
    <row r="4053" spans="1:11">
      <c r="A4053" s="1" t="str">
        <f t="shared" si="73"/>
        <v>15100-49776496-96150048649310</v>
      </c>
      <c r="B4053" s="136" t="s">
        <v>9823</v>
      </c>
      <c r="C4053" s="136" t="s">
        <v>11944</v>
      </c>
      <c r="D4053" s="132" t="s">
        <v>4971</v>
      </c>
      <c r="E4053" s="136" t="s">
        <v>9813</v>
      </c>
      <c r="F4053" s="136" t="s">
        <v>9813</v>
      </c>
      <c r="G4053" s="141" t="s">
        <v>7111</v>
      </c>
      <c r="H4053" s="140" t="s">
        <v>6298</v>
      </c>
      <c r="I4053" s="141">
        <v>961500486</v>
      </c>
      <c r="J4053" s="131" t="s">
        <v>9820</v>
      </c>
      <c r="K4053" s="142">
        <v>49310</v>
      </c>
    </row>
    <row r="4054" spans="1:11">
      <c r="A4054" s="1" t="str">
        <f t="shared" si="73"/>
        <v>15100-49831996-96150048617700</v>
      </c>
      <c r="B4054" s="136" t="s">
        <v>9824</v>
      </c>
      <c r="C4054" s="136" t="s">
        <v>11945</v>
      </c>
      <c r="D4054" s="132" t="s">
        <v>4971</v>
      </c>
      <c r="E4054" s="136" t="s">
        <v>9825</v>
      </c>
      <c r="F4054" s="136" t="s">
        <v>9825</v>
      </c>
      <c r="G4054" s="141" t="s">
        <v>7111</v>
      </c>
      <c r="H4054" s="140" t="s">
        <v>6298</v>
      </c>
      <c r="I4054" s="141">
        <v>961500486</v>
      </c>
      <c r="J4054" s="131" t="s">
        <v>9820</v>
      </c>
      <c r="K4054" s="142">
        <v>17700</v>
      </c>
    </row>
    <row r="4055" spans="1:11">
      <c r="A4055" s="1" t="str">
        <f t="shared" si="73"/>
        <v>15100-49871396-9615005746530</v>
      </c>
      <c r="B4055" s="136" t="s">
        <v>9826</v>
      </c>
      <c r="C4055" s="136" t="s">
        <v>11946</v>
      </c>
      <c r="D4055" s="132" t="s">
        <v>4971</v>
      </c>
      <c r="E4055" s="136" t="s">
        <v>9827</v>
      </c>
      <c r="F4055" s="141" t="s">
        <v>9827</v>
      </c>
      <c r="G4055" s="157" t="s">
        <v>7118</v>
      </c>
      <c r="H4055" s="158" t="s">
        <v>6454</v>
      </c>
      <c r="I4055" s="157">
        <v>961500574</v>
      </c>
      <c r="J4055" s="131" t="s">
        <v>9739</v>
      </c>
      <c r="K4055" s="159">
        <v>6530</v>
      </c>
    </row>
    <row r="4056" spans="1:11">
      <c r="A4056" s="1" t="str">
        <f t="shared" si="73"/>
        <v>15100-50193396-961500412101721</v>
      </c>
      <c r="B4056" s="141" t="s">
        <v>9926</v>
      </c>
      <c r="C4056" s="141" t="s">
        <v>11937</v>
      </c>
      <c r="D4056" s="132" t="s">
        <v>4971</v>
      </c>
      <c r="E4056" s="141" t="s">
        <v>9925</v>
      </c>
      <c r="F4056" s="156" t="s">
        <v>9925</v>
      </c>
      <c r="G4056" s="141" t="s">
        <v>7233</v>
      </c>
      <c r="H4056" s="140" t="s">
        <v>6453</v>
      </c>
      <c r="I4056" s="141">
        <v>961500412</v>
      </c>
      <c r="J4056" s="131" t="s">
        <v>6376</v>
      </c>
      <c r="K4056" s="142">
        <v>101721</v>
      </c>
    </row>
    <row r="4057" spans="1:11">
      <c r="A4057" s="1" t="str">
        <f t="shared" si="73"/>
        <v>15100-49871396-96150048688470</v>
      </c>
      <c r="B4057" s="136" t="s">
        <v>9826</v>
      </c>
      <c r="C4057" s="136" t="s">
        <v>11946</v>
      </c>
      <c r="D4057" s="132" t="s">
        <v>4971</v>
      </c>
      <c r="E4057" s="136" t="s">
        <v>9827</v>
      </c>
      <c r="F4057" s="136" t="s">
        <v>9827</v>
      </c>
      <c r="G4057" s="153" t="s">
        <v>7111</v>
      </c>
      <c r="H4057" s="154" t="s">
        <v>6298</v>
      </c>
      <c r="I4057" s="153">
        <v>961500486</v>
      </c>
      <c r="J4057" s="131" t="s">
        <v>9820</v>
      </c>
      <c r="K4057" s="155">
        <v>88470</v>
      </c>
    </row>
    <row r="4058" spans="1:11">
      <c r="A4058" s="1" t="str">
        <f t="shared" si="73"/>
        <v>15100-50257696-961500501109500</v>
      </c>
      <c r="B4058" s="141" t="s">
        <v>9921</v>
      </c>
      <c r="C4058" s="141" t="s">
        <v>11934</v>
      </c>
      <c r="D4058" s="132" t="s">
        <v>4971</v>
      </c>
      <c r="E4058" s="141" t="s">
        <v>9759</v>
      </c>
      <c r="F4058" s="141" t="s">
        <v>9759</v>
      </c>
      <c r="G4058" s="141" t="s">
        <v>7121</v>
      </c>
      <c r="H4058" s="140" t="s">
        <v>6454</v>
      </c>
      <c r="I4058" s="141">
        <v>961500501</v>
      </c>
      <c r="J4058" s="131" t="s">
        <v>8891</v>
      </c>
      <c r="K4058" s="142">
        <v>109500</v>
      </c>
    </row>
    <row r="4059" spans="1:11">
      <c r="A4059" s="1" t="str">
        <f t="shared" si="73"/>
        <v>15100-49775596-96150048651080</v>
      </c>
      <c r="B4059" s="136" t="s">
        <v>9828</v>
      </c>
      <c r="C4059" s="136" t="s">
        <v>11947</v>
      </c>
      <c r="D4059" s="132" t="s">
        <v>4971</v>
      </c>
      <c r="E4059" s="136" t="s">
        <v>9813</v>
      </c>
      <c r="F4059" s="136" t="s">
        <v>9813</v>
      </c>
      <c r="G4059" s="157" t="s">
        <v>7111</v>
      </c>
      <c r="H4059" s="158" t="s">
        <v>6298</v>
      </c>
      <c r="I4059" s="157">
        <v>961500486</v>
      </c>
      <c r="J4059" s="131" t="s">
        <v>9820</v>
      </c>
      <c r="K4059" s="159">
        <v>51080</v>
      </c>
    </row>
    <row r="4060" spans="1:11">
      <c r="A4060" s="1" t="str">
        <f t="shared" si="73"/>
        <v>15100-49723396-96150042510750</v>
      </c>
      <c r="B4060" s="136" t="s">
        <v>9829</v>
      </c>
      <c r="C4060" s="136" t="s">
        <v>11948</v>
      </c>
      <c r="D4060" s="132" t="s">
        <v>4971</v>
      </c>
      <c r="E4060" s="136" t="s">
        <v>9830</v>
      </c>
      <c r="F4060" s="147" t="s">
        <v>9830</v>
      </c>
      <c r="G4060" s="141" t="s">
        <v>7233</v>
      </c>
      <c r="H4060" s="140" t="s">
        <v>6453</v>
      </c>
      <c r="I4060" s="141">
        <v>961500425</v>
      </c>
      <c r="J4060" s="131" t="s">
        <v>8909</v>
      </c>
      <c r="K4060" s="142">
        <v>10750</v>
      </c>
    </row>
    <row r="4061" spans="1:11">
      <c r="A4061" s="1" t="str">
        <f t="shared" si="73"/>
        <v>15100-49968596-961500523108190</v>
      </c>
      <c r="B4061" s="141" t="s">
        <v>9831</v>
      </c>
      <c r="C4061" s="141" t="s">
        <v>11949</v>
      </c>
      <c r="D4061" s="132" t="s">
        <v>4971</v>
      </c>
      <c r="E4061" s="141" t="s">
        <v>9832</v>
      </c>
      <c r="F4061" s="141" t="s">
        <v>9832</v>
      </c>
      <c r="G4061" s="153" t="s">
        <v>5842</v>
      </c>
      <c r="H4061" s="154" t="s">
        <v>6300</v>
      </c>
      <c r="I4061" s="153">
        <v>961500523</v>
      </c>
      <c r="J4061" s="131" t="s">
        <v>9833</v>
      </c>
      <c r="K4061" s="155">
        <v>108190</v>
      </c>
    </row>
    <row r="4062" spans="1:11">
      <c r="A4062" s="1" t="str">
        <f t="shared" si="73"/>
        <v>15100-49968596-96150045096330</v>
      </c>
      <c r="B4062" s="141" t="s">
        <v>9831</v>
      </c>
      <c r="C4062" s="141" t="s">
        <v>11949</v>
      </c>
      <c r="D4062" s="132" t="s">
        <v>4971</v>
      </c>
      <c r="E4062" s="141" t="s">
        <v>9832</v>
      </c>
      <c r="F4062" s="141" t="s">
        <v>9832</v>
      </c>
      <c r="G4062" s="141" t="s">
        <v>7175</v>
      </c>
      <c r="H4062" s="140" t="s">
        <v>6298</v>
      </c>
      <c r="I4062" s="141">
        <v>961500450</v>
      </c>
      <c r="J4062" s="131" t="s">
        <v>9748</v>
      </c>
      <c r="K4062" s="142">
        <v>96330</v>
      </c>
    </row>
    <row r="4063" spans="1:11">
      <c r="A4063" s="1" t="str">
        <f t="shared" si="73"/>
        <v>15100-49723396-96150050612590</v>
      </c>
      <c r="B4063" s="136" t="s">
        <v>9829</v>
      </c>
      <c r="C4063" s="136" t="s">
        <v>11948</v>
      </c>
      <c r="D4063" s="132" t="s">
        <v>4971</v>
      </c>
      <c r="E4063" s="136" t="s">
        <v>9830</v>
      </c>
      <c r="F4063" s="136" t="s">
        <v>9830</v>
      </c>
      <c r="G4063" s="141" t="s">
        <v>8497</v>
      </c>
      <c r="H4063" s="140" t="s">
        <v>6453</v>
      </c>
      <c r="I4063" s="141">
        <v>961500506</v>
      </c>
      <c r="J4063" s="131" t="s">
        <v>8857</v>
      </c>
      <c r="K4063" s="142">
        <v>12590</v>
      </c>
    </row>
    <row r="4064" spans="1:11">
      <c r="A4064" s="1" t="str">
        <f t="shared" si="73"/>
        <v>15100-49968596-96150052216770</v>
      </c>
      <c r="B4064" s="141" t="s">
        <v>9831</v>
      </c>
      <c r="C4064" s="141" t="s">
        <v>11949</v>
      </c>
      <c r="D4064" s="132" t="s">
        <v>4971</v>
      </c>
      <c r="E4064" s="141" t="s">
        <v>9832</v>
      </c>
      <c r="F4064" s="141" t="s">
        <v>9832</v>
      </c>
      <c r="G4064" s="141" t="s">
        <v>5842</v>
      </c>
      <c r="H4064" s="140" t="s">
        <v>6300</v>
      </c>
      <c r="I4064" s="141">
        <v>961500522</v>
      </c>
      <c r="J4064" s="131" t="s">
        <v>9742</v>
      </c>
      <c r="K4064" s="142">
        <v>16770</v>
      </c>
    </row>
    <row r="4065" spans="1:11">
      <c r="A4065" s="1" t="str">
        <f t="shared" si="73"/>
        <v>15100-49968596-9615004862860</v>
      </c>
      <c r="B4065" s="141" t="s">
        <v>9831</v>
      </c>
      <c r="C4065" s="141" t="s">
        <v>11949</v>
      </c>
      <c r="D4065" s="132" t="s">
        <v>4971</v>
      </c>
      <c r="E4065" s="141" t="s">
        <v>9832</v>
      </c>
      <c r="F4065" s="141" t="s">
        <v>9832</v>
      </c>
      <c r="G4065" s="141" t="s">
        <v>7111</v>
      </c>
      <c r="H4065" s="140" t="s">
        <v>6298</v>
      </c>
      <c r="I4065" s="141">
        <v>961500486</v>
      </c>
      <c r="J4065" s="131" t="s">
        <v>9820</v>
      </c>
      <c r="K4065" s="142">
        <v>2860</v>
      </c>
    </row>
    <row r="4066" spans="1:11">
      <c r="A4066" s="1" t="str">
        <f t="shared" si="73"/>
        <v>15100-49922596-961500542125530</v>
      </c>
      <c r="B4066" s="141" t="s">
        <v>9930</v>
      </c>
      <c r="C4066" s="141" t="s">
        <v>11950</v>
      </c>
      <c r="D4066" s="132" t="s">
        <v>4971</v>
      </c>
      <c r="E4066" s="141" t="s">
        <v>9819</v>
      </c>
      <c r="F4066" s="141" t="s">
        <v>9819</v>
      </c>
      <c r="G4066" s="141" t="s">
        <v>5854</v>
      </c>
      <c r="H4066" s="140" t="s">
        <v>8859</v>
      </c>
      <c r="I4066" s="141">
        <v>961500542</v>
      </c>
      <c r="J4066" s="131" t="s">
        <v>8858</v>
      </c>
      <c r="K4066" s="142">
        <v>125530</v>
      </c>
    </row>
    <row r="4067" spans="1:11">
      <c r="A4067" s="1" t="str">
        <f t="shared" si="73"/>
        <v>15100-49968596-96150054220450</v>
      </c>
      <c r="B4067" s="141" t="s">
        <v>9831</v>
      </c>
      <c r="C4067" s="141" t="s">
        <v>11949</v>
      </c>
      <c r="D4067" s="132" t="s">
        <v>4971</v>
      </c>
      <c r="E4067" s="141" t="s">
        <v>9832</v>
      </c>
      <c r="F4067" s="141" t="s">
        <v>9832</v>
      </c>
      <c r="G4067" s="141" t="s">
        <v>5854</v>
      </c>
      <c r="H4067" s="140" t="s">
        <v>8859</v>
      </c>
      <c r="I4067" s="141">
        <v>961500542</v>
      </c>
      <c r="J4067" s="131" t="s">
        <v>8858</v>
      </c>
      <c r="K4067" s="142">
        <v>20450</v>
      </c>
    </row>
    <row r="4068" spans="1:11">
      <c r="A4068" s="1" t="str">
        <f t="shared" si="73"/>
        <v>15100-49864396-96150058945460</v>
      </c>
      <c r="B4068" s="136" t="s">
        <v>9834</v>
      </c>
      <c r="C4068" s="136" t="s">
        <v>11951</v>
      </c>
      <c r="D4068" s="132" t="s">
        <v>4971</v>
      </c>
      <c r="E4068" s="136" t="s">
        <v>9827</v>
      </c>
      <c r="F4068" s="136" t="s">
        <v>9827</v>
      </c>
      <c r="G4068" s="141" t="s">
        <v>9775</v>
      </c>
      <c r="H4068" s="140" t="s">
        <v>6299</v>
      </c>
      <c r="I4068" s="141">
        <v>961500589</v>
      </c>
      <c r="J4068" s="131" t="s">
        <v>9814</v>
      </c>
      <c r="K4068" s="142">
        <v>45460</v>
      </c>
    </row>
    <row r="4069" spans="1:11">
      <c r="A4069" s="1" t="str">
        <f t="shared" si="73"/>
        <v>15100-50026996-96150052340760</v>
      </c>
      <c r="B4069" s="126" t="s">
        <v>10146</v>
      </c>
      <c r="C4069" s="126" t="s">
        <v>11952</v>
      </c>
      <c r="D4069" s="132" t="s">
        <v>4971</v>
      </c>
      <c r="E4069" s="126" t="s">
        <v>9929</v>
      </c>
      <c r="F4069" s="126" t="s">
        <v>9929</v>
      </c>
      <c r="G4069" s="126" t="s">
        <v>5842</v>
      </c>
      <c r="H4069" s="167" t="s">
        <v>6300</v>
      </c>
      <c r="I4069" s="126">
        <v>961500523</v>
      </c>
      <c r="J4069" s="131" t="s">
        <v>9833</v>
      </c>
      <c r="K4069" s="168">
        <v>40760</v>
      </c>
    </row>
    <row r="4070" spans="1:11">
      <c r="A4070" s="1" t="str">
        <f t="shared" si="73"/>
        <v>15100-50026996-96150045056880</v>
      </c>
      <c r="B4070" s="126" t="s">
        <v>10146</v>
      </c>
      <c r="C4070" s="126" t="s">
        <v>11952</v>
      </c>
      <c r="D4070" s="132" t="s">
        <v>4971</v>
      </c>
      <c r="E4070" s="126" t="s">
        <v>9929</v>
      </c>
      <c r="F4070" s="126" t="s">
        <v>9929</v>
      </c>
      <c r="G4070" s="169" t="s">
        <v>7175</v>
      </c>
      <c r="H4070" s="170" t="s">
        <v>6298</v>
      </c>
      <c r="I4070" s="169">
        <v>961500450</v>
      </c>
      <c r="J4070" s="131" t="s">
        <v>9748</v>
      </c>
      <c r="K4070" s="171">
        <v>56880</v>
      </c>
    </row>
    <row r="4071" spans="1:11">
      <c r="A4071" s="1" t="str">
        <f t="shared" si="73"/>
        <v>15100-50137796-96150041223520</v>
      </c>
      <c r="B4071" s="136" t="s">
        <v>9816</v>
      </c>
      <c r="C4071" s="136" t="s">
        <v>11939</v>
      </c>
      <c r="D4071" s="132" t="s">
        <v>4971</v>
      </c>
      <c r="E4071" s="136" t="s">
        <v>9817</v>
      </c>
      <c r="F4071" s="147" t="s">
        <v>9817</v>
      </c>
      <c r="G4071" s="141" t="s">
        <v>7233</v>
      </c>
      <c r="H4071" s="140" t="s">
        <v>6453</v>
      </c>
      <c r="I4071" s="141">
        <v>961500412</v>
      </c>
      <c r="J4071" s="131" t="s">
        <v>6376</v>
      </c>
      <c r="K4071" s="142">
        <v>23520</v>
      </c>
    </row>
    <row r="4072" spans="1:11">
      <c r="A4072" s="1" t="str">
        <f t="shared" si="73"/>
        <v>15100-49830196-96150057496580</v>
      </c>
      <c r="B4072" s="141" t="s">
        <v>9931</v>
      </c>
      <c r="C4072" s="141" t="s">
        <v>11953</v>
      </c>
      <c r="D4072" s="132" t="s">
        <v>4971</v>
      </c>
      <c r="E4072" s="141" t="s">
        <v>9825</v>
      </c>
      <c r="F4072" s="141" t="s">
        <v>9825</v>
      </c>
      <c r="G4072" s="153" t="s">
        <v>7118</v>
      </c>
      <c r="H4072" s="154" t="s">
        <v>6454</v>
      </c>
      <c r="I4072" s="153">
        <v>961500574</v>
      </c>
      <c r="J4072" s="131" t="s">
        <v>9739</v>
      </c>
      <c r="K4072" s="155">
        <v>96580</v>
      </c>
    </row>
    <row r="4073" spans="1:11">
      <c r="A4073" s="1" t="str">
        <f t="shared" si="73"/>
        <v>15100-49830196-96150058970440</v>
      </c>
      <c r="B4073" s="141" t="s">
        <v>9931</v>
      </c>
      <c r="C4073" s="141" t="s">
        <v>11953</v>
      </c>
      <c r="D4073" s="132" t="s">
        <v>4971</v>
      </c>
      <c r="E4073" s="141" t="s">
        <v>9825</v>
      </c>
      <c r="F4073" s="141" t="s">
        <v>9825</v>
      </c>
      <c r="G4073" s="141" t="s">
        <v>9775</v>
      </c>
      <c r="H4073" s="140" t="s">
        <v>6299</v>
      </c>
      <c r="I4073" s="141">
        <v>961500589</v>
      </c>
      <c r="J4073" s="131" t="s">
        <v>9814</v>
      </c>
      <c r="K4073" s="142">
        <v>70440</v>
      </c>
    </row>
    <row r="4074" spans="1:11">
      <c r="A4074" s="1" t="str">
        <f t="shared" si="73"/>
        <v>15100-50078596-96150055525000</v>
      </c>
      <c r="B4074" s="141" t="s">
        <v>10081</v>
      </c>
      <c r="C4074" s="141" t="s">
        <v>11954</v>
      </c>
      <c r="D4074" s="132" t="s">
        <v>4971</v>
      </c>
      <c r="E4074" s="141" t="s">
        <v>9822</v>
      </c>
      <c r="F4074" s="141" t="s">
        <v>9822</v>
      </c>
      <c r="G4074" s="141" t="s">
        <v>8725</v>
      </c>
      <c r="H4074" s="140" t="s">
        <v>6454</v>
      </c>
      <c r="I4074" s="141">
        <v>961500555</v>
      </c>
      <c r="J4074" s="131" t="s">
        <v>10082</v>
      </c>
      <c r="K4074" s="142">
        <v>25000</v>
      </c>
    </row>
    <row r="4075" spans="1:11">
      <c r="A4075" s="1" t="str">
        <f t="shared" si="73"/>
        <v>15100-50078596-96150055644180</v>
      </c>
      <c r="B4075" s="141" t="s">
        <v>10081</v>
      </c>
      <c r="C4075" s="141" t="s">
        <v>11954</v>
      </c>
      <c r="D4075" s="132" t="s">
        <v>4971</v>
      </c>
      <c r="E4075" s="141" t="s">
        <v>9822</v>
      </c>
      <c r="F4075" s="141" t="s">
        <v>9822</v>
      </c>
      <c r="G4075" s="141" t="s">
        <v>8726</v>
      </c>
      <c r="H4075" s="140" t="s">
        <v>6454</v>
      </c>
      <c r="I4075" s="141">
        <v>961500556</v>
      </c>
      <c r="J4075" s="131" t="s">
        <v>10083</v>
      </c>
      <c r="K4075" s="142">
        <v>44180</v>
      </c>
    </row>
    <row r="4076" spans="1:11">
      <c r="A4076" s="1" t="str">
        <f t="shared" si="73"/>
        <v>15100-50078596-96150051450860</v>
      </c>
      <c r="B4076" s="141" t="s">
        <v>10081</v>
      </c>
      <c r="C4076" s="141" t="s">
        <v>11954</v>
      </c>
      <c r="D4076" s="132" t="s">
        <v>4971</v>
      </c>
      <c r="E4076" s="141" t="s">
        <v>9822</v>
      </c>
      <c r="F4076" s="141" t="s">
        <v>9822</v>
      </c>
      <c r="G4076" s="141" t="s">
        <v>7114</v>
      </c>
      <c r="H4076" s="140" t="s">
        <v>6454</v>
      </c>
      <c r="I4076" s="141">
        <v>961500514</v>
      </c>
      <c r="J4076" s="131" t="s">
        <v>9740</v>
      </c>
      <c r="K4076" s="142">
        <v>50860</v>
      </c>
    </row>
    <row r="4077" spans="1:11">
      <c r="A4077" s="1" t="str">
        <f t="shared" si="73"/>
        <v>15100-49831996-96150010583030</v>
      </c>
      <c r="B4077" s="136" t="s">
        <v>9824</v>
      </c>
      <c r="C4077" s="136" t="s">
        <v>11945</v>
      </c>
      <c r="D4077" s="132" t="s">
        <v>4971</v>
      </c>
      <c r="E4077" s="136" t="s">
        <v>9825</v>
      </c>
      <c r="F4077" s="141" t="s">
        <v>9825</v>
      </c>
      <c r="G4077" s="141" t="s">
        <v>5802</v>
      </c>
      <c r="H4077" s="140" t="s">
        <v>8845</v>
      </c>
      <c r="I4077" s="141">
        <v>961500105</v>
      </c>
      <c r="J4077" s="131" t="s">
        <v>5087</v>
      </c>
      <c r="K4077" s="142">
        <v>83030</v>
      </c>
    </row>
    <row r="4078" spans="1:11">
      <c r="A4078" s="1" t="str">
        <f t="shared" si="73"/>
        <v>50100-949033296-961500349166977</v>
      </c>
      <c r="B4078" s="141" t="str">
        <f>"50100-9490332"</f>
        <v>50100-9490332</v>
      </c>
      <c r="C4078" s="141" t="str">
        <f>"9490332"</f>
        <v>9490332</v>
      </c>
      <c r="D4078" s="132" t="s">
        <v>4971</v>
      </c>
      <c r="E4078" s="141" t="str">
        <f>"96/08/27"</f>
        <v>96/08/27</v>
      </c>
      <c r="F4078" s="141" t="str">
        <f>"96/08/27"</f>
        <v>96/08/27</v>
      </c>
      <c r="G4078" s="141" t="str">
        <f>"1396497354001"</f>
        <v>1396497354001</v>
      </c>
      <c r="H4078" s="140" t="str">
        <f>"LLC Sebco Bitumen"</f>
        <v>LLC Sebco Bitumen</v>
      </c>
      <c r="I4078" s="141">
        <v>961500349</v>
      </c>
      <c r="J4078" s="131" t="s">
        <v>9733</v>
      </c>
      <c r="K4078" s="142">
        <v>166977</v>
      </c>
    </row>
    <row r="4079" spans="1:11">
      <c r="A4079" s="1" t="str">
        <f t="shared" si="73"/>
        <v>50100-949033296-96150038826560</v>
      </c>
      <c r="B4079" s="141" t="str">
        <f>"50100-9490332"</f>
        <v>50100-9490332</v>
      </c>
      <c r="C4079" s="141" t="str">
        <f>"9490332"</f>
        <v>9490332</v>
      </c>
      <c r="D4079" s="132" t="s">
        <v>4971</v>
      </c>
      <c r="E4079" s="141" t="str">
        <f>"96/08/27"</f>
        <v>96/08/27</v>
      </c>
      <c r="F4079" s="141" t="str">
        <f>"96/08/27"</f>
        <v>96/08/27</v>
      </c>
      <c r="G4079" s="141" t="str">
        <f>"1396502696001"</f>
        <v>1396502696001</v>
      </c>
      <c r="H4079" s="140" t="str">
        <f>"LLC Sebco Bitumen"</f>
        <v>LLC Sebco Bitumen</v>
      </c>
      <c r="I4079" s="141">
        <v>961500388</v>
      </c>
      <c r="J4079" s="131" t="s">
        <v>9837</v>
      </c>
      <c r="K4079" s="142">
        <v>26560</v>
      </c>
    </row>
    <row r="4080" spans="1:11">
      <c r="A4080" s="1" t="str">
        <f t="shared" si="73"/>
        <v>50100-944683896-961500483350000</v>
      </c>
      <c r="B4080" s="141" t="str">
        <f>"50100-9446838"</f>
        <v>50100-9446838</v>
      </c>
      <c r="C4080" s="141" t="str">
        <f>"9446838"</f>
        <v>9446838</v>
      </c>
      <c r="D4080" s="132" t="s">
        <v>4971</v>
      </c>
      <c r="E4080" s="141" t="str">
        <f t="shared" ref="E4080:F4082" si="74">"96/08/16"</f>
        <v>96/08/16</v>
      </c>
      <c r="F4080" s="141" t="str">
        <f t="shared" si="74"/>
        <v>96/08/16</v>
      </c>
      <c r="G4080" s="141" t="str">
        <f>"1396506113001"</f>
        <v>1396506113001</v>
      </c>
      <c r="H4080" s="140" t="str">
        <f>"DAXON PETROLEUM"</f>
        <v>DAXON PETROLEUM</v>
      </c>
      <c r="I4080" s="141">
        <v>961500483</v>
      </c>
      <c r="J4080" s="131" t="s">
        <v>9838</v>
      </c>
      <c r="K4080" s="142">
        <v>350000</v>
      </c>
    </row>
    <row r="4081" spans="1:11">
      <c r="A4081" s="1" t="str">
        <f t="shared" si="73"/>
        <v>50100-944683896-961500469199880</v>
      </c>
      <c r="B4081" s="141" t="str">
        <f>"50100-9446838"</f>
        <v>50100-9446838</v>
      </c>
      <c r="C4081" s="141" t="str">
        <f>"9446838"</f>
        <v>9446838</v>
      </c>
      <c r="D4081" s="132" t="s">
        <v>4971</v>
      </c>
      <c r="E4081" s="141" t="str">
        <f t="shared" si="74"/>
        <v>96/08/16</v>
      </c>
      <c r="F4081" s="141" t="str">
        <f t="shared" si="74"/>
        <v>96/08/16</v>
      </c>
      <c r="G4081" s="141" t="str">
        <f>"1396506113001"</f>
        <v>1396506113001</v>
      </c>
      <c r="H4081" s="140" t="str">
        <f>"DAXON PETROLEUM"</f>
        <v>DAXON PETROLEUM</v>
      </c>
      <c r="I4081" s="141">
        <v>961500469</v>
      </c>
      <c r="J4081" s="131" t="s">
        <v>9839</v>
      </c>
      <c r="K4081" s="142">
        <v>199880</v>
      </c>
    </row>
    <row r="4082" spans="1:11">
      <c r="A4082" s="1" t="str">
        <f t="shared" si="73"/>
        <v>50100-944683896-962500082300000</v>
      </c>
      <c r="B4082" s="141" t="str">
        <f>"50100-9446838"</f>
        <v>50100-9446838</v>
      </c>
      <c r="C4082" s="141" t="str">
        <f>"9446838"</f>
        <v>9446838</v>
      </c>
      <c r="D4082" s="132" t="s">
        <v>4971</v>
      </c>
      <c r="E4082" s="141" t="str">
        <f t="shared" si="74"/>
        <v>96/08/16</v>
      </c>
      <c r="F4082" s="141" t="str">
        <f t="shared" si="74"/>
        <v>96/08/16</v>
      </c>
      <c r="G4082" s="141" t="str">
        <f>"1396502696001"</f>
        <v>1396502696001</v>
      </c>
      <c r="H4082" s="140" t="str">
        <f>"LLC Sebco Bitumen"</f>
        <v>LLC Sebco Bitumen</v>
      </c>
      <c r="I4082" s="141">
        <v>962500082</v>
      </c>
      <c r="J4082" s="131" t="s">
        <v>9840</v>
      </c>
      <c r="K4082" s="142">
        <v>300000</v>
      </c>
    </row>
    <row r="4083" spans="1:11">
      <c r="A4083" s="1" t="str">
        <f t="shared" si="73"/>
        <v>50100-947175196-964100073994436</v>
      </c>
      <c r="B4083" s="141" t="str">
        <f>"50100-9471751"</f>
        <v>50100-9471751</v>
      </c>
      <c r="C4083" s="141" t="str">
        <f>"9471751"</f>
        <v>9471751</v>
      </c>
      <c r="D4083" s="132" t="s">
        <v>4971</v>
      </c>
      <c r="E4083" s="141" t="str">
        <f>"96/08/22"</f>
        <v>96/08/22</v>
      </c>
      <c r="F4083" s="141" t="str">
        <f>"96/08/22"</f>
        <v>96/08/22</v>
      </c>
      <c r="G4083" s="141" t="str">
        <f>"1396513284001"</f>
        <v>1396513284001</v>
      </c>
      <c r="H4083" s="140" t="str">
        <f>"AL MASAR PETROLUME L.L.C"</f>
        <v>AL MASAR PETROLUME L.L.C</v>
      </c>
      <c r="I4083" s="141">
        <v>964100073</v>
      </c>
      <c r="J4083" s="131" t="s">
        <v>9841</v>
      </c>
      <c r="K4083" s="142">
        <v>994436</v>
      </c>
    </row>
    <row r="4084" spans="1:11">
      <c r="A4084" s="1" t="str">
        <f t="shared" si="73"/>
        <v>50100-947687296-961500349103401</v>
      </c>
      <c r="B4084" s="141" t="str">
        <f>"50100-9476872"</f>
        <v>50100-9476872</v>
      </c>
      <c r="C4084" s="141" t="str">
        <f>"9476872"</f>
        <v>9476872</v>
      </c>
      <c r="D4084" s="132" t="s">
        <v>4971</v>
      </c>
      <c r="E4084" s="141" t="str">
        <f>"96/08/23"</f>
        <v>96/08/23</v>
      </c>
      <c r="F4084" s="141" t="str">
        <f>"96/08/23"</f>
        <v>96/08/23</v>
      </c>
      <c r="G4084" s="141" t="str">
        <f>"1396497354001"</f>
        <v>1396497354001</v>
      </c>
      <c r="H4084" s="140" t="str">
        <f>"LLC Sebco Bitumen"</f>
        <v>LLC Sebco Bitumen</v>
      </c>
      <c r="I4084" s="141">
        <v>961500349</v>
      </c>
      <c r="J4084" s="131" t="s">
        <v>9733</v>
      </c>
      <c r="K4084" s="142">
        <v>103401</v>
      </c>
    </row>
    <row r="4085" spans="1:11">
      <c r="A4085" s="1" t="str">
        <f t="shared" si="73"/>
        <v>50100-949033296-96150037835600</v>
      </c>
      <c r="B4085" s="141" t="str">
        <f>"50100-9490332"</f>
        <v>50100-9490332</v>
      </c>
      <c r="C4085" s="141" t="str">
        <f>"9490332"</f>
        <v>9490332</v>
      </c>
      <c r="D4085" s="132" t="s">
        <v>4971</v>
      </c>
      <c r="E4085" s="141" t="str">
        <f>"96/08/27"</f>
        <v>96/08/27</v>
      </c>
      <c r="F4085" s="141" t="str">
        <f>"96/08/27"</f>
        <v>96/08/27</v>
      </c>
      <c r="G4085" s="141" t="str">
        <f>"1396502696001"</f>
        <v>1396502696001</v>
      </c>
      <c r="H4085" s="140" t="str">
        <f>"LLC Sebco Bitumen"</f>
        <v>LLC Sebco Bitumen</v>
      </c>
      <c r="I4085" s="141">
        <v>961500378</v>
      </c>
      <c r="J4085" s="131" t="s">
        <v>9842</v>
      </c>
      <c r="K4085" s="142">
        <v>35600</v>
      </c>
    </row>
    <row r="4086" spans="1:11">
      <c r="A4086" s="1" t="str">
        <f t="shared" si="73"/>
        <v>50100-949033296-961500414300000</v>
      </c>
      <c r="B4086" s="141" t="str">
        <f>"50100-9490332"</f>
        <v>50100-9490332</v>
      </c>
      <c r="C4086" s="141" t="str">
        <f>"9490332"</f>
        <v>9490332</v>
      </c>
      <c r="D4086" s="132" t="s">
        <v>4971</v>
      </c>
      <c r="E4086" s="141" t="str">
        <f>"96/08/27"</f>
        <v>96/08/27</v>
      </c>
      <c r="F4086" s="141" t="str">
        <f>"96/08/27"</f>
        <v>96/08/27</v>
      </c>
      <c r="G4086" s="141" t="str">
        <f>"1396502696001"</f>
        <v>1396502696001</v>
      </c>
      <c r="H4086" s="140" t="str">
        <f>"LLC Sebco Bitumen"</f>
        <v>LLC Sebco Bitumen</v>
      </c>
      <c r="I4086" s="141">
        <v>961500414</v>
      </c>
      <c r="J4086" s="131" t="s">
        <v>9843</v>
      </c>
      <c r="K4086" s="142">
        <v>300000</v>
      </c>
    </row>
    <row r="4087" spans="1:11">
      <c r="A4087" s="1" t="str">
        <f t="shared" si="73"/>
        <v>50100-944683896-961500454350000</v>
      </c>
      <c r="B4087" s="141" t="str">
        <f>"50100-9446838"</f>
        <v>50100-9446838</v>
      </c>
      <c r="C4087" s="141" t="str">
        <f>"9446838"</f>
        <v>9446838</v>
      </c>
      <c r="D4087" s="132" t="s">
        <v>4971</v>
      </c>
      <c r="E4087" s="141" t="str">
        <f>"96/08/16"</f>
        <v>96/08/16</v>
      </c>
      <c r="F4087" s="141" t="str">
        <f>"96/08/16"</f>
        <v>96/08/16</v>
      </c>
      <c r="G4087" s="141" t="str">
        <f>"1396506113001"</f>
        <v>1396506113001</v>
      </c>
      <c r="H4087" s="140" t="str">
        <f>"DAXON PETROLEUM"</f>
        <v>DAXON PETROLEUM</v>
      </c>
      <c r="I4087" s="141">
        <v>961500454</v>
      </c>
      <c r="J4087" s="131" t="s">
        <v>9844</v>
      </c>
      <c r="K4087" s="142">
        <v>350000</v>
      </c>
    </row>
    <row r="4088" spans="1:11">
      <c r="A4088" s="1" t="str">
        <f t="shared" si="73"/>
        <v>50100-944683896-961500409500000</v>
      </c>
      <c r="B4088" s="141" t="str">
        <f>"50100-9446838"</f>
        <v>50100-9446838</v>
      </c>
      <c r="C4088" s="141" t="str">
        <f>"9446838"</f>
        <v>9446838</v>
      </c>
      <c r="D4088" s="132" t="s">
        <v>4971</v>
      </c>
      <c r="E4088" s="141" t="str">
        <f>"96/08/16"</f>
        <v>96/08/16</v>
      </c>
      <c r="F4088" s="141" t="str">
        <f>"96/08/16"</f>
        <v>96/08/16</v>
      </c>
      <c r="G4088" s="141" t="str">
        <f>"1396502696001"</f>
        <v>1396502696001</v>
      </c>
      <c r="H4088" s="140" t="str">
        <f>"LLC Sebco Bitumen"</f>
        <v>LLC Sebco Bitumen</v>
      </c>
      <c r="I4088" s="141">
        <v>961500409</v>
      </c>
      <c r="J4088" s="131" t="s">
        <v>9845</v>
      </c>
      <c r="K4088" s="142">
        <v>500000</v>
      </c>
    </row>
    <row r="4089" spans="1:11">
      <c r="A4089" s="1" t="str">
        <f t="shared" si="73"/>
        <v>50100-949033296-961500383300000</v>
      </c>
      <c r="B4089" s="141" t="str">
        <f>"50100-9490332"</f>
        <v>50100-9490332</v>
      </c>
      <c r="C4089" s="141" t="str">
        <f>"9490332"</f>
        <v>9490332</v>
      </c>
      <c r="D4089" s="132" t="s">
        <v>4971</v>
      </c>
      <c r="E4089" s="141" t="str">
        <f>"96/08/27"</f>
        <v>96/08/27</v>
      </c>
      <c r="F4089" s="141" t="str">
        <f>"96/08/27"</f>
        <v>96/08/27</v>
      </c>
      <c r="G4089" s="141" t="str">
        <f>"1396502696001"</f>
        <v>1396502696001</v>
      </c>
      <c r="H4089" s="140" t="str">
        <f>"LLC Sebco Bitumen"</f>
        <v>LLC Sebco Bitumen</v>
      </c>
      <c r="I4089" s="141">
        <v>961500383</v>
      </c>
      <c r="J4089" s="131" t="s">
        <v>9846</v>
      </c>
      <c r="K4089" s="142">
        <v>300000</v>
      </c>
    </row>
    <row r="4090" spans="1:11">
      <c r="A4090" s="1" t="str">
        <f t="shared" si="73"/>
        <v>50100-947687296-96150032722299</v>
      </c>
      <c r="B4090" s="141" t="str">
        <f>"50100-9476872"</f>
        <v>50100-9476872</v>
      </c>
      <c r="C4090" s="141" t="str">
        <f>"9476872"</f>
        <v>9476872</v>
      </c>
      <c r="D4090" s="132" t="s">
        <v>4971</v>
      </c>
      <c r="E4090" s="141" t="str">
        <f>"96/08/23"</f>
        <v>96/08/23</v>
      </c>
      <c r="F4090" s="141" t="str">
        <f>"96/08/23"</f>
        <v>96/08/23</v>
      </c>
      <c r="G4090" s="141" t="str">
        <f>"1396497354001"</f>
        <v>1396497354001</v>
      </c>
      <c r="H4090" s="140" t="str">
        <f>"LLC Sebco Bitumen"</f>
        <v>LLC Sebco Bitumen</v>
      </c>
      <c r="I4090" s="141">
        <v>961500327</v>
      </c>
      <c r="J4090" s="131" t="s">
        <v>9848</v>
      </c>
      <c r="K4090" s="142">
        <v>22299</v>
      </c>
    </row>
    <row r="4091" spans="1:11">
      <c r="A4091" s="1" t="str">
        <f t="shared" si="73"/>
        <v>50100-946662496-96150060238400</v>
      </c>
      <c r="B4091" s="141" t="str">
        <f>"50100-9466624"</f>
        <v>50100-9466624</v>
      </c>
      <c r="C4091" s="141" t="str">
        <f>"9466624"</f>
        <v>9466624</v>
      </c>
      <c r="D4091" s="132" t="s">
        <v>4971</v>
      </c>
      <c r="E4091" s="141" t="str">
        <f t="shared" ref="E4091:F4093" si="75">"96/08/21"</f>
        <v>96/08/21</v>
      </c>
      <c r="F4091" s="141" t="str">
        <f t="shared" si="75"/>
        <v>96/08/21</v>
      </c>
      <c r="G4091" s="141" t="str">
        <f>"1396517687001"</f>
        <v>1396517687001</v>
      </c>
      <c r="H4091" s="140" t="str">
        <f>"DAXON PETROLEUM"</f>
        <v>DAXON PETROLEUM</v>
      </c>
      <c r="I4091" s="141">
        <v>961500602</v>
      </c>
      <c r="J4091" s="131" t="s">
        <v>9849</v>
      </c>
      <c r="K4091" s="142">
        <v>38400</v>
      </c>
    </row>
    <row r="4092" spans="1:11">
      <c r="A4092" s="1" t="str">
        <f t="shared" si="73"/>
        <v>50100-946589696-961500393134920</v>
      </c>
      <c r="B4092" s="141" t="str">
        <f>"50100-9465896"</f>
        <v>50100-9465896</v>
      </c>
      <c r="C4092" s="141" t="str">
        <f>"9465896"</f>
        <v>9465896</v>
      </c>
      <c r="D4092" s="132" t="s">
        <v>4971</v>
      </c>
      <c r="E4092" s="141" t="str">
        <f t="shared" si="75"/>
        <v>96/08/21</v>
      </c>
      <c r="F4092" s="141" t="str">
        <f t="shared" si="75"/>
        <v>96/08/21</v>
      </c>
      <c r="G4092" s="141" t="str">
        <f>"1396502500001"</f>
        <v>1396502500001</v>
      </c>
      <c r="H4092" s="140" t="str">
        <f>"SHINING GREEN STAR FZE"</f>
        <v>SHINING GREEN STAR FZE</v>
      </c>
      <c r="I4092" s="141">
        <v>961500393</v>
      </c>
      <c r="J4092" s="131" t="s">
        <v>9850</v>
      </c>
      <c r="K4092" s="142">
        <v>134920</v>
      </c>
    </row>
    <row r="4093" spans="1:11">
      <c r="A4093" s="1" t="str">
        <f t="shared" si="73"/>
        <v>50100-946589696-961500371136520</v>
      </c>
      <c r="B4093" s="141" t="str">
        <f>"50100-9465896"</f>
        <v>50100-9465896</v>
      </c>
      <c r="C4093" s="141" t="str">
        <f>"9465896"</f>
        <v>9465896</v>
      </c>
      <c r="D4093" s="132" t="s">
        <v>4971</v>
      </c>
      <c r="E4093" s="141" t="str">
        <f t="shared" si="75"/>
        <v>96/08/21</v>
      </c>
      <c r="F4093" s="141" t="str">
        <f t="shared" si="75"/>
        <v>96/08/21</v>
      </c>
      <c r="G4093" s="141" t="str">
        <f>"1396502500001"</f>
        <v>1396502500001</v>
      </c>
      <c r="H4093" s="140" t="str">
        <f>"SHINING GREEN STAR FZE"</f>
        <v>SHINING GREEN STAR FZE</v>
      </c>
      <c r="I4093" s="141">
        <v>961500371</v>
      </c>
      <c r="J4093" s="131" t="s">
        <v>9851</v>
      </c>
      <c r="K4093" s="142">
        <v>136520</v>
      </c>
    </row>
    <row r="4094" spans="1:11">
      <c r="A4094" s="1" t="str">
        <f t="shared" si="73"/>
        <v>50100-944683896-961500468100000</v>
      </c>
      <c r="B4094" s="141" t="str">
        <f>"50100-9446838"</f>
        <v>50100-9446838</v>
      </c>
      <c r="C4094" s="141" t="str">
        <f>"9446838"</f>
        <v>9446838</v>
      </c>
      <c r="D4094" s="132" t="s">
        <v>4971</v>
      </c>
      <c r="E4094" s="141" t="str">
        <f>"96/08/16"</f>
        <v>96/08/16</v>
      </c>
      <c r="F4094" s="141" t="str">
        <f>"96/08/16"</f>
        <v>96/08/16</v>
      </c>
      <c r="G4094" s="141" t="str">
        <f>"1396506113001"</f>
        <v>1396506113001</v>
      </c>
      <c r="H4094" s="140" t="str">
        <f>"DAXON PETROLEUM"</f>
        <v>DAXON PETROLEUM</v>
      </c>
      <c r="I4094" s="141">
        <v>961500468</v>
      </c>
      <c r="J4094" s="131" t="s">
        <v>9852</v>
      </c>
      <c r="K4094" s="142">
        <v>100000</v>
      </c>
    </row>
    <row r="4095" spans="1:11">
      <c r="A4095" s="1" t="str">
        <f t="shared" si="73"/>
        <v>50100-948137096-961500445552000</v>
      </c>
      <c r="B4095" s="141" t="str">
        <f>"50100-9481370"</f>
        <v>50100-9481370</v>
      </c>
      <c r="C4095" s="141" t="str">
        <f>"9481370"</f>
        <v>9481370</v>
      </c>
      <c r="D4095" s="132" t="s">
        <v>4971</v>
      </c>
      <c r="E4095" s="141" t="str">
        <f>"96/08/24"</f>
        <v>96/08/24</v>
      </c>
      <c r="F4095" s="141" t="str">
        <f>"96/08/24"</f>
        <v>96/08/24</v>
      </c>
      <c r="G4095" s="141" t="str">
        <f>"1396502696001"</f>
        <v>1396502696001</v>
      </c>
      <c r="H4095" s="140" t="str">
        <f>"LLC Sebco Bitumen"</f>
        <v>LLC Sebco Bitumen</v>
      </c>
      <c r="I4095" s="141">
        <v>961500445</v>
      </c>
      <c r="J4095" s="131" t="s">
        <v>9853</v>
      </c>
      <c r="K4095" s="142">
        <v>552000</v>
      </c>
    </row>
    <row r="4096" spans="1:11">
      <c r="A4096" s="1" t="str">
        <f t="shared" si="73"/>
        <v>50100-948137096-961500304124560</v>
      </c>
      <c r="B4096" s="141" t="str">
        <f>"50100-9481370"</f>
        <v>50100-9481370</v>
      </c>
      <c r="C4096" s="141" t="str">
        <f>"9481370"</f>
        <v>9481370</v>
      </c>
      <c r="D4096" s="132" t="s">
        <v>4971</v>
      </c>
      <c r="E4096" s="141" t="str">
        <f>"96/08/24"</f>
        <v>96/08/24</v>
      </c>
      <c r="F4096" s="141" t="str">
        <f>"96/08/24"</f>
        <v>96/08/24</v>
      </c>
      <c r="G4096" s="141" t="str">
        <f>"1396496232001"</f>
        <v>1396496232001</v>
      </c>
      <c r="H4096" s="140" t="str">
        <f>"LLC Sebco Bitumen"</f>
        <v>LLC Sebco Bitumen</v>
      </c>
      <c r="I4096" s="141">
        <v>961500304</v>
      </c>
      <c r="J4096" s="131" t="s">
        <v>9854</v>
      </c>
      <c r="K4096" s="142">
        <v>124560</v>
      </c>
    </row>
    <row r="4097" spans="1:11">
      <c r="A4097" s="1" t="str">
        <f t="shared" si="73"/>
        <v>50100-949060296-96150039183087</v>
      </c>
      <c r="B4097" s="141" t="str">
        <f>"50100-9490602"</f>
        <v>50100-9490602</v>
      </c>
      <c r="C4097" s="141" t="str">
        <f>"9490602"</f>
        <v>9490602</v>
      </c>
      <c r="D4097" s="132" t="s">
        <v>4971</v>
      </c>
      <c r="E4097" s="141" t="str">
        <f>"96/08/27"</f>
        <v>96/08/27</v>
      </c>
      <c r="F4097" s="141" t="str">
        <f>"96/08/27"</f>
        <v>96/08/27</v>
      </c>
      <c r="G4097" s="141" t="str">
        <f>"1396502696001"</f>
        <v>1396502696001</v>
      </c>
      <c r="H4097" s="140" t="str">
        <f>"LLC Sebco Bitumen"</f>
        <v>LLC Sebco Bitumen</v>
      </c>
      <c r="I4097" s="141">
        <v>961500391</v>
      </c>
      <c r="J4097" s="131" t="s">
        <v>9855</v>
      </c>
      <c r="K4097" s="142">
        <v>83087</v>
      </c>
    </row>
    <row r="4098" spans="1:11">
      <c r="A4098" s="1" t="str">
        <f t="shared" si="73"/>
        <v>50100-949060296-961500389100000</v>
      </c>
      <c r="B4098" s="141" t="str">
        <f>"50100-9490602"</f>
        <v>50100-9490602</v>
      </c>
      <c r="C4098" s="141" t="str">
        <f>"9490602"</f>
        <v>9490602</v>
      </c>
      <c r="D4098" s="132" t="s">
        <v>4971</v>
      </c>
      <c r="E4098" s="141" t="str">
        <f>"96/08/27"</f>
        <v>96/08/27</v>
      </c>
      <c r="F4098" s="141" t="str">
        <f>"96/08/27"</f>
        <v>96/08/27</v>
      </c>
      <c r="G4098" s="141" t="str">
        <f>"1396502696001"</f>
        <v>1396502696001</v>
      </c>
      <c r="H4098" s="140" t="str">
        <f>"LLC Sebco Bitumen"</f>
        <v>LLC Sebco Bitumen</v>
      </c>
      <c r="I4098" s="141">
        <v>961500389</v>
      </c>
      <c r="J4098" s="131" t="s">
        <v>9856</v>
      </c>
      <c r="K4098" s="142">
        <v>100000</v>
      </c>
    </row>
    <row r="4099" spans="1:11">
      <c r="A4099" s="1" t="str">
        <f t="shared" ref="A4099:A4162" si="76">B4099&amp;J4099&amp;K4099</f>
        <v>50100-947181496-961500447488400</v>
      </c>
      <c r="B4099" s="141" t="str">
        <f>"50100-9471814"</f>
        <v>50100-9471814</v>
      </c>
      <c r="C4099" s="141" t="str">
        <f>"9471814"</f>
        <v>9471814</v>
      </c>
      <c r="D4099" s="132" t="s">
        <v>4971</v>
      </c>
      <c r="E4099" s="141" t="str">
        <f>"96/08/22"</f>
        <v>96/08/22</v>
      </c>
      <c r="F4099" s="141" t="str">
        <f>"96/08/22"</f>
        <v>96/08/22</v>
      </c>
      <c r="G4099" s="141" t="str">
        <f>"1396511595001"</f>
        <v>1396511595001</v>
      </c>
      <c r="H4099" s="140" t="str">
        <f>"Canadian White Star Energy Ltd."</f>
        <v>Canadian White Star Energy Ltd.</v>
      </c>
      <c r="I4099" s="141">
        <v>961500447</v>
      </c>
      <c r="J4099" s="131" t="s">
        <v>9857</v>
      </c>
      <c r="K4099" s="142">
        <v>488400</v>
      </c>
    </row>
    <row r="4100" spans="1:11">
      <c r="A4100" s="1" t="str">
        <f t="shared" si="76"/>
        <v>50100-948137096-961500388323440</v>
      </c>
      <c r="B4100" s="141" t="str">
        <f>"50100-9481370"</f>
        <v>50100-9481370</v>
      </c>
      <c r="C4100" s="141" t="str">
        <f>"9481370"</f>
        <v>9481370</v>
      </c>
      <c r="D4100" s="132" t="s">
        <v>4971</v>
      </c>
      <c r="E4100" s="141" t="str">
        <f>"96/08/24"</f>
        <v>96/08/24</v>
      </c>
      <c r="F4100" s="141" t="str">
        <f>"96/08/24"</f>
        <v>96/08/24</v>
      </c>
      <c r="G4100" s="141" t="str">
        <f>"1396502696001"</f>
        <v>1396502696001</v>
      </c>
      <c r="H4100" s="140" t="str">
        <f>"LLC Sebco Bitumen"</f>
        <v>LLC Sebco Bitumen</v>
      </c>
      <c r="I4100" s="141">
        <v>961500388</v>
      </c>
      <c r="J4100" s="131" t="s">
        <v>9837</v>
      </c>
      <c r="K4100" s="142">
        <v>323440</v>
      </c>
    </row>
    <row r="4101" spans="1:11">
      <c r="A4101" s="1" t="str">
        <f t="shared" si="76"/>
        <v>50100-948137096-962500128479870</v>
      </c>
      <c r="B4101" s="141" t="str">
        <f>"50100-9481370"</f>
        <v>50100-9481370</v>
      </c>
      <c r="C4101" s="141" t="str">
        <f>"9481370"</f>
        <v>9481370</v>
      </c>
      <c r="D4101" s="132" t="s">
        <v>4971</v>
      </c>
      <c r="E4101" s="141" t="str">
        <f>"96/08/24"</f>
        <v>96/08/24</v>
      </c>
      <c r="F4101" s="141" t="str">
        <f>"96/08/24"</f>
        <v>96/08/24</v>
      </c>
      <c r="G4101" s="141" t="str">
        <f>"1396517686001"</f>
        <v>1396517686001</v>
      </c>
      <c r="H4101" s="140" t="str">
        <f>"DAXON PETROLEUM"</f>
        <v>DAXON PETROLEUM</v>
      </c>
      <c r="I4101" s="141">
        <v>962500128</v>
      </c>
      <c r="J4101" s="131" t="s">
        <v>9858</v>
      </c>
      <c r="K4101" s="142">
        <v>479870</v>
      </c>
    </row>
    <row r="4102" spans="1:11">
      <c r="A4102" s="1" t="str">
        <f t="shared" si="76"/>
        <v>50100-947687296-961500341200000</v>
      </c>
      <c r="B4102" s="141" t="str">
        <f>"50100-9476872"</f>
        <v>50100-9476872</v>
      </c>
      <c r="C4102" s="141" t="str">
        <f>"9476872"</f>
        <v>9476872</v>
      </c>
      <c r="D4102" s="132" t="s">
        <v>4971</v>
      </c>
      <c r="E4102" s="141" t="str">
        <f>"96/08/23"</f>
        <v>96/08/23</v>
      </c>
      <c r="F4102" s="141" t="str">
        <f>"96/08/23"</f>
        <v>96/08/23</v>
      </c>
      <c r="G4102" s="141" t="str">
        <f>"1396497354001"</f>
        <v>1396497354001</v>
      </c>
      <c r="H4102" s="140" t="str">
        <f>"LLC Sebco Bitumen"</f>
        <v>LLC Sebco Bitumen</v>
      </c>
      <c r="I4102" s="141">
        <v>961500341</v>
      </c>
      <c r="J4102" s="131" t="s">
        <v>9859</v>
      </c>
      <c r="K4102" s="142">
        <v>200000</v>
      </c>
    </row>
    <row r="4103" spans="1:11">
      <c r="A4103" s="1" t="str">
        <f t="shared" si="76"/>
        <v>50100-947203096-96150034983325</v>
      </c>
      <c r="B4103" s="141" t="str">
        <f>"50100-9472030"</f>
        <v>50100-9472030</v>
      </c>
      <c r="C4103" s="141" t="str">
        <f>"9472030"</f>
        <v>9472030</v>
      </c>
      <c r="D4103" s="132" t="s">
        <v>4971</v>
      </c>
      <c r="E4103" s="141" t="str">
        <f>"96/08/22"</f>
        <v>96/08/22</v>
      </c>
      <c r="F4103" s="141" t="str">
        <f>"96/08/22"</f>
        <v>96/08/22</v>
      </c>
      <c r="G4103" s="141" t="str">
        <f>"1396497354001"</f>
        <v>1396497354001</v>
      </c>
      <c r="H4103" s="140" t="str">
        <f>"LLC Sebco Bitumen"</f>
        <v>LLC Sebco Bitumen</v>
      </c>
      <c r="I4103" s="141">
        <v>961500349</v>
      </c>
      <c r="J4103" s="131" t="s">
        <v>9733</v>
      </c>
      <c r="K4103" s="142">
        <v>83325</v>
      </c>
    </row>
    <row r="4104" spans="1:11">
      <c r="A4104" s="1" t="str">
        <f t="shared" si="76"/>
        <v>50100-947452596-961500633494931</v>
      </c>
      <c r="B4104" s="141" t="str">
        <f>"50100-9474525"</f>
        <v>50100-9474525</v>
      </c>
      <c r="C4104" s="141" t="str">
        <f>"9474525"</f>
        <v>9474525</v>
      </c>
      <c r="D4104" s="132" t="s">
        <v>4971</v>
      </c>
      <c r="E4104" s="141" t="str">
        <f>"96/08/23"</f>
        <v>96/08/23</v>
      </c>
      <c r="F4104" s="141" t="str">
        <f>"96/08/23"</f>
        <v>96/08/23</v>
      </c>
      <c r="G4104" s="141" t="str">
        <f>"1396519129001"</f>
        <v>1396519129001</v>
      </c>
      <c r="H4104" s="140" t="str">
        <f>"AL MASAR PETROLUME L.L.C"</f>
        <v>AL MASAR PETROLUME L.L.C</v>
      </c>
      <c r="I4104" s="141">
        <v>961500633</v>
      </c>
      <c r="J4104" s="131" t="s">
        <v>9860</v>
      </c>
      <c r="K4104" s="142">
        <v>494931</v>
      </c>
    </row>
    <row r="4105" spans="1:11">
      <c r="A4105" s="1" t="str">
        <f t="shared" si="76"/>
        <v>50100-947203096-96150037356520</v>
      </c>
      <c r="B4105" s="141" t="str">
        <f>"50100-9472030"</f>
        <v>50100-9472030</v>
      </c>
      <c r="C4105" s="141" t="str">
        <f>"9472030"</f>
        <v>9472030</v>
      </c>
      <c r="D4105" s="132" t="s">
        <v>4971</v>
      </c>
      <c r="E4105" s="141" t="str">
        <f>"96/08/22"</f>
        <v>96/08/22</v>
      </c>
      <c r="F4105" s="141" t="str">
        <f>"96/08/22"</f>
        <v>96/08/22</v>
      </c>
      <c r="G4105" s="141" t="str">
        <f>"1396502696001"</f>
        <v>1396502696001</v>
      </c>
      <c r="H4105" s="140" t="str">
        <f>"LLC Sebco Bitumen"</f>
        <v>LLC Sebco Bitumen</v>
      </c>
      <c r="I4105" s="141">
        <v>961500373</v>
      </c>
      <c r="J4105" s="131" t="s">
        <v>9861</v>
      </c>
      <c r="K4105" s="142">
        <v>56520</v>
      </c>
    </row>
    <row r="4106" spans="1:11">
      <c r="A4106" s="1" t="str">
        <f t="shared" si="76"/>
        <v>50100-950274996-961500416100000</v>
      </c>
      <c r="B4106" s="141" t="str">
        <f>"50100-9502749"</f>
        <v>50100-9502749</v>
      </c>
      <c r="C4106" s="141" t="str">
        <f>"9502749"</f>
        <v>9502749</v>
      </c>
      <c r="D4106" s="132" t="s">
        <v>4971</v>
      </c>
      <c r="E4106" s="141" t="str">
        <f>"96/08/30"</f>
        <v>96/08/30</v>
      </c>
      <c r="F4106" s="141" t="str">
        <f>"96/08/30"</f>
        <v>96/08/30</v>
      </c>
      <c r="G4106" s="141" t="str">
        <f>"1396502696001"</f>
        <v>1396502696001</v>
      </c>
      <c r="H4106" s="140" t="str">
        <f>"LLC Sebco Bitumen"</f>
        <v>LLC Sebco Bitumen</v>
      </c>
      <c r="I4106" s="141">
        <v>961500416</v>
      </c>
      <c r="J4106" s="131" t="s">
        <v>9862</v>
      </c>
      <c r="K4106" s="142">
        <v>100000</v>
      </c>
    </row>
    <row r="4107" spans="1:11">
      <c r="A4107" s="1" t="str">
        <f t="shared" si="76"/>
        <v>50100-948049096-961500393365080</v>
      </c>
      <c r="B4107" s="141" t="str">
        <f>"50100-9480490"</f>
        <v>50100-9480490</v>
      </c>
      <c r="C4107" s="141" t="str">
        <f>"9480490"</f>
        <v>9480490</v>
      </c>
      <c r="D4107" s="132" t="s">
        <v>4971</v>
      </c>
      <c r="E4107" s="141" t="str">
        <f>"96/08/24"</f>
        <v>96/08/24</v>
      </c>
      <c r="F4107" s="141" t="str">
        <f>"96/08/24"</f>
        <v>96/08/24</v>
      </c>
      <c r="G4107" s="141" t="str">
        <f>"1396502500001"</f>
        <v>1396502500001</v>
      </c>
      <c r="H4107" s="140" t="str">
        <f>"SHINING GREEN STAR FZE"</f>
        <v>SHINING GREEN STAR FZE</v>
      </c>
      <c r="I4107" s="141">
        <v>961500393</v>
      </c>
      <c r="J4107" s="131" t="s">
        <v>9850</v>
      </c>
      <c r="K4107" s="142">
        <v>365080</v>
      </c>
    </row>
    <row r="4108" spans="1:11">
      <c r="A4108" s="1" t="str">
        <f t="shared" si="76"/>
        <v>50100-949033296-961500391166913</v>
      </c>
      <c r="B4108" s="141" t="str">
        <f>"50100-9490332"</f>
        <v>50100-9490332</v>
      </c>
      <c r="C4108" s="141" t="str">
        <f>"9490332"</f>
        <v>9490332</v>
      </c>
      <c r="D4108" s="132" t="s">
        <v>4971</v>
      </c>
      <c r="E4108" s="141" t="str">
        <f t="shared" ref="E4108:F4110" si="77">"96/08/27"</f>
        <v>96/08/27</v>
      </c>
      <c r="F4108" s="141" t="str">
        <f t="shared" si="77"/>
        <v>96/08/27</v>
      </c>
      <c r="G4108" s="141" t="str">
        <f>"1396502696001"</f>
        <v>1396502696001</v>
      </c>
      <c r="H4108" s="140" t="str">
        <f>"LLC Sebco Bitumen"</f>
        <v>LLC Sebco Bitumen</v>
      </c>
      <c r="I4108" s="141">
        <v>961500391</v>
      </c>
      <c r="J4108" s="131" t="s">
        <v>9855</v>
      </c>
      <c r="K4108" s="142">
        <v>166913</v>
      </c>
    </row>
    <row r="4109" spans="1:11">
      <c r="A4109" s="1" t="str">
        <f t="shared" si="76"/>
        <v>50100-949060296-96150039564113</v>
      </c>
      <c r="B4109" s="141" t="str">
        <f>"50100-9490602"</f>
        <v>50100-9490602</v>
      </c>
      <c r="C4109" s="141" t="str">
        <f>"9490602"</f>
        <v>9490602</v>
      </c>
      <c r="D4109" s="132" t="s">
        <v>4971</v>
      </c>
      <c r="E4109" s="141" t="str">
        <f t="shared" si="77"/>
        <v>96/08/27</v>
      </c>
      <c r="F4109" s="141" t="str">
        <f t="shared" si="77"/>
        <v>96/08/27</v>
      </c>
      <c r="G4109" s="141" t="str">
        <f>"1396502696001"</f>
        <v>1396502696001</v>
      </c>
      <c r="H4109" s="140" t="str">
        <f>"LLC Sebco Bitumen"</f>
        <v>LLC Sebco Bitumen</v>
      </c>
      <c r="I4109" s="141">
        <v>961500395</v>
      </c>
      <c r="J4109" s="131" t="s">
        <v>9863</v>
      </c>
      <c r="K4109" s="142">
        <v>64113</v>
      </c>
    </row>
    <row r="4110" spans="1:11">
      <c r="A4110" s="1" t="str">
        <f t="shared" si="76"/>
        <v>50100-949060296-962500076250000</v>
      </c>
      <c r="B4110" s="141" t="str">
        <f>"50100-9490602"</f>
        <v>50100-9490602</v>
      </c>
      <c r="C4110" s="141" t="str">
        <f>"9490602"</f>
        <v>9490602</v>
      </c>
      <c r="D4110" s="132" t="s">
        <v>4971</v>
      </c>
      <c r="E4110" s="141" t="str">
        <f t="shared" si="77"/>
        <v>96/08/27</v>
      </c>
      <c r="F4110" s="141" t="str">
        <f t="shared" si="77"/>
        <v>96/08/27</v>
      </c>
      <c r="G4110" s="141" t="str">
        <f>"1396502696001"</f>
        <v>1396502696001</v>
      </c>
      <c r="H4110" s="140" t="str">
        <f>"LLC Sebco Bitumen"</f>
        <v>LLC Sebco Bitumen</v>
      </c>
      <c r="I4110" s="141">
        <v>962500076</v>
      </c>
      <c r="J4110" s="131" t="s">
        <v>9864</v>
      </c>
      <c r="K4110" s="142">
        <v>250000</v>
      </c>
    </row>
    <row r="4111" spans="1:11">
      <c r="A4111" s="1" t="str">
        <f t="shared" si="76"/>
        <v>50100-947687296-96150032950000</v>
      </c>
      <c r="B4111" s="141" t="str">
        <f>"50100-9476872"</f>
        <v>50100-9476872</v>
      </c>
      <c r="C4111" s="141" t="str">
        <f>"9476872"</f>
        <v>9476872</v>
      </c>
      <c r="D4111" s="132" t="s">
        <v>4971</v>
      </c>
      <c r="E4111" s="141" t="str">
        <f>"96/08/23"</f>
        <v>96/08/23</v>
      </c>
      <c r="F4111" s="141" t="str">
        <f>"96/08/23"</f>
        <v>96/08/23</v>
      </c>
      <c r="G4111" s="141" t="str">
        <f>"1396497354001"</f>
        <v>1396497354001</v>
      </c>
      <c r="H4111" s="140" t="str">
        <f>"LLC Sebco Bitumen"</f>
        <v>LLC Sebco Bitumen</v>
      </c>
      <c r="I4111" s="141">
        <v>961500329</v>
      </c>
      <c r="J4111" s="131" t="s">
        <v>9865</v>
      </c>
      <c r="K4111" s="142">
        <v>50000</v>
      </c>
    </row>
    <row r="4112" spans="1:11">
      <c r="A4112" s="1" t="str">
        <f t="shared" si="76"/>
        <v>50100-948783596-961500565500000</v>
      </c>
      <c r="B4112" s="141" t="str">
        <f>"50100-9487835"</f>
        <v>50100-9487835</v>
      </c>
      <c r="C4112" s="141" t="str">
        <f>"9487835"</f>
        <v>9487835</v>
      </c>
      <c r="D4112" s="132" t="s">
        <v>4971</v>
      </c>
      <c r="E4112" s="141" t="str">
        <f>"96/08/27"</f>
        <v>96/08/27</v>
      </c>
      <c r="F4112" s="141" t="str">
        <f>"96/08/27"</f>
        <v>96/08/27</v>
      </c>
      <c r="G4112" s="141" t="str">
        <f>"1396512824001"</f>
        <v>1396512824001</v>
      </c>
      <c r="H4112" s="140" t="str">
        <f>"Black Gold Traders FZE"</f>
        <v>Black Gold Traders FZE</v>
      </c>
      <c r="I4112" s="141">
        <v>961500565</v>
      </c>
      <c r="J4112" s="131" t="s">
        <v>9866</v>
      </c>
      <c r="K4112" s="142">
        <v>500000</v>
      </c>
    </row>
    <row r="4113" spans="1:11">
      <c r="A4113" s="1" t="str">
        <f t="shared" si="76"/>
        <v>50100-946589696-961500370218560</v>
      </c>
      <c r="B4113" s="141" t="str">
        <f>"50100-9465896"</f>
        <v>50100-9465896</v>
      </c>
      <c r="C4113" s="141" t="str">
        <f>"9465896"</f>
        <v>9465896</v>
      </c>
      <c r="D4113" s="132" t="s">
        <v>4971</v>
      </c>
      <c r="E4113" s="141" t="str">
        <f>"96/08/21"</f>
        <v>96/08/21</v>
      </c>
      <c r="F4113" s="141" t="str">
        <f>"96/08/21"</f>
        <v>96/08/21</v>
      </c>
      <c r="G4113" s="141" t="str">
        <f>"1396502500001"</f>
        <v>1396502500001</v>
      </c>
      <c r="H4113" s="140" t="str">
        <f>"SHINING GREEN STAR FZE"</f>
        <v>SHINING GREEN STAR FZE</v>
      </c>
      <c r="I4113" s="141">
        <v>961500370</v>
      </c>
      <c r="J4113" s="131" t="s">
        <v>6448</v>
      </c>
      <c r="K4113" s="142">
        <v>218560</v>
      </c>
    </row>
    <row r="4114" spans="1:11">
      <c r="A4114" s="1" t="str">
        <f t="shared" si="76"/>
        <v>50100-950274996-961500423100000</v>
      </c>
      <c r="B4114" s="141" t="str">
        <f>"50100-9502749"</f>
        <v>50100-9502749</v>
      </c>
      <c r="C4114" s="141" t="str">
        <f>"9502749"</f>
        <v>9502749</v>
      </c>
      <c r="D4114" s="132" t="s">
        <v>4971</v>
      </c>
      <c r="E4114" s="141" t="str">
        <f t="shared" ref="E4114:F4116" si="78">"96/08/30"</f>
        <v>96/08/30</v>
      </c>
      <c r="F4114" s="141" t="str">
        <f t="shared" si="78"/>
        <v>96/08/30</v>
      </c>
      <c r="G4114" s="141" t="str">
        <f>"1396502696001"</f>
        <v>1396502696001</v>
      </c>
      <c r="H4114" s="140" t="str">
        <f>"LLC Sebco Bitumen"</f>
        <v>LLC Sebco Bitumen</v>
      </c>
      <c r="I4114" s="141">
        <v>961500423</v>
      </c>
      <c r="J4114" s="131" t="s">
        <v>9867</v>
      </c>
      <c r="K4114" s="142">
        <v>100000</v>
      </c>
    </row>
    <row r="4115" spans="1:11">
      <c r="A4115" s="1" t="str">
        <f t="shared" si="76"/>
        <v>50100-950274996-96150039515150</v>
      </c>
      <c r="B4115" s="141" t="str">
        <f>"50100-9502749"</f>
        <v>50100-9502749</v>
      </c>
      <c r="C4115" s="141" t="str">
        <f>"9502749"</f>
        <v>9502749</v>
      </c>
      <c r="D4115" s="132" t="s">
        <v>4971</v>
      </c>
      <c r="E4115" s="141" t="str">
        <f t="shared" si="78"/>
        <v>96/08/30</v>
      </c>
      <c r="F4115" s="141" t="str">
        <f t="shared" si="78"/>
        <v>96/08/30</v>
      </c>
      <c r="G4115" s="141" t="str">
        <f>"1396502696001"</f>
        <v>1396502696001</v>
      </c>
      <c r="H4115" s="140" t="str">
        <f>"LLC Sebco Bitumen"</f>
        <v>LLC Sebco Bitumen</v>
      </c>
      <c r="I4115" s="141">
        <v>961500395</v>
      </c>
      <c r="J4115" s="131" t="s">
        <v>9863</v>
      </c>
      <c r="K4115" s="142">
        <v>15150</v>
      </c>
    </row>
    <row r="4116" spans="1:11">
      <c r="A4116" s="1" t="str">
        <f t="shared" si="76"/>
        <v>50100-950274996-961500432150000</v>
      </c>
      <c r="B4116" s="141" t="str">
        <f>"50100-9502749"</f>
        <v>50100-9502749</v>
      </c>
      <c r="C4116" s="141" t="str">
        <f>"9502749"</f>
        <v>9502749</v>
      </c>
      <c r="D4116" s="132" t="s">
        <v>4971</v>
      </c>
      <c r="E4116" s="141" t="str">
        <f t="shared" si="78"/>
        <v>96/08/30</v>
      </c>
      <c r="F4116" s="141" t="str">
        <f t="shared" si="78"/>
        <v>96/08/30</v>
      </c>
      <c r="G4116" s="141" t="str">
        <f>"1396502696001"</f>
        <v>1396502696001</v>
      </c>
      <c r="H4116" s="140" t="str">
        <f>"LLC Sebco Bitumen"</f>
        <v>LLC Sebco Bitumen</v>
      </c>
      <c r="I4116" s="141">
        <v>961500432</v>
      </c>
      <c r="J4116" s="131" t="s">
        <v>9868</v>
      </c>
      <c r="K4116" s="142">
        <v>150000</v>
      </c>
    </row>
    <row r="4117" spans="1:11">
      <c r="A4117" s="1" t="str">
        <f t="shared" si="76"/>
        <v>50100-948908996-964100074274000</v>
      </c>
      <c r="B4117" s="141" t="str">
        <f>"50100-9489089"</f>
        <v>50100-9489089</v>
      </c>
      <c r="C4117" s="141" t="str">
        <f>"9489089"</f>
        <v>9489089</v>
      </c>
      <c r="D4117" s="132" t="s">
        <v>4971</v>
      </c>
      <c r="E4117" s="141" t="str">
        <f>"96/08/27"</f>
        <v>96/08/27</v>
      </c>
      <c r="F4117" s="141" t="str">
        <f>"96/08/27"</f>
        <v>96/08/27</v>
      </c>
      <c r="G4117" s="141" t="str">
        <f>"1396500347001"</f>
        <v>1396500347001</v>
      </c>
      <c r="H4117" s="140" t="str">
        <f>"AL MASAR PETROLUME L.L.C"</f>
        <v>AL MASAR PETROLUME L.L.C</v>
      </c>
      <c r="I4117" s="141">
        <v>964100074</v>
      </c>
      <c r="J4117" s="131" t="s">
        <v>9869</v>
      </c>
      <c r="K4117" s="142">
        <v>274000</v>
      </c>
    </row>
    <row r="4118" spans="1:11">
      <c r="A4118" s="1" t="str">
        <f t="shared" si="76"/>
        <v>50100-948908996-964100075672987</v>
      </c>
      <c r="B4118" s="141" t="str">
        <f>"50100-9489089"</f>
        <v>50100-9489089</v>
      </c>
      <c r="C4118" s="141" t="str">
        <f>"9489089"</f>
        <v>9489089</v>
      </c>
      <c r="D4118" s="132" t="s">
        <v>4971</v>
      </c>
      <c r="E4118" s="141" t="str">
        <f>"96/08/27"</f>
        <v>96/08/27</v>
      </c>
      <c r="F4118" s="141" t="str">
        <f>"96/08/27"</f>
        <v>96/08/27</v>
      </c>
      <c r="G4118" s="141" t="str">
        <f>"1396513284001"</f>
        <v>1396513284001</v>
      </c>
      <c r="H4118" s="140" t="str">
        <f>"AL MASAR PETROLUME L.L.C"</f>
        <v>AL MASAR PETROLUME L.L.C</v>
      </c>
      <c r="I4118" s="141">
        <v>964100075</v>
      </c>
      <c r="J4118" s="131" t="s">
        <v>9870</v>
      </c>
      <c r="K4118" s="142">
        <v>672987</v>
      </c>
    </row>
    <row r="4119" spans="1:11">
      <c r="A4119" s="1" t="str">
        <f t="shared" si="76"/>
        <v>50100-946642896-962500148457604</v>
      </c>
      <c r="B4119" s="141" t="str">
        <f>"50100-9466428"</f>
        <v>50100-9466428</v>
      </c>
      <c r="C4119" s="141" t="str">
        <f>"9466428"</f>
        <v>9466428</v>
      </c>
      <c r="D4119" s="132" t="s">
        <v>4971</v>
      </c>
      <c r="E4119" s="141" t="str">
        <f>"96/08/21"</f>
        <v>96/08/21</v>
      </c>
      <c r="F4119" s="141" t="str">
        <f>"96/08/21"</f>
        <v>96/08/21</v>
      </c>
      <c r="G4119" s="141" t="str">
        <f>"1396472851001"</f>
        <v>1396472851001</v>
      </c>
      <c r="H4119" s="140" t="str">
        <f>"Elixir General Trading FZE"</f>
        <v>Elixir General Trading FZE</v>
      </c>
      <c r="I4119" s="141">
        <v>962500148</v>
      </c>
      <c r="J4119" s="131" t="s">
        <v>9871</v>
      </c>
      <c r="K4119" s="142">
        <v>457604</v>
      </c>
    </row>
    <row r="4120" spans="1:11">
      <c r="A4120" s="1" t="str">
        <f t="shared" si="76"/>
        <v>50100-949597896-961500565495620</v>
      </c>
      <c r="B4120" s="141" t="str">
        <f>"50100-9495978"</f>
        <v>50100-9495978</v>
      </c>
      <c r="C4120" s="141" t="str">
        <f>"9495978"</f>
        <v>9495978</v>
      </c>
      <c r="D4120" s="132" t="s">
        <v>4971</v>
      </c>
      <c r="E4120" s="141" t="str">
        <f>"96/08/29"</f>
        <v>96/08/29</v>
      </c>
      <c r="F4120" s="141" t="str">
        <f>"96/08/29"</f>
        <v>96/08/29</v>
      </c>
      <c r="G4120" s="141" t="str">
        <f>"1396512824001"</f>
        <v>1396512824001</v>
      </c>
      <c r="H4120" s="140" t="str">
        <f>"Black Gold Traders FZE"</f>
        <v>Black Gold Traders FZE</v>
      </c>
      <c r="I4120" s="141">
        <v>961500565</v>
      </c>
      <c r="J4120" s="131" t="s">
        <v>9866</v>
      </c>
      <c r="K4120" s="142">
        <v>495620</v>
      </c>
    </row>
    <row r="4121" spans="1:11">
      <c r="A4121" s="1" t="str">
        <f t="shared" si="76"/>
        <v>50100-948049096-961500364110000</v>
      </c>
      <c r="B4121" s="141" t="str">
        <f>"50100-9480490"</f>
        <v>50100-9480490</v>
      </c>
      <c r="C4121" s="141" t="str">
        <f>"9480490"</f>
        <v>9480490</v>
      </c>
      <c r="D4121" s="132" t="s">
        <v>4971</v>
      </c>
      <c r="E4121" s="141" t="str">
        <f>"96/08/24"</f>
        <v>96/08/24</v>
      </c>
      <c r="F4121" s="141" t="str">
        <f>"96/08/24"</f>
        <v>96/08/24</v>
      </c>
      <c r="G4121" s="141" t="str">
        <f>"1396502500001"</f>
        <v>1396502500001</v>
      </c>
      <c r="H4121" s="140" t="str">
        <f>"SHINING GREEN STAR FZE"</f>
        <v>SHINING GREEN STAR FZE</v>
      </c>
      <c r="I4121" s="141">
        <v>961500364</v>
      </c>
      <c r="J4121" s="131" t="s">
        <v>6424</v>
      </c>
      <c r="K4121" s="142">
        <v>110000</v>
      </c>
    </row>
    <row r="4122" spans="1:11">
      <c r="A4122" s="1" t="str">
        <f t="shared" si="76"/>
        <v>50100-948049096-9615003575850</v>
      </c>
      <c r="B4122" s="141" t="str">
        <f>"50100-9480490"</f>
        <v>50100-9480490</v>
      </c>
      <c r="C4122" s="141" t="str">
        <f>"9480490"</f>
        <v>9480490</v>
      </c>
      <c r="D4122" s="132" t="s">
        <v>4971</v>
      </c>
      <c r="E4122" s="141" t="str">
        <f>"96/08/24"</f>
        <v>96/08/24</v>
      </c>
      <c r="F4122" s="141" t="str">
        <f>"96/08/24"</f>
        <v>96/08/24</v>
      </c>
      <c r="G4122" s="141" t="str">
        <f>"1396502500001"</f>
        <v>1396502500001</v>
      </c>
      <c r="H4122" s="140" t="str">
        <f>"SHINING GREEN STAR FZE"</f>
        <v>SHINING GREEN STAR FZE</v>
      </c>
      <c r="I4122" s="141">
        <v>961500357</v>
      </c>
      <c r="J4122" s="131" t="s">
        <v>9707</v>
      </c>
      <c r="K4122" s="142">
        <v>5850</v>
      </c>
    </row>
    <row r="4123" spans="1:11">
      <c r="A4123" s="1" t="str">
        <f t="shared" si="76"/>
        <v>50100-947203096-961500365200000</v>
      </c>
      <c r="B4123" s="141" t="str">
        <f>"50100-9472030"</f>
        <v>50100-9472030</v>
      </c>
      <c r="C4123" s="141" t="str">
        <f>"9472030"</f>
        <v>9472030</v>
      </c>
      <c r="D4123" s="132" t="s">
        <v>4971</v>
      </c>
      <c r="E4123" s="141" t="str">
        <f>"96/08/22"</f>
        <v>96/08/22</v>
      </c>
      <c r="F4123" s="141" t="str">
        <f>"96/08/22"</f>
        <v>96/08/22</v>
      </c>
      <c r="G4123" s="141" t="str">
        <f>"1396502696001"</f>
        <v>1396502696001</v>
      </c>
      <c r="H4123" s="140" t="str">
        <f>"LLC Sebco Bitumen"</f>
        <v>LLC Sebco Bitumen</v>
      </c>
      <c r="I4123" s="141">
        <v>961500365</v>
      </c>
      <c r="J4123" s="131" t="s">
        <v>9872</v>
      </c>
      <c r="K4123" s="142">
        <v>200000</v>
      </c>
    </row>
    <row r="4124" spans="1:11">
      <c r="A4124" s="1" t="str">
        <f t="shared" si="76"/>
        <v>50100-947203096-961500367159280</v>
      </c>
      <c r="B4124" s="141" t="str">
        <f>"50100-9472030"</f>
        <v>50100-9472030</v>
      </c>
      <c r="C4124" s="141" t="str">
        <f>"9472030"</f>
        <v>9472030</v>
      </c>
      <c r="D4124" s="132" t="s">
        <v>4971</v>
      </c>
      <c r="E4124" s="141" t="str">
        <f>"96/08/22"</f>
        <v>96/08/22</v>
      </c>
      <c r="F4124" s="141" t="str">
        <f>"96/08/22"</f>
        <v>96/08/22</v>
      </c>
      <c r="G4124" s="141" t="str">
        <f>"1396502696001"</f>
        <v>1396502696001</v>
      </c>
      <c r="H4124" s="140" t="str">
        <f>"LLC Sebco Bitumen"</f>
        <v>LLC Sebco Bitumen</v>
      </c>
      <c r="I4124" s="141">
        <v>961500367</v>
      </c>
      <c r="J4124" s="131" t="s">
        <v>9873</v>
      </c>
      <c r="K4124" s="142">
        <v>159280</v>
      </c>
    </row>
    <row r="4125" spans="1:11">
      <c r="A4125" s="1" t="str">
        <f t="shared" si="76"/>
        <v>50100-950274996-961500417131500</v>
      </c>
      <c r="B4125" s="141" t="str">
        <f>"50100-9502749"</f>
        <v>50100-9502749</v>
      </c>
      <c r="C4125" s="141" t="str">
        <f>"9502749"</f>
        <v>9502749</v>
      </c>
      <c r="D4125" s="132" t="s">
        <v>4971</v>
      </c>
      <c r="E4125" s="141" t="str">
        <f>"96/08/30"</f>
        <v>96/08/30</v>
      </c>
      <c r="F4125" s="141" t="str">
        <f>"96/08/30"</f>
        <v>96/08/30</v>
      </c>
      <c r="G4125" s="141" t="str">
        <f>"1396502696001"</f>
        <v>1396502696001</v>
      </c>
      <c r="H4125" s="140" t="str">
        <f>"LLC Sebco Bitumen"</f>
        <v>LLC Sebco Bitumen</v>
      </c>
      <c r="I4125" s="141">
        <v>961500417</v>
      </c>
      <c r="J4125" s="131" t="s">
        <v>9874</v>
      </c>
      <c r="K4125" s="142">
        <v>131500</v>
      </c>
    </row>
    <row r="4126" spans="1:11">
      <c r="A4126" s="1" t="str">
        <f t="shared" si="76"/>
        <v>50100-947461696-961500633494931</v>
      </c>
      <c r="B4126" s="141" t="str">
        <f>"50100-9474616"</f>
        <v>50100-9474616</v>
      </c>
      <c r="C4126" s="141" t="str">
        <f>"9474616"</f>
        <v>9474616</v>
      </c>
      <c r="D4126" s="132" t="s">
        <v>4971</v>
      </c>
      <c r="E4126" s="141" t="str">
        <f>"96/08/23"</f>
        <v>96/08/23</v>
      </c>
      <c r="F4126" s="141" t="str">
        <f>"96/08/23"</f>
        <v>96/08/23</v>
      </c>
      <c r="G4126" s="141" t="str">
        <f>"1396519129001"</f>
        <v>1396519129001</v>
      </c>
      <c r="H4126" s="140" t="str">
        <f>"AL MASAR PETROLUME L.L.C"</f>
        <v>AL MASAR PETROLUME L.L.C</v>
      </c>
      <c r="I4126" s="141">
        <v>961500633</v>
      </c>
      <c r="J4126" s="131" t="s">
        <v>9860</v>
      </c>
      <c r="K4126" s="142">
        <v>494931</v>
      </c>
    </row>
    <row r="4127" spans="1:11">
      <c r="A4127" s="1" t="str">
        <f t="shared" si="76"/>
        <v>50100-947692096-96150034982340</v>
      </c>
      <c r="B4127" s="141" t="str">
        <f>"50100-9476920"</f>
        <v>50100-9476920</v>
      </c>
      <c r="C4127" s="141" t="str">
        <f>"9476920"</f>
        <v>9476920</v>
      </c>
      <c r="D4127" s="132" t="s">
        <v>4971</v>
      </c>
      <c r="E4127" s="141" t="str">
        <f>"96/08/23"</f>
        <v>96/08/23</v>
      </c>
      <c r="F4127" s="141" t="str">
        <f>"96/08/23"</f>
        <v>96/08/23</v>
      </c>
      <c r="G4127" s="141" t="str">
        <f>"1396497354001"</f>
        <v>1396497354001</v>
      </c>
      <c r="H4127" s="140" t="str">
        <f>"LLC Sebco Bitumen"</f>
        <v>LLC Sebco Bitumen</v>
      </c>
      <c r="I4127" s="141">
        <v>961500349</v>
      </c>
      <c r="J4127" s="131" t="s">
        <v>9733</v>
      </c>
      <c r="K4127" s="142">
        <v>82340</v>
      </c>
    </row>
    <row r="4128" spans="1:11">
      <c r="A4128" s="1" t="str">
        <f t="shared" si="76"/>
        <v>50100-948168596-96150041160604</v>
      </c>
      <c r="B4128" s="141" t="str">
        <f>"50100-9481685"</f>
        <v>50100-9481685</v>
      </c>
      <c r="C4128" s="141" t="str">
        <f>"9481685"</f>
        <v>9481685</v>
      </c>
      <c r="D4128" s="132" t="s">
        <v>4971</v>
      </c>
      <c r="E4128" s="141" t="str">
        <f>"96/08/25"</f>
        <v>96/08/25</v>
      </c>
      <c r="F4128" s="141" t="str">
        <f>"96/08/25"</f>
        <v>96/08/25</v>
      </c>
      <c r="G4128" s="141" t="str">
        <f>"1396502986001"</f>
        <v>1396502986001</v>
      </c>
      <c r="H4128" s="140" t="str">
        <f>"Black Gold Traders FZE"</f>
        <v>Black Gold Traders FZE</v>
      </c>
      <c r="I4128" s="141">
        <v>961500411</v>
      </c>
      <c r="J4128" s="131" t="s">
        <v>9718</v>
      </c>
      <c r="K4128" s="142">
        <v>60604</v>
      </c>
    </row>
    <row r="4129" spans="1:11">
      <c r="A4129" s="1" t="str">
        <f t="shared" si="76"/>
        <v>50100-948168596-96150051910518</v>
      </c>
      <c r="B4129" s="141" t="str">
        <f>"50100-9481685"</f>
        <v>50100-9481685</v>
      </c>
      <c r="C4129" s="141" t="str">
        <f>"9481685"</f>
        <v>9481685</v>
      </c>
      <c r="D4129" s="132" t="s">
        <v>4971</v>
      </c>
      <c r="E4129" s="141" t="str">
        <f>"96/08/25"</f>
        <v>96/08/25</v>
      </c>
      <c r="F4129" s="141" t="str">
        <f>"96/08/25"</f>
        <v>96/08/25</v>
      </c>
      <c r="G4129" s="141" t="str">
        <f>"1396500348001"</f>
        <v>1396500348001</v>
      </c>
      <c r="H4129" s="140" t="str">
        <f>"Black Gold Traders FZE"</f>
        <v>Black Gold Traders FZE</v>
      </c>
      <c r="I4129" s="141">
        <v>961500519</v>
      </c>
      <c r="J4129" s="131" t="s">
        <v>8828</v>
      </c>
      <c r="K4129" s="142">
        <v>10518</v>
      </c>
    </row>
    <row r="4130" spans="1:11">
      <c r="A4130" s="1" t="str">
        <f t="shared" si="76"/>
        <v>50100-946642896-96250014038126</v>
      </c>
      <c r="B4130" s="141" t="str">
        <f>"50100-9466428"</f>
        <v>50100-9466428</v>
      </c>
      <c r="C4130" s="141" t="str">
        <f>"9466428"</f>
        <v>9466428</v>
      </c>
      <c r="D4130" s="132" t="s">
        <v>4971</v>
      </c>
      <c r="E4130" s="141" t="str">
        <f>"96/08/21"</f>
        <v>96/08/21</v>
      </c>
      <c r="F4130" s="141" t="str">
        <f>"96/08/21"</f>
        <v>96/08/21</v>
      </c>
      <c r="G4130" s="141" t="str">
        <f>"1396472851001"</f>
        <v>1396472851001</v>
      </c>
      <c r="H4130" s="140" t="str">
        <f>"Elixir General Trading FZE"</f>
        <v>Elixir General Trading FZE</v>
      </c>
      <c r="I4130" s="141">
        <v>962500140</v>
      </c>
      <c r="J4130" s="131" t="s">
        <v>9727</v>
      </c>
      <c r="K4130" s="142">
        <v>38126</v>
      </c>
    </row>
    <row r="4131" spans="1:11">
      <c r="A4131" s="1" t="str">
        <f t="shared" si="76"/>
        <v>50100-948168596-96250012359447</v>
      </c>
      <c r="B4131" s="141" t="str">
        <f>"50100-9481685"</f>
        <v>50100-9481685</v>
      </c>
      <c r="C4131" s="141" t="str">
        <f>"9481685"</f>
        <v>9481685</v>
      </c>
      <c r="D4131" s="132" t="s">
        <v>4971</v>
      </c>
      <c r="E4131" s="141" t="str">
        <f>"96/08/25"</f>
        <v>96/08/25</v>
      </c>
      <c r="F4131" s="141" t="str">
        <f>"96/08/25"</f>
        <v>96/08/25</v>
      </c>
      <c r="G4131" s="141" t="str">
        <f>"1396507042001"</f>
        <v>1396507042001</v>
      </c>
      <c r="H4131" s="140" t="str">
        <f>"Black Gold Traders FZE"</f>
        <v>Black Gold Traders FZE</v>
      </c>
      <c r="I4131" s="141">
        <v>962500123</v>
      </c>
      <c r="J4131" s="131" t="s">
        <v>8771</v>
      </c>
      <c r="K4131" s="142">
        <v>59447</v>
      </c>
    </row>
    <row r="4132" spans="1:11">
      <c r="A4132" s="1" t="str">
        <f t="shared" si="76"/>
        <v>50100-947195896-96150037864400</v>
      </c>
      <c r="B4132" s="141" t="str">
        <f>"50100-9471958"</f>
        <v>50100-9471958</v>
      </c>
      <c r="C4132" s="141" t="str">
        <f>"9471958"</f>
        <v>9471958</v>
      </c>
      <c r="D4132" s="132" t="s">
        <v>4971</v>
      </c>
      <c r="E4132" s="141" t="str">
        <f t="shared" ref="E4132:F4134" si="79">"96/08/22"</f>
        <v>96/08/22</v>
      </c>
      <c r="F4132" s="141" t="str">
        <f t="shared" si="79"/>
        <v>96/08/22</v>
      </c>
      <c r="G4132" s="141" t="str">
        <f>"1396502696001"</f>
        <v>1396502696001</v>
      </c>
      <c r="H4132" s="140" t="str">
        <f>"LLC Sebco Bitumen"</f>
        <v>LLC Sebco Bitumen</v>
      </c>
      <c r="I4132" s="141">
        <v>961500378</v>
      </c>
      <c r="J4132" s="131" t="s">
        <v>9842</v>
      </c>
      <c r="K4132" s="142">
        <v>64400</v>
      </c>
    </row>
    <row r="4133" spans="1:11">
      <c r="A4133" s="1" t="str">
        <f t="shared" si="76"/>
        <v>50100-947195896-96150038299000</v>
      </c>
      <c r="B4133" s="141" t="str">
        <f>"50100-9471958"</f>
        <v>50100-9471958</v>
      </c>
      <c r="C4133" s="141" t="str">
        <f>"9471958"</f>
        <v>9471958</v>
      </c>
      <c r="D4133" s="132" t="s">
        <v>4971</v>
      </c>
      <c r="E4133" s="141" t="str">
        <f t="shared" si="79"/>
        <v>96/08/22</v>
      </c>
      <c r="F4133" s="141" t="str">
        <f t="shared" si="79"/>
        <v>96/08/22</v>
      </c>
      <c r="G4133" s="141" t="str">
        <f>"1396502696001"</f>
        <v>1396502696001</v>
      </c>
      <c r="H4133" s="140" t="str">
        <f>"LLC Sebco Bitumen"</f>
        <v>LLC Sebco Bitumen</v>
      </c>
      <c r="I4133" s="141">
        <v>961500382</v>
      </c>
      <c r="J4133" s="131" t="s">
        <v>9875</v>
      </c>
      <c r="K4133" s="142">
        <v>99000</v>
      </c>
    </row>
    <row r="4134" spans="1:11">
      <c r="A4134" s="1" t="str">
        <f t="shared" si="76"/>
        <v>50100-947195896-96150038146600</v>
      </c>
      <c r="B4134" s="141" t="str">
        <f>"50100-9471958"</f>
        <v>50100-9471958</v>
      </c>
      <c r="C4134" s="141" t="str">
        <f>"9471958"</f>
        <v>9471958</v>
      </c>
      <c r="D4134" s="132" t="s">
        <v>4971</v>
      </c>
      <c r="E4134" s="141" t="str">
        <f t="shared" si="79"/>
        <v>96/08/22</v>
      </c>
      <c r="F4134" s="141" t="str">
        <f t="shared" si="79"/>
        <v>96/08/22</v>
      </c>
      <c r="G4134" s="141" t="str">
        <f>"1396502696001"</f>
        <v>1396502696001</v>
      </c>
      <c r="H4134" s="140" t="str">
        <f>"LLC Sebco Bitumen"</f>
        <v>LLC Sebco Bitumen</v>
      </c>
      <c r="I4134" s="141">
        <v>961500381</v>
      </c>
      <c r="J4134" s="131" t="s">
        <v>9876</v>
      </c>
      <c r="K4134" s="142">
        <v>46600</v>
      </c>
    </row>
    <row r="4135" spans="1:11">
      <c r="A4135" s="1" t="str">
        <f t="shared" si="76"/>
        <v>50100-944683896-9615005861001860</v>
      </c>
      <c r="B4135" s="141" t="str">
        <f>"50100-9446838"</f>
        <v>50100-9446838</v>
      </c>
      <c r="C4135" s="141" t="str">
        <f>"9446838"</f>
        <v>9446838</v>
      </c>
      <c r="D4135" s="132" t="s">
        <v>4971</v>
      </c>
      <c r="E4135" s="141" t="str">
        <f t="shared" ref="E4135:F4137" si="80">"96/08/16"</f>
        <v>96/08/16</v>
      </c>
      <c r="F4135" s="141" t="str">
        <f t="shared" si="80"/>
        <v>96/08/16</v>
      </c>
      <c r="G4135" s="141" t="str">
        <f>"1396514771001"</f>
        <v>1396514771001</v>
      </c>
      <c r="H4135" s="140" t="str">
        <f>"DAXON PETROLEUM"</f>
        <v>DAXON PETROLEUM</v>
      </c>
      <c r="I4135" s="141">
        <v>961500586</v>
      </c>
      <c r="J4135" s="131" t="s">
        <v>9877</v>
      </c>
      <c r="K4135" s="142">
        <v>1001860</v>
      </c>
    </row>
    <row r="4136" spans="1:11">
      <c r="A4136" s="1" t="str">
        <f t="shared" si="76"/>
        <v>50100-944683896-961500424600000</v>
      </c>
      <c r="B4136" s="141" t="str">
        <f>"50100-9446838"</f>
        <v>50100-9446838</v>
      </c>
      <c r="C4136" s="141" t="str">
        <f>"9446838"</f>
        <v>9446838</v>
      </c>
      <c r="D4136" s="132" t="s">
        <v>4971</v>
      </c>
      <c r="E4136" s="141" t="str">
        <f t="shared" si="80"/>
        <v>96/08/16</v>
      </c>
      <c r="F4136" s="141" t="str">
        <f t="shared" si="80"/>
        <v>96/08/16</v>
      </c>
      <c r="G4136" s="141" t="str">
        <f>"1396500678001"</f>
        <v>1396500678001</v>
      </c>
      <c r="H4136" s="140" t="str">
        <f>"DAXON PETROLEUM"</f>
        <v>DAXON PETROLEUM</v>
      </c>
      <c r="I4136" s="141">
        <v>961500424</v>
      </c>
      <c r="J4136" s="131" t="s">
        <v>9878</v>
      </c>
      <c r="K4136" s="142">
        <v>600000</v>
      </c>
    </row>
    <row r="4137" spans="1:11">
      <c r="A4137" s="1" t="str">
        <f t="shared" si="76"/>
        <v>50100-944683896-961500493598260</v>
      </c>
      <c r="B4137" s="141" t="str">
        <f>"50100-9446838"</f>
        <v>50100-9446838</v>
      </c>
      <c r="C4137" s="141" t="str">
        <f>"9446838"</f>
        <v>9446838</v>
      </c>
      <c r="D4137" s="132" t="s">
        <v>4971</v>
      </c>
      <c r="E4137" s="141" t="str">
        <f t="shared" si="80"/>
        <v>96/08/16</v>
      </c>
      <c r="F4137" s="141" t="str">
        <f t="shared" si="80"/>
        <v>96/08/16</v>
      </c>
      <c r="G4137" s="141" t="str">
        <f>"1396511593001"</f>
        <v>1396511593001</v>
      </c>
      <c r="H4137" s="140" t="str">
        <f>"DAXON PETROLEUM"</f>
        <v>DAXON PETROLEUM</v>
      </c>
      <c r="I4137" s="141">
        <v>961500493</v>
      </c>
      <c r="J4137" s="131" t="s">
        <v>9879</v>
      </c>
      <c r="K4137" s="142">
        <v>598260</v>
      </c>
    </row>
    <row r="4138" spans="1:11">
      <c r="A4138" s="1" t="str">
        <f t="shared" si="76"/>
        <v>50100-947687296-961500347121500</v>
      </c>
      <c r="B4138" s="141" t="str">
        <f>"50100-9476872"</f>
        <v>50100-9476872</v>
      </c>
      <c r="C4138" s="141" t="str">
        <f>"9476872"</f>
        <v>9476872</v>
      </c>
      <c r="D4138" s="132" t="s">
        <v>4971</v>
      </c>
      <c r="E4138" s="141" t="str">
        <f>"96/08/23"</f>
        <v>96/08/23</v>
      </c>
      <c r="F4138" s="141" t="str">
        <f>"96/08/23"</f>
        <v>96/08/23</v>
      </c>
      <c r="G4138" s="141" t="str">
        <f>"1396497354001"</f>
        <v>1396497354001</v>
      </c>
      <c r="H4138" s="140" t="str">
        <f>"LLC Sebco Bitumen"</f>
        <v>LLC Sebco Bitumen</v>
      </c>
      <c r="I4138" s="141">
        <v>961500347</v>
      </c>
      <c r="J4138" s="131" t="s">
        <v>9736</v>
      </c>
      <c r="K4138" s="142">
        <v>121500</v>
      </c>
    </row>
    <row r="4139" spans="1:11">
      <c r="A4139" s="1" t="str">
        <f t="shared" si="76"/>
        <v>50100-949597896-961500595500000</v>
      </c>
      <c r="B4139" s="141" t="str">
        <f>"50100-9495978"</f>
        <v>50100-9495978</v>
      </c>
      <c r="C4139" s="141" t="str">
        <f>"9495978"</f>
        <v>9495978</v>
      </c>
      <c r="D4139" s="132" t="s">
        <v>4971</v>
      </c>
      <c r="E4139" s="141" t="str">
        <f>"96/08/29"</f>
        <v>96/08/29</v>
      </c>
      <c r="F4139" s="141" t="str">
        <f>"96/08/29"</f>
        <v>96/08/29</v>
      </c>
      <c r="G4139" s="141" t="str">
        <f>"1396512824001"</f>
        <v>1396512824001</v>
      </c>
      <c r="H4139" s="140" t="str">
        <f>"Black Gold Traders FZE"</f>
        <v>Black Gold Traders FZE</v>
      </c>
      <c r="I4139" s="141">
        <v>961500595</v>
      </c>
      <c r="J4139" s="131" t="s">
        <v>9880</v>
      </c>
      <c r="K4139" s="142">
        <v>500000</v>
      </c>
    </row>
    <row r="4140" spans="1:11">
      <c r="A4140" s="1" t="str">
        <f t="shared" si="76"/>
        <v>50100-946589696-961500380500000</v>
      </c>
      <c r="B4140" s="141" t="str">
        <f>"50100-9465896"</f>
        <v>50100-9465896</v>
      </c>
      <c r="C4140" s="141" t="str">
        <f>"9465896"</f>
        <v>9465896</v>
      </c>
      <c r="D4140" s="132" t="s">
        <v>4971</v>
      </c>
      <c r="E4140" s="141" t="str">
        <f>"96/08/21"</f>
        <v>96/08/21</v>
      </c>
      <c r="F4140" s="141" t="str">
        <f>"96/08/21"</f>
        <v>96/08/21</v>
      </c>
      <c r="G4140" s="141" t="str">
        <f>"1396502500001"</f>
        <v>1396502500001</v>
      </c>
      <c r="H4140" s="140" t="str">
        <f>"SHINING GREEN STAR FZE"</f>
        <v>SHINING GREEN STAR FZE</v>
      </c>
      <c r="I4140" s="141">
        <v>961500380</v>
      </c>
      <c r="J4140" s="131" t="s">
        <v>9882</v>
      </c>
      <c r="K4140" s="142">
        <v>500000</v>
      </c>
    </row>
    <row r="4141" spans="1:11">
      <c r="A4141" s="1" t="str">
        <f t="shared" si="76"/>
        <v>50100-945037896-964100070939588</v>
      </c>
      <c r="B4141" s="141" t="str">
        <f>"50100-9450378"</f>
        <v>50100-9450378</v>
      </c>
      <c r="C4141" s="141" t="str">
        <f>"9450378"</f>
        <v>9450378</v>
      </c>
      <c r="D4141" s="132" t="s">
        <v>4971</v>
      </c>
      <c r="E4141" s="141" t="str">
        <f>"96/08/17"</f>
        <v>96/08/17</v>
      </c>
      <c r="F4141" s="141" t="str">
        <f>"96/08/17"</f>
        <v>96/08/17</v>
      </c>
      <c r="G4141" s="141" t="str">
        <f>"1396517658001"</f>
        <v>1396517658001</v>
      </c>
      <c r="H4141" s="140" t="str">
        <f>"AL MASAR PETROLUME L.L.C"</f>
        <v>AL MASAR PETROLUME L.L.C</v>
      </c>
      <c r="I4141" s="141">
        <v>964100070</v>
      </c>
      <c r="J4141" s="131" t="s">
        <v>9883</v>
      </c>
      <c r="K4141" s="142">
        <v>939588</v>
      </c>
    </row>
    <row r="4142" spans="1:11">
      <c r="A4142" s="1" t="str">
        <f t="shared" si="76"/>
        <v>50100-946041696-962500132980100</v>
      </c>
      <c r="B4142" s="141" t="str">
        <f>"50100-9460416"</f>
        <v>50100-9460416</v>
      </c>
      <c r="C4142" s="141" t="str">
        <f>"9460416"</f>
        <v>9460416</v>
      </c>
      <c r="D4142" s="132" t="s">
        <v>4971</v>
      </c>
      <c r="E4142" s="141" t="str">
        <f>"96/08/20"</f>
        <v>96/08/20</v>
      </c>
      <c r="F4142" s="141" t="str">
        <f>"96/08/20"</f>
        <v>96/08/20</v>
      </c>
      <c r="G4142" s="141" t="str">
        <f>"1396517982001"</f>
        <v>1396517982001</v>
      </c>
      <c r="H4142" s="140" t="str">
        <f>"PETRO HUB ENERGY FZE"</f>
        <v>PETRO HUB ENERGY FZE</v>
      </c>
      <c r="I4142" s="141">
        <v>962500132</v>
      </c>
      <c r="J4142" s="131" t="s">
        <v>9884</v>
      </c>
      <c r="K4142" s="142">
        <v>980100</v>
      </c>
    </row>
    <row r="4143" spans="1:11">
      <c r="A4143" s="1" t="str">
        <f t="shared" si="76"/>
        <v>50100-947096396-962500060415679</v>
      </c>
      <c r="B4143" s="141" t="str">
        <f>"50100-9470963"</f>
        <v>50100-9470963</v>
      </c>
      <c r="C4143" s="141" t="str">
        <f>"9470963"</f>
        <v>9470963</v>
      </c>
      <c r="D4143" s="132" t="s">
        <v>4971</v>
      </c>
      <c r="E4143" s="141" t="str">
        <f>"96/08/22"</f>
        <v>96/08/22</v>
      </c>
      <c r="F4143" s="141" t="str">
        <f>"96/08/22"</f>
        <v>96/08/22</v>
      </c>
      <c r="G4143" s="141" t="str">
        <f>"1396492054001"</f>
        <v>1396492054001</v>
      </c>
      <c r="H4143" s="140" t="str">
        <f>"LLC Sebco Bitumen"</f>
        <v>LLC Sebco Bitumen</v>
      </c>
      <c r="I4143" s="141">
        <v>962500060</v>
      </c>
      <c r="J4143" s="131" t="s">
        <v>6039</v>
      </c>
      <c r="K4143" s="142">
        <v>415679</v>
      </c>
    </row>
    <row r="4144" spans="1:11">
      <c r="A4144" s="1" t="str">
        <f t="shared" si="76"/>
        <v>50100-948959396-962500155493263</v>
      </c>
      <c r="B4144" s="141" t="str">
        <f>"50100-9489593"</f>
        <v>50100-9489593</v>
      </c>
      <c r="C4144" s="141" t="str">
        <f>"9489593"</f>
        <v>9489593</v>
      </c>
      <c r="D4144" s="132" t="s">
        <v>4971</v>
      </c>
      <c r="E4144" s="141" t="str">
        <f>"96/08/27"</f>
        <v>96/08/27</v>
      </c>
      <c r="F4144" s="141" t="str">
        <f>"96/08/27"</f>
        <v>96/08/27</v>
      </c>
      <c r="G4144" s="141" t="str">
        <f>"1396517659001"</f>
        <v>1396517659001</v>
      </c>
      <c r="H4144" s="140" t="str">
        <f>"Black Gold Traders FZE"</f>
        <v>Black Gold Traders FZE</v>
      </c>
      <c r="I4144" s="141">
        <v>962500155</v>
      </c>
      <c r="J4144" s="131" t="s">
        <v>9885</v>
      </c>
      <c r="K4144" s="142">
        <v>493263</v>
      </c>
    </row>
    <row r="4145" spans="1:11">
      <c r="A4145" s="1" t="str">
        <f t="shared" si="76"/>
        <v>50100-949978896-961500440137072</v>
      </c>
      <c r="B4145" s="141" t="str">
        <f>"50100-9499788"</f>
        <v>50100-9499788</v>
      </c>
      <c r="C4145" s="141" t="str">
        <f>"9499788"</f>
        <v>9499788</v>
      </c>
      <c r="D4145" s="132" t="s">
        <v>4971</v>
      </c>
      <c r="E4145" s="141" t="str">
        <f t="shared" ref="E4145:F4147" si="81">"96/08/30"</f>
        <v>96/08/30</v>
      </c>
      <c r="F4145" s="141" t="str">
        <f t="shared" si="81"/>
        <v>96/08/30</v>
      </c>
      <c r="G4145" s="141" t="str">
        <f>"1396502500001"</f>
        <v>1396502500001</v>
      </c>
      <c r="H4145" s="140" t="str">
        <f>"SHINING GREEN STAR FZE"</f>
        <v>SHINING GREEN STAR FZE</v>
      </c>
      <c r="I4145" s="141">
        <v>961500440</v>
      </c>
      <c r="J4145" s="131" t="s">
        <v>9886</v>
      </c>
      <c r="K4145" s="142">
        <v>137072</v>
      </c>
    </row>
    <row r="4146" spans="1:11">
      <c r="A4146" s="1" t="str">
        <f t="shared" si="76"/>
        <v>50100-949978896-961500571359253</v>
      </c>
      <c r="B4146" s="141" t="str">
        <f>"50100-9499788"</f>
        <v>50100-9499788</v>
      </c>
      <c r="C4146" s="141" t="str">
        <f>"9499788"</f>
        <v>9499788</v>
      </c>
      <c r="D4146" s="132" t="s">
        <v>4971</v>
      </c>
      <c r="E4146" s="141" t="str">
        <f t="shared" si="81"/>
        <v>96/08/30</v>
      </c>
      <c r="F4146" s="141" t="str">
        <f t="shared" si="81"/>
        <v>96/08/30</v>
      </c>
      <c r="G4146" s="141" t="str">
        <f>"1396511639001"</f>
        <v>1396511639001</v>
      </c>
      <c r="H4146" s="140" t="str">
        <f>"SHINING GREEN STAR FZE"</f>
        <v>SHINING GREEN STAR FZE</v>
      </c>
      <c r="I4146" s="141">
        <v>961500571</v>
      </c>
      <c r="J4146" s="131" t="s">
        <v>9887</v>
      </c>
      <c r="K4146" s="142">
        <v>359253</v>
      </c>
    </row>
    <row r="4147" spans="1:11">
      <c r="A4147" s="1" t="str">
        <f t="shared" si="76"/>
        <v>50100-950000396-964200008491925</v>
      </c>
      <c r="B4147" s="141" t="str">
        <f>"50100-9500003"</f>
        <v>50100-9500003</v>
      </c>
      <c r="C4147" s="141" t="str">
        <f>"9500003"</f>
        <v>9500003</v>
      </c>
      <c r="D4147" s="132" t="s">
        <v>4971</v>
      </c>
      <c r="E4147" s="141" t="str">
        <f t="shared" si="81"/>
        <v>96/08/30</v>
      </c>
      <c r="F4147" s="141" t="str">
        <f t="shared" si="81"/>
        <v>96/08/30</v>
      </c>
      <c r="G4147" s="141">
        <v>1396522402001</v>
      </c>
      <c r="H4147" s="140" t="str">
        <f>""</f>
        <v/>
      </c>
      <c r="I4147" s="141">
        <v>964200008</v>
      </c>
      <c r="J4147" s="131" t="s">
        <v>9888</v>
      </c>
      <c r="K4147" s="142">
        <v>491925</v>
      </c>
    </row>
    <row r="4148" spans="1:11">
      <c r="A4148" s="1" t="str">
        <f t="shared" si="76"/>
        <v>50100-944714296-96250014020825</v>
      </c>
      <c r="B4148" s="141" t="str">
        <f>"50100-9447142"</f>
        <v>50100-9447142</v>
      </c>
      <c r="C4148" s="141" t="str">
        <f>"9447142"</f>
        <v>9447142</v>
      </c>
      <c r="D4148" s="132" t="s">
        <v>4971</v>
      </c>
      <c r="E4148" s="141" t="str">
        <f>"96/08/16"</f>
        <v>96/08/16</v>
      </c>
      <c r="F4148" s="141" t="str">
        <f>"96/08/16"</f>
        <v>96/08/16</v>
      </c>
      <c r="G4148" s="141" t="str">
        <f>"1396472851001"</f>
        <v>1396472851001</v>
      </c>
      <c r="H4148" s="140" t="str">
        <f>"Elixir General Trading FZE"</f>
        <v>Elixir General Trading FZE</v>
      </c>
      <c r="I4148" s="141">
        <v>962500140</v>
      </c>
      <c r="J4148" s="131" t="s">
        <v>9727</v>
      </c>
      <c r="K4148" s="142">
        <v>20825</v>
      </c>
    </row>
    <row r="4149" spans="1:11">
      <c r="A4149" s="1" t="str">
        <f t="shared" si="76"/>
        <v>50100-947124096-96250014685396</v>
      </c>
      <c r="B4149" s="141" t="str">
        <f>"50100-9471240"</f>
        <v>50100-9471240</v>
      </c>
      <c r="C4149" s="141" t="str">
        <f>"9471240"</f>
        <v>9471240</v>
      </c>
      <c r="D4149" s="132" t="s">
        <v>4971</v>
      </c>
      <c r="E4149" s="141" t="str">
        <f>"96/08/22"</f>
        <v>96/08/22</v>
      </c>
      <c r="F4149" s="141" t="str">
        <f>"96/08/22"</f>
        <v>96/08/22</v>
      </c>
      <c r="G4149" s="141" t="str">
        <f>"1396521460001"</f>
        <v>1396521460001</v>
      </c>
      <c r="H4149" s="140" t="str">
        <f>"Black Gold Traders FZE"</f>
        <v>Black Gold Traders FZE</v>
      </c>
      <c r="I4149" s="141">
        <v>962500146</v>
      </c>
      <c r="J4149" s="131" t="s">
        <v>9890</v>
      </c>
      <c r="K4149" s="142">
        <v>85396</v>
      </c>
    </row>
    <row r="4150" spans="1:11">
      <c r="A4150" s="1" t="str">
        <f t="shared" si="76"/>
        <v>50100-944714296-962500138470000</v>
      </c>
      <c r="B4150" s="141" t="str">
        <f>"50100-9447142"</f>
        <v>50100-9447142</v>
      </c>
      <c r="C4150" s="141" t="str">
        <f>"9447142"</f>
        <v>9447142</v>
      </c>
      <c r="D4150" s="132" t="s">
        <v>4971</v>
      </c>
      <c r="E4150" s="141" t="str">
        <f>"96/08/16"</f>
        <v>96/08/16</v>
      </c>
      <c r="F4150" s="141" t="str">
        <f>"96/08/16"</f>
        <v>96/08/16</v>
      </c>
      <c r="G4150" s="141" t="str">
        <f>"1396472851001"</f>
        <v>1396472851001</v>
      </c>
      <c r="H4150" s="140" t="str">
        <f>"Elixir General Trading FZE"</f>
        <v>Elixir General Trading FZE</v>
      </c>
      <c r="I4150" s="141">
        <v>962500138</v>
      </c>
      <c r="J4150" s="131" t="s">
        <v>9891</v>
      </c>
      <c r="K4150" s="142">
        <v>470000</v>
      </c>
    </row>
    <row r="4151" spans="1:11">
      <c r="A4151" s="1" t="str">
        <f t="shared" si="76"/>
        <v>50100-947124096-962500127793315</v>
      </c>
      <c r="B4151" s="141" t="str">
        <f>"50100-9471240"</f>
        <v>50100-9471240</v>
      </c>
      <c r="C4151" s="141" t="str">
        <f>"9471240"</f>
        <v>9471240</v>
      </c>
      <c r="D4151" s="132" t="s">
        <v>4971</v>
      </c>
      <c r="E4151" s="141" t="str">
        <f>"96/08/22"</f>
        <v>96/08/22</v>
      </c>
      <c r="F4151" s="141" t="str">
        <f>"96/08/22"</f>
        <v>96/08/22</v>
      </c>
      <c r="G4151" s="141" t="str">
        <f>"1396507445001"</f>
        <v>1396507445001</v>
      </c>
      <c r="H4151" s="140" t="str">
        <f>"Black Gold Traders FZE"</f>
        <v>Black Gold Traders FZE</v>
      </c>
      <c r="I4151" s="141">
        <v>962500127</v>
      </c>
      <c r="J4151" s="131" t="s">
        <v>9728</v>
      </c>
      <c r="K4151" s="142">
        <v>793315</v>
      </c>
    </row>
    <row r="4152" spans="1:11">
      <c r="A4152" s="1" t="str">
        <f t="shared" si="76"/>
        <v>50100-947124096-962500145100000</v>
      </c>
      <c r="B4152" s="141" t="str">
        <f>"50100-9471240"</f>
        <v>50100-9471240</v>
      </c>
      <c r="C4152" s="141" t="str">
        <f>"9471240"</f>
        <v>9471240</v>
      </c>
      <c r="D4152" s="132" t="s">
        <v>4971</v>
      </c>
      <c r="E4152" s="141" t="str">
        <f>"96/08/22"</f>
        <v>96/08/22</v>
      </c>
      <c r="F4152" s="141" t="str">
        <f>"96/08/22"</f>
        <v>96/08/22</v>
      </c>
      <c r="G4152" s="141" t="str">
        <f>"1396521492001"</f>
        <v>1396521492001</v>
      </c>
      <c r="H4152" s="140" t="str">
        <f>"Black Gold Traders FZE"</f>
        <v>Black Gold Traders FZE</v>
      </c>
      <c r="I4152" s="141">
        <v>962500145</v>
      </c>
      <c r="J4152" s="131" t="s">
        <v>9892</v>
      </c>
      <c r="K4152" s="142">
        <v>100000</v>
      </c>
    </row>
    <row r="4153" spans="1:11">
      <c r="A4153" s="1" t="str">
        <f t="shared" si="76"/>
        <v>50100-946662496-961500594450000</v>
      </c>
      <c r="B4153" s="141" t="str">
        <f>"50100-9466624"</f>
        <v>50100-9466624</v>
      </c>
      <c r="C4153" s="141" t="str">
        <f>"9466624"</f>
        <v>9466624</v>
      </c>
      <c r="D4153" s="132" t="s">
        <v>4971</v>
      </c>
      <c r="E4153" s="141" t="str">
        <f>"96/08/21"</f>
        <v>96/08/21</v>
      </c>
      <c r="F4153" s="141" t="str">
        <f>"96/08/21"</f>
        <v>96/08/21</v>
      </c>
      <c r="G4153" s="141" t="str">
        <f>"1396516821001"</f>
        <v>1396516821001</v>
      </c>
      <c r="H4153" s="140" t="str">
        <f>"DAXON PETROLEUM"</f>
        <v>DAXON PETROLEUM</v>
      </c>
      <c r="I4153" s="141">
        <v>961500594</v>
      </c>
      <c r="J4153" s="131" t="s">
        <v>9893</v>
      </c>
      <c r="K4153" s="142">
        <v>450000</v>
      </c>
    </row>
    <row r="4154" spans="1:11">
      <c r="A4154" s="1" t="str">
        <f t="shared" si="76"/>
        <v>50100-945886296-96250013830000</v>
      </c>
      <c r="B4154" s="141" t="str">
        <f>"50100-9458862"</f>
        <v>50100-9458862</v>
      </c>
      <c r="C4154" s="141" t="str">
        <f>"9458862"</f>
        <v>9458862</v>
      </c>
      <c r="D4154" s="132" t="s">
        <v>4971</v>
      </c>
      <c r="E4154" s="141" t="str">
        <f>"96/08/20"</f>
        <v>96/08/20</v>
      </c>
      <c r="F4154" s="141" t="str">
        <f>"96/08/20"</f>
        <v>96/08/20</v>
      </c>
      <c r="G4154" s="141" t="str">
        <f>"1396472851001"</f>
        <v>1396472851001</v>
      </c>
      <c r="H4154" s="140" t="str">
        <f>"Elixir General Trading FZE"</f>
        <v>Elixir General Trading FZE</v>
      </c>
      <c r="I4154" s="141">
        <v>962500138</v>
      </c>
      <c r="J4154" s="131" t="s">
        <v>9891</v>
      </c>
      <c r="K4154" s="142">
        <v>30000</v>
      </c>
    </row>
    <row r="4155" spans="1:11">
      <c r="A4155" s="1" t="str">
        <f t="shared" si="76"/>
        <v>50100-948079996-961500439500525</v>
      </c>
      <c r="B4155" s="141" t="str">
        <f>"50100-9480799"</f>
        <v>50100-9480799</v>
      </c>
      <c r="C4155" s="141" t="str">
        <f>"9480799"</f>
        <v>9480799</v>
      </c>
      <c r="D4155" s="132" t="s">
        <v>4971</v>
      </c>
      <c r="E4155" s="141" t="str">
        <f>"96/08/24"</f>
        <v>96/08/24</v>
      </c>
      <c r="F4155" s="141" t="str">
        <f>"96/08/24"</f>
        <v>96/08/24</v>
      </c>
      <c r="G4155" s="141" t="str">
        <f>"1396502500001"</f>
        <v>1396502500001</v>
      </c>
      <c r="H4155" s="140" t="str">
        <f>"SHINING GREEN STAR FZE"</f>
        <v>SHINING GREEN STAR FZE</v>
      </c>
      <c r="I4155" s="141">
        <v>961500439</v>
      </c>
      <c r="J4155" s="131" t="s">
        <v>9725</v>
      </c>
      <c r="K4155" s="142">
        <v>500525</v>
      </c>
    </row>
    <row r="4156" spans="1:11">
      <c r="A4156" s="1" t="str">
        <f t="shared" si="76"/>
        <v>50100-944664996-9641000724775655</v>
      </c>
      <c r="B4156" s="141" t="str">
        <f>"50100-9446649"</f>
        <v>50100-9446649</v>
      </c>
      <c r="C4156" s="141" t="str">
        <f>"9446649"</f>
        <v>9446649</v>
      </c>
      <c r="D4156" s="132" t="s">
        <v>4971</v>
      </c>
      <c r="E4156" s="141" t="str">
        <f>"96/08/16"</f>
        <v>96/08/16</v>
      </c>
      <c r="F4156" s="141" t="str">
        <f>"96/08/16"</f>
        <v>96/08/16</v>
      </c>
      <c r="G4156" s="141" t="str">
        <f>"1396521456001"</f>
        <v>1396521456001</v>
      </c>
      <c r="H4156" s="140" t="str">
        <f>"AL MASAR PETROLUME L.L.C"</f>
        <v>AL MASAR PETROLUME L.L.C</v>
      </c>
      <c r="I4156" s="141">
        <v>964100072</v>
      </c>
      <c r="J4156" s="131" t="s">
        <v>9894</v>
      </c>
      <c r="K4156" s="142">
        <v>4775655</v>
      </c>
    </row>
    <row r="4157" spans="1:11">
      <c r="A4157" s="1" t="str">
        <f t="shared" si="76"/>
        <v>50100-947363896-962500147140000</v>
      </c>
      <c r="B4157" s="141" t="str">
        <f>"50100-9473638"</f>
        <v>50100-9473638</v>
      </c>
      <c r="C4157" s="141" t="str">
        <f>"9473638"</f>
        <v>9473638</v>
      </c>
      <c r="D4157" s="132" t="s">
        <v>4971</v>
      </c>
      <c r="E4157" s="141" t="str">
        <f>"96/08/23"</f>
        <v>96/08/23</v>
      </c>
      <c r="F4157" s="141" t="str">
        <f>"96/08/23"</f>
        <v>96/08/23</v>
      </c>
      <c r="G4157" s="141" t="str">
        <f>"1396517659001"</f>
        <v>1396517659001</v>
      </c>
      <c r="H4157" s="140" t="str">
        <f>"Black Gold Traders FZE"</f>
        <v>Black Gold Traders FZE</v>
      </c>
      <c r="I4157" s="141">
        <v>962500147</v>
      </c>
      <c r="J4157" s="131" t="s">
        <v>9895</v>
      </c>
      <c r="K4157" s="142">
        <v>140000</v>
      </c>
    </row>
    <row r="4158" spans="1:11">
      <c r="A4158" s="1" t="str">
        <f t="shared" si="76"/>
        <v>50100-947363896-962500131253769</v>
      </c>
      <c r="B4158" s="141" t="str">
        <f>"50100-9473638"</f>
        <v>50100-9473638</v>
      </c>
      <c r="C4158" s="141" t="str">
        <f>"9473638"</f>
        <v>9473638</v>
      </c>
      <c r="D4158" s="132" t="s">
        <v>4971</v>
      </c>
      <c r="E4158" s="141" t="str">
        <f>"96/08/23"</f>
        <v>96/08/23</v>
      </c>
      <c r="F4158" s="141" t="str">
        <f>"96/08/23"</f>
        <v>96/08/23</v>
      </c>
      <c r="G4158" s="141" t="str">
        <f>"1396517659001"</f>
        <v>1396517659001</v>
      </c>
      <c r="H4158" s="140" t="str">
        <f>"Black Gold Traders FZE"</f>
        <v>Black Gold Traders FZE</v>
      </c>
      <c r="I4158" s="141">
        <v>962500131</v>
      </c>
      <c r="J4158" s="131" t="s">
        <v>9896</v>
      </c>
      <c r="K4158" s="142">
        <v>253769</v>
      </c>
    </row>
    <row r="4159" spans="1:11">
      <c r="A4159" s="1" t="str">
        <f t="shared" si="76"/>
        <v>50100-949951596-961500439126622</v>
      </c>
      <c r="B4159" s="141" t="str">
        <f>"50100-9499515"</f>
        <v>50100-9499515</v>
      </c>
      <c r="C4159" s="141" t="str">
        <f>"9499515"</f>
        <v>9499515</v>
      </c>
      <c r="D4159" s="132" t="s">
        <v>4971</v>
      </c>
      <c r="E4159" s="141" t="str">
        <f>"96/08/30"</f>
        <v>96/08/30</v>
      </c>
      <c r="F4159" s="141" t="str">
        <f>"96/08/30"</f>
        <v>96/08/30</v>
      </c>
      <c r="G4159" s="141" t="str">
        <f>"1396502500001"</f>
        <v>1396502500001</v>
      </c>
      <c r="H4159" s="140" t="str">
        <f>"SHINING GREEN STAR FZE"</f>
        <v>SHINING GREEN STAR FZE</v>
      </c>
      <c r="I4159" s="141">
        <v>961500439</v>
      </c>
      <c r="J4159" s="131" t="s">
        <v>9725</v>
      </c>
      <c r="K4159" s="142">
        <v>126622</v>
      </c>
    </row>
    <row r="4160" spans="1:11">
      <c r="A4160" s="1" t="str">
        <f t="shared" si="76"/>
        <v>50100-949951596-961500440862928</v>
      </c>
      <c r="B4160" s="141" t="str">
        <f>"50100-9499515"</f>
        <v>50100-9499515</v>
      </c>
      <c r="C4160" s="141" t="str">
        <f>"9499515"</f>
        <v>9499515</v>
      </c>
      <c r="D4160" s="132" t="s">
        <v>4971</v>
      </c>
      <c r="E4160" s="141" t="str">
        <f>"96/08/30"</f>
        <v>96/08/30</v>
      </c>
      <c r="F4160" s="141" t="str">
        <f>"96/08/30"</f>
        <v>96/08/30</v>
      </c>
      <c r="G4160" s="141" t="str">
        <f>"1396502500001"</f>
        <v>1396502500001</v>
      </c>
      <c r="H4160" s="140" t="str">
        <f>"SHINING GREEN STAR FZE"</f>
        <v>SHINING GREEN STAR FZE</v>
      </c>
      <c r="I4160" s="141">
        <v>961500440</v>
      </c>
      <c r="J4160" s="131" t="s">
        <v>9886</v>
      </c>
      <c r="K4160" s="142">
        <v>862928</v>
      </c>
    </row>
    <row r="4161" spans="1:11">
      <c r="A4161" s="1" t="str">
        <f t="shared" si="76"/>
        <v>50100-948049096-96150043910995</v>
      </c>
      <c r="B4161" s="141" t="str">
        <f>"50100-9480490"</f>
        <v>50100-9480490</v>
      </c>
      <c r="C4161" s="141" t="str">
        <f>"9480490"</f>
        <v>9480490</v>
      </c>
      <c r="D4161" s="132" t="s">
        <v>4971</v>
      </c>
      <c r="E4161" s="141" t="str">
        <f>"96/08/24"</f>
        <v>96/08/24</v>
      </c>
      <c r="F4161" s="141" t="str">
        <f>"96/08/24"</f>
        <v>96/08/24</v>
      </c>
      <c r="G4161" s="141" t="str">
        <f>"1396502500001"</f>
        <v>1396502500001</v>
      </c>
      <c r="H4161" s="140" t="str">
        <f>"SHINING GREEN STAR FZE"</f>
        <v>SHINING GREEN STAR FZE</v>
      </c>
      <c r="I4161" s="141">
        <v>961500439</v>
      </c>
      <c r="J4161" s="131" t="s">
        <v>9725</v>
      </c>
      <c r="K4161" s="142">
        <v>10995</v>
      </c>
    </row>
    <row r="4162" spans="1:11">
      <c r="A4162" s="1" t="str">
        <f t="shared" si="76"/>
        <v>50100-945886295-95150050813549</v>
      </c>
      <c r="B4162" s="141" t="str">
        <f>"50100-9458862"</f>
        <v>50100-9458862</v>
      </c>
      <c r="C4162" s="141" t="str">
        <f>"9458862"</f>
        <v>9458862</v>
      </c>
      <c r="D4162" s="132" t="s">
        <v>4971</v>
      </c>
      <c r="E4162" s="141" t="str">
        <f>"96/08/20"</f>
        <v>96/08/20</v>
      </c>
      <c r="F4162" s="141" t="str">
        <f>"96/08/20"</f>
        <v>96/08/20</v>
      </c>
      <c r="G4162" s="141" t="str">
        <f>"1395451402001"</f>
        <v>1395451402001</v>
      </c>
      <c r="H4162" s="140" t="str">
        <f>"BITUBIZ FZE"</f>
        <v>BITUBIZ FZE</v>
      </c>
      <c r="I4162" s="141">
        <v>951500508</v>
      </c>
      <c r="J4162" s="131" t="s">
        <v>4900</v>
      </c>
      <c r="K4162" s="142">
        <v>13549</v>
      </c>
    </row>
    <row r="4163" spans="1:11">
      <c r="A4163" s="1" t="str">
        <f t="shared" ref="A4163:A4226" si="82">B4163&amp;J4163&amp;K4163</f>
        <v>50100-947363896-962500149100000</v>
      </c>
      <c r="B4163" s="141" t="str">
        <f>"50100-9473638"</f>
        <v>50100-9473638</v>
      </c>
      <c r="C4163" s="141" t="str">
        <f>"9473638"</f>
        <v>9473638</v>
      </c>
      <c r="D4163" s="132" t="s">
        <v>4971</v>
      </c>
      <c r="E4163" s="141" t="str">
        <f>"96/08/23"</f>
        <v>96/08/23</v>
      </c>
      <c r="F4163" s="141" t="str">
        <f>"96/08/23"</f>
        <v>96/08/23</v>
      </c>
      <c r="G4163" s="141" t="str">
        <f>"1396519128001"</f>
        <v>1396519128001</v>
      </c>
      <c r="H4163" s="140" t="str">
        <f>"Black Gold Traders FZE"</f>
        <v>Black Gold Traders FZE</v>
      </c>
      <c r="I4163" s="141">
        <v>962500149</v>
      </c>
      <c r="J4163" s="131" t="s">
        <v>9898</v>
      </c>
      <c r="K4163" s="142">
        <v>100000</v>
      </c>
    </row>
    <row r="4164" spans="1:11">
      <c r="A4164" s="1" t="str">
        <f t="shared" si="82"/>
        <v>50100-945886296-962500140450830</v>
      </c>
      <c r="B4164" s="141" t="str">
        <f>"50100-9458862"</f>
        <v>50100-9458862</v>
      </c>
      <c r="C4164" s="141" t="str">
        <f>"9458862"</f>
        <v>9458862</v>
      </c>
      <c r="D4164" s="132" t="s">
        <v>4971</v>
      </c>
      <c r="E4164" s="141" t="str">
        <f>"96/08/20"</f>
        <v>96/08/20</v>
      </c>
      <c r="F4164" s="141" t="str">
        <f>"96/08/20"</f>
        <v>96/08/20</v>
      </c>
      <c r="G4164" s="141" t="str">
        <f>"1396472851001"</f>
        <v>1396472851001</v>
      </c>
      <c r="H4164" s="140" t="str">
        <f>"Elixir General Trading FZE"</f>
        <v>Elixir General Trading FZE</v>
      </c>
      <c r="I4164" s="141">
        <v>962500140</v>
      </c>
      <c r="J4164" s="131" t="s">
        <v>9727</v>
      </c>
      <c r="K4164" s="142">
        <v>450830</v>
      </c>
    </row>
    <row r="4165" spans="1:11">
      <c r="A4165" s="1" t="str">
        <f t="shared" si="82"/>
        <v>50100-950175996-961500400117000</v>
      </c>
      <c r="B4165" s="141" t="str">
        <f>"50100-9501759"</f>
        <v>50100-9501759</v>
      </c>
      <c r="C4165" s="141" t="str">
        <f>"9501759"</f>
        <v>9501759</v>
      </c>
      <c r="D4165" s="132" t="s">
        <v>4971</v>
      </c>
      <c r="E4165" s="141" t="str">
        <f>"96/08/30"</f>
        <v>96/08/30</v>
      </c>
      <c r="F4165" s="141" t="str">
        <f>"96/08/30"</f>
        <v>96/08/30</v>
      </c>
      <c r="G4165" s="141" t="str">
        <f>"1396502696001"</f>
        <v>1396502696001</v>
      </c>
      <c r="H4165" s="140" t="str">
        <f>"LLC Sebco Bitumen"</f>
        <v>LLC Sebco Bitumen</v>
      </c>
      <c r="I4165" s="141">
        <v>961500400</v>
      </c>
      <c r="J4165" s="131" t="s">
        <v>9899</v>
      </c>
      <c r="K4165" s="142">
        <v>117000</v>
      </c>
    </row>
    <row r="4166" spans="1:11">
      <c r="A4166" s="1" t="str">
        <f t="shared" si="82"/>
        <v>50100-947170996-9625001281350</v>
      </c>
      <c r="B4166" s="141" t="str">
        <f>"50100-9471709"</f>
        <v>50100-9471709</v>
      </c>
      <c r="C4166" s="141" t="str">
        <f>"9471709"</f>
        <v>9471709</v>
      </c>
      <c r="D4166" s="132" t="s">
        <v>4971</v>
      </c>
      <c r="E4166" s="141" t="str">
        <f>"96/08/22"</f>
        <v>96/08/22</v>
      </c>
      <c r="F4166" s="141" t="str">
        <f>"96/08/22"</f>
        <v>96/08/22</v>
      </c>
      <c r="G4166" s="141" t="str">
        <f>"1396517686001"</f>
        <v>1396517686001</v>
      </c>
      <c r="H4166" s="140" t="str">
        <f>"DAXON PETROLEUM"</f>
        <v>DAXON PETROLEUM</v>
      </c>
      <c r="I4166" s="141">
        <v>962500128</v>
      </c>
      <c r="J4166" s="131" t="s">
        <v>9858</v>
      </c>
      <c r="K4166" s="142">
        <v>1350</v>
      </c>
    </row>
    <row r="4167" spans="1:11">
      <c r="A4167" s="1" t="str">
        <f t="shared" si="82"/>
        <v>50100-950175996-96150041090000</v>
      </c>
      <c r="B4167" s="141" t="str">
        <f>"50100-9501759"</f>
        <v>50100-9501759</v>
      </c>
      <c r="C4167" s="141" t="str">
        <f>"9501759"</f>
        <v>9501759</v>
      </c>
      <c r="D4167" s="132" t="s">
        <v>4971</v>
      </c>
      <c r="E4167" s="141" t="str">
        <f t="shared" ref="E4167:F4169" si="83">"96/08/30"</f>
        <v>96/08/30</v>
      </c>
      <c r="F4167" s="141" t="str">
        <f t="shared" si="83"/>
        <v>96/08/30</v>
      </c>
      <c r="G4167" s="141" t="str">
        <f>"1396502696001"</f>
        <v>1396502696001</v>
      </c>
      <c r="H4167" s="140" t="str">
        <f t="shared" ref="H4167:H4172" si="84">"LLC Sebco Bitumen"</f>
        <v>LLC Sebco Bitumen</v>
      </c>
      <c r="I4167" s="141">
        <v>961500410</v>
      </c>
      <c r="J4167" s="131" t="s">
        <v>9900</v>
      </c>
      <c r="K4167" s="142">
        <v>90000</v>
      </c>
    </row>
    <row r="4168" spans="1:11">
      <c r="A4168" s="1" t="str">
        <f t="shared" si="82"/>
        <v>50100-950175996-961500431250000</v>
      </c>
      <c r="B4168" s="141" t="str">
        <f>"50100-9501759"</f>
        <v>50100-9501759</v>
      </c>
      <c r="C4168" s="141" t="str">
        <f>"9501759"</f>
        <v>9501759</v>
      </c>
      <c r="D4168" s="132" t="s">
        <v>4971</v>
      </c>
      <c r="E4168" s="141" t="str">
        <f t="shared" si="83"/>
        <v>96/08/30</v>
      </c>
      <c r="F4168" s="141" t="str">
        <f t="shared" si="83"/>
        <v>96/08/30</v>
      </c>
      <c r="G4168" s="141" t="str">
        <f>"1396502696001"</f>
        <v>1396502696001</v>
      </c>
      <c r="H4168" s="140" t="str">
        <f t="shared" si="84"/>
        <v>LLC Sebco Bitumen</v>
      </c>
      <c r="I4168" s="141">
        <v>961500431</v>
      </c>
      <c r="J4168" s="131" t="s">
        <v>9901</v>
      </c>
      <c r="K4168" s="142">
        <v>250000</v>
      </c>
    </row>
    <row r="4169" spans="1:11">
      <c r="A4169" s="1" t="str">
        <f t="shared" si="82"/>
        <v>50100-950175996-96150041768500</v>
      </c>
      <c r="B4169" s="141" t="str">
        <f>"50100-9501759"</f>
        <v>50100-9501759</v>
      </c>
      <c r="C4169" s="141" t="str">
        <f>"9501759"</f>
        <v>9501759</v>
      </c>
      <c r="D4169" s="132" t="s">
        <v>4971</v>
      </c>
      <c r="E4169" s="141" t="str">
        <f t="shared" si="83"/>
        <v>96/08/30</v>
      </c>
      <c r="F4169" s="141" t="str">
        <f t="shared" si="83"/>
        <v>96/08/30</v>
      </c>
      <c r="G4169" s="141" t="str">
        <f>"1396502696001"</f>
        <v>1396502696001</v>
      </c>
      <c r="H4169" s="140" t="str">
        <f t="shared" si="84"/>
        <v>LLC Sebco Bitumen</v>
      </c>
      <c r="I4169" s="141">
        <v>961500417</v>
      </c>
      <c r="J4169" s="131" t="s">
        <v>9874</v>
      </c>
      <c r="K4169" s="142">
        <v>68500</v>
      </c>
    </row>
    <row r="4170" spans="1:11">
      <c r="A4170" s="1" t="str">
        <f t="shared" si="82"/>
        <v>50100-944404496-961500324110000</v>
      </c>
      <c r="B4170" s="141" t="str">
        <f>"50100-9444044"</f>
        <v>50100-9444044</v>
      </c>
      <c r="C4170" s="141" t="str">
        <f>"9444044"</f>
        <v>9444044</v>
      </c>
      <c r="D4170" s="132" t="s">
        <v>4971</v>
      </c>
      <c r="E4170" s="141" t="str">
        <f>"96/08/16"</f>
        <v>96/08/16</v>
      </c>
      <c r="F4170" s="141" t="str">
        <f>"96/08/16"</f>
        <v>96/08/16</v>
      </c>
      <c r="G4170" s="141" t="str">
        <f>"1396497354001"</f>
        <v>1396497354001</v>
      </c>
      <c r="H4170" s="140" t="str">
        <f t="shared" si="84"/>
        <v>LLC Sebco Bitumen</v>
      </c>
      <c r="I4170" s="141">
        <v>961500324</v>
      </c>
      <c r="J4170" s="131" t="s">
        <v>9902</v>
      </c>
      <c r="K4170" s="142">
        <v>110000</v>
      </c>
    </row>
    <row r="4171" spans="1:11">
      <c r="A4171" s="1" t="str">
        <f t="shared" si="82"/>
        <v>50100-950175996-961500392150000</v>
      </c>
      <c r="B4171" s="141" t="str">
        <f>"50100-9501759"</f>
        <v>50100-9501759</v>
      </c>
      <c r="C4171" s="141" t="str">
        <f>"9501759"</f>
        <v>9501759</v>
      </c>
      <c r="D4171" s="132" t="s">
        <v>4971</v>
      </c>
      <c r="E4171" s="141" t="str">
        <f>"96/08/30"</f>
        <v>96/08/30</v>
      </c>
      <c r="F4171" s="141" t="str">
        <f>"96/08/30"</f>
        <v>96/08/30</v>
      </c>
      <c r="G4171" s="141" t="str">
        <f>"1396502696001"</f>
        <v>1396502696001</v>
      </c>
      <c r="H4171" s="140" t="str">
        <f t="shared" si="84"/>
        <v>LLC Sebco Bitumen</v>
      </c>
      <c r="I4171" s="141">
        <v>961500392</v>
      </c>
      <c r="J4171" s="131" t="s">
        <v>9903</v>
      </c>
      <c r="K4171" s="142">
        <v>150000</v>
      </c>
    </row>
    <row r="4172" spans="1:11">
      <c r="A4172" s="1" t="str">
        <f t="shared" si="82"/>
        <v>50100-944404496-961500327176741</v>
      </c>
      <c r="B4172" s="141" t="str">
        <f>"50100-9444044"</f>
        <v>50100-9444044</v>
      </c>
      <c r="C4172" s="141" t="str">
        <f>"9444044"</f>
        <v>9444044</v>
      </c>
      <c r="D4172" s="132" t="s">
        <v>4971</v>
      </c>
      <c r="E4172" s="141" t="str">
        <f>"96/08/16"</f>
        <v>96/08/16</v>
      </c>
      <c r="F4172" s="141" t="str">
        <f>"96/08/16"</f>
        <v>96/08/16</v>
      </c>
      <c r="G4172" s="141" t="str">
        <f>"1396497354001"</f>
        <v>1396497354001</v>
      </c>
      <c r="H4172" s="140" t="str">
        <f t="shared" si="84"/>
        <v>LLC Sebco Bitumen</v>
      </c>
      <c r="I4172" s="141">
        <v>961500327</v>
      </c>
      <c r="J4172" s="131" t="s">
        <v>9848</v>
      </c>
      <c r="K4172" s="142">
        <v>176741</v>
      </c>
    </row>
    <row r="4173" spans="1:11">
      <c r="A4173" s="1" t="str">
        <f t="shared" si="82"/>
        <v>50100-949803896-964200009493186</v>
      </c>
      <c r="B4173" s="141" t="str">
        <f>"50100-9498038"</f>
        <v>50100-9498038</v>
      </c>
      <c r="C4173" s="141" t="str">
        <f>"9498038"</f>
        <v>9498038</v>
      </c>
      <c r="D4173" s="132" t="s">
        <v>4971</v>
      </c>
      <c r="E4173" s="141" t="str">
        <f>"96/08/29"</f>
        <v>96/08/29</v>
      </c>
      <c r="F4173" s="141" t="str">
        <f>"96/08/29"</f>
        <v>96/08/29</v>
      </c>
      <c r="G4173" s="137">
        <v>1396522402001</v>
      </c>
      <c r="H4173" s="140" t="str">
        <f>""</f>
        <v/>
      </c>
      <c r="I4173" s="141">
        <v>964200009</v>
      </c>
      <c r="J4173" s="131" t="s">
        <v>9904</v>
      </c>
      <c r="K4173" s="142">
        <v>493186</v>
      </c>
    </row>
    <row r="4174" spans="1:11">
      <c r="A4174" s="1" t="str">
        <f t="shared" si="82"/>
        <v>50100-947528396-962500151454122</v>
      </c>
      <c r="B4174" s="141" t="str">
        <f>"50100-9475283"</f>
        <v>50100-9475283</v>
      </c>
      <c r="C4174" s="141" t="str">
        <f>"9475283"</f>
        <v>9475283</v>
      </c>
      <c r="D4174" s="132" t="s">
        <v>4971</v>
      </c>
      <c r="E4174" s="141" t="str">
        <f>"96/08/23"</f>
        <v>96/08/23</v>
      </c>
      <c r="F4174" s="141" t="str">
        <f>"96/08/23"</f>
        <v>96/08/23</v>
      </c>
      <c r="G4174" s="141" t="str">
        <f>"1396472851001"</f>
        <v>1396472851001</v>
      </c>
      <c r="H4174" s="140" t="str">
        <f>"Elixir General Trading FZE"</f>
        <v>Elixir General Trading FZE</v>
      </c>
      <c r="I4174" s="141">
        <v>962500151</v>
      </c>
      <c r="J4174" s="131" t="s">
        <v>9905</v>
      </c>
      <c r="K4174" s="142">
        <v>454122</v>
      </c>
    </row>
    <row r="4175" spans="1:11">
      <c r="A4175" s="1" t="str">
        <f t="shared" si="82"/>
        <v>50100-947528396-96250014839688</v>
      </c>
      <c r="B4175" s="141" t="str">
        <f>"50100-9475283"</f>
        <v>50100-9475283</v>
      </c>
      <c r="C4175" s="141" t="str">
        <f>"9475283"</f>
        <v>9475283</v>
      </c>
      <c r="D4175" s="132" t="s">
        <v>4971</v>
      </c>
      <c r="E4175" s="141" t="str">
        <f>"96/08/23"</f>
        <v>96/08/23</v>
      </c>
      <c r="F4175" s="141" t="str">
        <f>"96/08/23"</f>
        <v>96/08/23</v>
      </c>
      <c r="G4175" s="141" t="str">
        <f>"1396472851001"</f>
        <v>1396472851001</v>
      </c>
      <c r="H4175" s="140" t="str">
        <f>"Elixir General Trading FZE"</f>
        <v>Elixir General Trading FZE</v>
      </c>
      <c r="I4175" s="141">
        <v>962500148</v>
      </c>
      <c r="J4175" s="131" t="s">
        <v>9871</v>
      </c>
      <c r="K4175" s="142">
        <v>39688</v>
      </c>
    </row>
    <row r="4176" spans="1:11">
      <c r="A4176" s="1" t="str">
        <f t="shared" si="82"/>
        <v>50100-948168596-961500564244480</v>
      </c>
      <c r="B4176" s="141" t="str">
        <f>"50100-9481685"</f>
        <v>50100-9481685</v>
      </c>
      <c r="C4176" s="141" t="str">
        <f>"9481685"</f>
        <v>9481685</v>
      </c>
      <c r="D4176" s="132" t="s">
        <v>4971</v>
      </c>
      <c r="E4176" s="141" t="str">
        <f>"96/08/25"</f>
        <v>96/08/25</v>
      </c>
      <c r="F4176" s="141" t="str">
        <f>"96/08/25"</f>
        <v>96/08/25</v>
      </c>
      <c r="G4176" s="141" t="str">
        <f>"1396512824001"</f>
        <v>1396512824001</v>
      </c>
      <c r="H4176" s="140" t="str">
        <f>"Black Gold Traders FZE"</f>
        <v>Black Gold Traders FZE</v>
      </c>
      <c r="I4176" s="141">
        <v>961500564</v>
      </c>
      <c r="J4176" s="131" t="s">
        <v>9906</v>
      </c>
      <c r="K4176" s="142">
        <v>244480</v>
      </c>
    </row>
    <row r="4177" spans="1:11">
      <c r="A4177" s="1" t="str">
        <f t="shared" si="82"/>
        <v>50100-948168596-961500466118080</v>
      </c>
      <c r="B4177" s="141" t="str">
        <f>"50100-9481685"</f>
        <v>50100-9481685</v>
      </c>
      <c r="C4177" s="141" t="str">
        <f>"9481685"</f>
        <v>9481685</v>
      </c>
      <c r="D4177" s="132" t="s">
        <v>4971</v>
      </c>
      <c r="E4177" s="141" t="str">
        <f>"96/08/25"</f>
        <v>96/08/25</v>
      </c>
      <c r="F4177" s="141" t="str">
        <f>"96/08/25"</f>
        <v>96/08/25</v>
      </c>
      <c r="G4177" s="141" t="str">
        <f>"1396497794001"</f>
        <v>1396497794001</v>
      </c>
      <c r="H4177" s="140" t="str">
        <f>"Black Gold Traders FZE"</f>
        <v>Black Gold Traders FZE</v>
      </c>
      <c r="I4177" s="141">
        <v>961500466</v>
      </c>
      <c r="J4177" s="131" t="s">
        <v>8500</v>
      </c>
      <c r="K4177" s="142">
        <v>118080</v>
      </c>
    </row>
    <row r="4178" spans="1:11">
      <c r="A4178" s="1" t="str">
        <f t="shared" si="82"/>
        <v>50100-949597896-9615005644350</v>
      </c>
      <c r="B4178" s="141" t="str">
        <f>"50100-9495978"</f>
        <v>50100-9495978</v>
      </c>
      <c r="C4178" s="141" t="str">
        <f>"9495978"</f>
        <v>9495978</v>
      </c>
      <c r="D4178" s="132" t="s">
        <v>4971</v>
      </c>
      <c r="E4178" s="141" t="str">
        <f>"96/08/29"</f>
        <v>96/08/29</v>
      </c>
      <c r="F4178" s="141" t="str">
        <f>"96/08/29"</f>
        <v>96/08/29</v>
      </c>
      <c r="G4178" s="141" t="str">
        <f>"1396512824001"</f>
        <v>1396512824001</v>
      </c>
      <c r="H4178" s="140" t="str">
        <f>"Black Gold Traders FZE"</f>
        <v>Black Gold Traders FZE</v>
      </c>
      <c r="I4178" s="141">
        <v>961500564</v>
      </c>
      <c r="J4178" s="131" t="s">
        <v>9906</v>
      </c>
      <c r="K4178" s="142">
        <v>4350</v>
      </c>
    </row>
    <row r="4179" spans="1:11">
      <c r="A4179" s="1" t="str">
        <f t="shared" si="82"/>
        <v>50100-945052396-9641000712792510</v>
      </c>
      <c r="B4179" s="141" t="str">
        <f>"50100-9450523"</f>
        <v>50100-9450523</v>
      </c>
      <c r="C4179" s="141" t="str">
        <f>"9450523"</f>
        <v>9450523</v>
      </c>
      <c r="D4179" s="132" t="s">
        <v>4971</v>
      </c>
      <c r="E4179" s="141" t="str">
        <f>"96/08/17"</f>
        <v>96/08/17</v>
      </c>
      <c r="F4179" s="141" t="str">
        <f>"96/08/17"</f>
        <v>96/08/17</v>
      </c>
      <c r="G4179" s="141" t="str">
        <f>"1396524007001"</f>
        <v>1396524007001</v>
      </c>
      <c r="H4179" s="140" t="str">
        <f>"AL MASAR PETROLUME L.L.C"</f>
        <v>AL MASAR PETROLUME L.L.C</v>
      </c>
      <c r="I4179" s="141">
        <v>964100071</v>
      </c>
      <c r="J4179" s="131" t="s">
        <v>9907</v>
      </c>
      <c r="K4179" s="142">
        <v>2792510</v>
      </c>
    </row>
    <row r="4180" spans="1:11">
      <c r="A4180" s="1" t="str">
        <f t="shared" si="82"/>
        <v>50100-947170996-9615006061000000</v>
      </c>
      <c r="B4180" s="141" t="str">
        <f>"50100-9471709"</f>
        <v>50100-9471709</v>
      </c>
      <c r="C4180" s="141" t="str">
        <f>"9471709"</f>
        <v>9471709</v>
      </c>
      <c r="D4180" s="132" t="s">
        <v>4971</v>
      </c>
      <c r="E4180" s="141" t="str">
        <f>"96/08/22"</f>
        <v>96/08/22</v>
      </c>
      <c r="F4180" s="141" t="str">
        <f>"96/08/22"</f>
        <v>96/08/22</v>
      </c>
      <c r="G4180" s="141" t="str">
        <f>"1396517686001"</f>
        <v>1396517686001</v>
      </c>
      <c r="H4180" s="140" t="str">
        <f>"DAXON PETROLEUM"</f>
        <v>DAXON PETROLEUM</v>
      </c>
      <c r="I4180" s="141">
        <v>961500606</v>
      </c>
      <c r="J4180" s="131" t="s">
        <v>9908</v>
      </c>
      <c r="K4180" s="142">
        <v>1000000</v>
      </c>
    </row>
    <row r="4181" spans="1:11">
      <c r="A4181" s="1" t="str">
        <f t="shared" si="82"/>
        <v>50100-950175996-961500398320000</v>
      </c>
      <c r="B4181" s="141" t="str">
        <f>"50100-9501759"</f>
        <v>50100-9501759</v>
      </c>
      <c r="C4181" s="141" t="str">
        <f>"9501759"</f>
        <v>9501759</v>
      </c>
      <c r="D4181" s="132" t="s">
        <v>4971</v>
      </c>
      <c r="E4181" s="141" t="str">
        <f>"96/08/30"</f>
        <v>96/08/30</v>
      </c>
      <c r="F4181" s="141" t="str">
        <f>"96/08/30"</f>
        <v>96/08/30</v>
      </c>
      <c r="G4181" s="141" t="str">
        <f>"1396502696001"</f>
        <v>1396502696001</v>
      </c>
      <c r="H4181" s="140" t="str">
        <f>"LLC Sebco Bitumen"</f>
        <v>LLC Sebco Bitumen</v>
      </c>
      <c r="I4181" s="141">
        <v>961500398</v>
      </c>
      <c r="J4181" s="131" t="s">
        <v>9909</v>
      </c>
      <c r="K4181" s="142">
        <v>320000</v>
      </c>
    </row>
    <row r="4182" spans="1:11">
      <c r="A4182" s="1" t="str">
        <f t="shared" si="82"/>
        <v>15100-50736396-96150051269420</v>
      </c>
      <c r="B4182" s="141" t="s">
        <v>9974</v>
      </c>
      <c r="C4182" s="141" t="s">
        <v>11955</v>
      </c>
      <c r="D4182" s="132" t="s">
        <v>4971</v>
      </c>
      <c r="E4182" s="141" t="s">
        <v>9962</v>
      </c>
      <c r="F4182" s="141" t="s">
        <v>9962</v>
      </c>
      <c r="G4182" s="141" t="s">
        <v>7111</v>
      </c>
      <c r="H4182" s="140" t="s">
        <v>6298</v>
      </c>
      <c r="I4182" s="141">
        <v>961500512</v>
      </c>
      <c r="J4182" s="131" t="s">
        <v>9975</v>
      </c>
      <c r="K4182" s="142">
        <v>69420</v>
      </c>
    </row>
    <row r="4183" spans="1:11">
      <c r="A4183" s="1" t="str">
        <f t="shared" si="82"/>
        <v>15100-50734896-961500492549980</v>
      </c>
      <c r="B4183" s="141" t="s">
        <v>9976</v>
      </c>
      <c r="C4183" s="141" t="s">
        <v>11956</v>
      </c>
      <c r="D4183" s="132" t="s">
        <v>4971</v>
      </c>
      <c r="E4183" s="141" t="s">
        <v>9962</v>
      </c>
      <c r="F4183" s="141" t="s">
        <v>9962</v>
      </c>
      <c r="G4183" s="141" t="s">
        <v>7234</v>
      </c>
      <c r="H4183" s="140" t="s">
        <v>6454</v>
      </c>
      <c r="I4183" s="141">
        <v>961500492</v>
      </c>
      <c r="J4183" s="131" t="s">
        <v>9977</v>
      </c>
      <c r="K4183" s="142">
        <v>549980</v>
      </c>
    </row>
    <row r="4184" spans="1:11">
      <c r="A4184" s="1" t="str">
        <f t="shared" si="82"/>
        <v>15100-50646596-961500543176460</v>
      </c>
      <c r="B4184" s="141" t="s">
        <v>9978</v>
      </c>
      <c r="C4184" s="141" t="s">
        <v>11957</v>
      </c>
      <c r="D4184" s="132" t="s">
        <v>4971</v>
      </c>
      <c r="E4184" s="141" t="s">
        <v>9835</v>
      </c>
      <c r="F4184" s="141" t="s">
        <v>9835</v>
      </c>
      <c r="G4184" s="141" t="s">
        <v>5854</v>
      </c>
      <c r="H4184" s="140" t="s">
        <v>8859</v>
      </c>
      <c r="I4184" s="141">
        <v>961500543</v>
      </c>
      <c r="J4184" s="131" t="s">
        <v>9979</v>
      </c>
      <c r="K4184" s="142">
        <v>176460</v>
      </c>
    </row>
    <row r="4185" spans="1:11">
      <c r="A4185" s="1" t="str">
        <f t="shared" si="82"/>
        <v>15100-50400896-96150056071780</v>
      </c>
      <c r="B4185" s="141" t="s">
        <v>9980</v>
      </c>
      <c r="C4185" s="141" t="s">
        <v>11958</v>
      </c>
      <c r="D4185" s="132" t="s">
        <v>4971</v>
      </c>
      <c r="E4185" s="141" t="s">
        <v>9981</v>
      </c>
      <c r="F4185" s="141" t="s">
        <v>9981</v>
      </c>
      <c r="G4185" s="141" t="s">
        <v>5854</v>
      </c>
      <c r="H4185" s="140" t="s">
        <v>8859</v>
      </c>
      <c r="I4185" s="141">
        <v>961500560</v>
      </c>
      <c r="J4185" s="131" t="s">
        <v>9982</v>
      </c>
      <c r="K4185" s="142">
        <v>71780</v>
      </c>
    </row>
    <row r="4186" spans="1:11">
      <c r="A4186" s="1" t="str">
        <f t="shared" si="82"/>
        <v>15100-50333596-96150048894500</v>
      </c>
      <c r="B4186" s="141" t="s">
        <v>9983</v>
      </c>
      <c r="C4186" s="141" t="s">
        <v>11959</v>
      </c>
      <c r="D4186" s="132" t="s">
        <v>4971</v>
      </c>
      <c r="E4186" s="141" t="s">
        <v>9889</v>
      </c>
      <c r="F4186" s="141" t="s">
        <v>9889</v>
      </c>
      <c r="G4186" s="141" t="s">
        <v>7111</v>
      </c>
      <c r="H4186" s="140" t="s">
        <v>6298</v>
      </c>
      <c r="I4186" s="141">
        <v>961500488</v>
      </c>
      <c r="J4186" s="131" t="s">
        <v>9923</v>
      </c>
      <c r="K4186" s="142">
        <v>94500</v>
      </c>
    </row>
    <row r="4187" spans="1:11">
      <c r="A4187" s="1" t="str">
        <f t="shared" si="82"/>
        <v>15100-50840296-96150055950850</v>
      </c>
      <c r="B4187" s="141" t="s">
        <v>9984</v>
      </c>
      <c r="C4187" s="141" t="s">
        <v>11960</v>
      </c>
      <c r="D4187" s="132" t="s">
        <v>4971</v>
      </c>
      <c r="E4187" s="141" t="s">
        <v>9985</v>
      </c>
      <c r="F4187" s="141" t="s">
        <v>9985</v>
      </c>
      <c r="G4187" s="141" t="s">
        <v>5854</v>
      </c>
      <c r="H4187" s="140" t="s">
        <v>8859</v>
      </c>
      <c r="I4187" s="141">
        <v>961500559</v>
      </c>
      <c r="J4187" s="131" t="s">
        <v>9986</v>
      </c>
      <c r="K4187" s="142">
        <v>50850</v>
      </c>
    </row>
    <row r="4188" spans="1:11">
      <c r="A4188" s="1" t="str">
        <f t="shared" si="82"/>
        <v>15100-50335096-96150054651870</v>
      </c>
      <c r="B4188" s="141" t="s">
        <v>9987</v>
      </c>
      <c r="C4188" s="141" t="s">
        <v>11961</v>
      </c>
      <c r="D4188" s="132" t="s">
        <v>4971</v>
      </c>
      <c r="E4188" s="141" t="s">
        <v>9889</v>
      </c>
      <c r="F4188" s="141" t="s">
        <v>9889</v>
      </c>
      <c r="G4188" s="141" t="s">
        <v>8497</v>
      </c>
      <c r="H4188" s="140" t="s">
        <v>6453</v>
      </c>
      <c r="I4188" s="141">
        <v>961500546</v>
      </c>
      <c r="J4188" s="131" t="s">
        <v>9988</v>
      </c>
      <c r="K4188" s="142">
        <v>51870</v>
      </c>
    </row>
    <row r="4189" spans="1:11">
      <c r="A4189" s="1" t="str">
        <f t="shared" si="82"/>
        <v>15100-50575996-96150054311020</v>
      </c>
      <c r="B4189" s="141" t="s">
        <v>9989</v>
      </c>
      <c r="C4189" s="141" t="s">
        <v>11962</v>
      </c>
      <c r="D4189" s="132" t="s">
        <v>4971</v>
      </c>
      <c r="E4189" s="141" t="s">
        <v>9952</v>
      </c>
      <c r="F4189" s="141" t="s">
        <v>9952</v>
      </c>
      <c r="G4189" s="141" t="s">
        <v>5854</v>
      </c>
      <c r="H4189" s="140" t="s">
        <v>8859</v>
      </c>
      <c r="I4189" s="141">
        <v>961500543</v>
      </c>
      <c r="J4189" s="131" t="s">
        <v>9979</v>
      </c>
      <c r="K4189" s="142">
        <v>11020</v>
      </c>
    </row>
    <row r="4190" spans="1:11">
      <c r="A4190" s="1" t="str">
        <f t="shared" si="82"/>
        <v>15100-50575996-96150045863820</v>
      </c>
      <c r="B4190" s="141" t="s">
        <v>9989</v>
      </c>
      <c r="C4190" s="141" t="s">
        <v>11962</v>
      </c>
      <c r="D4190" s="132" t="s">
        <v>4971</v>
      </c>
      <c r="E4190" s="141" t="s">
        <v>9952</v>
      </c>
      <c r="F4190" s="141" t="s">
        <v>9952</v>
      </c>
      <c r="G4190" s="141" t="s">
        <v>7175</v>
      </c>
      <c r="H4190" s="140" t="s">
        <v>6298</v>
      </c>
      <c r="I4190" s="141">
        <v>961500458</v>
      </c>
      <c r="J4190" s="131" t="s">
        <v>9990</v>
      </c>
      <c r="K4190" s="142">
        <v>63820</v>
      </c>
    </row>
    <row r="4191" spans="1:11">
      <c r="A4191" s="1" t="str">
        <f t="shared" si="82"/>
        <v>15100-50797396-96150050547920</v>
      </c>
      <c r="B4191" s="141" t="s">
        <v>9991</v>
      </c>
      <c r="C4191" s="141" t="s">
        <v>11963</v>
      </c>
      <c r="D4191" s="132" t="s">
        <v>4971</v>
      </c>
      <c r="E4191" s="141" t="s">
        <v>9934</v>
      </c>
      <c r="F4191" s="141" t="s">
        <v>9934</v>
      </c>
      <c r="G4191" s="141" t="s">
        <v>7114</v>
      </c>
      <c r="H4191" s="140" t="s">
        <v>6454</v>
      </c>
      <c r="I4191" s="141">
        <v>961500505</v>
      </c>
      <c r="J4191" s="131" t="s">
        <v>8877</v>
      </c>
      <c r="K4191" s="142">
        <v>47920</v>
      </c>
    </row>
    <row r="4192" spans="1:11">
      <c r="A4192" s="1" t="str">
        <f t="shared" si="82"/>
        <v>15100-50580296-96150054372380</v>
      </c>
      <c r="B4192" s="141" t="s">
        <v>9992</v>
      </c>
      <c r="C4192" s="141" t="s">
        <v>11964</v>
      </c>
      <c r="D4192" s="132" t="s">
        <v>4971</v>
      </c>
      <c r="E4192" s="141" t="s">
        <v>9952</v>
      </c>
      <c r="F4192" s="141" t="s">
        <v>9952</v>
      </c>
      <c r="G4192" s="141" t="s">
        <v>5854</v>
      </c>
      <c r="H4192" s="140" t="s">
        <v>8859</v>
      </c>
      <c r="I4192" s="141">
        <v>961500543</v>
      </c>
      <c r="J4192" s="131" t="s">
        <v>9979</v>
      </c>
      <c r="K4192" s="142">
        <v>72380</v>
      </c>
    </row>
    <row r="4193" spans="1:11">
      <c r="A4193" s="1" t="str">
        <f t="shared" si="82"/>
        <v>15100-50734896-961500533142800</v>
      </c>
      <c r="B4193" s="141" t="s">
        <v>9976</v>
      </c>
      <c r="C4193" s="141" t="s">
        <v>11956</v>
      </c>
      <c r="D4193" s="132" t="s">
        <v>4971</v>
      </c>
      <c r="E4193" s="141" t="s">
        <v>9962</v>
      </c>
      <c r="F4193" s="141" t="s">
        <v>9962</v>
      </c>
      <c r="G4193" s="141" t="s">
        <v>8497</v>
      </c>
      <c r="H4193" s="140" t="s">
        <v>6453</v>
      </c>
      <c r="I4193" s="141">
        <v>961500533</v>
      </c>
      <c r="J4193" s="131" t="s">
        <v>9993</v>
      </c>
      <c r="K4193" s="142">
        <v>142800</v>
      </c>
    </row>
    <row r="4194" spans="1:11">
      <c r="A4194" s="1" t="str">
        <f t="shared" si="82"/>
        <v>15100-50840296-96150053375050</v>
      </c>
      <c r="B4194" s="141" t="s">
        <v>9984</v>
      </c>
      <c r="C4194" s="141" t="s">
        <v>11960</v>
      </c>
      <c r="D4194" s="132" t="s">
        <v>4971</v>
      </c>
      <c r="E4194" s="141" t="s">
        <v>9985</v>
      </c>
      <c r="F4194" s="141" t="s">
        <v>9985</v>
      </c>
      <c r="G4194" s="141" t="s">
        <v>8497</v>
      </c>
      <c r="H4194" s="140" t="s">
        <v>6453</v>
      </c>
      <c r="I4194" s="141">
        <v>961500533</v>
      </c>
      <c r="J4194" s="131" t="s">
        <v>9993</v>
      </c>
      <c r="K4194" s="142">
        <v>75050</v>
      </c>
    </row>
    <row r="4195" spans="1:11">
      <c r="A4195" s="1" t="str">
        <f t="shared" si="82"/>
        <v>15100-50902396-96150053931650</v>
      </c>
      <c r="B4195" s="141" t="s">
        <v>10084</v>
      </c>
      <c r="C4195" s="141" t="s">
        <v>11965</v>
      </c>
      <c r="D4195" s="132" t="s">
        <v>4971</v>
      </c>
      <c r="E4195" s="141" t="s">
        <v>9997</v>
      </c>
      <c r="F4195" s="141" t="s">
        <v>9997</v>
      </c>
      <c r="G4195" s="141" t="s">
        <v>8497</v>
      </c>
      <c r="H4195" s="140" t="s">
        <v>6453</v>
      </c>
      <c r="I4195" s="141">
        <v>961500539</v>
      </c>
      <c r="J4195" s="131" t="s">
        <v>10029</v>
      </c>
      <c r="K4195" s="142">
        <v>31650</v>
      </c>
    </row>
    <row r="4196" spans="1:11">
      <c r="A4196" s="1" t="str">
        <f t="shared" si="82"/>
        <v>15100-50692396-96150048894801</v>
      </c>
      <c r="B4196" s="126" t="s">
        <v>10147</v>
      </c>
      <c r="C4196" s="126" t="s">
        <v>11966</v>
      </c>
      <c r="D4196" s="132" t="s">
        <v>4971</v>
      </c>
      <c r="E4196" s="126" t="s">
        <v>9910</v>
      </c>
      <c r="F4196" s="126" t="s">
        <v>9910</v>
      </c>
      <c r="G4196" s="126" t="s">
        <v>7111</v>
      </c>
      <c r="H4196" s="167" t="s">
        <v>6298</v>
      </c>
      <c r="I4196" s="126">
        <v>961500488</v>
      </c>
      <c r="J4196" s="131" t="s">
        <v>9923</v>
      </c>
      <c r="K4196" s="168">
        <v>94801</v>
      </c>
    </row>
    <row r="4197" spans="1:11">
      <c r="A4197" s="1" t="str">
        <f t="shared" si="82"/>
        <v>15100-50653596-961500321130000</v>
      </c>
      <c r="B4197" s="141" t="s">
        <v>10085</v>
      </c>
      <c r="C4197" s="141" t="s">
        <v>11967</v>
      </c>
      <c r="D4197" s="132" t="s">
        <v>4971</v>
      </c>
      <c r="E4197" s="141" t="s">
        <v>9835</v>
      </c>
      <c r="F4197" s="141" t="s">
        <v>9835</v>
      </c>
      <c r="G4197" s="141" t="s">
        <v>5822</v>
      </c>
      <c r="H4197" s="140" t="s">
        <v>6454</v>
      </c>
      <c r="I4197" s="141">
        <v>961500321</v>
      </c>
      <c r="J4197" s="131" t="s">
        <v>6042</v>
      </c>
      <c r="K4197" s="142">
        <v>130000</v>
      </c>
    </row>
    <row r="4198" spans="1:11">
      <c r="A4198" s="1" t="str">
        <f t="shared" si="82"/>
        <v>15100-50692396-961500578294700</v>
      </c>
      <c r="B4198" s="126" t="s">
        <v>10147</v>
      </c>
      <c r="C4198" s="126" t="s">
        <v>11966</v>
      </c>
      <c r="D4198" s="132" t="s">
        <v>4971</v>
      </c>
      <c r="E4198" s="126" t="s">
        <v>9910</v>
      </c>
      <c r="F4198" s="126" t="s">
        <v>9910</v>
      </c>
      <c r="G4198" s="126" t="s">
        <v>7118</v>
      </c>
      <c r="H4198" s="167" t="s">
        <v>6454</v>
      </c>
      <c r="I4198" s="126">
        <v>961500578</v>
      </c>
      <c r="J4198" s="131" t="s">
        <v>10073</v>
      </c>
      <c r="K4198" s="168">
        <v>294700</v>
      </c>
    </row>
    <row r="4199" spans="1:11">
      <c r="A4199" s="1" t="str">
        <f t="shared" si="82"/>
        <v>15100-50902396-961500559166700</v>
      </c>
      <c r="B4199" s="141" t="s">
        <v>10084</v>
      </c>
      <c r="C4199" s="141" t="s">
        <v>11965</v>
      </c>
      <c r="D4199" s="132" t="s">
        <v>4971</v>
      </c>
      <c r="E4199" s="141" t="s">
        <v>9997</v>
      </c>
      <c r="F4199" s="141" t="s">
        <v>9997</v>
      </c>
      <c r="G4199" s="141" t="s">
        <v>5854</v>
      </c>
      <c r="H4199" s="140" t="s">
        <v>8859</v>
      </c>
      <c r="I4199" s="141">
        <v>961500559</v>
      </c>
      <c r="J4199" s="131" t="s">
        <v>9986</v>
      </c>
      <c r="K4199" s="142">
        <v>166700</v>
      </c>
    </row>
    <row r="4200" spans="1:11">
      <c r="A4200" s="1" t="str">
        <f t="shared" si="82"/>
        <v>15100-50909896-96150055946330</v>
      </c>
      <c r="B4200" s="141" t="s">
        <v>10086</v>
      </c>
      <c r="C4200" s="141" t="s">
        <v>11968</v>
      </c>
      <c r="D4200" s="132" t="s">
        <v>4971</v>
      </c>
      <c r="E4200" s="141" t="s">
        <v>9997</v>
      </c>
      <c r="F4200" s="141" t="s">
        <v>9997</v>
      </c>
      <c r="G4200" s="141" t="s">
        <v>5854</v>
      </c>
      <c r="H4200" s="140" t="s">
        <v>8859</v>
      </c>
      <c r="I4200" s="141">
        <v>961500559</v>
      </c>
      <c r="J4200" s="131" t="s">
        <v>9986</v>
      </c>
      <c r="K4200" s="142">
        <v>46330</v>
      </c>
    </row>
    <row r="4201" spans="1:11">
      <c r="A4201" s="1" t="str">
        <f t="shared" si="82"/>
        <v>15100-50653596-961500538329060</v>
      </c>
      <c r="B4201" s="141" t="s">
        <v>10085</v>
      </c>
      <c r="C4201" s="141" t="s">
        <v>11967</v>
      </c>
      <c r="D4201" s="132" t="s">
        <v>4971</v>
      </c>
      <c r="E4201" s="141" t="s">
        <v>9835</v>
      </c>
      <c r="F4201" s="141" t="s">
        <v>9835</v>
      </c>
      <c r="G4201" s="141" t="s">
        <v>8497</v>
      </c>
      <c r="H4201" s="140" t="s">
        <v>6453</v>
      </c>
      <c r="I4201" s="141">
        <v>961500538</v>
      </c>
      <c r="J4201" s="131" t="s">
        <v>8890</v>
      </c>
      <c r="K4201" s="142">
        <v>329060</v>
      </c>
    </row>
    <row r="4202" spans="1:11">
      <c r="A4202" s="1" t="str">
        <f t="shared" si="82"/>
        <v>15100-50653596-96150053637792</v>
      </c>
      <c r="B4202" s="141" t="s">
        <v>10085</v>
      </c>
      <c r="C4202" s="141" t="s">
        <v>11967</v>
      </c>
      <c r="D4202" s="132" t="s">
        <v>4971</v>
      </c>
      <c r="E4202" s="141" t="s">
        <v>9835</v>
      </c>
      <c r="F4202" s="141" t="s">
        <v>9835</v>
      </c>
      <c r="G4202" s="141" t="s">
        <v>7273</v>
      </c>
      <c r="H4202" s="140" t="s">
        <v>6298</v>
      </c>
      <c r="I4202" s="141">
        <v>961500536</v>
      </c>
      <c r="J4202" s="131" t="s">
        <v>10045</v>
      </c>
      <c r="K4202" s="142">
        <v>37792</v>
      </c>
    </row>
    <row r="4203" spans="1:11">
      <c r="A4203" s="1" t="str">
        <f t="shared" si="82"/>
        <v>15100-50653596-96250009931648</v>
      </c>
      <c r="B4203" s="141" t="s">
        <v>10085</v>
      </c>
      <c r="C4203" s="141" t="s">
        <v>11967</v>
      </c>
      <c r="D4203" s="132" t="s">
        <v>4971</v>
      </c>
      <c r="E4203" s="141" t="s">
        <v>9835</v>
      </c>
      <c r="F4203" s="141" t="s">
        <v>9835</v>
      </c>
      <c r="G4203" s="141" t="s">
        <v>7603</v>
      </c>
      <c r="H4203" s="140" t="s">
        <v>6454</v>
      </c>
      <c r="I4203" s="141">
        <v>962500099</v>
      </c>
      <c r="J4203" s="131" t="s">
        <v>7602</v>
      </c>
      <c r="K4203" s="142">
        <v>31648</v>
      </c>
    </row>
    <row r="4204" spans="1:11">
      <c r="A4204" s="1" t="str">
        <f t="shared" si="82"/>
        <v>15100-50692396-96150045044910</v>
      </c>
      <c r="B4204" s="126" t="s">
        <v>10147</v>
      </c>
      <c r="C4204" s="126" t="s">
        <v>11966</v>
      </c>
      <c r="D4204" s="132" t="s">
        <v>4971</v>
      </c>
      <c r="E4204" s="126" t="s">
        <v>9910</v>
      </c>
      <c r="F4204" s="126" t="s">
        <v>9910</v>
      </c>
      <c r="G4204" s="126" t="s">
        <v>7175</v>
      </c>
      <c r="H4204" s="167" t="s">
        <v>6298</v>
      </c>
      <c r="I4204" s="126">
        <v>961500450</v>
      </c>
      <c r="J4204" s="131" t="s">
        <v>9748</v>
      </c>
      <c r="K4204" s="168">
        <v>44910</v>
      </c>
    </row>
    <row r="4205" spans="1:11">
      <c r="A4205" s="1" t="str">
        <f t="shared" si="82"/>
        <v>15100-50692396-961500492291080</v>
      </c>
      <c r="B4205" s="126" t="s">
        <v>10147</v>
      </c>
      <c r="C4205" s="126" t="s">
        <v>11966</v>
      </c>
      <c r="D4205" s="132" t="s">
        <v>4971</v>
      </c>
      <c r="E4205" s="126" t="s">
        <v>9910</v>
      </c>
      <c r="F4205" s="126" t="s">
        <v>9910</v>
      </c>
      <c r="G4205" s="126" t="s">
        <v>7234</v>
      </c>
      <c r="H4205" s="167" t="s">
        <v>6454</v>
      </c>
      <c r="I4205" s="126">
        <v>961500492</v>
      </c>
      <c r="J4205" s="131" t="s">
        <v>9977</v>
      </c>
      <c r="K4205" s="168">
        <v>291080</v>
      </c>
    </row>
    <row r="4206" spans="1:11">
      <c r="A4206" s="1" t="str">
        <f t="shared" si="82"/>
        <v>15100-50692396-961500538324880</v>
      </c>
      <c r="B4206" s="126" t="s">
        <v>10147</v>
      </c>
      <c r="C4206" s="126" t="s">
        <v>11966</v>
      </c>
      <c r="D4206" s="132" t="s">
        <v>4971</v>
      </c>
      <c r="E4206" s="126" t="s">
        <v>9910</v>
      </c>
      <c r="F4206" s="126" t="s">
        <v>9910</v>
      </c>
      <c r="G4206" s="126" t="s">
        <v>8497</v>
      </c>
      <c r="H4206" s="167" t="s">
        <v>6453</v>
      </c>
      <c r="I4206" s="126">
        <v>961500538</v>
      </c>
      <c r="J4206" s="131" t="s">
        <v>8890</v>
      </c>
      <c r="K4206" s="168">
        <v>324880</v>
      </c>
    </row>
    <row r="4207" spans="1:11">
      <c r="A4207" s="1" t="str">
        <f t="shared" si="82"/>
        <v>15100-50692396-96150053668609</v>
      </c>
      <c r="B4207" s="126" t="s">
        <v>10147</v>
      </c>
      <c r="C4207" s="126" t="s">
        <v>11966</v>
      </c>
      <c r="D4207" s="132" t="s">
        <v>4971</v>
      </c>
      <c r="E4207" s="126" t="s">
        <v>9910</v>
      </c>
      <c r="F4207" s="126" t="s">
        <v>9910</v>
      </c>
      <c r="G4207" s="126" t="s">
        <v>7273</v>
      </c>
      <c r="H4207" s="167" t="s">
        <v>6298</v>
      </c>
      <c r="I4207" s="126">
        <v>961500536</v>
      </c>
      <c r="J4207" s="131" t="s">
        <v>10045</v>
      </c>
      <c r="K4207" s="168">
        <v>68609</v>
      </c>
    </row>
    <row r="4208" spans="1:11">
      <c r="A4208" s="1" t="str">
        <f t="shared" si="82"/>
        <v>15100-50649996-961500548200000</v>
      </c>
      <c r="B4208" s="126" t="s">
        <v>10148</v>
      </c>
      <c r="C4208" s="126" t="s">
        <v>11969</v>
      </c>
      <c r="D4208" s="132" t="s">
        <v>4971</v>
      </c>
      <c r="E4208" s="126" t="s">
        <v>9835</v>
      </c>
      <c r="F4208" s="126" t="s">
        <v>9835</v>
      </c>
      <c r="G4208" s="126" t="s">
        <v>5854</v>
      </c>
      <c r="H4208" s="167" t="s">
        <v>8859</v>
      </c>
      <c r="I4208" s="126">
        <v>961500548</v>
      </c>
      <c r="J4208" s="131" t="s">
        <v>12178</v>
      </c>
      <c r="K4208" s="168">
        <v>200000</v>
      </c>
    </row>
    <row r="4209" spans="1:11">
      <c r="A4209" s="1" t="str">
        <f t="shared" si="82"/>
        <v>15100-50583596-961500543216600</v>
      </c>
      <c r="B4209" s="141" t="s">
        <v>10087</v>
      </c>
      <c r="C4209" s="141" t="s">
        <v>11970</v>
      </c>
      <c r="D4209" s="132" t="s">
        <v>4971</v>
      </c>
      <c r="E4209" s="141" t="s">
        <v>9952</v>
      </c>
      <c r="F4209" s="141" t="s">
        <v>9952</v>
      </c>
      <c r="G4209" s="141" t="s">
        <v>5854</v>
      </c>
      <c r="H4209" s="140" t="s">
        <v>8859</v>
      </c>
      <c r="I4209" s="141">
        <v>961500543</v>
      </c>
      <c r="J4209" s="131" t="s">
        <v>9979</v>
      </c>
      <c r="K4209" s="142">
        <v>216600</v>
      </c>
    </row>
    <row r="4210" spans="1:11">
      <c r="A4210" s="1" t="str">
        <f t="shared" si="82"/>
        <v>15100-50649996-96150056177660</v>
      </c>
      <c r="B4210" s="126" t="s">
        <v>10148</v>
      </c>
      <c r="C4210" s="126" t="s">
        <v>11969</v>
      </c>
      <c r="D4210" s="132" t="s">
        <v>4971</v>
      </c>
      <c r="E4210" s="126" t="s">
        <v>9835</v>
      </c>
      <c r="F4210" s="126" t="s">
        <v>9835</v>
      </c>
      <c r="G4210" s="126" t="s">
        <v>5854</v>
      </c>
      <c r="H4210" s="167" t="s">
        <v>8859</v>
      </c>
      <c r="I4210" s="126">
        <v>961500561</v>
      </c>
      <c r="J4210" s="131" t="s">
        <v>10053</v>
      </c>
      <c r="K4210" s="168">
        <v>77660</v>
      </c>
    </row>
    <row r="4211" spans="1:11">
      <c r="A4211" s="1" t="str">
        <f t="shared" si="82"/>
        <v>15100-50583596-961500536332920</v>
      </c>
      <c r="B4211" s="141" t="s">
        <v>10087</v>
      </c>
      <c r="C4211" s="141" t="s">
        <v>11970</v>
      </c>
      <c r="D4211" s="132" t="s">
        <v>4971</v>
      </c>
      <c r="E4211" s="141" t="s">
        <v>9952</v>
      </c>
      <c r="F4211" s="141" t="s">
        <v>9952</v>
      </c>
      <c r="G4211" s="141" t="s">
        <v>7273</v>
      </c>
      <c r="H4211" s="140" t="s">
        <v>6298</v>
      </c>
      <c r="I4211" s="141">
        <v>961500536</v>
      </c>
      <c r="J4211" s="131" t="s">
        <v>10045</v>
      </c>
      <c r="K4211" s="142">
        <v>332920</v>
      </c>
    </row>
    <row r="4212" spans="1:11">
      <c r="A4212" s="1" t="str">
        <f t="shared" si="82"/>
        <v>15100-50681296-961500561194180</v>
      </c>
      <c r="B4212" s="141" t="s">
        <v>10088</v>
      </c>
      <c r="C4212" s="141" t="s">
        <v>11971</v>
      </c>
      <c r="D4212" s="132" t="s">
        <v>4971</v>
      </c>
      <c r="E4212" s="141" t="s">
        <v>9910</v>
      </c>
      <c r="F4212" s="141" t="s">
        <v>9910</v>
      </c>
      <c r="G4212" s="141" t="s">
        <v>5854</v>
      </c>
      <c r="H4212" s="140" t="s">
        <v>8859</v>
      </c>
      <c r="I4212" s="141">
        <v>961500561</v>
      </c>
      <c r="J4212" s="131" t="s">
        <v>10053</v>
      </c>
      <c r="K4212" s="142">
        <v>194180</v>
      </c>
    </row>
    <row r="4213" spans="1:11">
      <c r="A4213" s="1" t="str">
        <f t="shared" si="82"/>
        <v>15100-50683396-96150054323540</v>
      </c>
      <c r="B4213" s="141" t="s">
        <v>10089</v>
      </c>
      <c r="C4213" s="141" t="s">
        <v>11972</v>
      </c>
      <c r="D4213" s="132" t="s">
        <v>4971</v>
      </c>
      <c r="E4213" s="141" t="s">
        <v>9910</v>
      </c>
      <c r="F4213" s="141" t="s">
        <v>9910</v>
      </c>
      <c r="G4213" s="141" t="s">
        <v>5854</v>
      </c>
      <c r="H4213" s="140" t="s">
        <v>8859</v>
      </c>
      <c r="I4213" s="141">
        <v>961500543</v>
      </c>
      <c r="J4213" s="131" t="s">
        <v>9979</v>
      </c>
      <c r="K4213" s="142">
        <v>23540</v>
      </c>
    </row>
    <row r="4214" spans="1:11">
      <c r="A4214" s="1" t="str">
        <f t="shared" si="82"/>
        <v>15100-50683396-96150056122780</v>
      </c>
      <c r="B4214" s="141" t="s">
        <v>10089</v>
      </c>
      <c r="C4214" s="141" t="s">
        <v>11972</v>
      </c>
      <c r="D4214" s="132" t="s">
        <v>4971</v>
      </c>
      <c r="E4214" s="141" t="s">
        <v>9910</v>
      </c>
      <c r="F4214" s="141" t="s">
        <v>9910</v>
      </c>
      <c r="G4214" s="141" t="s">
        <v>5854</v>
      </c>
      <c r="H4214" s="140" t="s">
        <v>8859</v>
      </c>
      <c r="I4214" s="141">
        <v>961500561</v>
      </c>
      <c r="J4214" s="131" t="s">
        <v>10053</v>
      </c>
      <c r="K4214" s="142">
        <v>22780</v>
      </c>
    </row>
    <row r="4215" spans="1:11">
      <c r="A4215" s="1" t="str">
        <f t="shared" si="82"/>
        <v>15100-50917096-961500624400000</v>
      </c>
      <c r="B4215" s="141" t="s">
        <v>10090</v>
      </c>
      <c r="C4215" s="141" t="s">
        <v>11973</v>
      </c>
      <c r="D4215" s="132" t="s">
        <v>4971</v>
      </c>
      <c r="E4215" s="141" t="s">
        <v>9997</v>
      </c>
      <c r="F4215" s="141" t="s">
        <v>9997</v>
      </c>
      <c r="G4215" s="141" t="s">
        <v>9771</v>
      </c>
      <c r="H4215" s="140" t="s">
        <v>6300</v>
      </c>
      <c r="I4215" s="141">
        <v>961500624</v>
      </c>
      <c r="J4215" s="131" t="s">
        <v>10091</v>
      </c>
      <c r="K4215" s="142">
        <v>400000</v>
      </c>
    </row>
    <row r="4216" spans="1:11">
      <c r="A4216" s="1" t="str">
        <f t="shared" si="82"/>
        <v>15100-50917096-96150062523330</v>
      </c>
      <c r="B4216" s="141" t="s">
        <v>10090</v>
      </c>
      <c r="C4216" s="141" t="s">
        <v>11973</v>
      </c>
      <c r="D4216" s="132" t="s">
        <v>4971</v>
      </c>
      <c r="E4216" s="141" t="s">
        <v>9997</v>
      </c>
      <c r="F4216" s="141" t="s">
        <v>9997</v>
      </c>
      <c r="G4216" s="141" t="s">
        <v>9771</v>
      </c>
      <c r="H4216" s="140" t="s">
        <v>6300</v>
      </c>
      <c r="I4216" s="141">
        <v>961500625</v>
      </c>
      <c r="J4216" s="131" t="s">
        <v>10076</v>
      </c>
      <c r="K4216" s="142">
        <v>23330</v>
      </c>
    </row>
    <row r="4217" spans="1:11">
      <c r="A4217" s="1" t="str">
        <f t="shared" si="82"/>
        <v>15100-50740596-96150056131980</v>
      </c>
      <c r="B4217" s="141" t="s">
        <v>10092</v>
      </c>
      <c r="C4217" s="141" t="s">
        <v>11974</v>
      </c>
      <c r="D4217" s="132" t="s">
        <v>4971</v>
      </c>
      <c r="E4217" s="141" t="s">
        <v>9962</v>
      </c>
      <c r="F4217" s="141" t="s">
        <v>9962</v>
      </c>
      <c r="G4217" s="141" t="s">
        <v>5854</v>
      </c>
      <c r="H4217" s="140" t="s">
        <v>8859</v>
      </c>
      <c r="I4217" s="141">
        <v>961500561</v>
      </c>
      <c r="J4217" s="131" t="s">
        <v>10053</v>
      </c>
      <c r="K4217" s="142">
        <v>31980</v>
      </c>
    </row>
    <row r="4218" spans="1:11">
      <c r="A4218" s="1" t="str">
        <f t="shared" si="82"/>
        <v>15100-50740596-96150049238940</v>
      </c>
      <c r="B4218" s="141" t="s">
        <v>10092</v>
      </c>
      <c r="C4218" s="141" t="s">
        <v>11974</v>
      </c>
      <c r="D4218" s="132" t="s">
        <v>4971</v>
      </c>
      <c r="E4218" s="141" t="s">
        <v>9962</v>
      </c>
      <c r="F4218" s="141" t="s">
        <v>9962</v>
      </c>
      <c r="G4218" s="141" t="s">
        <v>7234</v>
      </c>
      <c r="H4218" s="140" t="s">
        <v>6454</v>
      </c>
      <c r="I4218" s="141">
        <v>961500492</v>
      </c>
      <c r="J4218" s="131" t="s">
        <v>9977</v>
      </c>
      <c r="K4218" s="142">
        <v>38940</v>
      </c>
    </row>
    <row r="4219" spans="1:11">
      <c r="A4219" s="1" t="str">
        <f t="shared" si="82"/>
        <v>15100-50902396-96150053337550</v>
      </c>
      <c r="B4219" s="141" t="s">
        <v>10084</v>
      </c>
      <c r="C4219" s="141" t="s">
        <v>11965</v>
      </c>
      <c r="D4219" s="132" t="s">
        <v>4971</v>
      </c>
      <c r="E4219" s="141" t="s">
        <v>9997</v>
      </c>
      <c r="F4219" s="141" t="s">
        <v>9997</v>
      </c>
      <c r="G4219" s="141" t="s">
        <v>8497</v>
      </c>
      <c r="H4219" s="140" t="s">
        <v>6453</v>
      </c>
      <c r="I4219" s="141">
        <v>961500533</v>
      </c>
      <c r="J4219" s="131" t="s">
        <v>9993</v>
      </c>
      <c r="K4219" s="142">
        <v>37550</v>
      </c>
    </row>
    <row r="4220" spans="1:11">
      <c r="A4220" s="1" t="str">
        <f t="shared" si="82"/>
        <v>15100-50653596-961500537300000</v>
      </c>
      <c r="B4220" s="141" t="s">
        <v>10085</v>
      </c>
      <c r="C4220" s="141" t="s">
        <v>11967</v>
      </c>
      <c r="D4220" s="132" t="s">
        <v>4971</v>
      </c>
      <c r="E4220" s="141" t="s">
        <v>9835</v>
      </c>
      <c r="F4220" s="141" t="s">
        <v>9835</v>
      </c>
      <c r="G4220" s="141" t="s">
        <v>7273</v>
      </c>
      <c r="H4220" s="140" t="s">
        <v>6298</v>
      </c>
      <c r="I4220" s="141">
        <v>961500537</v>
      </c>
      <c r="J4220" s="131" t="s">
        <v>10093</v>
      </c>
      <c r="K4220" s="142">
        <v>300000</v>
      </c>
    </row>
    <row r="4221" spans="1:11">
      <c r="A4221" s="1" t="str">
        <f t="shared" si="82"/>
        <v>15100-50692396-961500533195960</v>
      </c>
      <c r="B4221" s="126" t="s">
        <v>10147</v>
      </c>
      <c r="C4221" s="126" t="s">
        <v>11966</v>
      </c>
      <c r="D4221" s="132" t="s">
        <v>4971</v>
      </c>
      <c r="E4221" s="126" t="s">
        <v>9910</v>
      </c>
      <c r="F4221" s="126" t="s">
        <v>9910</v>
      </c>
      <c r="G4221" s="126" t="s">
        <v>8497</v>
      </c>
      <c r="H4221" s="167" t="s">
        <v>6453</v>
      </c>
      <c r="I4221" s="126">
        <v>961500533</v>
      </c>
      <c r="J4221" s="131" t="s">
        <v>9993</v>
      </c>
      <c r="K4221" s="168">
        <v>195960</v>
      </c>
    </row>
    <row r="4222" spans="1:11">
      <c r="A4222" s="1" t="str">
        <f t="shared" si="82"/>
        <v>15100-50738196-96150053348640</v>
      </c>
      <c r="B4222" s="141" t="s">
        <v>10094</v>
      </c>
      <c r="C4222" s="141" t="s">
        <v>11975</v>
      </c>
      <c r="D4222" s="132" t="s">
        <v>4971</v>
      </c>
      <c r="E4222" s="141" t="s">
        <v>9962</v>
      </c>
      <c r="F4222" s="141" t="s">
        <v>9962</v>
      </c>
      <c r="G4222" s="141" t="s">
        <v>8497</v>
      </c>
      <c r="H4222" s="140" t="s">
        <v>6453</v>
      </c>
      <c r="I4222" s="141">
        <v>961500533</v>
      </c>
      <c r="J4222" s="131" t="s">
        <v>9993</v>
      </c>
      <c r="K4222" s="142">
        <v>48640</v>
      </c>
    </row>
    <row r="4223" spans="1:11">
      <c r="A4223" s="1" t="str">
        <f t="shared" si="82"/>
        <v>50100-950568696-961500571789027</v>
      </c>
      <c r="B4223" s="141" t="s">
        <v>11976</v>
      </c>
      <c r="C4223" s="141" t="s">
        <v>11977</v>
      </c>
      <c r="D4223" s="132" t="s">
        <v>4971</v>
      </c>
      <c r="E4223" s="141" t="s">
        <v>9889</v>
      </c>
      <c r="F4223" s="141" t="s">
        <v>9889</v>
      </c>
      <c r="G4223" s="141" t="s">
        <v>8497</v>
      </c>
      <c r="H4223" s="140" t="s">
        <v>6453</v>
      </c>
      <c r="I4223" s="141">
        <v>961500571</v>
      </c>
      <c r="J4223" s="131" t="s">
        <v>9887</v>
      </c>
      <c r="K4223" s="142">
        <v>789027</v>
      </c>
    </row>
    <row r="4224" spans="1:11">
      <c r="A4224" s="1" t="str">
        <f t="shared" si="82"/>
        <v>50100-950568696-961500646206623</v>
      </c>
      <c r="B4224" s="141" t="s">
        <v>11976</v>
      </c>
      <c r="C4224" s="141" t="s">
        <v>11977</v>
      </c>
      <c r="D4224" s="132" t="s">
        <v>4971</v>
      </c>
      <c r="E4224" s="141" t="s">
        <v>9889</v>
      </c>
      <c r="F4224" s="141" t="s">
        <v>9889</v>
      </c>
      <c r="G4224" s="141" t="s">
        <v>9767</v>
      </c>
      <c r="H4224" s="140" t="s">
        <v>6453</v>
      </c>
      <c r="I4224" s="141">
        <v>961500646</v>
      </c>
      <c r="J4224" s="131" t="s">
        <v>9936</v>
      </c>
      <c r="K4224" s="142">
        <v>206623</v>
      </c>
    </row>
    <row r="4225" spans="1:11">
      <c r="A4225" s="1" t="str">
        <f t="shared" si="82"/>
        <v>50100-950646396-961500532137201</v>
      </c>
      <c r="B4225" s="141" t="s">
        <v>11978</v>
      </c>
      <c r="C4225" s="141" t="s">
        <v>11979</v>
      </c>
      <c r="D4225" s="132" t="s">
        <v>4971</v>
      </c>
      <c r="E4225" s="141" t="s">
        <v>9889</v>
      </c>
      <c r="F4225" s="141" t="s">
        <v>9889</v>
      </c>
      <c r="G4225" s="141" t="s">
        <v>8722</v>
      </c>
      <c r="H4225" s="140" t="s">
        <v>6300</v>
      </c>
      <c r="I4225" s="141">
        <v>961500532</v>
      </c>
      <c r="J4225" s="131" t="s">
        <v>9937</v>
      </c>
      <c r="K4225" s="142">
        <v>137201</v>
      </c>
    </row>
    <row r="4226" spans="1:11">
      <c r="A4226" s="1" t="str">
        <f t="shared" si="82"/>
        <v>50100-950646396-962500043471</v>
      </c>
      <c r="B4226" s="141" t="s">
        <v>11978</v>
      </c>
      <c r="C4226" s="141" t="s">
        <v>11979</v>
      </c>
      <c r="D4226" s="132" t="s">
        <v>4971</v>
      </c>
      <c r="E4226" s="141" t="s">
        <v>9889</v>
      </c>
      <c r="F4226" s="141" t="s">
        <v>9889</v>
      </c>
      <c r="G4226" s="141" t="s">
        <v>5836</v>
      </c>
      <c r="H4226" s="140" t="s">
        <v>6300</v>
      </c>
      <c r="I4226" s="141">
        <v>962500043</v>
      </c>
      <c r="J4226" s="131" t="s">
        <v>5981</v>
      </c>
      <c r="K4226" s="142">
        <v>471</v>
      </c>
    </row>
    <row r="4227" spans="1:11">
      <c r="A4227" s="1" t="str">
        <f t="shared" ref="A4227:A4290" si="85">B4227&amp;J4227&amp;K4227</f>
        <v>50100-950646396-962500073158</v>
      </c>
      <c r="B4227" s="141" t="s">
        <v>11978</v>
      </c>
      <c r="C4227" s="141" t="s">
        <v>11979</v>
      </c>
      <c r="D4227" s="132" t="s">
        <v>4971</v>
      </c>
      <c r="E4227" s="141" t="s">
        <v>9889</v>
      </c>
      <c r="F4227" s="141" t="s">
        <v>9889</v>
      </c>
      <c r="G4227" s="141" t="s">
        <v>5842</v>
      </c>
      <c r="H4227" s="140" t="s">
        <v>6300</v>
      </c>
      <c r="I4227" s="141">
        <v>962500073</v>
      </c>
      <c r="J4227" s="131" t="s">
        <v>6271</v>
      </c>
      <c r="K4227" s="142">
        <v>158</v>
      </c>
    </row>
    <row r="4228" spans="1:11">
      <c r="A4228" s="1" t="str">
        <f t="shared" si="85"/>
        <v>50100-950692996-96250005530094</v>
      </c>
      <c r="B4228" s="141" t="s">
        <v>11980</v>
      </c>
      <c r="C4228" s="141" t="s">
        <v>11981</v>
      </c>
      <c r="D4228" s="132" t="s">
        <v>4971</v>
      </c>
      <c r="E4228" s="141" t="s">
        <v>9889</v>
      </c>
      <c r="F4228" s="141" t="s">
        <v>9889</v>
      </c>
      <c r="G4228" s="141" t="s">
        <v>5854</v>
      </c>
      <c r="H4228" s="140" t="s">
        <v>8859</v>
      </c>
      <c r="I4228" s="141">
        <v>962500055</v>
      </c>
      <c r="J4228" s="131" t="s">
        <v>6034</v>
      </c>
      <c r="K4228" s="142">
        <v>30094</v>
      </c>
    </row>
    <row r="4229" spans="1:11">
      <c r="A4229" s="1" t="str">
        <f t="shared" si="85"/>
        <v>50100-950692996-9625000999000</v>
      </c>
      <c r="B4229" s="141" t="s">
        <v>11980</v>
      </c>
      <c r="C4229" s="141" t="s">
        <v>11981</v>
      </c>
      <c r="D4229" s="132" t="s">
        <v>4971</v>
      </c>
      <c r="E4229" s="141" t="s">
        <v>9889</v>
      </c>
      <c r="F4229" s="141" t="s">
        <v>9889</v>
      </c>
      <c r="G4229" s="141" t="s">
        <v>7603</v>
      </c>
      <c r="H4229" s="140" t="s">
        <v>6454</v>
      </c>
      <c r="I4229" s="141">
        <v>962500099</v>
      </c>
      <c r="J4229" s="131" t="s">
        <v>7602</v>
      </c>
      <c r="K4229" s="142">
        <v>9000</v>
      </c>
    </row>
    <row r="4230" spans="1:11">
      <c r="A4230" s="1" t="str">
        <f t="shared" si="85"/>
        <v>50100-950916696-96250015145878</v>
      </c>
      <c r="B4230" s="141" t="s">
        <v>11982</v>
      </c>
      <c r="C4230" s="141" t="s">
        <v>11983</v>
      </c>
      <c r="D4230" s="132" t="s">
        <v>4971</v>
      </c>
      <c r="E4230" s="141" t="s">
        <v>9889</v>
      </c>
      <c r="F4230" s="141" t="s">
        <v>9889</v>
      </c>
      <c r="G4230" s="141" t="s">
        <v>5858</v>
      </c>
      <c r="H4230" s="140" t="s">
        <v>11406</v>
      </c>
      <c r="I4230" s="141">
        <v>962500151</v>
      </c>
      <c r="J4230" s="131" t="s">
        <v>9905</v>
      </c>
      <c r="K4230" s="142">
        <v>45878</v>
      </c>
    </row>
    <row r="4231" spans="1:11">
      <c r="A4231" s="1" t="str">
        <f t="shared" si="85"/>
        <v>50100-950916696-962500163448387</v>
      </c>
      <c r="B4231" s="141" t="s">
        <v>11982</v>
      </c>
      <c r="C4231" s="141" t="s">
        <v>11983</v>
      </c>
      <c r="D4231" s="132" t="s">
        <v>4971</v>
      </c>
      <c r="E4231" s="141" t="s">
        <v>9889</v>
      </c>
      <c r="F4231" s="141" t="s">
        <v>9889</v>
      </c>
      <c r="G4231" s="141" t="s">
        <v>5858</v>
      </c>
      <c r="H4231" s="140" t="s">
        <v>11406</v>
      </c>
      <c r="I4231" s="141">
        <v>962500163</v>
      </c>
      <c r="J4231" s="131" t="s">
        <v>9938</v>
      </c>
      <c r="K4231" s="142">
        <v>448387</v>
      </c>
    </row>
    <row r="4232" spans="1:11">
      <c r="A4232" s="1" t="str">
        <f t="shared" si="85"/>
        <v>50100-950947096-962500159445000</v>
      </c>
      <c r="B4232" s="141" t="s">
        <v>11984</v>
      </c>
      <c r="C4232" s="141" t="s">
        <v>11985</v>
      </c>
      <c r="D4232" s="132" t="s">
        <v>4971</v>
      </c>
      <c r="E4232" s="141" t="s">
        <v>9889</v>
      </c>
      <c r="F4232" s="141" t="s">
        <v>9889</v>
      </c>
      <c r="G4232" s="141" t="s">
        <v>5858</v>
      </c>
      <c r="H4232" s="140" t="s">
        <v>11406</v>
      </c>
      <c r="I4232" s="141">
        <v>962500159</v>
      </c>
      <c r="J4232" s="131" t="s">
        <v>9939</v>
      </c>
      <c r="K4232" s="142">
        <v>445000</v>
      </c>
    </row>
    <row r="4233" spans="1:11">
      <c r="A4233" s="1" t="str">
        <f t="shared" si="85"/>
        <v>50100-950947096-96250016329616</v>
      </c>
      <c r="B4233" s="141" t="s">
        <v>11984</v>
      </c>
      <c r="C4233" s="141" t="s">
        <v>11985</v>
      </c>
      <c r="D4233" s="132" t="s">
        <v>4971</v>
      </c>
      <c r="E4233" s="141" t="s">
        <v>9889</v>
      </c>
      <c r="F4233" s="141" t="s">
        <v>9889</v>
      </c>
      <c r="G4233" s="141" t="s">
        <v>5858</v>
      </c>
      <c r="H4233" s="140" t="s">
        <v>11406</v>
      </c>
      <c r="I4233" s="141">
        <v>962500163</v>
      </c>
      <c r="J4233" s="131" t="s">
        <v>9938</v>
      </c>
      <c r="K4233" s="142">
        <v>29616</v>
      </c>
    </row>
    <row r="4234" spans="1:11">
      <c r="A4234" s="1" t="str">
        <f t="shared" si="85"/>
        <v>50100-951065796-962500085100000</v>
      </c>
      <c r="B4234" s="141" t="s">
        <v>11986</v>
      </c>
      <c r="C4234" s="141" t="s">
        <v>11987</v>
      </c>
      <c r="D4234" s="132" t="s">
        <v>4971</v>
      </c>
      <c r="E4234" s="141" t="s">
        <v>9981</v>
      </c>
      <c r="F4234" s="141" t="s">
        <v>9981</v>
      </c>
      <c r="G4234" s="141" t="s">
        <v>7231</v>
      </c>
      <c r="H4234" s="140" t="s">
        <v>6298</v>
      </c>
      <c r="I4234" s="141">
        <v>962500085</v>
      </c>
      <c r="J4234" s="131" t="s">
        <v>9940</v>
      </c>
      <c r="K4234" s="142">
        <v>100000</v>
      </c>
    </row>
    <row r="4235" spans="1:11">
      <c r="A4235" s="1" t="str">
        <f t="shared" si="85"/>
        <v>50100-951065796-961500602329532</v>
      </c>
      <c r="B4235" s="141" t="s">
        <v>11986</v>
      </c>
      <c r="C4235" s="141" t="s">
        <v>11987</v>
      </c>
      <c r="D4235" s="132" t="s">
        <v>4971</v>
      </c>
      <c r="E4235" s="141" t="s">
        <v>9981</v>
      </c>
      <c r="F4235" s="141" t="s">
        <v>9981</v>
      </c>
      <c r="G4235" s="141" t="s">
        <v>8725</v>
      </c>
      <c r="H4235" s="140" t="s">
        <v>6454</v>
      </c>
      <c r="I4235" s="141">
        <v>961500602</v>
      </c>
      <c r="J4235" s="131" t="s">
        <v>9849</v>
      </c>
      <c r="K4235" s="142">
        <v>329532</v>
      </c>
    </row>
    <row r="4236" spans="1:11">
      <c r="A4236" s="1" t="str">
        <f t="shared" si="85"/>
        <v>50100-951065796-9625001289148</v>
      </c>
      <c r="B4236" s="141" t="s">
        <v>11986</v>
      </c>
      <c r="C4236" s="141" t="s">
        <v>11987</v>
      </c>
      <c r="D4236" s="132" t="s">
        <v>4971</v>
      </c>
      <c r="E4236" s="141" t="s">
        <v>9981</v>
      </c>
      <c r="F4236" s="141" t="s">
        <v>9981</v>
      </c>
      <c r="G4236" s="141" t="s">
        <v>8748</v>
      </c>
      <c r="H4236" s="140" t="s">
        <v>6454</v>
      </c>
      <c r="I4236" s="141">
        <v>962500128</v>
      </c>
      <c r="J4236" s="131" t="s">
        <v>9858</v>
      </c>
      <c r="K4236" s="142">
        <v>9148</v>
      </c>
    </row>
    <row r="4237" spans="1:11">
      <c r="A4237" s="1" t="str">
        <f t="shared" si="85"/>
        <v>50100-951065796-962500086240349</v>
      </c>
      <c r="B4237" s="141" t="s">
        <v>11986</v>
      </c>
      <c r="C4237" s="141" t="s">
        <v>11987</v>
      </c>
      <c r="D4237" s="132" t="s">
        <v>4971</v>
      </c>
      <c r="E4237" s="141" t="s">
        <v>9981</v>
      </c>
      <c r="F4237" s="141" t="s">
        <v>9981</v>
      </c>
      <c r="G4237" s="141" t="s">
        <v>7231</v>
      </c>
      <c r="H4237" s="140" t="s">
        <v>6298</v>
      </c>
      <c r="I4237" s="141">
        <v>962500086</v>
      </c>
      <c r="J4237" s="131" t="s">
        <v>9941</v>
      </c>
      <c r="K4237" s="142">
        <v>240349</v>
      </c>
    </row>
    <row r="4238" spans="1:11">
      <c r="A4238" s="1" t="str">
        <f t="shared" si="85"/>
        <v>50100-951065796-962500089300000</v>
      </c>
      <c r="B4238" s="141" t="s">
        <v>11986</v>
      </c>
      <c r="C4238" s="141" t="s">
        <v>11987</v>
      </c>
      <c r="D4238" s="132" t="s">
        <v>4971</v>
      </c>
      <c r="E4238" s="141" t="s">
        <v>9981</v>
      </c>
      <c r="F4238" s="141" t="s">
        <v>9981</v>
      </c>
      <c r="G4238" s="141" t="s">
        <v>7231</v>
      </c>
      <c r="H4238" s="140" t="s">
        <v>6298</v>
      </c>
      <c r="I4238" s="141">
        <v>962500089</v>
      </c>
      <c r="J4238" s="131" t="s">
        <v>9942</v>
      </c>
      <c r="K4238" s="142">
        <v>300000</v>
      </c>
    </row>
    <row r="4239" spans="1:11">
      <c r="A4239" s="1" t="str">
        <f t="shared" si="85"/>
        <v>50100-951065796-962500091120302</v>
      </c>
      <c r="B4239" s="141" t="s">
        <v>11986</v>
      </c>
      <c r="C4239" s="141" t="s">
        <v>11987</v>
      </c>
      <c r="D4239" s="132" t="s">
        <v>4971</v>
      </c>
      <c r="E4239" s="141" t="s">
        <v>9981</v>
      </c>
      <c r="F4239" s="141" t="s">
        <v>9981</v>
      </c>
      <c r="G4239" s="141" t="s">
        <v>7231</v>
      </c>
      <c r="H4239" s="140" t="s">
        <v>6298</v>
      </c>
      <c r="I4239" s="141">
        <v>962500091</v>
      </c>
      <c r="J4239" s="131" t="s">
        <v>9943</v>
      </c>
      <c r="K4239" s="142">
        <v>120302</v>
      </c>
    </row>
    <row r="4240" spans="1:11">
      <c r="A4240" s="1" t="str">
        <f t="shared" si="85"/>
        <v>50100-951795096-961500646492225</v>
      </c>
      <c r="B4240" s="141" t="s">
        <v>11988</v>
      </c>
      <c r="C4240" s="141" t="s">
        <v>11989</v>
      </c>
      <c r="D4240" s="132" t="s">
        <v>4971</v>
      </c>
      <c r="E4240" s="141" t="s">
        <v>11990</v>
      </c>
      <c r="F4240" s="141" t="s">
        <v>11990</v>
      </c>
      <c r="G4240" s="141" t="s">
        <v>9767</v>
      </c>
      <c r="H4240" s="140" t="s">
        <v>6453</v>
      </c>
      <c r="I4240" s="141">
        <v>961500646</v>
      </c>
      <c r="J4240" s="131" t="s">
        <v>9936</v>
      </c>
      <c r="K4240" s="142">
        <v>492225</v>
      </c>
    </row>
    <row r="4241" spans="1:11">
      <c r="A4241" s="1" t="str">
        <f t="shared" si="85"/>
        <v>50100-952603696-961500673498620</v>
      </c>
      <c r="B4241" s="141" t="s">
        <v>11991</v>
      </c>
      <c r="C4241" s="141" t="s">
        <v>11992</v>
      </c>
      <c r="D4241" s="132" t="s">
        <v>4971</v>
      </c>
      <c r="E4241" s="141" t="s">
        <v>11993</v>
      </c>
      <c r="F4241" s="141" t="s">
        <v>11993</v>
      </c>
      <c r="G4241" s="141" t="s">
        <v>9768</v>
      </c>
      <c r="H4241" s="140" t="s">
        <v>6454</v>
      </c>
      <c r="I4241" s="141">
        <v>961500673</v>
      </c>
      <c r="J4241" s="131" t="s">
        <v>9944</v>
      </c>
      <c r="K4241" s="142">
        <v>498620</v>
      </c>
    </row>
    <row r="4242" spans="1:11">
      <c r="A4242" s="1" t="str">
        <f t="shared" si="85"/>
        <v>50100-952603696-962500144500000</v>
      </c>
      <c r="B4242" s="141" t="s">
        <v>11991</v>
      </c>
      <c r="C4242" s="141" t="s">
        <v>11992</v>
      </c>
      <c r="D4242" s="132" t="s">
        <v>4971</v>
      </c>
      <c r="E4242" s="141" t="s">
        <v>11993</v>
      </c>
      <c r="F4242" s="141" t="s">
        <v>11993</v>
      </c>
      <c r="G4242" s="141" t="s">
        <v>9784</v>
      </c>
      <c r="H4242" s="140" t="s">
        <v>6454</v>
      </c>
      <c r="I4242" s="141">
        <v>962500144</v>
      </c>
      <c r="J4242" s="131" t="s">
        <v>9945</v>
      </c>
      <c r="K4242" s="142">
        <v>500000</v>
      </c>
    </row>
    <row r="4243" spans="1:11">
      <c r="A4243" s="1" t="str">
        <f t="shared" si="85"/>
        <v>50100-952603696-961500658500000</v>
      </c>
      <c r="B4243" s="141" t="s">
        <v>11991</v>
      </c>
      <c r="C4243" s="141" t="s">
        <v>11992</v>
      </c>
      <c r="D4243" s="132" t="s">
        <v>4971</v>
      </c>
      <c r="E4243" s="141" t="s">
        <v>11993</v>
      </c>
      <c r="F4243" s="141" t="s">
        <v>11993</v>
      </c>
      <c r="G4243" s="141" t="s">
        <v>9768</v>
      </c>
      <c r="H4243" s="140" t="s">
        <v>6454</v>
      </c>
      <c r="I4243" s="141">
        <v>961500658</v>
      </c>
      <c r="J4243" s="131" t="s">
        <v>9946</v>
      </c>
      <c r="K4243" s="142">
        <v>500000</v>
      </c>
    </row>
    <row r="4244" spans="1:11">
      <c r="A4244" s="1" t="str">
        <f t="shared" si="85"/>
        <v>50100-952603696-9615005861380</v>
      </c>
      <c r="B4244" s="141" t="s">
        <v>11991</v>
      </c>
      <c r="C4244" s="141" t="s">
        <v>11992</v>
      </c>
      <c r="D4244" s="132" t="s">
        <v>4971</v>
      </c>
      <c r="E4244" s="141" t="s">
        <v>11993</v>
      </c>
      <c r="F4244" s="141" t="s">
        <v>11993</v>
      </c>
      <c r="G4244" s="141" t="s">
        <v>7118</v>
      </c>
      <c r="H4244" s="140" t="s">
        <v>6454</v>
      </c>
      <c r="I4244" s="141">
        <v>961500586</v>
      </c>
      <c r="J4244" s="131" t="s">
        <v>9877</v>
      </c>
      <c r="K4244" s="142">
        <v>1380</v>
      </c>
    </row>
    <row r="4245" spans="1:11">
      <c r="A4245" s="1" t="str">
        <f t="shared" si="85"/>
        <v>50100-952700996-962500083150000</v>
      </c>
      <c r="B4245" s="141" t="s">
        <v>11994</v>
      </c>
      <c r="C4245" s="141" t="s">
        <v>11995</v>
      </c>
      <c r="D4245" s="132" t="s">
        <v>4971</v>
      </c>
      <c r="E4245" s="141" t="s">
        <v>11993</v>
      </c>
      <c r="F4245" s="141" t="s">
        <v>11993</v>
      </c>
      <c r="G4245" s="141" t="s">
        <v>7175</v>
      </c>
      <c r="H4245" s="140" t="s">
        <v>6298</v>
      </c>
      <c r="I4245" s="141">
        <v>962500083</v>
      </c>
      <c r="J4245" s="131" t="s">
        <v>9947</v>
      </c>
      <c r="K4245" s="142">
        <v>150000</v>
      </c>
    </row>
    <row r="4246" spans="1:11">
      <c r="A4246" s="1" t="str">
        <f t="shared" si="85"/>
        <v>50100-952700996-96250010112194</v>
      </c>
      <c r="B4246" s="141" t="s">
        <v>11994</v>
      </c>
      <c r="C4246" s="141" t="s">
        <v>11995</v>
      </c>
      <c r="D4246" s="132" t="s">
        <v>4971</v>
      </c>
      <c r="E4246" s="141" t="s">
        <v>11993</v>
      </c>
      <c r="F4246" s="141" t="s">
        <v>11993</v>
      </c>
      <c r="G4246" s="141" t="s">
        <v>7231</v>
      </c>
      <c r="H4246" s="140" t="s">
        <v>6298</v>
      </c>
      <c r="I4246" s="141">
        <v>962500101</v>
      </c>
      <c r="J4246" s="131" t="s">
        <v>9948</v>
      </c>
      <c r="K4246" s="142">
        <v>12194</v>
      </c>
    </row>
    <row r="4247" spans="1:11">
      <c r="A4247" s="1" t="str">
        <f t="shared" si="85"/>
        <v>50100-952700996-96150039520737</v>
      </c>
      <c r="B4247" s="141" t="s">
        <v>11994</v>
      </c>
      <c r="C4247" s="141" t="s">
        <v>11995</v>
      </c>
      <c r="D4247" s="132" t="s">
        <v>4971</v>
      </c>
      <c r="E4247" s="141" t="s">
        <v>11993</v>
      </c>
      <c r="F4247" s="141" t="s">
        <v>11993</v>
      </c>
      <c r="G4247" s="141" t="s">
        <v>7231</v>
      </c>
      <c r="H4247" s="140" t="s">
        <v>6298</v>
      </c>
      <c r="I4247" s="141">
        <v>961500395</v>
      </c>
      <c r="J4247" s="131" t="s">
        <v>9863</v>
      </c>
      <c r="K4247" s="142">
        <v>20737</v>
      </c>
    </row>
    <row r="4248" spans="1:11">
      <c r="A4248" s="1" t="str">
        <f t="shared" si="85"/>
        <v>50100-952700996-962500087100000</v>
      </c>
      <c r="B4248" s="141" t="s">
        <v>11994</v>
      </c>
      <c r="C4248" s="141" t="s">
        <v>11995</v>
      </c>
      <c r="D4248" s="132" t="s">
        <v>4971</v>
      </c>
      <c r="E4248" s="141" t="s">
        <v>11993</v>
      </c>
      <c r="F4248" s="141" t="s">
        <v>11993</v>
      </c>
      <c r="G4248" s="141" t="s">
        <v>7231</v>
      </c>
      <c r="H4248" s="140" t="s">
        <v>6298</v>
      </c>
      <c r="I4248" s="141">
        <v>962500087</v>
      </c>
      <c r="J4248" s="131" t="s">
        <v>9949</v>
      </c>
      <c r="K4248" s="142">
        <v>100000</v>
      </c>
    </row>
    <row r="4249" spans="1:11">
      <c r="A4249" s="1" t="str">
        <f t="shared" si="85"/>
        <v>50100-952700996-962500092150000</v>
      </c>
      <c r="B4249" s="141" t="s">
        <v>11994</v>
      </c>
      <c r="C4249" s="141" t="s">
        <v>11995</v>
      </c>
      <c r="D4249" s="132" t="s">
        <v>4971</v>
      </c>
      <c r="E4249" s="141" t="s">
        <v>11993</v>
      </c>
      <c r="F4249" s="141" t="s">
        <v>11993</v>
      </c>
      <c r="G4249" s="141" t="s">
        <v>7231</v>
      </c>
      <c r="H4249" s="140" t="s">
        <v>6298</v>
      </c>
      <c r="I4249" s="141">
        <v>962500092</v>
      </c>
      <c r="J4249" s="131" t="s">
        <v>9950</v>
      </c>
      <c r="K4249" s="142">
        <v>150000</v>
      </c>
    </row>
    <row r="4250" spans="1:11">
      <c r="A4250" s="1" t="str">
        <f t="shared" si="85"/>
        <v>50100-952700996-96250009167569</v>
      </c>
      <c r="B4250" s="141" t="s">
        <v>11994</v>
      </c>
      <c r="C4250" s="141" t="s">
        <v>11995</v>
      </c>
      <c r="D4250" s="132" t="s">
        <v>4971</v>
      </c>
      <c r="E4250" s="141" t="s">
        <v>11993</v>
      </c>
      <c r="F4250" s="141" t="s">
        <v>11993</v>
      </c>
      <c r="G4250" s="141" t="s">
        <v>7231</v>
      </c>
      <c r="H4250" s="140" t="s">
        <v>6298</v>
      </c>
      <c r="I4250" s="141">
        <v>962500091</v>
      </c>
      <c r="J4250" s="131" t="s">
        <v>9943</v>
      </c>
      <c r="K4250" s="142">
        <v>67569</v>
      </c>
    </row>
    <row r="4251" spans="1:11">
      <c r="A4251" s="1" t="str">
        <f t="shared" si="85"/>
        <v>50100-953324496-964100076539720</v>
      </c>
      <c r="B4251" s="141" t="s">
        <v>11996</v>
      </c>
      <c r="C4251" s="141" t="s">
        <v>11997</v>
      </c>
      <c r="D4251" s="132" t="s">
        <v>4971</v>
      </c>
      <c r="E4251" s="141" t="s">
        <v>9952</v>
      </c>
      <c r="F4251" s="141" t="s">
        <v>9952</v>
      </c>
      <c r="G4251" s="141" t="s">
        <v>9766</v>
      </c>
      <c r="H4251" s="140" t="s">
        <v>6452</v>
      </c>
      <c r="I4251" s="141">
        <v>964100076</v>
      </c>
      <c r="J4251" s="131" t="s">
        <v>9951</v>
      </c>
      <c r="K4251" s="142">
        <v>539720</v>
      </c>
    </row>
    <row r="4252" spans="1:11">
      <c r="A4252" s="1" t="str">
        <f t="shared" si="85"/>
        <v>50100-953324496-964100077430000</v>
      </c>
      <c r="B4252" s="141" t="s">
        <v>11996</v>
      </c>
      <c r="C4252" s="141" t="s">
        <v>11997</v>
      </c>
      <c r="D4252" s="132" t="s">
        <v>4971</v>
      </c>
      <c r="E4252" s="141" t="s">
        <v>9952</v>
      </c>
      <c r="F4252" s="141" t="s">
        <v>9952</v>
      </c>
      <c r="G4252" s="141" t="s">
        <v>8706</v>
      </c>
      <c r="H4252" s="140" t="s">
        <v>6452</v>
      </c>
      <c r="I4252" s="141">
        <v>964100077</v>
      </c>
      <c r="J4252" s="131" t="s">
        <v>9953</v>
      </c>
      <c r="K4252" s="142">
        <v>430000</v>
      </c>
    </row>
    <row r="4253" spans="1:11">
      <c r="A4253" s="1" t="str">
        <f t="shared" si="85"/>
        <v>50100-953684096-961500654676893</v>
      </c>
      <c r="B4253" s="141" t="s">
        <v>11998</v>
      </c>
      <c r="C4253" s="141" t="s">
        <v>11999</v>
      </c>
      <c r="D4253" s="132" t="s">
        <v>4971</v>
      </c>
      <c r="E4253" s="141" t="s">
        <v>9835</v>
      </c>
      <c r="F4253" s="141" t="s">
        <v>9835</v>
      </c>
      <c r="G4253" s="141" t="s">
        <v>9761</v>
      </c>
      <c r="H4253" s="140" t="s">
        <v>6452</v>
      </c>
      <c r="I4253" s="141">
        <v>961500654</v>
      </c>
      <c r="J4253" s="131" t="s">
        <v>9954</v>
      </c>
      <c r="K4253" s="142">
        <v>676893</v>
      </c>
    </row>
    <row r="4254" spans="1:11">
      <c r="A4254" s="1" t="str">
        <f t="shared" si="85"/>
        <v>50100-953690196-961500654517620</v>
      </c>
      <c r="B4254" s="141" t="s">
        <v>12000</v>
      </c>
      <c r="C4254" s="141" t="s">
        <v>12001</v>
      </c>
      <c r="D4254" s="132" t="s">
        <v>4971</v>
      </c>
      <c r="E4254" s="141" t="s">
        <v>9835</v>
      </c>
      <c r="F4254" s="141" t="s">
        <v>9835</v>
      </c>
      <c r="G4254" s="141" t="s">
        <v>9761</v>
      </c>
      <c r="H4254" s="140" t="s">
        <v>6452</v>
      </c>
      <c r="I4254" s="141">
        <v>961500654</v>
      </c>
      <c r="J4254" s="131" t="s">
        <v>9954</v>
      </c>
      <c r="K4254" s="142">
        <v>517620</v>
      </c>
    </row>
    <row r="4255" spans="1:11">
      <c r="A4255" s="1" t="str">
        <f t="shared" si="85"/>
        <v>50100-953697596-961500654557438</v>
      </c>
      <c r="B4255" s="141" t="s">
        <v>12002</v>
      </c>
      <c r="C4255" s="141" t="s">
        <v>12003</v>
      </c>
      <c r="D4255" s="132" t="s">
        <v>4971</v>
      </c>
      <c r="E4255" s="141" t="s">
        <v>9835</v>
      </c>
      <c r="F4255" s="141" t="s">
        <v>9835</v>
      </c>
      <c r="G4255" s="141" t="s">
        <v>9761</v>
      </c>
      <c r="H4255" s="140" t="s">
        <v>6452</v>
      </c>
      <c r="I4255" s="141">
        <v>961500654</v>
      </c>
      <c r="J4255" s="131" t="s">
        <v>9954</v>
      </c>
      <c r="K4255" s="142">
        <v>557438</v>
      </c>
    </row>
    <row r="4256" spans="1:11">
      <c r="A4256" s="1" t="str">
        <f t="shared" si="85"/>
        <v>50100-953713596-962500168291200</v>
      </c>
      <c r="B4256" s="141" t="s">
        <v>12004</v>
      </c>
      <c r="C4256" s="141" t="s">
        <v>12005</v>
      </c>
      <c r="D4256" s="132" t="s">
        <v>4971</v>
      </c>
      <c r="E4256" s="141" t="s">
        <v>9835</v>
      </c>
      <c r="F4256" s="141" t="s">
        <v>9835</v>
      </c>
      <c r="G4256" s="141" t="s">
        <v>9761</v>
      </c>
      <c r="H4256" s="140" t="s">
        <v>6452</v>
      </c>
      <c r="I4256" s="141">
        <v>962500168</v>
      </c>
      <c r="J4256" s="131" t="s">
        <v>9955</v>
      </c>
      <c r="K4256" s="142">
        <v>291200</v>
      </c>
    </row>
    <row r="4257" spans="1:11">
      <c r="A4257" s="1" t="str">
        <f t="shared" si="85"/>
        <v>50100-953713596-961500654246329</v>
      </c>
      <c r="B4257" s="141" t="s">
        <v>12004</v>
      </c>
      <c r="C4257" s="141" t="s">
        <v>12005</v>
      </c>
      <c r="D4257" s="132" t="s">
        <v>4971</v>
      </c>
      <c r="E4257" s="141" t="s">
        <v>9835</v>
      </c>
      <c r="F4257" s="141" t="s">
        <v>9835</v>
      </c>
      <c r="G4257" s="141" t="s">
        <v>9761</v>
      </c>
      <c r="H4257" s="140" t="s">
        <v>6452</v>
      </c>
      <c r="I4257" s="141">
        <v>961500654</v>
      </c>
      <c r="J4257" s="131" t="s">
        <v>9954</v>
      </c>
      <c r="K4257" s="142">
        <v>246329</v>
      </c>
    </row>
    <row r="4258" spans="1:11">
      <c r="A4258" s="1" t="str">
        <f t="shared" si="85"/>
        <v>50100-953723596-962500168497712</v>
      </c>
      <c r="B4258" s="141" t="s">
        <v>12006</v>
      </c>
      <c r="C4258" s="141" t="s">
        <v>12007</v>
      </c>
      <c r="D4258" s="132" t="s">
        <v>4971</v>
      </c>
      <c r="E4258" s="141" t="s">
        <v>9835</v>
      </c>
      <c r="F4258" s="141" t="s">
        <v>9835</v>
      </c>
      <c r="G4258" s="141" t="s">
        <v>9761</v>
      </c>
      <c r="H4258" s="140" t="s">
        <v>6452</v>
      </c>
      <c r="I4258" s="141">
        <v>962500168</v>
      </c>
      <c r="J4258" s="131" t="s">
        <v>9955</v>
      </c>
      <c r="K4258" s="142">
        <v>497712</v>
      </c>
    </row>
    <row r="4259" spans="1:11">
      <c r="A4259" s="1" t="str">
        <f t="shared" si="85"/>
        <v>50100-953731196-962500168454894</v>
      </c>
      <c r="B4259" s="141" t="s">
        <v>12008</v>
      </c>
      <c r="C4259" s="141" t="s">
        <v>12009</v>
      </c>
      <c r="D4259" s="132" t="s">
        <v>4971</v>
      </c>
      <c r="E4259" s="141" t="s">
        <v>9835</v>
      </c>
      <c r="F4259" s="141" t="s">
        <v>9835</v>
      </c>
      <c r="G4259" s="141" t="s">
        <v>9761</v>
      </c>
      <c r="H4259" s="140" t="s">
        <v>6452</v>
      </c>
      <c r="I4259" s="141">
        <v>962500168</v>
      </c>
      <c r="J4259" s="131" t="s">
        <v>9955</v>
      </c>
      <c r="K4259" s="142">
        <v>454894</v>
      </c>
    </row>
    <row r="4260" spans="1:11">
      <c r="A4260" s="1" t="str">
        <f t="shared" si="85"/>
        <v>50100-953737596-962500154187413</v>
      </c>
      <c r="B4260" s="141" t="s">
        <v>12010</v>
      </c>
      <c r="C4260" s="141" t="s">
        <v>12011</v>
      </c>
      <c r="D4260" s="132" t="s">
        <v>4971</v>
      </c>
      <c r="E4260" s="141" t="s">
        <v>9835</v>
      </c>
      <c r="F4260" s="141" t="s">
        <v>9835</v>
      </c>
      <c r="G4260" s="141" t="s">
        <v>9761</v>
      </c>
      <c r="H4260" s="140" t="s">
        <v>6452</v>
      </c>
      <c r="I4260" s="141">
        <v>962500154</v>
      </c>
      <c r="J4260" s="131" t="s">
        <v>9956</v>
      </c>
      <c r="K4260" s="142">
        <v>187413</v>
      </c>
    </row>
    <row r="4261" spans="1:11">
      <c r="A4261" s="1" t="str">
        <f t="shared" si="85"/>
        <v>50100-953737596-962500168247703</v>
      </c>
      <c r="B4261" s="141" t="s">
        <v>12010</v>
      </c>
      <c r="C4261" s="141" t="s">
        <v>12011</v>
      </c>
      <c r="D4261" s="132" t="s">
        <v>4971</v>
      </c>
      <c r="E4261" s="141" t="s">
        <v>9835</v>
      </c>
      <c r="F4261" s="141" t="s">
        <v>9835</v>
      </c>
      <c r="G4261" s="141" t="s">
        <v>9761</v>
      </c>
      <c r="H4261" s="140" t="s">
        <v>6452</v>
      </c>
      <c r="I4261" s="141">
        <v>962500168</v>
      </c>
      <c r="J4261" s="131" t="s">
        <v>9955</v>
      </c>
      <c r="K4261" s="142">
        <v>247703</v>
      </c>
    </row>
    <row r="4262" spans="1:11">
      <c r="A4262" s="1" t="str">
        <f t="shared" si="85"/>
        <v>50100-953746296-962500154415338</v>
      </c>
      <c r="B4262" s="141" t="s">
        <v>12012</v>
      </c>
      <c r="C4262" s="141" t="s">
        <v>12013</v>
      </c>
      <c r="D4262" s="132" t="s">
        <v>4971</v>
      </c>
      <c r="E4262" s="141" t="s">
        <v>9835</v>
      </c>
      <c r="F4262" s="141" t="s">
        <v>9835</v>
      </c>
      <c r="G4262" s="141" t="s">
        <v>9761</v>
      </c>
      <c r="H4262" s="140" t="s">
        <v>6452</v>
      </c>
      <c r="I4262" s="141">
        <v>962500154</v>
      </c>
      <c r="J4262" s="131" t="s">
        <v>9956</v>
      </c>
      <c r="K4262" s="142">
        <v>415338</v>
      </c>
    </row>
    <row r="4263" spans="1:11">
      <c r="A4263" s="1" t="str">
        <f t="shared" si="85"/>
        <v>50100-953758896-962500154395560</v>
      </c>
      <c r="B4263" s="141" t="s">
        <v>12014</v>
      </c>
      <c r="C4263" s="141" t="s">
        <v>12015</v>
      </c>
      <c r="D4263" s="132" t="s">
        <v>4971</v>
      </c>
      <c r="E4263" s="141" t="s">
        <v>9835</v>
      </c>
      <c r="F4263" s="141" t="s">
        <v>9835</v>
      </c>
      <c r="G4263" s="141" t="s">
        <v>9761</v>
      </c>
      <c r="H4263" s="140" t="s">
        <v>6452</v>
      </c>
      <c r="I4263" s="141">
        <v>962500154</v>
      </c>
      <c r="J4263" s="131" t="s">
        <v>9956</v>
      </c>
      <c r="K4263" s="142">
        <v>395560</v>
      </c>
    </row>
    <row r="4264" spans="1:11">
      <c r="A4264" s="1" t="str">
        <f t="shared" si="85"/>
        <v>50100-953816296-96150037450000</v>
      </c>
      <c r="B4264" s="141" t="s">
        <v>12016</v>
      </c>
      <c r="C4264" s="141" t="s">
        <v>12017</v>
      </c>
      <c r="D4264" s="132" t="s">
        <v>4971</v>
      </c>
      <c r="E4264" s="141" t="s">
        <v>9835</v>
      </c>
      <c r="F4264" s="141" t="s">
        <v>9835</v>
      </c>
      <c r="G4264" s="141" t="s">
        <v>7175</v>
      </c>
      <c r="H4264" s="140" t="s">
        <v>6298</v>
      </c>
      <c r="I4264" s="141">
        <v>961500374</v>
      </c>
      <c r="J4264" s="131" t="s">
        <v>9957</v>
      </c>
      <c r="K4264" s="142">
        <v>50000</v>
      </c>
    </row>
    <row r="4265" spans="1:11">
      <c r="A4265" s="1" t="str">
        <f t="shared" si="85"/>
        <v>50100-953816296-96150044338024</v>
      </c>
      <c r="B4265" s="141" t="s">
        <v>12016</v>
      </c>
      <c r="C4265" s="141" t="s">
        <v>12017</v>
      </c>
      <c r="D4265" s="132" t="s">
        <v>4971</v>
      </c>
      <c r="E4265" s="141" t="s">
        <v>9835</v>
      </c>
      <c r="F4265" s="141" t="s">
        <v>9835</v>
      </c>
      <c r="G4265" s="141" t="s">
        <v>7175</v>
      </c>
      <c r="H4265" s="140" t="s">
        <v>6298</v>
      </c>
      <c r="I4265" s="141">
        <v>961500443</v>
      </c>
      <c r="J4265" s="131" t="s">
        <v>9958</v>
      </c>
      <c r="K4265" s="142">
        <v>38024</v>
      </c>
    </row>
    <row r="4266" spans="1:11">
      <c r="A4266" s="1" t="str">
        <f t="shared" si="85"/>
        <v>50100-953816296-962500103210000</v>
      </c>
      <c r="B4266" s="141" t="s">
        <v>12016</v>
      </c>
      <c r="C4266" s="141" t="s">
        <v>12017</v>
      </c>
      <c r="D4266" s="132" t="s">
        <v>4971</v>
      </c>
      <c r="E4266" s="141" t="s">
        <v>9835</v>
      </c>
      <c r="F4266" s="141" t="s">
        <v>9835</v>
      </c>
      <c r="G4266" s="141" t="s">
        <v>7231</v>
      </c>
      <c r="H4266" s="140" t="s">
        <v>6298</v>
      </c>
      <c r="I4266" s="141">
        <v>962500103</v>
      </c>
      <c r="J4266" s="131" t="s">
        <v>9959</v>
      </c>
      <c r="K4266" s="142">
        <v>210000</v>
      </c>
    </row>
    <row r="4267" spans="1:11">
      <c r="A4267" s="1" t="str">
        <f t="shared" si="85"/>
        <v>50100-953816296-961500463120000</v>
      </c>
      <c r="B4267" s="141" t="s">
        <v>12016</v>
      </c>
      <c r="C4267" s="141" t="s">
        <v>12017</v>
      </c>
      <c r="D4267" s="132" t="s">
        <v>4971</v>
      </c>
      <c r="E4267" s="141" t="s">
        <v>9835</v>
      </c>
      <c r="F4267" s="141" t="s">
        <v>9835</v>
      </c>
      <c r="G4267" s="141" t="s">
        <v>7175</v>
      </c>
      <c r="H4267" s="140" t="s">
        <v>6298</v>
      </c>
      <c r="I4267" s="141">
        <v>961500463</v>
      </c>
      <c r="J4267" s="131" t="s">
        <v>9960</v>
      </c>
      <c r="K4267" s="142">
        <v>120000</v>
      </c>
    </row>
    <row r="4268" spans="1:11">
      <c r="A4268" s="1" t="str">
        <f t="shared" si="85"/>
        <v>50100-953816296-96250010177806</v>
      </c>
      <c r="B4268" s="141" t="s">
        <v>12016</v>
      </c>
      <c r="C4268" s="141" t="s">
        <v>12017</v>
      </c>
      <c r="D4268" s="132" t="s">
        <v>4971</v>
      </c>
      <c r="E4268" s="141" t="s">
        <v>9835</v>
      </c>
      <c r="F4268" s="141" t="s">
        <v>9835</v>
      </c>
      <c r="G4268" s="141" t="s">
        <v>7231</v>
      </c>
      <c r="H4268" s="140" t="s">
        <v>6298</v>
      </c>
      <c r="I4268" s="141">
        <v>962500101</v>
      </c>
      <c r="J4268" s="131" t="s">
        <v>9948</v>
      </c>
      <c r="K4268" s="142">
        <v>77806</v>
      </c>
    </row>
    <row r="4269" spans="1:11">
      <c r="A4269" s="1" t="str">
        <f t="shared" si="85"/>
        <v>50100-954104496-9641000782984578</v>
      </c>
      <c r="B4269" s="141" t="s">
        <v>12018</v>
      </c>
      <c r="C4269" s="141" t="s">
        <v>12019</v>
      </c>
      <c r="D4269" s="132" t="s">
        <v>4971</v>
      </c>
      <c r="E4269" s="141" t="s">
        <v>9962</v>
      </c>
      <c r="F4269" s="141" t="s">
        <v>9962</v>
      </c>
      <c r="G4269" s="141" t="s">
        <v>9911</v>
      </c>
      <c r="H4269" s="140" t="s">
        <v>6452</v>
      </c>
      <c r="I4269" s="141">
        <v>964100078</v>
      </c>
      <c r="J4269" s="131" t="s">
        <v>9961</v>
      </c>
      <c r="K4269" s="142">
        <v>2984578</v>
      </c>
    </row>
    <row r="4270" spans="1:11">
      <c r="A4270" s="1" t="str">
        <f t="shared" si="85"/>
        <v>50100-954106496-9641000792985557</v>
      </c>
      <c r="B4270" s="141" t="s">
        <v>12020</v>
      </c>
      <c r="C4270" s="141" t="s">
        <v>12021</v>
      </c>
      <c r="D4270" s="132" t="s">
        <v>4971</v>
      </c>
      <c r="E4270" s="141" t="s">
        <v>9835</v>
      </c>
      <c r="F4270" s="141" t="s">
        <v>9835</v>
      </c>
      <c r="G4270" s="141" t="s">
        <v>9911</v>
      </c>
      <c r="H4270" s="140" t="s">
        <v>6452</v>
      </c>
      <c r="I4270" s="141">
        <v>964100079</v>
      </c>
      <c r="J4270" s="131" t="s">
        <v>9963</v>
      </c>
      <c r="K4270" s="142">
        <v>2985557</v>
      </c>
    </row>
    <row r="4271" spans="1:11">
      <c r="A4271" s="1" t="str">
        <f t="shared" si="85"/>
        <v>50100-954140096-961500591386760</v>
      </c>
      <c r="B4271" s="141" t="s">
        <v>12022</v>
      </c>
      <c r="C4271" s="141" t="s">
        <v>12023</v>
      </c>
      <c r="D4271" s="132" t="s">
        <v>4971</v>
      </c>
      <c r="E4271" s="141" t="s">
        <v>9910</v>
      </c>
      <c r="F4271" s="141" t="s">
        <v>9910</v>
      </c>
      <c r="G4271" s="141" t="s">
        <v>9761</v>
      </c>
      <c r="H4271" s="140" t="s">
        <v>6452</v>
      </c>
      <c r="I4271" s="141">
        <v>961500591</v>
      </c>
      <c r="J4271" s="131" t="s">
        <v>9964</v>
      </c>
      <c r="K4271" s="142">
        <v>386760</v>
      </c>
    </row>
    <row r="4272" spans="1:11">
      <c r="A4272" s="1" t="str">
        <f t="shared" si="85"/>
        <v>50100-954142496-96150059296520</v>
      </c>
      <c r="B4272" s="141" t="s">
        <v>12024</v>
      </c>
      <c r="C4272" s="141" t="s">
        <v>12025</v>
      </c>
      <c r="D4272" s="132" t="s">
        <v>4971</v>
      </c>
      <c r="E4272" s="141" t="s">
        <v>9910</v>
      </c>
      <c r="F4272" s="141" t="s">
        <v>9910</v>
      </c>
      <c r="G4272" s="141" t="s">
        <v>9761</v>
      </c>
      <c r="H4272" s="140" t="s">
        <v>6452</v>
      </c>
      <c r="I4272" s="141">
        <v>961500592</v>
      </c>
      <c r="J4272" s="131" t="s">
        <v>9965</v>
      </c>
      <c r="K4272" s="142">
        <v>96520</v>
      </c>
    </row>
    <row r="4273" spans="1:11">
      <c r="A4273" s="1" t="str">
        <f t="shared" si="85"/>
        <v>50100-954604496-961500572495525</v>
      </c>
      <c r="B4273" s="141" t="s">
        <v>12026</v>
      </c>
      <c r="C4273" s="141" t="s">
        <v>12027</v>
      </c>
      <c r="D4273" s="132" t="s">
        <v>4971</v>
      </c>
      <c r="E4273" s="141" t="s">
        <v>9962</v>
      </c>
      <c r="F4273" s="141" t="s">
        <v>9962</v>
      </c>
      <c r="G4273" s="141" t="s">
        <v>8497</v>
      </c>
      <c r="H4273" s="140" t="s">
        <v>6453</v>
      </c>
      <c r="I4273" s="141">
        <v>961500572</v>
      </c>
      <c r="J4273" s="131" t="s">
        <v>9716</v>
      </c>
      <c r="K4273" s="142">
        <v>495525</v>
      </c>
    </row>
    <row r="4274" spans="1:11">
      <c r="A4274" s="1" t="str">
        <f t="shared" si="85"/>
        <v>50100-954651596-961500572181916</v>
      </c>
      <c r="B4274" s="141" t="s">
        <v>12028</v>
      </c>
      <c r="C4274" s="141" t="s">
        <v>12029</v>
      </c>
      <c r="D4274" s="132" t="s">
        <v>4971</v>
      </c>
      <c r="E4274" s="141" t="s">
        <v>9962</v>
      </c>
      <c r="F4274" s="141" t="s">
        <v>9962</v>
      </c>
      <c r="G4274" s="141" t="s">
        <v>8497</v>
      </c>
      <c r="H4274" s="140" t="s">
        <v>6453</v>
      </c>
      <c r="I4274" s="141">
        <v>961500572</v>
      </c>
      <c r="J4274" s="131" t="s">
        <v>9716</v>
      </c>
      <c r="K4274" s="142">
        <v>181916</v>
      </c>
    </row>
    <row r="4275" spans="1:11">
      <c r="A4275" s="1" t="str">
        <f t="shared" si="85"/>
        <v>50100-954651596-961500646301152</v>
      </c>
      <c r="B4275" s="141" t="s">
        <v>12028</v>
      </c>
      <c r="C4275" s="141" t="s">
        <v>12029</v>
      </c>
      <c r="D4275" s="132" t="s">
        <v>4971</v>
      </c>
      <c r="E4275" s="141" t="s">
        <v>9962</v>
      </c>
      <c r="F4275" s="141" t="s">
        <v>9962</v>
      </c>
      <c r="G4275" s="141" t="s">
        <v>9767</v>
      </c>
      <c r="H4275" s="140" t="s">
        <v>6453</v>
      </c>
      <c r="I4275" s="141">
        <v>961500646</v>
      </c>
      <c r="J4275" s="131" t="s">
        <v>9936</v>
      </c>
      <c r="K4275" s="142">
        <v>301152</v>
      </c>
    </row>
    <row r="4276" spans="1:11">
      <c r="A4276" s="1" t="str">
        <f t="shared" si="85"/>
        <v>50100-954651596-961500647507322</v>
      </c>
      <c r="B4276" s="141" t="s">
        <v>12028</v>
      </c>
      <c r="C4276" s="141" t="s">
        <v>12029</v>
      </c>
      <c r="D4276" s="132" t="s">
        <v>4971</v>
      </c>
      <c r="E4276" s="141" t="s">
        <v>9962</v>
      </c>
      <c r="F4276" s="141" t="s">
        <v>9962</v>
      </c>
      <c r="G4276" s="141" t="s">
        <v>9767</v>
      </c>
      <c r="H4276" s="140" t="s">
        <v>6453</v>
      </c>
      <c r="I4276" s="141">
        <v>961500647</v>
      </c>
      <c r="J4276" s="131" t="s">
        <v>9966</v>
      </c>
      <c r="K4276" s="142">
        <v>507322</v>
      </c>
    </row>
    <row r="4277" spans="1:11">
      <c r="A4277" s="1" t="str">
        <f t="shared" si="85"/>
        <v>50100-954705596-961500655279122</v>
      </c>
      <c r="B4277" s="141" t="s">
        <v>12030</v>
      </c>
      <c r="C4277" s="141" t="s">
        <v>12031</v>
      </c>
      <c r="D4277" s="132" t="s">
        <v>4971</v>
      </c>
      <c r="E4277" s="141" t="s">
        <v>9962</v>
      </c>
      <c r="F4277" s="141" t="s">
        <v>9962</v>
      </c>
      <c r="G4277" s="141" t="s">
        <v>9770</v>
      </c>
      <c r="H4277" s="140" t="s">
        <v>6453</v>
      </c>
      <c r="I4277" s="141">
        <v>961500655</v>
      </c>
      <c r="J4277" s="131" t="s">
        <v>9967</v>
      </c>
      <c r="K4277" s="142">
        <v>279122</v>
      </c>
    </row>
    <row r="4278" spans="1:11">
      <c r="A4278" s="1" t="str">
        <f t="shared" si="85"/>
        <v>50100-954705596-961500647490678</v>
      </c>
      <c r="B4278" s="141" t="s">
        <v>12030</v>
      </c>
      <c r="C4278" s="141" t="s">
        <v>12031</v>
      </c>
      <c r="D4278" s="132" t="s">
        <v>4971</v>
      </c>
      <c r="E4278" s="141" t="s">
        <v>9962</v>
      </c>
      <c r="F4278" s="141" t="s">
        <v>9962</v>
      </c>
      <c r="G4278" s="141" t="s">
        <v>9767</v>
      </c>
      <c r="H4278" s="140" t="s">
        <v>6453</v>
      </c>
      <c r="I4278" s="141">
        <v>961500647</v>
      </c>
      <c r="J4278" s="131" t="s">
        <v>9966</v>
      </c>
      <c r="K4278" s="142">
        <v>490678</v>
      </c>
    </row>
    <row r="4279" spans="1:11">
      <c r="A4279" s="1" t="str">
        <f t="shared" si="85"/>
        <v>50100-954705596-961500648225000</v>
      </c>
      <c r="B4279" s="141" t="s">
        <v>12030</v>
      </c>
      <c r="C4279" s="141" t="s">
        <v>12031</v>
      </c>
      <c r="D4279" s="132" t="s">
        <v>4971</v>
      </c>
      <c r="E4279" s="141" t="s">
        <v>9962</v>
      </c>
      <c r="F4279" s="141" t="s">
        <v>9962</v>
      </c>
      <c r="G4279" s="141" t="s">
        <v>9767</v>
      </c>
      <c r="H4279" s="140" t="s">
        <v>6453</v>
      </c>
      <c r="I4279" s="141">
        <v>961500648</v>
      </c>
      <c r="J4279" s="131" t="s">
        <v>9968</v>
      </c>
      <c r="K4279" s="142">
        <v>225000</v>
      </c>
    </row>
    <row r="4280" spans="1:11">
      <c r="A4280" s="1" t="str">
        <f t="shared" si="85"/>
        <v>50100-955428696-962500154297366</v>
      </c>
      <c r="B4280" s="141" t="s">
        <v>12032</v>
      </c>
      <c r="C4280" s="141" t="s">
        <v>12033</v>
      </c>
      <c r="D4280" s="132" t="s">
        <v>4971</v>
      </c>
      <c r="E4280" s="141" t="s">
        <v>9934</v>
      </c>
      <c r="F4280" s="141" t="s">
        <v>9934</v>
      </c>
      <c r="G4280" s="141" t="s">
        <v>9761</v>
      </c>
      <c r="H4280" s="140" t="s">
        <v>6452</v>
      </c>
      <c r="I4280" s="141">
        <v>962500154</v>
      </c>
      <c r="J4280" s="131" t="s">
        <v>9956</v>
      </c>
      <c r="K4280" s="142">
        <v>297366</v>
      </c>
    </row>
    <row r="4281" spans="1:11">
      <c r="A4281" s="1" t="str">
        <f t="shared" si="85"/>
        <v>50100-955428696-96150052034352</v>
      </c>
      <c r="B4281" s="141" t="s">
        <v>12032</v>
      </c>
      <c r="C4281" s="141" t="s">
        <v>12033</v>
      </c>
      <c r="D4281" s="132" t="s">
        <v>4971</v>
      </c>
      <c r="E4281" s="141" t="s">
        <v>9934</v>
      </c>
      <c r="F4281" s="141" t="s">
        <v>9934</v>
      </c>
      <c r="G4281" s="141" t="s">
        <v>5842</v>
      </c>
      <c r="H4281" s="140" t="s">
        <v>6300</v>
      </c>
      <c r="I4281" s="141">
        <v>961500520</v>
      </c>
      <c r="J4281" s="131" t="s">
        <v>9724</v>
      </c>
      <c r="K4281" s="142">
        <v>34352</v>
      </c>
    </row>
    <row r="4282" spans="1:11">
      <c r="A4282" s="1" t="str">
        <f t="shared" si="85"/>
        <v>50100-955428696-96250000744064</v>
      </c>
      <c r="B4282" s="141" t="s">
        <v>12032</v>
      </c>
      <c r="C4282" s="141" t="s">
        <v>12033</v>
      </c>
      <c r="D4282" s="132" t="s">
        <v>4971</v>
      </c>
      <c r="E4282" s="141" t="s">
        <v>9934</v>
      </c>
      <c r="F4282" s="141" t="s">
        <v>9934</v>
      </c>
      <c r="G4282" s="141" t="s">
        <v>5729</v>
      </c>
      <c r="H4282" s="140" t="s">
        <v>10183</v>
      </c>
      <c r="I4282" s="141">
        <v>962500007</v>
      </c>
      <c r="J4282" s="131" t="s">
        <v>5027</v>
      </c>
      <c r="K4282" s="142">
        <v>44064</v>
      </c>
    </row>
    <row r="4283" spans="1:11">
      <c r="A4283" s="1" t="str">
        <f t="shared" si="85"/>
        <v>50100-955517696-961500566246000</v>
      </c>
      <c r="B4283" s="141" t="s">
        <v>12034</v>
      </c>
      <c r="C4283" s="141" t="s">
        <v>12035</v>
      </c>
      <c r="D4283" s="132" t="s">
        <v>4971</v>
      </c>
      <c r="E4283" s="141" t="s">
        <v>9934</v>
      </c>
      <c r="F4283" s="141" t="s">
        <v>9934</v>
      </c>
      <c r="G4283" s="141" t="s">
        <v>8722</v>
      </c>
      <c r="H4283" s="140" t="s">
        <v>6300</v>
      </c>
      <c r="I4283" s="141">
        <v>961500566</v>
      </c>
      <c r="J4283" s="131" t="s">
        <v>9969</v>
      </c>
      <c r="K4283" s="142">
        <v>246000</v>
      </c>
    </row>
    <row r="4284" spans="1:11">
      <c r="A4284" s="1" t="str">
        <f t="shared" si="85"/>
        <v>50100-955517696-961500608133130</v>
      </c>
      <c r="B4284" s="141" t="s">
        <v>12034</v>
      </c>
      <c r="C4284" s="141" t="s">
        <v>12035</v>
      </c>
      <c r="D4284" s="132" t="s">
        <v>4971</v>
      </c>
      <c r="E4284" s="141" t="s">
        <v>9934</v>
      </c>
      <c r="F4284" s="141" t="s">
        <v>9934</v>
      </c>
      <c r="G4284" s="141" t="s">
        <v>8722</v>
      </c>
      <c r="H4284" s="140" t="s">
        <v>6300</v>
      </c>
      <c r="I4284" s="141">
        <v>961500608</v>
      </c>
      <c r="J4284" s="131" t="s">
        <v>9970</v>
      </c>
      <c r="K4284" s="142">
        <v>133130</v>
      </c>
    </row>
    <row r="4285" spans="1:11">
      <c r="A4285" s="1" t="str">
        <f t="shared" si="85"/>
        <v>50100-955517696-961500570526360</v>
      </c>
      <c r="B4285" s="141" t="s">
        <v>12034</v>
      </c>
      <c r="C4285" s="141" t="s">
        <v>12035</v>
      </c>
      <c r="D4285" s="132" t="s">
        <v>4971</v>
      </c>
      <c r="E4285" s="141" t="s">
        <v>9934</v>
      </c>
      <c r="F4285" s="141" t="s">
        <v>9934</v>
      </c>
      <c r="G4285" s="141" t="s">
        <v>8722</v>
      </c>
      <c r="H4285" s="140" t="s">
        <v>6300</v>
      </c>
      <c r="I4285" s="141">
        <v>961500570</v>
      </c>
      <c r="J4285" s="131" t="s">
        <v>9971</v>
      </c>
      <c r="K4285" s="142">
        <v>526360</v>
      </c>
    </row>
    <row r="4286" spans="1:11">
      <c r="A4286" s="1" t="str">
        <f t="shared" si="85"/>
        <v>50100-955517696-961500588100000</v>
      </c>
      <c r="B4286" s="141" t="s">
        <v>12034</v>
      </c>
      <c r="C4286" s="141" t="s">
        <v>12035</v>
      </c>
      <c r="D4286" s="132" t="s">
        <v>4971</v>
      </c>
      <c r="E4286" s="141" t="s">
        <v>9934</v>
      </c>
      <c r="F4286" s="141" t="s">
        <v>9934</v>
      </c>
      <c r="G4286" s="141" t="s">
        <v>8722</v>
      </c>
      <c r="H4286" s="140" t="s">
        <v>6300</v>
      </c>
      <c r="I4286" s="141">
        <v>961500588</v>
      </c>
      <c r="J4286" s="131" t="s">
        <v>9972</v>
      </c>
      <c r="K4286" s="142">
        <v>100000</v>
      </c>
    </row>
    <row r="4287" spans="1:11">
      <c r="A4287" s="1" t="str">
        <f t="shared" si="85"/>
        <v>50100-956220296-961500655498125</v>
      </c>
      <c r="B4287" s="141" t="s">
        <v>12036</v>
      </c>
      <c r="C4287" s="141" t="s">
        <v>12037</v>
      </c>
      <c r="D4287" s="132" t="s">
        <v>4971</v>
      </c>
      <c r="E4287" s="141" t="s">
        <v>9985</v>
      </c>
      <c r="F4287" s="141" t="s">
        <v>9985</v>
      </c>
      <c r="G4287" s="141" t="s">
        <v>9770</v>
      </c>
      <c r="H4287" s="140" t="s">
        <v>6453</v>
      </c>
      <c r="I4287" s="141">
        <v>961500655</v>
      </c>
      <c r="J4287" s="131" t="s">
        <v>9967</v>
      </c>
      <c r="K4287" s="142">
        <v>498125</v>
      </c>
    </row>
    <row r="4288" spans="1:11">
      <c r="A4288" s="1" t="str">
        <f t="shared" si="85"/>
        <v>50100-956252796-96250016015500</v>
      </c>
      <c r="B4288" s="141" t="s">
        <v>12038</v>
      </c>
      <c r="C4288" s="141" t="s">
        <v>12039</v>
      </c>
      <c r="D4288" s="132" t="s">
        <v>4971</v>
      </c>
      <c r="E4288" s="141" t="s">
        <v>9985</v>
      </c>
      <c r="F4288" s="141" t="s">
        <v>9985</v>
      </c>
      <c r="G4288" s="137">
        <v>1396519129001</v>
      </c>
      <c r="H4288" s="140" t="s">
        <v>6452</v>
      </c>
      <c r="I4288" s="141">
        <v>962500160</v>
      </c>
      <c r="J4288" s="131" t="s">
        <v>9973</v>
      </c>
      <c r="K4288" s="142">
        <v>15500</v>
      </c>
    </row>
    <row r="4289" spans="1:11">
      <c r="A4289" s="1" t="str">
        <f t="shared" si="85"/>
        <v>15100-51405296-96150056370700</v>
      </c>
      <c r="B4289" s="126" t="s">
        <v>10149</v>
      </c>
      <c r="C4289" s="126" t="s">
        <v>12040</v>
      </c>
      <c r="D4289" s="132" t="s">
        <v>4971</v>
      </c>
      <c r="E4289" s="126" t="s">
        <v>10015</v>
      </c>
      <c r="F4289" s="126" t="s">
        <v>10015</v>
      </c>
      <c r="G4289" s="126" t="s">
        <v>5854</v>
      </c>
      <c r="H4289" s="167" t="s">
        <v>8859</v>
      </c>
      <c r="I4289" s="126">
        <v>961500563</v>
      </c>
      <c r="J4289" s="131" t="s">
        <v>10017</v>
      </c>
      <c r="K4289" s="168">
        <v>70700</v>
      </c>
    </row>
    <row r="4290" spans="1:11">
      <c r="A4290" s="1" t="str">
        <f t="shared" si="85"/>
        <v>15100-51405296-96150070671760</v>
      </c>
      <c r="B4290" s="126" t="s">
        <v>10149</v>
      </c>
      <c r="C4290" s="126" t="s">
        <v>12040</v>
      </c>
      <c r="D4290" s="132" t="s">
        <v>4971</v>
      </c>
      <c r="E4290" s="126" t="s">
        <v>10015</v>
      </c>
      <c r="F4290" s="126" t="s">
        <v>10015</v>
      </c>
      <c r="G4290" s="126" t="s">
        <v>9768</v>
      </c>
      <c r="H4290" s="167" t="s">
        <v>6454</v>
      </c>
      <c r="I4290" s="126">
        <v>961500706</v>
      </c>
      <c r="J4290" s="131" t="s">
        <v>10009</v>
      </c>
      <c r="K4290" s="168">
        <v>71760</v>
      </c>
    </row>
    <row r="4291" spans="1:11">
      <c r="A4291" s="1" t="str">
        <f t="shared" ref="A4291:A4354" si="86">B4291&amp;J4291&amp;K4291</f>
        <v>15100-51421296-961500706101490</v>
      </c>
      <c r="B4291" s="126" t="s">
        <v>10150</v>
      </c>
      <c r="C4291" s="126" t="s">
        <v>12041</v>
      </c>
      <c r="D4291" s="132" t="s">
        <v>4971</v>
      </c>
      <c r="E4291" s="126" t="s">
        <v>10015</v>
      </c>
      <c r="F4291" s="126" t="s">
        <v>10015</v>
      </c>
      <c r="G4291" s="126" t="s">
        <v>9768</v>
      </c>
      <c r="H4291" s="167" t="s">
        <v>6454</v>
      </c>
      <c r="I4291" s="126">
        <v>961500706</v>
      </c>
      <c r="J4291" s="131" t="s">
        <v>10009</v>
      </c>
      <c r="K4291" s="168">
        <v>101490</v>
      </c>
    </row>
    <row r="4292" spans="1:11">
      <c r="A4292" s="1" t="str">
        <f t="shared" si="86"/>
        <v>15100-51421296-96150070189740</v>
      </c>
      <c r="B4292" s="126" t="s">
        <v>10150</v>
      </c>
      <c r="C4292" s="126" t="s">
        <v>12041</v>
      </c>
      <c r="D4292" s="132" t="s">
        <v>4971</v>
      </c>
      <c r="E4292" s="126" t="s">
        <v>10015</v>
      </c>
      <c r="F4292" s="126" t="s">
        <v>10015</v>
      </c>
      <c r="G4292" s="126" t="s">
        <v>9768</v>
      </c>
      <c r="H4292" s="167" t="s">
        <v>6454</v>
      </c>
      <c r="I4292" s="126">
        <v>961500701</v>
      </c>
      <c r="J4292" s="131" t="s">
        <v>10026</v>
      </c>
      <c r="K4292" s="168">
        <v>89740</v>
      </c>
    </row>
    <row r="4293" spans="1:11">
      <c r="A4293" s="1" t="str">
        <f t="shared" si="86"/>
        <v>15100-51630596-961500736300000</v>
      </c>
      <c r="B4293" s="126" t="s">
        <v>10151</v>
      </c>
      <c r="C4293" s="126" t="s">
        <v>12042</v>
      </c>
      <c r="D4293" s="132" t="s">
        <v>4971</v>
      </c>
      <c r="E4293" s="126" t="s">
        <v>12043</v>
      </c>
      <c r="F4293" s="126" t="s">
        <v>12043</v>
      </c>
      <c r="G4293" s="126" t="s">
        <v>9789</v>
      </c>
      <c r="H4293" s="167" t="s">
        <v>6454</v>
      </c>
      <c r="I4293" s="126">
        <v>961500736</v>
      </c>
      <c r="J4293" s="131" t="s">
        <v>12179</v>
      </c>
      <c r="K4293" s="168">
        <v>300000</v>
      </c>
    </row>
    <row r="4294" spans="1:11">
      <c r="A4294" s="1" t="str">
        <f t="shared" si="86"/>
        <v>15100-51474496-961500724248980</v>
      </c>
      <c r="B4294" s="141" t="s">
        <v>9994</v>
      </c>
      <c r="C4294" s="141" t="s">
        <v>12044</v>
      </c>
      <c r="D4294" s="132" t="s">
        <v>4971</v>
      </c>
      <c r="E4294" s="141" t="s">
        <v>9995</v>
      </c>
      <c r="F4294" s="141" t="s">
        <v>9995</v>
      </c>
      <c r="G4294" s="141" t="s">
        <v>9796</v>
      </c>
      <c r="H4294" s="140" t="s">
        <v>6454</v>
      </c>
      <c r="I4294" s="141">
        <v>961500724</v>
      </c>
      <c r="J4294" s="131" t="s">
        <v>9996</v>
      </c>
      <c r="K4294" s="142">
        <v>248980</v>
      </c>
    </row>
    <row r="4295" spans="1:11">
      <c r="A4295" s="1" t="str">
        <f t="shared" si="86"/>
        <v>15100-51301796-961500700334400</v>
      </c>
      <c r="B4295" s="141" t="s">
        <v>10000</v>
      </c>
      <c r="C4295" s="141" t="s">
        <v>12045</v>
      </c>
      <c r="D4295" s="132" t="s">
        <v>4971</v>
      </c>
      <c r="E4295" s="141" t="s">
        <v>10001</v>
      </c>
      <c r="F4295" s="141" t="s">
        <v>10001</v>
      </c>
      <c r="G4295" s="141" t="s">
        <v>9768</v>
      </c>
      <c r="H4295" s="140" t="s">
        <v>6454</v>
      </c>
      <c r="I4295" s="141">
        <v>961500700</v>
      </c>
      <c r="J4295" s="131" t="s">
        <v>10002</v>
      </c>
      <c r="K4295" s="142">
        <v>334400</v>
      </c>
    </row>
    <row r="4296" spans="1:11">
      <c r="A4296" s="1" t="str">
        <f t="shared" si="86"/>
        <v>15100-51411396-961500735214280</v>
      </c>
      <c r="B4296" s="126" t="s">
        <v>10152</v>
      </c>
      <c r="C4296" s="126" t="s">
        <v>12046</v>
      </c>
      <c r="D4296" s="132" t="s">
        <v>4971</v>
      </c>
      <c r="E4296" s="126" t="s">
        <v>10015</v>
      </c>
      <c r="F4296" s="126" t="s">
        <v>10015</v>
      </c>
      <c r="G4296" s="126" t="s">
        <v>9789</v>
      </c>
      <c r="H4296" s="167" t="s">
        <v>6454</v>
      </c>
      <c r="I4296" s="126">
        <v>961500735</v>
      </c>
      <c r="J4296" s="131" t="s">
        <v>10023</v>
      </c>
      <c r="K4296" s="168">
        <v>214280</v>
      </c>
    </row>
    <row r="4297" spans="1:11">
      <c r="A4297" s="1" t="str">
        <f t="shared" si="86"/>
        <v>15100-51474496-96150059076640</v>
      </c>
      <c r="B4297" s="141" t="s">
        <v>9994</v>
      </c>
      <c r="C4297" s="141" t="s">
        <v>12044</v>
      </c>
      <c r="D4297" s="132" t="s">
        <v>4971</v>
      </c>
      <c r="E4297" s="141" t="s">
        <v>9995</v>
      </c>
      <c r="F4297" s="141" t="s">
        <v>9995</v>
      </c>
      <c r="G4297" s="141" t="s">
        <v>8698</v>
      </c>
      <c r="H4297" s="140" t="s">
        <v>6298</v>
      </c>
      <c r="I4297" s="141">
        <v>961500590</v>
      </c>
      <c r="J4297" s="131" t="s">
        <v>10003</v>
      </c>
      <c r="K4297" s="142">
        <v>76640</v>
      </c>
    </row>
    <row r="4298" spans="1:11">
      <c r="A4298" s="1" t="str">
        <f t="shared" si="86"/>
        <v>15100-51523696-96150074323020</v>
      </c>
      <c r="B4298" s="126" t="s">
        <v>10153</v>
      </c>
      <c r="C4298" s="126" t="s">
        <v>12047</v>
      </c>
      <c r="D4298" s="132" t="s">
        <v>4971</v>
      </c>
      <c r="E4298" s="126" t="s">
        <v>9935</v>
      </c>
      <c r="F4298" s="126" t="s">
        <v>9935</v>
      </c>
      <c r="G4298" s="126" t="s">
        <v>9794</v>
      </c>
      <c r="H4298" s="167" t="s">
        <v>6300</v>
      </c>
      <c r="I4298" s="126">
        <v>961500743</v>
      </c>
      <c r="J4298" s="131" t="s">
        <v>12180</v>
      </c>
      <c r="K4298" s="168">
        <v>23020</v>
      </c>
    </row>
    <row r="4299" spans="1:11">
      <c r="A4299" s="1" t="str">
        <f t="shared" si="86"/>
        <v>15100-51301796-961500687136160</v>
      </c>
      <c r="B4299" s="141" t="s">
        <v>10000</v>
      </c>
      <c r="C4299" s="141" t="s">
        <v>12045</v>
      </c>
      <c r="D4299" s="132" t="s">
        <v>4971</v>
      </c>
      <c r="E4299" s="141" t="s">
        <v>10001</v>
      </c>
      <c r="F4299" s="141" t="s">
        <v>10001</v>
      </c>
      <c r="G4299" s="141" t="s">
        <v>9770</v>
      </c>
      <c r="H4299" s="140" t="s">
        <v>6453</v>
      </c>
      <c r="I4299" s="141">
        <v>961500687</v>
      </c>
      <c r="J4299" s="131" t="s">
        <v>10004</v>
      </c>
      <c r="K4299" s="142">
        <v>136160</v>
      </c>
    </row>
    <row r="4300" spans="1:11">
      <c r="A4300" s="1" t="str">
        <f t="shared" si="86"/>
        <v>15100-51411396-961500706325120</v>
      </c>
      <c r="B4300" s="126" t="s">
        <v>10152</v>
      </c>
      <c r="C4300" s="126" t="s">
        <v>12046</v>
      </c>
      <c r="D4300" s="132" t="s">
        <v>4971</v>
      </c>
      <c r="E4300" s="126" t="s">
        <v>10015</v>
      </c>
      <c r="F4300" s="126" t="s">
        <v>10015</v>
      </c>
      <c r="G4300" s="126" t="s">
        <v>9768</v>
      </c>
      <c r="H4300" s="167" t="s">
        <v>6454</v>
      </c>
      <c r="I4300" s="126">
        <v>961500706</v>
      </c>
      <c r="J4300" s="131" t="s">
        <v>10009</v>
      </c>
      <c r="K4300" s="168">
        <v>325120</v>
      </c>
    </row>
    <row r="4301" spans="1:11">
      <c r="A4301" s="1" t="str">
        <f t="shared" si="86"/>
        <v>15100-51474496-96150060075800</v>
      </c>
      <c r="B4301" s="141" t="s">
        <v>9994</v>
      </c>
      <c r="C4301" s="141" t="s">
        <v>12044</v>
      </c>
      <c r="D4301" s="132" t="s">
        <v>4971</v>
      </c>
      <c r="E4301" s="141" t="s">
        <v>9995</v>
      </c>
      <c r="F4301" s="141" t="s">
        <v>9995</v>
      </c>
      <c r="G4301" s="141" t="s">
        <v>8698</v>
      </c>
      <c r="H4301" s="140" t="s">
        <v>6298</v>
      </c>
      <c r="I4301" s="141">
        <v>961500600</v>
      </c>
      <c r="J4301" s="131" t="s">
        <v>10005</v>
      </c>
      <c r="K4301" s="142">
        <v>75800</v>
      </c>
    </row>
    <row r="4302" spans="1:11">
      <c r="A4302" s="1" t="str">
        <f t="shared" si="86"/>
        <v>15100-51630596-96150073742480</v>
      </c>
      <c r="B4302" s="126" t="s">
        <v>10151</v>
      </c>
      <c r="C4302" s="126" t="s">
        <v>12042</v>
      </c>
      <c r="D4302" s="132" t="s">
        <v>4971</v>
      </c>
      <c r="E4302" s="126" t="s">
        <v>12043</v>
      </c>
      <c r="F4302" s="126" t="s">
        <v>12043</v>
      </c>
      <c r="G4302" s="126" t="s">
        <v>9789</v>
      </c>
      <c r="H4302" s="167" t="s">
        <v>6454</v>
      </c>
      <c r="I4302" s="126">
        <v>961500737</v>
      </c>
      <c r="J4302" s="131" t="s">
        <v>12181</v>
      </c>
      <c r="K4302" s="168">
        <v>42480</v>
      </c>
    </row>
    <row r="4303" spans="1:11">
      <c r="A4303" s="1" t="str">
        <f t="shared" si="86"/>
        <v>15100-51579896-96150074323440</v>
      </c>
      <c r="B4303" s="126" t="s">
        <v>10154</v>
      </c>
      <c r="C4303" s="126" t="s">
        <v>12048</v>
      </c>
      <c r="D4303" s="132" t="s">
        <v>4971</v>
      </c>
      <c r="E4303" s="126" t="s">
        <v>10012</v>
      </c>
      <c r="F4303" s="126" t="s">
        <v>10012</v>
      </c>
      <c r="G4303" s="126" t="s">
        <v>9794</v>
      </c>
      <c r="H4303" s="167" t="s">
        <v>6300</v>
      </c>
      <c r="I4303" s="126">
        <v>961500743</v>
      </c>
      <c r="J4303" s="131" t="s">
        <v>12180</v>
      </c>
      <c r="K4303" s="168">
        <v>23440</v>
      </c>
    </row>
    <row r="4304" spans="1:11">
      <c r="A4304" s="1" t="str">
        <f t="shared" si="86"/>
        <v>15100-51637896-96150074348320</v>
      </c>
      <c r="B4304" s="126" t="s">
        <v>10155</v>
      </c>
      <c r="C4304" s="126" t="s">
        <v>12049</v>
      </c>
      <c r="D4304" s="132" t="s">
        <v>4971</v>
      </c>
      <c r="E4304" s="126" t="s">
        <v>12043</v>
      </c>
      <c r="F4304" s="126" t="s">
        <v>12043</v>
      </c>
      <c r="G4304" s="126" t="s">
        <v>9794</v>
      </c>
      <c r="H4304" s="167" t="s">
        <v>6300</v>
      </c>
      <c r="I4304" s="126">
        <v>961500743</v>
      </c>
      <c r="J4304" s="131" t="s">
        <v>12180</v>
      </c>
      <c r="K4304" s="168">
        <v>48320</v>
      </c>
    </row>
    <row r="4305" spans="1:11">
      <c r="A4305" s="1" t="str">
        <f t="shared" si="86"/>
        <v>15100-51309296-96150052013115</v>
      </c>
      <c r="B4305" s="141" t="s">
        <v>10006</v>
      </c>
      <c r="C4305" s="141" t="s">
        <v>12050</v>
      </c>
      <c r="D4305" s="132" t="s">
        <v>4971</v>
      </c>
      <c r="E4305" s="141" t="s">
        <v>10001</v>
      </c>
      <c r="F4305" s="141" t="s">
        <v>10001</v>
      </c>
      <c r="G4305" s="141" t="s">
        <v>5842</v>
      </c>
      <c r="H4305" s="140" t="s">
        <v>6300</v>
      </c>
      <c r="I4305" s="141">
        <v>961500520</v>
      </c>
      <c r="J4305" s="131" t="s">
        <v>9724</v>
      </c>
      <c r="K4305" s="142">
        <v>13115</v>
      </c>
    </row>
    <row r="4306" spans="1:11">
      <c r="A4306" s="1" t="str">
        <f t="shared" si="86"/>
        <v>15100-51369496-96150070646320</v>
      </c>
      <c r="B4306" s="141" t="s">
        <v>10007</v>
      </c>
      <c r="C4306" s="141" t="s">
        <v>12051</v>
      </c>
      <c r="D4306" s="132" t="s">
        <v>4971</v>
      </c>
      <c r="E4306" s="141" t="s">
        <v>10008</v>
      </c>
      <c r="F4306" s="141" t="s">
        <v>10008</v>
      </c>
      <c r="G4306" s="141" t="s">
        <v>9768</v>
      </c>
      <c r="H4306" s="140" t="s">
        <v>6454</v>
      </c>
      <c r="I4306" s="141">
        <v>961500706</v>
      </c>
      <c r="J4306" s="131" t="s">
        <v>10009</v>
      </c>
      <c r="K4306" s="142">
        <v>46320</v>
      </c>
    </row>
    <row r="4307" spans="1:11">
      <c r="A4307" s="1" t="str">
        <f t="shared" si="86"/>
        <v>15100-51633596-961500614298330</v>
      </c>
      <c r="B4307" s="126" t="s">
        <v>10156</v>
      </c>
      <c r="C4307" s="126" t="s">
        <v>12052</v>
      </c>
      <c r="D4307" s="132" t="s">
        <v>4971</v>
      </c>
      <c r="E4307" s="126" t="s">
        <v>12043</v>
      </c>
      <c r="F4307" s="126" t="s">
        <v>12043</v>
      </c>
      <c r="G4307" s="126" t="s">
        <v>8698</v>
      </c>
      <c r="H4307" s="167" t="s">
        <v>6298</v>
      </c>
      <c r="I4307" s="126">
        <v>961500614</v>
      </c>
      <c r="J4307" s="131" t="s">
        <v>12182</v>
      </c>
      <c r="K4307" s="168">
        <v>298330</v>
      </c>
    </row>
    <row r="4308" spans="1:11">
      <c r="A4308" s="1" t="str">
        <f t="shared" si="86"/>
        <v>15100-51307496-961500687200870</v>
      </c>
      <c r="B4308" s="141" t="s">
        <v>10010</v>
      </c>
      <c r="C4308" s="141" t="s">
        <v>12053</v>
      </c>
      <c r="D4308" s="132" t="s">
        <v>4971</v>
      </c>
      <c r="E4308" s="141" t="s">
        <v>10001</v>
      </c>
      <c r="F4308" s="141" t="s">
        <v>10001</v>
      </c>
      <c r="G4308" s="141" t="s">
        <v>9770</v>
      </c>
      <c r="H4308" s="140" t="s">
        <v>6453</v>
      </c>
      <c r="I4308" s="141">
        <v>961500687</v>
      </c>
      <c r="J4308" s="131" t="s">
        <v>10004</v>
      </c>
      <c r="K4308" s="142">
        <v>200870</v>
      </c>
    </row>
    <row r="4309" spans="1:11">
      <c r="A4309" s="1" t="str">
        <f t="shared" si="86"/>
        <v>15100-51574696-96150060046420</v>
      </c>
      <c r="B4309" s="126" t="s">
        <v>10157</v>
      </c>
      <c r="C4309" s="126" t="s">
        <v>12054</v>
      </c>
      <c r="D4309" s="132" t="s">
        <v>4971</v>
      </c>
      <c r="E4309" s="126" t="s">
        <v>10012</v>
      </c>
      <c r="F4309" s="126" t="s">
        <v>10012</v>
      </c>
      <c r="G4309" s="126" t="s">
        <v>8698</v>
      </c>
      <c r="H4309" s="167" t="s">
        <v>6298</v>
      </c>
      <c r="I4309" s="126">
        <v>961500600</v>
      </c>
      <c r="J4309" s="131" t="s">
        <v>10005</v>
      </c>
      <c r="K4309" s="168">
        <v>46420</v>
      </c>
    </row>
    <row r="4310" spans="1:11">
      <c r="A4310" s="1" t="str">
        <f t="shared" si="86"/>
        <v>15100-51634796-961500604270</v>
      </c>
      <c r="B4310" s="126" t="s">
        <v>10158</v>
      </c>
      <c r="C4310" s="126" t="s">
        <v>12055</v>
      </c>
      <c r="D4310" s="132" t="s">
        <v>4971</v>
      </c>
      <c r="E4310" s="126" t="s">
        <v>12043</v>
      </c>
      <c r="F4310" s="126" t="s">
        <v>12043</v>
      </c>
      <c r="G4310" s="126" t="s">
        <v>8698</v>
      </c>
      <c r="H4310" s="167" t="s">
        <v>6298</v>
      </c>
      <c r="I4310" s="126">
        <v>961500604</v>
      </c>
      <c r="J4310" s="131" t="s">
        <v>10031</v>
      </c>
      <c r="K4310" s="168">
        <v>270</v>
      </c>
    </row>
    <row r="4311" spans="1:11">
      <c r="A4311" s="1" t="str">
        <f t="shared" si="86"/>
        <v>15100-51515296-96150060099930</v>
      </c>
      <c r="B4311" s="126" t="s">
        <v>10159</v>
      </c>
      <c r="C4311" s="126" t="s">
        <v>12056</v>
      </c>
      <c r="D4311" s="132" t="s">
        <v>4971</v>
      </c>
      <c r="E4311" s="126" t="s">
        <v>9935</v>
      </c>
      <c r="F4311" s="126" t="s">
        <v>9935</v>
      </c>
      <c r="G4311" s="126" t="s">
        <v>8698</v>
      </c>
      <c r="H4311" s="167" t="s">
        <v>6298</v>
      </c>
      <c r="I4311" s="126">
        <v>961500600</v>
      </c>
      <c r="J4311" s="131" t="s">
        <v>10005</v>
      </c>
      <c r="K4311" s="168">
        <v>99930</v>
      </c>
    </row>
    <row r="4312" spans="1:11">
      <c r="A4312" s="1" t="str">
        <f t="shared" si="86"/>
        <v>15100-51307496-961500700222950</v>
      </c>
      <c r="B4312" s="141" t="s">
        <v>10010</v>
      </c>
      <c r="C4312" s="141" t="s">
        <v>12053</v>
      </c>
      <c r="D4312" s="132" t="s">
        <v>4971</v>
      </c>
      <c r="E4312" s="141" t="s">
        <v>10001</v>
      </c>
      <c r="F4312" s="141" t="s">
        <v>10001</v>
      </c>
      <c r="G4312" s="141" t="s">
        <v>9768</v>
      </c>
      <c r="H4312" s="140" t="s">
        <v>6454</v>
      </c>
      <c r="I4312" s="141">
        <v>961500700</v>
      </c>
      <c r="J4312" s="131" t="s">
        <v>10002</v>
      </c>
      <c r="K4312" s="142">
        <v>222950</v>
      </c>
    </row>
    <row r="4313" spans="1:11">
      <c r="A4313" s="1" t="str">
        <f t="shared" si="86"/>
        <v>15100-51573496-961500698203260</v>
      </c>
      <c r="B4313" s="141" t="s">
        <v>10011</v>
      </c>
      <c r="C4313" s="141" t="s">
        <v>12057</v>
      </c>
      <c r="D4313" s="132" t="s">
        <v>4971</v>
      </c>
      <c r="E4313" s="141" t="s">
        <v>10012</v>
      </c>
      <c r="F4313" s="141" t="s">
        <v>10012</v>
      </c>
      <c r="G4313" s="141" t="s">
        <v>9770</v>
      </c>
      <c r="H4313" s="140" t="s">
        <v>6453</v>
      </c>
      <c r="I4313" s="141">
        <v>961500698</v>
      </c>
      <c r="J4313" s="131" t="s">
        <v>10013</v>
      </c>
      <c r="K4313" s="142">
        <v>203260</v>
      </c>
    </row>
    <row r="4314" spans="1:11">
      <c r="A4314" s="1" t="str">
        <f t="shared" si="86"/>
        <v>15100-51407796-96150070672600</v>
      </c>
      <c r="B4314" s="126" t="s">
        <v>10160</v>
      </c>
      <c r="C4314" s="126" t="s">
        <v>12058</v>
      </c>
      <c r="D4314" s="132" t="s">
        <v>4971</v>
      </c>
      <c r="E4314" s="126" t="s">
        <v>10015</v>
      </c>
      <c r="F4314" s="126" t="s">
        <v>10015</v>
      </c>
      <c r="G4314" s="126" t="s">
        <v>9768</v>
      </c>
      <c r="H4314" s="167" t="s">
        <v>6454</v>
      </c>
      <c r="I4314" s="126">
        <v>961500706</v>
      </c>
      <c r="J4314" s="131" t="s">
        <v>10009</v>
      </c>
      <c r="K4314" s="168">
        <v>72600</v>
      </c>
    </row>
    <row r="4315" spans="1:11">
      <c r="A4315" s="1" t="str">
        <f t="shared" si="86"/>
        <v>15100-51416496-96150070674200</v>
      </c>
      <c r="B4315" s="141" t="s">
        <v>10014</v>
      </c>
      <c r="C4315" s="141" t="s">
        <v>12059</v>
      </c>
      <c r="D4315" s="132" t="s">
        <v>4971</v>
      </c>
      <c r="E4315" s="141" t="s">
        <v>10015</v>
      </c>
      <c r="F4315" s="141" t="s">
        <v>10015</v>
      </c>
      <c r="G4315" s="141" t="s">
        <v>9768</v>
      </c>
      <c r="H4315" s="140" t="s">
        <v>6454</v>
      </c>
      <c r="I4315" s="141">
        <v>961500706</v>
      </c>
      <c r="J4315" s="131" t="s">
        <v>10009</v>
      </c>
      <c r="K4315" s="142">
        <v>74200</v>
      </c>
    </row>
    <row r="4316" spans="1:11">
      <c r="A4316" s="1" t="str">
        <f t="shared" si="86"/>
        <v>15100-51414696-961500563148770</v>
      </c>
      <c r="B4316" s="141" t="s">
        <v>10016</v>
      </c>
      <c r="C4316" s="141" t="s">
        <v>12060</v>
      </c>
      <c r="D4316" s="132" t="s">
        <v>4971</v>
      </c>
      <c r="E4316" s="141" t="s">
        <v>10015</v>
      </c>
      <c r="F4316" s="141" t="s">
        <v>10015</v>
      </c>
      <c r="G4316" s="141" t="s">
        <v>5854</v>
      </c>
      <c r="H4316" s="140" t="s">
        <v>8859</v>
      </c>
      <c r="I4316" s="141">
        <v>961500563</v>
      </c>
      <c r="J4316" s="131" t="s">
        <v>10017</v>
      </c>
      <c r="K4316" s="142">
        <v>148770</v>
      </c>
    </row>
    <row r="4317" spans="1:11">
      <c r="A4317" s="1" t="str">
        <f t="shared" si="86"/>
        <v>15100-51414696-96150070675030</v>
      </c>
      <c r="B4317" s="141" t="s">
        <v>10016</v>
      </c>
      <c r="C4317" s="141" t="s">
        <v>12060</v>
      </c>
      <c r="D4317" s="132" t="s">
        <v>4971</v>
      </c>
      <c r="E4317" s="141" t="s">
        <v>10015</v>
      </c>
      <c r="F4317" s="141" t="s">
        <v>10015</v>
      </c>
      <c r="G4317" s="141" t="s">
        <v>9768</v>
      </c>
      <c r="H4317" s="140" t="s">
        <v>6454</v>
      </c>
      <c r="I4317" s="141">
        <v>961500706</v>
      </c>
      <c r="J4317" s="131" t="s">
        <v>10009</v>
      </c>
      <c r="K4317" s="142">
        <v>75030</v>
      </c>
    </row>
    <row r="4318" spans="1:11">
      <c r="A4318" s="1" t="str">
        <f t="shared" si="86"/>
        <v>15100-51516196-961500724139920</v>
      </c>
      <c r="B4318" s="141" t="s">
        <v>10018</v>
      </c>
      <c r="C4318" s="141" t="s">
        <v>12061</v>
      </c>
      <c r="D4318" s="132" t="s">
        <v>4971</v>
      </c>
      <c r="E4318" s="141" t="s">
        <v>9935</v>
      </c>
      <c r="F4318" s="141" t="s">
        <v>9935</v>
      </c>
      <c r="G4318" s="141" t="s">
        <v>9796</v>
      </c>
      <c r="H4318" s="140" t="s">
        <v>6454</v>
      </c>
      <c r="I4318" s="141">
        <v>961500724</v>
      </c>
      <c r="J4318" s="131" t="s">
        <v>9996</v>
      </c>
      <c r="K4318" s="142">
        <v>139920</v>
      </c>
    </row>
    <row r="4319" spans="1:11">
      <c r="A4319" s="1" t="str">
        <f t="shared" si="86"/>
        <v>15100-51355996-96150070073220</v>
      </c>
      <c r="B4319" s="126" t="s">
        <v>10161</v>
      </c>
      <c r="C4319" s="126" t="s">
        <v>12062</v>
      </c>
      <c r="D4319" s="132" t="s">
        <v>4971</v>
      </c>
      <c r="E4319" s="126" t="s">
        <v>10008</v>
      </c>
      <c r="F4319" s="126" t="s">
        <v>10008</v>
      </c>
      <c r="G4319" s="126" t="s">
        <v>9768</v>
      </c>
      <c r="H4319" s="167" t="s">
        <v>6454</v>
      </c>
      <c r="I4319" s="126">
        <v>961500700</v>
      </c>
      <c r="J4319" s="131" t="s">
        <v>10002</v>
      </c>
      <c r="K4319" s="168">
        <v>73220</v>
      </c>
    </row>
    <row r="4320" spans="1:11">
      <c r="A4320" s="1" t="str">
        <f t="shared" si="86"/>
        <v>15100-51631796-961500734117140</v>
      </c>
      <c r="B4320" s="126" t="s">
        <v>10162</v>
      </c>
      <c r="C4320" s="126" t="s">
        <v>12063</v>
      </c>
      <c r="D4320" s="132" t="s">
        <v>4971</v>
      </c>
      <c r="E4320" s="126" t="s">
        <v>12043</v>
      </c>
      <c r="F4320" s="126" t="s">
        <v>12043</v>
      </c>
      <c r="G4320" s="126" t="s">
        <v>9796</v>
      </c>
      <c r="H4320" s="167" t="s">
        <v>6454</v>
      </c>
      <c r="I4320" s="126">
        <v>961500734</v>
      </c>
      <c r="J4320" s="131" t="s">
        <v>12183</v>
      </c>
      <c r="K4320" s="168">
        <v>117140</v>
      </c>
    </row>
    <row r="4321" spans="1:11">
      <c r="A4321" s="1" t="str">
        <f t="shared" si="86"/>
        <v>15100-51632096-96150073472360</v>
      </c>
      <c r="B4321" s="126" t="s">
        <v>10163</v>
      </c>
      <c r="C4321" s="126" t="s">
        <v>12064</v>
      </c>
      <c r="D4321" s="132" t="s">
        <v>4971</v>
      </c>
      <c r="E4321" s="126" t="s">
        <v>12043</v>
      </c>
      <c r="F4321" s="126" t="s">
        <v>12043</v>
      </c>
      <c r="G4321" s="126" t="s">
        <v>9796</v>
      </c>
      <c r="H4321" s="167" t="s">
        <v>6454</v>
      </c>
      <c r="I4321" s="126">
        <v>961500734</v>
      </c>
      <c r="J4321" s="131" t="s">
        <v>12183</v>
      </c>
      <c r="K4321" s="168">
        <v>72360</v>
      </c>
    </row>
    <row r="4322" spans="1:11">
      <c r="A4322" s="1" t="str">
        <f t="shared" si="86"/>
        <v>15100-51377296-96150070624400</v>
      </c>
      <c r="B4322" s="126" t="s">
        <v>10164</v>
      </c>
      <c r="C4322" s="126" t="s">
        <v>12065</v>
      </c>
      <c r="D4322" s="132" t="s">
        <v>4971</v>
      </c>
      <c r="E4322" s="126" t="s">
        <v>10008</v>
      </c>
      <c r="F4322" s="126" t="s">
        <v>10008</v>
      </c>
      <c r="G4322" s="126" t="s">
        <v>9768</v>
      </c>
      <c r="H4322" s="167" t="s">
        <v>6454</v>
      </c>
      <c r="I4322" s="126">
        <v>961500706</v>
      </c>
      <c r="J4322" s="131" t="s">
        <v>10009</v>
      </c>
      <c r="K4322" s="168">
        <v>24400</v>
      </c>
    </row>
    <row r="4323" spans="1:11">
      <c r="A4323" s="1" t="str">
        <f t="shared" si="86"/>
        <v>15100-51524296-96150060048270</v>
      </c>
      <c r="B4323" s="141" t="s">
        <v>10019</v>
      </c>
      <c r="C4323" s="141" t="s">
        <v>12066</v>
      </c>
      <c r="D4323" s="132" t="s">
        <v>4971</v>
      </c>
      <c r="E4323" s="141" t="s">
        <v>9935</v>
      </c>
      <c r="F4323" s="141" t="s">
        <v>9935</v>
      </c>
      <c r="G4323" s="141" t="s">
        <v>8698</v>
      </c>
      <c r="H4323" s="140" t="s">
        <v>6298</v>
      </c>
      <c r="I4323" s="141">
        <v>961500600</v>
      </c>
      <c r="J4323" s="131" t="s">
        <v>10005</v>
      </c>
      <c r="K4323" s="142">
        <v>48270</v>
      </c>
    </row>
    <row r="4324" spans="1:11">
      <c r="A4324" s="1" t="str">
        <f t="shared" si="86"/>
        <v>15100-51466696-96150069950980</v>
      </c>
      <c r="B4324" s="141" t="s">
        <v>10020</v>
      </c>
      <c r="C4324" s="141" t="s">
        <v>12067</v>
      </c>
      <c r="D4324" s="132" t="s">
        <v>4971</v>
      </c>
      <c r="E4324" s="141" t="s">
        <v>9995</v>
      </c>
      <c r="F4324" s="141" t="s">
        <v>9995</v>
      </c>
      <c r="G4324" s="141" t="s">
        <v>9768</v>
      </c>
      <c r="H4324" s="140" t="s">
        <v>6454</v>
      </c>
      <c r="I4324" s="141">
        <v>961500699</v>
      </c>
      <c r="J4324" s="131" t="s">
        <v>10021</v>
      </c>
      <c r="K4324" s="142">
        <v>50980</v>
      </c>
    </row>
    <row r="4325" spans="1:11">
      <c r="A4325" s="1" t="str">
        <f t="shared" si="86"/>
        <v>15100-51414696-961500698125780</v>
      </c>
      <c r="B4325" s="141" t="s">
        <v>10016</v>
      </c>
      <c r="C4325" s="141" t="s">
        <v>12060</v>
      </c>
      <c r="D4325" s="132" t="s">
        <v>4971</v>
      </c>
      <c r="E4325" s="141" t="s">
        <v>10015</v>
      </c>
      <c r="F4325" s="141" t="s">
        <v>10015</v>
      </c>
      <c r="G4325" s="141" t="s">
        <v>9770</v>
      </c>
      <c r="H4325" s="140" t="s">
        <v>6453</v>
      </c>
      <c r="I4325" s="141">
        <v>961500698</v>
      </c>
      <c r="J4325" s="131" t="s">
        <v>10013</v>
      </c>
      <c r="K4325" s="142">
        <v>125780</v>
      </c>
    </row>
    <row r="4326" spans="1:11">
      <c r="A4326" s="1" t="str">
        <f t="shared" si="86"/>
        <v>15100-51360196-961500700104760</v>
      </c>
      <c r="B4326" s="141" t="s">
        <v>10022</v>
      </c>
      <c r="C4326" s="141" t="s">
        <v>12068</v>
      </c>
      <c r="D4326" s="132" t="s">
        <v>4971</v>
      </c>
      <c r="E4326" s="141" t="s">
        <v>10008</v>
      </c>
      <c r="F4326" s="141" t="s">
        <v>10008</v>
      </c>
      <c r="G4326" s="141" t="s">
        <v>9768</v>
      </c>
      <c r="H4326" s="140" t="s">
        <v>6454</v>
      </c>
      <c r="I4326" s="141">
        <v>961500700</v>
      </c>
      <c r="J4326" s="131" t="s">
        <v>10002</v>
      </c>
      <c r="K4326" s="142">
        <v>104760</v>
      </c>
    </row>
    <row r="4327" spans="1:11">
      <c r="A4327" s="1" t="str">
        <f t="shared" si="86"/>
        <v>15100-51466696-96150073513060</v>
      </c>
      <c r="B4327" s="141" t="s">
        <v>10020</v>
      </c>
      <c r="C4327" s="141" t="s">
        <v>12067</v>
      </c>
      <c r="D4327" s="132" t="s">
        <v>4971</v>
      </c>
      <c r="E4327" s="141" t="s">
        <v>9995</v>
      </c>
      <c r="F4327" s="141" t="s">
        <v>9995</v>
      </c>
      <c r="G4327" s="141" t="s">
        <v>9789</v>
      </c>
      <c r="H4327" s="140" t="s">
        <v>6454</v>
      </c>
      <c r="I4327" s="141">
        <v>961500735</v>
      </c>
      <c r="J4327" s="131" t="s">
        <v>10023</v>
      </c>
      <c r="K4327" s="142">
        <v>13060</v>
      </c>
    </row>
    <row r="4328" spans="1:11">
      <c r="A4328" s="1" t="str">
        <f t="shared" si="86"/>
        <v>15100-51634796-96150061469650</v>
      </c>
      <c r="B4328" s="126" t="s">
        <v>10158</v>
      </c>
      <c r="C4328" s="126" t="s">
        <v>12055</v>
      </c>
      <c r="D4328" s="132" t="s">
        <v>4971</v>
      </c>
      <c r="E4328" s="126" t="s">
        <v>12043</v>
      </c>
      <c r="F4328" s="126" t="s">
        <v>12043</v>
      </c>
      <c r="G4328" s="126" t="s">
        <v>8698</v>
      </c>
      <c r="H4328" s="167" t="s">
        <v>6298</v>
      </c>
      <c r="I4328" s="126">
        <v>961500614</v>
      </c>
      <c r="J4328" s="131" t="s">
        <v>12182</v>
      </c>
      <c r="K4328" s="168">
        <v>69650</v>
      </c>
    </row>
    <row r="4329" spans="1:11">
      <c r="A4329" s="1" t="str">
        <f t="shared" si="86"/>
        <v>15100-51360196-96150069820650</v>
      </c>
      <c r="B4329" s="141" t="s">
        <v>10022</v>
      </c>
      <c r="C4329" s="141" t="s">
        <v>12068</v>
      </c>
      <c r="D4329" s="132" t="s">
        <v>4971</v>
      </c>
      <c r="E4329" s="141" t="s">
        <v>10008</v>
      </c>
      <c r="F4329" s="141" t="s">
        <v>10008</v>
      </c>
      <c r="G4329" s="141" t="s">
        <v>9770</v>
      </c>
      <c r="H4329" s="140" t="s">
        <v>6453</v>
      </c>
      <c r="I4329" s="141">
        <v>961500698</v>
      </c>
      <c r="J4329" s="131" t="s">
        <v>10013</v>
      </c>
      <c r="K4329" s="142">
        <v>20650</v>
      </c>
    </row>
    <row r="4330" spans="1:11">
      <c r="A4330" s="1" t="str">
        <f t="shared" si="86"/>
        <v>15100-51466696-961500724111100</v>
      </c>
      <c r="B4330" s="141" t="s">
        <v>10020</v>
      </c>
      <c r="C4330" s="141" t="s">
        <v>12067</v>
      </c>
      <c r="D4330" s="132" t="s">
        <v>4971</v>
      </c>
      <c r="E4330" s="141" t="s">
        <v>9995</v>
      </c>
      <c r="F4330" s="141" t="s">
        <v>9995</v>
      </c>
      <c r="G4330" s="141" t="s">
        <v>9796</v>
      </c>
      <c r="H4330" s="140" t="s">
        <v>6454</v>
      </c>
      <c r="I4330" s="141">
        <v>961500724</v>
      </c>
      <c r="J4330" s="131" t="s">
        <v>9996</v>
      </c>
      <c r="K4330" s="142">
        <v>111100</v>
      </c>
    </row>
    <row r="4331" spans="1:11">
      <c r="A4331" s="1" t="str">
        <f t="shared" si="86"/>
        <v>15100-51358096-96150070099320</v>
      </c>
      <c r="B4331" s="126" t="s">
        <v>10165</v>
      </c>
      <c r="C4331" s="126" t="s">
        <v>12069</v>
      </c>
      <c r="D4331" s="132" t="s">
        <v>4971</v>
      </c>
      <c r="E4331" s="126" t="s">
        <v>10008</v>
      </c>
      <c r="F4331" s="126" t="s">
        <v>10008</v>
      </c>
      <c r="G4331" s="126" t="s">
        <v>9768</v>
      </c>
      <c r="H4331" s="167" t="s">
        <v>6454</v>
      </c>
      <c r="I4331" s="126">
        <v>961500700</v>
      </c>
      <c r="J4331" s="131" t="s">
        <v>10002</v>
      </c>
      <c r="K4331" s="168">
        <v>99320</v>
      </c>
    </row>
    <row r="4332" spans="1:11">
      <c r="A4332" s="1" t="str">
        <f t="shared" si="86"/>
        <v>15100-51572296-961500726239200</v>
      </c>
      <c r="B4332" s="126" t="s">
        <v>10166</v>
      </c>
      <c r="C4332" s="126" t="s">
        <v>12070</v>
      </c>
      <c r="D4332" s="132" t="s">
        <v>4971</v>
      </c>
      <c r="E4332" s="126" t="s">
        <v>10012</v>
      </c>
      <c r="F4332" s="126" t="s">
        <v>10012</v>
      </c>
      <c r="G4332" s="126" t="s">
        <v>9796</v>
      </c>
      <c r="H4332" s="167" t="s">
        <v>6454</v>
      </c>
      <c r="I4332" s="126">
        <v>961500726</v>
      </c>
      <c r="J4332" s="131" t="s">
        <v>10025</v>
      </c>
      <c r="K4332" s="168">
        <v>239200</v>
      </c>
    </row>
    <row r="4333" spans="1:11">
      <c r="A4333" s="1" t="str">
        <f t="shared" si="86"/>
        <v>15100-51630596-96150072686260</v>
      </c>
      <c r="B4333" s="126" t="s">
        <v>10151</v>
      </c>
      <c r="C4333" s="126" t="s">
        <v>12042</v>
      </c>
      <c r="D4333" s="132" t="s">
        <v>4971</v>
      </c>
      <c r="E4333" s="126" t="s">
        <v>12043</v>
      </c>
      <c r="F4333" s="126" t="s">
        <v>12043</v>
      </c>
      <c r="G4333" s="126" t="s">
        <v>9796</v>
      </c>
      <c r="H4333" s="167" t="s">
        <v>6454</v>
      </c>
      <c r="I4333" s="126">
        <v>961500726</v>
      </c>
      <c r="J4333" s="131" t="s">
        <v>10025</v>
      </c>
      <c r="K4333" s="168">
        <v>86260</v>
      </c>
    </row>
    <row r="4334" spans="1:11">
      <c r="A4334" s="1" t="str">
        <f t="shared" si="86"/>
        <v>15100-51307496-96150059049160</v>
      </c>
      <c r="B4334" s="141" t="s">
        <v>10010</v>
      </c>
      <c r="C4334" s="141" t="s">
        <v>12053</v>
      </c>
      <c r="D4334" s="132" t="s">
        <v>4971</v>
      </c>
      <c r="E4334" s="141" t="s">
        <v>10001</v>
      </c>
      <c r="F4334" s="141" t="s">
        <v>10001</v>
      </c>
      <c r="G4334" s="141" t="s">
        <v>8698</v>
      </c>
      <c r="H4334" s="140" t="s">
        <v>6298</v>
      </c>
      <c r="I4334" s="141">
        <v>961500590</v>
      </c>
      <c r="J4334" s="131" t="s">
        <v>10003</v>
      </c>
      <c r="K4334" s="142">
        <v>49160</v>
      </c>
    </row>
    <row r="4335" spans="1:11">
      <c r="A4335" s="1" t="str">
        <f t="shared" si="86"/>
        <v>15100-51523096-961500726336500</v>
      </c>
      <c r="B4335" s="126" t="s">
        <v>10167</v>
      </c>
      <c r="C4335" s="126" t="s">
        <v>12071</v>
      </c>
      <c r="D4335" s="132" t="s">
        <v>4971</v>
      </c>
      <c r="E4335" s="126" t="s">
        <v>9935</v>
      </c>
      <c r="F4335" s="126" t="s">
        <v>9935</v>
      </c>
      <c r="G4335" s="126" t="s">
        <v>9796</v>
      </c>
      <c r="H4335" s="167" t="s">
        <v>6454</v>
      </c>
      <c r="I4335" s="126">
        <v>961500726</v>
      </c>
      <c r="J4335" s="131" t="s">
        <v>10025</v>
      </c>
      <c r="K4335" s="168">
        <v>336500</v>
      </c>
    </row>
    <row r="4336" spans="1:11">
      <c r="A4336" s="1" t="str">
        <f t="shared" si="86"/>
        <v>15100-51309296-96150056059745</v>
      </c>
      <c r="B4336" s="141" t="s">
        <v>10006</v>
      </c>
      <c r="C4336" s="141" t="s">
        <v>12050</v>
      </c>
      <c r="D4336" s="132" t="s">
        <v>4971</v>
      </c>
      <c r="E4336" s="141" t="s">
        <v>10001</v>
      </c>
      <c r="F4336" s="141" t="s">
        <v>10001</v>
      </c>
      <c r="G4336" s="141" t="s">
        <v>5854</v>
      </c>
      <c r="H4336" s="140" t="s">
        <v>8859</v>
      </c>
      <c r="I4336" s="141">
        <v>961500560</v>
      </c>
      <c r="J4336" s="131" t="s">
        <v>9982</v>
      </c>
      <c r="K4336" s="142">
        <v>59745</v>
      </c>
    </row>
    <row r="4337" spans="1:11">
      <c r="A4337" s="1" t="str">
        <f t="shared" si="86"/>
        <v>15100-51516196-961500726292280</v>
      </c>
      <c r="B4337" s="141" t="s">
        <v>10018</v>
      </c>
      <c r="C4337" s="141" t="s">
        <v>12061</v>
      </c>
      <c r="D4337" s="132" t="s">
        <v>4971</v>
      </c>
      <c r="E4337" s="141" t="s">
        <v>9935</v>
      </c>
      <c r="F4337" s="141" t="s">
        <v>9935</v>
      </c>
      <c r="G4337" s="141" t="s">
        <v>9796</v>
      </c>
      <c r="H4337" s="140" t="s">
        <v>6454</v>
      </c>
      <c r="I4337" s="141">
        <v>961500726</v>
      </c>
      <c r="J4337" s="131" t="s">
        <v>10025</v>
      </c>
      <c r="K4337" s="142">
        <v>292280</v>
      </c>
    </row>
    <row r="4338" spans="1:11">
      <c r="A4338" s="1" t="str">
        <f t="shared" si="86"/>
        <v>15100-51360196-961500687508350</v>
      </c>
      <c r="B4338" s="141" t="s">
        <v>10022</v>
      </c>
      <c r="C4338" s="141" t="s">
        <v>12068</v>
      </c>
      <c r="D4338" s="132" t="s">
        <v>4971</v>
      </c>
      <c r="E4338" s="141" t="s">
        <v>10008</v>
      </c>
      <c r="F4338" s="141" t="s">
        <v>10008</v>
      </c>
      <c r="G4338" s="141" t="s">
        <v>9770</v>
      </c>
      <c r="H4338" s="140" t="s">
        <v>6453</v>
      </c>
      <c r="I4338" s="141">
        <v>961500687</v>
      </c>
      <c r="J4338" s="131" t="s">
        <v>10004</v>
      </c>
      <c r="K4338" s="142">
        <v>508350</v>
      </c>
    </row>
    <row r="4339" spans="1:11">
      <c r="A4339" s="1" t="str">
        <f t="shared" si="86"/>
        <v>15100-51360196-961500706533080</v>
      </c>
      <c r="B4339" s="141" t="s">
        <v>10022</v>
      </c>
      <c r="C4339" s="141" t="s">
        <v>12068</v>
      </c>
      <c r="D4339" s="132" t="s">
        <v>4971</v>
      </c>
      <c r="E4339" s="141" t="s">
        <v>10008</v>
      </c>
      <c r="F4339" s="141" t="s">
        <v>10008</v>
      </c>
      <c r="G4339" s="141" t="s">
        <v>9768</v>
      </c>
      <c r="H4339" s="140" t="s">
        <v>6454</v>
      </c>
      <c r="I4339" s="141">
        <v>961500706</v>
      </c>
      <c r="J4339" s="131" t="s">
        <v>10009</v>
      </c>
      <c r="K4339" s="142">
        <v>533080</v>
      </c>
    </row>
    <row r="4340" spans="1:11">
      <c r="A4340" s="1" t="str">
        <f t="shared" si="86"/>
        <v>15100-51466696-961500701110260</v>
      </c>
      <c r="B4340" s="141" t="s">
        <v>10020</v>
      </c>
      <c r="C4340" s="141" t="s">
        <v>12067</v>
      </c>
      <c r="D4340" s="132" t="s">
        <v>4971</v>
      </c>
      <c r="E4340" s="141" t="s">
        <v>9995</v>
      </c>
      <c r="F4340" s="141" t="s">
        <v>9995</v>
      </c>
      <c r="G4340" s="141" t="s">
        <v>9768</v>
      </c>
      <c r="H4340" s="140" t="s">
        <v>6454</v>
      </c>
      <c r="I4340" s="141">
        <v>961500701</v>
      </c>
      <c r="J4340" s="131" t="s">
        <v>10026</v>
      </c>
      <c r="K4340" s="142">
        <v>110260</v>
      </c>
    </row>
    <row r="4341" spans="1:11">
      <c r="A4341" s="1" t="str">
        <f t="shared" si="86"/>
        <v>15100-51472996-961500563112875</v>
      </c>
      <c r="B4341" s="126" t="s">
        <v>10168</v>
      </c>
      <c r="C4341" s="126" t="s">
        <v>12072</v>
      </c>
      <c r="D4341" s="132" t="s">
        <v>4971</v>
      </c>
      <c r="E4341" s="126" t="s">
        <v>9995</v>
      </c>
      <c r="F4341" s="126" t="s">
        <v>9995</v>
      </c>
      <c r="G4341" s="126" t="s">
        <v>5854</v>
      </c>
      <c r="H4341" s="167" t="s">
        <v>8859</v>
      </c>
      <c r="I4341" s="126">
        <v>961500563</v>
      </c>
      <c r="J4341" s="131" t="s">
        <v>10017</v>
      </c>
      <c r="K4341" s="168">
        <v>112875</v>
      </c>
    </row>
    <row r="4342" spans="1:11">
      <c r="A4342" s="1" t="str">
        <f t="shared" si="86"/>
        <v>15100-51472996-9615007433195</v>
      </c>
      <c r="B4342" s="126" t="s">
        <v>10168</v>
      </c>
      <c r="C4342" s="126" t="s">
        <v>12072</v>
      </c>
      <c r="D4342" s="132" t="s">
        <v>4971</v>
      </c>
      <c r="E4342" s="126" t="s">
        <v>9995</v>
      </c>
      <c r="F4342" s="126" t="s">
        <v>9995</v>
      </c>
      <c r="G4342" s="126" t="s">
        <v>9794</v>
      </c>
      <c r="H4342" s="167" t="s">
        <v>6300</v>
      </c>
      <c r="I4342" s="126">
        <v>961500743</v>
      </c>
      <c r="J4342" s="131" t="s">
        <v>12180</v>
      </c>
      <c r="K4342" s="168">
        <v>3195</v>
      </c>
    </row>
    <row r="4343" spans="1:11">
      <c r="A4343" s="1" t="str">
        <f t="shared" si="86"/>
        <v>15100-51124596-9615004881</v>
      </c>
      <c r="B4343" s="141" t="s">
        <v>10027</v>
      </c>
      <c r="C4343" s="141" t="s">
        <v>12073</v>
      </c>
      <c r="D4343" s="132" t="s">
        <v>4971</v>
      </c>
      <c r="E4343" s="141" t="s">
        <v>10028</v>
      </c>
      <c r="F4343" s="141" t="s">
        <v>10028</v>
      </c>
      <c r="G4343" s="141" t="s">
        <v>7111</v>
      </c>
      <c r="H4343" s="140" t="s">
        <v>6298</v>
      </c>
      <c r="I4343" s="141">
        <v>961500488</v>
      </c>
      <c r="J4343" s="131" t="s">
        <v>9923</v>
      </c>
      <c r="K4343" s="142">
        <v>1</v>
      </c>
    </row>
    <row r="4344" spans="1:11">
      <c r="A4344" s="1" t="str">
        <f t="shared" si="86"/>
        <v>15100-51124596-961500539226189</v>
      </c>
      <c r="B4344" s="141" t="s">
        <v>10027</v>
      </c>
      <c r="C4344" s="141" t="s">
        <v>12073</v>
      </c>
      <c r="D4344" s="132" t="s">
        <v>4971</v>
      </c>
      <c r="E4344" s="141" t="s">
        <v>10028</v>
      </c>
      <c r="F4344" s="141" t="s">
        <v>10028</v>
      </c>
      <c r="G4344" s="141" t="s">
        <v>8497</v>
      </c>
      <c r="H4344" s="140" t="s">
        <v>6453</v>
      </c>
      <c r="I4344" s="141">
        <v>961500539</v>
      </c>
      <c r="J4344" s="131" t="s">
        <v>10029</v>
      </c>
      <c r="K4344" s="142">
        <v>226189</v>
      </c>
    </row>
    <row r="4345" spans="1:11">
      <c r="A4345" s="1" t="str">
        <f t="shared" si="86"/>
        <v>15100-51517996-96150072645760</v>
      </c>
      <c r="B4345" s="126" t="s">
        <v>10169</v>
      </c>
      <c r="C4345" s="126" t="s">
        <v>12074</v>
      </c>
      <c r="D4345" s="132" t="s">
        <v>4971</v>
      </c>
      <c r="E4345" s="126" t="s">
        <v>9935</v>
      </c>
      <c r="F4345" s="126" t="s">
        <v>9935</v>
      </c>
      <c r="G4345" s="126" t="s">
        <v>9796</v>
      </c>
      <c r="H4345" s="167" t="s">
        <v>6454</v>
      </c>
      <c r="I4345" s="126">
        <v>961500726</v>
      </c>
      <c r="J4345" s="131" t="s">
        <v>10025</v>
      </c>
      <c r="K4345" s="168">
        <v>45760</v>
      </c>
    </row>
    <row r="4346" spans="1:11">
      <c r="A4346" s="1" t="str">
        <f t="shared" si="86"/>
        <v>15100-51132396-961500604126150</v>
      </c>
      <c r="B4346" s="141" t="s">
        <v>10030</v>
      </c>
      <c r="C4346" s="141" t="s">
        <v>12075</v>
      </c>
      <c r="D4346" s="132" t="s">
        <v>4971</v>
      </c>
      <c r="E4346" s="141" t="s">
        <v>10028</v>
      </c>
      <c r="F4346" s="141" t="s">
        <v>10028</v>
      </c>
      <c r="G4346" s="141" t="s">
        <v>8698</v>
      </c>
      <c r="H4346" s="140" t="s">
        <v>6298</v>
      </c>
      <c r="I4346" s="141">
        <v>961500604</v>
      </c>
      <c r="J4346" s="131" t="s">
        <v>10031</v>
      </c>
      <c r="K4346" s="142">
        <v>126150</v>
      </c>
    </row>
    <row r="4347" spans="1:11">
      <c r="A4347" s="1" t="str">
        <f t="shared" si="86"/>
        <v>15100-51177996-96150065125750</v>
      </c>
      <c r="B4347" s="141" t="s">
        <v>10032</v>
      </c>
      <c r="C4347" s="141" t="s">
        <v>12076</v>
      </c>
      <c r="D4347" s="132" t="s">
        <v>4971</v>
      </c>
      <c r="E4347" s="141" t="s">
        <v>10033</v>
      </c>
      <c r="F4347" s="141" t="s">
        <v>10033</v>
      </c>
      <c r="G4347" s="141" t="s">
        <v>9768</v>
      </c>
      <c r="H4347" s="140" t="s">
        <v>6454</v>
      </c>
      <c r="I4347" s="141">
        <v>961500651</v>
      </c>
      <c r="J4347" s="131" t="s">
        <v>10034</v>
      </c>
      <c r="K4347" s="142">
        <v>25750</v>
      </c>
    </row>
    <row r="4348" spans="1:11">
      <c r="A4348" s="1" t="str">
        <f t="shared" si="86"/>
        <v>15100-51241796-96150065138410</v>
      </c>
      <c r="B4348" s="141" t="s">
        <v>10035</v>
      </c>
      <c r="C4348" s="141" t="s">
        <v>12077</v>
      </c>
      <c r="D4348" s="132" t="s">
        <v>4971</v>
      </c>
      <c r="E4348" s="141" t="s">
        <v>10036</v>
      </c>
      <c r="F4348" s="141" t="s">
        <v>10036</v>
      </c>
      <c r="G4348" s="141" t="s">
        <v>9768</v>
      </c>
      <c r="H4348" s="140" t="s">
        <v>6454</v>
      </c>
      <c r="I4348" s="141">
        <v>961500651</v>
      </c>
      <c r="J4348" s="131" t="s">
        <v>10034</v>
      </c>
      <c r="K4348" s="142">
        <v>38410</v>
      </c>
    </row>
    <row r="4349" spans="1:11">
      <c r="A4349" s="1" t="str">
        <f t="shared" si="86"/>
        <v>15100-51241796-961500687154620</v>
      </c>
      <c r="B4349" s="141" t="s">
        <v>10035</v>
      </c>
      <c r="C4349" s="141" t="s">
        <v>12077</v>
      </c>
      <c r="D4349" s="132" t="s">
        <v>4971</v>
      </c>
      <c r="E4349" s="141" t="s">
        <v>10036</v>
      </c>
      <c r="F4349" s="141" t="s">
        <v>10036</v>
      </c>
      <c r="G4349" s="141" t="s">
        <v>9770</v>
      </c>
      <c r="H4349" s="140" t="s">
        <v>6453</v>
      </c>
      <c r="I4349" s="141">
        <v>961500687</v>
      </c>
      <c r="J4349" s="131" t="s">
        <v>10004</v>
      </c>
      <c r="K4349" s="142">
        <v>154620</v>
      </c>
    </row>
    <row r="4350" spans="1:11">
      <c r="A4350" s="1" t="str">
        <f t="shared" si="86"/>
        <v>15100-51011996-96150058020520</v>
      </c>
      <c r="B4350" s="141" t="s">
        <v>10037</v>
      </c>
      <c r="C4350" s="141" t="s">
        <v>12078</v>
      </c>
      <c r="D4350" s="132" t="s">
        <v>4971</v>
      </c>
      <c r="E4350" s="141" t="s">
        <v>10024</v>
      </c>
      <c r="F4350" s="141" t="s">
        <v>10024</v>
      </c>
      <c r="G4350" s="141" t="s">
        <v>7118</v>
      </c>
      <c r="H4350" s="140" t="s">
        <v>6454</v>
      </c>
      <c r="I4350" s="141">
        <v>961500580</v>
      </c>
      <c r="J4350" s="131" t="s">
        <v>10038</v>
      </c>
      <c r="K4350" s="142">
        <v>20520</v>
      </c>
    </row>
    <row r="4351" spans="1:11">
      <c r="A4351" s="1" t="str">
        <f t="shared" si="86"/>
        <v>15100-51241796-96150069979560</v>
      </c>
      <c r="B4351" s="141" t="s">
        <v>10035</v>
      </c>
      <c r="C4351" s="141" t="s">
        <v>12077</v>
      </c>
      <c r="D4351" s="132" t="s">
        <v>4971</v>
      </c>
      <c r="E4351" s="141" t="s">
        <v>10036</v>
      </c>
      <c r="F4351" s="141" t="s">
        <v>10036</v>
      </c>
      <c r="G4351" s="141" t="s">
        <v>9768</v>
      </c>
      <c r="H4351" s="140" t="s">
        <v>6454</v>
      </c>
      <c r="I4351" s="141">
        <v>961500699</v>
      </c>
      <c r="J4351" s="131" t="s">
        <v>10021</v>
      </c>
      <c r="K4351" s="142">
        <v>79560</v>
      </c>
    </row>
    <row r="4352" spans="1:11">
      <c r="A4352" s="1" t="str">
        <f t="shared" si="86"/>
        <v>15100-51177996-96150057573580</v>
      </c>
      <c r="B4352" s="141" t="s">
        <v>10032</v>
      </c>
      <c r="C4352" s="141" t="s">
        <v>12076</v>
      </c>
      <c r="D4352" s="132" t="s">
        <v>4971</v>
      </c>
      <c r="E4352" s="141" t="s">
        <v>10033</v>
      </c>
      <c r="F4352" s="141" t="s">
        <v>10033</v>
      </c>
      <c r="G4352" s="141" t="s">
        <v>8698</v>
      </c>
      <c r="H4352" s="140" t="s">
        <v>6298</v>
      </c>
      <c r="I4352" s="141">
        <v>961500575</v>
      </c>
      <c r="J4352" s="131" t="s">
        <v>10039</v>
      </c>
      <c r="K4352" s="142">
        <v>73580</v>
      </c>
    </row>
    <row r="4353" spans="1:11">
      <c r="A4353" s="1" t="str">
        <f t="shared" si="86"/>
        <v>15100-51177996-96150065049120</v>
      </c>
      <c r="B4353" s="141" t="s">
        <v>10032</v>
      </c>
      <c r="C4353" s="141" t="s">
        <v>12076</v>
      </c>
      <c r="D4353" s="132" t="s">
        <v>4971</v>
      </c>
      <c r="E4353" s="141" t="s">
        <v>10033</v>
      </c>
      <c r="F4353" s="141" t="s">
        <v>10033</v>
      </c>
      <c r="G4353" s="141" t="s">
        <v>9768</v>
      </c>
      <c r="H4353" s="140" t="s">
        <v>6454</v>
      </c>
      <c r="I4353" s="141">
        <v>961500650</v>
      </c>
      <c r="J4353" s="131" t="s">
        <v>10040</v>
      </c>
      <c r="K4353" s="142">
        <v>49120</v>
      </c>
    </row>
    <row r="4354" spans="1:11">
      <c r="A4354" s="1" t="str">
        <f t="shared" si="86"/>
        <v>15100-51177996-961500615227270</v>
      </c>
      <c r="B4354" s="141" t="s">
        <v>10032</v>
      </c>
      <c r="C4354" s="141" t="s">
        <v>12076</v>
      </c>
      <c r="D4354" s="132" t="s">
        <v>4971</v>
      </c>
      <c r="E4354" s="141" t="s">
        <v>10033</v>
      </c>
      <c r="F4354" s="141" t="s">
        <v>10033</v>
      </c>
      <c r="G4354" s="141" t="s">
        <v>9767</v>
      </c>
      <c r="H4354" s="140" t="s">
        <v>6453</v>
      </c>
      <c r="I4354" s="141">
        <v>961500615</v>
      </c>
      <c r="J4354" s="131" t="s">
        <v>10041</v>
      </c>
      <c r="K4354" s="142">
        <v>227270</v>
      </c>
    </row>
    <row r="4355" spans="1:11">
      <c r="A4355" s="1" t="str">
        <f t="shared" ref="A4355:A4418" si="87">B4355&amp;J4355&amp;K4355</f>
        <v>15100-51241796-96150061598250</v>
      </c>
      <c r="B4355" s="141" t="s">
        <v>10035</v>
      </c>
      <c r="C4355" s="141" t="s">
        <v>12077</v>
      </c>
      <c r="D4355" s="132" t="s">
        <v>4971</v>
      </c>
      <c r="E4355" s="141" t="s">
        <v>10036</v>
      </c>
      <c r="F4355" s="141" t="s">
        <v>10036</v>
      </c>
      <c r="G4355" s="141" t="s">
        <v>9767</v>
      </c>
      <c r="H4355" s="140" t="s">
        <v>6453</v>
      </c>
      <c r="I4355" s="141">
        <v>961500615</v>
      </c>
      <c r="J4355" s="131" t="s">
        <v>10041</v>
      </c>
      <c r="K4355" s="142">
        <v>98250</v>
      </c>
    </row>
    <row r="4356" spans="1:11">
      <c r="A4356" s="1" t="str">
        <f t="shared" si="87"/>
        <v>15100-51124596-961500650267170</v>
      </c>
      <c r="B4356" s="141" t="s">
        <v>10027</v>
      </c>
      <c r="C4356" s="141" t="s">
        <v>12073</v>
      </c>
      <c r="D4356" s="132" t="s">
        <v>4971</v>
      </c>
      <c r="E4356" s="141" t="s">
        <v>10028</v>
      </c>
      <c r="F4356" s="141" t="s">
        <v>10028</v>
      </c>
      <c r="G4356" s="141" t="s">
        <v>9768</v>
      </c>
      <c r="H4356" s="140" t="s">
        <v>6454</v>
      </c>
      <c r="I4356" s="141">
        <v>961500650</v>
      </c>
      <c r="J4356" s="131" t="s">
        <v>10040</v>
      </c>
      <c r="K4356" s="142">
        <v>267170</v>
      </c>
    </row>
    <row r="4357" spans="1:11">
      <c r="A4357" s="1" t="str">
        <f t="shared" si="87"/>
        <v>15100-51132396-961500615149600</v>
      </c>
      <c r="B4357" s="141" t="s">
        <v>10030</v>
      </c>
      <c r="C4357" s="141" t="s">
        <v>12075</v>
      </c>
      <c r="D4357" s="132" t="s">
        <v>4971</v>
      </c>
      <c r="E4357" s="141" t="s">
        <v>10028</v>
      </c>
      <c r="F4357" s="141" t="s">
        <v>10028</v>
      </c>
      <c r="G4357" s="141" t="s">
        <v>9767</v>
      </c>
      <c r="H4357" s="140" t="s">
        <v>6453</v>
      </c>
      <c r="I4357" s="141">
        <v>961500615</v>
      </c>
      <c r="J4357" s="131" t="s">
        <v>10041</v>
      </c>
      <c r="K4357" s="142">
        <v>149600</v>
      </c>
    </row>
    <row r="4358" spans="1:11">
      <c r="A4358" s="1" t="str">
        <f t="shared" si="87"/>
        <v>15100-51178296-96150065174920</v>
      </c>
      <c r="B4358" s="141" t="s">
        <v>10042</v>
      </c>
      <c r="C4358" s="141" t="s">
        <v>12079</v>
      </c>
      <c r="D4358" s="132" t="s">
        <v>4971</v>
      </c>
      <c r="E4358" s="141" t="s">
        <v>10033</v>
      </c>
      <c r="F4358" s="141" t="s">
        <v>10033</v>
      </c>
      <c r="G4358" s="141" t="s">
        <v>9768</v>
      </c>
      <c r="H4358" s="140" t="s">
        <v>6454</v>
      </c>
      <c r="I4358" s="141">
        <v>961500651</v>
      </c>
      <c r="J4358" s="131" t="s">
        <v>10034</v>
      </c>
      <c r="K4358" s="142">
        <v>74920</v>
      </c>
    </row>
    <row r="4359" spans="1:11">
      <c r="A4359" s="1" t="str">
        <f t="shared" si="87"/>
        <v>15100-50964296-96150053651100</v>
      </c>
      <c r="B4359" s="141" t="s">
        <v>10043</v>
      </c>
      <c r="C4359" s="141" t="s">
        <v>12080</v>
      </c>
      <c r="D4359" s="132" t="s">
        <v>4971</v>
      </c>
      <c r="E4359" s="141" t="s">
        <v>10044</v>
      </c>
      <c r="F4359" s="141" t="s">
        <v>10044</v>
      </c>
      <c r="G4359" s="141" t="s">
        <v>7273</v>
      </c>
      <c r="H4359" s="140" t="s">
        <v>6298</v>
      </c>
      <c r="I4359" s="141">
        <v>961500536</v>
      </c>
      <c r="J4359" s="131" t="s">
        <v>10045</v>
      </c>
      <c r="K4359" s="142">
        <v>51100</v>
      </c>
    </row>
    <row r="4360" spans="1:11">
      <c r="A4360" s="1" t="str">
        <f t="shared" si="87"/>
        <v>15100-51132396-961500568120000</v>
      </c>
      <c r="B4360" s="141" t="s">
        <v>10030</v>
      </c>
      <c r="C4360" s="141" t="s">
        <v>12075</v>
      </c>
      <c r="D4360" s="132" t="s">
        <v>4971</v>
      </c>
      <c r="E4360" s="141" t="s">
        <v>10028</v>
      </c>
      <c r="F4360" s="141" t="s">
        <v>10028</v>
      </c>
      <c r="G4360" s="141" t="s">
        <v>8698</v>
      </c>
      <c r="H4360" s="140" t="s">
        <v>6298</v>
      </c>
      <c r="I4360" s="141">
        <v>961500568</v>
      </c>
      <c r="J4360" s="131" t="s">
        <v>10046</v>
      </c>
      <c r="K4360" s="142">
        <v>120000</v>
      </c>
    </row>
    <row r="4361" spans="1:11">
      <c r="A4361" s="1" t="str">
        <f t="shared" si="87"/>
        <v>15100-51014996-961500634200000</v>
      </c>
      <c r="B4361" s="141" t="s">
        <v>10047</v>
      </c>
      <c r="C4361" s="141" t="s">
        <v>12081</v>
      </c>
      <c r="D4361" s="132" t="s">
        <v>4971</v>
      </c>
      <c r="E4361" s="141" t="s">
        <v>10024</v>
      </c>
      <c r="F4361" s="141" t="s">
        <v>10024</v>
      </c>
      <c r="G4361" s="141" t="s">
        <v>9771</v>
      </c>
      <c r="H4361" s="140" t="s">
        <v>6300</v>
      </c>
      <c r="I4361" s="141">
        <v>961500634</v>
      </c>
      <c r="J4361" s="131" t="s">
        <v>10048</v>
      </c>
      <c r="K4361" s="142">
        <v>200000</v>
      </c>
    </row>
    <row r="4362" spans="1:11">
      <c r="A4362" s="1" t="str">
        <f t="shared" si="87"/>
        <v>15100-51014996-961500584144330</v>
      </c>
      <c r="B4362" s="141" t="s">
        <v>10047</v>
      </c>
      <c r="C4362" s="141" t="s">
        <v>12081</v>
      </c>
      <c r="D4362" s="132" t="s">
        <v>4971</v>
      </c>
      <c r="E4362" s="141" t="s">
        <v>10024</v>
      </c>
      <c r="F4362" s="141" t="s">
        <v>10024</v>
      </c>
      <c r="G4362" s="141" t="s">
        <v>9771</v>
      </c>
      <c r="H4362" s="140" t="s">
        <v>6300</v>
      </c>
      <c r="I4362" s="141">
        <v>961500584</v>
      </c>
      <c r="J4362" s="131" t="s">
        <v>10050</v>
      </c>
      <c r="K4362" s="142">
        <v>144330</v>
      </c>
    </row>
    <row r="4363" spans="1:11">
      <c r="A4363" s="1" t="str">
        <f t="shared" si="87"/>
        <v>15100-51079396-96150056113839</v>
      </c>
      <c r="B4363" s="141" t="s">
        <v>10051</v>
      </c>
      <c r="C4363" s="141" t="s">
        <v>12082</v>
      </c>
      <c r="D4363" s="132" t="s">
        <v>4971</v>
      </c>
      <c r="E4363" s="141" t="s">
        <v>10052</v>
      </c>
      <c r="F4363" s="141" t="s">
        <v>10052</v>
      </c>
      <c r="G4363" s="141" t="s">
        <v>5854</v>
      </c>
      <c r="H4363" s="140" t="s">
        <v>8859</v>
      </c>
      <c r="I4363" s="141">
        <v>961500561</v>
      </c>
      <c r="J4363" s="131" t="s">
        <v>10053</v>
      </c>
      <c r="K4363" s="142">
        <v>13839</v>
      </c>
    </row>
    <row r="4364" spans="1:11">
      <c r="A4364" s="1" t="str">
        <f t="shared" si="87"/>
        <v>15100-51132396-96150054650380</v>
      </c>
      <c r="B4364" s="141" t="s">
        <v>10030</v>
      </c>
      <c r="C4364" s="141" t="s">
        <v>12075</v>
      </c>
      <c r="D4364" s="132" t="s">
        <v>4971</v>
      </c>
      <c r="E4364" s="141" t="s">
        <v>10028</v>
      </c>
      <c r="F4364" s="141" t="s">
        <v>10028</v>
      </c>
      <c r="G4364" s="141" t="s">
        <v>8497</v>
      </c>
      <c r="H4364" s="140" t="s">
        <v>6453</v>
      </c>
      <c r="I4364" s="141">
        <v>961500546</v>
      </c>
      <c r="J4364" s="131" t="s">
        <v>9988</v>
      </c>
      <c r="K4364" s="142">
        <v>50380</v>
      </c>
    </row>
    <row r="4365" spans="1:11">
      <c r="A4365" s="1" t="str">
        <f t="shared" si="87"/>
        <v>15100-51079396-96150065057340</v>
      </c>
      <c r="B4365" s="141" t="s">
        <v>10051</v>
      </c>
      <c r="C4365" s="141" t="s">
        <v>12082</v>
      </c>
      <c r="D4365" s="132" t="s">
        <v>4971</v>
      </c>
      <c r="E4365" s="141" t="s">
        <v>10052</v>
      </c>
      <c r="F4365" s="141" t="s">
        <v>10052</v>
      </c>
      <c r="G4365" s="141" t="s">
        <v>9768</v>
      </c>
      <c r="H4365" s="140" t="s">
        <v>6454</v>
      </c>
      <c r="I4365" s="141">
        <v>961500650</v>
      </c>
      <c r="J4365" s="131" t="s">
        <v>10040</v>
      </c>
      <c r="K4365" s="142">
        <v>57340</v>
      </c>
    </row>
    <row r="4366" spans="1:11">
      <c r="A4366" s="1" t="str">
        <f t="shared" si="87"/>
        <v>15100-51014996-961500626100000</v>
      </c>
      <c r="B4366" s="141" t="s">
        <v>10047</v>
      </c>
      <c r="C4366" s="141" t="s">
        <v>12081</v>
      </c>
      <c r="D4366" s="132" t="s">
        <v>4971</v>
      </c>
      <c r="E4366" s="141" t="s">
        <v>10024</v>
      </c>
      <c r="F4366" s="141" t="s">
        <v>10024</v>
      </c>
      <c r="G4366" s="141" t="s">
        <v>9771</v>
      </c>
      <c r="H4366" s="140" t="s">
        <v>6300</v>
      </c>
      <c r="I4366" s="141">
        <v>961500626</v>
      </c>
      <c r="J4366" s="131" t="s">
        <v>10054</v>
      </c>
      <c r="K4366" s="142">
        <v>100000</v>
      </c>
    </row>
    <row r="4367" spans="1:11">
      <c r="A4367" s="1" t="str">
        <f t="shared" si="87"/>
        <v>15100-51181296-96150065148480</v>
      </c>
      <c r="B4367" s="141" t="s">
        <v>10055</v>
      </c>
      <c r="C4367" s="141" t="s">
        <v>12083</v>
      </c>
      <c r="D4367" s="132" t="s">
        <v>4971</v>
      </c>
      <c r="E4367" s="141" t="s">
        <v>10033</v>
      </c>
      <c r="F4367" s="141" t="s">
        <v>10033</v>
      </c>
      <c r="G4367" s="141" t="s">
        <v>9768</v>
      </c>
      <c r="H4367" s="140" t="s">
        <v>6454</v>
      </c>
      <c r="I4367" s="141">
        <v>961500651</v>
      </c>
      <c r="J4367" s="131" t="s">
        <v>10034</v>
      </c>
      <c r="K4367" s="142">
        <v>48480</v>
      </c>
    </row>
    <row r="4368" spans="1:11">
      <c r="A4368" s="1" t="str">
        <f t="shared" si="87"/>
        <v>15100-51178896-96150065175240</v>
      </c>
      <c r="B4368" s="141" t="s">
        <v>10056</v>
      </c>
      <c r="C4368" s="141" t="s">
        <v>12084</v>
      </c>
      <c r="D4368" s="132" t="s">
        <v>4971</v>
      </c>
      <c r="E4368" s="141" t="s">
        <v>10033</v>
      </c>
      <c r="F4368" s="141" t="s">
        <v>10033</v>
      </c>
      <c r="G4368" s="141" t="s">
        <v>9768</v>
      </c>
      <c r="H4368" s="140" t="s">
        <v>6454</v>
      </c>
      <c r="I4368" s="141">
        <v>961500651</v>
      </c>
      <c r="J4368" s="131" t="s">
        <v>10034</v>
      </c>
      <c r="K4368" s="142">
        <v>75240</v>
      </c>
    </row>
    <row r="4369" spans="1:11">
      <c r="A4369" s="1" t="str">
        <f t="shared" si="87"/>
        <v>15100-50972396-96150051230580</v>
      </c>
      <c r="B4369" s="141" t="s">
        <v>10057</v>
      </c>
      <c r="C4369" s="141" t="s">
        <v>12085</v>
      </c>
      <c r="D4369" s="132" t="s">
        <v>4971</v>
      </c>
      <c r="E4369" s="141" t="s">
        <v>10044</v>
      </c>
      <c r="F4369" s="141" t="s">
        <v>10044</v>
      </c>
      <c r="G4369" s="141" t="s">
        <v>7111</v>
      </c>
      <c r="H4369" s="140" t="s">
        <v>6298</v>
      </c>
      <c r="I4369" s="141">
        <v>961500512</v>
      </c>
      <c r="J4369" s="131" t="s">
        <v>9975</v>
      </c>
      <c r="K4369" s="142">
        <v>30580</v>
      </c>
    </row>
    <row r="4370" spans="1:11">
      <c r="A4370" s="1" t="str">
        <f t="shared" si="87"/>
        <v>15100-51071496-96150055450000</v>
      </c>
      <c r="B4370" s="141" t="s">
        <v>10058</v>
      </c>
      <c r="C4370" s="141" t="s">
        <v>12086</v>
      </c>
      <c r="D4370" s="132" t="s">
        <v>4971</v>
      </c>
      <c r="E4370" s="141" t="s">
        <v>10024</v>
      </c>
      <c r="F4370" s="141" t="s">
        <v>10024</v>
      </c>
      <c r="G4370" s="141" t="s">
        <v>8724</v>
      </c>
      <c r="H4370" s="140" t="s">
        <v>6454</v>
      </c>
      <c r="I4370" s="141">
        <v>961500554</v>
      </c>
      <c r="J4370" s="131" t="s">
        <v>10059</v>
      </c>
      <c r="K4370" s="142">
        <v>50000</v>
      </c>
    </row>
    <row r="4371" spans="1:11">
      <c r="A4371" s="1" t="str">
        <f t="shared" si="87"/>
        <v>15100-51071496-9615004882379</v>
      </c>
      <c r="B4371" s="141" t="s">
        <v>10058</v>
      </c>
      <c r="C4371" s="141" t="s">
        <v>12086</v>
      </c>
      <c r="D4371" s="132" t="s">
        <v>4971</v>
      </c>
      <c r="E4371" s="141" t="s">
        <v>10024</v>
      </c>
      <c r="F4371" s="141" t="s">
        <v>10024</v>
      </c>
      <c r="G4371" s="141" t="s">
        <v>7111</v>
      </c>
      <c r="H4371" s="140" t="s">
        <v>6298</v>
      </c>
      <c r="I4371" s="141">
        <v>961500488</v>
      </c>
      <c r="J4371" s="131" t="s">
        <v>9923</v>
      </c>
      <c r="K4371" s="142">
        <v>2379</v>
      </c>
    </row>
    <row r="4372" spans="1:11">
      <c r="A4372" s="1" t="str">
        <f t="shared" si="87"/>
        <v>15100-51071496-96150053943651</v>
      </c>
      <c r="B4372" s="141" t="s">
        <v>10058</v>
      </c>
      <c r="C4372" s="141" t="s">
        <v>12086</v>
      </c>
      <c r="D4372" s="132" t="s">
        <v>4971</v>
      </c>
      <c r="E4372" s="141" t="s">
        <v>10024</v>
      </c>
      <c r="F4372" s="141" t="s">
        <v>10024</v>
      </c>
      <c r="G4372" s="141" t="s">
        <v>8497</v>
      </c>
      <c r="H4372" s="140" t="s">
        <v>6453</v>
      </c>
      <c r="I4372" s="141">
        <v>961500539</v>
      </c>
      <c r="J4372" s="131" t="s">
        <v>10029</v>
      </c>
      <c r="K4372" s="142">
        <v>43651</v>
      </c>
    </row>
    <row r="4373" spans="1:11">
      <c r="A4373" s="1" t="str">
        <f t="shared" si="87"/>
        <v>15100-50972396-961500558161640</v>
      </c>
      <c r="B4373" s="141" t="s">
        <v>10057</v>
      </c>
      <c r="C4373" s="141" t="s">
        <v>12085</v>
      </c>
      <c r="D4373" s="132" t="s">
        <v>4971</v>
      </c>
      <c r="E4373" s="141" t="s">
        <v>10044</v>
      </c>
      <c r="F4373" s="141" t="s">
        <v>10044</v>
      </c>
      <c r="G4373" s="141" t="s">
        <v>7273</v>
      </c>
      <c r="H4373" s="140" t="s">
        <v>6298</v>
      </c>
      <c r="I4373" s="141">
        <v>961500558</v>
      </c>
      <c r="J4373" s="131" t="s">
        <v>10060</v>
      </c>
      <c r="K4373" s="142">
        <v>161640</v>
      </c>
    </row>
    <row r="4374" spans="1:11">
      <c r="A4374" s="1" t="str">
        <f t="shared" si="87"/>
        <v>15100-51129996-961500650125370</v>
      </c>
      <c r="B4374" s="126" t="s">
        <v>10170</v>
      </c>
      <c r="C4374" s="126" t="s">
        <v>12087</v>
      </c>
      <c r="D4374" s="132" t="s">
        <v>4971</v>
      </c>
      <c r="E4374" s="126" t="s">
        <v>10028</v>
      </c>
      <c r="F4374" s="126" t="s">
        <v>10028</v>
      </c>
      <c r="G4374" s="126" t="s">
        <v>9768</v>
      </c>
      <c r="H4374" s="167" t="s">
        <v>6454</v>
      </c>
      <c r="I4374" s="126">
        <v>961500650</v>
      </c>
      <c r="J4374" s="131" t="s">
        <v>10040</v>
      </c>
      <c r="K4374" s="168">
        <v>125370</v>
      </c>
    </row>
    <row r="4375" spans="1:11">
      <c r="A4375" s="1" t="str">
        <f t="shared" si="87"/>
        <v>15100-50972396-961500539300390</v>
      </c>
      <c r="B4375" s="141" t="s">
        <v>10057</v>
      </c>
      <c r="C4375" s="141" t="s">
        <v>12085</v>
      </c>
      <c r="D4375" s="132" t="s">
        <v>4971</v>
      </c>
      <c r="E4375" s="141" t="s">
        <v>10044</v>
      </c>
      <c r="F4375" s="141" t="s">
        <v>10044</v>
      </c>
      <c r="G4375" s="141" t="s">
        <v>8497</v>
      </c>
      <c r="H4375" s="140" t="s">
        <v>6453</v>
      </c>
      <c r="I4375" s="141">
        <v>961500539</v>
      </c>
      <c r="J4375" s="131" t="s">
        <v>10029</v>
      </c>
      <c r="K4375" s="142">
        <v>300390</v>
      </c>
    </row>
    <row r="4376" spans="1:11">
      <c r="A4376" s="1" t="str">
        <f t="shared" si="87"/>
        <v>15100-51179196-961500615165800</v>
      </c>
      <c r="B4376" s="126" t="s">
        <v>10171</v>
      </c>
      <c r="C4376" s="126" t="s">
        <v>12088</v>
      </c>
      <c r="D4376" s="132" t="s">
        <v>4971</v>
      </c>
      <c r="E4376" s="126" t="s">
        <v>10033</v>
      </c>
      <c r="F4376" s="126" t="s">
        <v>10033</v>
      </c>
      <c r="G4376" s="126" t="s">
        <v>9767</v>
      </c>
      <c r="H4376" s="167" t="s">
        <v>6453</v>
      </c>
      <c r="I4376" s="126">
        <v>961500615</v>
      </c>
      <c r="J4376" s="131" t="s">
        <v>10041</v>
      </c>
      <c r="K4376" s="168">
        <v>165800</v>
      </c>
    </row>
    <row r="4377" spans="1:11">
      <c r="A4377" s="1" t="str">
        <f t="shared" si="87"/>
        <v>15100-51180096-9615006043580</v>
      </c>
      <c r="B4377" s="141" t="s">
        <v>10061</v>
      </c>
      <c r="C4377" s="141" t="s">
        <v>12089</v>
      </c>
      <c r="D4377" s="132" t="s">
        <v>4971</v>
      </c>
      <c r="E4377" s="141" t="s">
        <v>10033</v>
      </c>
      <c r="F4377" s="141" t="s">
        <v>10033</v>
      </c>
      <c r="G4377" s="141" t="s">
        <v>8698</v>
      </c>
      <c r="H4377" s="140" t="s">
        <v>6298</v>
      </c>
      <c r="I4377" s="141">
        <v>961500604</v>
      </c>
      <c r="J4377" s="131" t="s">
        <v>10031</v>
      </c>
      <c r="K4377" s="142">
        <v>3580</v>
      </c>
    </row>
    <row r="4378" spans="1:11">
      <c r="A4378" s="1" t="str">
        <f t="shared" si="87"/>
        <v>15100-51179196-96150065173180</v>
      </c>
      <c r="B4378" s="126" t="s">
        <v>10171</v>
      </c>
      <c r="C4378" s="126" t="s">
        <v>12088</v>
      </c>
      <c r="D4378" s="132" t="s">
        <v>4971</v>
      </c>
      <c r="E4378" s="126" t="s">
        <v>10033</v>
      </c>
      <c r="F4378" s="126" t="s">
        <v>10033</v>
      </c>
      <c r="G4378" s="126" t="s">
        <v>9768</v>
      </c>
      <c r="H4378" s="167" t="s">
        <v>6454</v>
      </c>
      <c r="I4378" s="126">
        <v>961500651</v>
      </c>
      <c r="J4378" s="131" t="s">
        <v>10034</v>
      </c>
      <c r="K4378" s="168">
        <v>73180</v>
      </c>
    </row>
    <row r="4379" spans="1:11">
      <c r="A4379" s="1" t="str">
        <f t="shared" si="87"/>
        <v>15100-51010196-961500550200000</v>
      </c>
      <c r="B4379" s="141" t="s">
        <v>10062</v>
      </c>
      <c r="C4379" s="141" t="s">
        <v>12090</v>
      </c>
      <c r="D4379" s="132" t="s">
        <v>4971</v>
      </c>
      <c r="E4379" s="141" t="s">
        <v>10024</v>
      </c>
      <c r="F4379" s="141" t="s">
        <v>10024</v>
      </c>
      <c r="G4379" s="141" t="s">
        <v>8497</v>
      </c>
      <c r="H4379" s="140" t="s">
        <v>6453</v>
      </c>
      <c r="I4379" s="141">
        <v>961500550</v>
      </c>
      <c r="J4379" s="131" t="s">
        <v>10063</v>
      </c>
      <c r="K4379" s="142">
        <v>200000</v>
      </c>
    </row>
    <row r="4380" spans="1:11">
      <c r="A4380" s="1" t="str">
        <f t="shared" si="87"/>
        <v>15100-51232996-961500651164020</v>
      </c>
      <c r="B4380" s="141" t="s">
        <v>10064</v>
      </c>
      <c r="C4380" s="141" t="s">
        <v>12091</v>
      </c>
      <c r="D4380" s="132" t="s">
        <v>4971</v>
      </c>
      <c r="E4380" s="141" t="s">
        <v>10036</v>
      </c>
      <c r="F4380" s="141" t="s">
        <v>10036</v>
      </c>
      <c r="G4380" s="141" t="s">
        <v>9768</v>
      </c>
      <c r="H4380" s="140" t="s">
        <v>6454</v>
      </c>
      <c r="I4380" s="141">
        <v>961500651</v>
      </c>
      <c r="J4380" s="131" t="s">
        <v>10034</v>
      </c>
      <c r="K4380" s="142">
        <v>164020</v>
      </c>
    </row>
    <row r="4381" spans="1:11">
      <c r="A4381" s="1" t="str">
        <f t="shared" si="87"/>
        <v>15100-51010196-96150058079480</v>
      </c>
      <c r="B4381" s="141" t="s">
        <v>10062</v>
      </c>
      <c r="C4381" s="141" t="s">
        <v>12090</v>
      </c>
      <c r="D4381" s="132" t="s">
        <v>4971</v>
      </c>
      <c r="E4381" s="141" t="s">
        <v>10024</v>
      </c>
      <c r="F4381" s="141" t="s">
        <v>10024</v>
      </c>
      <c r="G4381" s="141" t="s">
        <v>7118</v>
      </c>
      <c r="H4381" s="140" t="s">
        <v>6454</v>
      </c>
      <c r="I4381" s="141">
        <v>961500580</v>
      </c>
      <c r="J4381" s="131" t="s">
        <v>10038</v>
      </c>
      <c r="K4381" s="142">
        <v>79480</v>
      </c>
    </row>
    <row r="4382" spans="1:11">
      <c r="A4382" s="1" t="str">
        <f t="shared" si="87"/>
        <v>15100-51013796-96150053667979</v>
      </c>
      <c r="B4382" s="126" t="s">
        <v>10172</v>
      </c>
      <c r="C4382" s="126" t="s">
        <v>12092</v>
      </c>
      <c r="D4382" s="132" t="s">
        <v>4971</v>
      </c>
      <c r="E4382" s="126" t="s">
        <v>10024</v>
      </c>
      <c r="F4382" s="126" t="s">
        <v>10024</v>
      </c>
      <c r="G4382" s="126" t="s">
        <v>7273</v>
      </c>
      <c r="H4382" s="167" t="s">
        <v>6298</v>
      </c>
      <c r="I4382" s="126">
        <v>961500536</v>
      </c>
      <c r="J4382" s="131" t="s">
        <v>10045</v>
      </c>
      <c r="K4382" s="168">
        <v>67979</v>
      </c>
    </row>
    <row r="4383" spans="1:11">
      <c r="A4383" s="1" t="str">
        <f t="shared" si="87"/>
        <v>15100-51013796-96150055850561</v>
      </c>
      <c r="B4383" s="126" t="s">
        <v>10172</v>
      </c>
      <c r="C4383" s="126" t="s">
        <v>12092</v>
      </c>
      <c r="D4383" s="132" t="s">
        <v>4971</v>
      </c>
      <c r="E4383" s="126" t="s">
        <v>10024</v>
      </c>
      <c r="F4383" s="126" t="s">
        <v>10024</v>
      </c>
      <c r="G4383" s="126" t="s">
        <v>7273</v>
      </c>
      <c r="H4383" s="167" t="s">
        <v>6298</v>
      </c>
      <c r="I4383" s="126">
        <v>961500558</v>
      </c>
      <c r="J4383" s="131" t="s">
        <v>10060</v>
      </c>
      <c r="K4383" s="168">
        <v>50561</v>
      </c>
    </row>
    <row r="4384" spans="1:11">
      <c r="A4384" s="1" t="str">
        <f t="shared" si="87"/>
        <v>15100-51013796-9615006501000</v>
      </c>
      <c r="B4384" s="126" t="s">
        <v>10172</v>
      </c>
      <c r="C4384" s="126" t="s">
        <v>12092</v>
      </c>
      <c r="D4384" s="132" t="s">
        <v>4971</v>
      </c>
      <c r="E4384" s="126" t="s">
        <v>10024</v>
      </c>
      <c r="F4384" s="126" t="s">
        <v>10024</v>
      </c>
      <c r="G4384" s="126" t="s">
        <v>9768</v>
      </c>
      <c r="H4384" s="167" t="s">
        <v>6454</v>
      </c>
      <c r="I4384" s="126">
        <v>961500650</v>
      </c>
      <c r="J4384" s="131" t="s">
        <v>10040</v>
      </c>
      <c r="K4384" s="168">
        <v>1000</v>
      </c>
    </row>
    <row r="4385" spans="1:11">
      <c r="A4385" s="1" t="str">
        <f t="shared" si="87"/>
        <v>15100-51232996-961500615109080</v>
      </c>
      <c r="B4385" s="141" t="s">
        <v>10064</v>
      </c>
      <c r="C4385" s="141" t="s">
        <v>12091</v>
      </c>
      <c r="D4385" s="132" t="s">
        <v>4971</v>
      </c>
      <c r="E4385" s="141" t="s">
        <v>10036</v>
      </c>
      <c r="F4385" s="141" t="s">
        <v>10036</v>
      </c>
      <c r="G4385" s="141" t="s">
        <v>9767</v>
      </c>
      <c r="H4385" s="140" t="s">
        <v>6453</v>
      </c>
      <c r="I4385" s="141">
        <v>961500615</v>
      </c>
      <c r="J4385" s="131" t="s">
        <v>10041</v>
      </c>
      <c r="K4385" s="142">
        <v>109080</v>
      </c>
    </row>
    <row r="4386" spans="1:11">
      <c r="A4386" s="1" t="str">
        <f t="shared" si="87"/>
        <v>15100-51010196-961500685414000</v>
      </c>
      <c r="B4386" s="141" t="s">
        <v>10062</v>
      </c>
      <c r="C4386" s="141" t="s">
        <v>12090</v>
      </c>
      <c r="D4386" s="132" t="s">
        <v>4971</v>
      </c>
      <c r="E4386" s="141" t="s">
        <v>10024</v>
      </c>
      <c r="F4386" s="141" t="s">
        <v>10024</v>
      </c>
      <c r="G4386" s="141" t="s">
        <v>9770</v>
      </c>
      <c r="H4386" s="140" t="s">
        <v>6453</v>
      </c>
      <c r="I4386" s="141">
        <v>961500685</v>
      </c>
      <c r="J4386" s="131" t="s">
        <v>10065</v>
      </c>
      <c r="K4386" s="142">
        <v>414000</v>
      </c>
    </row>
    <row r="4387" spans="1:11">
      <c r="A4387" s="1" t="str">
        <f t="shared" si="87"/>
        <v>15100-51010196-961500505431840</v>
      </c>
      <c r="B4387" s="141" t="s">
        <v>10062</v>
      </c>
      <c r="C4387" s="141" t="s">
        <v>12090</v>
      </c>
      <c r="D4387" s="132" t="s">
        <v>4971</v>
      </c>
      <c r="E4387" s="141" t="s">
        <v>10024</v>
      </c>
      <c r="F4387" s="141" t="s">
        <v>10024</v>
      </c>
      <c r="G4387" s="141" t="s">
        <v>7114</v>
      </c>
      <c r="H4387" s="140" t="s">
        <v>6454</v>
      </c>
      <c r="I4387" s="141">
        <v>961500505</v>
      </c>
      <c r="J4387" s="131" t="s">
        <v>8877</v>
      </c>
      <c r="K4387" s="142">
        <v>431840</v>
      </c>
    </row>
    <row r="4388" spans="1:11">
      <c r="A4388" s="1" t="str">
        <f t="shared" si="87"/>
        <v>15100-51308696-961500700165350</v>
      </c>
      <c r="B4388" s="141" t="s">
        <v>10066</v>
      </c>
      <c r="C4388" s="141" t="s">
        <v>12093</v>
      </c>
      <c r="D4388" s="132" t="s">
        <v>4971</v>
      </c>
      <c r="E4388" s="141" t="s">
        <v>10001</v>
      </c>
      <c r="F4388" s="141" t="s">
        <v>10001</v>
      </c>
      <c r="G4388" s="141" t="s">
        <v>9768</v>
      </c>
      <c r="H4388" s="140" t="s">
        <v>6454</v>
      </c>
      <c r="I4388" s="141">
        <v>961500700</v>
      </c>
      <c r="J4388" s="131" t="s">
        <v>10002</v>
      </c>
      <c r="K4388" s="142">
        <v>165350</v>
      </c>
    </row>
    <row r="4389" spans="1:11">
      <c r="A4389" s="1" t="str">
        <f t="shared" si="87"/>
        <v>15100-50972396-961500559236120</v>
      </c>
      <c r="B4389" s="141" t="s">
        <v>10057</v>
      </c>
      <c r="C4389" s="141" t="s">
        <v>12085</v>
      </c>
      <c r="D4389" s="132" t="s">
        <v>4971</v>
      </c>
      <c r="E4389" s="141" t="s">
        <v>10044</v>
      </c>
      <c r="F4389" s="141" t="s">
        <v>10044</v>
      </c>
      <c r="G4389" s="141" t="s">
        <v>5854</v>
      </c>
      <c r="H4389" s="140" t="s">
        <v>8859</v>
      </c>
      <c r="I4389" s="141">
        <v>961500559</v>
      </c>
      <c r="J4389" s="131" t="s">
        <v>9986</v>
      </c>
      <c r="K4389" s="142">
        <v>236120</v>
      </c>
    </row>
    <row r="4390" spans="1:11">
      <c r="A4390" s="1" t="str">
        <f t="shared" si="87"/>
        <v>15100-51018296-96150058647390</v>
      </c>
      <c r="B4390" s="141" t="s">
        <v>10067</v>
      </c>
      <c r="C4390" s="141" t="s">
        <v>12094</v>
      </c>
      <c r="D4390" s="132" t="s">
        <v>4971</v>
      </c>
      <c r="E4390" s="141" t="s">
        <v>10024</v>
      </c>
      <c r="F4390" s="141" t="s">
        <v>10024</v>
      </c>
      <c r="G4390" s="141" t="s">
        <v>7118</v>
      </c>
      <c r="H4390" s="140" t="s">
        <v>6454</v>
      </c>
      <c r="I4390" s="141">
        <v>961500586</v>
      </c>
      <c r="J4390" s="131" t="s">
        <v>9877</v>
      </c>
      <c r="K4390" s="142">
        <v>47390</v>
      </c>
    </row>
    <row r="4391" spans="1:11">
      <c r="A4391" s="1" t="str">
        <f t="shared" si="87"/>
        <v>15100-50963096-961500581195840</v>
      </c>
      <c r="B4391" s="141" t="s">
        <v>10068</v>
      </c>
      <c r="C4391" s="141" t="s">
        <v>12095</v>
      </c>
      <c r="D4391" s="132" t="s">
        <v>4971</v>
      </c>
      <c r="E4391" s="141" t="s">
        <v>10044</v>
      </c>
      <c r="F4391" s="141" t="s">
        <v>10044</v>
      </c>
      <c r="G4391" s="141" t="s">
        <v>7118</v>
      </c>
      <c r="H4391" s="140" t="s">
        <v>6454</v>
      </c>
      <c r="I4391" s="141">
        <v>961500581</v>
      </c>
      <c r="J4391" s="131" t="s">
        <v>10069</v>
      </c>
      <c r="K4391" s="142">
        <v>195840</v>
      </c>
    </row>
    <row r="4392" spans="1:11">
      <c r="A4392" s="1" t="str">
        <f t="shared" si="87"/>
        <v>15100-50963096-96150053640220</v>
      </c>
      <c r="B4392" s="141" t="s">
        <v>10068</v>
      </c>
      <c r="C4392" s="141" t="s">
        <v>12095</v>
      </c>
      <c r="D4392" s="132" t="s">
        <v>4971</v>
      </c>
      <c r="E4392" s="141" t="s">
        <v>10044</v>
      </c>
      <c r="F4392" s="141" t="s">
        <v>10044</v>
      </c>
      <c r="G4392" s="141" t="s">
        <v>7273</v>
      </c>
      <c r="H4392" s="140" t="s">
        <v>6298</v>
      </c>
      <c r="I4392" s="141">
        <v>961500536</v>
      </c>
      <c r="J4392" s="131" t="s">
        <v>10045</v>
      </c>
      <c r="K4392" s="142">
        <v>40220</v>
      </c>
    </row>
    <row r="4393" spans="1:11">
      <c r="A4393" s="1" t="str">
        <f t="shared" si="87"/>
        <v>15100-51075196-9615005848280</v>
      </c>
      <c r="B4393" s="141" t="s">
        <v>10070</v>
      </c>
      <c r="C4393" s="141" t="s">
        <v>12096</v>
      </c>
      <c r="D4393" s="132" t="s">
        <v>4971</v>
      </c>
      <c r="E4393" s="141" t="s">
        <v>10052</v>
      </c>
      <c r="F4393" s="141" t="s">
        <v>10052</v>
      </c>
      <c r="G4393" s="141" t="s">
        <v>9771</v>
      </c>
      <c r="H4393" s="140" t="s">
        <v>6300</v>
      </c>
      <c r="I4393" s="141">
        <v>961500584</v>
      </c>
      <c r="J4393" s="131" t="s">
        <v>10050</v>
      </c>
      <c r="K4393" s="142">
        <v>8280</v>
      </c>
    </row>
    <row r="4394" spans="1:11">
      <c r="A4394" s="1" t="str">
        <f t="shared" si="87"/>
        <v>15100-51075196-96150068586000</v>
      </c>
      <c r="B4394" s="141" t="s">
        <v>10070</v>
      </c>
      <c r="C4394" s="141" t="s">
        <v>12096</v>
      </c>
      <c r="D4394" s="132" t="s">
        <v>4971</v>
      </c>
      <c r="E4394" s="141" t="s">
        <v>10052</v>
      </c>
      <c r="F4394" s="141" t="s">
        <v>10052</v>
      </c>
      <c r="G4394" s="141" t="s">
        <v>9770</v>
      </c>
      <c r="H4394" s="140" t="s">
        <v>6453</v>
      </c>
      <c r="I4394" s="141">
        <v>961500685</v>
      </c>
      <c r="J4394" s="131" t="s">
        <v>10065</v>
      </c>
      <c r="K4394" s="142">
        <v>86000</v>
      </c>
    </row>
    <row r="4395" spans="1:11">
      <c r="A4395" s="1" t="str">
        <f t="shared" si="87"/>
        <v>15100-51075196-96150056157781</v>
      </c>
      <c r="B4395" s="141" t="s">
        <v>10070</v>
      </c>
      <c r="C4395" s="141" t="s">
        <v>12096</v>
      </c>
      <c r="D4395" s="132" t="s">
        <v>4971</v>
      </c>
      <c r="E4395" s="141" t="s">
        <v>10052</v>
      </c>
      <c r="F4395" s="141" t="s">
        <v>10052</v>
      </c>
      <c r="G4395" s="141" t="s">
        <v>5854</v>
      </c>
      <c r="H4395" s="140" t="s">
        <v>8859</v>
      </c>
      <c r="I4395" s="141">
        <v>961500561</v>
      </c>
      <c r="J4395" s="131" t="s">
        <v>10053</v>
      </c>
      <c r="K4395" s="142">
        <v>57781</v>
      </c>
    </row>
    <row r="4396" spans="1:11">
      <c r="A4396" s="1" t="str">
        <f t="shared" si="87"/>
        <v>15100-51076696-961500561101780</v>
      </c>
      <c r="B4396" s="126" t="s">
        <v>10173</v>
      </c>
      <c r="C4396" s="126" t="s">
        <v>12097</v>
      </c>
      <c r="D4396" s="132" t="s">
        <v>4971</v>
      </c>
      <c r="E4396" s="126" t="s">
        <v>10052</v>
      </c>
      <c r="F4396" s="126" t="s">
        <v>10052</v>
      </c>
      <c r="G4396" s="126" t="s">
        <v>5854</v>
      </c>
      <c r="H4396" s="167" t="s">
        <v>8859</v>
      </c>
      <c r="I4396" s="126">
        <v>961500561</v>
      </c>
      <c r="J4396" s="131" t="s">
        <v>10053</v>
      </c>
      <c r="K4396" s="168">
        <v>101780</v>
      </c>
    </row>
    <row r="4397" spans="1:11">
      <c r="A4397" s="1" t="str">
        <f t="shared" si="87"/>
        <v>15100-51075196-961500567100000</v>
      </c>
      <c r="B4397" s="141" t="s">
        <v>10070</v>
      </c>
      <c r="C4397" s="141" t="s">
        <v>12096</v>
      </c>
      <c r="D4397" s="132" t="s">
        <v>4971</v>
      </c>
      <c r="E4397" s="141" t="s">
        <v>10052</v>
      </c>
      <c r="F4397" s="141" t="s">
        <v>10052</v>
      </c>
      <c r="G4397" s="141" t="s">
        <v>8698</v>
      </c>
      <c r="H4397" s="140" t="s">
        <v>6298</v>
      </c>
      <c r="I4397" s="141">
        <v>961500567</v>
      </c>
      <c r="J4397" s="131" t="s">
        <v>10071</v>
      </c>
      <c r="K4397" s="142">
        <v>100000</v>
      </c>
    </row>
    <row r="4398" spans="1:11">
      <c r="A4398" s="1" t="str">
        <f t="shared" si="87"/>
        <v>15100-50963096-961500539148120</v>
      </c>
      <c r="B4398" s="141" t="s">
        <v>10068</v>
      </c>
      <c r="C4398" s="141" t="s">
        <v>12095</v>
      </c>
      <c r="D4398" s="132" t="s">
        <v>4971</v>
      </c>
      <c r="E4398" s="141" t="s">
        <v>10044</v>
      </c>
      <c r="F4398" s="141" t="s">
        <v>10044</v>
      </c>
      <c r="G4398" s="141" t="s">
        <v>8497</v>
      </c>
      <c r="H4398" s="140" t="s">
        <v>6453</v>
      </c>
      <c r="I4398" s="141">
        <v>961500539</v>
      </c>
      <c r="J4398" s="131" t="s">
        <v>10029</v>
      </c>
      <c r="K4398" s="142">
        <v>148120</v>
      </c>
    </row>
    <row r="4399" spans="1:11">
      <c r="A4399" s="1" t="str">
        <f t="shared" si="87"/>
        <v>15100-51075196-961500576200000</v>
      </c>
      <c r="B4399" s="141" t="s">
        <v>10070</v>
      </c>
      <c r="C4399" s="141" t="s">
        <v>12096</v>
      </c>
      <c r="D4399" s="132" t="s">
        <v>4971</v>
      </c>
      <c r="E4399" s="141" t="s">
        <v>10052</v>
      </c>
      <c r="F4399" s="141" t="s">
        <v>10052</v>
      </c>
      <c r="G4399" s="141" t="s">
        <v>8698</v>
      </c>
      <c r="H4399" s="140" t="s">
        <v>6298</v>
      </c>
      <c r="I4399" s="141">
        <v>961500576</v>
      </c>
      <c r="J4399" s="131" t="s">
        <v>10072</v>
      </c>
      <c r="K4399" s="142">
        <v>200000</v>
      </c>
    </row>
    <row r="4400" spans="1:11">
      <c r="A4400" s="1" t="str">
        <f t="shared" si="87"/>
        <v>15100-51075196-96150055817799</v>
      </c>
      <c r="B4400" s="141" t="s">
        <v>10070</v>
      </c>
      <c r="C4400" s="141" t="s">
        <v>12096</v>
      </c>
      <c r="D4400" s="132" t="s">
        <v>4971</v>
      </c>
      <c r="E4400" s="141" t="s">
        <v>10052</v>
      </c>
      <c r="F4400" s="141" t="s">
        <v>10052</v>
      </c>
      <c r="G4400" s="141" t="s">
        <v>7273</v>
      </c>
      <c r="H4400" s="140" t="s">
        <v>6298</v>
      </c>
      <c r="I4400" s="141">
        <v>961500558</v>
      </c>
      <c r="J4400" s="131" t="s">
        <v>10060</v>
      </c>
      <c r="K4400" s="142">
        <v>17799</v>
      </c>
    </row>
    <row r="4401" spans="1:11">
      <c r="A4401" s="1" t="str">
        <f t="shared" si="87"/>
        <v>15100-51075196-961500546197750</v>
      </c>
      <c r="B4401" s="141" t="s">
        <v>10070</v>
      </c>
      <c r="C4401" s="141" t="s">
        <v>12096</v>
      </c>
      <c r="D4401" s="132" t="s">
        <v>4971</v>
      </c>
      <c r="E4401" s="141" t="s">
        <v>10052</v>
      </c>
      <c r="F4401" s="141" t="s">
        <v>10052</v>
      </c>
      <c r="G4401" s="141" t="s">
        <v>8497</v>
      </c>
      <c r="H4401" s="140" t="s">
        <v>6453</v>
      </c>
      <c r="I4401" s="141">
        <v>961500546</v>
      </c>
      <c r="J4401" s="131" t="s">
        <v>9988</v>
      </c>
      <c r="K4401" s="142">
        <v>197750</v>
      </c>
    </row>
    <row r="4402" spans="1:11">
      <c r="A4402" s="1" t="str">
        <f t="shared" si="87"/>
        <v>15100-51011996-96150057824900</v>
      </c>
      <c r="B4402" s="141" t="s">
        <v>10037</v>
      </c>
      <c r="C4402" s="141" t="s">
        <v>12078</v>
      </c>
      <c r="D4402" s="132" t="s">
        <v>4971</v>
      </c>
      <c r="E4402" s="141" t="s">
        <v>10024</v>
      </c>
      <c r="F4402" s="141" t="s">
        <v>10024</v>
      </c>
      <c r="G4402" s="141" t="s">
        <v>7118</v>
      </c>
      <c r="H4402" s="140" t="s">
        <v>6454</v>
      </c>
      <c r="I4402" s="141">
        <v>961500578</v>
      </c>
      <c r="J4402" s="131" t="s">
        <v>10073</v>
      </c>
      <c r="K4402" s="142">
        <v>24900</v>
      </c>
    </row>
    <row r="4403" spans="1:11">
      <c r="A4403" s="1" t="str">
        <f t="shared" si="87"/>
        <v>15100-51081196-96150056071940</v>
      </c>
      <c r="B4403" s="141" t="s">
        <v>10074</v>
      </c>
      <c r="C4403" s="141" t="s">
        <v>12098</v>
      </c>
      <c r="D4403" s="132" t="s">
        <v>4971</v>
      </c>
      <c r="E4403" s="141" t="s">
        <v>10052</v>
      </c>
      <c r="F4403" s="141" t="s">
        <v>10052</v>
      </c>
      <c r="G4403" s="141" t="s">
        <v>5854</v>
      </c>
      <c r="H4403" s="140" t="s">
        <v>8859</v>
      </c>
      <c r="I4403" s="141">
        <v>961500560</v>
      </c>
      <c r="J4403" s="131" t="s">
        <v>9982</v>
      </c>
      <c r="K4403" s="142">
        <v>71940</v>
      </c>
    </row>
    <row r="4404" spans="1:11">
      <c r="A4404" s="1" t="str">
        <f t="shared" si="87"/>
        <v>15100-50977796-96150062546220</v>
      </c>
      <c r="B4404" s="141" t="s">
        <v>10075</v>
      </c>
      <c r="C4404" s="141" t="s">
        <v>12099</v>
      </c>
      <c r="D4404" s="132" t="s">
        <v>4971</v>
      </c>
      <c r="E4404" s="141" t="s">
        <v>10044</v>
      </c>
      <c r="F4404" s="141" t="s">
        <v>10044</v>
      </c>
      <c r="G4404" s="141" t="s">
        <v>9771</v>
      </c>
      <c r="H4404" s="140" t="s">
        <v>6300</v>
      </c>
      <c r="I4404" s="141">
        <v>961500625</v>
      </c>
      <c r="J4404" s="131" t="s">
        <v>10076</v>
      </c>
      <c r="K4404" s="142">
        <v>46220</v>
      </c>
    </row>
    <row r="4405" spans="1:11">
      <c r="A4405" s="1" t="str">
        <f t="shared" si="87"/>
        <v>15100-51241796-961500590155840</v>
      </c>
      <c r="B4405" s="141" t="s">
        <v>10035</v>
      </c>
      <c r="C4405" s="141" t="s">
        <v>12077</v>
      </c>
      <c r="D4405" s="132" t="s">
        <v>4971</v>
      </c>
      <c r="E4405" s="141" t="s">
        <v>10036</v>
      </c>
      <c r="F4405" s="141" t="s">
        <v>10036</v>
      </c>
      <c r="G4405" s="141" t="s">
        <v>8698</v>
      </c>
      <c r="H4405" s="140" t="s">
        <v>6298</v>
      </c>
      <c r="I4405" s="141">
        <v>961500590</v>
      </c>
      <c r="J4405" s="131" t="s">
        <v>10003</v>
      </c>
      <c r="K4405" s="142">
        <v>155840</v>
      </c>
    </row>
    <row r="4406" spans="1:11">
      <c r="A4406" s="1" t="str">
        <f t="shared" si="87"/>
        <v>15100-50978096-96150062550450</v>
      </c>
      <c r="B4406" s="141" t="s">
        <v>10077</v>
      </c>
      <c r="C4406" s="141" t="s">
        <v>12100</v>
      </c>
      <c r="D4406" s="132" t="s">
        <v>4971</v>
      </c>
      <c r="E4406" s="141" t="s">
        <v>10044</v>
      </c>
      <c r="F4406" s="141" t="s">
        <v>10044</v>
      </c>
      <c r="G4406" s="141" t="s">
        <v>9771</v>
      </c>
      <c r="H4406" s="140" t="s">
        <v>6300</v>
      </c>
      <c r="I4406" s="141">
        <v>961500625</v>
      </c>
      <c r="J4406" s="131" t="s">
        <v>10076</v>
      </c>
      <c r="K4406" s="142">
        <v>50450</v>
      </c>
    </row>
    <row r="4407" spans="1:11">
      <c r="A4407" s="1" t="str">
        <f t="shared" si="87"/>
        <v>15100-51071496-961500499144340</v>
      </c>
      <c r="B4407" s="141" t="s">
        <v>10058</v>
      </c>
      <c r="C4407" s="141" t="s">
        <v>12086</v>
      </c>
      <c r="D4407" s="132" t="s">
        <v>4971</v>
      </c>
      <c r="E4407" s="141" t="s">
        <v>10024</v>
      </c>
      <c r="F4407" s="141" t="s">
        <v>10024</v>
      </c>
      <c r="G4407" s="141" t="s">
        <v>7121</v>
      </c>
      <c r="H4407" s="140" t="s">
        <v>6454</v>
      </c>
      <c r="I4407" s="141">
        <v>961500499</v>
      </c>
      <c r="J4407" s="131" t="s">
        <v>10078</v>
      </c>
      <c r="K4407" s="142">
        <v>144340</v>
      </c>
    </row>
    <row r="4408" spans="1:11">
      <c r="A4408" s="1" t="str">
        <f t="shared" si="87"/>
        <v>15100-51123096-96150056046960</v>
      </c>
      <c r="B4408" s="141" t="s">
        <v>10079</v>
      </c>
      <c r="C4408" s="141" t="s">
        <v>12101</v>
      </c>
      <c r="D4408" s="132" t="s">
        <v>4971</v>
      </c>
      <c r="E4408" s="141" t="s">
        <v>10028</v>
      </c>
      <c r="F4408" s="141" t="s">
        <v>10028</v>
      </c>
      <c r="G4408" s="141" t="s">
        <v>5854</v>
      </c>
      <c r="H4408" s="140" t="s">
        <v>8859</v>
      </c>
      <c r="I4408" s="141">
        <v>961500560</v>
      </c>
      <c r="J4408" s="131" t="s">
        <v>9982</v>
      </c>
      <c r="K4408" s="142">
        <v>46960</v>
      </c>
    </row>
    <row r="4409" spans="1:11">
      <c r="A4409" s="1" t="str">
        <f t="shared" si="87"/>
        <v>15100-51180096-96150059044160</v>
      </c>
      <c r="B4409" s="141" t="s">
        <v>10061</v>
      </c>
      <c r="C4409" s="141" t="s">
        <v>12089</v>
      </c>
      <c r="D4409" s="132" t="s">
        <v>4971</v>
      </c>
      <c r="E4409" s="141" t="s">
        <v>10033</v>
      </c>
      <c r="F4409" s="141" t="s">
        <v>10033</v>
      </c>
      <c r="G4409" s="141" t="s">
        <v>8698</v>
      </c>
      <c r="H4409" s="140" t="s">
        <v>6298</v>
      </c>
      <c r="I4409" s="141">
        <v>961500590</v>
      </c>
      <c r="J4409" s="131" t="s">
        <v>10003</v>
      </c>
      <c r="K4409" s="142">
        <v>44160</v>
      </c>
    </row>
    <row r="4410" spans="1:11">
      <c r="A4410" s="1" t="str">
        <f t="shared" si="87"/>
        <v>15100-51365596-961500560249575</v>
      </c>
      <c r="B4410" s="141" t="s">
        <v>10080</v>
      </c>
      <c r="C4410" s="141" t="s">
        <v>12102</v>
      </c>
      <c r="D4410" s="132" t="s">
        <v>4971</v>
      </c>
      <c r="E4410" s="141" t="s">
        <v>10008</v>
      </c>
      <c r="F4410" s="141" t="s">
        <v>10008</v>
      </c>
      <c r="G4410" s="141" t="s">
        <v>5854</v>
      </c>
      <c r="H4410" s="140" t="s">
        <v>8859</v>
      </c>
      <c r="I4410" s="141">
        <v>961500560</v>
      </c>
      <c r="J4410" s="131" t="s">
        <v>9982</v>
      </c>
      <c r="K4410" s="142">
        <v>249575</v>
      </c>
    </row>
    <row r="4411" spans="1:11">
      <c r="A4411" s="1" t="str">
        <f t="shared" si="87"/>
        <v>15100-51365596-96150059024200</v>
      </c>
      <c r="B4411" s="141" t="s">
        <v>10080</v>
      </c>
      <c r="C4411" s="141" t="s">
        <v>12102</v>
      </c>
      <c r="D4411" s="132" t="s">
        <v>4971</v>
      </c>
      <c r="E4411" s="141" t="s">
        <v>10008</v>
      </c>
      <c r="F4411" s="141" t="s">
        <v>10008</v>
      </c>
      <c r="G4411" s="141" t="s">
        <v>8698</v>
      </c>
      <c r="H4411" s="140" t="s">
        <v>6298</v>
      </c>
      <c r="I4411" s="141">
        <v>961500590</v>
      </c>
      <c r="J4411" s="131" t="s">
        <v>10003</v>
      </c>
      <c r="K4411" s="142">
        <v>24200</v>
      </c>
    </row>
    <row r="4412" spans="1:11">
      <c r="A4412" s="1" t="str">
        <f t="shared" si="87"/>
        <v>15100-51365596-96150069898860</v>
      </c>
      <c r="B4412" s="141" t="s">
        <v>10080</v>
      </c>
      <c r="C4412" s="141" t="s">
        <v>12102</v>
      </c>
      <c r="D4412" s="132" t="s">
        <v>4971</v>
      </c>
      <c r="E4412" s="141" t="s">
        <v>10008</v>
      </c>
      <c r="F4412" s="141" t="s">
        <v>10008</v>
      </c>
      <c r="G4412" s="141" t="s">
        <v>9770</v>
      </c>
      <c r="H4412" s="140" t="s">
        <v>6453</v>
      </c>
      <c r="I4412" s="141">
        <v>961500698</v>
      </c>
      <c r="J4412" s="131" t="s">
        <v>10013</v>
      </c>
      <c r="K4412" s="142">
        <v>98860</v>
      </c>
    </row>
    <row r="4413" spans="1:11">
      <c r="A4413" s="1" t="str">
        <f t="shared" si="87"/>
        <v>15100-51365596-96150056351735</v>
      </c>
      <c r="B4413" s="141" t="s">
        <v>10080</v>
      </c>
      <c r="C4413" s="141" t="s">
        <v>12102</v>
      </c>
      <c r="D4413" s="132" t="s">
        <v>4971</v>
      </c>
      <c r="E4413" s="141" t="s">
        <v>10008</v>
      </c>
      <c r="F4413" s="141" t="s">
        <v>10008</v>
      </c>
      <c r="G4413" s="141" t="s">
        <v>5854</v>
      </c>
      <c r="H4413" s="140" t="s">
        <v>8859</v>
      </c>
      <c r="I4413" s="141">
        <v>961500563</v>
      </c>
      <c r="J4413" s="131" t="s">
        <v>10017</v>
      </c>
      <c r="K4413" s="142">
        <v>51735</v>
      </c>
    </row>
    <row r="4414" spans="1:11">
      <c r="A4414" s="1" t="str">
        <f t="shared" si="87"/>
        <v>50100-960822996-961500618196650</v>
      </c>
      <c r="B4414" s="141" t="s">
        <v>12103</v>
      </c>
      <c r="C4414" s="141" t="s">
        <v>12104</v>
      </c>
      <c r="D4414" s="132" t="s">
        <v>4971</v>
      </c>
      <c r="E4414" s="141" t="s">
        <v>10008</v>
      </c>
      <c r="F4414" s="141" t="s">
        <v>10008</v>
      </c>
      <c r="G4414" s="141" t="s">
        <v>9771</v>
      </c>
      <c r="H4414" s="140" t="s">
        <v>6300</v>
      </c>
      <c r="I4414" s="141">
        <v>961500618</v>
      </c>
      <c r="J4414" s="131" t="s">
        <v>10095</v>
      </c>
      <c r="K4414" s="142">
        <v>196650</v>
      </c>
    </row>
    <row r="4415" spans="1:11">
      <c r="A4415" s="1" t="str">
        <f t="shared" si="87"/>
        <v>50100-963260496-961500467232756</v>
      </c>
      <c r="B4415" s="141" t="s">
        <v>12105</v>
      </c>
      <c r="C4415" s="141" t="s">
        <v>12106</v>
      </c>
      <c r="D4415" s="132" t="s">
        <v>4971</v>
      </c>
      <c r="E4415" s="141" t="s">
        <v>10012</v>
      </c>
      <c r="F4415" s="141" t="s">
        <v>10012</v>
      </c>
      <c r="G4415" s="141" t="s">
        <v>7175</v>
      </c>
      <c r="H4415" s="140" t="s">
        <v>6298</v>
      </c>
      <c r="I4415" s="141">
        <v>961500467</v>
      </c>
      <c r="J4415" s="131" t="s">
        <v>10097</v>
      </c>
      <c r="K4415" s="142">
        <v>232756</v>
      </c>
    </row>
    <row r="4416" spans="1:11">
      <c r="A4416" s="1" t="str">
        <f t="shared" si="87"/>
        <v>50100-963260496-96150044711200</v>
      </c>
      <c r="B4416" s="141" t="s">
        <v>12105</v>
      </c>
      <c r="C4416" s="141" t="s">
        <v>12106</v>
      </c>
      <c r="D4416" s="132" t="s">
        <v>4971</v>
      </c>
      <c r="E4416" s="141" t="s">
        <v>10012</v>
      </c>
      <c r="F4416" s="141" t="s">
        <v>10012</v>
      </c>
      <c r="G4416" s="141" t="s">
        <v>7271</v>
      </c>
      <c r="H4416" s="140" t="s">
        <v>10206</v>
      </c>
      <c r="I4416" s="141">
        <v>961500447</v>
      </c>
      <c r="J4416" s="131" t="s">
        <v>9857</v>
      </c>
      <c r="K4416" s="142">
        <v>11200</v>
      </c>
    </row>
    <row r="4417" spans="1:11">
      <c r="A4417" s="1" t="str">
        <f t="shared" si="87"/>
        <v>50100-963260496-961500443151976</v>
      </c>
      <c r="B4417" s="141" t="s">
        <v>12105</v>
      </c>
      <c r="C4417" s="141" t="s">
        <v>12106</v>
      </c>
      <c r="D4417" s="132" t="s">
        <v>4971</v>
      </c>
      <c r="E4417" s="141" t="s">
        <v>10012</v>
      </c>
      <c r="F4417" s="141" t="s">
        <v>10012</v>
      </c>
      <c r="G4417" s="141" t="s">
        <v>7175</v>
      </c>
      <c r="H4417" s="140" t="s">
        <v>6298</v>
      </c>
      <c r="I4417" s="141">
        <v>961500443</v>
      </c>
      <c r="J4417" s="131" t="s">
        <v>9958</v>
      </c>
      <c r="K4417" s="142">
        <v>151976</v>
      </c>
    </row>
    <row r="4418" spans="1:11">
      <c r="A4418" s="1" t="str">
        <f t="shared" si="87"/>
        <v>50100-963260496-961500602107068</v>
      </c>
      <c r="B4418" s="141" t="s">
        <v>12105</v>
      </c>
      <c r="C4418" s="141" t="s">
        <v>12106</v>
      </c>
      <c r="D4418" s="132" t="s">
        <v>4971</v>
      </c>
      <c r="E4418" s="141" t="s">
        <v>10012</v>
      </c>
      <c r="F4418" s="141" t="s">
        <v>10012</v>
      </c>
      <c r="G4418" s="141" t="s">
        <v>8725</v>
      </c>
      <c r="H4418" s="140" t="s">
        <v>6454</v>
      </c>
      <c r="I4418" s="141">
        <v>961500602</v>
      </c>
      <c r="J4418" s="131" t="s">
        <v>9849</v>
      </c>
      <c r="K4418" s="142">
        <v>107068</v>
      </c>
    </row>
    <row r="4419" spans="1:11">
      <c r="A4419" s="1" t="str">
        <f t="shared" ref="A4419:A4482" si="88">B4419&amp;J4419&amp;K4419</f>
        <v>50100-958399996-9641000851742233</v>
      </c>
      <c r="B4419" s="141" t="s">
        <v>12107</v>
      </c>
      <c r="C4419" s="141" t="s">
        <v>12108</v>
      </c>
      <c r="D4419" s="132" t="s">
        <v>4971</v>
      </c>
      <c r="E4419" s="141" t="s">
        <v>10052</v>
      </c>
      <c r="F4419" s="141" t="s">
        <v>10052</v>
      </c>
      <c r="G4419" s="141" t="s">
        <v>9911</v>
      </c>
      <c r="H4419" s="140" t="s">
        <v>6452</v>
      </c>
      <c r="I4419" s="141">
        <v>964100085</v>
      </c>
      <c r="J4419" s="131" t="s">
        <v>10098</v>
      </c>
      <c r="K4419" s="142">
        <v>1742233</v>
      </c>
    </row>
    <row r="4420" spans="1:11">
      <c r="A4420" s="1" t="str">
        <f t="shared" si="88"/>
        <v>50100-958386696-9641000822999740</v>
      </c>
      <c r="B4420" s="141" t="s">
        <v>12109</v>
      </c>
      <c r="C4420" s="141" t="s">
        <v>12110</v>
      </c>
      <c r="D4420" s="132" t="s">
        <v>4971</v>
      </c>
      <c r="E4420" s="141" t="s">
        <v>10052</v>
      </c>
      <c r="F4420" s="141" t="s">
        <v>10052</v>
      </c>
      <c r="G4420" s="141" t="s">
        <v>9911</v>
      </c>
      <c r="H4420" s="140" t="s">
        <v>6452</v>
      </c>
      <c r="I4420" s="141">
        <v>964100082</v>
      </c>
      <c r="J4420" s="131" t="s">
        <v>10099</v>
      </c>
      <c r="K4420" s="142">
        <v>2999740</v>
      </c>
    </row>
    <row r="4421" spans="1:11">
      <c r="A4421" s="1" t="str">
        <f t="shared" si="88"/>
        <v>50100-957050096-964100080994068</v>
      </c>
      <c r="B4421" s="141" t="s">
        <v>12111</v>
      </c>
      <c r="C4421" s="141" t="s">
        <v>12112</v>
      </c>
      <c r="D4421" s="132" t="s">
        <v>4971</v>
      </c>
      <c r="E4421" s="141" t="s">
        <v>10044</v>
      </c>
      <c r="F4421" s="141" t="s">
        <v>10044</v>
      </c>
      <c r="G4421" s="141" t="s">
        <v>9911</v>
      </c>
      <c r="H4421" s="140" t="s">
        <v>6452</v>
      </c>
      <c r="I4421" s="141">
        <v>964100080</v>
      </c>
      <c r="J4421" s="131" t="s">
        <v>10100</v>
      </c>
      <c r="K4421" s="142">
        <v>994068</v>
      </c>
    </row>
    <row r="4422" spans="1:11">
      <c r="A4422" s="1" t="str">
        <f t="shared" si="88"/>
        <v>50100-962487096-961500689999850</v>
      </c>
      <c r="B4422" s="141" t="s">
        <v>12113</v>
      </c>
      <c r="C4422" s="141" t="s">
        <v>12114</v>
      </c>
      <c r="D4422" s="132" t="s">
        <v>4971</v>
      </c>
      <c r="E4422" s="141" t="s">
        <v>9935</v>
      </c>
      <c r="F4422" s="141" t="s">
        <v>9935</v>
      </c>
      <c r="G4422" s="141" t="s">
        <v>9770</v>
      </c>
      <c r="H4422" s="140" t="s">
        <v>6453</v>
      </c>
      <c r="I4422" s="141">
        <v>961500689</v>
      </c>
      <c r="J4422" s="131" t="s">
        <v>10101</v>
      </c>
      <c r="K4422" s="142">
        <v>999850</v>
      </c>
    </row>
    <row r="4423" spans="1:11">
      <c r="A4423" s="1" t="str">
        <f t="shared" si="88"/>
        <v>50100-958408096-964100081949937</v>
      </c>
      <c r="B4423" s="141" t="s">
        <v>12115</v>
      </c>
      <c r="C4423" s="141" t="s">
        <v>12116</v>
      </c>
      <c r="D4423" s="132" t="s">
        <v>4971</v>
      </c>
      <c r="E4423" s="141" t="s">
        <v>10052</v>
      </c>
      <c r="F4423" s="141" t="s">
        <v>10052</v>
      </c>
      <c r="G4423" s="141" t="s">
        <v>9911</v>
      </c>
      <c r="H4423" s="140" t="s">
        <v>6452</v>
      </c>
      <c r="I4423" s="141">
        <v>964100081</v>
      </c>
      <c r="J4423" s="131" t="s">
        <v>10102</v>
      </c>
      <c r="K4423" s="142">
        <v>949937</v>
      </c>
    </row>
    <row r="4424" spans="1:11">
      <c r="A4424" s="1" t="str">
        <f t="shared" si="88"/>
        <v>50100-961213396-962500172497435</v>
      </c>
      <c r="B4424" s="141" t="s">
        <v>12117</v>
      </c>
      <c r="C4424" s="141" t="s">
        <v>12118</v>
      </c>
      <c r="D4424" s="132" t="s">
        <v>4971</v>
      </c>
      <c r="E4424" s="141" t="s">
        <v>10015</v>
      </c>
      <c r="F4424" s="141" t="s">
        <v>10015</v>
      </c>
      <c r="G4424" s="141" t="s">
        <v>12119</v>
      </c>
      <c r="H4424" s="140" t="s">
        <v>12120</v>
      </c>
      <c r="I4424" s="141">
        <v>962500172</v>
      </c>
      <c r="J4424" s="131" t="s">
        <v>10103</v>
      </c>
      <c r="K4424" s="142">
        <v>497435</v>
      </c>
    </row>
    <row r="4425" spans="1:11">
      <c r="A4425" s="1" t="str">
        <f t="shared" si="88"/>
        <v>50100-961512396-964100084968348</v>
      </c>
      <c r="B4425" s="141" t="s">
        <v>12121</v>
      </c>
      <c r="C4425" s="141" t="s">
        <v>12122</v>
      </c>
      <c r="D4425" s="132" t="s">
        <v>4971</v>
      </c>
      <c r="E4425" s="141" t="s">
        <v>10015</v>
      </c>
      <c r="F4425" s="141" t="s">
        <v>10015</v>
      </c>
      <c r="G4425" s="141" t="s">
        <v>9911</v>
      </c>
      <c r="H4425" s="140" t="s">
        <v>6452</v>
      </c>
      <c r="I4425" s="141">
        <v>964100084</v>
      </c>
      <c r="J4425" s="131" t="s">
        <v>10104</v>
      </c>
      <c r="K4425" s="142">
        <v>968348</v>
      </c>
    </row>
    <row r="4426" spans="1:11">
      <c r="A4426" s="1" t="str">
        <f t="shared" si="88"/>
        <v>50100-961207296-962500172498575</v>
      </c>
      <c r="B4426" s="141" t="s">
        <v>12123</v>
      </c>
      <c r="C4426" s="141" t="s">
        <v>12124</v>
      </c>
      <c r="D4426" s="132" t="s">
        <v>4971</v>
      </c>
      <c r="E4426" s="141" t="s">
        <v>10015</v>
      </c>
      <c r="F4426" s="141" t="s">
        <v>10015</v>
      </c>
      <c r="G4426" s="141" t="s">
        <v>12119</v>
      </c>
      <c r="H4426" s="140" t="s">
        <v>12120</v>
      </c>
      <c r="I4426" s="141">
        <v>962500172</v>
      </c>
      <c r="J4426" s="131" t="s">
        <v>10103</v>
      </c>
      <c r="K4426" s="142">
        <v>498575</v>
      </c>
    </row>
    <row r="4427" spans="1:11">
      <c r="A4427" s="1" t="str">
        <f t="shared" si="88"/>
        <v>50100-962968396-9625001723990</v>
      </c>
      <c r="B4427" s="141" t="s">
        <v>12125</v>
      </c>
      <c r="C4427" s="141" t="s">
        <v>12126</v>
      </c>
      <c r="D4427" s="132" t="s">
        <v>4971</v>
      </c>
      <c r="E4427" s="141" t="s">
        <v>10012</v>
      </c>
      <c r="F4427" s="141" t="s">
        <v>10012</v>
      </c>
      <c r="G4427" s="141" t="s">
        <v>12119</v>
      </c>
      <c r="H4427" s="140" t="s">
        <v>12120</v>
      </c>
      <c r="I4427" s="141">
        <v>962500172</v>
      </c>
      <c r="J4427" s="131" t="s">
        <v>10103</v>
      </c>
      <c r="K4427" s="142">
        <v>3990</v>
      </c>
    </row>
    <row r="4428" spans="1:11">
      <c r="A4428" s="1" t="str">
        <f t="shared" si="88"/>
        <v>50100-962130196-961500644145000</v>
      </c>
      <c r="B4428" s="141" t="s">
        <v>12127</v>
      </c>
      <c r="C4428" s="141" t="s">
        <v>12128</v>
      </c>
      <c r="D4428" s="132" t="s">
        <v>4971</v>
      </c>
      <c r="E4428" s="141" t="s">
        <v>9995</v>
      </c>
      <c r="F4428" s="141" t="s">
        <v>9995</v>
      </c>
      <c r="G4428" s="141" t="s">
        <v>9771</v>
      </c>
      <c r="H4428" s="140" t="s">
        <v>6300</v>
      </c>
      <c r="I4428" s="141">
        <v>961500644</v>
      </c>
      <c r="J4428" s="131" t="s">
        <v>10105</v>
      </c>
      <c r="K4428" s="142">
        <v>145000</v>
      </c>
    </row>
    <row r="4429" spans="1:11">
      <c r="A4429" s="1" t="str">
        <f t="shared" si="88"/>
        <v>50100-963502896-961500669496480</v>
      </c>
      <c r="B4429" s="141" t="s">
        <v>12129</v>
      </c>
      <c r="C4429" s="141" t="s">
        <v>12130</v>
      </c>
      <c r="D4429" s="132" t="s">
        <v>4971</v>
      </c>
      <c r="E4429" s="141" t="s">
        <v>12043</v>
      </c>
      <c r="F4429" s="141" t="s">
        <v>12043</v>
      </c>
      <c r="G4429" s="141" t="s">
        <v>9771</v>
      </c>
      <c r="H4429" s="140" t="s">
        <v>6300</v>
      </c>
      <c r="I4429" s="141">
        <v>961500669</v>
      </c>
      <c r="J4429" s="131" t="s">
        <v>10106</v>
      </c>
      <c r="K4429" s="142">
        <v>496480</v>
      </c>
    </row>
    <row r="4430" spans="1:11">
      <c r="A4430" s="1" t="str">
        <f t="shared" si="88"/>
        <v>50100-962130196-961500617228000</v>
      </c>
      <c r="B4430" s="141" t="s">
        <v>12127</v>
      </c>
      <c r="C4430" s="141" t="s">
        <v>12128</v>
      </c>
      <c r="D4430" s="132" t="s">
        <v>4971</v>
      </c>
      <c r="E4430" s="141" t="s">
        <v>9995</v>
      </c>
      <c r="F4430" s="141" t="s">
        <v>9995</v>
      </c>
      <c r="G4430" s="141" t="s">
        <v>9771</v>
      </c>
      <c r="H4430" s="140" t="s">
        <v>6300</v>
      </c>
      <c r="I4430" s="141">
        <v>961500617</v>
      </c>
      <c r="J4430" s="131" t="s">
        <v>10107</v>
      </c>
      <c r="K4430" s="142">
        <v>228000</v>
      </c>
    </row>
    <row r="4431" spans="1:11">
      <c r="A4431" s="1" t="str">
        <f t="shared" si="88"/>
        <v>50100-962130196-9615006182350</v>
      </c>
      <c r="B4431" s="141" t="s">
        <v>12127</v>
      </c>
      <c r="C4431" s="141" t="s">
        <v>12128</v>
      </c>
      <c r="D4431" s="132" t="s">
        <v>4971</v>
      </c>
      <c r="E4431" s="141" t="s">
        <v>9995</v>
      </c>
      <c r="F4431" s="141" t="s">
        <v>9995</v>
      </c>
      <c r="G4431" s="141" t="s">
        <v>9771</v>
      </c>
      <c r="H4431" s="140" t="s">
        <v>6300</v>
      </c>
      <c r="I4431" s="141">
        <v>961500618</v>
      </c>
      <c r="J4431" s="131" t="s">
        <v>10095</v>
      </c>
      <c r="K4431" s="142">
        <v>2350</v>
      </c>
    </row>
    <row r="4432" spans="1:11">
      <c r="A4432" s="1" t="str">
        <f t="shared" si="88"/>
        <v>50100-962130196-96150064161374</v>
      </c>
      <c r="B4432" s="141" t="s">
        <v>12127</v>
      </c>
      <c r="C4432" s="141" t="s">
        <v>12128</v>
      </c>
      <c r="D4432" s="132" t="s">
        <v>4971</v>
      </c>
      <c r="E4432" s="141" t="s">
        <v>9995</v>
      </c>
      <c r="F4432" s="141" t="s">
        <v>9995</v>
      </c>
      <c r="G4432" s="141" t="s">
        <v>9771</v>
      </c>
      <c r="H4432" s="140" t="s">
        <v>6300</v>
      </c>
      <c r="I4432" s="141">
        <v>961500641</v>
      </c>
      <c r="J4432" s="131" t="s">
        <v>10108</v>
      </c>
      <c r="K4432" s="142">
        <v>61374</v>
      </c>
    </row>
    <row r="4433" spans="1:11">
      <c r="A4433" s="1" t="str">
        <f t="shared" si="88"/>
        <v>50100-957864896-96150053212799</v>
      </c>
      <c r="B4433" s="141" t="s">
        <v>12131</v>
      </c>
      <c r="C4433" s="141" t="s">
        <v>12132</v>
      </c>
      <c r="D4433" s="132" t="s">
        <v>4971</v>
      </c>
      <c r="E4433" s="141" t="s">
        <v>10024</v>
      </c>
      <c r="F4433" s="141" t="s">
        <v>10024</v>
      </c>
      <c r="G4433" s="141" t="s">
        <v>8722</v>
      </c>
      <c r="H4433" s="140" t="s">
        <v>6300</v>
      </c>
      <c r="I4433" s="141">
        <v>961500532</v>
      </c>
      <c r="J4433" s="131" t="s">
        <v>9937</v>
      </c>
      <c r="K4433" s="142">
        <v>12799</v>
      </c>
    </row>
    <row r="4434" spans="1:11">
      <c r="A4434" s="1" t="str">
        <f t="shared" si="88"/>
        <v>50100-960692196-961500649500965</v>
      </c>
      <c r="B4434" s="141" t="s">
        <v>12133</v>
      </c>
      <c r="C4434" s="141" t="s">
        <v>12134</v>
      </c>
      <c r="D4434" s="132" t="s">
        <v>4971</v>
      </c>
      <c r="E4434" s="141" t="s">
        <v>10008</v>
      </c>
      <c r="F4434" s="141" t="s">
        <v>10008</v>
      </c>
      <c r="G4434" s="141" t="s">
        <v>9768</v>
      </c>
      <c r="H4434" s="140" t="s">
        <v>6454</v>
      </c>
      <c r="I4434" s="141">
        <v>961500649</v>
      </c>
      <c r="J4434" s="131" t="s">
        <v>10109</v>
      </c>
      <c r="K4434" s="142">
        <v>500965</v>
      </c>
    </row>
    <row r="4435" spans="1:11">
      <c r="A4435" s="1" t="str">
        <f t="shared" si="88"/>
        <v>50100-963378196-961500669809600</v>
      </c>
      <c r="B4435" s="141" t="s">
        <v>12135</v>
      </c>
      <c r="C4435" s="141" t="s">
        <v>12136</v>
      </c>
      <c r="D4435" s="132" t="s">
        <v>4971</v>
      </c>
      <c r="E4435" s="141" t="s">
        <v>10012</v>
      </c>
      <c r="F4435" s="141" t="s">
        <v>10012</v>
      </c>
      <c r="G4435" s="141" t="s">
        <v>9771</v>
      </c>
      <c r="H4435" s="140" t="s">
        <v>6300</v>
      </c>
      <c r="I4435" s="141">
        <v>961500669</v>
      </c>
      <c r="J4435" s="131" t="s">
        <v>10106</v>
      </c>
      <c r="K4435" s="142">
        <v>809600</v>
      </c>
    </row>
    <row r="4436" spans="1:11">
      <c r="A4436" s="1" t="str">
        <f t="shared" si="88"/>
        <v>50100-957864896-96150056446530</v>
      </c>
      <c r="B4436" s="141" t="s">
        <v>12131</v>
      </c>
      <c r="C4436" s="141" t="s">
        <v>12132</v>
      </c>
      <c r="D4436" s="132" t="s">
        <v>4971</v>
      </c>
      <c r="E4436" s="141" t="s">
        <v>10024</v>
      </c>
      <c r="F4436" s="141" t="s">
        <v>10024</v>
      </c>
      <c r="G4436" s="141" t="s">
        <v>8722</v>
      </c>
      <c r="H4436" s="140" t="s">
        <v>6300</v>
      </c>
      <c r="I4436" s="141">
        <v>961500564</v>
      </c>
      <c r="J4436" s="131" t="s">
        <v>9906</v>
      </c>
      <c r="K4436" s="142">
        <v>46530</v>
      </c>
    </row>
    <row r="4437" spans="1:11">
      <c r="A4437" s="1" t="str">
        <f t="shared" si="88"/>
        <v>50100-959722396-9641000832699950</v>
      </c>
      <c r="B4437" s="141" t="s">
        <v>12137</v>
      </c>
      <c r="C4437" s="141" t="s">
        <v>12138</v>
      </c>
      <c r="D4437" s="132" t="s">
        <v>4971</v>
      </c>
      <c r="E4437" s="141" t="s">
        <v>10036</v>
      </c>
      <c r="F4437" s="141" t="s">
        <v>10036</v>
      </c>
      <c r="G4437" s="141" t="s">
        <v>9779</v>
      </c>
      <c r="H4437" s="140" t="s">
        <v>12120</v>
      </c>
      <c r="I4437" s="141">
        <v>964100083</v>
      </c>
      <c r="J4437" s="131" t="s">
        <v>10110</v>
      </c>
      <c r="K4437" s="142">
        <v>2699950</v>
      </c>
    </row>
    <row r="4438" spans="1:11">
      <c r="A4438" s="1" t="str">
        <f t="shared" si="88"/>
        <v>50100-963599796-9625001739490</v>
      </c>
      <c r="B4438" s="141" t="s">
        <v>12139</v>
      </c>
      <c r="C4438" s="141" t="s">
        <v>12140</v>
      </c>
      <c r="D4438" s="132" t="s">
        <v>4971</v>
      </c>
      <c r="E4438" s="141" t="s">
        <v>12043</v>
      </c>
      <c r="F4438" s="141" t="s">
        <v>12043</v>
      </c>
      <c r="G4438" s="141" t="s">
        <v>12119</v>
      </c>
      <c r="H4438" s="140" t="s">
        <v>12120</v>
      </c>
      <c r="I4438" s="141">
        <v>962500173</v>
      </c>
      <c r="J4438" s="131" t="s">
        <v>10111</v>
      </c>
      <c r="K4438" s="142">
        <v>9490</v>
      </c>
    </row>
    <row r="4439" spans="1:11">
      <c r="A4439" s="1" t="str">
        <f t="shared" si="88"/>
        <v>50100-963599796-962500175984910</v>
      </c>
      <c r="B4439" s="141" t="s">
        <v>12139</v>
      </c>
      <c r="C4439" s="141" t="s">
        <v>12140</v>
      </c>
      <c r="D4439" s="132" t="s">
        <v>4971</v>
      </c>
      <c r="E4439" s="141" t="s">
        <v>12043</v>
      </c>
      <c r="F4439" s="141" t="s">
        <v>12043</v>
      </c>
      <c r="G4439" s="141" t="s">
        <v>12119</v>
      </c>
      <c r="H4439" s="140" t="s">
        <v>12120</v>
      </c>
      <c r="I4439" s="141">
        <v>962500175</v>
      </c>
      <c r="J4439" s="131" t="s">
        <v>10112</v>
      </c>
      <c r="K4439" s="142">
        <v>984910</v>
      </c>
    </row>
    <row r="4440" spans="1:11">
      <c r="A4440" s="1" t="str">
        <f t="shared" si="88"/>
        <v>50100-963327596-962500161281990</v>
      </c>
      <c r="B4440" s="141" t="s">
        <v>12141</v>
      </c>
      <c r="C4440" s="141" t="s">
        <v>12142</v>
      </c>
      <c r="D4440" s="132" t="s">
        <v>4971</v>
      </c>
      <c r="E4440" s="141" t="s">
        <v>10012</v>
      </c>
      <c r="F4440" s="141" t="s">
        <v>10012</v>
      </c>
      <c r="G4440" s="141" t="s">
        <v>9784</v>
      </c>
      <c r="H4440" s="140" t="s">
        <v>6454</v>
      </c>
      <c r="I4440" s="141">
        <v>962500161</v>
      </c>
      <c r="J4440" s="131" t="s">
        <v>10113</v>
      </c>
      <c r="K4440" s="142">
        <v>281990</v>
      </c>
    </row>
    <row r="4441" spans="1:11">
      <c r="A4441" s="1" t="str">
        <f t="shared" si="88"/>
        <v>50100-957864896-961500608232694</v>
      </c>
      <c r="B4441" s="141" t="s">
        <v>12131</v>
      </c>
      <c r="C4441" s="141" t="s">
        <v>12132</v>
      </c>
      <c r="D4441" s="132" t="s">
        <v>4971</v>
      </c>
      <c r="E4441" s="141" t="s">
        <v>10024</v>
      </c>
      <c r="F4441" s="141" t="s">
        <v>10024</v>
      </c>
      <c r="G4441" s="141" t="s">
        <v>8722</v>
      </c>
      <c r="H4441" s="140" t="s">
        <v>6300</v>
      </c>
      <c r="I4441" s="141">
        <v>961500608</v>
      </c>
      <c r="J4441" s="131" t="s">
        <v>9970</v>
      </c>
      <c r="K4441" s="142">
        <v>232694</v>
      </c>
    </row>
    <row r="4442" spans="1:11">
      <c r="A4442" s="1" t="str">
        <f t="shared" si="88"/>
        <v>50100-957864896-961500597100000</v>
      </c>
      <c r="B4442" s="141" t="s">
        <v>12131</v>
      </c>
      <c r="C4442" s="141" t="s">
        <v>12132</v>
      </c>
      <c r="D4442" s="132" t="s">
        <v>4971</v>
      </c>
      <c r="E4442" s="141" t="s">
        <v>10024</v>
      </c>
      <c r="F4442" s="141" t="s">
        <v>10024</v>
      </c>
      <c r="G4442" s="141" t="s">
        <v>8722</v>
      </c>
      <c r="H4442" s="140" t="s">
        <v>6300</v>
      </c>
      <c r="I4442" s="141">
        <v>961500597</v>
      </c>
      <c r="J4442" s="131" t="s">
        <v>10114</v>
      </c>
      <c r="K4442" s="142">
        <v>100000</v>
      </c>
    </row>
    <row r="4443" spans="1:11">
      <c r="A4443" s="1" t="str">
        <f t="shared" si="88"/>
        <v>50100-957391796-961500655222213</v>
      </c>
      <c r="B4443" s="141" t="s">
        <v>12143</v>
      </c>
      <c r="C4443" s="141" t="s">
        <v>12144</v>
      </c>
      <c r="D4443" s="132" t="s">
        <v>4971</v>
      </c>
      <c r="E4443" s="141" t="s">
        <v>10024</v>
      </c>
      <c r="F4443" s="141" t="s">
        <v>10024</v>
      </c>
      <c r="G4443" s="141" t="s">
        <v>9770</v>
      </c>
      <c r="H4443" s="140" t="s">
        <v>6453</v>
      </c>
      <c r="I4443" s="141">
        <v>961500655</v>
      </c>
      <c r="J4443" s="131" t="s">
        <v>9967</v>
      </c>
      <c r="K4443" s="142">
        <v>222213</v>
      </c>
    </row>
    <row r="4444" spans="1:11">
      <c r="A4444" s="1" t="str">
        <f t="shared" si="88"/>
        <v>50100-963327596-961500745500000</v>
      </c>
      <c r="B4444" s="141" t="s">
        <v>12141</v>
      </c>
      <c r="C4444" s="141" t="s">
        <v>12142</v>
      </c>
      <c r="D4444" s="132" t="s">
        <v>4971</v>
      </c>
      <c r="E4444" s="141" t="s">
        <v>10012</v>
      </c>
      <c r="F4444" s="141" t="s">
        <v>10012</v>
      </c>
      <c r="G4444" s="141" t="s">
        <v>9789</v>
      </c>
      <c r="H4444" s="140" t="s">
        <v>6454</v>
      </c>
      <c r="I4444" s="141">
        <v>961500745</v>
      </c>
      <c r="J4444" s="131" t="s">
        <v>10115</v>
      </c>
      <c r="K4444" s="142">
        <v>500000</v>
      </c>
    </row>
    <row r="4445" spans="1:11">
      <c r="A4445" s="1" t="str">
        <f t="shared" si="88"/>
        <v>50100-957864896-961500598100000</v>
      </c>
      <c r="B4445" s="141" t="s">
        <v>12131</v>
      </c>
      <c r="C4445" s="141" t="s">
        <v>12132</v>
      </c>
      <c r="D4445" s="132" t="s">
        <v>4971</v>
      </c>
      <c r="E4445" s="141" t="s">
        <v>10024</v>
      </c>
      <c r="F4445" s="141" t="s">
        <v>10024</v>
      </c>
      <c r="G4445" s="141" t="s">
        <v>8722</v>
      </c>
      <c r="H4445" s="140" t="s">
        <v>6300</v>
      </c>
      <c r="I4445" s="141">
        <v>961500598</v>
      </c>
      <c r="J4445" s="131" t="s">
        <v>10116</v>
      </c>
      <c r="K4445" s="142">
        <v>100000</v>
      </c>
    </row>
    <row r="4446" spans="1:11">
      <c r="A4446" s="1" t="str">
        <f t="shared" si="88"/>
        <v>50100-957391796-961500656273269</v>
      </c>
      <c r="B4446" s="141" t="s">
        <v>12143</v>
      </c>
      <c r="C4446" s="141" t="s">
        <v>12144</v>
      </c>
      <c r="D4446" s="132" t="s">
        <v>4971</v>
      </c>
      <c r="E4446" s="141" t="s">
        <v>10024</v>
      </c>
      <c r="F4446" s="141" t="s">
        <v>10024</v>
      </c>
      <c r="G4446" s="141" t="s">
        <v>9770</v>
      </c>
      <c r="H4446" s="140" t="s">
        <v>6453</v>
      </c>
      <c r="I4446" s="141">
        <v>961500656</v>
      </c>
      <c r="J4446" s="131" t="s">
        <v>10117</v>
      </c>
      <c r="K4446" s="142">
        <v>273269</v>
      </c>
    </row>
    <row r="4447" spans="1:11">
      <c r="A4447" s="1" t="str">
        <f t="shared" si="88"/>
        <v>50100-959130496-961500656495925</v>
      </c>
      <c r="B4447" s="141" t="s">
        <v>12145</v>
      </c>
      <c r="C4447" s="141" t="s">
        <v>12146</v>
      </c>
      <c r="D4447" s="132" t="s">
        <v>4971</v>
      </c>
      <c r="E4447" s="141" t="s">
        <v>10033</v>
      </c>
      <c r="F4447" s="141" t="s">
        <v>10033</v>
      </c>
      <c r="G4447" s="141" t="s">
        <v>9770</v>
      </c>
      <c r="H4447" s="140" t="s">
        <v>6453</v>
      </c>
      <c r="I4447" s="141">
        <v>961500656</v>
      </c>
      <c r="J4447" s="131" t="s">
        <v>10117</v>
      </c>
      <c r="K4447" s="142">
        <v>495925</v>
      </c>
    </row>
    <row r="4448" spans="1:11">
      <c r="A4448" s="1" t="str">
        <f t="shared" si="88"/>
        <v>50100-963327596-962500156200000</v>
      </c>
      <c r="B4448" s="141" t="s">
        <v>12141</v>
      </c>
      <c r="C4448" s="141" t="s">
        <v>12142</v>
      </c>
      <c r="D4448" s="132" t="s">
        <v>4971</v>
      </c>
      <c r="E4448" s="141" t="s">
        <v>10012</v>
      </c>
      <c r="F4448" s="141" t="s">
        <v>10012</v>
      </c>
      <c r="G4448" s="141" t="s">
        <v>9784</v>
      </c>
      <c r="H4448" s="140" t="s">
        <v>6454</v>
      </c>
      <c r="I4448" s="141">
        <v>962500156</v>
      </c>
      <c r="J4448" s="131" t="s">
        <v>10118</v>
      </c>
      <c r="K4448" s="142">
        <v>200000</v>
      </c>
    </row>
    <row r="4449" spans="1:11">
      <c r="A4449" s="1" t="str">
        <f t="shared" si="88"/>
        <v>50100-958973396-961500621145951</v>
      </c>
      <c r="B4449" s="141" t="s">
        <v>12147</v>
      </c>
      <c r="C4449" s="141" t="s">
        <v>12148</v>
      </c>
      <c r="D4449" s="132" t="s">
        <v>4971</v>
      </c>
      <c r="E4449" s="141" t="s">
        <v>10028</v>
      </c>
      <c r="F4449" s="141" t="s">
        <v>10028</v>
      </c>
      <c r="G4449" s="141" t="s">
        <v>9774</v>
      </c>
      <c r="H4449" s="140" t="s">
        <v>6300</v>
      </c>
      <c r="I4449" s="141">
        <v>961500621</v>
      </c>
      <c r="J4449" s="131" t="s">
        <v>10119</v>
      </c>
      <c r="K4449" s="142">
        <v>145951</v>
      </c>
    </row>
    <row r="4450" spans="1:11">
      <c r="A4450" s="1" t="str">
        <f t="shared" si="88"/>
        <v>50100-958973396-961500620105479</v>
      </c>
      <c r="B4450" s="141" t="s">
        <v>12147</v>
      </c>
      <c r="C4450" s="141" t="s">
        <v>12148</v>
      </c>
      <c r="D4450" s="132" t="s">
        <v>4971</v>
      </c>
      <c r="E4450" s="141" t="s">
        <v>10028</v>
      </c>
      <c r="F4450" s="141" t="s">
        <v>10028</v>
      </c>
      <c r="G4450" s="141" t="s">
        <v>9774</v>
      </c>
      <c r="H4450" s="140" t="s">
        <v>6300</v>
      </c>
      <c r="I4450" s="141">
        <v>961500620</v>
      </c>
      <c r="J4450" s="131" t="s">
        <v>10120</v>
      </c>
      <c r="K4450" s="142">
        <v>105479</v>
      </c>
    </row>
    <row r="4451" spans="1:11">
      <c r="A4451" s="1" t="str">
        <f t="shared" si="88"/>
        <v>50100-959135896-961500457400000</v>
      </c>
      <c r="B4451" s="141" t="s">
        <v>12149</v>
      </c>
      <c r="C4451" s="141" t="s">
        <v>12150</v>
      </c>
      <c r="D4451" s="132" t="s">
        <v>4971</v>
      </c>
      <c r="E4451" s="141" t="s">
        <v>10033</v>
      </c>
      <c r="F4451" s="141" t="s">
        <v>10033</v>
      </c>
      <c r="G4451" s="141" t="s">
        <v>7175</v>
      </c>
      <c r="H4451" s="140" t="s">
        <v>6298</v>
      </c>
      <c r="I4451" s="141">
        <v>961500457</v>
      </c>
      <c r="J4451" s="131" t="s">
        <v>10121</v>
      </c>
      <c r="K4451" s="142">
        <v>400000</v>
      </c>
    </row>
    <row r="4452" spans="1:11">
      <c r="A4452" s="1" t="str">
        <f t="shared" si="88"/>
        <v>50100-962249396-96150064141626</v>
      </c>
      <c r="B4452" s="141" t="s">
        <v>12151</v>
      </c>
      <c r="C4452" s="141" t="s">
        <v>12152</v>
      </c>
      <c r="D4452" s="132" t="s">
        <v>4971</v>
      </c>
      <c r="E4452" s="141" t="s">
        <v>9995</v>
      </c>
      <c r="F4452" s="141" t="s">
        <v>9995</v>
      </c>
      <c r="G4452" s="141" t="s">
        <v>9771</v>
      </c>
      <c r="H4452" s="140" t="s">
        <v>6300</v>
      </c>
      <c r="I4452" s="141">
        <v>961500641</v>
      </c>
      <c r="J4452" s="131" t="s">
        <v>10108</v>
      </c>
      <c r="K4452" s="142">
        <v>41626</v>
      </c>
    </row>
    <row r="4453" spans="1:11">
      <c r="A4453" s="1" t="str">
        <f t="shared" si="88"/>
        <v>50100-959135896-961500456105000</v>
      </c>
      <c r="B4453" s="141" t="s">
        <v>12149</v>
      </c>
      <c r="C4453" s="141" t="s">
        <v>12150</v>
      </c>
      <c r="D4453" s="132" t="s">
        <v>4971</v>
      </c>
      <c r="E4453" s="141" t="s">
        <v>10033</v>
      </c>
      <c r="F4453" s="141" t="s">
        <v>10033</v>
      </c>
      <c r="G4453" s="141" t="s">
        <v>7175</v>
      </c>
      <c r="H4453" s="140" t="s">
        <v>6298</v>
      </c>
      <c r="I4453" s="141">
        <v>961500456</v>
      </c>
      <c r="J4453" s="131" t="s">
        <v>10122</v>
      </c>
      <c r="K4453" s="142">
        <v>105000</v>
      </c>
    </row>
    <row r="4454" spans="1:11">
      <c r="A4454" s="1" t="str">
        <f t="shared" si="88"/>
        <v>50100-962249396-961500669458764</v>
      </c>
      <c r="B4454" s="141" t="s">
        <v>12151</v>
      </c>
      <c r="C4454" s="141" t="s">
        <v>12152</v>
      </c>
      <c r="D4454" s="132" t="s">
        <v>4971</v>
      </c>
      <c r="E4454" s="141" t="s">
        <v>9995</v>
      </c>
      <c r="F4454" s="141" t="s">
        <v>9995</v>
      </c>
      <c r="G4454" s="141" t="s">
        <v>9771</v>
      </c>
      <c r="H4454" s="140" t="s">
        <v>6300</v>
      </c>
      <c r="I4454" s="141">
        <v>961500669</v>
      </c>
      <c r="J4454" s="131" t="s">
        <v>10106</v>
      </c>
      <c r="K4454" s="142">
        <v>458764</v>
      </c>
    </row>
    <row r="4455" spans="1:11">
      <c r="A4455" s="1" t="str">
        <f t="shared" si="88"/>
        <v>50100-959135896-961500453350000</v>
      </c>
      <c r="B4455" s="141" t="s">
        <v>12149</v>
      </c>
      <c r="C4455" s="141" t="s">
        <v>12150</v>
      </c>
      <c r="D4455" s="132" t="s">
        <v>4971</v>
      </c>
      <c r="E4455" s="141" t="s">
        <v>10033</v>
      </c>
      <c r="F4455" s="141" t="s">
        <v>10033</v>
      </c>
      <c r="G4455" s="141" t="s">
        <v>7175</v>
      </c>
      <c r="H4455" s="140" t="s">
        <v>6298</v>
      </c>
      <c r="I4455" s="141">
        <v>961500453</v>
      </c>
      <c r="J4455" s="131" t="s">
        <v>10123</v>
      </c>
      <c r="K4455" s="142">
        <v>350000</v>
      </c>
    </row>
    <row r="4456" spans="1:11">
      <c r="A4456" s="1" t="str">
        <f t="shared" si="88"/>
        <v>50100-959135896-962500109136838</v>
      </c>
      <c r="B4456" s="141" t="s">
        <v>12149</v>
      </c>
      <c r="C4456" s="141" t="s">
        <v>12150</v>
      </c>
      <c r="D4456" s="132" t="s">
        <v>4971</v>
      </c>
      <c r="E4456" s="141" t="s">
        <v>10033</v>
      </c>
      <c r="F4456" s="141" t="s">
        <v>10033</v>
      </c>
      <c r="G4456" s="141" t="s">
        <v>7175</v>
      </c>
      <c r="H4456" s="140" t="s">
        <v>6298</v>
      </c>
      <c r="I4456" s="141">
        <v>962500109</v>
      </c>
      <c r="J4456" s="131" t="s">
        <v>10124</v>
      </c>
      <c r="K4456" s="142">
        <v>136838</v>
      </c>
    </row>
    <row r="4457" spans="1:11">
      <c r="A4457" s="1" t="str">
        <f t="shared" si="88"/>
        <v>50100-960795096-961500660200000</v>
      </c>
      <c r="B4457" s="141" t="s">
        <v>12153</v>
      </c>
      <c r="C4457" s="141" t="s">
        <v>12154</v>
      </c>
      <c r="D4457" s="132" t="s">
        <v>4971</v>
      </c>
      <c r="E4457" s="141" t="s">
        <v>10008</v>
      </c>
      <c r="F4457" s="141" t="s">
        <v>10008</v>
      </c>
      <c r="G4457" s="141" t="s">
        <v>9771</v>
      </c>
      <c r="H4457" s="140" t="s">
        <v>6300</v>
      </c>
      <c r="I4457" s="141">
        <v>961500660</v>
      </c>
      <c r="J4457" s="131" t="s">
        <v>10125</v>
      </c>
      <c r="K4457" s="142">
        <v>200000</v>
      </c>
    </row>
    <row r="4458" spans="1:11">
      <c r="A4458" s="1" t="str">
        <f t="shared" si="88"/>
        <v>50100-960266096-961500487240000</v>
      </c>
      <c r="B4458" s="141" t="s">
        <v>12155</v>
      </c>
      <c r="C4458" s="141" t="s">
        <v>12156</v>
      </c>
      <c r="D4458" s="132" t="s">
        <v>4971</v>
      </c>
      <c r="E4458" s="141" t="s">
        <v>10001</v>
      </c>
      <c r="F4458" s="141" t="s">
        <v>10001</v>
      </c>
      <c r="G4458" s="141" t="s">
        <v>7111</v>
      </c>
      <c r="H4458" s="140" t="s">
        <v>6298</v>
      </c>
      <c r="I4458" s="141">
        <v>961500487</v>
      </c>
      <c r="J4458" s="131" t="s">
        <v>10126</v>
      </c>
      <c r="K4458" s="142">
        <v>240000</v>
      </c>
    </row>
    <row r="4459" spans="1:11">
      <c r="A4459" s="1" t="str">
        <f t="shared" si="88"/>
        <v>50100-960266096-961500489138345</v>
      </c>
      <c r="B4459" s="141" t="s">
        <v>12155</v>
      </c>
      <c r="C4459" s="141" t="s">
        <v>12156</v>
      </c>
      <c r="D4459" s="132" t="s">
        <v>4971</v>
      </c>
      <c r="E4459" s="141" t="s">
        <v>10001</v>
      </c>
      <c r="F4459" s="141" t="s">
        <v>10001</v>
      </c>
      <c r="G4459" s="141" t="s">
        <v>7111</v>
      </c>
      <c r="H4459" s="140" t="s">
        <v>6298</v>
      </c>
      <c r="I4459" s="141">
        <v>961500489</v>
      </c>
      <c r="J4459" s="131" t="s">
        <v>10127</v>
      </c>
      <c r="K4459" s="142">
        <v>138345</v>
      </c>
    </row>
    <row r="4460" spans="1:11">
      <c r="A4460" s="1" t="str">
        <f t="shared" si="88"/>
        <v>50100-960795096-9615006181000</v>
      </c>
      <c r="B4460" s="141" t="s">
        <v>12153</v>
      </c>
      <c r="C4460" s="141" t="s">
        <v>12154</v>
      </c>
      <c r="D4460" s="132" t="s">
        <v>4971</v>
      </c>
      <c r="E4460" s="141" t="s">
        <v>10008</v>
      </c>
      <c r="F4460" s="141" t="s">
        <v>10008</v>
      </c>
      <c r="G4460" s="141" t="s">
        <v>9771</v>
      </c>
      <c r="H4460" s="140" t="s">
        <v>6300</v>
      </c>
      <c r="I4460" s="141">
        <v>961500618</v>
      </c>
      <c r="J4460" s="131" t="s">
        <v>10095</v>
      </c>
      <c r="K4460" s="142">
        <v>1000</v>
      </c>
    </row>
    <row r="4461" spans="1:11">
      <c r="A4461" s="1" t="str">
        <f t="shared" si="88"/>
        <v>50100-960795096-961500645300000</v>
      </c>
      <c r="B4461" s="141" t="s">
        <v>12153</v>
      </c>
      <c r="C4461" s="141" t="s">
        <v>12154</v>
      </c>
      <c r="D4461" s="132" t="s">
        <v>4971</v>
      </c>
      <c r="E4461" s="141" t="s">
        <v>10008</v>
      </c>
      <c r="F4461" s="141" t="s">
        <v>10008</v>
      </c>
      <c r="G4461" s="141" t="s">
        <v>9771</v>
      </c>
      <c r="H4461" s="140" t="s">
        <v>6300</v>
      </c>
      <c r="I4461" s="141">
        <v>961500645</v>
      </c>
      <c r="J4461" s="131" t="s">
        <v>10128</v>
      </c>
      <c r="K4461" s="142">
        <v>300000</v>
      </c>
    </row>
    <row r="4462" spans="1:11">
      <c r="A4462" s="1" t="str">
        <f t="shared" si="88"/>
        <v>50100-960795096-961500659200000</v>
      </c>
      <c r="B4462" s="141" t="s">
        <v>12153</v>
      </c>
      <c r="C4462" s="141" t="s">
        <v>12154</v>
      </c>
      <c r="D4462" s="132" t="s">
        <v>4971</v>
      </c>
      <c r="E4462" s="141" t="s">
        <v>10008</v>
      </c>
      <c r="F4462" s="141" t="s">
        <v>10008</v>
      </c>
      <c r="G4462" s="141" t="s">
        <v>9771</v>
      </c>
      <c r="H4462" s="140" t="s">
        <v>6300</v>
      </c>
      <c r="I4462" s="141">
        <v>961500659</v>
      </c>
      <c r="J4462" s="131" t="s">
        <v>10129</v>
      </c>
      <c r="K4462" s="142">
        <v>200000</v>
      </c>
    </row>
    <row r="4463" spans="1:11">
      <c r="A4463" s="1" t="str">
        <f t="shared" si="88"/>
        <v>50100-960266096-961500472125000</v>
      </c>
      <c r="B4463" s="141" t="s">
        <v>12155</v>
      </c>
      <c r="C4463" s="141" t="s">
        <v>12156</v>
      </c>
      <c r="D4463" s="132" t="s">
        <v>4971</v>
      </c>
      <c r="E4463" s="141" t="s">
        <v>10001</v>
      </c>
      <c r="F4463" s="141" t="s">
        <v>10001</v>
      </c>
      <c r="G4463" s="141" t="s">
        <v>7111</v>
      </c>
      <c r="H4463" s="140" t="s">
        <v>6298</v>
      </c>
      <c r="I4463" s="141">
        <v>961500472</v>
      </c>
      <c r="J4463" s="131" t="s">
        <v>10130</v>
      </c>
      <c r="K4463" s="142">
        <v>125000</v>
      </c>
    </row>
    <row r="4464" spans="1:11">
      <c r="A4464" s="1" t="str">
        <f t="shared" si="88"/>
        <v>50100-957882996-961500599200000</v>
      </c>
      <c r="B4464" s="141" t="s">
        <v>12157</v>
      </c>
      <c r="C4464" s="141" t="s">
        <v>12158</v>
      </c>
      <c r="D4464" s="132" t="s">
        <v>4971</v>
      </c>
      <c r="E4464" s="141" t="s">
        <v>10024</v>
      </c>
      <c r="F4464" s="141" t="s">
        <v>10024</v>
      </c>
      <c r="G4464" s="141" t="s">
        <v>8722</v>
      </c>
      <c r="H4464" s="140" t="s">
        <v>6300</v>
      </c>
      <c r="I4464" s="141">
        <v>961500599</v>
      </c>
      <c r="J4464" s="131" t="s">
        <v>10131</v>
      </c>
      <c r="K4464" s="142">
        <v>200000</v>
      </c>
    </row>
    <row r="4465" spans="1:11">
      <c r="A4465" s="1" t="str">
        <f t="shared" si="88"/>
        <v>50100-962834896-961500497320000</v>
      </c>
      <c r="B4465" s="141" t="s">
        <v>12159</v>
      </c>
      <c r="C4465" s="141" t="s">
        <v>12160</v>
      </c>
      <c r="D4465" s="132" t="s">
        <v>4971</v>
      </c>
      <c r="E4465" s="141" t="s">
        <v>9935</v>
      </c>
      <c r="F4465" s="141" t="s">
        <v>9935</v>
      </c>
      <c r="G4465" s="141" t="s">
        <v>7111</v>
      </c>
      <c r="H4465" s="140" t="s">
        <v>6298</v>
      </c>
      <c r="I4465" s="141">
        <v>961500497</v>
      </c>
      <c r="J4465" s="131" t="s">
        <v>10132</v>
      </c>
      <c r="K4465" s="142">
        <v>320000</v>
      </c>
    </row>
    <row r="4466" spans="1:11">
      <c r="A4466" s="1" t="str">
        <f t="shared" si="88"/>
        <v>50100-957882996-961500608134176</v>
      </c>
      <c r="B4466" s="141" t="s">
        <v>12157</v>
      </c>
      <c r="C4466" s="141" t="s">
        <v>12158</v>
      </c>
      <c r="D4466" s="132" t="s">
        <v>4971</v>
      </c>
      <c r="E4466" s="141" t="s">
        <v>10024</v>
      </c>
      <c r="F4466" s="141" t="s">
        <v>10024</v>
      </c>
      <c r="G4466" s="141" t="s">
        <v>8722</v>
      </c>
      <c r="H4466" s="140" t="s">
        <v>6300</v>
      </c>
      <c r="I4466" s="141">
        <v>961500608</v>
      </c>
      <c r="J4466" s="131" t="s">
        <v>9970</v>
      </c>
      <c r="K4466" s="142">
        <v>134176</v>
      </c>
    </row>
    <row r="4467" spans="1:11">
      <c r="A4467" s="1" t="str">
        <f t="shared" si="88"/>
        <v>50100-958951996-961500621109049</v>
      </c>
      <c r="B4467" s="141" t="s">
        <v>12161</v>
      </c>
      <c r="C4467" s="141" t="s">
        <v>12162</v>
      </c>
      <c r="D4467" s="132" t="s">
        <v>4971</v>
      </c>
      <c r="E4467" s="141" t="s">
        <v>10028</v>
      </c>
      <c r="F4467" s="141" t="s">
        <v>10028</v>
      </c>
      <c r="G4467" s="141" t="s">
        <v>9774</v>
      </c>
      <c r="H4467" s="140" t="s">
        <v>6300</v>
      </c>
      <c r="I4467" s="141">
        <v>961500621</v>
      </c>
      <c r="J4467" s="131" t="s">
        <v>10119</v>
      </c>
      <c r="K4467" s="142">
        <v>109049</v>
      </c>
    </row>
    <row r="4468" spans="1:11">
      <c r="A4468" s="1" t="str">
        <f t="shared" si="88"/>
        <v>50100-961402296-9615007381023848</v>
      </c>
      <c r="B4468" s="141" t="s">
        <v>12163</v>
      </c>
      <c r="C4468" s="141" t="s">
        <v>12164</v>
      </c>
      <c r="D4468" s="132" t="s">
        <v>4971</v>
      </c>
      <c r="E4468" s="141" t="s">
        <v>10015</v>
      </c>
      <c r="F4468" s="141" t="s">
        <v>10015</v>
      </c>
      <c r="G4468" s="141" t="s">
        <v>9795</v>
      </c>
      <c r="H4468" s="140" t="s">
        <v>6300</v>
      </c>
      <c r="I4468" s="141">
        <v>961500738</v>
      </c>
      <c r="J4468" s="131" t="s">
        <v>10133</v>
      </c>
      <c r="K4468" s="142">
        <v>1023848</v>
      </c>
    </row>
    <row r="4469" spans="1:11">
      <c r="A4469" s="1" t="str">
        <f t="shared" si="88"/>
        <v>50100-957882996-961500605157969</v>
      </c>
      <c r="B4469" s="141" t="s">
        <v>12157</v>
      </c>
      <c r="C4469" s="141" t="s">
        <v>12158</v>
      </c>
      <c r="D4469" s="132" t="s">
        <v>4971</v>
      </c>
      <c r="E4469" s="141" t="s">
        <v>10024</v>
      </c>
      <c r="F4469" s="141" t="s">
        <v>10024</v>
      </c>
      <c r="G4469" s="141" t="s">
        <v>8722</v>
      </c>
      <c r="H4469" s="140" t="s">
        <v>6300</v>
      </c>
      <c r="I4469" s="141">
        <v>961500605</v>
      </c>
      <c r="J4469" s="131" t="s">
        <v>10134</v>
      </c>
      <c r="K4469" s="142">
        <v>157969</v>
      </c>
    </row>
    <row r="4470" spans="1:11">
      <c r="A4470" s="1" t="str">
        <f t="shared" si="88"/>
        <v>50100-958951996-96150060542031</v>
      </c>
      <c r="B4470" s="141" t="s">
        <v>12161</v>
      </c>
      <c r="C4470" s="141" t="s">
        <v>12162</v>
      </c>
      <c r="D4470" s="132" t="s">
        <v>4971</v>
      </c>
      <c r="E4470" s="141" t="s">
        <v>10028</v>
      </c>
      <c r="F4470" s="141" t="s">
        <v>10028</v>
      </c>
      <c r="G4470" s="141" t="s">
        <v>8722</v>
      </c>
      <c r="H4470" s="140" t="s">
        <v>6300</v>
      </c>
      <c r="I4470" s="141">
        <v>961500605</v>
      </c>
      <c r="J4470" s="131" t="s">
        <v>10134</v>
      </c>
      <c r="K4470" s="142">
        <v>42031</v>
      </c>
    </row>
    <row r="4471" spans="1:11">
      <c r="A4471" s="1" t="str">
        <f t="shared" si="88"/>
        <v>50100-962834896-961500489101655</v>
      </c>
      <c r="B4471" s="141" t="s">
        <v>12159</v>
      </c>
      <c r="C4471" s="141" t="s">
        <v>12160</v>
      </c>
      <c r="D4471" s="132" t="s">
        <v>4971</v>
      </c>
      <c r="E4471" s="141" t="s">
        <v>9935</v>
      </c>
      <c r="F4471" s="141" t="s">
        <v>9935</v>
      </c>
      <c r="G4471" s="141" t="s">
        <v>7111</v>
      </c>
      <c r="H4471" s="140" t="s">
        <v>6298</v>
      </c>
      <c r="I4471" s="141">
        <v>961500489</v>
      </c>
      <c r="J4471" s="131" t="s">
        <v>10127</v>
      </c>
      <c r="K4471" s="142">
        <v>101655</v>
      </c>
    </row>
    <row r="4472" spans="1:11">
      <c r="A4472" s="1" t="str">
        <f t="shared" si="88"/>
        <v>50100-962834896-96150049874555</v>
      </c>
      <c r="B4472" s="141" t="s">
        <v>12159</v>
      </c>
      <c r="C4472" s="141" t="s">
        <v>12160</v>
      </c>
      <c r="D4472" s="132" t="s">
        <v>4971</v>
      </c>
      <c r="E4472" s="141" t="s">
        <v>9935</v>
      </c>
      <c r="F4472" s="141" t="s">
        <v>9935</v>
      </c>
      <c r="G4472" s="141" t="s">
        <v>7111</v>
      </c>
      <c r="H4472" s="140" t="s">
        <v>6298</v>
      </c>
      <c r="I4472" s="141">
        <v>961500498</v>
      </c>
      <c r="J4472" s="131" t="s">
        <v>10135</v>
      </c>
      <c r="K4472" s="142">
        <v>74555</v>
      </c>
    </row>
    <row r="4473" spans="1:11">
      <c r="A4473" s="1" t="str">
        <f t="shared" si="88"/>
        <v>50100-959146696-96150047094200</v>
      </c>
      <c r="B4473" s="141" t="s">
        <v>12165</v>
      </c>
      <c r="C4473" s="141" t="s">
        <v>12166</v>
      </c>
      <c r="D4473" s="132" t="s">
        <v>4971</v>
      </c>
      <c r="E4473" s="141" t="s">
        <v>10033</v>
      </c>
      <c r="F4473" s="141" t="s">
        <v>10033</v>
      </c>
      <c r="G4473" s="141" t="s">
        <v>7175</v>
      </c>
      <c r="H4473" s="140" t="s">
        <v>6298</v>
      </c>
      <c r="I4473" s="141">
        <v>961500470</v>
      </c>
      <c r="J4473" s="131" t="s">
        <v>10136</v>
      </c>
      <c r="K4473" s="142">
        <v>94200</v>
      </c>
    </row>
    <row r="4474" spans="1:11">
      <c r="A4474" s="1" t="str">
        <f t="shared" si="88"/>
        <v>50100-963350196-962500174492030</v>
      </c>
      <c r="B4474" s="141" t="s">
        <v>12167</v>
      </c>
      <c r="C4474" s="141" t="s">
        <v>12168</v>
      </c>
      <c r="D4474" s="132" t="s">
        <v>4971</v>
      </c>
      <c r="E4474" s="141" t="s">
        <v>10012</v>
      </c>
      <c r="F4474" s="141" t="s">
        <v>10015</v>
      </c>
      <c r="G4474" s="141" t="s">
        <v>9784</v>
      </c>
      <c r="H4474" s="140" t="s">
        <v>6454</v>
      </c>
      <c r="I4474" s="141">
        <v>962500174</v>
      </c>
      <c r="J4474" s="131" t="s">
        <v>10137</v>
      </c>
      <c r="K4474" s="142">
        <v>492030</v>
      </c>
    </row>
    <row r="4475" spans="1:11">
      <c r="A4475" s="1" t="str">
        <f t="shared" si="88"/>
        <v>50100-959146696-961500467203410</v>
      </c>
      <c r="B4475" s="141" t="s">
        <v>12165</v>
      </c>
      <c r="C4475" s="141" t="s">
        <v>12166</v>
      </c>
      <c r="D4475" s="132" t="s">
        <v>4971</v>
      </c>
      <c r="E4475" s="141" t="s">
        <v>10033</v>
      </c>
      <c r="F4475" s="141" t="s">
        <v>10033</v>
      </c>
      <c r="G4475" s="141" t="s">
        <v>7175</v>
      </c>
      <c r="H4475" s="140" t="s">
        <v>6298</v>
      </c>
      <c r="I4475" s="141">
        <v>961500467</v>
      </c>
      <c r="J4475" s="131" t="s">
        <v>10097</v>
      </c>
      <c r="K4475" s="142">
        <v>203410</v>
      </c>
    </row>
    <row r="4476" spans="1:11">
      <c r="A4476" s="1" t="str">
        <f t="shared" si="88"/>
        <v>50100-959146696-962500109200620</v>
      </c>
      <c r="B4476" s="141" t="s">
        <v>12165</v>
      </c>
      <c r="C4476" s="141" t="s">
        <v>12166</v>
      </c>
      <c r="D4476" s="132" t="s">
        <v>4971</v>
      </c>
      <c r="E4476" s="141" t="s">
        <v>10033</v>
      </c>
      <c r="F4476" s="141" t="s">
        <v>10033</v>
      </c>
      <c r="G4476" s="141" t="s">
        <v>7175</v>
      </c>
      <c r="H4476" s="140" t="s">
        <v>6298</v>
      </c>
      <c r="I4476" s="141">
        <v>962500109</v>
      </c>
      <c r="J4476" s="131" t="s">
        <v>10124</v>
      </c>
      <c r="K4476" s="142">
        <v>200620</v>
      </c>
    </row>
    <row r="4477" spans="1:11">
      <c r="A4477" s="1" t="str">
        <f t="shared" si="88"/>
        <v>50100-958296796-9615006881000000</v>
      </c>
      <c r="B4477" s="141" t="s">
        <v>12169</v>
      </c>
      <c r="C4477" s="141" t="s">
        <v>12170</v>
      </c>
      <c r="D4477" s="132" t="s">
        <v>4971</v>
      </c>
      <c r="E4477" s="141" t="s">
        <v>10052</v>
      </c>
      <c r="F4477" s="141" t="s">
        <v>10052</v>
      </c>
      <c r="G4477" s="141" t="s">
        <v>9770</v>
      </c>
      <c r="H4477" s="140" t="s">
        <v>6453</v>
      </c>
      <c r="I4477" s="141">
        <v>961500688</v>
      </c>
      <c r="J4477" s="131" t="s">
        <v>10138</v>
      </c>
      <c r="K4477" s="142">
        <v>1000000</v>
      </c>
    </row>
    <row r="4478" spans="1:11">
      <c r="A4478" s="1" t="str">
        <f t="shared" si="88"/>
        <v>50100-962968396-962500173990510</v>
      </c>
      <c r="B4478" s="141" t="s">
        <v>12125</v>
      </c>
      <c r="C4478" s="141" t="s">
        <v>12126</v>
      </c>
      <c r="D4478" s="132" t="s">
        <v>4971</v>
      </c>
      <c r="E4478" s="141" t="s">
        <v>10012</v>
      </c>
      <c r="F4478" s="141" t="s">
        <v>10012</v>
      </c>
      <c r="G4478" s="141" t="s">
        <v>12119</v>
      </c>
      <c r="H4478" s="140" t="s">
        <v>12120</v>
      </c>
      <c r="I4478" s="141">
        <v>962500173</v>
      </c>
      <c r="J4478" s="131" t="s">
        <v>10111</v>
      </c>
      <c r="K4478" s="142">
        <v>990510</v>
      </c>
    </row>
    <row r="4479" spans="1:11">
      <c r="A4479" s="1" t="str">
        <f t="shared" si="88"/>
        <v>50100-958973396-961500609250000</v>
      </c>
      <c r="B4479" s="141" t="s">
        <v>12147</v>
      </c>
      <c r="C4479" s="141" t="s">
        <v>12148</v>
      </c>
      <c r="D4479" s="132" t="s">
        <v>4971</v>
      </c>
      <c r="E4479" s="141" t="s">
        <v>10028</v>
      </c>
      <c r="F4479" s="141" t="s">
        <v>10028</v>
      </c>
      <c r="G4479" s="141" t="s">
        <v>8722</v>
      </c>
      <c r="H4479" s="140" t="s">
        <v>6300</v>
      </c>
      <c r="I4479" s="141">
        <v>961500609</v>
      </c>
      <c r="J4479" s="131" t="s">
        <v>10139</v>
      </c>
      <c r="K4479" s="142">
        <v>250000</v>
      </c>
    </row>
    <row r="4480" spans="1:11">
      <c r="A4480" s="1" t="str">
        <f t="shared" si="88"/>
        <v>50100-963327596-96250015014700</v>
      </c>
      <c r="B4480" s="141" t="s">
        <v>12141</v>
      </c>
      <c r="C4480" s="141" t="s">
        <v>12142</v>
      </c>
      <c r="D4480" s="132" t="s">
        <v>4971</v>
      </c>
      <c r="E4480" s="141" t="s">
        <v>10012</v>
      </c>
      <c r="F4480" s="141" t="s">
        <v>10012</v>
      </c>
      <c r="G4480" s="141" t="s">
        <v>9784</v>
      </c>
      <c r="H4480" s="140" t="s">
        <v>6454</v>
      </c>
      <c r="I4480" s="141">
        <v>962500150</v>
      </c>
      <c r="J4480" s="131" t="s">
        <v>10140</v>
      </c>
      <c r="K4480" s="142">
        <v>14700</v>
      </c>
    </row>
    <row r="4481" spans="1:11">
      <c r="A4481" s="1" t="str">
        <f t="shared" si="88"/>
        <v>50100-963524496-961500669159156</v>
      </c>
      <c r="B4481" s="141" t="s">
        <v>12171</v>
      </c>
      <c r="C4481" s="141" t="s">
        <v>12172</v>
      </c>
      <c r="D4481" s="132" t="s">
        <v>4971</v>
      </c>
      <c r="E4481" s="141" t="s">
        <v>12043</v>
      </c>
      <c r="F4481" s="141" t="s">
        <v>12043</v>
      </c>
      <c r="G4481" s="141" t="s">
        <v>9771</v>
      </c>
      <c r="H4481" s="140" t="s">
        <v>6300</v>
      </c>
      <c r="I4481" s="141">
        <v>961500669</v>
      </c>
      <c r="J4481" s="131" t="s">
        <v>10106</v>
      </c>
      <c r="K4481" s="142">
        <v>159156</v>
      </c>
    </row>
    <row r="4482" spans="1:11">
      <c r="A4482" s="1" t="str">
        <f t="shared" si="88"/>
        <v>50100-963524496-961500666335398</v>
      </c>
      <c r="B4482" s="141" t="s">
        <v>12171</v>
      </c>
      <c r="C4482" s="141" t="s">
        <v>12172</v>
      </c>
      <c r="D4482" s="132" t="s">
        <v>4971</v>
      </c>
      <c r="E4482" s="141" t="s">
        <v>12043</v>
      </c>
      <c r="F4482" s="141" t="s">
        <v>12043</v>
      </c>
      <c r="G4482" s="141" t="s">
        <v>9771</v>
      </c>
      <c r="H4482" s="140" t="s">
        <v>6300</v>
      </c>
      <c r="I4482" s="141">
        <v>961500666</v>
      </c>
      <c r="J4482" s="131" t="s">
        <v>10141</v>
      </c>
      <c r="K4482" s="142">
        <v>335398</v>
      </c>
    </row>
    <row r="4483" spans="1:11">
      <c r="A4483" s="1" t="str">
        <f t="shared" ref="A4483:A4487" si="89">B4483&amp;J4483&amp;K4483</f>
        <v>50100-962130196-96150061964576</v>
      </c>
      <c r="B4483" s="141" t="s">
        <v>12127</v>
      </c>
      <c r="C4483" s="141" t="s">
        <v>12128</v>
      </c>
      <c r="D4483" s="132" t="s">
        <v>4971</v>
      </c>
      <c r="E4483" s="141" t="s">
        <v>9995</v>
      </c>
      <c r="F4483" s="141" t="s">
        <v>9995</v>
      </c>
      <c r="G4483" s="141" t="s">
        <v>9771</v>
      </c>
      <c r="H4483" s="140" t="s">
        <v>6300</v>
      </c>
      <c r="I4483" s="141">
        <v>961500619</v>
      </c>
      <c r="J4483" s="131" t="s">
        <v>10142</v>
      </c>
      <c r="K4483" s="142">
        <v>64576</v>
      </c>
    </row>
    <row r="4484" spans="1:11">
      <c r="A4484" s="1" t="str">
        <f t="shared" si="89"/>
        <v>50100-963321996-962500150185300</v>
      </c>
      <c r="B4484" s="141" t="s">
        <v>12173</v>
      </c>
      <c r="C4484" s="141" t="s">
        <v>12174</v>
      </c>
      <c r="D4484" s="132" t="s">
        <v>4971</v>
      </c>
      <c r="E4484" s="141" t="s">
        <v>10012</v>
      </c>
      <c r="F4484" s="141" t="s">
        <v>10012</v>
      </c>
      <c r="G4484" s="141" t="s">
        <v>9784</v>
      </c>
      <c r="H4484" s="140" t="s">
        <v>6454</v>
      </c>
      <c r="I4484" s="141">
        <v>962500150</v>
      </c>
      <c r="J4484" s="131" t="s">
        <v>10140</v>
      </c>
      <c r="K4484" s="142">
        <v>185300</v>
      </c>
    </row>
    <row r="4485" spans="1:11">
      <c r="A4485" s="1" t="str">
        <f t="shared" si="89"/>
        <v>50100-960795096-961500642300000</v>
      </c>
      <c r="B4485" s="141" t="s">
        <v>12153</v>
      </c>
      <c r="C4485" s="141" t="s">
        <v>12154</v>
      </c>
      <c r="D4485" s="132" t="s">
        <v>4971</v>
      </c>
      <c r="E4485" s="141" t="s">
        <v>10008</v>
      </c>
      <c r="F4485" s="141" t="s">
        <v>10008</v>
      </c>
      <c r="G4485" s="141" t="s">
        <v>9771</v>
      </c>
      <c r="H4485" s="140" t="s">
        <v>6300</v>
      </c>
      <c r="I4485" s="141">
        <v>961500642</v>
      </c>
      <c r="J4485" s="131" t="s">
        <v>10143</v>
      </c>
      <c r="K4485" s="142">
        <v>300000</v>
      </c>
    </row>
    <row r="4486" spans="1:11">
      <c r="A4486" s="1" t="str">
        <f t="shared" si="89"/>
        <v>50100-958951996-961500622350000</v>
      </c>
      <c r="B4486" s="141" t="s">
        <v>12161</v>
      </c>
      <c r="C4486" s="141" t="s">
        <v>12162</v>
      </c>
      <c r="D4486" s="132" t="s">
        <v>4971</v>
      </c>
      <c r="E4486" s="141" t="s">
        <v>10028</v>
      </c>
      <c r="F4486" s="141" t="s">
        <v>10028</v>
      </c>
      <c r="G4486" s="141" t="s">
        <v>9774</v>
      </c>
      <c r="H4486" s="140" t="s">
        <v>6300</v>
      </c>
      <c r="I4486" s="141">
        <v>961500622</v>
      </c>
      <c r="J4486" s="131" t="s">
        <v>10144</v>
      </c>
      <c r="K4486" s="142">
        <v>350000</v>
      </c>
    </row>
    <row r="4487" spans="1:11">
      <c r="A4487" s="1" t="str">
        <f t="shared" si="89"/>
        <v>50100-959462296-961500619315424</v>
      </c>
      <c r="B4487" s="141" t="s">
        <v>12175</v>
      </c>
      <c r="C4487" s="141" t="s">
        <v>12176</v>
      </c>
      <c r="D4487" s="132" t="s">
        <v>4971</v>
      </c>
      <c r="E4487" s="141" t="s">
        <v>10033</v>
      </c>
      <c r="F4487" s="141" t="s">
        <v>10033</v>
      </c>
      <c r="G4487" s="141" t="s">
        <v>9771</v>
      </c>
      <c r="H4487" s="140" t="s">
        <v>6300</v>
      </c>
      <c r="I4487" s="141">
        <v>961500619</v>
      </c>
      <c r="J4487" s="131" t="s">
        <v>10142</v>
      </c>
      <c r="K4487" s="142">
        <v>315424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9"/>
  <sheetViews>
    <sheetView rightToLeft="1" workbookViewId="0">
      <selection activeCell="D19" sqref="D19"/>
    </sheetView>
  </sheetViews>
  <sheetFormatPr defaultRowHeight="14.25"/>
  <cols>
    <col min="1" max="1" width="13.625" bestFit="1" customWidth="1"/>
    <col min="2" max="2" width="13.125" style="172" bestFit="1" customWidth="1"/>
  </cols>
  <sheetData>
    <row r="2" spans="1:3" ht="15">
      <c r="A2" s="173"/>
      <c r="B2" s="174"/>
    </row>
    <row r="3" spans="1:3">
      <c r="A3" s="175"/>
      <c r="B3" s="176"/>
      <c r="C3" s="1"/>
    </row>
    <row r="4" spans="1:3">
      <c r="A4" s="175"/>
      <c r="B4" s="176"/>
      <c r="C4" s="1"/>
    </row>
    <row r="5" spans="1:3">
      <c r="A5" s="175"/>
      <c r="B5" s="176"/>
      <c r="C5" s="1"/>
    </row>
    <row r="6" spans="1:3">
      <c r="A6" s="175"/>
      <c r="B6" s="176"/>
      <c r="C6" s="1"/>
    </row>
    <row r="7" spans="1:3">
      <c r="A7" s="175"/>
      <c r="B7" s="176"/>
      <c r="C7" s="1"/>
    </row>
    <row r="8" spans="1:3">
      <c r="A8" s="175"/>
      <c r="B8" s="176"/>
      <c r="C8" s="1"/>
    </row>
    <row r="9" spans="1:3">
      <c r="A9" s="175"/>
      <c r="B9" s="176"/>
      <c r="C9" s="1"/>
    </row>
    <row r="10" spans="1:3">
      <c r="A10" s="175"/>
      <c r="B10" s="176"/>
      <c r="C10" s="1"/>
    </row>
    <row r="11" spans="1:3">
      <c r="A11" s="175"/>
      <c r="B11" s="176"/>
      <c r="C11" s="1"/>
    </row>
    <row r="12" spans="1:3">
      <c r="A12" s="175"/>
      <c r="B12" s="176"/>
      <c r="C12" s="1"/>
    </row>
    <row r="13" spans="1:3">
      <c r="A13" s="175"/>
      <c r="B13" s="176"/>
      <c r="C13" s="1"/>
    </row>
    <row r="14" spans="1:3">
      <c r="A14" s="175"/>
      <c r="B14" s="176"/>
      <c r="C14" s="1"/>
    </row>
    <row r="15" spans="1:3">
      <c r="A15" s="175"/>
      <c r="B15" s="176"/>
      <c r="C15" s="1"/>
    </row>
    <row r="16" spans="1:3">
      <c r="A16" s="175"/>
      <c r="B16" s="176"/>
      <c r="C16" s="1"/>
    </row>
    <row r="17" spans="1:3">
      <c r="A17" s="175"/>
      <c r="B17" s="176"/>
      <c r="C17" s="1"/>
    </row>
    <row r="18" spans="1:3">
      <c r="A18" s="175"/>
      <c r="B18" s="176"/>
      <c r="C18" s="1"/>
    </row>
    <row r="19" spans="1:3">
      <c r="A19" s="175"/>
      <c r="B19" s="176"/>
      <c r="C19" s="1"/>
    </row>
    <row r="20" spans="1:3">
      <c r="A20" s="175"/>
      <c r="B20" s="176"/>
      <c r="C20" s="1"/>
    </row>
    <row r="21" spans="1:3">
      <c r="A21" s="175"/>
      <c r="B21" s="176"/>
      <c r="C21" s="1"/>
    </row>
    <row r="22" spans="1:3">
      <c r="A22" s="175"/>
      <c r="B22" s="176"/>
      <c r="C22" s="1"/>
    </row>
    <row r="23" spans="1:3">
      <c r="A23" s="175"/>
      <c r="B23" s="176"/>
      <c r="C23" s="1"/>
    </row>
    <row r="24" spans="1:3">
      <c r="A24" s="175"/>
      <c r="B24" s="176"/>
      <c r="C24" s="1"/>
    </row>
    <row r="25" spans="1:3">
      <c r="A25" s="175"/>
      <c r="B25" s="176"/>
      <c r="C25" s="1"/>
    </row>
    <row r="26" spans="1:3">
      <c r="A26" s="175"/>
      <c r="B26" s="176"/>
      <c r="C26" s="1"/>
    </row>
    <row r="27" spans="1:3">
      <c r="A27" s="175"/>
      <c r="B27" s="176"/>
      <c r="C27" s="1"/>
    </row>
    <row r="28" spans="1:3">
      <c r="A28" s="175"/>
      <c r="B28" s="176"/>
      <c r="C28" s="1"/>
    </row>
    <row r="29" spans="1:3">
      <c r="A29" s="175"/>
      <c r="B29" s="176"/>
      <c r="C2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اصلی</vt:lpstr>
      <vt:lpstr>شرکتها</vt:lpstr>
      <vt:lpstr>ش.ق</vt:lpstr>
      <vt:lpstr>Sheet1</vt:lpstr>
      <vt:lpstr>Sheet2</vt:lpstr>
      <vt:lpstr>Sheet3</vt:lpstr>
      <vt:lpstr>اصلی!Print_Area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Hemmatyar</dc:creator>
  <cp:lastModifiedBy>norouzinejad</cp:lastModifiedBy>
  <cp:lastPrinted>2019-03-13T13:20:15Z</cp:lastPrinted>
  <dcterms:created xsi:type="dcterms:W3CDTF">2014-10-11T09:07:32Z</dcterms:created>
  <dcterms:modified xsi:type="dcterms:W3CDTF">2019-05-19T09:36:24Z</dcterms:modified>
</cp:coreProperties>
</file>